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rinterSettings/printerSettings4.bin" ContentType="application/vnd.openxmlformats-officedocument.spreadsheetml.printerSettings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9155" windowHeight="8445"/>
  </bookViews>
  <sheets>
    <sheet name="SurveyRpt_20150223 (1)" sheetId="2" r:id="rId1"/>
    <sheet name="Compiled Agents" sheetId="3" r:id="rId2"/>
    <sheet name="Region" sheetId="7" r:id="rId3"/>
    <sheet name="Raw" sheetId="4" r:id="rId4"/>
    <sheet name="D%$&amp;01_DevSheet" sheetId="5" state="veryHidden" r:id="rId5"/>
    <sheet name="Accuracy" sheetId="8" r:id="rId6"/>
    <sheet name="AUC" sheetId="6" r:id="rId7"/>
    <sheet name="Sheet3" sheetId="11" r:id="rId8"/>
    <sheet name="Radar" sheetId="9" r:id="rId9"/>
  </sheets>
  <definedNames>
    <definedName name="_xlnm._FilterDatabase" localSheetId="1" hidden="1">'Compiled Agents'!$A$1:$H$1471</definedName>
    <definedName name="_xlnm._FilterDatabase" localSheetId="8" hidden="1">Radar!$N$3:$R$17</definedName>
    <definedName name="_xlnm._FilterDatabase" localSheetId="7" hidden="1">Sheet3!$F$1:$L$81</definedName>
    <definedName name="_xlnm._FilterDatabase" localSheetId="0" hidden="1">'SurveyRpt_20150223 (1)'!$A$34:$AN$735</definedName>
  </definedNames>
  <calcPr calcId="145621"/>
</workbook>
</file>

<file path=xl/calcChain.xml><?xml version="1.0" encoding="utf-8"?>
<calcChain xmlns="http://schemas.openxmlformats.org/spreadsheetml/2006/main">
  <c r="F251" i="5" l="1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AG251" i="5"/>
  <c r="AH251" i="5"/>
  <c r="AI251" i="5"/>
  <c r="AJ251" i="5"/>
  <c r="AK251" i="5"/>
  <c r="AL251" i="5"/>
  <c r="AM251" i="5"/>
  <c r="AN251" i="5"/>
  <c r="AO251" i="5"/>
  <c r="AP251" i="5"/>
  <c r="AQ251" i="5"/>
  <c r="AR251" i="5"/>
  <c r="AS251" i="5"/>
  <c r="AT251" i="5"/>
  <c r="AU251" i="5"/>
  <c r="AV251" i="5"/>
  <c r="AW251" i="5"/>
  <c r="AX251" i="5"/>
  <c r="AY251" i="5"/>
  <c r="AZ251" i="5"/>
  <c r="BA251" i="5"/>
  <c r="BB251" i="5"/>
  <c r="BC251" i="5"/>
  <c r="BD251" i="5"/>
  <c r="BE251" i="5"/>
  <c r="BF251" i="5"/>
  <c r="BG251" i="5"/>
  <c r="BH251" i="5"/>
  <c r="BI251" i="5"/>
  <c r="BJ251" i="5"/>
  <c r="BK251" i="5"/>
  <c r="BL251" i="5"/>
  <c r="BM251" i="5"/>
  <c r="BN251" i="5"/>
  <c r="BO251" i="5"/>
  <c r="BP251" i="5"/>
  <c r="BQ251" i="5"/>
  <c r="BR251" i="5"/>
  <c r="BS251" i="5"/>
  <c r="BT251" i="5"/>
  <c r="BU251" i="5"/>
  <c r="BV251" i="5"/>
  <c r="BW251" i="5"/>
  <c r="BX251" i="5"/>
  <c r="BY251" i="5"/>
  <c r="BZ251" i="5"/>
  <c r="CA251" i="5"/>
  <c r="CB251" i="5"/>
  <c r="CC251" i="5"/>
  <c r="CD251" i="5"/>
  <c r="CE251" i="5"/>
  <c r="CF251" i="5"/>
  <c r="CG251" i="5"/>
  <c r="CH251" i="5"/>
  <c r="CI251" i="5"/>
  <c r="CJ251" i="5"/>
  <c r="CK251" i="5"/>
  <c r="CL251" i="5"/>
  <c r="CM251" i="5"/>
  <c r="CN251" i="5"/>
  <c r="CO251" i="5"/>
  <c r="CP251" i="5"/>
  <c r="CQ251" i="5"/>
  <c r="CR251" i="5"/>
  <c r="CS251" i="5"/>
  <c r="CT251" i="5"/>
  <c r="CU251" i="5"/>
  <c r="CV251" i="5"/>
  <c r="CW251" i="5"/>
  <c r="CX251" i="5"/>
  <c r="CY251" i="5"/>
  <c r="CZ251" i="5"/>
  <c r="DA251" i="5"/>
  <c r="DB251" i="5"/>
  <c r="DC251" i="5"/>
  <c r="DD251" i="5"/>
  <c r="DE251" i="5"/>
  <c r="DF251" i="5"/>
  <c r="DG251" i="5"/>
  <c r="DH251" i="5"/>
  <c r="DI251" i="5"/>
  <c r="DJ251" i="5"/>
  <c r="DK251" i="5"/>
  <c r="DL251" i="5"/>
  <c r="DM251" i="5"/>
  <c r="DN251" i="5"/>
  <c r="DO251" i="5"/>
  <c r="DP251" i="5"/>
  <c r="DQ251" i="5"/>
  <c r="DR251" i="5"/>
  <c r="DS251" i="5"/>
  <c r="DT251" i="5"/>
  <c r="DU251" i="5"/>
  <c r="DV251" i="5"/>
  <c r="DW251" i="5"/>
  <c r="DX251" i="5"/>
  <c r="DY251" i="5"/>
  <c r="DZ251" i="5"/>
  <c r="EA251" i="5"/>
  <c r="EB251" i="5"/>
  <c r="EC251" i="5"/>
  <c r="ED251" i="5"/>
  <c r="EE251" i="5"/>
  <c r="EF251" i="5"/>
  <c r="EG251" i="5"/>
  <c r="EH251" i="5"/>
  <c r="EI251" i="5"/>
  <c r="EJ251" i="5"/>
  <c r="EK251" i="5"/>
  <c r="EL251" i="5"/>
  <c r="EM251" i="5"/>
  <c r="EN251" i="5"/>
  <c r="EO251" i="5"/>
  <c r="EP251" i="5"/>
  <c r="EQ251" i="5"/>
  <c r="ER251" i="5"/>
  <c r="ES251" i="5"/>
  <c r="ET251" i="5"/>
  <c r="EU251" i="5"/>
  <c r="EV251" i="5"/>
  <c r="EW251" i="5"/>
  <c r="EX251" i="5"/>
  <c r="EY251" i="5"/>
  <c r="EZ251" i="5"/>
  <c r="FA251" i="5"/>
  <c r="FB251" i="5"/>
  <c r="FC251" i="5"/>
  <c r="FD251" i="5"/>
  <c r="FE251" i="5"/>
  <c r="FF251" i="5"/>
  <c r="FG251" i="5"/>
  <c r="FH251" i="5"/>
  <c r="FI251" i="5"/>
  <c r="FJ251" i="5"/>
  <c r="FK251" i="5"/>
  <c r="FL251" i="5"/>
  <c r="FM251" i="5"/>
  <c r="FN251" i="5"/>
  <c r="FO251" i="5"/>
  <c r="FP251" i="5"/>
  <c r="FQ251" i="5"/>
  <c r="FR251" i="5"/>
  <c r="FS251" i="5"/>
  <c r="FT251" i="5"/>
  <c r="FU251" i="5"/>
  <c r="FV251" i="5"/>
  <c r="FW251" i="5"/>
  <c r="FX251" i="5"/>
  <c r="FY251" i="5"/>
  <c r="FZ251" i="5"/>
  <c r="GA251" i="5"/>
  <c r="GB251" i="5"/>
  <c r="GC251" i="5"/>
  <c r="GD251" i="5"/>
  <c r="GE251" i="5"/>
  <c r="GF251" i="5"/>
  <c r="GG251" i="5"/>
  <c r="GH251" i="5"/>
  <c r="GI251" i="5"/>
  <c r="GJ251" i="5"/>
  <c r="GK251" i="5"/>
  <c r="GL251" i="5"/>
  <c r="GM251" i="5"/>
  <c r="GN251" i="5"/>
  <c r="GO251" i="5"/>
  <c r="GP251" i="5"/>
  <c r="GQ251" i="5"/>
  <c r="GR251" i="5"/>
  <c r="GS251" i="5"/>
  <c r="GT251" i="5"/>
  <c r="GU251" i="5"/>
  <c r="GV251" i="5"/>
  <c r="GW251" i="5"/>
  <c r="GX251" i="5"/>
  <c r="GY251" i="5"/>
  <c r="GZ251" i="5"/>
  <c r="HA251" i="5"/>
  <c r="HB251" i="5"/>
  <c r="HC251" i="5"/>
  <c r="HD251" i="5"/>
  <c r="HE251" i="5"/>
  <c r="HF251" i="5"/>
  <c r="HG251" i="5"/>
  <c r="HH251" i="5"/>
  <c r="HI251" i="5"/>
  <c r="HJ251" i="5"/>
  <c r="HK251" i="5"/>
  <c r="HL251" i="5"/>
  <c r="HM251" i="5"/>
  <c r="HN251" i="5"/>
  <c r="HO251" i="5"/>
  <c r="HP251" i="5"/>
  <c r="HQ251" i="5"/>
  <c r="HR251" i="5"/>
  <c r="HS251" i="5"/>
  <c r="HT251" i="5"/>
  <c r="HU251" i="5"/>
  <c r="HV251" i="5"/>
  <c r="HW251" i="5"/>
  <c r="HX251" i="5"/>
  <c r="HY251" i="5"/>
  <c r="HZ251" i="5"/>
  <c r="IA251" i="5"/>
  <c r="IB251" i="5"/>
  <c r="IC251" i="5"/>
  <c r="ID251" i="5"/>
  <c r="IE251" i="5"/>
  <c r="IF251" i="5"/>
  <c r="IG251" i="5"/>
  <c r="IH251" i="5"/>
  <c r="II251" i="5"/>
  <c r="IJ251" i="5"/>
  <c r="IK251" i="5"/>
  <c r="IL251" i="5"/>
  <c r="IM251" i="5"/>
  <c r="IN251" i="5"/>
  <c r="IO251" i="5"/>
  <c r="IP251" i="5"/>
  <c r="IQ251" i="5"/>
  <c r="IR251" i="5"/>
  <c r="IS251" i="5"/>
  <c r="IT251" i="5"/>
  <c r="IU251" i="5"/>
  <c r="IV251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AG252" i="5"/>
  <c r="AH252" i="5"/>
  <c r="AI252" i="5"/>
  <c r="AJ252" i="5"/>
  <c r="AK252" i="5"/>
  <c r="AL252" i="5"/>
  <c r="AM252" i="5"/>
  <c r="AN252" i="5"/>
  <c r="AO252" i="5"/>
  <c r="AP252" i="5"/>
  <c r="AQ252" i="5"/>
  <c r="AR252" i="5"/>
  <c r="AS252" i="5"/>
  <c r="AT252" i="5"/>
  <c r="AU252" i="5"/>
  <c r="AV252" i="5"/>
  <c r="AW252" i="5"/>
  <c r="AX252" i="5"/>
  <c r="AY252" i="5"/>
  <c r="AZ252" i="5"/>
  <c r="BA252" i="5"/>
  <c r="BB252" i="5"/>
  <c r="BC252" i="5"/>
  <c r="BD252" i="5"/>
  <c r="BE252" i="5"/>
  <c r="BF252" i="5"/>
  <c r="BG252" i="5"/>
  <c r="BH252" i="5"/>
  <c r="BI252" i="5"/>
  <c r="BJ252" i="5"/>
  <c r="BK252" i="5"/>
  <c r="BL252" i="5"/>
  <c r="BM252" i="5"/>
  <c r="BN252" i="5"/>
  <c r="BO252" i="5"/>
  <c r="BP252" i="5"/>
  <c r="BQ252" i="5"/>
  <c r="BR252" i="5"/>
  <c r="BS252" i="5"/>
  <c r="BT252" i="5"/>
  <c r="BU252" i="5"/>
  <c r="BV252" i="5"/>
  <c r="BW252" i="5"/>
  <c r="BX252" i="5"/>
  <c r="BY252" i="5"/>
  <c r="BZ252" i="5"/>
  <c r="CA252" i="5"/>
  <c r="CB252" i="5"/>
  <c r="CC252" i="5"/>
  <c r="CD252" i="5"/>
  <c r="CE252" i="5"/>
  <c r="CF252" i="5"/>
  <c r="CG252" i="5"/>
  <c r="CH252" i="5"/>
  <c r="CI252" i="5"/>
  <c r="CJ252" i="5"/>
  <c r="CK252" i="5"/>
  <c r="CL252" i="5"/>
  <c r="CM252" i="5"/>
  <c r="CN252" i="5"/>
  <c r="CO252" i="5"/>
  <c r="CP252" i="5"/>
  <c r="CQ252" i="5"/>
  <c r="CR252" i="5"/>
  <c r="CS252" i="5"/>
  <c r="CT252" i="5"/>
  <c r="CU252" i="5"/>
  <c r="CV252" i="5"/>
  <c r="CW252" i="5"/>
  <c r="CX252" i="5"/>
  <c r="CY252" i="5"/>
  <c r="CZ252" i="5"/>
  <c r="DA252" i="5"/>
  <c r="DB252" i="5"/>
  <c r="DC252" i="5"/>
  <c r="DD252" i="5"/>
  <c r="DE252" i="5"/>
  <c r="DF252" i="5"/>
  <c r="DG252" i="5"/>
  <c r="DH252" i="5"/>
  <c r="DI252" i="5"/>
  <c r="DJ252" i="5"/>
  <c r="DK252" i="5"/>
  <c r="DL252" i="5"/>
  <c r="DM252" i="5"/>
  <c r="DN252" i="5"/>
  <c r="DO252" i="5"/>
  <c r="DP252" i="5"/>
  <c r="DQ252" i="5"/>
  <c r="DR252" i="5"/>
  <c r="DS252" i="5"/>
  <c r="DT252" i="5"/>
  <c r="DU252" i="5"/>
  <c r="DV252" i="5"/>
  <c r="DW252" i="5"/>
  <c r="DX252" i="5"/>
  <c r="DY252" i="5"/>
  <c r="DZ252" i="5"/>
  <c r="EA252" i="5"/>
  <c r="EB252" i="5"/>
  <c r="EC252" i="5"/>
  <c r="ED252" i="5"/>
  <c r="EE252" i="5"/>
  <c r="EF252" i="5"/>
  <c r="EG252" i="5"/>
  <c r="EH252" i="5"/>
  <c r="EI252" i="5"/>
  <c r="EJ252" i="5"/>
  <c r="EK252" i="5"/>
  <c r="EL252" i="5"/>
  <c r="EM252" i="5"/>
  <c r="EN252" i="5"/>
  <c r="EO252" i="5"/>
  <c r="EP252" i="5"/>
  <c r="EQ252" i="5"/>
  <c r="ER252" i="5"/>
  <c r="ES252" i="5"/>
  <c r="ET252" i="5"/>
  <c r="EU252" i="5"/>
  <c r="EV252" i="5"/>
  <c r="EW252" i="5"/>
  <c r="EX252" i="5"/>
  <c r="EY252" i="5"/>
  <c r="EZ252" i="5"/>
  <c r="FA252" i="5"/>
  <c r="FB252" i="5"/>
  <c r="FC252" i="5"/>
  <c r="FD252" i="5"/>
  <c r="FE252" i="5"/>
  <c r="FF252" i="5"/>
  <c r="FG252" i="5"/>
  <c r="FH252" i="5"/>
  <c r="FI252" i="5"/>
  <c r="FJ252" i="5"/>
  <c r="FK252" i="5"/>
  <c r="FL252" i="5"/>
  <c r="FM252" i="5"/>
  <c r="FN252" i="5"/>
  <c r="FO252" i="5"/>
  <c r="FP252" i="5"/>
  <c r="FQ252" i="5"/>
  <c r="FR252" i="5"/>
  <c r="FS252" i="5"/>
  <c r="FT252" i="5"/>
  <c r="FU252" i="5"/>
  <c r="FV252" i="5"/>
  <c r="FW252" i="5"/>
  <c r="FX252" i="5"/>
  <c r="FY252" i="5"/>
  <c r="FZ252" i="5"/>
  <c r="GA252" i="5"/>
  <c r="GB252" i="5"/>
  <c r="GC252" i="5"/>
  <c r="GD252" i="5"/>
  <c r="GE252" i="5"/>
  <c r="GF252" i="5"/>
  <c r="GG252" i="5"/>
  <c r="GH252" i="5"/>
  <c r="GI252" i="5"/>
  <c r="GJ252" i="5"/>
  <c r="GK252" i="5"/>
  <c r="GL252" i="5"/>
  <c r="GM252" i="5"/>
  <c r="GN252" i="5"/>
  <c r="GO252" i="5"/>
  <c r="GP252" i="5"/>
  <c r="GQ252" i="5"/>
  <c r="GR252" i="5"/>
  <c r="GS252" i="5"/>
  <c r="GT252" i="5"/>
  <c r="GU252" i="5"/>
  <c r="GV252" i="5"/>
  <c r="GW252" i="5"/>
  <c r="GX252" i="5"/>
  <c r="GY252" i="5"/>
  <c r="GZ252" i="5"/>
  <c r="HA252" i="5"/>
  <c r="HB252" i="5"/>
  <c r="HC252" i="5"/>
  <c r="HD252" i="5"/>
  <c r="HE252" i="5"/>
  <c r="HF252" i="5"/>
  <c r="HG252" i="5"/>
  <c r="HH252" i="5"/>
  <c r="HI252" i="5"/>
  <c r="HJ252" i="5"/>
  <c r="HK252" i="5"/>
  <c r="HL252" i="5"/>
  <c r="HM252" i="5"/>
  <c r="HN252" i="5"/>
  <c r="HO252" i="5"/>
  <c r="HP252" i="5"/>
  <c r="HQ252" i="5"/>
  <c r="HR252" i="5"/>
  <c r="HS252" i="5"/>
  <c r="HT252" i="5"/>
  <c r="HU252" i="5"/>
  <c r="HV252" i="5"/>
  <c r="HW252" i="5"/>
  <c r="HX252" i="5"/>
  <c r="HY252" i="5"/>
  <c r="HZ252" i="5"/>
  <c r="IA252" i="5"/>
  <c r="IB252" i="5"/>
  <c r="IC252" i="5"/>
  <c r="ID252" i="5"/>
  <c r="IE252" i="5"/>
  <c r="IF252" i="5"/>
  <c r="IG252" i="5"/>
  <c r="IH252" i="5"/>
  <c r="II252" i="5"/>
  <c r="IJ252" i="5"/>
  <c r="IK252" i="5"/>
  <c r="IL252" i="5"/>
  <c r="IM252" i="5"/>
  <c r="IN252" i="5"/>
  <c r="IO252" i="5"/>
  <c r="IP252" i="5"/>
  <c r="IQ252" i="5"/>
  <c r="IR252" i="5"/>
  <c r="IS252" i="5"/>
  <c r="IT252" i="5"/>
  <c r="IU252" i="5"/>
  <c r="IV252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AG253" i="5"/>
  <c r="AH253" i="5"/>
  <c r="AI253" i="5"/>
  <c r="AJ253" i="5"/>
  <c r="AK253" i="5"/>
  <c r="AL253" i="5"/>
  <c r="AM253" i="5"/>
  <c r="AN253" i="5"/>
  <c r="AO253" i="5"/>
  <c r="AP253" i="5"/>
  <c r="AQ253" i="5"/>
  <c r="AR253" i="5"/>
  <c r="AS253" i="5"/>
  <c r="AT253" i="5"/>
  <c r="AU253" i="5"/>
  <c r="AV253" i="5"/>
  <c r="AW253" i="5"/>
  <c r="AX253" i="5"/>
  <c r="AY253" i="5"/>
  <c r="AZ253" i="5"/>
  <c r="BA253" i="5"/>
  <c r="BB253" i="5"/>
  <c r="BC253" i="5"/>
  <c r="BD253" i="5"/>
  <c r="BE253" i="5"/>
  <c r="BF253" i="5"/>
  <c r="BG253" i="5"/>
  <c r="BH253" i="5"/>
  <c r="BI253" i="5"/>
  <c r="BJ253" i="5"/>
  <c r="BK253" i="5"/>
  <c r="BL253" i="5"/>
  <c r="BM253" i="5"/>
  <c r="BN253" i="5"/>
  <c r="BO253" i="5"/>
  <c r="BP253" i="5"/>
  <c r="BQ253" i="5"/>
  <c r="BR253" i="5"/>
  <c r="BS253" i="5"/>
  <c r="BT253" i="5"/>
  <c r="BU253" i="5"/>
  <c r="BV253" i="5"/>
  <c r="BW253" i="5"/>
  <c r="BX253" i="5"/>
  <c r="BY253" i="5"/>
  <c r="BZ253" i="5"/>
  <c r="CA253" i="5"/>
  <c r="CB253" i="5"/>
  <c r="CC253" i="5"/>
  <c r="CD253" i="5"/>
  <c r="CE253" i="5"/>
  <c r="CF253" i="5"/>
  <c r="CG253" i="5"/>
  <c r="CH253" i="5"/>
  <c r="CI253" i="5"/>
  <c r="CJ253" i="5"/>
  <c r="CK253" i="5"/>
  <c r="CL253" i="5"/>
  <c r="CM253" i="5"/>
  <c r="CN253" i="5"/>
  <c r="CO253" i="5"/>
  <c r="CP253" i="5"/>
  <c r="CQ253" i="5"/>
  <c r="CR253" i="5"/>
  <c r="CS253" i="5"/>
  <c r="CT253" i="5"/>
  <c r="CU253" i="5"/>
  <c r="CV253" i="5"/>
  <c r="CW253" i="5"/>
  <c r="CX253" i="5"/>
  <c r="CY253" i="5"/>
  <c r="CZ253" i="5"/>
  <c r="DA253" i="5"/>
  <c r="DB253" i="5"/>
  <c r="DC253" i="5"/>
  <c r="DD253" i="5"/>
  <c r="DE253" i="5"/>
  <c r="DF253" i="5"/>
  <c r="DG253" i="5"/>
  <c r="DH253" i="5"/>
  <c r="DI253" i="5"/>
  <c r="DJ253" i="5"/>
  <c r="DK253" i="5"/>
  <c r="DL253" i="5"/>
  <c r="DM253" i="5"/>
  <c r="DN253" i="5"/>
  <c r="DO253" i="5"/>
  <c r="DP253" i="5"/>
  <c r="DQ253" i="5"/>
  <c r="DR253" i="5"/>
  <c r="DS253" i="5"/>
  <c r="DT253" i="5"/>
  <c r="DU253" i="5"/>
  <c r="DV253" i="5"/>
  <c r="DW253" i="5"/>
  <c r="DX253" i="5"/>
  <c r="DY253" i="5"/>
  <c r="DZ253" i="5"/>
  <c r="EA253" i="5"/>
  <c r="EB253" i="5"/>
  <c r="EC253" i="5"/>
  <c r="ED253" i="5"/>
  <c r="EE253" i="5"/>
  <c r="EF253" i="5"/>
  <c r="EG253" i="5"/>
  <c r="EH253" i="5"/>
  <c r="EI253" i="5"/>
  <c r="EJ253" i="5"/>
  <c r="EK253" i="5"/>
  <c r="EL253" i="5"/>
  <c r="EM253" i="5"/>
  <c r="EN253" i="5"/>
  <c r="EO253" i="5"/>
  <c r="EP253" i="5"/>
  <c r="EQ253" i="5"/>
  <c r="ER253" i="5"/>
  <c r="ES253" i="5"/>
  <c r="ET253" i="5"/>
  <c r="EU253" i="5"/>
  <c r="EV253" i="5"/>
  <c r="EW253" i="5"/>
  <c r="EX253" i="5"/>
  <c r="EY253" i="5"/>
  <c r="EZ253" i="5"/>
  <c r="FA253" i="5"/>
  <c r="FB253" i="5"/>
  <c r="FC253" i="5"/>
  <c r="FD253" i="5"/>
  <c r="FE253" i="5"/>
  <c r="FF253" i="5"/>
  <c r="FG253" i="5"/>
  <c r="FH253" i="5"/>
  <c r="FI253" i="5"/>
  <c r="FJ253" i="5"/>
  <c r="FK253" i="5"/>
  <c r="FL253" i="5"/>
  <c r="FM253" i="5"/>
  <c r="FN253" i="5"/>
  <c r="FO253" i="5"/>
  <c r="FP253" i="5"/>
  <c r="FQ253" i="5"/>
  <c r="FR253" i="5"/>
  <c r="FS253" i="5"/>
  <c r="FT253" i="5"/>
  <c r="FU253" i="5"/>
  <c r="FV253" i="5"/>
  <c r="FW253" i="5"/>
  <c r="FX253" i="5"/>
  <c r="FY253" i="5"/>
  <c r="FZ253" i="5"/>
  <c r="GA253" i="5"/>
  <c r="GB253" i="5"/>
  <c r="GC253" i="5"/>
  <c r="GD253" i="5"/>
  <c r="GE253" i="5"/>
  <c r="GF253" i="5"/>
  <c r="GG253" i="5"/>
  <c r="GH253" i="5"/>
  <c r="GI253" i="5"/>
  <c r="GJ253" i="5"/>
  <c r="GK253" i="5"/>
  <c r="GL253" i="5"/>
  <c r="GM253" i="5"/>
  <c r="GN253" i="5"/>
  <c r="GO253" i="5"/>
  <c r="GP253" i="5"/>
  <c r="GQ253" i="5"/>
  <c r="GR253" i="5"/>
  <c r="GS253" i="5"/>
  <c r="GT253" i="5"/>
  <c r="GU253" i="5"/>
  <c r="GV253" i="5"/>
  <c r="GW253" i="5"/>
  <c r="GX253" i="5"/>
  <c r="GY253" i="5"/>
  <c r="GZ253" i="5"/>
  <c r="HA253" i="5"/>
  <c r="HB253" i="5"/>
  <c r="HC253" i="5"/>
  <c r="HD253" i="5"/>
  <c r="HE253" i="5"/>
  <c r="HF253" i="5"/>
  <c r="HG253" i="5"/>
  <c r="HH253" i="5"/>
  <c r="HI253" i="5"/>
  <c r="HJ253" i="5"/>
  <c r="HK253" i="5"/>
  <c r="HL253" i="5"/>
  <c r="HM253" i="5"/>
  <c r="HN253" i="5"/>
  <c r="HO253" i="5"/>
  <c r="HP253" i="5"/>
  <c r="HQ253" i="5"/>
  <c r="HR253" i="5"/>
  <c r="HS253" i="5"/>
  <c r="HT253" i="5"/>
  <c r="HU253" i="5"/>
  <c r="HV253" i="5"/>
  <c r="HW253" i="5"/>
  <c r="HX253" i="5"/>
  <c r="HY253" i="5"/>
  <c r="HZ253" i="5"/>
  <c r="IA253" i="5"/>
  <c r="IB253" i="5"/>
  <c r="IC253" i="5"/>
  <c r="ID253" i="5"/>
  <c r="IE253" i="5"/>
  <c r="IF253" i="5"/>
  <c r="IG253" i="5"/>
  <c r="IH253" i="5"/>
  <c r="II253" i="5"/>
  <c r="IJ253" i="5"/>
  <c r="IK253" i="5"/>
  <c r="IL253" i="5"/>
  <c r="IM253" i="5"/>
  <c r="IN253" i="5"/>
  <c r="IO253" i="5"/>
  <c r="IP253" i="5"/>
  <c r="IQ253" i="5"/>
  <c r="IR253" i="5"/>
  <c r="IS253" i="5"/>
  <c r="IT253" i="5"/>
  <c r="IU253" i="5"/>
  <c r="IV253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AG254" i="5"/>
  <c r="AH254" i="5"/>
  <c r="AI254" i="5"/>
  <c r="AJ254" i="5"/>
  <c r="AK254" i="5"/>
  <c r="AL254" i="5"/>
  <c r="AM254" i="5"/>
  <c r="AN254" i="5"/>
  <c r="AO254" i="5"/>
  <c r="AP254" i="5"/>
  <c r="AQ254" i="5"/>
  <c r="AR254" i="5"/>
  <c r="AS254" i="5"/>
  <c r="AT254" i="5"/>
  <c r="AU254" i="5"/>
  <c r="AV254" i="5"/>
  <c r="AW254" i="5"/>
  <c r="AX254" i="5"/>
  <c r="AY254" i="5"/>
  <c r="AZ254" i="5"/>
  <c r="BA254" i="5"/>
  <c r="BB254" i="5"/>
  <c r="BC254" i="5"/>
  <c r="BD254" i="5"/>
  <c r="BE254" i="5"/>
  <c r="BF254" i="5"/>
  <c r="BG254" i="5"/>
  <c r="BH254" i="5"/>
  <c r="BI254" i="5"/>
  <c r="BJ254" i="5"/>
  <c r="BK254" i="5"/>
  <c r="BL254" i="5"/>
  <c r="BM254" i="5"/>
  <c r="BN254" i="5"/>
  <c r="BO254" i="5"/>
  <c r="BP254" i="5"/>
  <c r="BQ254" i="5"/>
  <c r="BR254" i="5"/>
  <c r="BS254" i="5"/>
  <c r="BT254" i="5"/>
  <c r="BU254" i="5"/>
  <c r="BV254" i="5"/>
  <c r="BW254" i="5"/>
  <c r="BX254" i="5"/>
  <c r="BY254" i="5"/>
  <c r="BZ254" i="5"/>
  <c r="CA254" i="5"/>
  <c r="CB254" i="5"/>
  <c r="CC254" i="5"/>
  <c r="CD254" i="5"/>
  <c r="CE254" i="5"/>
  <c r="CF254" i="5"/>
  <c r="CG254" i="5"/>
  <c r="CH254" i="5"/>
  <c r="CI254" i="5"/>
  <c r="CJ254" i="5"/>
  <c r="CK254" i="5"/>
  <c r="CL254" i="5"/>
  <c r="CM254" i="5"/>
  <c r="CN254" i="5"/>
  <c r="CO254" i="5"/>
  <c r="CP254" i="5"/>
  <c r="CQ254" i="5"/>
  <c r="CR254" i="5"/>
  <c r="CS254" i="5"/>
  <c r="CT254" i="5"/>
  <c r="CU254" i="5"/>
  <c r="CV254" i="5"/>
  <c r="CW254" i="5"/>
  <c r="CX254" i="5"/>
  <c r="CY254" i="5"/>
  <c r="CZ254" i="5"/>
  <c r="DA254" i="5"/>
  <c r="DB254" i="5"/>
  <c r="DC254" i="5"/>
  <c r="DD254" i="5"/>
  <c r="DE254" i="5"/>
  <c r="DF254" i="5"/>
  <c r="DG254" i="5"/>
  <c r="DH254" i="5"/>
  <c r="DI254" i="5"/>
  <c r="DJ254" i="5"/>
  <c r="DK254" i="5"/>
  <c r="DL254" i="5"/>
  <c r="DM254" i="5"/>
  <c r="DN254" i="5"/>
  <c r="DO254" i="5"/>
  <c r="DP254" i="5"/>
  <c r="DQ254" i="5"/>
  <c r="DR254" i="5"/>
  <c r="DS254" i="5"/>
  <c r="DT254" i="5"/>
  <c r="DU254" i="5"/>
  <c r="DV254" i="5"/>
  <c r="DW254" i="5"/>
  <c r="DX254" i="5"/>
  <c r="DY254" i="5"/>
  <c r="DZ254" i="5"/>
  <c r="EA254" i="5"/>
  <c r="EB254" i="5"/>
  <c r="EC254" i="5"/>
  <c r="ED254" i="5"/>
  <c r="EE254" i="5"/>
  <c r="EF254" i="5"/>
  <c r="EG254" i="5"/>
  <c r="EH254" i="5"/>
  <c r="EI254" i="5"/>
  <c r="EJ254" i="5"/>
  <c r="EK254" i="5"/>
  <c r="EL254" i="5"/>
  <c r="EM254" i="5"/>
  <c r="EN254" i="5"/>
  <c r="EO254" i="5"/>
  <c r="EP254" i="5"/>
  <c r="EQ254" i="5"/>
  <c r="ER254" i="5"/>
  <c r="ES254" i="5"/>
  <c r="ET254" i="5"/>
  <c r="EU254" i="5"/>
  <c r="EV254" i="5"/>
  <c r="EW254" i="5"/>
  <c r="EX254" i="5"/>
  <c r="EY254" i="5"/>
  <c r="EZ254" i="5"/>
  <c r="FA254" i="5"/>
  <c r="FB254" i="5"/>
  <c r="FC254" i="5"/>
  <c r="FD254" i="5"/>
  <c r="FE254" i="5"/>
  <c r="FF254" i="5"/>
  <c r="FG254" i="5"/>
  <c r="FH254" i="5"/>
  <c r="FI254" i="5"/>
  <c r="FJ254" i="5"/>
  <c r="FK254" i="5"/>
  <c r="FL254" i="5"/>
  <c r="FM254" i="5"/>
  <c r="FN254" i="5"/>
  <c r="FO254" i="5"/>
  <c r="FP254" i="5"/>
  <c r="FQ254" i="5"/>
  <c r="FR254" i="5"/>
  <c r="FS254" i="5"/>
  <c r="FT254" i="5"/>
  <c r="FU254" i="5"/>
  <c r="FV254" i="5"/>
  <c r="FW254" i="5"/>
  <c r="FX254" i="5"/>
  <c r="FY254" i="5"/>
  <c r="FZ254" i="5"/>
  <c r="GA254" i="5"/>
  <c r="GB254" i="5"/>
  <c r="GC254" i="5"/>
  <c r="GD254" i="5"/>
  <c r="GE254" i="5"/>
  <c r="GF254" i="5"/>
  <c r="GG254" i="5"/>
  <c r="GH254" i="5"/>
  <c r="GI254" i="5"/>
  <c r="GJ254" i="5"/>
  <c r="GK254" i="5"/>
  <c r="GL254" i="5"/>
  <c r="GM254" i="5"/>
  <c r="GN254" i="5"/>
  <c r="GO254" i="5"/>
  <c r="GP254" i="5"/>
  <c r="GQ254" i="5"/>
  <c r="GR254" i="5"/>
  <c r="GS254" i="5"/>
  <c r="GT254" i="5"/>
  <c r="GU254" i="5"/>
  <c r="GV254" i="5"/>
  <c r="GW254" i="5"/>
  <c r="GX254" i="5"/>
  <c r="GY254" i="5"/>
  <c r="GZ254" i="5"/>
  <c r="HA254" i="5"/>
  <c r="HB254" i="5"/>
  <c r="HC254" i="5"/>
  <c r="HD254" i="5"/>
  <c r="HE254" i="5"/>
  <c r="HF254" i="5"/>
  <c r="HG254" i="5"/>
  <c r="HH254" i="5"/>
  <c r="HI254" i="5"/>
  <c r="HJ254" i="5"/>
  <c r="HK254" i="5"/>
  <c r="HL254" i="5"/>
  <c r="HM254" i="5"/>
  <c r="HN254" i="5"/>
  <c r="HO254" i="5"/>
  <c r="HP254" i="5"/>
  <c r="HQ254" i="5"/>
  <c r="HR254" i="5"/>
  <c r="HS254" i="5"/>
  <c r="HT254" i="5"/>
  <c r="HU254" i="5"/>
  <c r="HV254" i="5"/>
  <c r="HW254" i="5"/>
  <c r="HX254" i="5"/>
  <c r="HY254" i="5"/>
  <c r="HZ254" i="5"/>
  <c r="IA254" i="5"/>
  <c r="IB254" i="5"/>
  <c r="IC254" i="5"/>
  <c r="ID254" i="5"/>
  <c r="IE254" i="5"/>
  <c r="IF254" i="5"/>
  <c r="IG254" i="5"/>
  <c r="IH254" i="5"/>
  <c r="II254" i="5"/>
  <c r="IJ254" i="5"/>
  <c r="IK254" i="5"/>
  <c r="IL254" i="5"/>
  <c r="IM254" i="5"/>
  <c r="IN254" i="5"/>
  <c r="IO254" i="5"/>
  <c r="IP254" i="5"/>
  <c r="IQ254" i="5"/>
  <c r="IR254" i="5"/>
  <c r="IS254" i="5"/>
  <c r="IT254" i="5"/>
  <c r="IU254" i="5"/>
  <c r="IV254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AG255" i="5"/>
  <c r="AH255" i="5"/>
  <c r="AI255" i="5"/>
  <c r="AJ255" i="5"/>
  <c r="AK255" i="5"/>
  <c r="AL255" i="5"/>
  <c r="AM255" i="5"/>
  <c r="AN255" i="5"/>
  <c r="AO255" i="5"/>
  <c r="AP255" i="5"/>
  <c r="AQ255" i="5"/>
  <c r="AR255" i="5"/>
  <c r="AS255" i="5"/>
  <c r="AT255" i="5"/>
  <c r="AU255" i="5"/>
  <c r="AV255" i="5"/>
  <c r="AW255" i="5"/>
  <c r="AX255" i="5"/>
  <c r="AY255" i="5"/>
  <c r="AZ255" i="5"/>
  <c r="BA255" i="5"/>
  <c r="BB255" i="5"/>
  <c r="BC255" i="5"/>
  <c r="BD255" i="5"/>
  <c r="BE255" i="5"/>
  <c r="BF255" i="5"/>
  <c r="BG255" i="5"/>
  <c r="BH255" i="5"/>
  <c r="BI255" i="5"/>
  <c r="BJ255" i="5"/>
  <c r="BK255" i="5"/>
  <c r="BL255" i="5"/>
  <c r="BM255" i="5"/>
  <c r="BN255" i="5"/>
  <c r="BO255" i="5"/>
  <c r="BP255" i="5"/>
  <c r="BQ255" i="5"/>
  <c r="BR255" i="5"/>
  <c r="BS255" i="5"/>
  <c r="BT255" i="5"/>
  <c r="BU255" i="5"/>
  <c r="BV255" i="5"/>
  <c r="BW255" i="5"/>
  <c r="BX255" i="5"/>
  <c r="BY255" i="5"/>
  <c r="BZ255" i="5"/>
  <c r="CA255" i="5"/>
  <c r="CB255" i="5"/>
  <c r="CC255" i="5"/>
  <c r="CD255" i="5"/>
  <c r="CE255" i="5"/>
  <c r="CF255" i="5"/>
  <c r="CG255" i="5"/>
  <c r="CH255" i="5"/>
  <c r="CI255" i="5"/>
  <c r="CJ255" i="5"/>
  <c r="CK255" i="5"/>
  <c r="CL255" i="5"/>
  <c r="CM255" i="5"/>
  <c r="CN255" i="5"/>
  <c r="CO255" i="5"/>
  <c r="CP255" i="5"/>
  <c r="CQ255" i="5"/>
  <c r="CR255" i="5"/>
  <c r="CS255" i="5"/>
  <c r="CT255" i="5"/>
  <c r="CU255" i="5"/>
  <c r="CV255" i="5"/>
  <c r="CW255" i="5"/>
  <c r="CX255" i="5"/>
  <c r="CY255" i="5"/>
  <c r="CZ255" i="5"/>
  <c r="DA255" i="5"/>
  <c r="DB255" i="5"/>
  <c r="DC255" i="5"/>
  <c r="DD255" i="5"/>
  <c r="DE255" i="5"/>
  <c r="DF255" i="5"/>
  <c r="DG255" i="5"/>
  <c r="DH255" i="5"/>
  <c r="DI255" i="5"/>
  <c r="DJ255" i="5"/>
  <c r="DK255" i="5"/>
  <c r="DL255" i="5"/>
  <c r="DM255" i="5"/>
  <c r="DN255" i="5"/>
  <c r="DO255" i="5"/>
  <c r="DP255" i="5"/>
  <c r="DQ255" i="5"/>
  <c r="DR255" i="5"/>
  <c r="DS255" i="5"/>
  <c r="DT255" i="5"/>
  <c r="DU255" i="5"/>
  <c r="DV255" i="5"/>
  <c r="DW255" i="5"/>
  <c r="DX255" i="5"/>
  <c r="DY255" i="5"/>
  <c r="DZ255" i="5"/>
  <c r="EA255" i="5"/>
  <c r="EB255" i="5"/>
  <c r="EC255" i="5"/>
  <c r="ED255" i="5"/>
  <c r="EE255" i="5"/>
  <c r="EF255" i="5"/>
  <c r="EG255" i="5"/>
  <c r="EH255" i="5"/>
  <c r="EI255" i="5"/>
  <c r="EJ255" i="5"/>
  <c r="EK255" i="5"/>
  <c r="EL255" i="5"/>
  <c r="EM255" i="5"/>
  <c r="EN255" i="5"/>
  <c r="EO255" i="5"/>
  <c r="EP255" i="5"/>
  <c r="EQ255" i="5"/>
  <c r="ER255" i="5"/>
  <c r="ES255" i="5"/>
  <c r="ET255" i="5"/>
  <c r="EU255" i="5"/>
  <c r="EV255" i="5"/>
  <c r="EW255" i="5"/>
  <c r="EX255" i="5"/>
  <c r="EY255" i="5"/>
  <c r="EZ255" i="5"/>
  <c r="FA255" i="5"/>
  <c r="FB255" i="5"/>
  <c r="FC255" i="5"/>
  <c r="FD255" i="5"/>
  <c r="FE255" i="5"/>
  <c r="FF255" i="5"/>
  <c r="FG255" i="5"/>
  <c r="FH255" i="5"/>
  <c r="FI255" i="5"/>
  <c r="FJ255" i="5"/>
  <c r="FK255" i="5"/>
  <c r="FL255" i="5"/>
  <c r="FM255" i="5"/>
  <c r="FN255" i="5"/>
  <c r="FO255" i="5"/>
  <c r="FP255" i="5"/>
  <c r="FQ255" i="5"/>
  <c r="FR255" i="5"/>
  <c r="FS255" i="5"/>
  <c r="FT255" i="5"/>
  <c r="FU255" i="5"/>
  <c r="FV255" i="5"/>
  <c r="FW255" i="5"/>
  <c r="FX255" i="5"/>
  <c r="FY255" i="5"/>
  <c r="FZ255" i="5"/>
  <c r="GA255" i="5"/>
  <c r="GB255" i="5"/>
  <c r="GC255" i="5"/>
  <c r="GD255" i="5"/>
  <c r="GE255" i="5"/>
  <c r="GF255" i="5"/>
  <c r="GG255" i="5"/>
  <c r="GH255" i="5"/>
  <c r="GI255" i="5"/>
  <c r="GJ255" i="5"/>
  <c r="GK255" i="5"/>
  <c r="GL255" i="5"/>
  <c r="GM255" i="5"/>
  <c r="GN255" i="5"/>
  <c r="GO255" i="5"/>
  <c r="GP255" i="5"/>
  <c r="GQ255" i="5"/>
  <c r="GR255" i="5"/>
  <c r="GS255" i="5"/>
  <c r="GT255" i="5"/>
  <c r="GU255" i="5"/>
  <c r="GV255" i="5"/>
  <c r="GW255" i="5"/>
  <c r="GX255" i="5"/>
  <c r="GY255" i="5"/>
  <c r="GZ255" i="5"/>
  <c r="HA255" i="5"/>
  <c r="HB255" i="5"/>
  <c r="HC255" i="5"/>
  <c r="HD255" i="5"/>
  <c r="HE255" i="5"/>
  <c r="HF255" i="5"/>
  <c r="HG255" i="5"/>
  <c r="HH255" i="5"/>
  <c r="HI255" i="5"/>
  <c r="HJ255" i="5"/>
  <c r="HK255" i="5"/>
  <c r="HL255" i="5"/>
  <c r="HM255" i="5"/>
  <c r="HN255" i="5"/>
  <c r="HO255" i="5"/>
  <c r="HP255" i="5"/>
  <c r="HQ255" i="5"/>
  <c r="HR255" i="5"/>
  <c r="HS255" i="5"/>
  <c r="HT255" i="5"/>
  <c r="HU255" i="5"/>
  <c r="HV255" i="5"/>
  <c r="HW255" i="5"/>
  <c r="HX255" i="5"/>
  <c r="HY255" i="5"/>
  <c r="HZ255" i="5"/>
  <c r="IA255" i="5"/>
  <c r="IB255" i="5"/>
  <c r="IC255" i="5"/>
  <c r="ID255" i="5"/>
  <c r="IE255" i="5"/>
  <c r="IF255" i="5"/>
  <c r="IG255" i="5"/>
  <c r="IH255" i="5"/>
  <c r="II255" i="5"/>
  <c r="IJ255" i="5"/>
  <c r="IK255" i="5"/>
  <c r="IL255" i="5"/>
  <c r="IM255" i="5"/>
  <c r="IN255" i="5"/>
  <c r="IO255" i="5"/>
  <c r="IP255" i="5"/>
  <c r="IQ255" i="5"/>
  <c r="IR255" i="5"/>
  <c r="IS255" i="5"/>
  <c r="IT255" i="5"/>
  <c r="IU255" i="5"/>
  <c r="IV255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AG256" i="5"/>
  <c r="AH256" i="5"/>
  <c r="AI256" i="5"/>
  <c r="AJ256" i="5"/>
  <c r="AK256" i="5"/>
  <c r="AL256" i="5"/>
  <c r="AM256" i="5"/>
  <c r="AN256" i="5"/>
  <c r="AO256" i="5"/>
  <c r="AP256" i="5"/>
  <c r="AQ256" i="5"/>
  <c r="AR256" i="5"/>
  <c r="AS256" i="5"/>
  <c r="AT256" i="5"/>
  <c r="AU256" i="5"/>
  <c r="AV256" i="5"/>
  <c r="AW256" i="5"/>
  <c r="AX256" i="5"/>
  <c r="AY256" i="5"/>
  <c r="AZ256" i="5"/>
  <c r="BA256" i="5"/>
  <c r="BB256" i="5"/>
  <c r="BC256" i="5"/>
  <c r="BD256" i="5"/>
  <c r="BE256" i="5"/>
  <c r="BF256" i="5"/>
  <c r="BG256" i="5"/>
  <c r="BH256" i="5"/>
  <c r="BI256" i="5"/>
  <c r="BJ256" i="5"/>
  <c r="BK256" i="5"/>
  <c r="BL256" i="5"/>
  <c r="BM256" i="5"/>
  <c r="BN256" i="5"/>
  <c r="BO256" i="5"/>
  <c r="BP256" i="5"/>
  <c r="BQ256" i="5"/>
  <c r="BR256" i="5"/>
  <c r="BS256" i="5"/>
  <c r="BT256" i="5"/>
  <c r="BU256" i="5"/>
  <c r="BV256" i="5"/>
  <c r="BW256" i="5"/>
  <c r="BX256" i="5"/>
  <c r="BY256" i="5"/>
  <c r="BZ256" i="5"/>
  <c r="CA256" i="5"/>
  <c r="CB256" i="5"/>
  <c r="CC256" i="5"/>
  <c r="CD256" i="5"/>
  <c r="CE256" i="5"/>
  <c r="CF256" i="5"/>
  <c r="CG256" i="5"/>
  <c r="CH256" i="5"/>
  <c r="CI256" i="5"/>
  <c r="CJ256" i="5"/>
  <c r="CK256" i="5"/>
  <c r="CL256" i="5"/>
  <c r="CM256" i="5"/>
  <c r="CN256" i="5"/>
  <c r="CO256" i="5"/>
  <c r="CP256" i="5"/>
  <c r="CQ256" i="5"/>
  <c r="CR256" i="5"/>
  <c r="CS256" i="5"/>
  <c r="CT256" i="5"/>
  <c r="CU256" i="5"/>
  <c r="CV256" i="5"/>
  <c r="CW256" i="5"/>
  <c r="CX256" i="5"/>
  <c r="CY256" i="5"/>
  <c r="CZ256" i="5"/>
  <c r="DA256" i="5"/>
  <c r="DB256" i="5"/>
  <c r="DC256" i="5"/>
  <c r="DD256" i="5"/>
  <c r="DE256" i="5"/>
  <c r="DF256" i="5"/>
  <c r="DG256" i="5"/>
  <c r="DH256" i="5"/>
  <c r="DI256" i="5"/>
  <c r="DJ256" i="5"/>
  <c r="DK256" i="5"/>
  <c r="DL256" i="5"/>
  <c r="DM256" i="5"/>
  <c r="DN256" i="5"/>
  <c r="DO256" i="5"/>
  <c r="DP256" i="5"/>
  <c r="DQ256" i="5"/>
  <c r="DR256" i="5"/>
  <c r="DS256" i="5"/>
  <c r="DT256" i="5"/>
  <c r="DU256" i="5"/>
  <c r="DV256" i="5"/>
  <c r="DW256" i="5"/>
  <c r="DX256" i="5"/>
  <c r="DY256" i="5"/>
  <c r="DZ256" i="5"/>
  <c r="EA256" i="5"/>
  <c r="EB256" i="5"/>
  <c r="EC256" i="5"/>
  <c r="ED256" i="5"/>
  <c r="EE256" i="5"/>
  <c r="EF256" i="5"/>
  <c r="EG256" i="5"/>
  <c r="EH256" i="5"/>
  <c r="EI256" i="5"/>
  <c r="EJ256" i="5"/>
  <c r="EK256" i="5"/>
  <c r="EL256" i="5"/>
  <c r="EM256" i="5"/>
  <c r="EN256" i="5"/>
  <c r="EO256" i="5"/>
  <c r="EP256" i="5"/>
  <c r="EQ256" i="5"/>
  <c r="ER256" i="5"/>
  <c r="ES256" i="5"/>
  <c r="ET256" i="5"/>
  <c r="EU256" i="5"/>
  <c r="EV256" i="5"/>
  <c r="EW256" i="5"/>
  <c r="EX256" i="5"/>
  <c r="EY256" i="5"/>
  <c r="EZ256" i="5"/>
  <c r="FA256" i="5"/>
  <c r="FB256" i="5"/>
  <c r="FC256" i="5"/>
  <c r="FD256" i="5"/>
  <c r="FE256" i="5"/>
  <c r="FF256" i="5"/>
  <c r="FG256" i="5"/>
  <c r="FH256" i="5"/>
  <c r="FI256" i="5"/>
  <c r="FJ256" i="5"/>
  <c r="FK256" i="5"/>
  <c r="FL256" i="5"/>
  <c r="FM256" i="5"/>
  <c r="FN256" i="5"/>
  <c r="FO256" i="5"/>
  <c r="FP256" i="5"/>
  <c r="FQ256" i="5"/>
  <c r="FR256" i="5"/>
  <c r="FS256" i="5"/>
  <c r="FT256" i="5"/>
  <c r="FU256" i="5"/>
  <c r="FV256" i="5"/>
  <c r="FW256" i="5"/>
  <c r="FX256" i="5"/>
  <c r="FY256" i="5"/>
  <c r="FZ256" i="5"/>
  <c r="GA256" i="5"/>
  <c r="GB256" i="5"/>
  <c r="GC256" i="5"/>
  <c r="GD256" i="5"/>
  <c r="GE256" i="5"/>
  <c r="GF256" i="5"/>
  <c r="GG256" i="5"/>
  <c r="GH256" i="5"/>
  <c r="GI256" i="5"/>
  <c r="GJ256" i="5"/>
  <c r="GK256" i="5"/>
  <c r="GL256" i="5"/>
  <c r="GM256" i="5"/>
  <c r="GN256" i="5"/>
  <c r="GO256" i="5"/>
  <c r="GP256" i="5"/>
  <c r="GQ256" i="5"/>
  <c r="GR256" i="5"/>
  <c r="GS256" i="5"/>
  <c r="GT256" i="5"/>
  <c r="GU256" i="5"/>
  <c r="GV256" i="5"/>
  <c r="GW256" i="5"/>
  <c r="GX256" i="5"/>
  <c r="GY256" i="5"/>
  <c r="GZ256" i="5"/>
  <c r="HA256" i="5"/>
  <c r="HB256" i="5"/>
  <c r="HC256" i="5"/>
  <c r="HD256" i="5"/>
  <c r="HE256" i="5"/>
  <c r="HF256" i="5"/>
  <c r="HG256" i="5"/>
  <c r="HH256" i="5"/>
  <c r="HI256" i="5"/>
  <c r="HJ256" i="5"/>
  <c r="HK256" i="5"/>
  <c r="HL256" i="5"/>
  <c r="HM256" i="5"/>
  <c r="HN256" i="5"/>
  <c r="HO256" i="5"/>
  <c r="HP256" i="5"/>
  <c r="HQ256" i="5"/>
  <c r="HR256" i="5"/>
  <c r="HS256" i="5"/>
  <c r="HT256" i="5"/>
  <c r="HU256" i="5"/>
  <c r="HV256" i="5"/>
  <c r="HW256" i="5"/>
  <c r="HX256" i="5"/>
  <c r="HY256" i="5"/>
  <c r="HZ256" i="5"/>
  <c r="IA256" i="5"/>
  <c r="IB256" i="5"/>
  <c r="IC256" i="5"/>
  <c r="ID256" i="5"/>
  <c r="IE256" i="5"/>
  <c r="IF256" i="5"/>
  <c r="IG256" i="5"/>
  <c r="IH256" i="5"/>
  <c r="II256" i="5"/>
  <c r="IJ256" i="5"/>
  <c r="IK256" i="5"/>
  <c r="IL256" i="5"/>
  <c r="IM256" i="5"/>
  <c r="IN256" i="5"/>
  <c r="IO256" i="5"/>
  <c r="IP256" i="5"/>
  <c r="IQ256" i="5"/>
  <c r="IR256" i="5"/>
  <c r="IS256" i="5"/>
  <c r="IT256" i="5"/>
  <c r="IU256" i="5"/>
  <c r="IV256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AG257" i="5"/>
  <c r="AH257" i="5"/>
  <c r="AI257" i="5"/>
  <c r="AJ257" i="5"/>
  <c r="AK257" i="5"/>
  <c r="AL257" i="5"/>
  <c r="AM257" i="5"/>
  <c r="AN257" i="5"/>
  <c r="AO257" i="5"/>
  <c r="AP257" i="5"/>
  <c r="AQ257" i="5"/>
  <c r="AR257" i="5"/>
  <c r="AS257" i="5"/>
  <c r="AT257" i="5"/>
  <c r="AU257" i="5"/>
  <c r="AV257" i="5"/>
  <c r="AW257" i="5"/>
  <c r="AX257" i="5"/>
  <c r="AY257" i="5"/>
  <c r="AZ257" i="5"/>
  <c r="BA257" i="5"/>
  <c r="BB257" i="5"/>
  <c r="BC257" i="5"/>
  <c r="BD257" i="5"/>
  <c r="BE257" i="5"/>
  <c r="BF257" i="5"/>
  <c r="BG257" i="5"/>
  <c r="BH257" i="5"/>
  <c r="BI257" i="5"/>
  <c r="BJ257" i="5"/>
  <c r="BK257" i="5"/>
  <c r="BL257" i="5"/>
  <c r="BM257" i="5"/>
  <c r="BN257" i="5"/>
  <c r="BO257" i="5"/>
  <c r="BP257" i="5"/>
  <c r="BQ257" i="5"/>
  <c r="BR257" i="5"/>
  <c r="BS257" i="5"/>
  <c r="BT257" i="5"/>
  <c r="BU257" i="5"/>
  <c r="BV257" i="5"/>
  <c r="BW257" i="5"/>
  <c r="BX257" i="5"/>
  <c r="BY257" i="5"/>
  <c r="BZ257" i="5"/>
  <c r="CA257" i="5"/>
  <c r="CB257" i="5"/>
  <c r="CC257" i="5"/>
  <c r="CD257" i="5"/>
  <c r="CE257" i="5"/>
  <c r="CF257" i="5"/>
  <c r="CG257" i="5"/>
  <c r="CH257" i="5"/>
  <c r="CI257" i="5"/>
  <c r="CJ257" i="5"/>
  <c r="CK257" i="5"/>
  <c r="CL257" i="5"/>
  <c r="CM257" i="5"/>
  <c r="CN257" i="5"/>
  <c r="CO257" i="5"/>
  <c r="CP257" i="5"/>
  <c r="CQ257" i="5"/>
  <c r="CR257" i="5"/>
  <c r="CS257" i="5"/>
  <c r="CT257" i="5"/>
  <c r="CU257" i="5"/>
  <c r="CV257" i="5"/>
  <c r="CW257" i="5"/>
  <c r="CX257" i="5"/>
  <c r="CY257" i="5"/>
  <c r="CZ257" i="5"/>
  <c r="DA257" i="5"/>
  <c r="DB257" i="5"/>
  <c r="DC257" i="5"/>
  <c r="DD257" i="5"/>
  <c r="DE257" i="5"/>
  <c r="DF257" i="5"/>
  <c r="DG257" i="5"/>
  <c r="DH257" i="5"/>
  <c r="DI257" i="5"/>
  <c r="DJ257" i="5"/>
  <c r="DK257" i="5"/>
  <c r="DL257" i="5"/>
  <c r="DM257" i="5"/>
  <c r="DN257" i="5"/>
  <c r="DO257" i="5"/>
  <c r="DP257" i="5"/>
  <c r="DQ257" i="5"/>
  <c r="DR257" i="5"/>
  <c r="DS257" i="5"/>
  <c r="DT257" i="5"/>
  <c r="DU257" i="5"/>
  <c r="DV257" i="5"/>
  <c r="DW257" i="5"/>
  <c r="DX257" i="5"/>
  <c r="DY257" i="5"/>
  <c r="DZ257" i="5"/>
  <c r="EA257" i="5"/>
  <c r="EB257" i="5"/>
  <c r="EC257" i="5"/>
  <c r="ED257" i="5"/>
  <c r="EE257" i="5"/>
  <c r="EF257" i="5"/>
  <c r="EG257" i="5"/>
  <c r="EH257" i="5"/>
  <c r="EI257" i="5"/>
  <c r="EJ257" i="5"/>
  <c r="EK257" i="5"/>
  <c r="EL257" i="5"/>
  <c r="EM257" i="5"/>
  <c r="EN257" i="5"/>
  <c r="EO257" i="5"/>
  <c r="EP257" i="5"/>
  <c r="EQ257" i="5"/>
  <c r="ER257" i="5"/>
  <c r="ES257" i="5"/>
  <c r="ET257" i="5"/>
  <c r="EU257" i="5"/>
  <c r="EV257" i="5"/>
  <c r="EW257" i="5"/>
  <c r="EX257" i="5"/>
  <c r="EY257" i="5"/>
  <c r="EZ257" i="5"/>
  <c r="FA257" i="5"/>
  <c r="FB257" i="5"/>
  <c r="FC257" i="5"/>
  <c r="FD257" i="5"/>
  <c r="FE257" i="5"/>
  <c r="FF257" i="5"/>
  <c r="FG257" i="5"/>
  <c r="FH257" i="5"/>
  <c r="FI257" i="5"/>
  <c r="FJ257" i="5"/>
  <c r="FK257" i="5"/>
  <c r="FL257" i="5"/>
  <c r="FM257" i="5"/>
  <c r="FN257" i="5"/>
  <c r="FO257" i="5"/>
  <c r="FP257" i="5"/>
  <c r="FQ257" i="5"/>
  <c r="FR257" i="5"/>
  <c r="FS257" i="5"/>
  <c r="FT257" i="5"/>
  <c r="FU257" i="5"/>
  <c r="FV257" i="5"/>
  <c r="FW257" i="5"/>
  <c r="FX257" i="5"/>
  <c r="FY257" i="5"/>
  <c r="FZ257" i="5"/>
  <c r="GA257" i="5"/>
  <c r="GB257" i="5"/>
  <c r="GC257" i="5"/>
  <c r="GD257" i="5"/>
  <c r="GE257" i="5"/>
  <c r="GF257" i="5"/>
  <c r="GG257" i="5"/>
  <c r="GH257" i="5"/>
  <c r="GI257" i="5"/>
  <c r="GJ257" i="5"/>
  <c r="GK257" i="5"/>
  <c r="GL257" i="5"/>
  <c r="GM257" i="5"/>
  <c r="GN257" i="5"/>
  <c r="GO257" i="5"/>
  <c r="GP257" i="5"/>
  <c r="GQ257" i="5"/>
  <c r="GR257" i="5"/>
  <c r="GS257" i="5"/>
  <c r="GT257" i="5"/>
  <c r="GU257" i="5"/>
  <c r="GV257" i="5"/>
  <c r="GW257" i="5"/>
  <c r="GX257" i="5"/>
  <c r="GY257" i="5"/>
  <c r="GZ257" i="5"/>
  <c r="HA257" i="5"/>
  <c r="HB257" i="5"/>
  <c r="HC257" i="5"/>
  <c r="HD257" i="5"/>
  <c r="HE257" i="5"/>
  <c r="HF257" i="5"/>
  <c r="HG257" i="5"/>
  <c r="HH257" i="5"/>
  <c r="HI257" i="5"/>
  <c r="HJ257" i="5"/>
  <c r="HK257" i="5"/>
  <c r="HL257" i="5"/>
  <c r="HM257" i="5"/>
  <c r="HN257" i="5"/>
  <c r="HO257" i="5"/>
  <c r="HP257" i="5"/>
  <c r="HQ257" i="5"/>
  <c r="HR257" i="5"/>
  <c r="HS257" i="5"/>
  <c r="HT257" i="5"/>
  <c r="HU257" i="5"/>
  <c r="HV257" i="5"/>
  <c r="HW257" i="5"/>
  <c r="HX257" i="5"/>
  <c r="HY257" i="5"/>
  <c r="HZ257" i="5"/>
  <c r="IA257" i="5"/>
  <c r="IB257" i="5"/>
  <c r="IC257" i="5"/>
  <c r="ID257" i="5"/>
  <c r="IE257" i="5"/>
  <c r="IF257" i="5"/>
  <c r="IG257" i="5"/>
  <c r="IH257" i="5"/>
  <c r="II257" i="5"/>
  <c r="IJ257" i="5"/>
  <c r="IK257" i="5"/>
  <c r="IL257" i="5"/>
  <c r="IM257" i="5"/>
  <c r="IN257" i="5"/>
  <c r="IO257" i="5"/>
  <c r="IP257" i="5"/>
  <c r="IQ257" i="5"/>
  <c r="IR257" i="5"/>
  <c r="IS257" i="5"/>
  <c r="IT257" i="5"/>
  <c r="IU257" i="5"/>
  <c r="IV257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AG258" i="5"/>
  <c r="AH258" i="5"/>
  <c r="AI258" i="5"/>
  <c r="AJ258" i="5"/>
  <c r="AK258" i="5"/>
  <c r="AL258" i="5"/>
  <c r="AM258" i="5"/>
  <c r="AN258" i="5"/>
  <c r="AO258" i="5"/>
  <c r="AP258" i="5"/>
  <c r="AQ258" i="5"/>
  <c r="AR258" i="5"/>
  <c r="AS258" i="5"/>
  <c r="AT258" i="5"/>
  <c r="AU258" i="5"/>
  <c r="AV258" i="5"/>
  <c r="AW258" i="5"/>
  <c r="AX258" i="5"/>
  <c r="AY258" i="5"/>
  <c r="AZ258" i="5"/>
  <c r="BA258" i="5"/>
  <c r="BB258" i="5"/>
  <c r="BC258" i="5"/>
  <c r="BD258" i="5"/>
  <c r="BE258" i="5"/>
  <c r="BF258" i="5"/>
  <c r="BG258" i="5"/>
  <c r="BH258" i="5"/>
  <c r="BI258" i="5"/>
  <c r="BJ258" i="5"/>
  <c r="BK258" i="5"/>
  <c r="BL258" i="5"/>
  <c r="BM258" i="5"/>
  <c r="BN258" i="5"/>
  <c r="BO258" i="5"/>
  <c r="BP258" i="5"/>
  <c r="BQ258" i="5"/>
  <c r="BR258" i="5"/>
  <c r="BS258" i="5"/>
  <c r="BT258" i="5"/>
  <c r="BU258" i="5"/>
  <c r="BV258" i="5"/>
  <c r="BW258" i="5"/>
  <c r="BX258" i="5"/>
  <c r="BY258" i="5"/>
  <c r="BZ258" i="5"/>
  <c r="CA258" i="5"/>
  <c r="CB258" i="5"/>
  <c r="CC258" i="5"/>
  <c r="CD258" i="5"/>
  <c r="CE258" i="5"/>
  <c r="CF258" i="5"/>
  <c r="CG258" i="5"/>
  <c r="CH258" i="5"/>
  <c r="CI258" i="5"/>
  <c r="CJ258" i="5"/>
  <c r="CK258" i="5"/>
  <c r="CL258" i="5"/>
  <c r="CM258" i="5"/>
  <c r="CN258" i="5"/>
  <c r="CO258" i="5"/>
  <c r="CP258" i="5"/>
  <c r="CQ258" i="5"/>
  <c r="CR258" i="5"/>
  <c r="CS258" i="5"/>
  <c r="CT258" i="5"/>
  <c r="CU258" i="5"/>
  <c r="CV258" i="5"/>
  <c r="FN250" i="5"/>
  <c r="FO250" i="5"/>
  <c r="FP250" i="5"/>
  <c r="FQ250" i="5"/>
  <c r="FR250" i="5"/>
  <c r="FS250" i="5"/>
  <c r="FT250" i="5"/>
  <c r="FU250" i="5"/>
  <c r="FV250" i="5"/>
  <c r="FW250" i="5"/>
  <c r="FX250" i="5"/>
  <c r="FY250" i="5"/>
  <c r="FZ250" i="5"/>
  <c r="GA250" i="5"/>
  <c r="GB250" i="5"/>
  <c r="GC250" i="5"/>
  <c r="GD250" i="5"/>
  <c r="GE250" i="5"/>
  <c r="GF250" i="5"/>
  <c r="GG250" i="5"/>
  <c r="GH250" i="5"/>
  <c r="GI250" i="5"/>
  <c r="GJ250" i="5"/>
  <c r="GK250" i="5"/>
  <c r="GL250" i="5"/>
  <c r="GM250" i="5"/>
  <c r="GN250" i="5"/>
  <c r="GO250" i="5"/>
  <c r="GP250" i="5"/>
  <c r="GQ250" i="5"/>
  <c r="GR250" i="5"/>
  <c r="GS250" i="5"/>
  <c r="GT250" i="5"/>
  <c r="GU250" i="5"/>
  <c r="GV250" i="5"/>
  <c r="GW250" i="5"/>
  <c r="GX250" i="5"/>
  <c r="GY250" i="5"/>
  <c r="GZ250" i="5"/>
  <c r="HA250" i="5"/>
  <c r="HB250" i="5"/>
  <c r="HC250" i="5"/>
  <c r="HD250" i="5"/>
  <c r="HE250" i="5"/>
  <c r="HF250" i="5"/>
  <c r="HG250" i="5"/>
  <c r="HH250" i="5"/>
  <c r="HI250" i="5"/>
  <c r="HJ250" i="5"/>
  <c r="HK250" i="5"/>
  <c r="HL250" i="5"/>
  <c r="HM250" i="5"/>
  <c r="HN250" i="5"/>
  <c r="HO250" i="5"/>
  <c r="HP250" i="5"/>
  <c r="HQ250" i="5"/>
  <c r="HR250" i="5"/>
  <c r="HS250" i="5"/>
  <c r="HT250" i="5"/>
  <c r="HU250" i="5"/>
  <c r="HV250" i="5"/>
  <c r="HW250" i="5"/>
  <c r="HX250" i="5"/>
  <c r="HY250" i="5"/>
  <c r="HZ250" i="5"/>
  <c r="IA250" i="5"/>
  <c r="IB250" i="5"/>
  <c r="IC250" i="5"/>
  <c r="ID250" i="5"/>
  <c r="IE250" i="5"/>
  <c r="IF250" i="5"/>
  <c r="IG250" i="5"/>
  <c r="IH250" i="5"/>
  <c r="II250" i="5"/>
  <c r="IJ250" i="5"/>
  <c r="IK250" i="5"/>
  <c r="IL250" i="5"/>
  <c r="IM250" i="5"/>
  <c r="IN250" i="5"/>
  <c r="IO250" i="5"/>
  <c r="IP250" i="5"/>
  <c r="IQ250" i="5"/>
  <c r="IR250" i="5"/>
  <c r="IS250" i="5"/>
  <c r="IT250" i="5"/>
  <c r="IU250" i="5"/>
  <c r="IV250" i="5"/>
  <c r="BG2" i="9"/>
  <c r="BF2" i="9"/>
  <c r="BE2" i="9"/>
  <c r="BD2" i="9"/>
  <c r="BC2" i="9"/>
  <c r="BG1" i="9"/>
  <c r="BF1" i="9"/>
  <c r="BE1" i="9"/>
  <c r="BD1" i="9"/>
  <c r="BC1" i="9"/>
  <c r="AZ2" i="9"/>
  <c r="AY2" i="9"/>
  <c r="AX2" i="9"/>
  <c r="AW2" i="9"/>
  <c r="AV2" i="9"/>
  <c r="AZ1" i="9"/>
  <c r="AY1" i="9"/>
  <c r="AX1" i="9"/>
  <c r="AW1" i="9"/>
  <c r="AV1" i="9"/>
  <c r="AS2" i="9"/>
  <c r="AR2" i="9"/>
  <c r="AQ2" i="9"/>
  <c r="AP2" i="9"/>
  <c r="AO2" i="9"/>
  <c r="AS1" i="9"/>
  <c r="AR1" i="9"/>
  <c r="AQ1" i="9"/>
  <c r="AP1" i="9"/>
  <c r="AO1" i="9"/>
  <c r="AL2" i="9"/>
  <c r="AK2" i="9"/>
  <c r="AJ2" i="9"/>
  <c r="AI2" i="9"/>
  <c r="AH2" i="9"/>
  <c r="AL1" i="9"/>
  <c r="AK1" i="9"/>
  <c r="AJ1" i="9"/>
  <c r="AI1" i="9"/>
  <c r="AH1" i="9"/>
  <c r="AE2" i="9"/>
  <c r="AD2" i="9"/>
  <c r="AC2" i="9"/>
  <c r="AB2" i="9"/>
  <c r="AA2" i="9"/>
  <c r="AE1" i="9"/>
  <c r="AD1" i="9"/>
  <c r="AC1" i="9"/>
  <c r="AB1" i="9"/>
  <c r="AA1" i="9"/>
  <c r="U1" i="9"/>
  <c r="V1" i="9"/>
  <c r="W1" i="9"/>
  <c r="X1" i="9"/>
  <c r="U2" i="9"/>
  <c r="V2" i="9"/>
  <c r="W2" i="9"/>
  <c r="X2" i="9"/>
  <c r="T2" i="9"/>
  <c r="T1" i="9"/>
  <c r="J18" i="11" l="1"/>
  <c r="J34" i="11"/>
  <c r="J50" i="11"/>
  <c r="J66" i="11"/>
  <c r="J3" i="11"/>
  <c r="J19" i="11"/>
  <c r="J35" i="11"/>
  <c r="J51" i="11"/>
  <c r="J67" i="11"/>
  <c r="J4" i="11"/>
  <c r="J20" i="11"/>
  <c r="J36" i="11"/>
  <c r="J52" i="11"/>
  <c r="J68" i="11"/>
  <c r="J5" i="11"/>
  <c r="J21" i="11"/>
  <c r="J37" i="11"/>
  <c r="J53" i="11"/>
  <c r="J69" i="11"/>
  <c r="J6" i="11"/>
  <c r="J22" i="11"/>
  <c r="J38" i="11"/>
  <c r="J54" i="11"/>
  <c r="J70" i="11"/>
  <c r="J7" i="11"/>
  <c r="J23" i="11"/>
  <c r="J39" i="11"/>
  <c r="J55" i="11"/>
  <c r="J71" i="11"/>
  <c r="J8" i="11"/>
  <c r="J24" i="11"/>
  <c r="J40" i="11"/>
  <c r="J56" i="11"/>
  <c r="J72" i="11"/>
  <c r="J9" i="11"/>
  <c r="J25" i="11"/>
  <c r="J41" i="11"/>
  <c r="J57" i="11"/>
  <c r="J73" i="11"/>
  <c r="J10" i="11"/>
  <c r="J26" i="11"/>
  <c r="J42" i="11"/>
  <c r="J58" i="11"/>
  <c r="J74" i="11"/>
  <c r="J11" i="11"/>
  <c r="J27" i="11"/>
  <c r="J43" i="11"/>
  <c r="J59" i="11"/>
  <c r="J75" i="11"/>
  <c r="J12" i="11"/>
  <c r="J28" i="11"/>
  <c r="J44" i="11"/>
  <c r="J60" i="11"/>
  <c r="J76" i="11"/>
  <c r="J13" i="11"/>
  <c r="J29" i="11"/>
  <c r="J45" i="11"/>
  <c r="J61" i="11"/>
  <c r="J77" i="11"/>
  <c r="J14" i="11"/>
  <c r="J30" i="11"/>
  <c r="J46" i="11"/>
  <c r="J62" i="11"/>
  <c r="J78" i="11"/>
  <c r="J15" i="11"/>
  <c r="J31" i="11"/>
  <c r="J47" i="11"/>
  <c r="J63" i="11"/>
  <c r="J79" i="11"/>
  <c r="J16" i="11"/>
  <c r="J32" i="11"/>
  <c r="J48" i="11"/>
  <c r="J64" i="11"/>
  <c r="J80" i="11"/>
  <c r="J17" i="11"/>
  <c r="J33" i="11"/>
  <c r="J49" i="11"/>
  <c r="J65" i="11"/>
  <c r="J81" i="11"/>
  <c r="J2" i="11"/>
  <c r="F248" i="5" l="1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AJ248" i="5"/>
  <c r="AK248" i="5"/>
  <c r="AL248" i="5"/>
  <c r="AM248" i="5"/>
  <c r="AN248" i="5"/>
  <c r="AO248" i="5"/>
  <c r="AP248" i="5"/>
  <c r="AQ248" i="5"/>
  <c r="AR248" i="5"/>
  <c r="AS248" i="5"/>
  <c r="AT248" i="5"/>
  <c r="AU248" i="5"/>
  <c r="AV248" i="5"/>
  <c r="AW248" i="5"/>
  <c r="AX248" i="5"/>
  <c r="AY248" i="5"/>
  <c r="AZ248" i="5"/>
  <c r="BA248" i="5"/>
  <c r="BB248" i="5"/>
  <c r="BC248" i="5"/>
  <c r="BD248" i="5"/>
  <c r="BE248" i="5"/>
  <c r="BF248" i="5"/>
  <c r="BG248" i="5"/>
  <c r="BH248" i="5"/>
  <c r="BI248" i="5"/>
  <c r="BJ248" i="5"/>
  <c r="BK248" i="5"/>
  <c r="BL248" i="5"/>
  <c r="BM248" i="5"/>
  <c r="BN248" i="5"/>
  <c r="BO248" i="5"/>
  <c r="BP248" i="5"/>
  <c r="BQ248" i="5"/>
  <c r="BR248" i="5"/>
  <c r="BS248" i="5"/>
  <c r="BT248" i="5"/>
  <c r="BU248" i="5"/>
  <c r="BV248" i="5"/>
  <c r="BW248" i="5"/>
  <c r="BX248" i="5"/>
  <c r="BY248" i="5"/>
  <c r="BZ248" i="5"/>
  <c r="CA248" i="5"/>
  <c r="CB248" i="5"/>
  <c r="CC248" i="5"/>
  <c r="CD248" i="5"/>
  <c r="CE248" i="5"/>
  <c r="CF248" i="5"/>
  <c r="CG248" i="5"/>
  <c r="CH248" i="5"/>
  <c r="CI248" i="5"/>
  <c r="CJ248" i="5"/>
  <c r="CK248" i="5"/>
  <c r="CL248" i="5"/>
  <c r="CM248" i="5"/>
  <c r="CN248" i="5"/>
  <c r="CO248" i="5"/>
  <c r="CP248" i="5"/>
  <c r="CQ248" i="5"/>
  <c r="CR248" i="5"/>
  <c r="CS248" i="5"/>
  <c r="CT248" i="5"/>
  <c r="CU248" i="5"/>
  <c r="CV248" i="5"/>
  <c r="CW248" i="5"/>
  <c r="CX248" i="5"/>
  <c r="CY248" i="5"/>
  <c r="CZ248" i="5"/>
  <c r="DA248" i="5"/>
  <c r="DB248" i="5"/>
  <c r="DC248" i="5"/>
  <c r="DD248" i="5"/>
  <c r="DE248" i="5"/>
  <c r="DF248" i="5"/>
  <c r="DG248" i="5"/>
  <c r="DH248" i="5"/>
  <c r="DI248" i="5"/>
  <c r="DJ248" i="5"/>
  <c r="DK248" i="5"/>
  <c r="DL248" i="5"/>
  <c r="DM248" i="5"/>
  <c r="DN248" i="5"/>
  <c r="DO248" i="5"/>
  <c r="DP248" i="5"/>
  <c r="DQ248" i="5"/>
  <c r="DR248" i="5"/>
  <c r="DS248" i="5"/>
  <c r="DT248" i="5"/>
  <c r="DU248" i="5"/>
  <c r="DV248" i="5"/>
  <c r="DW248" i="5"/>
  <c r="DX248" i="5"/>
  <c r="DY248" i="5"/>
  <c r="DZ248" i="5"/>
  <c r="EA248" i="5"/>
  <c r="EB248" i="5"/>
  <c r="EC248" i="5"/>
  <c r="ED248" i="5"/>
  <c r="EE248" i="5"/>
  <c r="EF248" i="5"/>
  <c r="EG248" i="5"/>
  <c r="EH248" i="5"/>
  <c r="EI248" i="5"/>
  <c r="EJ248" i="5"/>
  <c r="EK248" i="5"/>
  <c r="EL248" i="5"/>
  <c r="EM248" i="5"/>
  <c r="EN248" i="5"/>
  <c r="EO248" i="5"/>
  <c r="EP248" i="5"/>
  <c r="EQ248" i="5"/>
  <c r="ER248" i="5"/>
  <c r="ES248" i="5"/>
  <c r="ET248" i="5"/>
  <c r="EU248" i="5"/>
  <c r="EV248" i="5"/>
  <c r="EW248" i="5"/>
  <c r="EX248" i="5"/>
  <c r="EY248" i="5"/>
  <c r="EZ248" i="5"/>
  <c r="FA248" i="5"/>
  <c r="FB248" i="5"/>
  <c r="FC248" i="5"/>
  <c r="FD248" i="5"/>
  <c r="FE248" i="5"/>
  <c r="FF248" i="5"/>
  <c r="FG248" i="5"/>
  <c r="FH248" i="5"/>
  <c r="FI248" i="5"/>
  <c r="FJ248" i="5"/>
  <c r="FK248" i="5"/>
  <c r="FL248" i="5"/>
  <c r="FM248" i="5"/>
  <c r="FN248" i="5"/>
  <c r="FO248" i="5"/>
  <c r="FP248" i="5"/>
  <c r="FQ248" i="5"/>
  <c r="FR248" i="5"/>
  <c r="FS248" i="5"/>
  <c r="FT248" i="5"/>
  <c r="FU248" i="5"/>
  <c r="FV248" i="5"/>
  <c r="FW248" i="5"/>
  <c r="FX248" i="5"/>
  <c r="FY248" i="5"/>
  <c r="FZ248" i="5"/>
  <c r="GA248" i="5"/>
  <c r="GB248" i="5"/>
  <c r="GC248" i="5"/>
  <c r="GD248" i="5"/>
  <c r="GE248" i="5"/>
  <c r="GF248" i="5"/>
  <c r="GG248" i="5"/>
  <c r="GH248" i="5"/>
  <c r="GI248" i="5"/>
  <c r="GJ248" i="5"/>
  <c r="GK248" i="5"/>
  <c r="GL248" i="5"/>
  <c r="GM248" i="5"/>
  <c r="GN248" i="5"/>
  <c r="GO248" i="5"/>
  <c r="GP248" i="5"/>
  <c r="GQ248" i="5"/>
  <c r="GR248" i="5"/>
  <c r="GS248" i="5"/>
  <c r="GT248" i="5"/>
  <c r="GU248" i="5"/>
  <c r="GV248" i="5"/>
  <c r="GW248" i="5"/>
  <c r="GX248" i="5"/>
  <c r="GY248" i="5"/>
  <c r="GZ248" i="5"/>
  <c r="HA248" i="5"/>
  <c r="HB248" i="5"/>
  <c r="HC248" i="5"/>
  <c r="HD248" i="5"/>
  <c r="HE248" i="5"/>
  <c r="HF248" i="5"/>
  <c r="HG248" i="5"/>
  <c r="HH248" i="5"/>
  <c r="HI248" i="5"/>
  <c r="HJ248" i="5"/>
  <c r="HK248" i="5"/>
  <c r="HL248" i="5"/>
  <c r="HM248" i="5"/>
  <c r="HN248" i="5"/>
  <c r="HO248" i="5"/>
  <c r="HP248" i="5"/>
  <c r="HQ248" i="5"/>
  <c r="HR248" i="5"/>
  <c r="HS248" i="5"/>
  <c r="HT248" i="5"/>
  <c r="HU248" i="5"/>
  <c r="HV248" i="5"/>
  <c r="HW248" i="5"/>
  <c r="HX248" i="5"/>
  <c r="HY248" i="5"/>
  <c r="HZ248" i="5"/>
  <c r="IA248" i="5"/>
  <c r="IB248" i="5"/>
  <c r="IC248" i="5"/>
  <c r="ID248" i="5"/>
  <c r="IE248" i="5"/>
  <c r="IF248" i="5"/>
  <c r="IG248" i="5"/>
  <c r="IH248" i="5"/>
  <c r="II248" i="5"/>
  <c r="IJ248" i="5"/>
  <c r="IK248" i="5"/>
  <c r="IL248" i="5"/>
  <c r="IM248" i="5"/>
  <c r="IN248" i="5"/>
  <c r="IO248" i="5"/>
  <c r="IP248" i="5"/>
  <c r="IQ248" i="5"/>
  <c r="IR248" i="5"/>
  <c r="IS248" i="5"/>
  <c r="IT248" i="5"/>
  <c r="IU248" i="5"/>
  <c r="IV248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AG249" i="5"/>
  <c r="AH249" i="5"/>
  <c r="AI249" i="5"/>
  <c r="AJ249" i="5"/>
  <c r="AK249" i="5"/>
  <c r="AL249" i="5"/>
  <c r="AM249" i="5"/>
  <c r="AN249" i="5"/>
  <c r="AO249" i="5"/>
  <c r="AP249" i="5"/>
  <c r="AQ249" i="5"/>
  <c r="AR249" i="5"/>
  <c r="AS249" i="5"/>
  <c r="AT249" i="5"/>
  <c r="AU249" i="5"/>
  <c r="AV249" i="5"/>
  <c r="AW249" i="5"/>
  <c r="AX249" i="5"/>
  <c r="AY249" i="5"/>
  <c r="AZ249" i="5"/>
  <c r="BA249" i="5"/>
  <c r="BB249" i="5"/>
  <c r="BC249" i="5"/>
  <c r="BD249" i="5"/>
  <c r="BE249" i="5"/>
  <c r="BF249" i="5"/>
  <c r="BG249" i="5"/>
  <c r="BH249" i="5"/>
  <c r="BI249" i="5"/>
  <c r="BJ249" i="5"/>
  <c r="BK249" i="5"/>
  <c r="BL249" i="5"/>
  <c r="BM249" i="5"/>
  <c r="BN249" i="5"/>
  <c r="BO249" i="5"/>
  <c r="BP249" i="5"/>
  <c r="BQ249" i="5"/>
  <c r="BR249" i="5"/>
  <c r="BS249" i="5"/>
  <c r="BT249" i="5"/>
  <c r="BU249" i="5"/>
  <c r="BV249" i="5"/>
  <c r="BW249" i="5"/>
  <c r="BX249" i="5"/>
  <c r="BY249" i="5"/>
  <c r="BZ249" i="5"/>
  <c r="CA249" i="5"/>
  <c r="CB249" i="5"/>
  <c r="CC249" i="5"/>
  <c r="CD249" i="5"/>
  <c r="CE249" i="5"/>
  <c r="CF249" i="5"/>
  <c r="CG249" i="5"/>
  <c r="CH249" i="5"/>
  <c r="CI249" i="5"/>
  <c r="CJ249" i="5"/>
  <c r="CK249" i="5"/>
  <c r="CL249" i="5"/>
  <c r="CM249" i="5"/>
  <c r="CN249" i="5"/>
  <c r="CO249" i="5"/>
  <c r="CP249" i="5"/>
  <c r="CQ249" i="5"/>
  <c r="CR249" i="5"/>
  <c r="CS249" i="5"/>
  <c r="CT249" i="5"/>
  <c r="CU249" i="5"/>
  <c r="CV249" i="5"/>
  <c r="CW249" i="5"/>
  <c r="CX249" i="5"/>
  <c r="CY249" i="5"/>
  <c r="CZ249" i="5"/>
  <c r="DA249" i="5"/>
  <c r="DB249" i="5"/>
  <c r="DC249" i="5"/>
  <c r="DD249" i="5"/>
  <c r="DE249" i="5"/>
  <c r="DF249" i="5"/>
  <c r="DG249" i="5"/>
  <c r="DH249" i="5"/>
  <c r="DI249" i="5"/>
  <c r="DJ249" i="5"/>
  <c r="DK249" i="5"/>
  <c r="DL249" i="5"/>
  <c r="DM249" i="5"/>
  <c r="DN249" i="5"/>
  <c r="DO249" i="5"/>
  <c r="DP249" i="5"/>
  <c r="DQ249" i="5"/>
  <c r="DR249" i="5"/>
  <c r="DS249" i="5"/>
  <c r="DT249" i="5"/>
  <c r="DU249" i="5"/>
  <c r="DV249" i="5"/>
  <c r="DW249" i="5"/>
  <c r="DX249" i="5"/>
  <c r="DY249" i="5"/>
  <c r="DZ249" i="5"/>
  <c r="EA249" i="5"/>
  <c r="EB249" i="5"/>
  <c r="EC249" i="5"/>
  <c r="ED249" i="5"/>
  <c r="EE249" i="5"/>
  <c r="EF249" i="5"/>
  <c r="EG249" i="5"/>
  <c r="EH249" i="5"/>
  <c r="EI249" i="5"/>
  <c r="EJ249" i="5"/>
  <c r="EK249" i="5"/>
  <c r="EL249" i="5"/>
  <c r="EM249" i="5"/>
  <c r="EN249" i="5"/>
  <c r="EO249" i="5"/>
  <c r="EP249" i="5"/>
  <c r="EQ249" i="5"/>
  <c r="ER249" i="5"/>
  <c r="ES249" i="5"/>
  <c r="ET249" i="5"/>
  <c r="EU249" i="5"/>
  <c r="EV249" i="5"/>
  <c r="EW249" i="5"/>
  <c r="EX249" i="5"/>
  <c r="EY249" i="5"/>
  <c r="EZ249" i="5"/>
  <c r="FA249" i="5"/>
  <c r="FB249" i="5"/>
  <c r="FC249" i="5"/>
  <c r="FD249" i="5"/>
  <c r="FE249" i="5"/>
  <c r="FF249" i="5"/>
  <c r="FG249" i="5"/>
  <c r="FH249" i="5"/>
  <c r="FI249" i="5"/>
  <c r="FJ249" i="5"/>
  <c r="FK249" i="5"/>
  <c r="FL249" i="5"/>
  <c r="FM249" i="5"/>
  <c r="FN249" i="5"/>
  <c r="FO249" i="5"/>
  <c r="FP249" i="5"/>
  <c r="FQ249" i="5"/>
  <c r="FR249" i="5"/>
  <c r="FS249" i="5"/>
  <c r="FT249" i="5"/>
  <c r="FU249" i="5"/>
  <c r="FV249" i="5"/>
  <c r="FW249" i="5"/>
  <c r="FX249" i="5"/>
  <c r="FY249" i="5"/>
  <c r="FZ249" i="5"/>
  <c r="GA249" i="5"/>
  <c r="GB249" i="5"/>
  <c r="GC249" i="5"/>
  <c r="GD249" i="5"/>
  <c r="GE249" i="5"/>
  <c r="GF249" i="5"/>
  <c r="GG249" i="5"/>
  <c r="GH249" i="5"/>
  <c r="GI249" i="5"/>
  <c r="GJ249" i="5"/>
  <c r="GK249" i="5"/>
  <c r="GL249" i="5"/>
  <c r="GM249" i="5"/>
  <c r="GN249" i="5"/>
  <c r="GO249" i="5"/>
  <c r="GP249" i="5"/>
  <c r="GQ249" i="5"/>
  <c r="GR249" i="5"/>
  <c r="GS249" i="5"/>
  <c r="GT249" i="5"/>
  <c r="GU249" i="5"/>
  <c r="GV249" i="5"/>
  <c r="GW249" i="5"/>
  <c r="GX249" i="5"/>
  <c r="GY249" i="5"/>
  <c r="GZ249" i="5"/>
  <c r="HA249" i="5"/>
  <c r="HB249" i="5"/>
  <c r="HC249" i="5"/>
  <c r="HD249" i="5"/>
  <c r="HE249" i="5"/>
  <c r="HF249" i="5"/>
  <c r="HG249" i="5"/>
  <c r="HH249" i="5"/>
  <c r="HI249" i="5"/>
  <c r="HJ249" i="5"/>
  <c r="HK249" i="5"/>
  <c r="HL249" i="5"/>
  <c r="HM249" i="5"/>
  <c r="HN249" i="5"/>
  <c r="HO249" i="5"/>
  <c r="HP249" i="5"/>
  <c r="HQ249" i="5"/>
  <c r="HR249" i="5"/>
  <c r="HS249" i="5"/>
  <c r="HT249" i="5"/>
  <c r="HU249" i="5"/>
  <c r="HV249" i="5"/>
  <c r="HW249" i="5"/>
  <c r="HX249" i="5"/>
  <c r="HY249" i="5"/>
  <c r="HZ249" i="5"/>
  <c r="IA249" i="5"/>
  <c r="IB249" i="5"/>
  <c r="IC249" i="5"/>
  <c r="ID249" i="5"/>
  <c r="IE249" i="5"/>
  <c r="IF249" i="5"/>
  <c r="IG249" i="5"/>
  <c r="IH249" i="5"/>
  <c r="II249" i="5"/>
  <c r="IJ249" i="5"/>
  <c r="IK249" i="5"/>
  <c r="IL249" i="5"/>
  <c r="IM249" i="5"/>
  <c r="IN249" i="5"/>
  <c r="IO249" i="5"/>
  <c r="IP249" i="5"/>
  <c r="IQ249" i="5"/>
  <c r="IR249" i="5"/>
  <c r="IS249" i="5"/>
  <c r="IT249" i="5"/>
  <c r="IU249" i="5"/>
  <c r="IV249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AJ250" i="5"/>
  <c r="AK250" i="5"/>
  <c r="AL250" i="5"/>
  <c r="AM250" i="5"/>
  <c r="AN250" i="5"/>
  <c r="AO250" i="5"/>
  <c r="AP250" i="5"/>
  <c r="AQ250" i="5"/>
  <c r="AR250" i="5"/>
  <c r="AS250" i="5"/>
  <c r="AT250" i="5"/>
  <c r="AU250" i="5"/>
  <c r="AV250" i="5"/>
  <c r="AW250" i="5"/>
  <c r="AX250" i="5"/>
  <c r="AY250" i="5"/>
  <c r="AZ250" i="5"/>
  <c r="BA250" i="5"/>
  <c r="BB250" i="5"/>
  <c r="BC250" i="5"/>
  <c r="BD250" i="5"/>
  <c r="BE250" i="5"/>
  <c r="BF250" i="5"/>
  <c r="BG250" i="5"/>
  <c r="BH250" i="5"/>
  <c r="BI250" i="5"/>
  <c r="BJ250" i="5"/>
  <c r="BK250" i="5"/>
  <c r="BL250" i="5"/>
  <c r="BM250" i="5"/>
  <c r="BN250" i="5"/>
  <c r="BO250" i="5"/>
  <c r="BP250" i="5"/>
  <c r="BQ250" i="5"/>
  <c r="BR250" i="5"/>
  <c r="BS250" i="5"/>
  <c r="BT250" i="5"/>
  <c r="BU250" i="5"/>
  <c r="BV250" i="5"/>
  <c r="BW250" i="5"/>
  <c r="BX250" i="5"/>
  <c r="BY250" i="5"/>
  <c r="BZ250" i="5"/>
  <c r="CA250" i="5"/>
  <c r="CB250" i="5"/>
  <c r="CC250" i="5"/>
  <c r="CD250" i="5"/>
  <c r="CE250" i="5"/>
  <c r="CF250" i="5"/>
  <c r="CG250" i="5"/>
  <c r="CH250" i="5"/>
  <c r="CI250" i="5"/>
  <c r="CJ250" i="5"/>
  <c r="CK250" i="5"/>
  <c r="CL250" i="5"/>
  <c r="CM250" i="5"/>
  <c r="CN250" i="5"/>
  <c r="CP250" i="5"/>
  <c r="CQ250" i="5"/>
  <c r="CR250" i="5"/>
  <c r="CS250" i="5"/>
  <c r="CU250" i="5"/>
  <c r="CV250" i="5"/>
  <c r="CW250" i="5"/>
  <c r="CX250" i="5"/>
  <c r="CZ250" i="5"/>
  <c r="DA250" i="5"/>
  <c r="DB250" i="5"/>
  <c r="DC250" i="5"/>
  <c r="DE250" i="5"/>
  <c r="DF250" i="5"/>
  <c r="DG250" i="5"/>
  <c r="DH250" i="5"/>
  <c r="DJ250" i="5"/>
  <c r="DK250" i="5"/>
  <c r="DL250" i="5"/>
  <c r="DN250" i="5"/>
  <c r="DO250" i="5"/>
  <c r="DP250" i="5"/>
  <c r="DR250" i="5"/>
  <c r="DS250" i="5"/>
  <c r="DT250" i="5"/>
  <c r="DV250" i="5"/>
  <c r="DW250" i="5"/>
  <c r="DX250" i="5"/>
  <c r="DZ250" i="5"/>
  <c r="EA250" i="5"/>
  <c r="EB250" i="5"/>
  <c r="ED250" i="5"/>
  <c r="EE250" i="5"/>
  <c r="EF250" i="5"/>
  <c r="EH250" i="5"/>
  <c r="EI250" i="5"/>
  <c r="EJ250" i="5"/>
  <c r="EL250" i="5"/>
  <c r="EM250" i="5"/>
  <c r="EN250" i="5"/>
  <c r="EP250" i="5"/>
  <c r="EQ250" i="5"/>
  <c r="ER250" i="5"/>
  <c r="ET250" i="5"/>
  <c r="EU250" i="5"/>
  <c r="EV250" i="5"/>
  <c r="EX250" i="5"/>
  <c r="EY250" i="5"/>
  <c r="EZ250" i="5"/>
  <c r="FB250" i="5"/>
  <c r="FC250" i="5"/>
  <c r="FD250" i="5"/>
  <c r="FF250" i="5"/>
  <c r="FG250" i="5"/>
  <c r="FI250" i="5"/>
  <c r="FK250" i="5"/>
  <c r="FM250" i="5"/>
  <c r="DH247" i="5"/>
  <c r="DI247" i="5"/>
  <c r="DJ247" i="5"/>
  <c r="DK247" i="5"/>
  <c r="DL247" i="5"/>
  <c r="DM247" i="5"/>
  <c r="DN247" i="5"/>
  <c r="DO247" i="5"/>
  <c r="DP247" i="5"/>
  <c r="DQ247" i="5"/>
  <c r="DR247" i="5"/>
  <c r="DS247" i="5"/>
  <c r="DT247" i="5"/>
  <c r="DU247" i="5"/>
  <c r="DV247" i="5"/>
  <c r="DW247" i="5"/>
  <c r="DX247" i="5"/>
  <c r="DY247" i="5"/>
  <c r="DZ247" i="5"/>
  <c r="EA247" i="5"/>
  <c r="EB247" i="5"/>
  <c r="EC247" i="5"/>
  <c r="ED247" i="5"/>
  <c r="EE247" i="5"/>
  <c r="EF247" i="5"/>
  <c r="EG247" i="5"/>
  <c r="EH247" i="5"/>
  <c r="EI247" i="5"/>
  <c r="EJ247" i="5"/>
  <c r="EK247" i="5"/>
  <c r="EL247" i="5"/>
  <c r="EM247" i="5"/>
  <c r="EN247" i="5"/>
  <c r="EO247" i="5"/>
  <c r="EP247" i="5"/>
  <c r="EQ247" i="5"/>
  <c r="ER247" i="5"/>
  <c r="ES247" i="5"/>
  <c r="ET247" i="5"/>
  <c r="EU247" i="5"/>
  <c r="EV247" i="5"/>
  <c r="EW247" i="5"/>
  <c r="EX247" i="5"/>
  <c r="EY247" i="5"/>
  <c r="EZ247" i="5"/>
  <c r="FA247" i="5"/>
  <c r="FB247" i="5"/>
  <c r="FC247" i="5"/>
  <c r="FD247" i="5"/>
  <c r="FE247" i="5"/>
  <c r="FF247" i="5"/>
  <c r="FG247" i="5"/>
  <c r="FH247" i="5"/>
  <c r="FI247" i="5"/>
  <c r="FJ247" i="5"/>
  <c r="FK247" i="5"/>
  <c r="FL247" i="5"/>
  <c r="FM247" i="5"/>
  <c r="FN247" i="5"/>
  <c r="FO247" i="5"/>
  <c r="FP247" i="5"/>
  <c r="FQ247" i="5"/>
  <c r="FR247" i="5"/>
  <c r="FS247" i="5"/>
  <c r="FT247" i="5"/>
  <c r="FU247" i="5"/>
  <c r="FV247" i="5"/>
  <c r="FW247" i="5"/>
  <c r="FX247" i="5"/>
  <c r="FY247" i="5"/>
  <c r="FZ247" i="5"/>
  <c r="GA247" i="5"/>
  <c r="GB247" i="5"/>
  <c r="GC247" i="5"/>
  <c r="GD247" i="5"/>
  <c r="GE247" i="5"/>
  <c r="GF247" i="5"/>
  <c r="GG247" i="5"/>
  <c r="GH247" i="5"/>
  <c r="GI247" i="5"/>
  <c r="GJ247" i="5"/>
  <c r="GK247" i="5"/>
  <c r="GL247" i="5"/>
  <c r="GM247" i="5"/>
  <c r="GN247" i="5"/>
  <c r="GO247" i="5"/>
  <c r="GP247" i="5"/>
  <c r="GQ247" i="5"/>
  <c r="GR247" i="5"/>
  <c r="GS247" i="5"/>
  <c r="GT247" i="5"/>
  <c r="GU247" i="5"/>
  <c r="GV247" i="5"/>
  <c r="GW247" i="5"/>
  <c r="GX247" i="5"/>
  <c r="GY247" i="5"/>
  <c r="GZ247" i="5"/>
  <c r="HA247" i="5"/>
  <c r="HB247" i="5"/>
  <c r="HC247" i="5"/>
  <c r="HD247" i="5"/>
  <c r="HE247" i="5"/>
  <c r="HF247" i="5"/>
  <c r="HG247" i="5"/>
  <c r="HH247" i="5"/>
  <c r="HI247" i="5"/>
  <c r="HJ247" i="5"/>
  <c r="HK247" i="5"/>
  <c r="HL247" i="5"/>
  <c r="HM247" i="5"/>
  <c r="HN247" i="5"/>
  <c r="HO247" i="5"/>
  <c r="HP247" i="5"/>
  <c r="HQ247" i="5"/>
  <c r="HR247" i="5"/>
  <c r="HS247" i="5"/>
  <c r="HT247" i="5"/>
  <c r="HU247" i="5"/>
  <c r="HV247" i="5"/>
  <c r="HW247" i="5"/>
  <c r="HX247" i="5"/>
  <c r="HY247" i="5"/>
  <c r="HZ247" i="5"/>
  <c r="IA247" i="5"/>
  <c r="IB247" i="5"/>
  <c r="IC247" i="5"/>
  <c r="ID247" i="5"/>
  <c r="IE247" i="5"/>
  <c r="IF247" i="5"/>
  <c r="IG247" i="5"/>
  <c r="IH247" i="5"/>
  <c r="II247" i="5"/>
  <c r="IJ247" i="5"/>
  <c r="IK247" i="5"/>
  <c r="IL247" i="5"/>
  <c r="IM247" i="5"/>
  <c r="IN247" i="5"/>
  <c r="IO247" i="5"/>
  <c r="IP247" i="5"/>
  <c r="IQ247" i="5"/>
  <c r="IR247" i="5"/>
  <c r="IS247" i="5"/>
  <c r="IT247" i="5"/>
  <c r="IU247" i="5"/>
  <c r="IV247" i="5"/>
  <c r="J24" i="9"/>
  <c r="FL250" i="5" s="1"/>
  <c r="J23" i="9"/>
  <c r="FJ250" i="5" s="1"/>
  <c r="J22" i="9"/>
  <c r="FH250" i="5" s="1"/>
  <c r="C5" i="8"/>
  <c r="C6" i="8"/>
  <c r="C4" i="8"/>
  <c r="D4" i="8" s="1"/>
  <c r="H8" i="8"/>
  <c r="F8" i="8"/>
  <c r="G8" i="8"/>
  <c r="E8" i="8"/>
  <c r="C8" i="8" s="1"/>
  <c r="H9" i="8"/>
  <c r="F9" i="8"/>
  <c r="G9" i="8"/>
  <c r="E9" i="8"/>
  <c r="C9" i="8" s="1"/>
  <c r="H10" i="8"/>
  <c r="F10" i="8"/>
  <c r="G10" i="8"/>
  <c r="E10" i="8"/>
  <c r="C10" i="8" s="1"/>
  <c r="H11" i="8"/>
  <c r="F11" i="8"/>
  <c r="G11" i="8"/>
  <c r="E11" i="8"/>
  <c r="C11" i="8" s="1"/>
  <c r="H12" i="8"/>
  <c r="F12" i="8"/>
  <c r="G12" i="8"/>
  <c r="E12" i="8"/>
  <c r="C12" i="8" s="1"/>
  <c r="H13" i="8"/>
  <c r="F13" i="8"/>
  <c r="G13" i="8"/>
  <c r="E13" i="8"/>
  <c r="C13" i="8" s="1"/>
  <c r="H14" i="8"/>
  <c r="F14" i="8"/>
  <c r="G14" i="8"/>
  <c r="E14" i="8"/>
  <c r="C14" i="8" s="1"/>
  <c r="H15" i="8"/>
  <c r="F15" i="8"/>
  <c r="G15" i="8"/>
  <c r="E15" i="8"/>
  <c r="C15" i="8" s="1"/>
  <c r="H16" i="8"/>
  <c r="F16" i="8"/>
  <c r="G16" i="8"/>
  <c r="E16" i="8"/>
  <c r="C16" i="8" s="1"/>
  <c r="H17" i="8"/>
  <c r="F17" i="8"/>
  <c r="G17" i="8"/>
  <c r="E17" i="8"/>
  <c r="C17" i="8" s="1"/>
  <c r="H18" i="8"/>
  <c r="F18" i="8"/>
  <c r="G18" i="8"/>
  <c r="E18" i="8"/>
  <c r="C18" i="8" s="1"/>
  <c r="E19" i="8"/>
  <c r="F19" i="8"/>
  <c r="H19" i="8"/>
  <c r="G19" i="8"/>
  <c r="C19" i="8" s="1"/>
  <c r="H20" i="8"/>
  <c r="F20" i="8"/>
  <c r="G20" i="8"/>
  <c r="E20" i="8"/>
  <c r="C20" i="8" s="1"/>
  <c r="H21" i="8"/>
  <c r="F21" i="8"/>
  <c r="G21" i="8"/>
  <c r="E21" i="8"/>
  <c r="C21" i="8" s="1"/>
  <c r="H22" i="8"/>
  <c r="G22" i="8"/>
  <c r="F22" i="8"/>
  <c r="E22" i="8"/>
  <c r="C22" i="8" s="1"/>
  <c r="F6" i="8"/>
  <c r="E6" i="8"/>
  <c r="K12" i="9" l="1"/>
  <c r="DY250" i="5" s="1"/>
  <c r="K19" i="9"/>
  <c r="FA250" i="5" s="1"/>
  <c r="K15" i="9"/>
  <c r="EK250" i="5" s="1"/>
  <c r="K11" i="9"/>
  <c r="DU250" i="5" s="1"/>
  <c r="K4" i="9"/>
  <c r="CO250" i="5" s="1"/>
  <c r="K17" i="9"/>
  <c r="ES250" i="5" s="1"/>
  <c r="K13" i="9"/>
  <c r="EC250" i="5" s="1"/>
  <c r="K9" i="9"/>
  <c r="DM250" i="5" s="1"/>
  <c r="K5" i="9"/>
  <c r="CT250" i="5" s="1"/>
  <c r="K20" i="9"/>
  <c r="FE250" i="5" s="1"/>
  <c r="K16" i="9"/>
  <c r="EO250" i="5" s="1"/>
  <c r="K8" i="9"/>
  <c r="DI250" i="5" s="1"/>
  <c r="K7" i="9"/>
  <c r="DD250" i="5" s="1"/>
  <c r="K18" i="9"/>
  <c r="EW250" i="5" s="1"/>
  <c r="K14" i="9"/>
  <c r="EG250" i="5" s="1"/>
  <c r="K10" i="9"/>
  <c r="DQ250" i="5" s="1"/>
  <c r="K6" i="9"/>
  <c r="CY250" i="5" s="1"/>
  <c r="D22" i="8"/>
  <c r="D8" i="8"/>
  <c r="D16" i="8"/>
  <c r="D6" i="8"/>
  <c r="D11" i="8"/>
  <c r="D15" i="8"/>
  <c r="D19" i="8"/>
  <c r="D9" i="8"/>
  <c r="D13" i="8"/>
  <c r="D17" i="8"/>
  <c r="D21" i="8"/>
  <c r="D12" i="8"/>
  <c r="D20" i="8"/>
  <c r="D5" i="8"/>
  <c r="D10" i="8"/>
  <c r="D14" i="8"/>
  <c r="D18" i="8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AS237" i="5"/>
  <c r="AT237" i="5"/>
  <c r="AU237" i="5"/>
  <c r="AV237" i="5"/>
  <c r="AW237" i="5"/>
  <c r="AX237" i="5"/>
  <c r="AY237" i="5"/>
  <c r="AZ237" i="5"/>
  <c r="BA237" i="5"/>
  <c r="BB237" i="5"/>
  <c r="BC237" i="5"/>
  <c r="BD237" i="5"/>
  <c r="BE237" i="5"/>
  <c r="BF237" i="5"/>
  <c r="BG237" i="5"/>
  <c r="BH237" i="5"/>
  <c r="BI237" i="5"/>
  <c r="BJ237" i="5"/>
  <c r="BK237" i="5"/>
  <c r="BL237" i="5"/>
  <c r="BM237" i="5"/>
  <c r="BN237" i="5"/>
  <c r="BO237" i="5"/>
  <c r="BP237" i="5"/>
  <c r="BQ237" i="5"/>
  <c r="BR237" i="5"/>
  <c r="BS237" i="5"/>
  <c r="BT237" i="5"/>
  <c r="BU237" i="5"/>
  <c r="BV237" i="5"/>
  <c r="BW237" i="5"/>
  <c r="BX237" i="5"/>
  <c r="BY237" i="5"/>
  <c r="BZ237" i="5"/>
  <c r="CA237" i="5"/>
  <c r="CB237" i="5"/>
  <c r="CC237" i="5"/>
  <c r="CD237" i="5"/>
  <c r="CE237" i="5"/>
  <c r="CF237" i="5"/>
  <c r="CG237" i="5"/>
  <c r="CH237" i="5"/>
  <c r="CI237" i="5"/>
  <c r="CJ237" i="5"/>
  <c r="CK237" i="5"/>
  <c r="CL237" i="5"/>
  <c r="CM237" i="5"/>
  <c r="CN237" i="5"/>
  <c r="CO237" i="5"/>
  <c r="CP237" i="5"/>
  <c r="CQ237" i="5"/>
  <c r="CR237" i="5"/>
  <c r="CS237" i="5"/>
  <c r="CT237" i="5"/>
  <c r="CU237" i="5"/>
  <c r="CV237" i="5"/>
  <c r="CW237" i="5"/>
  <c r="CX237" i="5"/>
  <c r="CY237" i="5"/>
  <c r="CZ237" i="5"/>
  <c r="DA237" i="5"/>
  <c r="DB237" i="5"/>
  <c r="DC237" i="5"/>
  <c r="DD237" i="5"/>
  <c r="DE237" i="5"/>
  <c r="DF237" i="5"/>
  <c r="DG237" i="5"/>
  <c r="DH237" i="5"/>
  <c r="DI237" i="5"/>
  <c r="DJ237" i="5"/>
  <c r="DK237" i="5"/>
  <c r="DL237" i="5"/>
  <c r="DM237" i="5"/>
  <c r="DN237" i="5"/>
  <c r="DO237" i="5"/>
  <c r="DP237" i="5"/>
  <c r="DQ237" i="5"/>
  <c r="DR237" i="5"/>
  <c r="DS237" i="5"/>
  <c r="DT237" i="5"/>
  <c r="DU237" i="5"/>
  <c r="DV237" i="5"/>
  <c r="DW237" i="5"/>
  <c r="DX237" i="5"/>
  <c r="DY237" i="5"/>
  <c r="DZ237" i="5"/>
  <c r="EA237" i="5"/>
  <c r="EB237" i="5"/>
  <c r="EC237" i="5"/>
  <c r="ED237" i="5"/>
  <c r="EE237" i="5"/>
  <c r="EF237" i="5"/>
  <c r="EG237" i="5"/>
  <c r="EH237" i="5"/>
  <c r="EI237" i="5"/>
  <c r="EJ237" i="5"/>
  <c r="EK237" i="5"/>
  <c r="EL237" i="5"/>
  <c r="EM237" i="5"/>
  <c r="EN237" i="5"/>
  <c r="EO237" i="5"/>
  <c r="EP237" i="5"/>
  <c r="EQ237" i="5"/>
  <c r="ER237" i="5"/>
  <c r="ES237" i="5"/>
  <c r="ET237" i="5"/>
  <c r="EU237" i="5"/>
  <c r="EV237" i="5"/>
  <c r="EW237" i="5"/>
  <c r="EX237" i="5"/>
  <c r="EY237" i="5"/>
  <c r="EZ237" i="5"/>
  <c r="FA237" i="5"/>
  <c r="FB237" i="5"/>
  <c r="FC237" i="5"/>
  <c r="FD237" i="5"/>
  <c r="FE237" i="5"/>
  <c r="FF237" i="5"/>
  <c r="FG237" i="5"/>
  <c r="FH237" i="5"/>
  <c r="FI237" i="5"/>
  <c r="FJ237" i="5"/>
  <c r="FK237" i="5"/>
  <c r="FL237" i="5"/>
  <c r="FM237" i="5"/>
  <c r="FN237" i="5"/>
  <c r="FO237" i="5"/>
  <c r="FP237" i="5"/>
  <c r="FQ237" i="5"/>
  <c r="FR237" i="5"/>
  <c r="FS237" i="5"/>
  <c r="FT237" i="5"/>
  <c r="FU237" i="5"/>
  <c r="FV237" i="5"/>
  <c r="FW237" i="5"/>
  <c r="FX237" i="5"/>
  <c r="FY237" i="5"/>
  <c r="FZ237" i="5"/>
  <c r="GA237" i="5"/>
  <c r="GB237" i="5"/>
  <c r="GC237" i="5"/>
  <c r="GD237" i="5"/>
  <c r="GE237" i="5"/>
  <c r="GF237" i="5"/>
  <c r="GG237" i="5"/>
  <c r="GH237" i="5"/>
  <c r="GI237" i="5"/>
  <c r="GJ237" i="5"/>
  <c r="GK237" i="5"/>
  <c r="GL237" i="5"/>
  <c r="GM237" i="5"/>
  <c r="GN237" i="5"/>
  <c r="GO237" i="5"/>
  <c r="GP237" i="5"/>
  <c r="GQ237" i="5"/>
  <c r="GR237" i="5"/>
  <c r="GS237" i="5"/>
  <c r="GT237" i="5"/>
  <c r="GU237" i="5"/>
  <c r="GV237" i="5"/>
  <c r="GW237" i="5"/>
  <c r="GX237" i="5"/>
  <c r="GY237" i="5"/>
  <c r="GZ237" i="5"/>
  <c r="HA237" i="5"/>
  <c r="HB237" i="5"/>
  <c r="HC237" i="5"/>
  <c r="HD237" i="5"/>
  <c r="HE237" i="5"/>
  <c r="HF237" i="5"/>
  <c r="HG237" i="5"/>
  <c r="HH237" i="5"/>
  <c r="HI237" i="5"/>
  <c r="HJ237" i="5"/>
  <c r="HK237" i="5"/>
  <c r="HL237" i="5"/>
  <c r="HM237" i="5"/>
  <c r="HN237" i="5"/>
  <c r="HO237" i="5"/>
  <c r="HP237" i="5"/>
  <c r="HQ237" i="5"/>
  <c r="HR237" i="5"/>
  <c r="HS237" i="5"/>
  <c r="HT237" i="5"/>
  <c r="HU237" i="5"/>
  <c r="HV237" i="5"/>
  <c r="HW237" i="5"/>
  <c r="HX237" i="5"/>
  <c r="HY237" i="5"/>
  <c r="HZ237" i="5"/>
  <c r="IA237" i="5"/>
  <c r="IB237" i="5"/>
  <c r="IC237" i="5"/>
  <c r="ID237" i="5"/>
  <c r="IE237" i="5"/>
  <c r="IF237" i="5"/>
  <c r="IG237" i="5"/>
  <c r="IH237" i="5"/>
  <c r="II237" i="5"/>
  <c r="IJ237" i="5"/>
  <c r="IK237" i="5"/>
  <c r="IL237" i="5"/>
  <c r="IM237" i="5"/>
  <c r="IN237" i="5"/>
  <c r="IO237" i="5"/>
  <c r="IP237" i="5"/>
  <c r="IQ237" i="5"/>
  <c r="IR237" i="5"/>
  <c r="IS237" i="5"/>
  <c r="IT237" i="5"/>
  <c r="IU237" i="5"/>
  <c r="IV237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AR238" i="5"/>
  <c r="AS238" i="5"/>
  <c r="AT238" i="5"/>
  <c r="AU238" i="5"/>
  <c r="AV238" i="5"/>
  <c r="AW238" i="5"/>
  <c r="AX238" i="5"/>
  <c r="AY238" i="5"/>
  <c r="AZ238" i="5"/>
  <c r="BA238" i="5"/>
  <c r="BB238" i="5"/>
  <c r="BC238" i="5"/>
  <c r="BD238" i="5"/>
  <c r="BE238" i="5"/>
  <c r="BF238" i="5"/>
  <c r="BG238" i="5"/>
  <c r="BH238" i="5"/>
  <c r="BI238" i="5"/>
  <c r="BJ238" i="5"/>
  <c r="BK238" i="5"/>
  <c r="BL238" i="5"/>
  <c r="BM238" i="5"/>
  <c r="BN238" i="5"/>
  <c r="BO238" i="5"/>
  <c r="BP238" i="5"/>
  <c r="BQ238" i="5"/>
  <c r="BR238" i="5"/>
  <c r="BS238" i="5"/>
  <c r="BT238" i="5"/>
  <c r="BU238" i="5"/>
  <c r="BV238" i="5"/>
  <c r="BW238" i="5"/>
  <c r="BX238" i="5"/>
  <c r="BY238" i="5"/>
  <c r="BZ238" i="5"/>
  <c r="CA238" i="5"/>
  <c r="CB238" i="5"/>
  <c r="CC238" i="5"/>
  <c r="CD238" i="5"/>
  <c r="CE238" i="5"/>
  <c r="CF238" i="5"/>
  <c r="CG238" i="5"/>
  <c r="CH238" i="5"/>
  <c r="CI238" i="5"/>
  <c r="CJ238" i="5"/>
  <c r="CK238" i="5"/>
  <c r="CL238" i="5"/>
  <c r="CM238" i="5"/>
  <c r="CN238" i="5"/>
  <c r="CO238" i="5"/>
  <c r="CP238" i="5"/>
  <c r="CQ238" i="5"/>
  <c r="CR238" i="5"/>
  <c r="CS238" i="5"/>
  <c r="CT238" i="5"/>
  <c r="CU238" i="5"/>
  <c r="CV238" i="5"/>
  <c r="CW238" i="5"/>
  <c r="CX238" i="5"/>
  <c r="CY238" i="5"/>
  <c r="CZ238" i="5"/>
  <c r="DA238" i="5"/>
  <c r="DB238" i="5"/>
  <c r="DC238" i="5"/>
  <c r="DD238" i="5"/>
  <c r="DE238" i="5"/>
  <c r="DF238" i="5"/>
  <c r="DG238" i="5"/>
  <c r="DH238" i="5"/>
  <c r="DI238" i="5"/>
  <c r="DJ238" i="5"/>
  <c r="DK238" i="5"/>
  <c r="DL238" i="5"/>
  <c r="DM238" i="5"/>
  <c r="DN238" i="5"/>
  <c r="DO238" i="5"/>
  <c r="DP238" i="5"/>
  <c r="DQ238" i="5"/>
  <c r="DR238" i="5"/>
  <c r="DS238" i="5"/>
  <c r="DT238" i="5"/>
  <c r="DU238" i="5"/>
  <c r="DV238" i="5"/>
  <c r="DW238" i="5"/>
  <c r="DX238" i="5"/>
  <c r="DY238" i="5"/>
  <c r="DZ238" i="5"/>
  <c r="EA238" i="5"/>
  <c r="EB238" i="5"/>
  <c r="EC238" i="5"/>
  <c r="ED238" i="5"/>
  <c r="EE238" i="5"/>
  <c r="EF238" i="5"/>
  <c r="EG238" i="5"/>
  <c r="EH238" i="5"/>
  <c r="EI238" i="5"/>
  <c r="EJ238" i="5"/>
  <c r="EK238" i="5"/>
  <c r="EL238" i="5"/>
  <c r="EM238" i="5"/>
  <c r="EN238" i="5"/>
  <c r="EO238" i="5"/>
  <c r="EP238" i="5"/>
  <c r="EQ238" i="5"/>
  <c r="ER238" i="5"/>
  <c r="ES238" i="5"/>
  <c r="ET238" i="5"/>
  <c r="EU238" i="5"/>
  <c r="EV238" i="5"/>
  <c r="EW238" i="5"/>
  <c r="EX238" i="5"/>
  <c r="EY238" i="5"/>
  <c r="EZ238" i="5"/>
  <c r="FA238" i="5"/>
  <c r="FB238" i="5"/>
  <c r="FC238" i="5"/>
  <c r="FD238" i="5"/>
  <c r="FE238" i="5"/>
  <c r="FF238" i="5"/>
  <c r="FG238" i="5"/>
  <c r="FH238" i="5"/>
  <c r="FI238" i="5"/>
  <c r="FJ238" i="5"/>
  <c r="FK238" i="5"/>
  <c r="FL238" i="5"/>
  <c r="FM238" i="5"/>
  <c r="FN238" i="5"/>
  <c r="FO238" i="5"/>
  <c r="FP238" i="5"/>
  <c r="FQ238" i="5"/>
  <c r="FR238" i="5"/>
  <c r="FS238" i="5"/>
  <c r="FT238" i="5"/>
  <c r="FU238" i="5"/>
  <c r="FV238" i="5"/>
  <c r="FW238" i="5"/>
  <c r="FX238" i="5"/>
  <c r="FY238" i="5"/>
  <c r="FZ238" i="5"/>
  <c r="GA238" i="5"/>
  <c r="GB238" i="5"/>
  <c r="GC238" i="5"/>
  <c r="GD238" i="5"/>
  <c r="GE238" i="5"/>
  <c r="GF238" i="5"/>
  <c r="GG238" i="5"/>
  <c r="GH238" i="5"/>
  <c r="GI238" i="5"/>
  <c r="GJ238" i="5"/>
  <c r="GK238" i="5"/>
  <c r="GL238" i="5"/>
  <c r="GM238" i="5"/>
  <c r="GN238" i="5"/>
  <c r="GO238" i="5"/>
  <c r="GP238" i="5"/>
  <c r="GQ238" i="5"/>
  <c r="GR238" i="5"/>
  <c r="GS238" i="5"/>
  <c r="GT238" i="5"/>
  <c r="GU238" i="5"/>
  <c r="GV238" i="5"/>
  <c r="GW238" i="5"/>
  <c r="GX238" i="5"/>
  <c r="GY238" i="5"/>
  <c r="GZ238" i="5"/>
  <c r="HA238" i="5"/>
  <c r="HB238" i="5"/>
  <c r="HC238" i="5"/>
  <c r="HD238" i="5"/>
  <c r="HE238" i="5"/>
  <c r="HF238" i="5"/>
  <c r="HG238" i="5"/>
  <c r="HH238" i="5"/>
  <c r="HI238" i="5"/>
  <c r="HJ238" i="5"/>
  <c r="HK238" i="5"/>
  <c r="HL238" i="5"/>
  <c r="HM238" i="5"/>
  <c r="HN238" i="5"/>
  <c r="HO238" i="5"/>
  <c r="HP238" i="5"/>
  <c r="HQ238" i="5"/>
  <c r="HR238" i="5"/>
  <c r="HS238" i="5"/>
  <c r="HT238" i="5"/>
  <c r="HU238" i="5"/>
  <c r="HV238" i="5"/>
  <c r="HW238" i="5"/>
  <c r="HX238" i="5"/>
  <c r="HY238" i="5"/>
  <c r="HZ238" i="5"/>
  <c r="IA238" i="5"/>
  <c r="IB238" i="5"/>
  <c r="IC238" i="5"/>
  <c r="ID238" i="5"/>
  <c r="IE238" i="5"/>
  <c r="IF238" i="5"/>
  <c r="IG238" i="5"/>
  <c r="IH238" i="5"/>
  <c r="II238" i="5"/>
  <c r="IJ238" i="5"/>
  <c r="IK238" i="5"/>
  <c r="IL238" i="5"/>
  <c r="IM238" i="5"/>
  <c r="IN238" i="5"/>
  <c r="IO238" i="5"/>
  <c r="IP238" i="5"/>
  <c r="IQ238" i="5"/>
  <c r="IR238" i="5"/>
  <c r="IS238" i="5"/>
  <c r="IT238" i="5"/>
  <c r="IU238" i="5"/>
  <c r="IV238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AS239" i="5"/>
  <c r="AT239" i="5"/>
  <c r="AU239" i="5"/>
  <c r="AV239" i="5"/>
  <c r="AW239" i="5"/>
  <c r="AX239" i="5"/>
  <c r="AY239" i="5"/>
  <c r="AZ239" i="5"/>
  <c r="BA239" i="5"/>
  <c r="BB239" i="5"/>
  <c r="BC239" i="5"/>
  <c r="BD239" i="5"/>
  <c r="BE239" i="5"/>
  <c r="BF239" i="5"/>
  <c r="BG239" i="5"/>
  <c r="BH239" i="5"/>
  <c r="BI239" i="5"/>
  <c r="BJ239" i="5"/>
  <c r="BK239" i="5"/>
  <c r="BL239" i="5"/>
  <c r="BM239" i="5"/>
  <c r="BN239" i="5"/>
  <c r="BO239" i="5"/>
  <c r="BP239" i="5"/>
  <c r="BQ239" i="5"/>
  <c r="BR239" i="5"/>
  <c r="BS239" i="5"/>
  <c r="BT239" i="5"/>
  <c r="BU239" i="5"/>
  <c r="BV239" i="5"/>
  <c r="BW239" i="5"/>
  <c r="BX239" i="5"/>
  <c r="BY239" i="5"/>
  <c r="BZ239" i="5"/>
  <c r="CA239" i="5"/>
  <c r="CB239" i="5"/>
  <c r="CC239" i="5"/>
  <c r="CD239" i="5"/>
  <c r="CE239" i="5"/>
  <c r="CF239" i="5"/>
  <c r="CG239" i="5"/>
  <c r="CH239" i="5"/>
  <c r="CI239" i="5"/>
  <c r="CJ239" i="5"/>
  <c r="CK239" i="5"/>
  <c r="CL239" i="5"/>
  <c r="CM239" i="5"/>
  <c r="CN239" i="5"/>
  <c r="CO239" i="5"/>
  <c r="CP239" i="5"/>
  <c r="CQ239" i="5"/>
  <c r="CR239" i="5"/>
  <c r="CS239" i="5"/>
  <c r="CT239" i="5"/>
  <c r="CU239" i="5"/>
  <c r="CV239" i="5"/>
  <c r="CW239" i="5"/>
  <c r="CX239" i="5"/>
  <c r="CY239" i="5"/>
  <c r="CZ239" i="5"/>
  <c r="DA239" i="5"/>
  <c r="DB239" i="5"/>
  <c r="DC239" i="5"/>
  <c r="DD239" i="5"/>
  <c r="DE239" i="5"/>
  <c r="DF239" i="5"/>
  <c r="DG239" i="5"/>
  <c r="DH239" i="5"/>
  <c r="DI239" i="5"/>
  <c r="DJ239" i="5"/>
  <c r="DK239" i="5"/>
  <c r="DL239" i="5"/>
  <c r="DM239" i="5"/>
  <c r="DN239" i="5"/>
  <c r="DO239" i="5"/>
  <c r="DP239" i="5"/>
  <c r="DQ239" i="5"/>
  <c r="DR239" i="5"/>
  <c r="DS239" i="5"/>
  <c r="DT239" i="5"/>
  <c r="DU239" i="5"/>
  <c r="DV239" i="5"/>
  <c r="DW239" i="5"/>
  <c r="DX239" i="5"/>
  <c r="DY239" i="5"/>
  <c r="DZ239" i="5"/>
  <c r="EA239" i="5"/>
  <c r="EB239" i="5"/>
  <c r="EC239" i="5"/>
  <c r="ED239" i="5"/>
  <c r="EE239" i="5"/>
  <c r="EF239" i="5"/>
  <c r="EG239" i="5"/>
  <c r="EH239" i="5"/>
  <c r="EI239" i="5"/>
  <c r="EJ239" i="5"/>
  <c r="EK239" i="5"/>
  <c r="EL239" i="5"/>
  <c r="EM239" i="5"/>
  <c r="EN239" i="5"/>
  <c r="EO239" i="5"/>
  <c r="EP239" i="5"/>
  <c r="EQ239" i="5"/>
  <c r="ER239" i="5"/>
  <c r="ES239" i="5"/>
  <c r="ET239" i="5"/>
  <c r="EU239" i="5"/>
  <c r="EV239" i="5"/>
  <c r="EW239" i="5"/>
  <c r="EX239" i="5"/>
  <c r="EY239" i="5"/>
  <c r="EZ239" i="5"/>
  <c r="FA239" i="5"/>
  <c r="FB239" i="5"/>
  <c r="FC239" i="5"/>
  <c r="FD239" i="5"/>
  <c r="FE239" i="5"/>
  <c r="FF239" i="5"/>
  <c r="FG239" i="5"/>
  <c r="FH239" i="5"/>
  <c r="FI239" i="5"/>
  <c r="FJ239" i="5"/>
  <c r="FK239" i="5"/>
  <c r="FL239" i="5"/>
  <c r="FM239" i="5"/>
  <c r="FN239" i="5"/>
  <c r="FO239" i="5"/>
  <c r="FP239" i="5"/>
  <c r="FQ239" i="5"/>
  <c r="FR239" i="5"/>
  <c r="FS239" i="5"/>
  <c r="FT239" i="5"/>
  <c r="FU239" i="5"/>
  <c r="FV239" i="5"/>
  <c r="FW239" i="5"/>
  <c r="FX239" i="5"/>
  <c r="FY239" i="5"/>
  <c r="FZ239" i="5"/>
  <c r="GA239" i="5"/>
  <c r="GB239" i="5"/>
  <c r="GC239" i="5"/>
  <c r="GD239" i="5"/>
  <c r="GE239" i="5"/>
  <c r="GF239" i="5"/>
  <c r="GG239" i="5"/>
  <c r="GH239" i="5"/>
  <c r="GI239" i="5"/>
  <c r="GJ239" i="5"/>
  <c r="GK239" i="5"/>
  <c r="GL239" i="5"/>
  <c r="GM239" i="5"/>
  <c r="GN239" i="5"/>
  <c r="GO239" i="5"/>
  <c r="GP239" i="5"/>
  <c r="GQ239" i="5"/>
  <c r="GR239" i="5"/>
  <c r="GS239" i="5"/>
  <c r="GT239" i="5"/>
  <c r="GU239" i="5"/>
  <c r="GV239" i="5"/>
  <c r="GW239" i="5"/>
  <c r="GX239" i="5"/>
  <c r="GY239" i="5"/>
  <c r="GZ239" i="5"/>
  <c r="HA239" i="5"/>
  <c r="HB239" i="5"/>
  <c r="HC239" i="5"/>
  <c r="HD239" i="5"/>
  <c r="HE239" i="5"/>
  <c r="HF239" i="5"/>
  <c r="HG239" i="5"/>
  <c r="HH239" i="5"/>
  <c r="HI239" i="5"/>
  <c r="HJ239" i="5"/>
  <c r="HK239" i="5"/>
  <c r="HL239" i="5"/>
  <c r="HM239" i="5"/>
  <c r="HN239" i="5"/>
  <c r="HO239" i="5"/>
  <c r="HP239" i="5"/>
  <c r="HQ239" i="5"/>
  <c r="HR239" i="5"/>
  <c r="HS239" i="5"/>
  <c r="HT239" i="5"/>
  <c r="HU239" i="5"/>
  <c r="HV239" i="5"/>
  <c r="HW239" i="5"/>
  <c r="HX239" i="5"/>
  <c r="HY239" i="5"/>
  <c r="HZ239" i="5"/>
  <c r="IA239" i="5"/>
  <c r="IB239" i="5"/>
  <c r="IC239" i="5"/>
  <c r="ID239" i="5"/>
  <c r="IE239" i="5"/>
  <c r="IF239" i="5"/>
  <c r="IG239" i="5"/>
  <c r="IH239" i="5"/>
  <c r="II239" i="5"/>
  <c r="IJ239" i="5"/>
  <c r="IK239" i="5"/>
  <c r="IL239" i="5"/>
  <c r="IM239" i="5"/>
  <c r="IN239" i="5"/>
  <c r="IO239" i="5"/>
  <c r="IP239" i="5"/>
  <c r="IQ239" i="5"/>
  <c r="IR239" i="5"/>
  <c r="IS239" i="5"/>
  <c r="IT239" i="5"/>
  <c r="IU239" i="5"/>
  <c r="IV239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AS240" i="5"/>
  <c r="AT240" i="5"/>
  <c r="AU240" i="5"/>
  <c r="AV240" i="5"/>
  <c r="AW240" i="5"/>
  <c r="AX240" i="5"/>
  <c r="AY240" i="5"/>
  <c r="AZ240" i="5"/>
  <c r="BA240" i="5"/>
  <c r="BB240" i="5"/>
  <c r="BC240" i="5"/>
  <c r="BD240" i="5"/>
  <c r="BE240" i="5"/>
  <c r="BF240" i="5"/>
  <c r="BG240" i="5"/>
  <c r="BH240" i="5"/>
  <c r="BI240" i="5"/>
  <c r="BJ240" i="5"/>
  <c r="BK240" i="5"/>
  <c r="BL240" i="5"/>
  <c r="BM240" i="5"/>
  <c r="BN240" i="5"/>
  <c r="BO240" i="5"/>
  <c r="BP240" i="5"/>
  <c r="BQ240" i="5"/>
  <c r="BR240" i="5"/>
  <c r="BS240" i="5"/>
  <c r="BT240" i="5"/>
  <c r="BU240" i="5"/>
  <c r="BV240" i="5"/>
  <c r="BW240" i="5"/>
  <c r="BX240" i="5"/>
  <c r="BY240" i="5"/>
  <c r="BZ240" i="5"/>
  <c r="CA240" i="5"/>
  <c r="CB240" i="5"/>
  <c r="CC240" i="5"/>
  <c r="CD240" i="5"/>
  <c r="CE240" i="5"/>
  <c r="CF240" i="5"/>
  <c r="CG240" i="5"/>
  <c r="CH240" i="5"/>
  <c r="CI240" i="5"/>
  <c r="CJ240" i="5"/>
  <c r="CK240" i="5"/>
  <c r="CL240" i="5"/>
  <c r="CM240" i="5"/>
  <c r="CN240" i="5"/>
  <c r="CO240" i="5"/>
  <c r="CP240" i="5"/>
  <c r="CQ240" i="5"/>
  <c r="CR240" i="5"/>
  <c r="CS240" i="5"/>
  <c r="CT240" i="5"/>
  <c r="CU240" i="5"/>
  <c r="CV240" i="5"/>
  <c r="CW240" i="5"/>
  <c r="CX240" i="5"/>
  <c r="CY240" i="5"/>
  <c r="CZ240" i="5"/>
  <c r="DA240" i="5"/>
  <c r="DB240" i="5"/>
  <c r="DC240" i="5"/>
  <c r="DD240" i="5"/>
  <c r="DE240" i="5"/>
  <c r="DF240" i="5"/>
  <c r="DG240" i="5"/>
  <c r="DH240" i="5"/>
  <c r="DI240" i="5"/>
  <c r="DJ240" i="5"/>
  <c r="DK240" i="5"/>
  <c r="DL240" i="5"/>
  <c r="DM240" i="5"/>
  <c r="DN240" i="5"/>
  <c r="DO240" i="5"/>
  <c r="DP240" i="5"/>
  <c r="DQ240" i="5"/>
  <c r="DR240" i="5"/>
  <c r="DS240" i="5"/>
  <c r="DT240" i="5"/>
  <c r="DU240" i="5"/>
  <c r="DV240" i="5"/>
  <c r="DW240" i="5"/>
  <c r="DX240" i="5"/>
  <c r="DY240" i="5"/>
  <c r="DZ240" i="5"/>
  <c r="EA240" i="5"/>
  <c r="EB240" i="5"/>
  <c r="EC240" i="5"/>
  <c r="ED240" i="5"/>
  <c r="EE240" i="5"/>
  <c r="EF240" i="5"/>
  <c r="EG240" i="5"/>
  <c r="EH240" i="5"/>
  <c r="EI240" i="5"/>
  <c r="EJ240" i="5"/>
  <c r="EK240" i="5"/>
  <c r="EL240" i="5"/>
  <c r="EM240" i="5"/>
  <c r="EN240" i="5"/>
  <c r="EO240" i="5"/>
  <c r="EP240" i="5"/>
  <c r="EQ240" i="5"/>
  <c r="ER240" i="5"/>
  <c r="ES240" i="5"/>
  <c r="ET240" i="5"/>
  <c r="EU240" i="5"/>
  <c r="EV240" i="5"/>
  <c r="EW240" i="5"/>
  <c r="EX240" i="5"/>
  <c r="EY240" i="5"/>
  <c r="EZ240" i="5"/>
  <c r="FA240" i="5"/>
  <c r="FB240" i="5"/>
  <c r="FC240" i="5"/>
  <c r="FD240" i="5"/>
  <c r="FE240" i="5"/>
  <c r="FF240" i="5"/>
  <c r="FG240" i="5"/>
  <c r="FH240" i="5"/>
  <c r="FI240" i="5"/>
  <c r="FJ240" i="5"/>
  <c r="FK240" i="5"/>
  <c r="FL240" i="5"/>
  <c r="FM240" i="5"/>
  <c r="FN240" i="5"/>
  <c r="FO240" i="5"/>
  <c r="FP240" i="5"/>
  <c r="FQ240" i="5"/>
  <c r="FR240" i="5"/>
  <c r="FS240" i="5"/>
  <c r="FT240" i="5"/>
  <c r="FU240" i="5"/>
  <c r="FV240" i="5"/>
  <c r="FW240" i="5"/>
  <c r="FX240" i="5"/>
  <c r="FY240" i="5"/>
  <c r="FZ240" i="5"/>
  <c r="GA240" i="5"/>
  <c r="GB240" i="5"/>
  <c r="GC240" i="5"/>
  <c r="GD240" i="5"/>
  <c r="GE240" i="5"/>
  <c r="GF240" i="5"/>
  <c r="GG240" i="5"/>
  <c r="GH240" i="5"/>
  <c r="GI240" i="5"/>
  <c r="GJ240" i="5"/>
  <c r="GK240" i="5"/>
  <c r="GL240" i="5"/>
  <c r="GM240" i="5"/>
  <c r="GN240" i="5"/>
  <c r="GO240" i="5"/>
  <c r="GP240" i="5"/>
  <c r="GQ240" i="5"/>
  <c r="GR240" i="5"/>
  <c r="GS240" i="5"/>
  <c r="GT240" i="5"/>
  <c r="GU240" i="5"/>
  <c r="GV240" i="5"/>
  <c r="GW240" i="5"/>
  <c r="GX240" i="5"/>
  <c r="GY240" i="5"/>
  <c r="GZ240" i="5"/>
  <c r="HA240" i="5"/>
  <c r="HB240" i="5"/>
  <c r="HC240" i="5"/>
  <c r="HD240" i="5"/>
  <c r="HE240" i="5"/>
  <c r="HF240" i="5"/>
  <c r="HG240" i="5"/>
  <c r="HH240" i="5"/>
  <c r="HI240" i="5"/>
  <c r="HJ240" i="5"/>
  <c r="HK240" i="5"/>
  <c r="HL240" i="5"/>
  <c r="HM240" i="5"/>
  <c r="HN240" i="5"/>
  <c r="HO240" i="5"/>
  <c r="HP240" i="5"/>
  <c r="HQ240" i="5"/>
  <c r="HR240" i="5"/>
  <c r="HS240" i="5"/>
  <c r="HT240" i="5"/>
  <c r="HU240" i="5"/>
  <c r="HV240" i="5"/>
  <c r="HW240" i="5"/>
  <c r="HX240" i="5"/>
  <c r="HY240" i="5"/>
  <c r="HZ240" i="5"/>
  <c r="IA240" i="5"/>
  <c r="IB240" i="5"/>
  <c r="IC240" i="5"/>
  <c r="ID240" i="5"/>
  <c r="IE240" i="5"/>
  <c r="IF240" i="5"/>
  <c r="IG240" i="5"/>
  <c r="IH240" i="5"/>
  <c r="II240" i="5"/>
  <c r="IJ240" i="5"/>
  <c r="IK240" i="5"/>
  <c r="IL240" i="5"/>
  <c r="IM240" i="5"/>
  <c r="IN240" i="5"/>
  <c r="IO240" i="5"/>
  <c r="IP240" i="5"/>
  <c r="IQ240" i="5"/>
  <c r="IR240" i="5"/>
  <c r="IS240" i="5"/>
  <c r="IT240" i="5"/>
  <c r="IU240" i="5"/>
  <c r="IV240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AS241" i="5"/>
  <c r="AT241" i="5"/>
  <c r="AU241" i="5"/>
  <c r="AV241" i="5"/>
  <c r="AW241" i="5"/>
  <c r="AX241" i="5"/>
  <c r="AY241" i="5"/>
  <c r="AZ241" i="5"/>
  <c r="BA241" i="5"/>
  <c r="BB241" i="5"/>
  <c r="BC241" i="5"/>
  <c r="BD241" i="5"/>
  <c r="BE241" i="5"/>
  <c r="BF241" i="5"/>
  <c r="BG241" i="5"/>
  <c r="BH241" i="5"/>
  <c r="BI241" i="5"/>
  <c r="BJ241" i="5"/>
  <c r="BK241" i="5"/>
  <c r="BL241" i="5"/>
  <c r="BM241" i="5"/>
  <c r="BN241" i="5"/>
  <c r="BO241" i="5"/>
  <c r="BP241" i="5"/>
  <c r="BQ241" i="5"/>
  <c r="BR241" i="5"/>
  <c r="BS241" i="5"/>
  <c r="BT241" i="5"/>
  <c r="BU241" i="5"/>
  <c r="BV241" i="5"/>
  <c r="BW241" i="5"/>
  <c r="BX241" i="5"/>
  <c r="BY241" i="5"/>
  <c r="BZ241" i="5"/>
  <c r="CA241" i="5"/>
  <c r="CB241" i="5"/>
  <c r="CC241" i="5"/>
  <c r="CD241" i="5"/>
  <c r="CE241" i="5"/>
  <c r="CF241" i="5"/>
  <c r="CG241" i="5"/>
  <c r="CH241" i="5"/>
  <c r="CI241" i="5"/>
  <c r="CJ241" i="5"/>
  <c r="CK241" i="5"/>
  <c r="CL241" i="5"/>
  <c r="CM241" i="5"/>
  <c r="CN241" i="5"/>
  <c r="CO241" i="5"/>
  <c r="CP241" i="5"/>
  <c r="CQ241" i="5"/>
  <c r="CR241" i="5"/>
  <c r="CS241" i="5"/>
  <c r="CT241" i="5"/>
  <c r="CU241" i="5"/>
  <c r="CV241" i="5"/>
  <c r="CW241" i="5"/>
  <c r="CX241" i="5"/>
  <c r="CY241" i="5"/>
  <c r="CZ241" i="5"/>
  <c r="DA241" i="5"/>
  <c r="DB241" i="5"/>
  <c r="DC241" i="5"/>
  <c r="DD241" i="5"/>
  <c r="DE241" i="5"/>
  <c r="DF241" i="5"/>
  <c r="DG241" i="5"/>
  <c r="DH241" i="5"/>
  <c r="DI241" i="5"/>
  <c r="DJ241" i="5"/>
  <c r="DK241" i="5"/>
  <c r="DL241" i="5"/>
  <c r="DM241" i="5"/>
  <c r="DN241" i="5"/>
  <c r="DO241" i="5"/>
  <c r="DP241" i="5"/>
  <c r="DQ241" i="5"/>
  <c r="DR241" i="5"/>
  <c r="DS241" i="5"/>
  <c r="DT241" i="5"/>
  <c r="DU241" i="5"/>
  <c r="DV241" i="5"/>
  <c r="DW241" i="5"/>
  <c r="DX241" i="5"/>
  <c r="DY241" i="5"/>
  <c r="DZ241" i="5"/>
  <c r="EA241" i="5"/>
  <c r="EB241" i="5"/>
  <c r="EC241" i="5"/>
  <c r="ED241" i="5"/>
  <c r="EE241" i="5"/>
  <c r="EF241" i="5"/>
  <c r="EG241" i="5"/>
  <c r="EH241" i="5"/>
  <c r="EI241" i="5"/>
  <c r="EJ241" i="5"/>
  <c r="EK241" i="5"/>
  <c r="EL241" i="5"/>
  <c r="EM241" i="5"/>
  <c r="EN241" i="5"/>
  <c r="EO241" i="5"/>
  <c r="EP241" i="5"/>
  <c r="EQ241" i="5"/>
  <c r="ER241" i="5"/>
  <c r="ES241" i="5"/>
  <c r="ET241" i="5"/>
  <c r="EU241" i="5"/>
  <c r="EV241" i="5"/>
  <c r="EW241" i="5"/>
  <c r="EX241" i="5"/>
  <c r="EY241" i="5"/>
  <c r="EZ241" i="5"/>
  <c r="FA241" i="5"/>
  <c r="FB241" i="5"/>
  <c r="FC241" i="5"/>
  <c r="FD241" i="5"/>
  <c r="FE241" i="5"/>
  <c r="FF241" i="5"/>
  <c r="FG241" i="5"/>
  <c r="FH241" i="5"/>
  <c r="FI241" i="5"/>
  <c r="FJ241" i="5"/>
  <c r="FK241" i="5"/>
  <c r="FL241" i="5"/>
  <c r="FM241" i="5"/>
  <c r="FN241" i="5"/>
  <c r="FO241" i="5"/>
  <c r="FP241" i="5"/>
  <c r="FQ241" i="5"/>
  <c r="FR241" i="5"/>
  <c r="FS241" i="5"/>
  <c r="FT241" i="5"/>
  <c r="FU241" i="5"/>
  <c r="FV241" i="5"/>
  <c r="FW241" i="5"/>
  <c r="FX241" i="5"/>
  <c r="FY241" i="5"/>
  <c r="FZ241" i="5"/>
  <c r="GA241" i="5"/>
  <c r="GB241" i="5"/>
  <c r="GC241" i="5"/>
  <c r="GD241" i="5"/>
  <c r="GE241" i="5"/>
  <c r="GF241" i="5"/>
  <c r="GG241" i="5"/>
  <c r="GH241" i="5"/>
  <c r="GI241" i="5"/>
  <c r="GJ241" i="5"/>
  <c r="GK241" i="5"/>
  <c r="GL241" i="5"/>
  <c r="GM241" i="5"/>
  <c r="GN241" i="5"/>
  <c r="GO241" i="5"/>
  <c r="GP241" i="5"/>
  <c r="GQ241" i="5"/>
  <c r="GR241" i="5"/>
  <c r="GS241" i="5"/>
  <c r="GT241" i="5"/>
  <c r="GU241" i="5"/>
  <c r="GV241" i="5"/>
  <c r="GW241" i="5"/>
  <c r="GX241" i="5"/>
  <c r="GY241" i="5"/>
  <c r="GZ241" i="5"/>
  <c r="HA241" i="5"/>
  <c r="HB241" i="5"/>
  <c r="HC241" i="5"/>
  <c r="HD241" i="5"/>
  <c r="HE241" i="5"/>
  <c r="HF241" i="5"/>
  <c r="HG241" i="5"/>
  <c r="HH241" i="5"/>
  <c r="HI241" i="5"/>
  <c r="HJ241" i="5"/>
  <c r="HK241" i="5"/>
  <c r="HL241" i="5"/>
  <c r="HM241" i="5"/>
  <c r="HN241" i="5"/>
  <c r="HO241" i="5"/>
  <c r="HP241" i="5"/>
  <c r="HQ241" i="5"/>
  <c r="HR241" i="5"/>
  <c r="HS241" i="5"/>
  <c r="HT241" i="5"/>
  <c r="HU241" i="5"/>
  <c r="HV241" i="5"/>
  <c r="HW241" i="5"/>
  <c r="HX241" i="5"/>
  <c r="HY241" i="5"/>
  <c r="HZ241" i="5"/>
  <c r="IA241" i="5"/>
  <c r="IB241" i="5"/>
  <c r="IC241" i="5"/>
  <c r="ID241" i="5"/>
  <c r="IE241" i="5"/>
  <c r="IF241" i="5"/>
  <c r="IG241" i="5"/>
  <c r="IH241" i="5"/>
  <c r="II241" i="5"/>
  <c r="IJ241" i="5"/>
  <c r="IK241" i="5"/>
  <c r="IL241" i="5"/>
  <c r="IM241" i="5"/>
  <c r="IN241" i="5"/>
  <c r="IO241" i="5"/>
  <c r="IP241" i="5"/>
  <c r="IQ241" i="5"/>
  <c r="IR241" i="5"/>
  <c r="IS241" i="5"/>
  <c r="IT241" i="5"/>
  <c r="IU241" i="5"/>
  <c r="IV241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AS242" i="5"/>
  <c r="AT242" i="5"/>
  <c r="AU242" i="5"/>
  <c r="AV242" i="5"/>
  <c r="AW242" i="5"/>
  <c r="AX242" i="5"/>
  <c r="AY242" i="5"/>
  <c r="AZ242" i="5"/>
  <c r="BA242" i="5"/>
  <c r="BB242" i="5"/>
  <c r="BC242" i="5"/>
  <c r="BD242" i="5"/>
  <c r="BE242" i="5"/>
  <c r="BF242" i="5"/>
  <c r="BG242" i="5"/>
  <c r="BH242" i="5"/>
  <c r="BI242" i="5"/>
  <c r="BJ242" i="5"/>
  <c r="BK242" i="5"/>
  <c r="BL242" i="5"/>
  <c r="BM242" i="5"/>
  <c r="BN242" i="5"/>
  <c r="BO242" i="5"/>
  <c r="BP242" i="5"/>
  <c r="BQ242" i="5"/>
  <c r="BR242" i="5"/>
  <c r="BS242" i="5"/>
  <c r="BT242" i="5"/>
  <c r="BU242" i="5"/>
  <c r="BV242" i="5"/>
  <c r="BW242" i="5"/>
  <c r="BX242" i="5"/>
  <c r="BY242" i="5"/>
  <c r="BZ242" i="5"/>
  <c r="CA242" i="5"/>
  <c r="CB242" i="5"/>
  <c r="CC242" i="5"/>
  <c r="CD242" i="5"/>
  <c r="CE242" i="5"/>
  <c r="CF242" i="5"/>
  <c r="CG242" i="5"/>
  <c r="CH242" i="5"/>
  <c r="CI242" i="5"/>
  <c r="CJ242" i="5"/>
  <c r="CK242" i="5"/>
  <c r="CL242" i="5"/>
  <c r="CM242" i="5"/>
  <c r="CN242" i="5"/>
  <c r="CO242" i="5"/>
  <c r="CP242" i="5"/>
  <c r="CQ242" i="5"/>
  <c r="CR242" i="5"/>
  <c r="CS242" i="5"/>
  <c r="CT242" i="5"/>
  <c r="CU242" i="5"/>
  <c r="CV242" i="5"/>
  <c r="CW242" i="5"/>
  <c r="CX242" i="5"/>
  <c r="CY242" i="5"/>
  <c r="CZ242" i="5"/>
  <c r="DA242" i="5"/>
  <c r="DB242" i="5"/>
  <c r="DC242" i="5"/>
  <c r="DD242" i="5"/>
  <c r="DE242" i="5"/>
  <c r="DF242" i="5"/>
  <c r="DG242" i="5"/>
  <c r="DH242" i="5"/>
  <c r="DI242" i="5"/>
  <c r="DJ242" i="5"/>
  <c r="DK242" i="5"/>
  <c r="DL242" i="5"/>
  <c r="DM242" i="5"/>
  <c r="DN242" i="5"/>
  <c r="DO242" i="5"/>
  <c r="DP242" i="5"/>
  <c r="DQ242" i="5"/>
  <c r="DR242" i="5"/>
  <c r="DS242" i="5"/>
  <c r="DT242" i="5"/>
  <c r="DU242" i="5"/>
  <c r="DV242" i="5"/>
  <c r="DW242" i="5"/>
  <c r="DX242" i="5"/>
  <c r="DY242" i="5"/>
  <c r="DZ242" i="5"/>
  <c r="EA242" i="5"/>
  <c r="EB242" i="5"/>
  <c r="EC242" i="5"/>
  <c r="ED242" i="5"/>
  <c r="EE242" i="5"/>
  <c r="EF242" i="5"/>
  <c r="EG242" i="5"/>
  <c r="EH242" i="5"/>
  <c r="EI242" i="5"/>
  <c r="EJ242" i="5"/>
  <c r="EK242" i="5"/>
  <c r="EL242" i="5"/>
  <c r="EM242" i="5"/>
  <c r="EN242" i="5"/>
  <c r="EO242" i="5"/>
  <c r="EP242" i="5"/>
  <c r="EQ242" i="5"/>
  <c r="ER242" i="5"/>
  <c r="ES242" i="5"/>
  <c r="ET242" i="5"/>
  <c r="EU242" i="5"/>
  <c r="EV242" i="5"/>
  <c r="EW242" i="5"/>
  <c r="EX242" i="5"/>
  <c r="EY242" i="5"/>
  <c r="EZ242" i="5"/>
  <c r="FA242" i="5"/>
  <c r="FB242" i="5"/>
  <c r="FC242" i="5"/>
  <c r="FD242" i="5"/>
  <c r="FE242" i="5"/>
  <c r="FF242" i="5"/>
  <c r="FG242" i="5"/>
  <c r="FH242" i="5"/>
  <c r="FI242" i="5"/>
  <c r="FJ242" i="5"/>
  <c r="FK242" i="5"/>
  <c r="FL242" i="5"/>
  <c r="FM242" i="5"/>
  <c r="FN242" i="5"/>
  <c r="FO242" i="5"/>
  <c r="FP242" i="5"/>
  <c r="FQ242" i="5"/>
  <c r="FR242" i="5"/>
  <c r="FS242" i="5"/>
  <c r="FT242" i="5"/>
  <c r="FU242" i="5"/>
  <c r="FV242" i="5"/>
  <c r="FW242" i="5"/>
  <c r="FX242" i="5"/>
  <c r="FY242" i="5"/>
  <c r="FZ242" i="5"/>
  <c r="GA242" i="5"/>
  <c r="GB242" i="5"/>
  <c r="GC242" i="5"/>
  <c r="GD242" i="5"/>
  <c r="GE242" i="5"/>
  <c r="GF242" i="5"/>
  <c r="GG242" i="5"/>
  <c r="GH242" i="5"/>
  <c r="GI242" i="5"/>
  <c r="GJ242" i="5"/>
  <c r="GK242" i="5"/>
  <c r="GL242" i="5"/>
  <c r="GM242" i="5"/>
  <c r="GN242" i="5"/>
  <c r="GO242" i="5"/>
  <c r="GP242" i="5"/>
  <c r="GQ242" i="5"/>
  <c r="GR242" i="5"/>
  <c r="GS242" i="5"/>
  <c r="GT242" i="5"/>
  <c r="GU242" i="5"/>
  <c r="GV242" i="5"/>
  <c r="GW242" i="5"/>
  <c r="GX242" i="5"/>
  <c r="GY242" i="5"/>
  <c r="GZ242" i="5"/>
  <c r="HA242" i="5"/>
  <c r="HB242" i="5"/>
  <c r="HC242" i="5"/>
  <c r="HD242" i="5"/>
  <c r="HE242" i="5"/>
  <c r="HF242" i="5"/>
  <c r="HG242" i="5"/>
  <c r="HH242" i="5"/>
  <c r="HI242" i="5"/>
  <c r="HJ242" i="5"/>
  <c r="HK242" i="5"/>
  <c r="HL242" i="5"/>
  <c r="HM242" i="5"/>
  <c r="HN242" i="5"/>
  <c r="HO242" i="5"/>
  <c r="HP242" i="5"/>
  <c r="HQ242" i="5"/>
  <c r="HR242" i="5"/>
  <c r="HS242" i="5"/>
  <c r="HT242" i="5"/>
  <c r="HU242" i="5"/>
  <c r="HV242" i="5"/>
  <c r="HW242" i="5"/>
  <c r="HX242" i="5"/>
  <c r="HY242" i="5"/>
  <c r="HZ242" i="5"/>
  <c r="IA242" i="5"/>
  <c r="IB242" i="5"/>
  <c r="IC242" i="5"/>
  <c r="ID242" i="5"/>
  <c r="IE242" i="5"/>
  <c r="IF242" i="5"/>
  <c r="IG242" i="5"/>
  <c r="IH242" i="5"/>
  <c r="II242" i="5"/>
  <c r="IJ242" i="5"/>
  <c r="IK242" i="5"/>
  <c r="IL242" i="5"/>
  <c r="IM242" i="5"/>
  <c r="IN242" i="5"/>
  <c r="IO242" i="5"/>
  <c r="IP242" i="5"/>
  <c r="IQ242" i="5"/>
  <c r="IR242" i="5"/>
  <c r="IS242" i="5"/>
  <c r="IT242" i="5"/>
  <c r="IU242" i="5"/>
  <c r="IV242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R243" i="5"/>
  <c r="AS243" i="5"/>
  <c r="AT243" i="5"/>
  <c r="AU243" i="5"/>
  <c r="AV243" i="5"/>
  <c r="AW243" i="5"/>
  <c r="AX243" i="5"/>
  <c r="AY243" i="5"/>
  <c r="AZ243" i="5"/>
  <c r="BA243" i="5"/>
  <c r="BB243" i="5"/>
  <c r="BC243" i="5"/>
  <c r="BD243" i="5"/>
  <c r="BE243" i="5"/>
  <c r="BF243" i="5"/>
  <c r="BG243" i="5"/>
  <c r="BH243" i="5"/>
  <c r="BI243" i="5"/>
  <c r="BJ243" i="5"/>
  <c r="BK243" i="5"/>
  <c r="BL243" i="5"/>
  <c r="BM243" i="5"/>
  <c r="BN243" i="5"/>
  <c r="BO243" i="5"/>
  <c r="BP243" i="5"/>
  <c r="BQ243" i="5"/>
  <c r="BR243" i="5"/>
  <c r="BS243" i="5"/>
  <c r="BT243" i="5"/>
  <c r="BU243" i="5"/>
  <c r="BV243" i="5"/>
  <c r="BW243" i="5"/>
  <c r="BX243" i="5"/>
  <c r="BY243" i="5"/>
  <c r="BZ243" i="5"/>
  <c r="CA243" i="5"/>
  <c r="CB243" i="5"/>
  <c r="CC243" i="5"/>
  <c r="CD243" i="5"/>
  <c r="CE243" i="5"/>
  <c r="CF243" i="5"/>
  <c r="CG243" i="5"/>
  <c r="CH243" i="5"/>
  <c r="CI243" i="5"/>
  <c r="CJ243" i="5"/>
  <c r="CK243" i="5"/>
  <c r="CL243" i="5"/>
  <c r="CM243" i="5"/>
  <c r="CN243" i="5"/>
  <c r="CO243" i="5"/>
  <c r="CP243" i="5"/>
  <c r="CQ243" i="5"/>
  <c r="CR243" i="5"/>
  <c r="CS243" i="5"/>
  <c r="CT243" i="5"/>
  <c r="CU243" i="5"/>
  <c r="CV243" i="5"/>
  <c r="CW243" i="5"/>
  <c r="CX243" i="5"/>
  <c r="CY243" i="5"/>
  <c r="CZ243" i="5"/>
  <c r="DA243" i="5"/>
  <c r="DB243" i="5"/>
  <c r="DC243" i="5"/>
  <c r="DD243" i="5"/>
  <c r="DE243" i="5"/>
  <c r="DF243" i="5"/>
  <c r="DG243" i="5"/>
  <c r="DH243" i="5"/>
  <c r="DI243" i="5"/>
  <c r="DJ243" i="5"/>
  <c r="DK243" i="5"/>
  <c r="DL243" i="5"/>
  <c r="DM243" i="5"/>
  <c r="DN243" i="5"/>
  <c r="DO243" i="5"/>
  <c r="DP243" i="5"/>
  <c r="DQ243" i="5"/>
  <c r="DR243" i="5"/>
  <c r="DS243" i="5"/>
  <c r="DT243" i="5"/>
  <c r="DU243" i="5"/>
  <c r="DV243" i="5"/>
  <c r="DW243" i="5"/>
  <c r="DX243" i="5"/>
  <c r="DY243" i="5"/>
  <c r="DZ243" i="5"/>
  <c r="EA243" i="5"/>
  <c r="EB243" i="5"/>
  <c r="EC243" i="5"/>
  <c r="ED243" i="5"/>
  <c r="EE243" i="5"/>
  <c r="EF243" i="5"/>
  <c r="EG243" i="5"/>
  <c r="EH243" i="5"/>
  <c r="EI243" i="5"/>
  <c r="EJ243" i="5"/>
  <c r="EK243" i="5"/>
  <c r="EL243" i="5"/>
  <c r="EM243" i="5"/>
  <c r="EN243" i="5"/>
  <c r="EO243" i="5"/>
  <c r="EP243" i="5"/>
  <c r="EQ243" i="5"/>
  <c r="ER243" i="5"/>
  <c r="ES243" i="5"/>
  <c r="ET243" i="5"/>
  <c r="EU243" i="5"/>
  <c r="EV243" i="5"/>
  <c r="EW243" i="5"/>
  <c r="EX243" i="5"/>
  <c r="EY243" i="5"/>
  <c r="EZ243" i="5"/>
  <c r="FA243" i="5"/>
  <c r="FB243" i="5"/>
  <c r="FC243" i="5"/>
  <c r="FD243" i="5"/>
  <c r="FE243" i="5"/>
  <c r="FF243" i="5"/>
  <c r="FG243" i="5"/>
  <c r="FH243" i="5"/>
  <c r="FI243" i="5"/>
  <c r="FJ243" i="5"/>
  <c r="FK243" i="5"/>
  <c r="FL243" i="5"/>
  <c r="FM243" i="5"/>
  <c r="FN243" i="5"/>
  <c r="FO243" i="5"/>
  <c r="FP243" i="5"/>
  <c r="FQ243" i="5"/>
  <c r="FR243" i="5"/>
  <c r="FS243" i="5"/>
  <c r="FT243" i="5"/>
  <c r="FU243" i="5"/>
  <c r="FV243" i="5"/>
  <c r="FW243" i="5"/>
  <c r="FX243" i="5"/>
  <c r="FY243" i="5"/>
  <c r="FZ243" i="5"/>
  <c r="GA243" i="5"/>
  <c r="GB243" i="5"/>
  <c r="GC243" i="5"/>
  <c r="GD243" i="5"/>
  <c r="GE243" i="5"/>
  <c r="GF243" i="5"/>
  <c r="GG243" i="5"/>
  <c r="GH243" i="5"/>
  <c r="GI243" i="5"/>
  <c r="GJ243" i="5"/>
  <c r="GK243" i="5"/>
  <c r="GL243" i="5"/>
  <c r="GM243" i="5"/>
  <c r="GN243" i="5"/>
  <c r="GO243" i="5"/>
  <c r="GP243" i="5"/>
  <c r="GQ243" i="5"/>
  <c r="GR243" i="5"/>
  <c r="GS243" i="5"/>
  <c r="GT243" i="5"/>
  <c r="GU243" i="5"/>
  <c r="GV243" i="5"/>
  <c r="GW243" i="5"/>
  <c r="GX243" i="5"/>
  <c r="GY243" i="5"/>
  <c r="GZ243" i="5"/>
  <c r="HA243" i="5"/>
  <c r="HB243" i="5"/>
  <c r="HC243" i="5"/>
  <c r="HD243" i="5"/>
  <c r="HE243" i="5"/>
  <c r="HF243" i="5"/>
  <c r="HG243" i="5"/>
  <c r="HH243" i="5"/>
  <c r="HI243" i="5"/>
  <c r="HJ243" i="5"/>
  <c r="HK243" i="5"/>
  <c r="HL243" i="5"/>
  <c r="HM243" i="5"/>
  <c r="HN243" i="5"/>
  <c r="HO243" i="5"/>
  <c r="HP243" i="5"/>
  <c r="HQ243" i="5"/>
  <c r="HR243" i="5"/>
  <c r="HS243" i="5"/>
  <c r="HT243" i="5"/>
  <c r="HU243" i="5"/>
  <c r="HV243" i="5"/>
  <c r="HW243" i="5"/>
  <c r="HX243" i="5"/>
  <c r="HY243" i="5"/>
  <c r="HZ243" i="5"/>
  <c r="IA243" i="5"/>
  <c r="IB243" i="5"/>
  <c r="IC243" i="5"/>
  <c r="ID243" i="5"/>
  <c r="IE243" i="5"/>
  <c r="IF243" i="5"/>
  <c r="IG243" i="5"/>
  <c r="IH243" i="5"/>
  <c r="II243" i="5"/>
  <c r="IJ243" i="5"/>
  <c r="IK243" i="5"/>
  <c r="IL243" i="5"/>
  <c r="IM243" i="5"/>
  <c r="IN243" i="5"/>
  <c r="IO243" i="5"/>
  <c r="IP243" i="5"/>
  <c r="IQ243" i="5"/>
  <c r="IR243" i="5"/>
  <c r="IS243" i="5"/>
  <c r="IT243" i="5"/>
  <c r="IU243" i="5"/>
  <c r="IV243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AJ244" i="5"/>
  <c r="AK244" i="5"/>
  <c r="AL244" i="5"/>
  <c r="AM244" i="5"/>
  <c r="AN244" i="5"/>
  <c r="AO244" i="5"/>
  <c r="AP244" i="5"/>
  <c r="AQ244" i="5"/>
  <c r="AR244" i="5"/>
  <c r="AS244" i="5"/>
  <c r="AT244" i="5"/>
  <c r="AU244" i="5"/>
  <c r="AV244" i="5"/>
  <c r="AW244" i="5"/>
  <c r="AX244" i="5"/>
  <c r="AY244" i="5"/>
  <c r="AZ244" i="5"/>
  <c r="BA244" i="5"/>
  <c r="BB244" i="5"/>
  <c r="BC244" i="5"/>
  <c r="BD244" i="5"/>
  <c r="BE244" i="5"/>
  <c r="BF244" i="5"/>
  <c r="BG244" i="5"/>
  <c r="BH244" i="5"/>
  <c r="BI244" i="5"/>
  <c r="BJ244" i="5"/>
  <c r="BK244" i="5"/>
  <c r="BL244" i="5"/>
  <c r="BM244" i="5"/>
  <c r="BN244" i="5"/>
  <c r="BO244" i="5"/>
  <c r="BP244" i="5"/>
  <c r="BQ244" i="5"/>
  <c r="BR244" i="5"/>
  <c r="BS244" i="5"/>
  <c r="BT244" i="5"/>
  <c r="BU244" i="5"/>
  <c r="BV244" i="5"/>
  <c r="BW244" i="5"/>
  <c r="BX244" i="5"/>
  <c r="BY244" i="5"/>
  <c r="BZ244" i="5"/>
  <c r="CA244" i="5"/>
  <c r="CB244" i="5"/>
  <c r="CC244" i="5"/>
  <c r="CD244" i="5"/>
  <c r="CE244" i="5"/>
  <c r="CF244" i="5"/>
  <c r="CG244" i="5"/>
  <c r="CH244" i="5"/>
  <c r="CI244" i="5"/>
  <c r="CJ244" i="5"/>
  <c r="CK244" i="5"/>
  <c r="CL244" i="5"/>
  <c r="CM244" i="5"/>
  <c r="CN244" i="5"/>
  <c r="CO244" i="5"/>
  <c r="CP244" i="5"/>
  <c r="CQ244" i="5"/>
  <c r="CR244" i="5"/>
  <c r="CS244" i="5"/>
  <c r="CT244" i="5"/>
  <c r="CU244" i="5"/>
  <c r="CV244" i="5"/>
  <c r="CW244" i="5"/>
  <c r="CX244" i="5"/>
  <c r="CY244" i="5"/>
  <c r="CZ244" i="5"/>
  <c r="DA244" i="5"/>
  <c r="DB244" i="5"/>
  <c r="DC244" i="5"/>
  <c r="DD244" i="5"/>
  <c r="DE244" i="5"/>
  <c r="DF244" i="5"/>
  <c r="DG244" i="5"/>
  <c r="DH244" i="5"/>
  <c r="DI244" i="5"/>
  <c r="DJ244" i="5"/>
  <c r="DK244" i="5"/>
  <c r="DL244" i="5"/>
  <c r="DM244" i="5"/>
  <c r="DN244" i="5"/>
  <c r="DO244" i="5"/>
  <c r="DP244" i="5"/>
  <c r="DQ244" i="5"/>
  <c r="DR244" i="5"/>
  <c r="DS244" i="5"/>
  <c r="DT244" i="5"/>
  <c r="DU244" i="5"/>
  <c r="DV244" i="5"/>
  <c r="DW244" i="5"/>
  <c r="DX244" i="5"/>
  <c r="DY244" i="5"/>
  <c r="DZ244" i="5"/>
  <c r="EA244" i="5"/>
  <c r="EB244" i="5"/>
  <c r="EC244" i="5"/>
  <c r="ED244" i="5"/>
  <c r="EE244" i="5"/>
  <c r="EF244" i="5"/>
  <c r="EG244" i="5"/>
  <c r="EH244" i="5"/>
  <c r="EI244" i="5"/>
  <c r="EJ244" i="5"/>
  <c r="EK244" i="5"/>
  <c r="EL244" i="5"/>
  <c r="EM244" i="5"/>
  <c r="EN244" i="5"/>
  <c r="EO244" i="5"/>
  <c r="EP244" i="5"/>
  <c r="EQ244" i="5"/>
  <c r="ER244" i="5"/>
  <c r="ES244" i="5"/>
  <c r="ET244" i="5"/>
  <c r="EU244" i="5"/>
  <c r="EV244" i="5"/>
  <c r="EW244" i="5"/>
  <c r="EX244" i="5"/>
  <c r="EY244" i="5"/>
  <c r="EZ244" i="5"/>
  <c r="FA244" i="5"/>
  <c r="FB244" i="5"/>
  <c r="FC244" i="5"/>
  <c r="FD244" i="5"/>
  <c r="FE244" i="5"/>
  <c r="FF244" i="5"/>
  <c r="FG244" i="5"/>
  <c r="FH244" i="5"/>
  <c r="FI244" i="5"/>
  <c r="FJ244" i="5"/>
  <c r="FK244" i="5"/>
  <c r="FL244" i="5"/>
  <c r="FM244" i="5"/>
  <c r="FN244" i="5"/>
  <c r="FO244" i="5"/>
  <c r="FP244" i="5"/>
  <c r="FQ244" i="5"/>
  <c r="FR244" i="5"/>
  <c r="FS244" i="5"/>
  <c r="FT244" i="5"/>
  <c r="FU244" i="5"/>
  <c r="FV244" i="5"/>
  <c r="FW244" i="5"/>
  <c r="FX244" i="5"/>
  <c r="FY244" i="5"/>
  <c r="FZ244" i="5"/>
  <c r="GA244" i="5"/>
  <c r="GB244" i="5"/>
  <c r="GC244" i="5"/>
  <c r="GD244" i="5"/>
  <c r="GE244" i="5"/>
  <c r="GF244" i="5"/>
  <c r="GG244" i="5"/>
  <c r="GH244" i="5"/>
  <c r="GI244" i="5"/>
  <c r="GJ244" i="5"/>
  <c r="GK244" i="5"/>
  <c r="GL244" i="5"/>
  <c r="GM244" i="5"/>
  <c r="GN244" i="5"/>
  <c r="GO244" i="5"/>
  <c r="GP244" i="5"/>
  <c r="GQ244" i="5"/>
  <c r="GR244" i="5"/>
  <c r="GS244" i="5"/>
  <c r="GT244" i="5"/>
  <c r="GU244" i="5"/>
  <c r="GV244" i="5"/>
  <c r="GW244" i="5"/>
  <c r="GX244" i="5"/>
  <c r="GY244" i="5"/>
  <c r="GZ244" i="5"/>
  <c r="HA244" i="5"/>
  <c r="HB244" i="5"/>
  <c r="HC244" i="5"/>
  <c r="HD244" i="5"/>
  <c r="HE244" i="5"/>
  <c r="HF244" i="5"/>
  <c r="HG244" i="5"/>
  <c r="HH244" i="5"/>
  <c r="HI244" i="5"/>
  <c r="HJ244" i="5"/>
  <c r="HK244" i="5"/>
  <c r="HL244" i="5"/>
  <c r="HM244" i="5"/>
  <c r="HN244" i="5"/>
  <c r="HO244" i="5"/>
  <c r="HP244" i="5"/>
  <c r="HQ244" i="5"/>
  <c r="HR244" i="5"/>
  <c r="HS244" i="5"/>
  <c r="HT244" i="5"/>
  <c r="HU244" i="5"/>
  <c r="HV244" i="5"/>
  <c r="HW244" i="5"/>
  <c r="HX244" i="5"/>
  <c r="HY244" i="5"/>
  <c r="HZ244" i="5"/>
  <c r="IA244" i="5"/>
  <c r="IB244" i="5"/>
  <c r="IC244" i="5"/>
  <c r="ID244" i="5"/>
  <c r="IE244" i="5"/>
  <c r="IF244" i="5"/>
  <c r="IG244" i="5"/>
  <c r="IH244" i="5"/>
  <c r="II244" i="5"/>
  <c r="IJ244" i="5"/>
  <c r="IK244" i="5"/>
  <c r="IL244" i="5"/>
  <c r="IM244" i="5"/>
  <c r="IN244" i="5"/>
  <c r="IO244" i="5"/>
  <c r="IP244" i="5"/>
  <c r="IQ244" i="5"/>
  <c r="IR244" i="5"/>
  <c r="IS244" i="5"/>
  <c r="IT244" i="5"/>
  <c r="IU244" i="5"/>
  <c r="IV244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AJ245" i="5"/>
  <c r="AK245" i="5"/>
  <c r="AL245" i="5"/>
  <c r="AM245" i="5"/>
  <c r="AN245" i="5"/>
  <c r="AO245" i="5"/>
  <c r="AP245" i="5"/>
  <c r="AQ245" i="5"/>
  <c r="AR245" i="5"/>
  <c r="AS245" i="5"/>
  <c r="AT245" i="5"/>
  <c r="AU245" i="5"/>
  <c r="AV245" i="5"/>
  <c r="AW245" i="5"/>
  <c r="AX245" i="5"/>
  <c r="AY245" i="5"/>
  <c r="AZ245" i="5"/>
  <c r="BA245" i="5"/>
  <c r="BB245" i="5"/>
  <c r="BC245" i="5"/>
  <c r="BD245" i="5"/>
  <c r="BE245" i="5"/>
  <c r="BF245" i="5"/>
  <c r="BG245" i="5"/>
  <c r="BH245" i="5"/>
  <c r="BI245" i="5"/>
  <c r="BJ245" i="5"/>
  <c r="BK245" i="5"/>
  <c r="BL245" i="5"/>
  <c r="BM245" i="5"/>
  <c r="BN245" i="5"/>
  <c r="BO245" i="5"/>
  <c r="BP245" i="5"/>
  <c r="BQ245" i="5"/>
  <c r="BR245" i="5"/>
  <c r="BS245" i="5"/>
  <c r="BT245" i="5"/>
  <c r="BU245" i="5"/>
  <c r="BV245" i="5"/>
  <c r="BW245" i="5"/>
  <c r="BX245" i="5"/>
  <c r="BY245" i="5"/>
  <c r="BZ245" i="5"/>
  <c r="CA245" i="5"/>
  <c r="CB245" i="5"/>
  <c r="CC245" i="5"/>
  <c r="CD245" i="5"/>
  <c r="CE245" i="5"/>
  <c r="CF245" i="5"/>
  <c r="CG245" i="5"/>
  <c r="CH245" i="5"/>
  <c r="CI245" i="5"/>
  <c r="CJ245" i="5"/>
  <c r="CK245" i="5"/>
  <c r="CL245" i="5"/>
  <c r="CM245" i="5"/>
  <c r="CN245" i="5"/>
  <c r="CO245" i="5"/>
  <c r="CP245" i="5"/>
  <c r="CQ245" i="5"/>
  <c r="CR245" i="5"/>
  <c r="CS245" i="5"/>
  <c r="CT245" i="5"/>
  <c r="CU245" i="5"/>
  <c r="CV245" i="5"/>
  <c r="CW245" i="5"/>
  <c r="CX245" i="5"/>
  <c r="CY245" i="5"/>
  <c r="CZ245" i="5"/>
  <c r="DA245" i="5"/>
  <c r="DB245" i="5"/>
  <c r="DC245" i="5"/>
  <c r="DD245" i="5"/>
  <c r="DE245" i="5"/>
  <c r="DF245" i="5"/>
  <c r="DG245" i="5"/>
  <c r="DH245" i="5"/>
  <c r="DI245" i="5"/>
  <c r="DJ245" i="5"/>
  <c r="DK245" i="5"/>
  <c r="DL245" i="5"/>
  <c r="DM245" i="5"/>
  <c r="DN245" i="5"/>
  <c r="DO245" i="5"/>
  <c r="DP245" i="5"/>
  <c r="DQ245" i="5"/>
  <c r="DR245" i="5"/>
  <c r="DS245" i="5"/>
  <c r="DT245" i="5"/>
  <c r="DU245" i="5"/>
  <c r="DV245" i="5"/>
  <c r="DW245" i="5"/>
  <c r="DX245" i="5"/>
  <c r="DY245" i="5"/>
  <c r="DZ245" i="5"/>
  <c r="EA245" i="5"/>
  <c r="EB245" i="5"/>
  <c r="EC245" i="5"/>
  <c r="ED245" i="5"/>
  <c r="EE245" i="5"/>
  <c r="EF245" i="5"/>
  <c r="EG245" i="5"/>
  <c r="EH245" i="5"/>
  <c r="EI245" i="5"/>
  <c r="EJ245" i="5"/>
  <c r="EK245" i="5"/>
  <c r="EL245" i="5"/>
  <c r="EM245" i="5"/>
  <c r="EN245" i="5"/>
  <c r="EO245" i="5"/>
  <c r="EP245" i="5"/>
  <c r="EQ245" i="5"/>
  <c r="ER245" i="5"/>
  <c r="ES245" i="5"/>
  <c r="ET245" i="5"/>
  <c r="EU245" i="5"/>
  <c r="EV245" i="5"/>
  <c r="EW245" i="5"/>
  <c r="EX245" i="5"/>
  <c r="EY245" i="5"/>
  <c r="EZ245" i="5"/>
  <c r="FA245" i="5"/>
  <c r="FB245" i="5"/>
  <c r="FC245" i="5"/>
  <c r="FD245" i="5"/>
  <c r="FE245" i="5"/>
  <c r="FF245" i="5"/>
  <c r="FG245" i="5"/>
  <c r="FH245" i="5"/>
  <c r="FI245" i="5"/>
  <c r="FJ245" i="5"/>
  <c r="FK245" i="5"/>
  <c r="FL245" i="5"/>
  <c r="FM245" i="5"/>
  <c r="FN245" i="5"/>
  <c r="FO245" i="5"/>
  <c r="FP245" i="5"/>
  <c r="FQ245" i="5"/>
  <c r="FR245" i="5"/>
  <c r="FS245" i="5"/>
  <c r="FT245" i="5"/>
  <c r="FU245" i="5"/>
  <c r="FV245" i="5"/>
  <c r="FW245" i="5"/>
  <c r="FX245" i="5"/>
  <c r="FY245" i="5"/>
  <c r="FZ245" i="5"/>
  <c r="GA245" i="5"/>
  <c r="GB245" i="5"/>
  <c r="GC245" i="5"/>
  <c r="GD245" i="5"/>
  <c r="GE245" i="5"/>
  <c r="GF245" i="5"/>
  <c r="GG245" i="5"/>
  <c r="GH245" i="5"/>
  <c r="GI245" i="5"/>
  <c r="GJ245" i="5"/>
  <c r="GK245" i="5"/>
  <c r="GL245" i="5"/>
  <c r="GM245" i="5"/>
  <c r="GN245" i="5"/>
  <c r="GO245" i="5"/>
  <c r="GP245" i="5"/>
  <c r="GQ245" i="5"/>
  <c r="GR245" i="5"/>
  <c r="GS245" i="5"/>
  <c r="GT245" i="5"/>
  <c r="GU245" i="5"/>
  <c r="GV245" i="5"/>
  <c r="GW245" i="5"/>
  <c r="GX245" i="5"/>
  <c r="GY245" i="5"/>
  <c r="GZ245" i="5"/>
  <c r="HA245" i="5"/>
  <c r="HB245" i="5"/>
  <c r="HC245" i="5"/>
  <c r="HD245" i="5"/>
  <c r="HE245" i="5"/>
  <c r="HF245" i="5"/>
  <c r="HG245" i="5"/>
  <c r="HH245" i="5"/>
  <c r="HI245" i="5"/>
  <c r="HJ245" i="5"/>
  <c r="HK245" i="5"/>
  <c r="HL245" i="5"/>
  <c r="HM245" i="5"/>
  <c r="HN245" i="5"/>
  <c r="HO245" i="5"/>
  <c r="HP245" i="5"/>
  <c r="HQ245" i="5"/>
  <c r="HR245" i="5"/>
  <c r="HS245" i="5"/>
  <c r="HT245" i="5"/>
  <c r="HU245" i="5"/>
  <c r="HV245" i="5"/>
  <c r="HW245" i="5"/>
  <c r="HX245" i="5"/>
  <c r="HY245" i="5"/>
  <c r="HZ245" i="5"/>
  <c r="IA245" i="5"/>
  <c r="IB245" i="5"/>
  <c r="IC245" i="5"/>
  <c r="ID245" i="5"/>
  <c r="IE245" i="5"/>
  <c r="IF245" i="5"/>
  <c r="IG245" i="5"/>
  <c r="IH245" i="5"/>
  <c r="II245" i="5"/>
  <c r="IJ245" i="5"/>
  <c r="IK245" i="5"/>
  <c r="IL245" i="5"/>
  <c r="IM245" i="5"/>
  <c r="IN245" i="5"/>
  <c r="IO245" i="5"/>
  <c r="IP245" i="5"/>
  <c r="IQ245" i="5"/>
  <c r="IR245" i="5"/>
  <c r="IS245" i="5"/>
  <c r="IT245" i="5"/>
  <c r="IU245" i="5"/>
  <c r="IV245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AJ246" i="5"/>
  <c r="AK246" i="5"/>
  <c r="AL246" i="5"/>
  <c r="AM246" i="5"/>
  <c r="AN246" i="5"/>
  <c r="AO246" i="5"/>
  <c r="AP246" i="5"/>
  <c r="AQ246" i="5"/>
  <c r="AR246" i="5"/>
  <c r="AS246" i="5"/>
  <c r="AT246" i="5"/>
  <c r="AU246" i="5"/>
  <c r="AV246" i="5"/>
  <c r="AW246" i="5"/>
  <c r="AX246" i="5"/>
  <c r="AY246" i="5"/>
  <c r="AZ246" i="5"/>
  <c r="BA246" i="5"/>
  <c r="BB246" i="5"/>
  <c r="BC246" i="5"/>
  <c r="BD246" i="5"/>
  <c r="BE246" i="5"/>
  <c r="BF246" i="5"/>
  <c r="BG246" i="5"/>
  <c r="BH246" i="5"/>
  <c r="BI246" i="5"/>
  <c r="BJ246" i="5"/>
  <c r="BK246" i="5"/>
  <c r="BL246" i="5"/>
  <c r="BM246" i="5"/>
  <c r="BN246" i="5"/>
  <c r="BO246" i="5"/>
  <c r="BP246" i="5"/>
  <c r="BQ246" i="5"/>
  <c r="BR246" i="5"/>
  <c r="BS246" i="5"/>
  <c r="BT246" i="5"/>
  <c r="BU246" i="5"/>
  <c r="BV246" i="5"/>
  <c r="BW246" i="5"/>
  <c r="BX246" i="5"/>
  <c r="BY246" i="5"/>
  <c r="BZ246" i="5"/>
  <c r="CA246" i="5"/>
  <c r="CB246" i="5"/>
  <c r="CC246" i="5"/>
  <c r="CD246" i="5"/>
  <c r="CE246" i="5"/>
  <c r="CF246" i="5"/>
  <c r="CG246" i="5"/>
  <c r="CH246" i="5"/>
  <c r="CI246" i="5"/>
  <c r="CJ246" i="5"/>
  <c r="CK246" i="5"/>
  <c r="CL246" i="5"/>
  <c r="CM246" i="5"/>
  <c r="CN246" i="5"/>
  <c r="CO246" i="5"/>
  <c r="CP246" i="5"/>
  <c r="CQ246" i="5"/>
  <c r="CR246" i="5"/>
  <c r="CS246" i="5"/>
  <c r="CT246" i="5"/>
  <c r="CU246" i="5"/>
  <c r="CV246" i="5"/>
  <c r="CW246" i="5"/>
  <c r="CX246" i="5"/>
  <c r="CY246" i="5"/>
  <c r="CZ246" i="5"/>
  <c r="DA246" i="5"/>
  <c r="DB246" i="5"/>
  <c r="DC246" i="5"/>
  <c r="DD246" i="5"/>
  <c r="DE246" i="5"/>
  <c r="DF246" i="5"/>
  <c r="DG246" i="5"/>
  <c r="DH246" i="5"/>
  <c r="DI246" i="5"/>
  <c r="DJ246" i="5"/>
  <c r="DK246" i="5"/>
  <c r="DL246" i="5"/>
  <c r="DM246" i="5"/>
  <c r="DN246" i="5"/>
  <c r="DO246" i="5"/>
  <c r="DP246" i="5"/>
  <c r="DQ246" i="5"/>
  <c r="DR246" i="5"/>
  <c r="DS246" i="5"/>
  <c r="DT246" i="5"/>
  <c r="DU246" i="5"/>
  <c r="DV246" i="5"/>
  <c r="DW246" i="5"/>
  <c r="DX246" i="5"/>
  <c r="DY246" i="5"/>
  <c r="DZ246" i="5"/>
  <c r="EA246" i="5"/>
  <c r="EB246" i="5"/>
  <c r="EC246" i="5"/>
  <c r="ED246" i="5"/>
  <c r="EE246" i="5"/>
  <c r="EF246" i="5"/>
  <c r="EG246" i="5"/>
  <c r="EH246" i="5"/>
  <c r="EI246" i="5"/>
  <c r="EJ246" i="5"/>
  <c r="EK246" i="5"/>
  <c r="EL246" i="5"/>
  <c r="EM246" i="5"/>
  <c r="EN246" i="5"/>
  <c r="EO246" i="5"/>
  <c r="EP246" i="5"/>
  <c r="EQ246" i="5"/>
  <c r="ER246" i="5"/>
  <c r="ES246" i="5"/>
  <c r="ET246" i="5"/>
  <c r="EU246" i="5"/>
  <c r="EV246" i="5"/>
  <c r="EW246" i="5"/>
  <c r="EX246" i="5"/>
  <c r="EY246" i="5"/>
  <c r="EZ246" i="5"/>
  <c r="FA246" i="5"/>
  <c r="FB246" i="5"/>
  <c r="FC246" i="5"/>
  <c r="FD246" i="5"/>
  <c r="FE246" i="5"/>
  <c r="FF246" i="5"/>
  <c r="FG246" i="5"/>
  <c r="FH246" i="5"/>
  <c r="FI246" i="5"/>
  <c r="FJ246" i="5"/>
  <c r="FK246" i="5"/>
  <c r="FL246" i="5"/>
  <c r="FM246" i="5"/>
  <c r="FN246" i="5"/>
  <c r="FO246" i="5"/>
  <c r="FP246" i="5"/>
  <c r="FQ246" i="5"/>
  <c r="FR246" i="5"/>
  <c r="FS246" i="5"/>
  <c r="FT246" i="5"/>
  <c r="FU246" i="5"/>
  <c r="FV246" i="5"/>
  <c r="FW246" i="5"/>
  <c r="FX246" i="5"/>
  <c r="FY246" i="5"/>
  <c r="FZ246" i="5"/>
  <c r="GA246" i="5"/>
  <c r="GB246" i="5"/>
  <c r="GC246" i="5"/>
  <c r="GD246" i="5"/>
  <c r="GE246" i="5"/>
  <c r="GF246" i="5"/>
  <c r="GG246" i="5"/>
  <c r="GH246" i="5"/>
  <c r="GI246" i="5"/>
  <c r="GJ246" i="5"/>
  <c r="GK246" i="5"/>
  <c r="GL246" i="5"/>
  <c r="GM246" i="5"/>
  <c r="GN246" i="5"/>
  <c r="GO246" i="5"/>
  <c r="GP246" i="5"/>
  <c r="GQ246" i="5"/>
  <c r="GR246" i="5"/>
  <c r="GS246" i="5"/>
  <c r="GT246" i="5"/>
  <c r="GU246" i="5"/>
  <c r="GV246" i="5"/>
  <c r="GW246" i="5"/>
  <c r="GX246" i="5"/>
  <c r="GY246" i="5"/>
  <c r="GZ246" i="5"/>
  <c r="HA246" i="5"/>
  <c r="HB246" i="5"/>
  <c r="HC246" i="5"/>
  <c r="HD246" i="5"/>
  <c r="HE246" i="5"/>
  <c r="HF246" i="5"/>
  <c r="HG246" i="5"/>
  <c r="HH246" i="5"/>
  <c r="HI246" i="5"/>
  <c r="HJ246" i="5"/>
  <c r="HK246" i="5"/>
  <c r="HL246" i="5"/>
  <c r="HM246" i="5"/>
  <c r="HN246" i="5"/>
  <c r="HO246" i="5"/>
  <c r="HP246" i="5"/>
  <c r="HQ246" i="5"/>
  <c r="HR246" i="5"/>
  <c r="HS246" i="5"/>
  <c r="HT246" i="5"/>
  <c r="HU246" i="5"/>
  <c r="HV246" i="5"/>
  <c r="HW246" i="5"/>
  <c r="HX246" i="5"/>
  <c r="HY246" i="5"/>
  <c r="HZ246" i="5"/>
  <c r="IA246" i="5"/>
  <c r="IB246" i="5"/>
  <c r="IC246" i="5"/>
  <c r="ID246" i="5"/>
  <c r="IE246" i="5"/>
  <c r="IF246" i="5"/>
  <c r="IG246" i="5"/>
  <c r="IH246" i="5"/>
  <c r="II246" i="5"/>
  <c r="IJ246" i="5"/>
  <c r="IK246" i="5"/>
  <c r="IL246" i="5"/>
  <c r="IM246" i="5"/>
  <c r="IN246" i="5"/>
  <c r="IO246" i="5"/>
  <c r="IP246" i="5"/>
  <c r="IQ246" i="5"/>
  <c r="IR246" i="5"/>
  <c r="IS246" i="5"/>
  <c r="IT246" i="5"/>
  <c r="IU246" i="5"/>
  <c r="IV246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AR247" i="5"/>
  <c r="AS247" i="5"/>
  <c r="AT247" i="5"/>
  <c r="AU247" i="5"/>
  <c r="AV247" i="5"/>
  <c r="AW247" i="5"/>
  <c r="AX247" i="5"/>
  <c r="AY247" i="5"/>
  <c r="AZ247" i="5"/>
  <c r="BA247" i="5"/>
  <c r="BB247" i="5"/>
  <c r="BC247" i="5"/>
  <c r="BD247" i="5"/>
  <c r="BE247" i="5"/>
  <c r="BF247" i="5"/>
  <c r="BG247" i="5"/>
  <c r="BH247" i="5"/>
  <c r="BI247" i="5"/>
  <c r="BJ247" i="5"/>
  <c r="BK247" i="5"/>
  <c r="BL247" i="5"/>
  <c r="BM247" i="5"/>
  <c r="BN247" i="5"/>
  <c r="BO247" i="5"/>
  <c r="BP247" i="5"/>
  <c r="BQ247" i="5"/>
  <c r="BR247" i="5"/>
  <c r="BS247" i="5"/>
  <c r="BT247" i="5"/>
  <c r="BU247" i="5"/>
  <c r="BV247" i="5"/>
  <c r="BW247" i="5"/>
  <c r="BX247" i="5"/>
  <c r="BY247" i="5"/>
  <c r="BZ247" i="5"/>
  <c r="CA247" i="5"/>
  <c r="CB247" i="5"/>
  <c r="CC247" i="5"/>
  <c r="CD247" i="5"/>
  <c r="CE247" i="5"/>
  <c r="CF247" i="5"/>
  <c r="CG247" i="5"/>
  <c r="CH247" i="5"/>
  <c r="CI247" i="5"/>
  <c r="CJ247" i="5"/>
  <c r="CK247" i="5"/>
  <c r="CL247" i="5"/>
  <c r="CM247" i="5"/>
  <c r="CN247" i="5"/>
  <c r="CO247" i="5"/>
  <c r="CP247" i="5"/>
  <c r="CQ247" i="5"/>
  <c r="CR247" i="5"/>
  <c r="CS247" i="5"/>
  <c r="CT247" i="5"/>
  <c r="CU247" i="5"/>
  <c r="CV247" i="5"/>
  <c r="CW247" i="5"/>
  <c r="CX247" i="5"/>
  <c r="CY247" i="5"/>
  <c r="CZ247" i="5"/>
  <c r="DA247" i="5"/>
  <c r="DB247" i="5"/>
  <c r="DC247" i="5"/>
  <c r="DD247" i="5"/>
  <c r="DE247" i="5"/>
  <c r="DF247" i="5"/>
  <c r="DG247" i="5"/>
  <c r="FG236" i="5"/>
  <c r="FH236" i="5"/>
  <c r="FI236" i="5"/>
  <c r="FJ236" i="5"/>
  <c r="FK236" i="5"/>
  <c r="FL236" i="5"/>
  <c r="FM236" i="5"/>
  <c r="FN236" i="5"/>
  <c r="FO236" i="5"/>
  <c r="FP236" i="5"/>
  <c r="FQ236" i="5"/>
  <c r="FR236" i="5"/>
  <c r="FS236" i="5"/>
  <c r="FT236" i="5"/>
  <c r="FU236" i="5"/>
  <c r="FV236" i="5"/>
  <c r="FW236" i="5"/>
  <c r="FX236" i="5"/>
  <c r="FY236" i="5"/>
  <c r="FZ236" i="5"/>
  <c r="GA236" i="5"/>
  <c r="GB236" i="5"/>
  <c r="GC236" i="5"/>
  <c r="GD236" i="5"/>
  <c r="GE236" i="5"/>
  <c r="GF236" i="5"/>
  <c r="GG236" i="5"/>
  <c r="GH236" i="5"/>
  <c r="GI236" i="5"/>
  <c r="GJ236" i="5"/>
  <c r="GK236" i="5"/>
  <c r="GL236" i="5"/>
  <c r="GM236" i="5"/>
  <c r="GN236" i="5"/>
  <c r="GO236" i="5"/>
  <c r="GP236" i="5"/>
  <c r="GQ236" i="5"/>
  <c r="GR236" i="5"/>
  <c r="GS236" i="5"/>
  <c r="GT236" i="5"/>
  <c r="GU236" i="5"/>
  <c r="GV236" i="5"/>
  <c r="GW236" i="5"/>
  <c r="GX236" i="5"/>
  <c r="GY236" i="5"/>
  <c r="GZ236" i="5"/>
  <c r="HA236" i="5"/>
  <c r="HB236" i="5"/>
  <c r="HC236" i="5"/>
  <c r="HD236" i="5"/>
  <c r="HE236" i="5"/>
  <c r="HF236" i="5"/>
  <c r="HG236" i="5"/>
  <c r="HH236" i="5"/>
  <c r="HI236" i="5"/>
  <c r="HJ236" i="5"/>
  <c r="HK236" i="5"/>
  <c r="HL236" i="5"/>
  <c r="HM236" i="5"/>
  <c r="HN236" i="5"/>
  <c r="HO236" i="5"/>
  <c r="HP236" i="5"/>
  <c r="HQ236" i="5"/>
  <c r="HR236" i="5"/>
  <c r="HS236" i="5"/>
  <c r="HT236" i="5"/>
  <c r="HU236" i="5"/>
  <c r="HV236" i="5"/>
  <c r="HW236" i="5"/>
  <c r="HX236" i="5"/>
  <c r="HY236" i="5"/>
  <c r="HZ236" i="5"/>
  <c r="IA236" i="5"/>
  <c r="IB236" i="5"/>
  <c r="IC236" i="5"/>
  <c r="ID236" i="5"/>
  <c r="IE236" i="5"/>
  <c r="IF236" i="5"/>
  <c r="IG236" i="5"/>
  <c r="IH236" i="5"/>
  <c r="II236" i="5"/>
  <c r="IJ236" i="5"/>
  <c r="IK236" i="5"/>
  <c r="IL236" i="5"/>
  <c r="IM236" i="5"/>
  <c r="IN236" i="5"/>
  <c r="IO236" i="5"/>
  <c r="IP236" i="5"/>
  <c r="IQ236" i="5"/>
  <c r="IR236" i="5"/>
  <c r="IS236" i="5"/>
  <c r="IT236" i="5"/>
  <c r="IU236" i="5"/>
  <c r="IV236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2" i="3"/>
  <c r="EZ236" i="5" l="1"/>
  <c r="FA236" i="5"/>
  <c r="FB236" i="5"/>
  <c r="FC236" i="5"/>
  <c r="FD236" i="5"/>
  <c r="FE236" i="5"/>
  <c r="FF236" i="5"/>
  <c r="G21" i="6"/>
  <c r="F21" i="6"/>
  <c r="E21" i="6"/>
  <c r="D21" i="6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R235" i="5"/>
  <c r="AS235" i="5"/>
  <c r="AT235" i="5"/>
  <c r="AU235" i="5"/>
  <c r="AV235" i="5"/>
  <c r="AW235" i="5"/>
  <c r="AX235" i="5"/>
  <c r="AY235" i="5"/>
  <c r="AZ235" i="5"/>
  <c r="BA235" i="5"/>
  <c r="BB235" i="5"/>
  <c r="BC235" i="5"/>
  <c r="BD235" i="5"/>
  <c r="BE235" i="5"/>
  <c r="BF235" i="5"/>
  <c r="BG235" i="5"/>
  <c r="BH235" i="5"/>
  <c r="BI235" i="5"/>
  <c r="BJ235" i="5"/>
  <c r="BK235" i="5"/>
  <c r="BL235" i="5"/>
  <c r="BM235" i="5"/>
  <c r="BN235" i="5"/>
  <c r="BO235" i="5"/>
  <c r="BP235" i="5"/>
  <c r="BQ235" i="5"/>
  <c r="BR235" i="5"/>
  <c r="BS235" i="5"/>
  <c r="BT235" i="5"/>
  <c r="BU235" i="5"/>
  <c r="BV235" i="5"/>
  <c r="BW235" i="5"/>
  <c r="BX235" i="5"/>
  <c r="BY235" i="5"/>
  <c r="BZ235" i="5"/>
  <c r="CA235" i="5"/>
  <c r="CB235" i="5"/>
  <c r="CC235" i="5"/>
  <c r="CD235" i="5"/>
  <c r="CE235" i="5"/>
  <c r="CF235" i="5"/>
  <c r="CG235" i="5"/>
  <c r="CH235" i="5"/>
  <c r="CI235" i="5"/>
  <c r="CJ235" i="5"/>
  <c r="CK235" i="5"/>
  <c r="CL235" i="5"/>
  <c r="CM235" i="5"/>
  <c r="CN235" i="5"/>
  <c r="CO235" i="5"/>
  <c r="CP235" i="5"/>
  <c r="CQ235" i="5"/>
  <c r="CR235" i="5"/>
  <c r="CS235" i="5"/>
  <c r="CT235" i="5"/>
  <c r="CU235" i="5"/>
  <c r="CV235" i="5"/>
  <c r="CW235" i="5"/>
  <c r="CX235" i="5"/>
  <c r="CY235" i="5"/>
  <c r="CZ235" i="5"/>
  <c r="DA235" i="5"/>
  <c r="DB235" i="5"/>
  <c r="DC235" i="5"/>
  <c r="DD235" i="5"/>
  <c r="DE235" i="5"/>
  <c r="DF235" i="5"/>
  <c r="DG235" i="5"/>
  <c r="DH235" i="5"/>
  <c r="DI235" i="5"/>
  <c r="DJ235" i="5"/>
  <c r="DK235" i="5"/>
  <c r="DL235" i="5"/>
  <c r="DM235" i="5"/>
  <c r="DN235" i="5"/>
  <c r="DO235" i="5"/>
  <c r="DP235" i="5"/>
  <c r="DQ235" i="5"/>
  <c r="DR235" i="5"/>
  <c r="DS235" i="5"/>
  <c r="DT235" i="5"/>
  <c r="DU235" i="5"/>
  <c r="DV235" i="5"/>
  <c r="DW235" i="5"/>
  <c r="DX235" i="5"/>
  <c r="DY235" i="5"/>
  <c r="DZ235" i="5"/>
  <c r="EA235" i="5"/>
  <c r="EB235" i="5"/>
  <c r="EC235" i="5"/>
  <c r="ED235" i="5"/>
  <c r="EE235" i="5"/>
  <c r="EF235" i="5"/>
  <c r="EG235" i="5"/>
  <c r="EH235" i="5"/>
  <c r="EI235" i="5"/>
  <c r="EJ235" i="5"/>
  <c r="EK235" i="5"/>
  <c r="EL235" i="5"/>
  <c r="EM235" i="5"/>
  <c r="EN235" i="5"/>
  <c r="EO235" i="5"/>
  <c r="EP235" i="5"/>
  <c r="EQ235" i="5"/>
  <c r="ER235" i="5"/>
  <c r="ES235" i="5"/>
  <c r="ET235" i="5"/>
  <c r="EU235" i="5"/>
  <c r="EV235" i="5"/>
  <c r="EW235" i="5"/>
  <c r="EX235" i="5"/>
  <c r="EY235" i="5"/>
  <c r="EZ235" i="5"/>
  <c r="FA235" i="5"/>
  <c r="FB235" i="5"/>
  <c r="FC235" i="5"/>
  <c r="FD235" i="5"/>
  <c r="FE235" i="5"/>
  <c r="FF235" i="5"/>
  <c r="FG235" i="5"/>
  <c r="FH235" i="5"/>
  <c r="FI235" i="5"/>
  <c r="FJ235" i="5"/>
  <c r="FK235" i="5"/>
  <c r="FL235" i="5"/>
  <c r="FM235" i="5"/>
  <c r="FN235" i="5"/>
  <c r="FO235" i="5"/>
  <c r="FP235" i="5"/>
  <c r="FQ235" i="5"/>
  <c r="FR235" i="5"/>
  <c r="FS235" i="5"/>
  <c r="FT235" i="5"/>
  <c r="FU235" i="5"/>
  <c r="FV235" i="5"/>
  <c r="FW235" i="5"/>
  <c r="FX235" i="5"/>
  <c r="FY235" i="5"/>
  <c r="FZ235" i="5"/>
  <c r="GA235" i="5"/>
  <c r="GB235" i="5"/>
  <c r="GC235" i="5"/>
  <c r="GD235" i="5"/>
  <c r="GE235" i="5"/>
  <c r="GF235" i="5"/>
  <c r="GG235" i="5"/>
  <c r="GH235" i="5"/>
  <c r="GI235" i="5"/>
  <c r="GJ235" i="5"/>
  <c r="GK235" i="5"/>
  <c r="GL235" i="5"/>
  <c r="GM235" i="5"/>
  <c r="GN235" i="5"/>
  <c r="GO235" i="5"/>
  <c r="GP235" i="5"/>
  <c r="GQ235" i="5"/>
  <c r="GR235" i="5"/>
  <c r="GS235" i="5"/>
  <c r="GT235" i="5"/>
  <c r="GU235" i="5"/>
  <c r="GV235" i="5"/>
  <c r="GW235" i="5"/>
  <c r="GX235" i="5"/>
  <c r="GY235" i="5"/>
  <c r="GZ235" i="5"/>
  <c r="HA235" i="5"/>
  <c r="HB235" i="5"/>
  <c r="HC235" i="5"/>
  <c r="HD235" i="5"/>
  <c r="HE235" i="5"/>
  <c r="HF235" i="5"/>
  <c r="HG235" i="5"/>
  <c r="HH235" i="5"/>
  <c r="HI235" i="5"/>
  <c r="HJ235" i="5"/>
  <c r="HK235" i="5"/>
  <c r="HL235" i="5"/>
  <c r="HM235" i="5"/>
  <c r="HN235" i="5"/>
  <c r="HO235" i="5"/>
  <c r="HP235" i="5"/>
  <c r="HQ235" i="5"/>
  <c r="HR235" i="5"/>
  <c r="HS235" i="5"/>
  <c r="HT235" i="5"/>
  <c r="HU235" i="5"/>
  <c r="HV235" i="5"/>
  <c r="HW235" i="5"/>
  <c r="HX235" i="5"/>
  <c r="HY235" i="5"/>
  <c r="HZ235" i="5"/>
  <c r="IA235" i="5"/>
  <c r="IB235" i="5"/>
  <c r="IC235" i="5"/>
  <c r="ID235" i="5"/>
  <c r="IE235" i="5"/>
  <c r="IF235" i="5"/>
  <c r="IG235" i="5"/>
  <c r="IH235" i="5"/>
  <c r="II235" i="5"/>
  <c r="IJ235" i="5"/>
  <c r="IK235" i="5"/>
  <c r="IL235" i="5"/>
  <c r="IM235" i="5"/>
  <c r="IN235" i="5"/>
  <c r="IO235" i="5"/>
  <c r="IP235" i="5"/>
  <c r="IQ235" i="5"/>
  <c r="IR235" i="5"/>
  <c r="IS235" i="5"/>
  <c r="IT235" i="5"/>
  <c r="IU235" i="5"/>
  <c r="IV235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K236" i="5"/>
  <c r="AL236" i="5"/>
  <c r="AM236" i="5"/>
  <c r="AN236" i="5"/>
  <c r="AO236" i="5"/>
  <c r="AP236" i="5"/>
  <c r="AQ236" i="5"/>
  <c r="AR236" i="5"/>
  <c r="AS236" i="5"/>
  <c r="AU236" i="5"/>
  <c r="AV236" i="5"/>
  <c r="AW236" i="5"/>
  <c r="AX236" i="5"/>
  <c r="AY236" i="5"/>
  <c r="AZ236" i="5"/>
  <c r="BB236" i="5"/>
  <c r="BC236" i="5"/>
  <c r="BD236" i="5"/>
  <c r="BE236" i="5"/>
  <c r="BF236" i="5"/>
  <c r="BG236" i="5"/>
  <c r="BI236" i="5"/>
  <c r="BJ236" i="5"/>
  <c r="BK236" i="5"/>
  <c r="BL236" i="5"/>
  <c r="BM236" i="5"/>
  <c r="BN236" i="5"/>
  <c r="BP236" i="5"/>
  <c r="BQ236" i="5"/>
  <c r="BR236" i="5"/>
  <c r="BS236" i="5"/>
  <c r="BT236" i="5"/>
  <c r="BU236" i="5"/>
  <c r="BW236" i="5"/>
  <c r="BX236" i="5"/>
  <c r="BY236" i="5"/>
  <c r="BZ236" i="5"/>
  <c r="CA236" i="5"/>
  <c r="CB236" i="5"/>
  <c r="CD236" i="5"/>
  <c r="CE236" i="5"/>
  <c r="CF236" i="5"/>
  <c r="CG236" i="5"/>
  <c r="CH236" i="5"/>
  <c r="CI236" i="5"/>
  <c r="CK236" i="5"/>
  <c r="CL236" i="5"/>
  <c r="CM236" i="5"/>
  <c r="CN236" i="5"/>
  <c r="CO236" i="5"/>
  <c r="CP236" i="5"/>
  <c r="CR236" i="5"/>
  <c r="CS236" i="5"/>
  <c r="CT236" i="5"/>
  <c r="CU236" i="5"/>
  <c r="CV236" i="5"/>
  <c r="CW236" i="5"/>
  <c r="CY236" i="5"/>
  <c r="CZ236" i="5"/>
  <c r="DA236" i="5"/>
  <c r="DB236" i="5"/>
  <c r="DC236" i="5"/>
  <c r="DD236" i="5"/>
  <c r="DF236" i="5"/>
  <c r="DG236" i="5"/>
  <c r="DH236" i="5"/>
  <c r="DI236" i="5"/>
  <c r="DJ236" i="5"/>
  <c r="DK236" i="5"/>
  <c r="DM236" i="5"/>
  <c r="DN236" i="5"/>
  <c r="DO236" i="5"/>
  <c r="DP236" i="5"/>
  <c r="DQ236" i="5"/>
  <c r="DR236" i="5"/>
  <c r="DT236" i="5"/>
  <c r="DU236" i="5"/>
  <c r="DV236" i="5"/>
  <c r="DW236" i="5"/>
  <c r="DX236" i="5"/>
  <c r="DY236" i="5"/>
  <c r="EA236" i="5"/>
  <c r="EB236" i="5"/>
  <c r="EC236" i="5"/>
  <c r="ED236" i="5"/>
  <c r="EE236" i="5"/>
  <c r="EF236" i="5"/>
  <c r="EH236" i="5"/>
  <c r="EI236" i="5"/>
  <c r="EJ236" i="5"/>
  <c r="EK236" i="5"/>
  <c r="EL236" i="5"/>
  <c r="EM236" i="5"/>
  <c r="EO236" i="5"/>
  <c r="EP236" i="5"/>
  <c r="EQ236" i="5"/>
  <c r="ER236" i="5"/>
  <c r="ES236" i="5"/>
  <c r="ET236" i="5"/>
  <c r="EV236" i="5"/>
  <c r="EW236" i="5"/>
  <c r="EX236" i="5"/>
  <c r="EY236" i="5"/>
  <c r="IP234" i="5"/>
  <c r="IQ234" i="5"/>
  <c r="IR234" i="5"/>
  <c r="IS234" i="5"/>
  <c r="IT234" i="5"/>
  <c r="IU234" i="5"/>
  <c r="IV234" i="5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C19" i="6" s="1"/>
  <c r="EU236" i="5" s="1"/>
  <c r="C4" i="6" l="1"/>
  <c r="AT236" i="5" s="1"/>
  <c r="C6" i="6"/>
  <c r="BH236" i="5" s="1"/>
  <c r="C8" i="6"/>
  <c r="BV236" i="5" s="1"/>
  <c r="C10" i="6"/>
  <c r="CJ236" i="5" s="1"/>
  <c r="C12" i="6"/>
  <c r="CX236" i="5" s="1"/>
  <c r="C14" i="6"/>
  <c r="DL236" i="5" s="1"/>
  <c r="C16" i="6"/>
  <c r="DZ236" i="5" s="1"/>
  <c r="C18" i="6"/>
  <c r="EN236" i="5" s="1"/>
  <c r="C5" i="6"/>
  <c r="BA236" i="5" s="1"/>
  <c r="C7" i="6"/>
  <c r="BO236" i="5" s="1"/>
  <c r="C9" i="6"/>
  <c r="CC236" i="5" s="1"/>
  <c r="C11" i="6"/>
  <c r="CQ236" i="5" s="1"/>
  <c r="C13" i="6"/>
  <c r="DE236" i="5" s="1"/>
  <c r="C15" i="6"/>
  <c r="DS236" i="5" s="1"/>
  <c r="C17" i="6"/>
  <c r="EG236" i="5" s="1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E2" i="5"/>
  <c r="CF2" i="5"/>
  <c r="CG2" i="5"/>
  <c r="CH2" i="5"/>
  <c r="CI2" i="5"/>
  <c r="CJ2" i="5"/>
  <c r="CK2" i="5"/>
  <c r="CL2" i="5"/>
  <c r="CM2" i="5"/>
  <c r="CN2" i="5"/>
  <c r="CO2" i="5"/>
  <c r="CP2" i="5"/>
  <c r="CQ2" i="5"/>
  <c r="CR2" i="5"/>
  <c r="CS2" i="5"/>
  <c r="CT2" i="5"/>
  <c r="CU2" i="5"/>
  <c r="CV2" i="5"/>
  <c r="CW2" i="5"/>
  <c r="CX2" i="5"/>
  <c r="CY2" i="5"/>
  <c r="CZ2" i="5"/>
  <c r="DA2" i="5"/>
  <c r="DB2" i="5"/>
  <c r="DC2" i="5"/>
  <c r="DD2" i="5"/>
  <c r="DE2" i="5"/>
  <c r="DF2" i="5"/>
  <c r="DG2" i="5"/>
  <c r="DH2" i="5"/>
  <c r="DI2" i="5"/>
  <c r="DJ2" i="5"/>
  <c r="DK2" i="5"/>
  <c r="DL2" i="5"/>
  <c r="DM2" i="5"/>
  <c r="DN2" i="5"/>
  <c r="DO2" i="5"/>
  <c r="DP2" i="5"/>
  <c r="DQ2" i="5"/>
  <c r="DR2" i="5"/>
  <c r="DS2" i="5"/>
  <c r="DT2" i="5"/>
  <c r="DU2" i="5"/>
  <c r="DV2" i="5"/>
  <c r="DW2" i="5"/>
  <c r="DX2" i="5"/>
  <c r="DY2" i="5"/>
  <c r="DZ2" i="5"/>
  <c r="EA2" i="5"/>
  <c r="EB2" i="5"/>
  <c r="EC2" i="5"/>
  <c r="ED2" i="5"/>
  <c r="EE2" i="5"/>
  <c r="EF2" i="5"/>
  <c r="EG2" i="5"/>
  <c r="EH2" i="5"/>
  <c r="EI2" i="5"/>
  <c r="EJ2" i="5"/>
  <c r="EK2" i="5"/>
  <c r="EL2" i="5"/>
  <c r="EM2" i="5"/>
  <c r="EN2" i="5"/>
  <c r="EO2" i="5"/>
  <c r="EP2" i="5"/>
  <c r="EQ2" i="5"/>
  <c r="ER2" i="5"/>
  <c r="ES2" i="5"/>
  <c r="ET2" i="5"/>
  <c r="EU2" i="5"/>
  <c r="EV2" i="5"/>
  <c r="EW2" i="5"/>
  <c r="EX2" i="5"/>
  <c r="EY2" i="5"/>
  <c r="EZ2" i="5"/>
  <c r="FA2" i="5"/>
  <c r="FB2" i="5"/>
  <c r="FC2" i="5"/>
  <c r="FD2" i="5"/>
  <c r="FE2" i="5"/>
  <c r="FF2" i="5"/>
  <c r="FG2" i="5"/>
  <c r="FH2" i="5"/>
  <c r="FI2" i="5"/>
  <c r="FJ2" i="5"/>
  <c r="FK2" i="5"/>
  <c r="FL2" i="5"/>
  <c r="FM2" i="5"/>
  <c r="FN2" i="5"/>
  <c r="FO2" i="5"/>
  <c r="FP2" i="5"/>
  <c r="FQ2" i="5"/>
  <c r="FR2" i="5"/>
  <c r="FS2" i="5"/>
  <c r="FT2" i="5"/>
  <c r="FU2" i="5"/>
  <c r="FV2" i="5"/>
  <c r="FW2" i="5"/>
  <c r="FX2" i="5"/>
  <c r="FY2" i="5"/>
  <c r="FZ2" i="5"/>
  <c r="GA2" i="5"/>
  <c r="GB2" i="5"/>
  <c r="GC2" i="5"/>
  <c r="GD2" i="5"/>
  <c r="GE2" i="5"/>
  <c r="GF2" i="5"/>
  <c r="GG2" i="5"/>
  <c r="GH2" i="5"/>
  <c r="GI2" i="5"/>
  <c r="GJ2" i="5"/>
  <c r="GK2" i="5"/>
  <c r="GL2" i="5"/>
  <c r="GM2" i="5"/>
  <c r="GN2" i="5"/>
  <c r="GO2" i="5"/>
  <c r="GP2" i="5"/>
  <c r="GQ2" i="5"/>
  <c r="GR2" i="5"/>
  <c r="GS2" i="5"/>
  <c r="GT2" i="5"/>
  <c r="GU2" i="5"/>
  <c r="GV2" i="5"/>
  <c r="GW2" i="5"/>
  <c r="GX2" i="5"/>
  <c r="GY2" i="5"/>
  <c r="GZ2" i="5"/>
  <c r="HA2" i="5"/>
  <c r="HB2" i="5"/>
  <c r="HC2" i="5"/>
  <c r="HD2" i="5"/>
  <c r="HE2" i="5"/>
  <c r="HF2" i="5"/>
  <c r="HG2" i="5"/>
  <c r="HH2" i="5"/>
  <c r="HI2" i="5"/>
  <c r="HJ2" i="5"/>
  <c r="HK2" i="5"/>
  <c r="HL2" i="5"/>
  <c r="HM2" i="5"/>
  <c r="HN2" i="5"/>
  <c r="HO2" i="5"/>
  <c r="HP2" i="5"/>
  <c r="HQ2" i="5"/>
  <c r="HR2" i="5"/>
  <c r="HS2" i="5"/>
  <c r="HT2" i="5"/>
  <c r="HU2" i="5"/>
  <c r="HV2" i="5"/>
  <c r="HW2" i="5"/>
  <c r="HX2" i="5"/>
  <c r="HY2" i="5"/>
  <c r="HZ2" i="5"/>
  <c r="IA2" i="5"/>
  <c r="IB2" i="5"/>
  <c r="IC2" i="5"/>
  <c r="ID2" i="5"/>
  <c r="IE2" i="5"/>
  <c r="IF2" i="5"/>
  <c r="IG2" i="5"/>
  <c r="IH2" i="5"/>
  <c r="II2" i="5"/>
  <c r="IJ2" i="5"/>
  <c r="IK2" i="5"/>
  <c r="IL2" i="5"/>
  <c r="IM2" i="5"/>
  <c r="IN2" i="5"/>
  <c r="IO2" i="5"/>
  <c r="IP2" i="5"/>
  <c r="IQ2" i="5"/>
  <c r="IR2" i="5"/>
  <c r="IS2" i="5"/>
  <c r="IT2" i="5"/>
  <c r="IU2" i="5"/>
  <c r="IV2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GB3" i="5"/>
  <c r="GC3" i="5"/>
  <c r="GD3" i="5"/>
  <c r="GE3" i="5"/>
  <c r="GF3" i="5"/>
  <c r="GG3" i="5"/>
  <c r="GH3" i="5"/>
  <c r="GI3" i="5"/>
  <c r="GJ3" i="5"/>
  <c r="GK3" i="5"/>
  <c r="GL3" i="5"/>
  <c r="GM3" i="5"/>
  <c r="GN3" i="5"/>
  <c r="GO3" i="5"/>
  <c r="GP3" i="5"/>
  <c r="GQ3" i="5"/>
  <c r="GR3" i="5"/>
  <c r="GS3" i="5"/>
  <c r="GT3" i="5"/>
  <c r="GU3" i="5"/>
  <c r="GV3" i="5"/>
  <c r="GW3" i="5"/>
  <c r="GX3" i="5"/>
  <c r="GY3" i="5"/>
  <c r="GZ3" i="5"/>
  <c r="HA3" i="5"/>
  <c r="HB3" i="5"/>
  <c r="HC3" i="5"/>
  <c r="HD3" i="5"/>
  <c r="HE3" i="5"/>
  <c r="HF3" i="5"/>
  <c r="HG3" i="5"/>
  <c r="HH3" i="5"/>
  <c r="HI3" i="5"/>
  <c r="HJ3" i="5"/>
  <c r="HK3" i="5"/>
  <c r="HL3" i="5"/>
  <c r="HM3" i="5"/>
  <c r="HN3" i="5"/>
  <c r="HO3" i="5"/>
  <c r="HP3" i="5"/>
  <c r="HQ3" i="5"/>
  <c r="HR3" i="5"/>
  <c r="HS3" i="5"/>
  <c r="HT3" i="5"/>
  <c r="HU3" i="5"/>
  <c r="HV3" i="5"/>
  <c r="HW3" i="5"/>
  <c r="HX3" i="5"/>
  <c r="HY3" i="5"/>
  <c r="HZ3" i="5"/>
  <c r="IA3" i="5"/>
  <c r="IB3" i="5"/>
  <c r="IC3" i="5"/>
  <c r="ID3" i="5"/>
  <c r="IE3" i="5"/>
  <c r="IF3" i="5"/>
  <c r="IG3" i="5"/>
  <c r="IH3" i="5"/>
  <c r="II3" i="5"/>
  <c r="IJ3" i="5"/>
  <c r="IK3" i="5"/>
  <c r="IL3" i="5"/>
  <c r="IM3" i="5"/>
  <c r="IN3" i="5"/>
  <c r="IO3" i="5"/>
  <c r="IP3" i="5"/>
  <c r="IQ3" i="5"/>
  <c r="IR3" i="5"/>
  <c r="IS3" i="5"/>
  <c r="IT3" i="5"/>
  <c r="IU3" i="5"/>
  <c r="IV3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GF4" i="5"/>
  <c r="GG4" i="5"/>
  <c r="GH4" i="5"/>
  <c r="GI4" i="5"/>
  <c r="GJ4" i="5"/>
  <c r="GK4" i="5"/>
  <c r="GL4" i="5"/>
  <c r="GM4" i="5"/>
  <c r="GN4" i="5"/>
  <c r="GO4" i="5"/>
  <c r="GP4" i="5"/>
  <c r="GQ4" i="5"/>
  <c r="GR4" i="5"/>
  <c r="GS4" i="5"/>
  <c r="GT4" i="5"/>
  <c r="GU4" i="5"/>
  <c r="GV4" i="5"/>
  <c r="GW4" i="5"/>
  <c r="GX4" i="5"/>
  <c r="GY4" i="5"/>
  <c r="GZ4" i="5"/>
  <c r="HA4" i="5"/>
  <c r="HB4" i="5"/>
  <c r="HC4" i="5"/>
  <c r="HD4" i="5"/>
  <c r="HE4" i="5"/>
  <c r="HF4" i="5"/>
  <c r="HG4" i="5"/>
  <c r="HH4" i="5"/>
  <c r="HI4" i="5"/>
  <c r="HJ4" i="5"/>
  <c r="HK4" i="5"/>
  <c r="HL4" i="5"/>
  <c r="HM4" i="5"/>
  <c r="HN4" i="5"/>
  <c r="HO4" i="5"/>
  <c r="HP4" i="5"/>
  <c r="HQ4" i="5"/>
  <c r="HR4" i="5"/>
  <c r="HS4" i="5"/>
  <c r="HT4" i="5"/>
  <c r="HU4" i="5"/>
  <c r="HV4" i="5"/>
  <c r="HW4" i="5"/>
  <c r="HX4" i="5"/>
  <c r="HY4" i="5"/>
  <c r="HZ4" i="5"/>
  <c r="IA4" i="5"/>
  <c r="IB4" i="5"/>
  <c r="IC4" i="5"/>
  <c r="ID4" i="5"/>
  <c r="IE4" i="5"/>
  <c r="IF4" i="5"/>
  <c r="IG4" i="5"/>
  <c r="IH4" i="5"/>
  <c r="II4" i="5"/>
  <c r="IJ4" i="5"/>
  <c r="IK4" i="5"/>
  <c r="IL4" i="5"/>
  <c r="IM4" i="5"/>
  <c r="IN4" i="5"/>
  <c r="IO4" i="5"/>
  <c r="IP4" i="5"/>
  <c r="IQ4" i="5"/>
  <c r="IR4" i="5"/>
  <c r="IS4" i="5"/>
  <c r="IT4" i="5"/>
  <c r="IU4" i="5"/>
  <c r="IV4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IR5" i="5"/>
  <c r="IS5" i="5"/>
  <c r="IT5" i="5"/>
  <c r="IU5" i="5"/>
  <c r="IV5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GJ6" i="5"/>
  <c r="GK6" i="5"/>
  <c r="GL6" i="5"/>
  <c r="GM6" i="5"/>
  <c r="GN6" i="5"/>
  <c r="GO6" i="5"/>
  <c r="GP6" i="5"/>
  <c r="GQ6" i="5"/>
  <c r="GR6" i="5"/>
  <c r="GS6" i="5"/>
  <c r="GT6" i="5"/>
  <c r="GU6" i="5"/>
  <c r="GV6" i="5"/>
  <c r="GW6" i="5"/>
  <c r="GX6" i="5"/>
  <c r="GY6" i="5"/>
  <c r="GZ6" i="5"/>
  <c r="HA6" i="5"/>
  <c r="HB6" i="5"/>
  <c r="HC6" i="5"/>
  <c r="HD6" i="5"/>
  <c r="HE6" i="5"/>
  <c r="HF6" i="5"/>
  <c r="HG6" i="5"/>
  <c r="HH6" i="5"/>
  <c r="HI6" i="5"/>
  <c r="HJ6" i="5"/>
  <c r="HK6" i="5"/>
  <c r="HL6" i="5"/>
  <c r="HM6" i="5"/>
  <c r="HN6" i="5"/>
  <c r="HO6" i="5"/>
  <c r="HP6" i="5"/>
  <c r="HQ6" i="5"/>
  <c r="HR6" i="5"/>
  <c r="HS6" i="5"/>
  <c r="HT6" i="5"/>
  <c r="HU6" i="5"/>
  <c r="HV6" i="5"/>
  <c r="HW6" i="5"/>
  <c r="HX6" i="5"/>
  <c r="HY6" i="5"/>
  <c r="HZ6" i="5"/>
  <c r="IA6" i="5"/>
  <c r="IB6" i="5"/>
  <c r="IC6" i="5"/>
  <c r="ID6" i="5"/>
  <c r="IE6" i="5"/>
  <c r="IF6" i="5"/>
  <c r="IG6" i="5"/>
  <c r="IH6" i="5"/>
  <c r="II6" i="5"/>
  <c r="IJ6" i="5"/>
  <c r="IK6" i="5"/>
  <c r="IL6" i="5"/>
  <c r="IM6" i="5"/>
  <c r="IN6" i="5"/>
  <c r="IO6" i="5"/>
  <c r="IP6" i="5"/>
  <c r="IQ6" i="5"/>
  <c r="IR6" i="5"/>
  <c r="IS6" i="5"/>
  <c r="IT6" i="5"/>
  <c r="IU6" i="5"/>
  <c r="IV6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5"/>
  <c r="GX7" i="5"/>
  <c r="GY7" i="5"/>
  <c r="GZ7" i="5"/>
  <c r="HA7" i="5"/>
  <c r="HB7" i="5"/>
  <c r="HC7" i="5"/>
  <c r="HD7" i="5"/>
  <c r="HE7" i="5"/>
  <c r="HF7" i="5"/>
  <c r="HG7" i="5"/>
  <c r="HH7" i="5"/>
  <c r="HI7" i="5"/>
  <c r="HJ7" i="5"/>
  <c r="HK7" i="5"/>
  <c r="HL7" i="5"/>
  <c r="HM7" i="5"/>
  <c r="HN7" i="5"/>
  <c r="HO7" i="5"/>
  <c r="HP7" i="5"/>
  <c r="HQ7" i="5"/>
  <c r="HR7" i="5"/>
  <c r="HS7" i="5"/>
  <c r="HT7" i="5"/>
  <c r="HU7" i="5"/>
  <c r="HV7" i="5"/>
  <c r="HW7" i="5"/>
  <c r="HX7" i="5"/>
  <c r="HY7" i="5"/>
  <c r="HZ7" i="5"/>
  <c r="IA7" i="5"/>
  <c r="IB7" i="5"/>
  <c r="IC7" i="5"/>
  <c r="ID7" i="5"/>
  <c r="IE7" i="5"/>
  <c r="IF7" i="5"/>
  <c r="IG7" i="5"/>
  <c r="IH7" i="5"/>
  <c r="II7" i="5"/>
  <c r="IJ7" i="5"/>
  <c r="IK7" i="5"/>
  <c r="IL7" i="5"/>
  <c r="IM7" i="5"/>
  <c r="IN7" i="5"/>
  <c r="IO7" i="5"/>
  <c r="IP7" i="5"/>
  <c r="IQ7" i="5"/>
  <c r="IR7" i="5"/>
  <c r="IS7" i="5"/>
  <c r="IT7" i="5"/>
  <c r="IU7" i="5"/>
  <c r="IV7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IR8" i="5"/>
  <c r="IS8" i="5"/>
  <c r="IT8" i="5"/>
  <c r="IU8" i="5"/>
  <c r="IV8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IR9" i="5"/>
  <c r="IS9" i="5"/>
  <c r="IT9" i="5"/>
  <c r="IU9" i="5"/>
  <c r="IV9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GJ10" i="5"/>
  <c r="GK10" i="5"/>
  <c r="GL10" i="5"/>
  <c r="GM10" i="5"/>
  <c r="GN10" i="5"/>
  <c r="GO10" i="5"/>
  <c r="GP10" i="5"/>
  <c r="GQ10" i="5"/>
  <c r="GR10" i="5"/>
  <c r="GS10" i="5"/>
  <c r="GT10" i="5"/>
  <c r="GU10" i="5"/>
  <c r="GV10" i="5"/>
  <c r="GW10" i="5"/>
  <c r="GX10" i="5"/>
  <c r="GY10" i="5"/>
  <c r="GZ10" i="5"/>
  <c r="HA10" i="5"/>
  <c r="HB10" i="5"/>
  <c r="HC10" i="5"/>
  <c r="HD10" i="5"/>
  <c r="HE10" i="5"/>
  <c r="HF10" i="5"/>
  <c r="HG10" i="5"/>
  <c r="HH10" i="5"/>
  <c r="HI10" i="5"/>
  <c r="HJ10" i="5"/>
  <c r="HK10" i="5"/>
  <c r="HL10" i="5"/>
  <c r="HM10" i="5"/>
  <c r="HN10" i="5"/>
  <c r="HO10" i="5"/>
  <c r="HP10" i="5"/>
  <c r="HQ10" i="5"/>
  <c r="HR10" i="5"/>
  <c r="HS10" i="5"/>
  <c r="HT10" i="5"/>
  <c r="HU10" i="5"/>
  <c r="HV10" i="5"/>
  <c r="HW10" i="5"/>
  <c r="HX10" i="5"/>
  <c r="HY10" i="5"/>
  <c r="HZ10" i="5"/>
  <c r="IA10" i="5"/>
  <c r="IB10" i="5"/>
  <c r="IC10" i="5"/>
  <c r="ID10" i="5"/>
  <c r="IE10" i="5"/>
  <c r="IF10" i="5"/>
  <c r="IG10" i="5"/>
  <c r="IH10" i="5"/>
  <c r="II10" i="5"/>
  <c r="IJ10" i="5"/>
  <c r="IK10" i="5"/>
  <c r="IL10" i="5"/>
  <c r="IM10" i="5"/>
  <c r="IN10" i="5"/>
  <c r="IO10" i="5"/>
  <c r="IP10" i="5"/>
  <c r="IQ10" i="5"/>
  <c r="IR10" i="5"/>
  <c r="IS10" i="5"/>
  <c r="IT10" i="5"/>
  <c r="IU10" i="5"/>
  <c r="IV10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GJ11" i="5"/>
  <c r="GK11" i="5"/>
  <c r="GL11" i="5"/>
  <c r="GM11" i="5"/>
  <c r="GN11" i="5"/>
  <c r="GO11" i="5"/>
  <c r="GP11" i="5"/>
  <c r="GQ11" i="5"/>
  <c r="GR11" i="5"/>
  <c r="GS11" i="5"/>
  <c r="GT11" i="5"/>
  <c r="GU11" i="5"/>
  <c r="GV11" i="5"/>
  <c r="GW11" i="5"/>
  <c r="GX11" i="5"/>
  <c r="GY11" i="5"/>
  <c r="GZ11" i="5"/>
  <c r="HA11" i="5"/>
  <c r="HB11" i="5"/>
  <c r="HC11" i="5"/>
  <c r="HD11" i="5"/>
  <c r="HE11" i="5"/>
  <c r="HF11" i="5"/>
  <c r="HG11" i="5"/>
  <c r="HH11" i="5"/>
  <c r="HI11" i="5"/>
  <c r="HJ11" i="5"/>
  <c r="HK11" i="5"/>
  <c r="HL11" i="5"/>
  <c r="HM11" i="5"/>
  <c r="HN11" i="5"/>
  <c r="HO11" i="5"/>
  <c r="HP11" i="5"/>
  <c r="HQ11" i="5"/>
  <c r="HR11" i="5"/>
  <c r="HS11" i="5"/>
  <c r="HT11" i="5"/>
  <c r="HU11" i="5"/>
  <c r="HV11" i="5"/>
  <c r="HW11" i="5"/>
  <c r="HX11" i="5"/>
  <c r="HY11" i="5"/>
  <c r="HZ11" i="5"/>
  <c r="IA11" i="5"/>
  <c r="IB11" i="5"/>
  <c r="IC11" i="5"/>
  <c r="ID11" i="5"/>
  <c r="IE11" i="5"/>
  <c r="IF11" i="5"/>
  <c r="IG11" i="5"/>
  <c r="IH11" i="5"/>
  <c r="II11" i="5"/>
  <c r="IJ11" i="5"/>
  <c r="IK11" i="5"/>
  <c r="IL11" i="5"/>
  <c r="IM11" i="5"/>
  <c r="IN11" i="5"/>
  <c r="IO11" i="5"/>
  <c r="IP11" i="5"/>
  <c r="IQ11" i="5"/>
  <c r="IR11" i="5"/>
  <c r="IS11" i="5"/>
  <c r="IT11" i="5"/>
  <c r="IU11" i="5"/>
  <c r="IV11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GJ12" i="5"/>
  <c r="GK12" i="5"/>
  <c r="GL12" i="5"/>
  <c r="GM12" i="5"/>
  <c r="GN12" i="5"/>
  <c r="GO12" i="5"/>
  <c r="GP12" i="5"/>
  <c r="GQ12" i="5"/>
  <c r="GR12" i="5"/>
  <c r="GS12" i="5"/>
  <c r="GT12" i="5"/>
  <c r="GU12" i="5"/>
  <c r="GV12" i="5"/>
  <c r="GW12" i="5"/>
  <c r="GX12" i="5"/>
  <c r="GY12" i="5"/>
  <c r="GZ12" i="5"/>
  <c r="HA12" i="5"/>
  <c r="HB12" i="5"/>
  <c r="HC12" i="5"/>
  <c r="HD12" i="5"/>
  <c r="HE12" i="5"/>
  <c r="HF12" i="5"/>
  <c r="HG12" i="5"/>
  <c r="HH12" i="5"/>
  <c r="HI12" i="5"/>
  <c r="HJ12" i="5"/>
  <c r="HK12" i="5"/>
  <c r="HL12" i="5"/>
  <c r="HM12" i="5"/>
  <c r="HN12" i="5"/>
  <c r="HO12" i="5"/>
  <c r="HP12" i="5"/>
  <c r="HQ12" i="5"/>
  <c r="HR12" i="5"/>
  <c r="HS12" i="5"/>
  <c r="HT12" i="5"/>
  <c r="HU12" i="5"/>
  <c r="HV12" i="5"/>
  <c r="HW12" i="5"/>
  <c r="HX12" i="5"/>
  <c r="HY12" i="5"/>
  <c r="HZ12" i="5"/>
  <c r="IA12" i="5"/>
  <c r="IB12" i="5"/>
  <c r="IC12" i="5"/>
  <c r="ID12" i="5"/>
  <c r="IE12" i="5"/>
  <c r="IF12" i="5"/>
  <c r="IG12" i="5"/>
  <c r="IH12" i="5"/>
  <c r="II12" i="5"/>
  <c r="IJ12" i="5"/>
  <c r="IK12" i="5"/>
  <c r="IL12" i="5"/>
  <c r="IM12" i="5"/>
  <c r="IN12" i="5"/>
  <c r="IO12" i="5"/>
  <c r="IP12" i="5"/>
  <c r="IQ12" i="5"/>
  <c r="IR12" i="5"/>
  <c r="IS12" i="5"/>
  <c r="IT12" i="5"/>
  <c r="IU12" i="5"/>
  <c r="IV12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GJ13" i="5"/>
  <c r="GK13" i="5"/>
  <c r="GL13" i="5"/>
  <c r="GM13" i="5"/>
  <c r="GN13" i="5"/>
  <c r="GO13" i="5"/>
  <c r="GP13" i="5"/>
  <c r="GQ13" i="5"/>
  <c r="GR13" i="5"/>
  <c r="GS13" i="5"/>
  <c r="GT13" i="5"/>
  <c r="GU13" i="5"/>
  <c r="GV13" i="5"/>
  <c r="GW13" i="5"/>
  <c r="GX13" i="5"/>
  <c r="GY13" i="5"/>
  <c r="GZ13" i="5"/>
  <c r="HA13" i="5"/>
  <c r="HB13" i="5"/>
  <c r="HC13" i="5"/>
  <c r="HD13" i="5"/>
  <c r="HE13" i="5"/>
  <c r="HF13" i="5"/>
  <c r="HG13" i="5"/>
  <c r="HH13" i="5"/>
  <c r="HI13" i="5"/>
  <c r="HJ13" i="5"/>
  <c r="HK13" i="5"/>
  <c r="HL13" i="5"/>
  <c r="HM13" i="5"/>
  <c r="HN13" i="5"/>
  <c r="HO13" i="5"/>
  <c r="HP13" i="5"/>
  <c r="HQ13" i="5"/>
  <c r="HR13" i="5"/>
  <c r="HS13" i="5"/>
  <c r="HT13" i="5"/>
  <c r="HU13" i="5"/>
  <c r="HV13" i="5"/>
  <c r="HW13" i="5"/>
  <c r="HX13" i="5"/>
  <c r="HY13" i="5"/>
  <c r="HZ13" i="5"/>
  <c r="IA13" i="5"/>
  <c r="IB13" i="5"/>
  <c r="IC13" i="5"/>
  <c r="ID13" i="5"/>
  <c r="IE13" i="5"/>
  <c r="IF13" i="5"/>
  <c r="IG13" i="5"/>
  <c r="IH13" i="5"/>
  <c r="II13" i="5"/>
  <c r="IJ13" i="5"/>
  <c r="IK13" i="5"/>
  <c r="IL13" i="5"/>
  <c r="IM13" i="5"/>
  <c r="IN13" i="5"/>
  <c r="IO13" i="5"/>
  <c r="IP13" i="5"/>
  <c r="IQ13" i="5"/>
  <c r="IR13" i="5"/>
  <c r="IS13" i="5"/>
  <c r="IT13" i="5"/>
  <c r="IU13" i="5"/>
  <c r="IV13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GJ14" i="5"/>
  <c r="GK14" i="5"/>
  <c r="GL14" i="5"/>
  <c r="GM14" i="5"/>
  <c r="GN14" i="5"/>
  <c r="GO14" i="5"/>
  <c r="GP14" i="5"/>
  <c r="GQ14" i="5"/>
  <c r="GR14" i="5"/>
  <c r="GS14" i="5"/>
  <c r="GT14" i="5"/>
  <c r="GU14" i="5"/>
  <c r="GV14" i="5"/>
  <c r="GW14" i="5"/>
  <c r="GX14" i="5"/>
  <c r="GY14" i="5"/>
  <c r="GZ14" i="5"/>
  <c r="HA14" i="5"/>
  <c r="HB14" i="5"/>
  <c r="HC14" i="5"/>
  <c r="HD14" i="5"/>
  <c r="HE14" i="5"/>
  <c r="HF14" i="5"/>
  <c r="HG14" i="5"/>
  <c r="HH14" i="5"/>
  <c r="HI14" i="5"/>
  <c r="HJ14" i="5"/>
  <c r="HK14" i="5"/>
  <c r="HL14" i="5"/>
  <c r="HM14" i="5"/>
  <c r="HN14" i="5"/>
  <c r="HO14" i="5"/>
  <c r="HP14" i="5"/>
  <c r="HQ14" i="5"/>
  <c r="HR14" i="5"/>
  <c r="HS14" i="5"/>
  <c r="HT14" i="5"/>
  <c r="HU14" i="5"/>
  <c r="HV14" i="5"/>
  <c r="HW14" i="5"/>
  <c r="HX14" i="5"/>
  <c r="HY14" i="5"/>
  <c r="HZ14" i="5"/>
  <c r="IA14" i="5"/>
  <c r="IB14" i="5"/>
  <c r="IC14" i="5"/>
  <c r="ID14" i="5"/>
  <c r="IE14" i="5"/>
  <c r="IF14" i="5"/>
  <c r="IG14" i="5"/>
  <c r="IH14" i="5"/>
  <c r="II14" i="5"/>
  <c r="IJ14" i="5"/>
  <c r="IK14" i="5"/>
  <c r="IL14" i="5"/>
  <c r="IM14" i="5"/>
  <c r="IN14" i="5"/>
  <c r="IO14" i="5"/>
  <c r="IP14" i="5"/>
  <c r="IQ14" i="5"/>
  <c r="IR14" i="5"/>
  <c r="IS14" i="5"/>
  <c r="IT14" i="5"/>
  <c r="IU14" i="5"/>
  <c r="IV14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II15" i="5"/>
  <c r="IJ15" i="5"/>
  <c r="IK15" i="5"/>
  <c r="IL15" i="5"/>
  <c r="IM15" i="5"/>
  <c r="IN15" i="5"/>
  <c r="IO15" i="5"/>
  <c r="IP15" i="5"/>
  <c r="IQ15" i="5"/>
  <c r="IR15" i="5"/>
  <c r="IS15" i="5"/>
  <c r="IT15" i="5"/>
  <c r="IU15" i="5"/>
  <c r="IV15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GJ16" i="5"/>
  <c r="GK16" i="5"/>
  <c r="GL16" i="5"/>
  <c r="GM16" i="5"/>
  <c r="GN16" i="5"/>
  <c r="GO16" i="5"/>
  <c r="GP16" i="5"/>
  <c r="GQ16" i="5"/>
  <c r="GR16" i="5"/>
  <c r="GS16" i="5"/>
  <c r="GT16" i="5"/>
  <c r="GU16" i="5"/>
  <c r="GV16" i="5"/>
  <c r="GW16" i="5"/>
  <c r="GX16" i="5"/>
  <c r="GY16" i="5"/>
  <c r="GZ16" i="5"/>
  <c r="HA16" i="5"/>
  <c r="HB16" i="5"/>
  <c r="HC16" i="5"/>
  <c r="HD16" i="5"/>
  <c r="HE16" i="5"/>
  <c r="HF16" i="5"/>
  <c r="HG16" i="5"/>
  <c r="HH16" i="5"/>
  <c r="HI16" i="5"/>
  <c r="HJ16" i="5"/>
  <c r="HK16" i="5"/>
  <c r="HL16" i="5"/>
  <c r="HM16" i="5"/>
  <c r="HN16" i="5"/>
  <c r="HO16" i="5"/>
  <c r="HP16" i="5"/>
  <c r="HQ16" i="5"/>
  <c r="HR16" i="5"/>
  <c r="HS16" i="5"/>
  <c r="HT16" i="5"/>
  <c r="HU16" i="5"/>
  <c r="HV16" i="5"/>
  <c r="HW16" i="5"/>
  <c r="HX16" i="5"/>
  <c r="HY16" i="5"/>
  <c r="HZ16" i="5"/>
  <c r="IA16" i="5"/>
  <c r="IB16" i="5"/>
  <c r="IC16" i="5"/>
  <c r="ID16" i="5"/>
  <c r="IE16" i="5"/>
  <c r="IF16" i="5"/>
  <c r="IG16" i="5"/>
  <c r="IH16" i="5"/>
  <c r="II16" i="5"/>
  <c r="IJ16" i="5"/>
  <c r="IK16" i="5"/>
  <c r="IL16" i="5"/>
  <c r="IM16" i="5"/>
  <c r="IN16" i="5"/>
  <c r="IO16" i="5"/>
  <c r="IP16" i="5"/>
  <c r="IQ16" i="5"/>
  <c r="IR16" i="5"/>
  <c r="IS16" i="5"/>
  <c r="IT16" i="5"/>
  <c r="IU16" i="5"/>
  <c r="IV16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GJ17" i="5"/>
  <c r="GK17" i="5"/>
  <c r="GL17" i="5"/>
  <c r="GM17" i="5"/>
  <c r="GN17" i="5"/>
  <c r="GO17" i="5"/>
  <c r="GP17" i="5"/>
  <c r="GQ17" i="5"/>
  <c r="GR17" i="5"/>
  <c r="GS17" i="5"/>
  <c r="GT17" i="5"/>
  <c r="GU17" i="5"/>
  <c r="GV17" i="5"/>
  <c r="GW17" i="5"/>
  <c r="GX17" i="5"/>
  <c r="GY17" i="5"/>
  <c r="GZ17" i="5"/>
  <c r="HA17" i="5"/>
  <c r="HB17" i="5"/>
  <c r="HC17" i="5"/>
  <c r="HD17" i="5"/>
  <c r="HE17" i="5"/>
  <c r="HF17" i="5"/>
  <c r="HG17" i="5"/>
  <c r="HH17" i="5"/>
  <c r="HI17" i="5"/>
  <c r="HJ17" i="5"/>
  <c r="HK17" i="5"/>
  <c r="HL17" i="5"/>
  <c r="HM17" i="5"/>
  <c r="HN17" i="5"/>
  <c r="HO17" i="5"/>
  <c r="HP17" i="5"/>
  <c r="HQ17" i="5"/>
  <c r="HR17" i="5"/>
  <c r="HS17" i="5"/>
  <c r="HT17" i="5"/>
  <c r="HU17" i="5"/>
  <c r="HV17" i="5"/>
  <c r="HW17" i="5"/>
  <c r="HX17" i="5"/>
  <c r="HY17" i="5"/>
  <c r="HZ17" i="5"/>
  <c r="IA17" i="5"/>
  <c r="IB17" i="5"/>
  <c r="IC17" i="5"/>
  <c r="ID17" i="5"/>
  <c r="IE17" i="5"/>
  <c r="IF17" i="5"/>
  <c r="IG17" i="5"/>
  <c r="IH17" i="5"/>
  <c r="II17" i="5"/>
  <c r="IJ17" i="5"/>
  <c r="IK17" i="5"/>
  <c r="IL17" i="5"/>
  <c r="IM17" i="5"/>
  <c r="IN17" i="5"/>
  <c r="IO17" i="5"/>
  <c r="IP17" i="5"/>
  <c r="IQ17" i="5"/>
  <c r="IR17" i="5"/>
  <c r="IS17" i="5"/>
  <c r="IT17" i="5"/>
  <c r="IU17" i="5"/>
  <c r="IV17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GJ18" i="5"/>
  <c r="GK18" i="5"/>
  <c r="GL18" i="5"/>
  <c r="GM18" i="5"/>
  <c r="GN18" i="5"/>
  <c r="GO18" i="5"/>
  <c r="GP18" i="5"/>
  <c r="GQ18" i="5"/>
  <c r="GR18" i="5"/>
  <c r="GS18" i="5"/>
  <c r="GT18" i="5"/>
  <c r="GU18" i="5"/>
  <c r="GV18" i="5"/>
  <c r="GW18" i="5"/>
  <c r="GX18" i="5"/>
  <c r="GY18" i="5"/>
  <c r="GZ18" i="5"/>
  <c r="HA18" i="5"/>
  <c r="HB18" i="5"/>
  <c r="HC18" i="5"/>
  <c r="HD18" i="5"/>
  <c r="HE18" i="5"/>
  <c r="HF18" i="5"/>
  <c r="HG18" i="5"/>
  <c r="HH18" i="5"/>
  <c r="HI18" i="5"/>
  <c r="HJ18" i="5"/>
  <c r="HK18" i="5"/>
  <c r="HL18" i="5"/>
  <c r="HM18" i="5"/>
  <c r="HN18" i="5"/>
  <c r="HO18" i="5"/>
  <c r="HP18" i="5"/>
  <c r="HQ18" i="5"/>
  <c r="HR18" i="5"/>
  <c r="HS18" i="5"/>
  <c r="HT18" i="5"/>
  <c r="HU18" i="5"/>
  <c r="HV18" i="5"/>
  <c r="HW18" i="5"/>
  <c r="HX18" i="5"/>
  <c r="HY18" i="5"/>
  <c r="HZ18" i="5"/>
  <c r="IA18" i="5"/>
  <c r="IB18" i="5"/>
  <c r="IC18" i="5"/>
  <c r="ID18" i="5"/>
  <c r="IE18" i="5"/>
  <c r="IF18" i="5"/>
  <c r="IG18" i="5"/>
  <c r="IH18" i="5"/>
  <c r="II18" i="5"/>
  <c r="IJ18" i="5"/>
  <c r="IK18" i="5"/>
  <c r="IL18" i="5"/>
  <c r="IM18" i="5"/>
  <c r="IN18" i="5"/>
  <c r="IO18" i="5"/>
  <c r="IP18" i="5"/>
  <c r="IQ18" i="5"/>
  <c r="IR18" i="5"/>
  <c r="IS18" i="5"/>
  <c r="IT18" i="5"/>
  <c r="IU18" i="5"/>
  <c r="IV18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GJ19" i="5"/>
  <c r="GK19" i="5"/>
  <c r="GL19" i="5"/>
  <c r="GM19" i="5"/>
  <c r="GN19" i="5"/>
  <c r="GO19" i="5"/>
  <c r="GP19" i="5"/>
  <c r="GQ19" i="5"/>
  <c r="GR19" i="5"/>
  <c r="GS19" i="5"/>
  <c r="GT19" i="5"/>
  <c r="GU19" i="5"/>
  <c r="GV19" i="5"/>
  <c r="GW19" i="5"/>
  <c r="GX19" i="5"/>
  <c r="GY19" i="5"/>
  <c r="GZ19" i="5"/>
  <c r="HA19" i="5"/>
  <c r="HB19" i="5"/>
  <c r="HC19" i="5"/>
  <c r="HD19" i="5"/>
  <c r="HE19" i="5"/>
  <c r="HF19" i="5"/>
  <c r="HG19" i="5"/>
  <c r="HH19" i="5"/>
  <c r="HI19" i="5"/>
  <c r="HJ19" i="5"/>
  <c r="HK19" i="5"/>
  <c r="HL19" i="5"/>
  <c r="HM19" i="5"/>
  <c r="HN19" i="5"/>
  <c r="HO19" i="5"/>
  <c r="HP19" i="5"/>
  <c r="HQ19" i="5"/>
  <c r="HR19" i="5"/>
  <c r="HS19" i="5"/>
  <c r="HT19" i="5"/>
  <c r="HU19" i="5"/>
  <c r="HV19" i="5"/>
  <c r="HW19" i="5"/>
  <c r="HX19" i="5"/>
  <c r="HY19" i="5"/>
  <c r="HZ19" i="5"/>
  <c r="IA19" i="5"/>
  <c r="IB19" i="5"/>
  <c r="IC19" i="5"/>
  <c r="ID19" i="5"/>
  <c r="IE19" i="5"/>
  <c r="IF19" i="5"/>
  <c r="IG19" i="5"/>
  <c r="IH19" i="5"/>
  <c r="II19" i="5"/>
  <c r="IJ19" i="5"/>
  <c r="IK19" i="5"/>
  <c r="IL19" i="5"/>
  <c r="IM19" i="5"/>
  <c r="IN19" i="5"/>
  <c r="IO19" i="5"/>
  <c r="IP19" i="5"/>
  <c r="IQ19" i="5"/>
  <c r="IR19" i="5"/>
  <c r="IS19" i="5"/>
  <c r="IT19" i="5"/>
  <c r="IU19" i="5"/>
  <c r="IV19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GJ20" i="5"/>
  <c r="GK20" i="5"/>
  <c r="GL20" i="5"/>
  <c r="GM20" i="5"/>
  <c r="GN20" i="5"/>
  <c r="GO20" i="5"/>
  <c r="GP20" i="5"/>
  <c r="GQ20" i="5"/>
  <c r="GR20" i="5"/>
  <c r="GS20" i="5"/>
  <c r="GT20" i="5"/>
  <c r="GU20" i="5"/>
  <c r="GV20" i="5"/>
  <c r="GW20" i="5"/>
  <c r="GX20" i="5"/>
  <c r="GY20" i="5"/>
  <c r="GZ20" i="5"/>
  <c r="HA20" i="5"/>
  <c r="HB20" i="5"/>
  <c r="HC20" i="5"/>
  <c r="HD20" i="5"/>
  <c r="HE20" i="5"/>
  <c r="HF20" i="5"/>
  <c r="HG20" i="5"/>
  <c r="HH20" i="5"/>
  <c r="HI20" i="5"/>
  <c r="HJ20" i="5"/>
  <c r="HK20" i="5"/>
  <c r="HL20" i="5"/>
  <c r="HM20" i="5"/>
  <c r="HN20" i="5"/>
  <c r="HO20" i="5"/>
  <c r="HP20" i="5"/>
  <c r="HQ20" i="5"/>
  <c r="HR20" i="5"/>
  <c r="HS20" i="5"/>
  <c r="HT20" i="5"/>
  <c r="HU20" i="5"/>
  <c r="HV20" i="5"/>
  <c r="HW20" i="5"/>
  <c r="HX20" i="5"/>
  <c r="HY20" i="5"/>
  <c r="HZ20" i="5"/>
  <c r="IA20" i="5"/>
  <c r="IB20" i="5"/>
  <c r="IC20" i="5"/>
  <c r="ID20" i="5"/>
  <c r="IE20" i="5"/>
  <c r="IF20" i="5"/>
  <c r="IG20" i="5"/>
  <c r="IH20" i="5"/>
  <c r="II20" i="5"/>
  <c r="IJ20" i="5"/>
  <c r="IK20" i="5"/>
  <c r="IL20" i="5"/>
  <c r="IM20" i="5"/>
  <c r="IN20" i="5"/>
  <c r="IO20" i="5"/>
  <c r="IP20" i="5"/>
  <c r="IQ20" i="5"/>
  <c r="IR20" i="5"/>
  <c r="IS20" i="5"/>
  <c r="IT20" i="5"/>
  <c r="IU20" i="5"/>
  <c r="IV20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GJ21" i="5"/>
  <c r="GK21" i="5"/>
  <c r="GL21" i="5"/>
  <c r="GM21" i="5"/>
  <c r="GN21" i="5"/>
  <c r="GO21" i="5"/>
  <c r="GP21" i="5"/>
  <c r="GQ21" i="5"/>
  <c r="GR21" i="5"/>
  <c r="GS21" i="5"/>
  <c r="GT21" i="5"/>
  <c r="GU21" i="5"/>
  <c r="GV21" i="5"/>
  <c r="GW21" i="5"/>
  <c r="GX21" i="5"/>
  <c r="GY21" i="5"/>
  <c r="GZ21" i="5"/>
  <c r="HA21" i="5"/>
  <c r="HB21" i="5"/>
  <c r="HC21" i="5"/>
  <c r="HD21" i="5"/>
  <c r="HE21" i="5"/>
  <c r="HF21" i="5"/>
  <c r="HG21" i="5"/>
  <c r="HH21" i="5"/>
  <c r="HI21" i="5"/>
  <c r="HJ21" i="5"/>
  <c r="HK21" i="5"/>
  <c r="HL21" i="5"/>
  <c r="HM21" i="5"/>
  <c r="HN21" i="5"/>
  <c r="HO21" i="5"/>
  <c r="HP21" i="5"/>
  <c r="HQ21" i="5"/>
  <c r="HR21" i="5"/>
  <c r="HS21" i="5"/>
  <c r="HT21" i="5"/>
  <c r="HU21" i="5"/>
  <c r="HV21" i="5"/>
  <c r="HW21" i="5"/>
  <c r="HX21" i="5"/>
  <c r="HY21" i="5"/>
  <c r="HZ21" i="5"/>
  <c r="IA21" i="5"/>
  <c r="IB21" i="5"/>
  <c r="IC21" i="5"/>
  <c r="ID21" i="5"/>
  <c r="IE21" i="5"/>
  <c r="IF21" i="5"/>
  <c r="IG21" i="5"/>
  <c r="IH21" i="5"/>
  <c r="II21" i="5"/>
  <c r="IJ21" i="5"/>
  <c r="IK21" i="5"/>
  <c r="IL21" i="5"/>
  <c r="IM21" i="5"/>
  <c r="IN21" i="5"/>
  <c r="IO21" i="5"/>
  <c r="IP21" i="5"/>
  <c r="IQ21" i="5"/>
  <c r="IR21" i="5"/>
  <c r="IS21" i="5"/>
  <c r="IT21" i="5"/>
  <c r="IU21" i="5"/>
  <c r="IV21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GJ22" i="5"/>
  <c r="GK22" i="5"/>
  <c r="GL22" i="5"/>
  <c r="GM22" i="5"/>
  <c r="GN22" i="5"/>
  <c r="GO22" i="5"/>
  <c r="GP22" i="5"/>
  <c r="GQ22" i="5"/>
  <c r="GR22" i="5"/>
  <c r="GS22" i="5"/>
  <c r="GT22" i="5"/>
  <c r="GU22" i="5"/>
  <c r="GV22" i="5"/>
  <c r="GW22" i="5"/>
  <c r="GX22" i="5"/>
  <c r="GY22" i="5"/>
  <c r="GZ22" i="5"/>
  <c r="HA22" i="5"/>
  <c r="HB22" i="5"/>
  <c r="HC22" i="5"/>
  <c r="HD22" i="5"/>
  <c r="HE22" i="5"/>
  <c r="HF22" i="5"/>
  <c r="HG22" i="5"/>
  <c r="HH22" i="5"/>
  <c r="HI22" i="5"/>
  <c r="HJ22" i="5"/>
  <c r="HK22" i="5"/>
  <c r="HL22" i="5"/>
  <c r="HM22" i="5"/>
  <c r="HN22" i="5"/>
  <c r="HO22" i="5"/>
  <c r="HP22" i="5"/>
  <c r="HQ22" i="5"/>
  <c r="HR22" i="5"/>
  <c r="HS22" i="5"/>
  <c r="HT22" i="5"/>
  <c r="HU22" i="5"/>
  <c r="HV22" i="5"/>
  <c r="HW22" i="5"/>
  <c r="HX22" i="5"/>
  <c r="HY22" i="5"/>
  <c r="HZ22" i="5"/>
  <c r="IA22" i="5"/>
  <c r="IB22" i="5"/>
  <c r="IC22" i="5"/>
  <c r="ID22" i="5"/>
  <c r="IE22" i="5"/>
  <c r="IF22" i="5"/>
  <c r="IG22" i="5"/>
  <c r="IH22" i="5"/>
  <c r="II22" i="5"/>
  <c r="IJ22" i="5"/>
  <c r="IK22" i="5"/>
  <c r="IL22" i="5"/>
  <c r="IM22" i="5"/>
  <c r="IN22" i="5"/>
  <c r="IO22" i="5"/>
  <c r="IP22" i="5"/>
  <c r="IQ22" i="5"/>
  <c r="IR22" i="5"/>
  <c r="IS22" i="5"/>
  <c r="IT22" i="5"/>
  <c r="IU22" i="5"/>
  <c r="IV22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GJ23" i="5"/>
  <c r="GK23" i="5"/>
  <c r="GL23" i="5"/>
  <c r="GM23" i="5"/>
  <c r="GN23" i="5"/>
  <c r="GO23" i="5"/>
  <c r="GP23" i="5"/>
  <c r="GQ23" i="5"/>
  <c r="GR23" i="5"/>
  <c r="GS23" i="5"/>
  <c r="GT23" i="5"/>
  <c r="GU23" i="5"/>
  <c r="GV23" i="5"/>
  <c r="GW23" i="5"/>
  <c r="GX23" i="5"/>
  <c r="GY23" i="5"/>
  <c r="GZ23" i="5"/>
  <c r="HA23" i="5"/>
  <c r="HB23" i="5"/>
  <c r="HC23" i="5"/>
  <c r="HD23" i="5"/>
  <c r="HE23" i="5"/>
  <c r="HF23" i="5"/>
  <c r="HG23" i="5"/>
  <c r="HH23" i="5"/>
  <c r="HI23" i="5"/>
  <c r="HJ23" i="5"/>
  <c r="HK23" i="5"/>
  <c r="HL23" i="5"/>
  <c r="HM23" i="5"/>
  <c r="HN23" i="5"/>
  <c r="HO23" i="5"/>
  <c r="HP23" i="5"/>
  <c r="HQ23" i="5"/>
  <c r="HR23" i="5"/>
  <c r="HS23" i="5"/>
  <c r="HT23" i="5"/>
  <c r="HU23" i="5"/>
  <c r="HV23" i="5"/>
  <c r="HW23" i="5"/>
  <c r="HX23" i="5"/>
  <c r="HY23" i="5"/>
  <c r="HZ23" i="5"/>
  <c r="IA23" i="5"/>
  <c r="IB23" i="5"/>
  <c r="IC23" i="5"/>
  <c r="ID23" i="5"/>
  <c r="IE23" i="5"/>
  <c r="IF23" i="5"/>
  <c r="IG23" i="5"/>
  <c r="IH23" i="5"/>
  <c r="II23" i="5"/>
  <c r="IJ23" i="5"/>
  <c r="IK23" i="5"/>
  <c r="IL23" i="5"/>
  <c r="IM23" i="5"/>
  <c r="IN23" i="5"/>
  <c r="IO23" i="5"/>
  <c r="IP23" i="5"/>
  <c r="IQ23" i="5"/>
  <c r="IR23" i="5"/>
  <c r="IS23" i="5"/>
  <c r="IT23" i="5"/>
  <c r="IU23" i="5"/>
  <c r="IV23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GZ24" i="5"/>
  <c r="HA24" i="5"/>
  <c r="HB24" i="5"/>
  <c r="HC24" i="5"/>
  <c r="HD24" i="5"/>
  <c r="HE24" i="5"/>
  <c r="HF24" i="5"/>
  <c r="HG24" i="5"/>
  <c r="HH24" i="5"/>
  <c r="HI24" i="5"/>
  <c r="HJ24" i="5"/>
  <c r="HK24" i="5"/>
  <c r="HL24" i="5"/>
  <c r="HM24" i="5"/>
  <c r="HN24" i="5"/>
  <c r="HO24" i="5"/>
  <c r="HP24" i="5"/>
  <c r="HQ24" i="5"/>
  <c r="HR24" i="5"/>
  <c r="HS24" i="5"/>
  <c r="HT24" i="5"/>
  <c r="HU24" i="5"/>
  <c r="HV24" i="5"/>
  <c r="HW24" i="5"/>
  <c r="HX24" i="5"/>
  <c r="HY24" i="5"/>
  <c r="HZ24" i="5"/>
  <c r="IA24" i="5"/>
  <c r="IB24" i="5"/>
  <c r="IC24" i="5"/>
  <c r="ID24" i="5"/>
  <c r="IE24" i="5"/>
  <c r="IF24" i="5"/>
  <c r="IG24" i="5"/>
  <c r="IH24" i="5"/>
  <c r="II24" i="5"/>
  <c r="IJ24" i="5"/>
  <c r="IK24" i="5"/>
  <c r="IL24" i="5"/>
  <c r="IM24" i="5"/>
  <c r="IN24" i="5"/>
  <c r="IO24" i="5"/>
  <c r="IP24" i="5"/>
  <c r="IQ24" i="5"/>
  <c r="IR24" i="5"/>
  <c r="IS24" i="5"/>
  <c r="IT24" i="5"/>
  <c r="IU24" i="5"/>
  <c r="IV24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GJ25" i="5"/>
  <c r="GK25" i="5"/>
  <c r="GL25" i="5"/>
  <c r="GM25" i="5"/>
  <c r="GN25" i="5"/>
  <c r="GO25" i="5"/>
  <c r="GP25" i="5"/>
  <c r="GQ25" i="5"/>
  <c r="GR25" i="5"/>
  <c r="GS25" i="5"/>
  <c r="GT25" i="5"/>
  <c r="GU25" i="5"/>
  <c r="GV25" i="5"/>
  <c r="GW25" i="5"/>
  <c r="GX25" i="5"/>
  <c r="GY25" i="5"/>
  <c r="GZ25" i="5"/>
  <c r="HA25" i="5"/>
  <c r="HB25" i="5"/>
  <c r="HC25" i="5"/>
  <c r="HD25" i="5"/>
  <c r="HE25" i="5"/>
  <c r="HF25" i="5"/>
  <c r="HG25" i="5"/>
  <c r="HH25" i="5"/>
  <c r="HI25" i="5"/>
  <c r="HJ25" i="5"/>
  <c r="HK25" i="5"/>
  <c r="HL25" i="5"/>
  <c r="HM25" i="5"/>
  <c r="HN25" i="5"/>
  <c r="HO25" i="5"/>
  <c r="HP25" i="5"/>
  <c r="HQ25" i="5"/>
  <c r="HR25" i="5"/>
  <c r="HS25" i="5"/>
  <c r="HT25" i="5"/>
  <c r="HU25" i="5"/>
  <c r="HV25" i="5"/>
  <c r="HW25" i="5"/>
  <c r="HX25" i="5"/>
  <c r="HY25" i="5"/>
  <c r="HZ25" i="5"/>
  <c r="IA25" i="5"/>
  <c r="IB25" i="5"/>
  <c r="IC25" i="5"/>
  <c r="ID25" i="5"/>
  <c r="IE25" i="5"/>
  <c r="IF25" i="5"/>
  <c r="IG25" i="5"/>
  <c r="IH25" i="5"/>
  <c r="II25" i="5"/>
  <c r="IJ25" i="5"/>
  <c r="IK25" i="5"/>
  <c r="IL25" i="5"/>
  <c r="IM25" i="5"/>
  <c r="IN25" i="5"/>
  <c r="IO25" i="5"/>
  <c r="IP25" i="5"/>
  <c r="IQ25" i="5"/>
  <c r="IR25" i="5"/>
  <c r="IS25" i="5"/>
  <c r="IT25" i="5"/>
  <c r="IU25" i="5"/>
  <c r="IV25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GX26" i="5"/>
  <c r="GY26" i="5"/>
  <c r="GZ26" i="5"/>
  <c r="HA26" i="5"/>
  <c r="HB26" i="5"/>
  <c r="HC26" i="5"/>
  <c r="HD26" i="5"/>
  <c r="HE26" i="5"/>
  <c r="HF26" i="5"/>
  <c r="HG26" i="5"/>
  <c r="HH26" i="5"/>
  <c r="HI26" i="5"/>
  <c r="HJ26" i="5"/>
  <c r="HK26" i="5"/>
  <c r="HL26" i="5"/>
  <c r="HM26" i="5"/>
  <c r="HN26" i="5"/>
  <c r="HO26" i="5"/>
  <c r="HP26" i="5"/>
  <c r="HQ26" i="5"/>
  <c r="HR26" i="5"/>
  <c r="HS26" i="5"/>
  <c r="HT26" i="5"/>
  <c r="HU26" i="5"/>
  <c r="HV26" i="5"/>
  <c r="HW26" i="5"/>
  <c r="HX26" i="5"/>
  <c r="HY26" i="5"/>
  <c r="HZ26" i="5"/>
  <c r="IA26" i="5"/>
  <c r="IB26" i="5"/>
  <c r="IC26" i="5"/>
  <c r="ID26" i="5"/>
  <c r="IE26" i="5"/>
  <c r="IF26" i="5"/>
  <c r="IG26" i="5"/>
  <c r="IH26" i="5"/>
  <c r="II26" i="5"/>
  <c r="IJ26" i="5"/>
  <c r="IK26" i="5"/>
  <c r="IL26" i="5"/>
  <c r="IM26" i="5"/>
  <c r="IN26" i="5"/>
  <c r="IO26" i="5"/>
  <c r="IP26" i="5"/>
  <c r="IQ26" i="5"/>
  <c r="IR26" i="5"/>
  <c r="IS26" i="5"/>
  <c r="IT26" i="5"/>
  <c r="IU26" i="5"/>
  <c r="IV26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GJ27" i="5"/>
  <c r="GK27" i="5"/>
  <c r="GL27" i="5"/>
  <c r="GM27" i="5"/>
  <c r="GN27" i="5"/>
  <c r="GO27" i="5"/>
  <c r="GP27" i="5"/>
  <c r="GQ27" i="5"/>
  <c r="GR27" i="5"/>
  <c r="GS27" i="5"/>
  <c r="GT27" i="5"/>
  <c r="GU27" i="5"/>
  <c r="GV27" i="5"/>
  <c r="GW27" i="5"/>
  <c r="GX27" i="5"/>
  <c r="GY27" i="5"/>
  <c r="GZ27" i="5"/>
  <c r="HA27" i="5"/>
  <c r="HB27" i="5"/>
  <c r="HC27" i="5"/>
  <c r="HD27" i="5"/>
  <c r="HE27" i="5"/>
  <c r="HF27" i="5"/>
  <c r="HG27" i="5"/>
  <c r="HH27" i="5"/>
  <c r="HI27" i="5"/>
  <c r="HJ27" i="5"/>
  <c r="HK27" i="5"/>
  <c r="HL27" i="5"/>
  <c r="HM27" i="5"/>
  <c r="HN27" i="5"/>
  <c r="HO27" i="5"/>
  <c r="HP27" i="5"/>
  <c r="HQ27" i="5"/>
  <c r="HR27" i="5"/>
  <c r="HS27" i="5"/>
  <c r="HT27" i="5"/>
  <c r="HU27" i="5"/>
  <c r="HV27" i="5"/>
  <c r="HW27" i="5"/>
  <c r="HX27" i="5"/>
  <c r="HY27" i="5"/>
  <c r="HZ27" i="5"/>
  <c r="IA27" i="5"/>
  <c r="IB27" i="5"/>
  <c r="IC27" i="5"/>
  <c r="ID27" i="5"/>
  <c r="IE27" i="5"/>
  <c r="IF27" i="5"/>
  <c r="IG27" i="5"/>
  <c r="IH27" i="5"/>
  <c r="II27" i="5"/>
  <c r="IJ27" i="5"/>
  <c r="IK27" i="5"/>
  <c r="IL27" i="5"/>
  <c r="IM27" i="5"/>
  <c r="IN27" i="5"/>
  <c r="IO27" i="5"/>
  <c r="IP27" i="5"/>
  <c r="IQ27" i="5"/>
  <c r="IR27" i="5"/>
  <c r="IS27" i="5"/>
  <c r="IT27" i="5"/>
  <c r="IU27" i="5"/>
  <c r="IV27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GF28" i="5"/>
  <c r="GG28" i="5"/>
  <c r="GH28" i="5"/>
  <c r="GI28" i="5"/>
  <c r="GJ28" i="5"/>
  <c r="GK28" i="5"/>
  <c r="GL28" i="5"/>
  <c r="GM28" i="5"/>
  <c r="GN28" i="5"/>
  <c r="GO28" i="5"/>
  <c r="GP28" i="5"/>
  <c r="GQ28" i="5"/>
  <c r="GR28" i="5"/>
  <c r="GS28" i="5"/>
  <c r="GT28" i="5"/>
  <c r="GU28" i="5"/>
  <c r="GV28" i="5"/>
  <c r="GW28" i="5"/>
  <c r="GX28" i="5"/>
  <c r="GY28" i="5"/>
  <c r="GZ28" i="5"/>
  <c r="HA28" i="5"/>
  <c r="HB28" i="5"/>
  <c r="HC28" i="5"/>
  <c r="HD28" i="5"/>
  <c r="HE28" i="5"/>
  <c r="HF28" i="5"/>
  <c r="HG28" i="5"/>
  <c r="HH28" i="5"/>
  <c r="HI28" i="5"/>
  <c r="HJ28" i="5"/>
  <c r="HK28" i="5"/>
  <c r="HL28" i="5"/>
  <c r="HM28" i="5"/>
  <c r="HN28" i="5"/>
  <c r="HO28" i="5"/>
  <c r="HP28" i="5"/>
  <c r="HQ28" i="5"/>
  <c r="HR28" i="5"/>
  <c r="HS28" i="5"/>
  <c r="HT28" i="5"/>
  <c r="HU28" i="5"/>
  <c r="HV28" i="5"/>
  <c r="HW28" i="5"/>
  <c r="HX28" i="5"/>
  <c r="HY28" i="5"/>
  <c r="HZ28" i="5"/>
  <c r="IA28" i="5"/>
  <c r="IB28" i="5"/>
  <c r="IC28" i="5"/>
  <c r="ID28" i="5"/>
  <c r="IE28" i="5"/>
  <c r="IF28" i="5"/>
  <c r="IG28" i="5"/>
  <c r="IH28" i="5"/>
  <c r="II28" i="5"/>
  <c r="IJ28" i="5"/>
  <c r="IK28" i="5"/>
  <c r="IL28" i="5"/>
  <c r="IM28" i="5"/>
  <c r="IN28" i="5"/>
  <c r="IO28" i="5"/>
  <c r="IP28" i="5"/>
  <c r="IQ28" i="5"/>
  <c r="IR28" i="5"/>
  <c r="IS28" i="5"/>
  <c r="IT28" i="5"/>
  <c r="IU28" i="5"/>
  <c r="IV28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GF29" i="5"/>
  <c r="GG29" i="5"/>
  <c r="GH29" i="5"/>
  <c r="GI29" i="5"/>
  <c r="GJ29" i="5"/>
  <c r="GK29" i="5"/>
  <c r="GL29" i="5"/>
  <c r="GM29" i="5"/>
  <c r="GN29" i="5"/>
  <c r="GO29" i="5"/>
  <c r="GP29" i="5"/>
  <c r="GQ29" i="5"/>
  <c r="GR29" i="5"/>
  <c r="GS29" i="5"/>
  <c r="GT29" i="5"/>
  <c r="GU29" i="5"/>
  <c r="GV29" i="5"/>
  <c r="GW29" i="5"/>
  <c r="GX29" i="5"/>
  <c r="GY29" i="5"/>
  <c r="GZ29" i="5"/>
  <c r="HA29" i="5"/>
  <c r="HB29" i="5"/>
  <c r="HC29" i="5"/>
  <c r="HD29" i="5"/>
  <c r="HE29" i="5"/>
  <c r="HF29" i="5"/>
  <c r="HG29" i="5"/>
  <c r="HH29" i="5"/>
  <c r="HI29" i="5"/>
  <c r="HJ29" i="5"/>
  <c r="HK29" i="5"/>
  <c r="HL29" i="5"/>
  <c r="HM29" i="5"/>
  <c r="HN29" i="5"/>
  <c r="HO29" i="5"/>
  <c r="HP29" i="5"/>
  <c r="HQ29" i="5"/>
  <c r="HR29" i="5"/>
  <c r="HS29" i="5"/>
  <c r="HT29" i="5"/>
  <c r="HU29" i="5"/>
  <c r="HV29" i="5"/>
  <c r="HW29" i="5"/>
  <c r="HX29" i="5"/>
  <c r="HY29" i="5"/>
  <c r="HZ29" i="5"/>
  <c r="IA29" i="5"/>
  <c r="IB29" i="5"/>
  <c r="IC29" i="5"/>
  <c r="ID29" i="5"/>
  <c r="IE29" i="5"/>
  <c r="IF29" i="5"/>
  <c r="IG29" i="5"/>
  <c r="IH29" i="5"/>
  <c r="II29" i="5"/>
  <c r="IJ29" i="5"/>
  <c r="IK29" i="5"/>
  <c r="IL29" i="5"/>
  <c r="IM29" i="5"/>
  <c r="IN29" i="5"/>
  <c r="IO29" i="5"/>
  <c r="IP29" i="5"/>
  <c r="IQ29" i="5"/>
  <c r="IR29" i="5"/>
  <c r="IS29" i="5"/>
  <c r="IT29" i="5"/>
  <c r="IU29" i="5"/>
  <c r="IV29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ES30" i="5"/>
  <c r="ET30" i="5"/>
  <c r="EU30" i="5"/>
  <c r="EV30" i="5"/>
  <c r="EW30" i="5"/>
  <c r="EX30" i="5"/>
  <c r="EY30" i="5"/>
  <c r="EZ30" i="5"/>
  <c r="FA30" i="5"/>
  <c r="FB30" i="5"/>
  <c r="FC30" i="5"/>
  <c r="FD30" i="5"/>
  <c r="FE30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GD30" i="5"/>
  <c r="GE30" i="5"/>
  <c r="GF30" i="5"/>
  <c r="GG30" i="5"/>
  <c r="GH30" i="5"/>
  <c r="GI30" i="5"/>
  <c r="GJ30" i="5"/>
  <c r="GK30" i="5"/>
  <c r="GL30" i="5"/>
  <c r="GM30" i="5"/>
  <c r="GN30" i="5"/>
  <c r="GO30" i="5"/>
  <c r="GP30" i="5"/>
  <c r="GQ30" i="5"/>
  <c r="GR30" i="5"/>
  <c r="GS30" i="5"/>
  <c r="GT30" i="5"/>
  <c r="GU30" i="5"/>
  <c r="GV30" i="5"/>
  <c r="GW30" i="5"/>
  <c r="GX30" i="5"/>
  <c r="GY30" i="5"/>
  <c r="GZ30" i="5"/>
  <c r="HA30" i="5"/>
  <c r="HB30" i="5"/>
  <c r="HC30" i="5"/>
  <c r="HD30" i="5"/>
  <c r="HE30" i="5"/>
  <c r="HF30" i="5"/>
  <c r="HG30" i="5"/>
  <c r="HH30" i="5"/>
  <c r="HI30" i="5"/>
  <c r="HJ30" i="5"/>
  <c r="HK30" i="5"/>
  <c r="HL30" i="5"/>
  <c r="HM30" i="5"/>
  <c r="HN30" i="5"/>
  <c r="HO30" i="5"/>
  <c r="HP30" i="5"/>
  <c r="HQ30" i="5"/>
  <c r="HR30" i="5"/>
  <c r="HS30" i="5"/>
  <c r="HT30" i="5"/>
  <c r="HU30" i="5"/>
  <c r="HV30" i="5"/>
  <c r="HW30" i="5"/>
  <c r="HX30" i="5"/>
  <c r="HY30" i="5"/>
  <c r="HZ30" i="5"/>
  <c r="IA30" i="5"/>
  <c r="IB30" i="5"/>
  <c r="IC30" i="5"/>
  <c r="ID30" i="5"/>
  <c r="IE30" i="5"/>
  <c r="IF30" i="5"/>
  <c r="IG30" i="5"/>
  <c r="IH30" i="5"/>
  <c r="II30" i="5"/>
  <c r="IJ30" i="5"/>
  <c r="IK30" i="5"/>
  <c r="IL30" i="5"/>
  <c r="IM30" i="5"/>
  <c r="IN30" i="5"/>
  <c r="IO30" i="5"/>
  <c r="IP30" i="5"/>
  <c r="IQ30" i="5"/>
  <c r="IR30" i="5"/>
  <c r="IS30" i="5"/>
  <c r="IT30" i="5"/>
  <c r="IU30" i="5"/>
  <c r="IV30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ER31" i="5"/>
  <c r="ES31" i="5"/>
  <c r="ET31" i="5"/>
  <c r="EU31" i="5"/>
  <c r="EV31" i="5"/>
  <c r="EW31" i="5"/>
  <c r="EX31" i="5"/>
  <c r="EY31" i="5"/>
  <c r="EZ31" i="5"/>
  <c r="FA31" i="5"/>
  <c r="FB31" i="5"/>
  <c r="FC31" i="5"/>
  <c r="FD31" i="5"/>
  <c r="FE31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GD31" i="5"/>
  <c r="GE31" i="5"/>
  <c r="GF31" i="5"/>
  <c r="GG31" i="5"/>
  <c r="GH31" i="5"/>
  <c r="GI31" i="5"/>
  <c r="GJ31" i="5"/>
  <c r="GK31" i="5"/>
  <c r="GL31" i="5"/>
  <c r="GM31" i="5"/>
  <c r="GN31" i="5"/>
  <c r="GO31" i="5"/>
  <c r="GP31" i="5"/>
  <c r="GQ31" i="5"/>
  <c r="GR31" i="5"/>
  <c r="GS31" i="5"/>
  <c r="GT31" i="5"/>
  <c r="GU31" i="5"/>
  <c r="GV31" i="5"/>
  <c r="GW31" i="5"/>
  <c r="GX31" i="5"/>
  <c r="GY31" i="5"/>
  <c r="GZ31" i="5"/>
  <c r="HA31" i="5"/>
  <c r="HB31" i="5"/>
  <c r="HC31" i="5"/>
  <c r="HD31" i="5"/>
  <c r="HE31" i="5"/>
  <c r="HF31" i="5"/>
  <c r="HG31" i="5"/>
  <c r="HH31" i="5"/>
  <c r="HI31" i="5"/>
  <c r="HJ31" i="5"/>
  <c r="HK31" i="5"/>
  <c r="HL31" i="5"/>
  <c r="HM31" i="5"/>
  <c r="HN31" i="5"/>
  <c r="HO31" i="5"/>
  <c r="HP31" i="5"/>
  <c r="HQ31" i="5"/>
  <c r="HR31" i="5"/>
  <c r="HS31" i="5"/>
  <c r="HT31" i="5"/>
  <c r="HU31" i="5"/>
  <c r="HV31" i="5"/>
  <c r="HW31" i="5"/>
  <c r="HX31" i="5"/>
  <c r="HY31" i="5"/>
  <c r="HZ31" i="5"/>
  <c r="IA31" i="5"/>
  <c r="IB31" i="5"/>
  <c r="IC31" i="5"/>
  <c r="ID31" i="5"/>
  <c r="IE31" i="5"/>
  <c r="IF31" i="5"/>
  <c r="IG31" i="5"/>
  <c r="IH31" i="5"/>
  <c r="II31" i="5"/>
  <c r="IJ31" i="5"/>
  <c r="IK31" i="5"/>
  <c r="IL31" i="5"/>
  <c r="IM31" i="5"/>
  <c r="IN31" i="5"/>
  <c r="IO31" i="5"/>
  <c r="IP31" i="5"/>
  <c r="IQ31" i="5"/>
  <c r="IR31" i="5"/>
  <c r="IS31" i="5"/>
  <c r="IT31" i="5"/>
  <c r="IU31" i="5"/>
  <c r="IV31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FD32" i="5"/>
  <c r="FE32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GD32" i="5"/>
  <c r="GE32" i="5"/>
  <c r="GF32" i="5"/>
  <c r="GG32" i="5"/>
  <c r="GH32" i="5"/>
  <c r="GI32" i="5"/>
  <c r="GJ32" i="5"/>
  <c r="GK32" i="5"/>
  <c r="GL32" i="5"/>
  <c r="GM32" i="5"/>
  <c r="GN32" i="5"/>
  <c r="GO32" i="5"/>
  <c r="GP32" i="5"/>
  <c r="GQ32" i="5"/>
  <c r="GR32" i="5"/>
  <c r="GS32" i="5"/>
  <c r="GT32" i="5"/>
  <c r="GU32" i="5"/>
  <c r="GV32" i="5"/>
  <c r="GW32" i="5"/>
  <c r="GX32" i="5"/>
  <c r="GY32" i="5"/>
  <c r="GZ32" i="5"/>
  <c r="HA32" i="5"/>
  <c r="HB32" i="5"/>
  <c r="HC32" i="5"/>
  <c r="HD32" i="5"/>
  <c r="HE32" i="5"/>
  <c r="HF32" i="5"/>
  <c r="HG32" i="5"/>
  <c r="HH32" i="5"/>
  <c r="HI32" i="5"/>
  <c r="HJ32" i="5"/>
  <c r="HK32" i="5"/>
  <c r="HL32" i="5"/>
  <c r="HM32" i="5"/>
  <c r="HN32" i="5"/>
  <c r="HO32" i="5"/>
  <c r="HP32" i="5"/>
  <c r="HQ32" i="5"/>
  <c r="HR32" i="5"/>
  <c r="HS32" i="5"/>
  <c r="HT32" i="5"/>
  <c r="HU32" i="5"/>
  <c r="HV32" i="5"/>
  <c r="HW32" i="5"/>
  <c r="HX32" i="5"/>
  <c r="HY32" i="5"/>
  <c r="HZ32" i="5"/>
  <c r="IA32" i="5"/>
  <c r="IB32" i="5"/>
  <c r="IC32" i="5"/>
  <c r="ID32" i="5"/>
  <c r="IE32" i="5"/>
  <c r="IF32" i="5"/>
  <c r="IG32" i="5"/>
  <c r="IH32" i="5"/>
  <c r="II32" i="5"/>
  <c r="IJ32" i="5"/>
  <c r="IK32" i="5"/>
  <c r="IL32" i="5"/>
  <c r="IM32" i="5"/>
  <c r="IN32" i="5"/>
  <c r="IO32" i="5"/>
  <c r="IP32" i="5"/>
  <c r="IQ32" i="5"/>
  <c r="IR32" i="5"/>
  <c r="IS32" i="5"/>
  <c r="IT32" i="5"/>
  <c r="IU32" i="5"/>
  <c r="IV32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M33" i="5"/>
  <c r="EN33" i="5"/>
  <c r="EO33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GF33" i="5"/>
  <c r="GG33" i="5"/>
  <c r="GH33" i="5"/>
  <c r="GI33" i="5"/>
  <c r="GJ33" i="5"/>
  <c r="GK33" i="5"/>
  <c r="GL33" i="5"/>
  <c r="GM33" i="5"/>
  <c r="GN33" i="5"/>
  <c r="GO33" i="5"/>
  <c r="GP33" i="5"/>
  <c r="GQ33" i="5"/>
  <c r="GR33" i="5"/>
  <c r="GS33" i="5"/>
  <c r="GT33" i="5"/>
  <c r="GU33" i="5"/>
  <c r="GV33" i="5"/>
  <c r="GW33" i="5"/>
  <c r="GX33" i="5"/>
  <c r="GY33" i="5"/>
  <c r="GZ33" i="5"/>
  <c r="HA33" i="5"/>
  <c r="HB33" i="5"/>
  <c r="HC33" i="5"/>
  <c r="HD33" i="5"/>
  <c r="HE33" i="5"/>
  <c r="HF33" i="5"/>
  <c r="HG33" i="5"/>
  <c r="HH33" i="5"/>
  <c r="HI33" i="5"/>
  <c r="HJ33" i="5"/>
  <c r="HK33" i="5"/>
  <c r="HL33" i="5"/>
  <c r="HM33" i="5"/>
  <c r="HN33" i="5"/>
  <c r="HO33" i="5"/>
  <c r="HP33" i="5"/>
  <c r="HQ33" i="5"/>
  <c r="HR33" i="5"/>
  <c r="HS33" i="5"/>
  <c r="HT33" i="5"/>
  <c r="HU33" i="5"/>
  <c r="HV33" i="5"/>
  <c r="HW33" i="5"/>
  <c r="HX33" i="5"/>
  <c r="HY33" i="5"/>
  <c r="HZ33" i="5"/>
  <c r="IA33" i="5"/>
  <c r="IB33" i="5"/>
  <c r="IC33" i="5"/>
  <c r="ID33" i="5"/>
  <c r="IE33" i="5"/>
  <c r="IF33" i="5"/>
  <c r="IG33" i="5"/>
  <c r="IH33" i="5"/>
  <c r="II33" i="5"/>
  <c r="IJ33" i="5"/>
  <c r="IK33" i="5"/>
  <c r="IL33" i="5"/>
  <c r="IM33" i="5"/>
  <c r="IN33" i="5"/>
  <c r="IO33" i="5"/>
  <c r="IP33" i="5"/>
  <c r="IQ33" i="5"/>
  <c r="IR33" i="5"/>
  <c r="IS33" i="5"/>
  <c r="IT33" i="5"/>
  <c r="IU33" i="5"/>
  <c r="IV33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EJ34" i="5"/>
  <c r="EK34" i="5"/>
  <c r="EL34" i="5"/>
  <c r="EM34" i="5"/>
  <c r="EN34" i="5"/>
  <c r="EO34" i="5"/>
  <c r="EP34" i="5"/>
  <c r="EQ34" i="5"/>
  <c r="ER34" i="5"/>
  <c r="ES34" i="5"/>
  <c r="ET34" i="5"/>
  <c r="EU34" i="5"/>
  <c r="EV34" i="5"/>
  <c r="EW34" i="5"/>
  <c r="EX34" i="5"/>
  <c r="EY34" i="5"/>
  <c r="EZ34" i="5"/>
  <c r="FA34" i="5"/>
  <c r="FB34" i="5"/>
  <c r="FC34" i="5"/>
  <c r="FD34" i="5"/>
  <c r="FE34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GD34" i="5"/>
  <c r="GE34" i="5"/>
  <c r="GF34" i="5"/>
  <c r="GG34" i="5"/>
  <c r="GH34" i="5"/>
  <c r="GI34" i="5"/>
  <c r="GJ34" i="5"/>
  <c r="GK34" i="5"/>
  <c r="GL34" i="5"/>
  <c r="GM34" i="5"/>
  <c r="GN34" i="5"/>
  <c r="GO34" i="5"/>
  <c r="GP34" i="5"/>
  <c r="GQ34" i="5"/>
  <c r="GR34" i="5"/>
  <c r="GS34" i="5"/>
  <c r="GT34" i="5"/>
  <c r="GU34" i="5"/>
  <c r="GV34" i="5"/>
  <c r="GW34" i="5"/>
  <c r="GX34" i="5"/>
  <c r="GY34" i="5"/>
  <c r="GZ34" i="5"/>
  <c r="HA34" i="5"/>
  <c r="HB34" i="5"/>
  <c r="HC34" i="5"/>
  <c r="HD34" i="5"/>
  <c r="HE34" i="5"/>
  <c r="HF34" i="5"/>
  <c r="HG34" i="5"/>
  <c r="HH34" i="5"/>
  <c r="HI34" i="5"/>
  <c r="HJ34" i="5"/>
  <c r="HK34" i="5"/>
  <c r="HL34" i="5"/>
  <c r="HM34" i="5"/>
  <c r="HN34" i="5"/>
  <c r="HO34" i="5"/>
  <c r="HP34" i="5"/>
  <c r="HQ34" i="5"/>
  <c r="HR34" i="5"/>
  <c r="HS34" i="5"/>
  <c r="HT34" i="5"/>
  <c r="HU34" i="5"/>
  <c r="HV34" i="5"/>
  <c r="HW34" i="5"/>
  <c r="HX34" i="5"/>
  <c r="HY34" i="5"/>
  <c r="HZ34" i="5"/>
  <c r="IA34" i="5"/>
  <c r="IB34" i="5"/>
  <c r="IC34" i="5"/>
  <c r="ID34" i="5"/>
  <c r="IE34" i="5"/>
  <c r="IF34" i="5"/>
  <c r="IG34" i="5"/>
  <c r="IH34" i="5"/>
  <c r="II34" i="5"/>
  <c r="IJ34" i="5"/>
  <c r="IK34" i="5"/>
  <c r="IL34" i="5"/>
  <c r="IM34" i="5"/>
  <c r="IN34" i="5"/>
  <c r="IO34" i="5"/>
  <c r="IP34" i="5"/>
  <c r="IQ34" i="5"/>
  <c r="IR34" i="5"/>
  <c r="IS34" i="5"/>
  <c r="IT34" i="5"/>
  <c r="IU34" i="5"/>
  <c r="IV34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EJ35" i="5"/>
  <c r="EK35" i="5"/>
  <c r="EL35" i="5"/>
  <c r="EM35" i="5"/>
  <c r="EN35" i="5"/>
  <c r="EO35" i="5"/>
  <c r="EP35" i="5"/>
  <c r="EQ35" i="5"/>
  <c r="ER35" i="5"/>
  <c r="ES35" i="5"/>
  <c r="ET35" i="5"/>
  <c r="EU35" i="5"/>
  <c r="EV35" i="5"/>
  <c r="EW35" i="5"/>
  <c r="EX35" i="5"/>
  <c r="EY35" i="5"/>
  <c r="EZ35" i="5"/>
  <c r="FA35" i="5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GD35" i="5"/>
  <c r="GE35" i="5"/>
  <c r="GF35" i="5"/>
  <c r="GG35" i="5"/>
  <c r="GH35" i="5"/>
  <c r="GI35" i="5"/>
  <c r="GJ35" i="5"/>
  <c r="GK35" i="5"/>
  <c r="GL35" i="5"/>
  <c r="GM35" i="5"/>
  <c r="GN35" i="5"/>
  <c r="GO35" i="5"/>
  <c r="GP35" i="5"/>
  <c r="GQ35" i="5"/>
  <c r="GR35" i="5"/>
  <c r="GS35" i="5"/>
  <c r="GT35" i="5"/>
  <c r="GU35" i="5"/>
  <c r="GV35" i="5"/>
  <c r="GW35" i="5"/>
  <c r="GX35" i="5"/>
  <c r="GY35" i="5"/>
  <c r="GZ35" i="5"/>
  <c r="HA35" i="5"/>
  <c r="HB35" i="5"/>
  <c r="HC35" i="5"/>
  <c r="HD35" i="5"/>
  <c r="HE35" i="5"/>
  <c r="HF35" i="5"/>
  <c r="HG35" i="5"/>
  <c r="HH35" i="5"/>
  <c r="HI35" i="5"/>
  <c r="HJ35" i="5"/>
  <c r="HK35" i="5"/>
  <c r="HL35" i="5"/>
  <c r="HM35" i="5"/>
  <c r="HN35" i="5"/>
  <c r="HO35" i="5"/>
  <c r="HP35" i="5"/>
  <c r="HQ35" i="5"/>
  <c r="HR35" i="5"/>
  <c r="HS35" i="5"/>
  <c r="HT35" i="5"/>
  <c r="HU35" i="5"/>
  <c r="HV35" i="5"/>
  <c r="HW35" i="5"/>
  <c r="HX35" i="5"/>
  <c r="HY35" i="5"/>
  <c r="HZ35" i="5"/>
  <c r="IA35" i="5"/>
  <c r="IB35" i="5"/>
  <c r="IC35" i="5"/>
  <c r="ID35" i="5"/>
  <c r="IE35" i="5"/>
  <c r="IF35" i="5"/>
  <c r="IG35" i="5"/>
  <c r="IH35" i="5"/>
  <c r="II35" i="5"/>
  <c r="IJ35" i="5"/>
  <c r="IK35" i="5"/>
  <c r="IL35" i="5"/>
  <c r="IM35" i="5"/>
  <c r="IN35" i="5"/>
  <c r="IO35" i="5"/>
  <c r="IP35" i="5"/>
  <c r="IQ35" i="5"/>
  <c r="IR35" i="5"/>
  <c r="IS35" i="5"/>
  <c r="IT35" i="5"/>
  <c r="IU35" i="5"/>
  <c r="IV35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EJ36" i="5"/>
  <c r="EK36" i="5"/>
  <c r="EL36" i="5"/>
  <c r="EM36" i="5"/>
  <c r="EN36" i="5"/>
  <c r="EO36" i="5"/>
  <c r="EP36" i="5"/>
  <c r="EQ36" i="5"/>
  <c r="ER36" i="5"/>
  <c r="ES36" i="5"/>
  <c r="ET36" i="5"/>
  <c r="EU36" i="5"/>
  <c r="EV36" i="5"/>
  <c r="EW36" i="5"/>
  <c r="EX36" i="5"/>
  <c r="EY36" i="5"/>
  <c r="EZ36" i="5"/>
  <c r="FA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GD36" i="5"/>
  <c r="GE36" i="5"/>
  <c r="GF36" i="5"/>
  <c r="GG36" i="5"/>
  <c r="GH36" i="5"/>
  <c r="GI36" i="5"/>
  <c r="GJ36" i="5"/>
  <c r="GK36" i="5"/>
  <c r="GL36" i="5"/>
  <c r="GM36" i="5"/>
  <c r="GN36" i="5"/>
  <c r="GO36" i="5"/>
  <c r="GP36" i="5"/>
  <c r="GQ36" i="5"/>
  <c r="GR36" i="5"/>
  <c r="GS36" i="5"/>
  <c r="GT36" i="5"/>
  <c r="GU36" i="5"/>
  <c r="GV36" i="5"/>
  <c r="GW36" i="5"/>
  <c r="GX36" i="5"/>
  <c r="GY36" i="5"/>
  <c r="GZ36" i="5"/>
  <c r="HA36" i="5"/>
  <c r="HB36" i="5"/>
  <c r="HC36" i="5"/>
  <c r="HD36" i="5"/>
  <c r="HE36" i="5"/>
  <c r="HF36" i="5"/>
  <c r="HG36" i="5"/>
  <c r="HH36" i="5"/>
  <c r="HI36" i="5"/>
  <c r="HJ36" i="5"/>
  <c r="HK36" i="5"/>
  <c r="HL36" i="5"/>
  <c r="HM36" i="5"/>
  <c r="HN36" i="5"/>
  <c r="HO36" i="5"/>
  <c r="HP36" i="5"/>
  <c r="HQ36" i="5"/>
  <c r="HR36" i="5"/>
  <c r="HS36" i="5"/>
  <c r="HT36" i="5"/>
  <c r="HU36" i="5"/>
  <c r="HV36" i="5"/>
  <c r="HW36" i="5"/>
  <c r="HX36" i="5"/>
  <c r="HY36" i="5"/>
  <c r="HZ36" i="5"/>
  <c r="IA36" i="5"/>
  <c r="IB36" i="5"/>
  <c r="IC36" i="5"/>
  <c r="ID36" i="5"/>
  <c r="IE36" i="5"/>
  <c r="IF36" i="5"/>
  <c r="IG36" i="5"/>
  <c r="IH36" i="5"/>
  <c r="II36" i="5"/>
  <c r="IJ36" i="5"/>
  <c r="IK36" i="5"/>
  <c r="IL36" i="5"/>
  <c r="IM36" i="5"/>
  <c r="IN36" i="5"/>
  <c r="IO36" i="5"/>
  <c r="IP36" i="5"/>
  <c r="IQ36" i="5"/>
  <c r="IR36" i="5"/>
  <c r="IS36" i="5"/>
  <c r="IT36" i="5"/>
  <c r="IU36" i="5"/>
  <c r="IV36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GF37" i="5"/>
  <c r="GG37" i="5"/>
  <c r="GH37" i="5"/>
  <c r="GI37" i="5"/>
  <c r="GJ37" i="5"/>
  <c r="GK37" i="5"/>
  <c r="GL37" i="5"/>
  <c r="GM37" i="5"/>
  <c r="GN37" i="5"/>
  <c r="GO37" i="5"/>
  <c r="GP37" i="5"/>
  <c r="GQ37" i="5"/>
  <c r="GR37" i="5"/>
  <c r="GS37" i="5"/>
  <c r="GT37" i="5"/>
  <c r="GU37" i="5"/>
  <c r="GV37" i="5"/>
  <c r="GW37" i="5"/>
  <c r="GX37" i="5"/>
  <c r="GY37" i="5"/>
  <c r="GZ37" i="5"/>
  <c r="HA37" i="5"/>
  <c r="HB37" i="5"/>
  <c r="HC37" i="5"/>
  <c r="HD37" i="5"/>
  <c r="HE37" i="5"/>
  <c r="HF37" i="5"/>
  <c r="HG37" i="5"/>
  <c r="HH37" i="5"/>
  <c r="HI37" i="5"/>
  <c r="HJ37" i="5"/>
  <c r="HK37" i="5"/>
  <c r="HL37" i="5"/>
  <c r="HM37" i="5"/>
  <c r="HN37" i="5"/>
  <c r="HO37" i="5"/>
  <c r="HP37" i="5"/>
  <c r="HQ37" i="5"/>
  <c r="HR37" i="5"/>
  <c r="HS37" i="5"/>
  <c r="HT37" i="5"/>
  <c r="HU37" i="5"/>
  <c r="HV37" i="5"/>
  <c r="HW37" i="5"/>
  <c r="HX37" i="5"/>
  <c r="HY37" i="5"/>
  <c r="HZ37" i="5"/>
  <c r="IA37" i="5"/>
  <c r="IB37" i="5"/>
  <c r="IC37" i="5"/>
  <c r="ID37" i="5"/>
  <c r="IE37" i="5"/>
  <c r="IF37" i="5"/>
  <c r="IG37" i="5"/>
  <c r="IH37" i="5"/>
  <c r="II37" i="5"/>
  <c r="IJ37" i="5"/>
  <c r="IK37" i="5"/>
  <c r="IL37" i="5"/>
  <c r="IM37" i="5"/>
  <c r="IN37" i="5"/>
  <c r="IO37" i="5"/>
  <c r="IP37" i="5"/>
  <c r="IQ37" i="5"/>
  <c r="IR37" i="5"/>
  <c r="IS37" i="5"/>
  <c r="IT37" i="5"/>
  <c r="IU37" i="5"/>
  <c r="IV37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EJ38" i="5"/>
  <c r="EK38" i="5"/>
  <c r="EL38" i="5"/>
  <c r="EM38" i="5"/>
  <c r="EN38" i="5"/>
  <c r="EO38" i="5"/>
  <c r="EP38" i="5"/>
  <c r="EQ38" i="5"/>
  <c r="ER38" i="5"/>
  <c r="ES38" i="5"/>
  <c r="ET38" i="5"/>
  <c r="EU38" i="5"/>
  <c r="EV38" i="5"/>
  <c r="EW38" i="5"/>
  <c r="EX38" i="5"/>
  <c r="EY38" i="5"/>
  <c r="EZ38" i="5"/>
  <c r="FA38" i="5"/>
  <c r="FB38" i="5"/>
  <c r="FC38" i="5"/>
  <c r="FD38" i="5"/>
  <c r="FE38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GD38" i="5"/>
  <c r="GE38" i="5"/>
  <c r="GF38" i="5"/>
  <c r="GG38" i="5"/>
  <c r="GH38" i="5"/>
  <c r="GI38" i="5"/>
  <c r="GJ38" i="5"/>
  <c r="GK38" i="5"/>
  <c r="GL38" i="5"/>
  <c r="GM38" i="5"/>
  <c r="GN38" i="5"/>
  <c r="GO38" i="5"/>
  <c r="GP38" i="5"/>
  <c r="GQ38" i="5"/>
  <c r="GR38" i="5"/>
  <c r="GS38" i="5"/>
  <c r="GT38" i="5"/>
  <c r="GU38" i="5"/>
  <c r="GV38" i="5"/>
  <c r="GW38" i="5"/>
  <c r="GX38" i="5"/>
  <c r="GY38" i="5"/>
  <c r="GZ38" i="5"/>
  <c r="HA38" i="5"/>
  <c r="HB38" i="5"/>
  <c r="HC38" i="5"/>
  <c r="HD38" i="5"/>
  <c r="HE38" i="5"/>
  <c r="HF38" i="5"/>
  <c r="HG38" i="5"/>
  <c r="HH38" i="5"/>
  <c r="HI38" i="5"/>
  <c r="HJ38" i="5"/>
  <c r="HK38" i="5"/>
  <c r="HL38" i="5"/>
  <c r="HM38" i="5"/>
  <c r="HN38" i="5"/>
  <c r="HO38" i="5"/>
  <c r="HP38" i="5"/>
  <c r="HQ38" i="5"/>
  <c r="HR38" i="5"/>
  <c r="HS38" i="5"/>
  <c r="HT38" i="5"/>
  <c r="HU38" i="5"/>
  <c r="HV38" i="5"/>
  <c r="HW38" i="5"/>
  <c r="HX38" i="5"/>
  <c r="HY38" i="5"/>
  <c r="HZ38" i="5"/>
  <c r="IA38" i="5"/>
  <c r="IB38" i="5"/>
  <c r="IC38" i="5"/>
  <c r="ID38" i="5"/>
  <c r="IE38" i="5"/>
  <c r="IF38" i="5"/>
  <c r="IG38" i="5"/>
  <c r="IH38" i="5"/>
  <c r="II38" i="5"/>
  <c r="IJ38" i="5"/>
  <c r="IK38" i="5"/>
  <c r="IL38" i="5"/>
  <c r="IM38" i="5"/>
  <c r="IN38" i="5"/>
  <c r="IO38" i="5"/>
  <c r="IP38" i="5"/>
  <c r="IQ38" i="5"/>
  <c r="IR38" i="5"/>
  <c r="IS38" i="5"/>
  <c r="IT38" i="5"/>
  <c r="IU38" i="5"/>
  <c r="IV38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EJ39" i="5"/>
  <c r="EK39" i="5"/>
  <c r="EL39" i="5"/>
  <c r="EM39" i="5"/>
  <c r="EN39" i="5"/>
  <c r="EO39" i="5"/>
  <c r="EP39" i="5"/>
  <c r="EQ39" i="5"/>
  <c r="ER39" i="5"/>
  <c r="ES39" i="5"/>
  <c r="ET39" i="5"/>
  <c r="EU39" i="5"/>
  <c r="EV39" i="5"/>
  <c r="EW39" i="5"/>
  <c r="EX39" i="5"/>
  <c r="EY39" i="5"/>
  <c r="EZ39" i="5"/>
  <c r="FA39" i="5"/>
  <c r="FB39" i="5"/>
  <c r="FC39" i="5"/>
  <c r="FD39" i="5"/>
  <c r="FE39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GD39" i="5"/>
  <c r="GE39" i="5"/>
  <c r="GF39" i="5"/>
  <c r="GG39" i="5"/>
  <c r="GH39" i="5"/>
  <c r="GI39" i="5"/>
  <c r="GJ39" i="5"/>
  <c r="GK39" i="5"/>
  <c r="GL39" i="5"/>
  <c r="GM39" i="5"/>
  <c r="GN39" i="5"/>
  <c r="GO39" i="5"/>
  <c r="GP39" i="5"/>
  <c r="GQ39" i="5"/>
  <c r="GR39" i="5"/>
  <c r="GS39" i="5"/>
  <c r="GT39" i="5"/>
  <c r="GU39" i="5"/>
  <c r="GV39" i="5"/>
  <c r="GW39" i="5"/>
  <c r="GX39" i="5"/>
  <c r="GY39" i="5"/>
  <c r="GZ39" i="5"/>
  <c r="HA39" i="5"/>
  <c r="HB39" i="5"/>
  <c r="HC39" i="5"/>
  <c r="HD39" i="5"/>
  <c r="HE39" i="5"/>
  <c r="HF39" i="5"/>
  <c r="HG39" i="5"/>
  <c r="HH39" i="5"/>
  <c r="HI39" i="5"/>
  <c r="HJ39" i="5"/>
  <c r="HK39" i="5"/>
  <c r="HL39" i="5"/>
  <c r="HM39" i="5"/>
  <c r="HN39" i="5"/>
  <c r="HO39" i="5"/>
  <c r="HP39" i="5"/>
  <c r="HQ39" i="5"/>
  <c r="HR39" i="5"/>
  <c r="HS39" i="5"/>
  <c r="HT39" i="5"/>
  <c r="HU39" i="5"/>
  <c r="HV39" i="5"/>
  <c r="HW39" i="5"/>
  <c r="HX39" i="5"/>
  <c r="HY39" i="5"/>
  <c r="HZ39" i="5"/>
  <c r="IA39" i="5"/>
  <c r="IB39" i="5"/>
  <c r="IC39" i="5"/>
  <c r="ID39" i="5"/>
  <c r="IE39" i="5"/>
  <c r="IF39" i="5"/>
  <c r="IG39" i="5"/>
  <c r="IH39" i="5"/>
  <c r="II39" i="5"/>
  <c r="IJ39" i="5"/>
  <c r="IK39" i="5"/>
  <c r="IL39" i="5"/>
  <c r="IM39" i="5"/>
  <c r="IN39" i="5"/>
  <c r="IO39" i="5"/>
  <c r="IP39" i="5"/>
  <c r="IQ39" i="5"/>
  <c r="IR39" i="5"/>
  <c r="IS39" i="5"/>
  <c r="IT39" i="5"/>
  <c r="IU39" i="5"/>
  <c r="IV39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EJ40" i="5"/>
  <c r="EK40" i="5"/>
  <c r="EL40" i="5"/>
  <c r="EM40" i="5"/>
  <c r="EN40" i="5"/>
  <c r="EO40" i="5"/>
  <c r="EP40" i="5"/>
  <c r="EQ40" i="5"/>
  <c r="ER40" i="5"/>
  <c r="ES40" i="5"/>
  <c r="ET40" i="5"/>
  <c r="EU40" i="5"/>
  <c r="EV40" i="5"/>
  <c r="EW40" i="5"/>
  <c r="EX40" i="5"/>
  <c r="EY40" i="5"/>
  <c r="EZ40" i="5"/>
  <c r="FA40" i="5"/>
  <c r="FB40" i="5"/>
  <c r="FC40" i="5"/>
  <c r="FD40" i="5"/>
  <c r="FE40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GF40" i="5"/>
  <c r="GG40" i="5"/>
  <c r="GH40" i="5"/>
  <c r="GI40" i="5"/>
  <c r="GJ40" i="5"/>
  <c r="GK40" i="5"/>
  <c r="GL40" i="5"/>
  <c r="GM40" i="5"/>
  <c r="GN40" i="5"/>
  <c r="GO40" i="5"/>
  <c r="GP40" i="5"/>
  <c r="GQ40" i="5"/>
  <c r="GR40" i="5"/>
  <c r="GS40" i="5"/>
  <c r="GT40" i="5"/>
  <c r="GU40" i="5"/>
  <c r="GV40" i="5"/>
  <c r="GW40" i="5"/>
  <c r="GX40" i="5"/>
  <c r="GY40" i="5"/>
  <c r="GZ40" i="5"/>
  <c r="HA40" i="5"/>
  <c r="HB40" i="5"/>
  <c r="HC40" i="5"/>
  <c r="HD40" i="5"/>
  <c r="HE40" i="5"/>
  <c r="HF40" i="5"/>
  <c r="HG40" i="5"/>
  <c r="HH40" i="5"/>
  <c r="HI40" i="5"/>
  <c r="HJ40" i="5"/>
  <c r="HK40" i="5"/>
  <c r="HL40" i="5"/>
  <c r="HM40" i="5"/>
  <c r="HN40" i="5"/>
  <c r="HO40" i="5"/>
  <c r="HP40" i="5"/>
  <c r="HQ40" i="5"/>
  <c r="HR40" i="5"/>
  <c r="HS40" i="5"/>
  <c r="HT40" i="5"/>
  <c r="HU40" i="5"/>
  <c r="HV40" i="5"/>
  <c r="HW40" i="5"/>
  <c r="HX40" i="5"/>
  <c r="HY40" i="5"/>
  <c r="HZ40" i="5"/>
  <c r="IA40" i="5"/>
  <c r="IB40" i="5"/>
  <c r="IC40" i="5"/>
  <c r="ID40" i="5"/>
  <c r="IE40" i="5"/>
  <c r="IF40" i="5"/>
  <c r="IG40" i="5"/>
  <c r="IH40" i="5"/>
  <c r="II40" i="5"/>
  <c r="IJ40" i="5"/>
  <c r="IK40" i="5"/>
  <c r="IL40" i="5"/>
  <c r="IM40" i="5"/>
  <c r="IN40" i="5"/>
  <c r="IO40" i="5"/>
  <c r="IP40" i="5"/>
  <c r="IQ40" i="5"/>
  <c r="IR40" i="5"/>
  <c r="IS40" i="5"/>
  <c r="IT40" i="5"/>
  <c r="IU40" i="5"/>
  <c r="IV40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EJ41" i="5"/>
  <c r="EK41" i="5"/>
  <c r="EL41" i="5"/>
  <c r="EM41" i="5"/>
  <c r="EN41" i="5"/>
  <c r="EO41" i="5"/>
  <c r="EP41" i="5"/>
  <c r="EQ41" i="5"/>
  <c r="ER41" i="5"/>
  <c r="ES41" i="5"/>
  <c r="ET41" i="5"/>
  <c r="EU41" i="5"/>
  <c r="EV41" i="5"/>
  <c r="EW41" i="5"/>
  <c r="EX41" i="5"/>
  <c r="EY41" i="5"/>
  <c r="EZ41" i="5"/>
  <c r="FA41" i="5"/>
  <c r="FB41" i="5"/>
  <c r="FC41" i="5"/>
  <c r="FD41" i="5"/>
  <c r="FE41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GD41" i="5"/>
  <c r="GE41" i="5"/>
  <c r="GF41" i="5"/>
  <c r="GG41" i="5"/>
  <c r="GH41" i="5"/>
  <c r="GI41" i="5"/>
  <c r="GJ41" i="5"/>
  <c r="GK41" i="5"/>
  <c r="GL41" i="5"/>
  <c r="GM41" i="5"/>
  <c r="GN41" i="5"/>
  <c r="GO41" i="5"/>
  <c r="GP41" i="5"/>
  <c r="GQ41" i="5"/>
  <c r="GR41" i="5"/>
  <c r="GS41" i="5"/>
  <c r="GT41" i="5"/>
  <c r="GU41" i="5"/>
  <c r="GV41" i="5"/>
  <c r="GW41" i="5"/>
  <c r="GX41" i="5"/>
  <c r="GY41" i="5"/>
  <c r="GZ41" i="5"/>
  <c r="HA41" i="5"/>
  <c r="HB41" i="5"/>
  <c r="HC41" i="5"/>
  <c r="HD41" i="5"/>
  <c r="HE41" i="5"/>
  <c r="HF41" i="5"/>
  <c r="HG41" i="5"/>
  <c r="HH41" i="5"/>
  <c r="HI41" i="5"/>
  <c r="HJ41" i="5"/>
  <c r="HK41" i="5"/>
  <c r="HL41" i="5"/>
  <c r="HM41" i="5"/>
  <c r="HN41" i="5"/>
  <c r="HO41" i="5"/>
  <c r="HP41" i="5"/>
  <c r="HQ41" i="5"/>
  <c r="HR41" i="5"/>
  <c r="HS41" i="5"/>
  <c r="HT41" i="5"/>
  <c r="HU41" i="5"/>
  <c r="HV41" i="5"/>
  <c r="HW41" i="5"/>
  <c r="HX41" i="5"/>
  <c r="HY41" i="5"/>
  <c r="HZ41" i="5"/>
  <c r="IA41" i="5"/>
  <c r="IB41" i="5"/>
  <c r="IC41" i="5"/>
  <c r="ID41" i="5"/>
  <c r="IE41" i="5"/>
  <c r="IF41" i="5"/>
  <c r="IG41" i="5"/>
  <c r="IH41" i="5"/>
  <c r="II41" i="5"/>
  <c r="IJ41" i="5"/>
  <c r="IK41" i="5"/>
  <c r="IL41" i="5"/>
  <c r="IM41" i="5"/>
  <c r="IN41" i="5"/>
  <c r="IO41" i="5"/>
  <c r="IP41" i="5"/>
  <c r="IQ41" i="5"/>
  <c r="IR41" i="5"/>
  <c r="IS41" i="5"/>
  <c r="IT41" i="5"/>
  <c r="IU41" i="5"/>
  <c r="IV41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EJ42" i="5"/>
  <c r="EK42" i="5"/>
  <c r="EL42" i="5"/>
  <c r="EM42" i="5"/>
  <c r="EN42" i="5"/>
  <c r="EO42" i="5"/>
  <c r="EP42" i="5"/>
  <c r="EQ42" i="5"/>
  <c r="ER42" i="5"/>
  <c r="ES42" i="5"/>
  <c r="ET42" i="5"/>
  <c r="EU42" i="5"/>
  <c r="EV42" i="5"/>
  <c r="EW42" i="5"/>
  <c r="EX42" i="5"/>
  <c r="EY42" i="5"/>
  <c r="EZ42" i="5"/>
  <c r="FA42" i="5"/>
  <c r="FB42" i="5"/>
  <c r="FC42" i="5"/>
  <c r="FD42" i="5"/>
  <c r="FE42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GD42" i="5"/>
  <c r="GE42" i="5"/>
  <c r="GF42" i="5"/>
  <c r="GG42" i="5"/>
  <c r="GH42" i="5"/>
  <c r="GI42" i="5"/>
  <c r="GJ42" i="5"/>
  <c r="GK42" i="5"/>
  <c r="GL42" i="5"/>
  <c r="GM42" i="5"/>
  <c r="GN42" i="5"/>
  <c r="GO42" i="5"/>
  <c r="GP42" i="5"/>
  <c r="GQ42" i="5"/>
  <c r="GR42" i="5"/>
  <c r="GS42" i="5"/>
  <c r="GT42" i="5"/>
  <c r="GU42" i="5"/>
  <c r="GV42" i="5"/>
  <c r="GW42" i="5"/>
  <c r="GX42" i="5"/>
  <c r="GY42" i="5"/>
  <c r="GZ42" i="5"/>
  <c r="HA42" i="5"/>
  <c r="HB42" i="5"/>
  <c r="HC42" i="5"/>
  <c r="HD42" i="5"/>
  <c r="HE42" i="5"/>
  <c r="HF42" i="5"/>
  <c r="HG42" i="5"/>
  <c r="HH42" i="5"/>
  <c r="HI42" i="5"/>
  <c r="HJ42" i="5"/>
  <c r="HK42" i="5"/>
  <c r="HL42" i="5"/>
  <c r="HM42" i="5"/>
  <c r="HN42" i="5"/>
  <c r="HO42" i="5"/>
  <c r="HP42" i="5"/>
  <c r="HQ42" i="5"/>
  <c r="HR42" i="5"/>
  <c r="HS42" i="5"/>
  <c r="HT42" i="5"/>
  <c r="HU42" i="5"/>
  <c r="HV42" i="5"/>
  <c r="HW42" i="5"/>
  <c r="HX42" i="5"/>
  <c r="HY42" i="5"/>
  <c r="HZ42" i="5"/>
  <c r="IA42" i="5"/>
  <c r="IB42" i="5"/>
  <c r="IC42" i="5"/>
  <c r="ID42" i="5"/>
  <c r="IE42" i="5"/>
  <c r="IF42" i="5"/>
  <c r="IG42" i="5"/>
  <c r="IH42" i="5"/>
  <c r="II42" i="5"/>
  <c r="IJ42" i="5"/>
  <c r="IK42" i="5"/>
  <c r="IL42" i="5"/>
  <c r="IM42" i="5"/>
  <c r="IN42" i="5"/>
  <c r="IO42" i="5"/>
  <c r="IP42" i="5"/>
  <c r="IQ42" i="5"/>
  <c r="IR42" i="5"/>
  <c r="IS42" i="5"/>
  <c r="IT42" i="5"/>
  <c r="IU42" i="5"/>
  <c r="IV42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EJ43" i="5"/>
  <c r="EK43" i="5"/>
  <c r="EL43" i="5"/>
  <c r="EM43" i="5"/>
  <c r="EN43" i="5"/>
  <c r="EO43" i="5"/>
  <c r="EP43" i="5"/>
  <c r="EQ43" i="5"/>
  <c r="ER43" i="5"/>
  <c r="ES43" i="5"/>
  <c r="ET43" i="5"/>
  <c r="EU43" i="5"/>
  <c r="EV43" i="5"/>
  <c r="EW43" i="5"/>
  <c r="EX43" i="5"/>
  <c r="EY43" i="5"/>
  <c r="EZ43" i="5"/>
  <c r="FA43" i="5"/>
  <c r="FB43" i="5"/>
  <c r="FC43" i="5"/>
  <c r="FD43" i="5"/>
  <c r="FE43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GD43" i="5"/>
  <c r="GE43" i="5"/>
  <c r="GF43" i="5"/>
  <c r="GG43" i="5"/>
  <c r="GH43" i="5"/>
  <c r="GI43" i="5"/>
  <c r="GJ43" i="5"/>
  <c r="GK43" i="5"/>
  <c r="GL43" i="5"/>
  <c r="GM43" i="5"/>
  <c r="GN43" i="5"/>
  <c r="GO43" i="5"/>
  <c r="GP43" i="5"/>
  <c r="GQ43" i="5"/>
  <c r="GR43" i="5"/>
  <c r="GS43" i="5"/>
  <c r="GT43" i="5"/>
  <c r="GU43" i="5"/>
  <c r="GV43" i="5"/>
  <c r="GW43" i="5"/>
  <c r="GX43" i="5"/>
  <c r="GY43" i="5"/>
  <c r="GZ43" i="5"/>
  <c r="HA43" i="5"/>
  <c r="HB43" i="5"/>
  <c r="HC43" i="5"/>
  <c r="HD43" i="5"/>
  <c r="HE43" i="5"/>
  <c r="HF43" i="5"/>
  <c r="HG43" i="5"/>
  <c r="HH43" i="5"/>
  <c r="HI43" i="5"/>
  <c r="HJ43" i="5"/>
  <c r="HK43" i="5"/>
  <c r="HL43" i="5"/>
  <c r="HM43" i="5"/>
  <c r="HN43" i="5"/>
  <c r="HO43" i="5"/>
  <c r="HP43" i="5"/>
  <c r="HQ43" i="5"/>
  <c r="HR43" i="5"/>
  <c r="HS43" i="5"/>
  <c r="HT43" i="5"/>
  <c r="HU43" i="5"/>
  <c r="HV43" i="5"/>
  <c r="HW43" i="5"/>
  <c r="HX43" i="5"/>
  <c r="HY43" i="5"/>
  <c r="HZ43" i="5"/>
  <c r="IA43" i="5"/>
  <c r="IB43" i="5"/>
  <c r="IC43" i="5"/>
  <c r="ID43" i="5"/>
  <c r="IE43" i="5"/>
  <c r="IF43" i="5"/>
  <c r="IG43" i="5"/>
  <c r="IH43" i="5"/>
  <c r="II43" i="5"/>
  <c r="IJ43" i="5"/>
  <c r="IK43" i="5"/>
  <c r="IL43" i="5"/>
  <c r="IM43" i="5"/>
  <c r="IN43" i="5"/>
  <c r="IO43" i="5"/>
  <c r="IP43" i="5"/>
  <c r="IQ43" i="5"/>
  <c r="IR43" i="5"/>
  <c r="IS43" i="5"/>
  <c r="IT43" i="5"/>
  <c r="IU43" i="5"/>
  <c r="IV43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GF44" i="5"/>
  <c r="GG44" i="5"/>
  <c r="GH44" i="5"/>
  <c r="GI44" i="5"/>
  <c r="GJ44" i="5"/>
  <c r="GK44" i="5"/>
  <c r="GL44" i="5"/>
  <c r="GM44" i="5"/>
  <c r="GN44" i="5"/>
  <c r="GO44" i="5"/>
  <c r="GP44" i="5"/>
  <c r="GQ44" i="5"/>
  <c r="GR44" i="5"/>
  <c r="GS44" i="5"/>
  <c r="GT44" i="5"/>
  <c r="GU44" i="5"/>
  <c r="GV44" i="5"/>
  <c r="GW44" i="5"/>
  <c r="GX44" i="5"/>
  <c r="GY44" i="5"/>
  <c r="GZ44" i="5"/>
  <c r="HA44" i="5"/>
  <c r="HB44" i="5"/>
  <c r="HC44" i="5"/>
  <c r="HD44" i="5"/>
  <c r="HE44" i="5"/>
  <c r="HF44" i="5"/>
  <c r="HG44" i="5"/>
  <c r="HH44" i="5"/>
  <c r="HI44" i="5"/>
  <c r="HJ44" i="5"/>
  <c r="HK44" i="5"/>
  <c r="HL44" i="5"/>
  <c r="HM44" i="5"/>
  <c r="HN44" i="5"/>
  <c r="HO44" i="5"/>
  <c r="HP44" i="5"/>
  <c r="HQ44" i="5"/>
  <c r="HR44" i="5"/>
  <c r="HS44" i="5"/>
  <c r="HT44" i="5"/>
  <c r="HU44" i="5"/>
  <c r="HV44" i="5"/>
  <c r="HW44" i="5"/>
  <c r="HX44" i="5"/>
  <c r="HY44" i="5"/>
  <c r="HZ44" i="5"/>
  <c r="IA44" i="5"/>
  <c r="IB44" i="5"/>
  <c r="IC44" i="5"/>
  <c r="ID44" i="5"/>
  <c r="IE44" i="5"/>
  <c r="IF44" i="5"/>
  <c r="IG44" i="5"/>
  <c r="IH44" i="5"/>
  <c r="II44" i="5"/>
  <c r="IJ44" i="5"/>
  <c r="IK44" i="5"/>
  <c r="IL44" i="5"/>
  <c r="IM44" i="5"/>
  <c r="IN44" i="5"/>
  <c r="IO44" i="5"/>
  <c r="IP44" i="5"/>
  <c r="IQ44" i="5"/>
  <c r="IR44" i="5"/>
  <c r="IS44" i="5"/>
  <c r="IT44" i="5"/>
  <c r="IU44" i="5"/>
  <c r="IV44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GF45" i="5"/>
  <c r="GG45" i="5"/>
  <c r="GH45" i="5"/>
  <c r="GI45" i="5"/>
  <c r="GJ45" i="5"/>
  <c r="GK45" i="5"/>
  <c r="GL45" i="5"/>
  <c r="GM45" i="5"/>
  <c r="GN45" i="5"/>
  <c r="GO45" i="5"/>
  <c r="GP45" i="5"/>
  <c r="GQ45" i="5"/>
  <c r="GR45" i="5"/>
  <c r="GS45" i="5"/>
  <c r="GT45" i="5"/>
  <c r="GU45" i="5"/>
  <c r="GV45" i="5"/>
  <c r="GW45" i="5"/>
  <c r="GX45" i="5"/>
  <c r="GY45" i="5"/>
  <c r="GZ45" i="5"/>
  <c r="HA45" i="5"/>
  <c r="HB45" i="5"/>
  <c r="HC45" i="5"/>
  <c r="HD45" i="5"/>
  <c r="HE45" i="5"/>
  <c r="HF45" i="5"/>
  <c r="HG45" i="5"/>
  <c r="HH45" i="5"/>
  <c r="HI45" i="5"/>
  <c r="HJ45" i="5"/>
  <c r="HK45" i="5"/>
  <c r="HL45" i="5"/>
  <c r="HM45" i="5"/>
  <c r="HN45" i="5"/>
  <c r="HO45" i="5"/>
  <c r="HP45" i="5"/>
  <c r="HQ45" i="5"/>
  <c r="HR45" i="5"/>
  <c r="HS45" i="5"/>
  <c r="HT45" i="5"/>
  <c r="HU45" i="5"/>
  <c r="HV45" i="5"/>
  <c r="HW45" i="5"/>
  <c r="HX45" i="5"/>
  <c r="HY45" i="5"/>
  <c r="HZ45" i="5"/>
  <c r="IA45" i="5"/>
  <c r="IB45" i="5"/>
  <c r="IC45" i="5"/>
  <c r="ID45" i="5"/>
  <c r="IE45" i="5"/>
  <c r="IF45" i="5"/>
  <c r="IG45" i="5"/>
  <c r="IH45" i="5"/>
  <c r="II45" i="5"/>
  <c r="IJ45" i="5"/>
  <c r="IK45" i="5"/>
  <c r="IL45" i="5"/>
  <c r="IM45" i="5"/>
  <c r="IN45" i="5"/>
  <c r="IO45" i="5"/>
  <c r="IP45" i="5"/>
  <c r="IQ45" i="5"/>
  <c r="IR45" i="5"/>
  <c r="IS45" i="5"/>
  <c r="IT45" i="5"/>
  <c r="IU45" i="5"/>
  <c r="IV45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EJ46" i="5"/>
  <c r="EK46" i="5"/>
  <c r="EL46" i="5"/>
  <c r="EM46" i="5"/>
  <c r="EN46" i="5"/>
  <c r="EO46" i="5"/>
  <c r="EP46" i="5"/>
  <c r="EQ46" i="5"/>
  <c r="ER46" i="5"/>
  <c r="ES46" i="5"/>
  <c r="ET46" i="5"/>
  <c r="EU46" i="5"/>
  <c r="EV46" i="5"/>
  <c r="EW46" i="5"/>
  <c r="EX46" i="5"/>
  <c r="EY46" i="5"/>
  <c r="EZ46" i="5"/>
  <c r="FA46" i="5"/>
  <c r="FB46" i="5"/>
  <c r="FC46" i="5"/>
  <c r="FD46" i="5"/>
  <c r="FE46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GD46" i="5"/>
  <c r="GE46" i="5"/>
  <c r="GF46" i="5"/>
  <c r="GG46" i="5"/>
  <c r="GH46" i="5"/>
  <c r="GI46" i="5"/>
  <c r="GJ46" i="5"/>
  <c r="GK46" i="5"/>
  <c r="GL46" i="5"/>
  <c r="GM46" i="5"/>
  <c r="GN46" i="5"/>
  <c r="GO46" i="5"/>
  <c r="GP46" i="5"/>
  <c r="GQ46" i="5"/>
  <c r="GR46" i="5"/>
  <c r="GS46" i="5"/>
  <c r="GT46" i="5"/>
  <c r="GU46" i="5"/>
  <c r="GV46" i="5"/>
  <c r="GW46" i="5"/>
  <c r="GX46" i="5"/>
  <c r="GY46" i="5"/>
  <c r="GZ46" i="5"/>
  <c r="HA46" i="5"/>
  <c r="HB46" i="5"/>
  <c r="HC46" i="5"/>
  <c r="HD46" i="5"/>
  <c r="HE46" i="5"/>
  <c r="HF46" i="5"/>
  <c r="HG46" i="5"/>
  <c r="HH46" i="5"/>
  <c r="HI46" i="5"/>
  <c r="HJ46" i="5"/>
  <c r="HK46" i="5"/>
  <c r="HL46" i="5"/>
  <c r="HM46" i="5"/>
  <c r="HN46" i="5"/>
  <c r="HO46" i="5"/>
  <c r="HP46" i="5"/>
  <c r="HQ46" i="5"/>
  <c r="HR46" i="5"/>
  <c r="HS46" i="5"/>
  <c r="HT46" i="5"/>
  <c r="HU46" i="5"/>
  <c r="HV46" i="5"/>
  <c r="HW46" i="5"/>
  <c r="HX46" i="5"/>
  <c r="HY46" i="5"/>
  <c r="HZ46" i="5"/>
  <c r="IA46" i="5"/>
  <c r="IB46" i="5"/>
  <c r="IC46" i="5"/>
  <c r="ID46" i="5"/>
  <c r="IE46" i="5"/>
  <c r="IF46" i="5"/>
  <c r="IG46" i="5"/>
  <c r="IH46" i="5"/>
  <c r="II46" i="5"/>
  <c r="IJ46" i="5"/>
  <c r="IK46" i="5"/>
  <c r="IL46" i="5"/>
  <c r="IM46" i="5"/>
  <c r="IN46" i="5"/>
  <c r="IO46" i="5"/>
  <c r="IP46" i="5"/>
  <c r="IQ46" i="5"/>
  <c r="IR46" i="5"/>
  <c r="IS46" i="5"/>
  <c r="IT46" i="5"/>
  <c r="IU46" i="5"/>
  <c r="IV46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EJ47" i="5"/>
  <c r="EK47" i="5"/>
  <c r="EL47" i="5"/>
  <c r="EM47" i="5"/>
  <c r="EN47" i="5"/>
  <c r="EO47" i="5"/>
  <c r="EP47" i="5"/>
  <c r="EQ47" i="5"/>
  <c r="ER47" i="5"/>
  <c r="ES47" i="5"/>
  <c r="ET47" i="5"/>
  <c r="EU47" i="5"/>
  <c r="EV47" i="5"/>
  <c r="EW47" i="5"/>
  <c r="EX47" i="5"/>
  <c r="EY47" i="5"/>
  <c r="EZ47" i="5"/>
  <c r="FA47" i="5"/>
  <c r="FB47" i="5"/>
  <c r="FC47" i="5"/>
  <c r="FD47" i="5"/>
  <c r="FE47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GD47" i="5"/>
  <c r="GE47" i="5"/>
  <c r="GF47" i="5"/>
  <c r="GG47" i="5"/>
  <c r="GH47" i="5"/>
  <c r="GI47" i="5"/>
  <c r="GJ47" i="5"/>
  <c r="GK47" i="5"/>
  <c r="GL47" i="5"/>
  <c r="GM47" i="5"/>
  <c r="GN47" i="5"/>
  <c r="GO47" i="5"/>
  <c r="GP47" i="5"/>
  <c r="GQ47" i="5"/>
  <c r="GR47" i="5"/>
  <c r="GS47" i="5"/>
  <c r="GT47" i="5"/>
  <c r="GU47" i="5"/>
  <c r="GV47" i="5"/>
  <c r="GW47" i="5"/>
  <c r="GX47" i="5"/>
  <c r="GY47" i="5"/>
  <c r="GZ47" i="5"/>
  <c r="HA47" i="5"/>
  <c r="HB47" i="5"/>
  <c r="HC47" i="5"/>
  <c r="HD47" i="5"/>
  <c r="HE47" i="5"/>
  <c r="HF47" i="5"/>
  <c r="HG47" i="5"/>
  <c r="HH47" i="5"/>
  <c r="HI47" i="5"/>
  <c r="HJ47" i="5"/>
  <c r="HK47" i="5"/>
  <c r="HL47" i="5"/>
  <c r="HM47" i="5"/>
  <c r="HN47" i="5"/>
  <c r="HO47" i="5"/>
  <c r="HP47" i="5"/>
  <c r="HQ47" i="5"/>
  <c r="HR47" i="5"/>
  <c r="HS47" i="5"/>
  <c r="HT47" i="5"/>
  <c r="HU47" i="5"/>
  <c r="HV47" i="5"/>
  <c r="HW47" i="5"/>
  <c r="HX47" i="5"/>
  <c r="HY47" i="5"/>
  <c r="HZ47" i="5"/>
  <c r="IA47" i="5"/>
  <c r="IB47" i="5"/>
  <c r="IC47" i="5"/>
  <c r="ID47" i="5"/>
  <c r="IE47" i="5"/>
  <c r="IF47" i="5"/>
  <c r="IG47" i="5"/>
  <c r="IH47" i="5"/>
  <c r="II47" i="5"/>
  <c r="IJ47" i="5"/>
  <c r="IK47" i="5"/>
  <c r="IL47" i="5"/>
  <c r="IM47" i="5"/>
  <c r="IN47" i="5"/>
  <c r="IO47" i="5"/>
  <c r="IP47" i="5"/>
  <c r="IQ47" i="5"/>
  <c r="IR47" i="5"/>
  <c r="IS47" i="5"/>
  <c r="IT47" i="5"/>
  <c r="IU47" i="5"/>
  <c r="IV47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GF48" i="5"/>
  <c r="GG48" i="5"/>
  <c r="GH48" i="5"/>
  <c r="GI48" i="5"/>
  <c r="GJ48" i="5"/>
  <c r="GK48" i="5"/>
  <c r="GL48" i="5"/>
  <c r="GM48" i="5"/>
  <c r="GN48" i="5"/>
  <c r="GO48" i="5"/>
  <c r="GP48" i="5"/>
  <c r="GQ48" i="5"/>
  <c r="GR48" i="5"/>
  <c r="GS48" i="5"/>
  <c r="GT48" i="5"/>
  <c r="GU48" i="5"/>
  <c r="GV48" i="5"/>
  <c r="GW48" i="5"/>
  <c r="GX48" i="5"/>
  <c r="GY48" i="5"/>
  <c r="GZ48" i="5"/>
  <c r="HA48" i="5"/>
  <c r="HB48" i="5"/>
  <c r="HC48" i="5"/>
  <c r="HD48" i="5"/>
  <c r="HE48" i="5"/>
  <c r="HF48" i="5"/>
  <c r="HG48" i="5"/>
  <c r="HH48" i="5"/>
  <c r="HI48" i="5"/>
  <c r="HJ48" i="5"/>
  <c r="HK48" i="5"/>
  <c r="HL48" i="5"/>
  <c r="HM48" i="5"/>
  <c r="HN48" i="5"/>
  <c r="HO48" i="5"/>
  <c r="HP48" i="5"/>
  <c r="HQ48" i="5"/>
  <c r="HR48" i="5"/>
  <c r="HS48" i="5"/>
  <c r="HT48" i="5"/>
  <c r="HU48" i="5"/>
  <c r="HV48" i="5"/>
  <c r="HW48" i="5"/>
  <c r="HX48" i="5"/>
  <c r="HY48" i="5"/>
  <c r="HZ48" i="5"/>
  <c r="IA48" i="5"/>
  <c r="IB48" i="5"/>
  <c r="IC48" i="5"/>
  <c r="ID48" i="5"/>
  <c r="IE48" i="5"/>
  <c r="IF48" i="5"/>
  <c r="IG48" i="5"/>
  <c r="IH48" i="5"/>
  <c r="II48" i="5"/>
  <c r="IJ48" i="5"/>
  <c r="IK48" i="5"/>
  <c r="IL48" i="5"/>
  <c r="IM48" i="5"/>
  <c r="IN48" i="5"/>
  <c r="IO48" i="5"/>
  <c r="IP48" i="5"/>
  <c r="IQ48" i="5"/>
  <c r="IR48" i="5"/>
  <c r="IS48" i="5"/>
  <c r="IT48" i="5"/>
  <c r="IU48" i="5"/>
  <c r="IV48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EJ49" i="5"/>
  <c r="EK49" i="5"/>
  <c r="EL49" i="5"/>
  <c r="EM49" i="5"/>
  <c r="EN49" i="5"/>
  <c r="EO49" i="5"/>
  <c r="EP49" i="5"/>
  <c r="EQ49" i="5"/>
  <c r="ER49" i="5"/>
  <c r="ES49" i="5"/>
  <c r="ET49" i="5"/>
  <c r="EU49" i="5"/>
  <c r="EV49" i="5"/>
  <c r="EW49" i="5"/>
  <c r="EX49" i="5"/>
  <c r="EY49" i="5"/>
  <c r="EZ49" i="5"/>
  <c r="FA49" i="5"/>
  <c r="FB49" i="5"/>
  <c r="FC49" i="5"/>
  <c r="FD49" i="5"/>
  <c r="FE49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GD49" i="5"/>
  <c r="GE49" i="5"/>
  <c r="GF49" i="5"/>
  <c r="GG49" i="5"/>
  <c r="GH49" i="5"/>
  <c r="GI49" i="5"/>
  <c r="GJ49" i="5"/>
  <c r="GK49" i="5"/>
  <c r="GL49" i="5"/>
  <c r="GM49" i="5"/>
  <c r="GN49" i="5"/>
  <c r="GO49" i="5"/>
  <c r="GP49" i="5"/>
  <c r="GQ49" i="5"/>
  <c r="GR49" i="5"/>
  <c r="GS49" i="5"/>
  <c r="GT49" i="5"/>
  <c r="GU49" i="5"/>
  <c r="GV49" i="5"/>
  <c r="GW49" i="5"/>
  <c r="GX49" i="5"/>
  <c r="GY49" i="5"/>
  <c r="GZ49" i="5"/>
  <c r="HA49" i="5"/>
  <c r="HB49" i="5"/>
  <c r="HC49" i="5"/>
  <c r="HD49" i="5"/>
  <c r="HE49" i="5"/>
  <c r="HF49" i="5"/>
  <c r="HG49" i="5"/>
  <c r="HH49" i="5"/>
  <c r="HI49" i="5"/>
  <c r="HJ49" i="5"/>
  <c r="HK49" i="5"/>
  <c r="HL49" i="5"/>
  <c r="HM49" i="5"/>
  <c r="HN49" i="5"/>
  <c r="HO49" i="5"/>
  <c r="HP49" i="5"/>
  <c r="HQ49" i="5"/>
  <c r="HR49" i="5"/>
  <c r="HS49" i="5"/>
  <c r="HT49" i="5"/>
  <c r="HU49" i="5"/>
  <c r="HV49" i="5"/>
  <c r="HW49" i="5"/>
  <c r="HX49" i="5"/>
  <c r="HY49" i="5"/>
  <c r="HZ49" i="5"/>
  <c r="IA49" i="5"/>
  <c r="IB49" i="5"/>
  <c r="IC49" i="5"/>
  <c r="ID49" i="5"/>
  <c r="IE49" i="5"/>
  <c r="IF49" i="5"/>
  <c r="IG49" i="5"/>
  <c r="IH49" i="5"/>
  <c r="II49" i="5"/>
  <c r="IJ49" i="5"/>
  <c r="IK49" i="5"/>
  <c r="IL49" i="5"/>
  <c r="IM49" i="5"/>
  <c r="IN49" i="5"/>
  <c r="IO49" i="5"/>
  <c r="IP49" i="5"/>
  <c r="IQ49" i="5"/>
  <c r="IR49" i="5"/>
  <c r="IS49" i="5"/>
  <c r="IT49" i="5"/>
  <c r="IU49" i="5"/>
  <c r="IV49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CU50" i="5"/>
  <c r="CV50" i="5"/>
  <c r="CW50" i="5"/>
  <c r="CX50" i="5"/>
  <c r="CY50" i="5"/>
  <c r="CZ50" i="5"/>
  <c r="DA50" i="5"/>
  <c r="DB50" i="5"/>
  <c r="DC50" i="5"/>
  <c r="DD50" i="5"/>
  <c r="DE50" i="5"/>
  <c r="DF50" i="5"/>
  <c r="DG50" i="5"/>
  <c r="DH50" i="5"/>
  <c r="DI50" i="5"/>
  <c r="DJ50" i="5"/>
  <c r="DK50" i="5"/>
  <c r="DL50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EJ50" i="5"/>
  <c r="EK50" i="5"/>
  <c r="EL50" i="5"/>
  <c r="EM50" i="5"/>
  <c r="EN50" i="5"/>
  <c r="EO50" i="5"/>
  <c r="EP50" i="5"/>
  <c r="EQ50" i="5"/>
  <c r="ER50" i="5"/>
  <c r="ES50" i="5"/>
  <c r="ET50" i="5"/>
  <c r="EU50" i="5"/>
  <c r="EV50" i="5"/>
  <c r="EW50" i="5"/>
  <c r="EX50" i="5"/>
  <c r="EY50" i="5"/>
  <c r="EZ50" i="5"/>
  <c r="FA50" i="5"/>
  <c r="FB50" i="5"/>
  <c r="FC50" i="5"/>
  <c r="FD50" i="5"/>
  <c r="FE50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GD50" i="5"/>
  <c r="GE50" i="5"/>
  <c r="GF50" i="5"/>
  <c r="GG50" i="5"/>
  <c r="GH50" i="5"/>
  <c r="GI50" i="5"/>
  <c r="GJ50" i="5"/>
  <c r="GK50" i="5"/>
  <c r="GL50" i="5"/>
  <c r="GM50" i="5"/>
  <c r="GN50" i="5"/>
  <c r="GO50" i="5"/>
  <c r="GP50" i="5"/>
  <c r="GQ50" i="5"/>
  <c r="GR50" i="5"/>
  <c r="GS50" i="5"/>
  <c r="GT50" i="5"/>
  <c r="GU50" i="5"/>
  <c r="GV50" i="5"/>
  <c r="GW50" i="5"/>
  <c r="GX50" i="5"/>
  <c r="GY50" i="5"/>
  <c r="GZ50" i="5"/>
  <c r="HA50" i="5"/>
  <c r="HB50" i="5"/>
  <c r="HC50" i="5"/>
  <c r="HD50" i="5"/>
  <c r="HE50" i="5"/>
  <c r="HF50" i="5"/>
  <c r="HG50" i="5"/>
  <c r="HH50" i="5"/>
  <c r="HI50" i="5"/>
  <c r="HJ50" i="5"/>
  <c r="HK50" i="5"/>
  <c r="HL50" i="5"/>
  <c r="HM50" i="5"/>
  <c r="HN50" i="5"/>
  <c r="HO50" i="5"/>
  <c r="HP50" i="5"/>
  <c r="HQ50" i="5"/>
  <c r="HR50" i="5"/>
  <c r="HS50" i="5"/>
  <c r="HT50" i="5"/>
  <c r="HU50" i="5"/>
  <c r="HV50" i="5"/>
  <c r="HW50" i="5"/>
  <c r="HX50" i="5"/>
  <c r="HY50" i="5"/>
  <c r="HZ50" i="5"/>
  <c r="IA50" i="5"/>
  <c r="IB50" i="5"/>
  <c r="IC50" i="5"/>
  <c r="ID50" i="5"/>
  <c r="IE50" i="5"/>
  <c r="IF50" i="5"/>
  <c r="IG50" i="5"/>
  <c r="IH50" i="5"/>
  <c r="II50" i="5"/>
  <c r="IJ50" i="5"/>
  <c r="IK50" i="5"/>
  <c r="IL50" i="5"/>
  <c r="IM50" i="5"/>
  <c r="IN50" i="5"/>
  <c r="IO50" i="5"/>
  <c r="IP50" i="5"/>
  <c r="IQ50" i="5"/>
  <c r="IR50" i="5"/>
  <c r="IS50" i="5"/>
  <c r="IT50" i="5"/>
  <c r="IU50" i="5"/>
  <c r="IV50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EJ51" i="5"/>
  <c r="EK51" i="5"/>
  <c r="EL51" i="5"/>
  <c r="EM51" i="5"/>
  <c r="EN51" i="5"/>
  <c r="EO51" i="5"/>
  <c r="EP51" i="5"/>
  <c r="EQ51" i="5"/>
  <c r="ER51" i="5"/>
  <c r="ES51" i="5"/>
  <c r="ET51" i="5"/>
  <c r="EU51" i="5"/>
  <c r="EV51" i="5"/>
  <c r="EW51" i="5"/>
  <c r="EX51" i="5"/>
  <c r="EY51" i="5"/>
  <c r="EZ51" i="5"/>
  <c r="FA51" i="5"/>
  <c r="FB51" i="5"/>
  <c r="FC51" i="5"/>
  <c r="FD51" i="5"/>
  <c r="FE51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GF51" i="5"/>
  <c r="GG51" i="5"/>
  <c r="GH51" i="5"/>
  <c r="GI51" i="5"/>
  <c r="GJ51" i="5"/>
  <c r="GK51" i="5"/>
  <c r="GL51" i="5"/>
  <c r="GM51" i="5"/>
  <c r="GN51" i="5"/>
  <c r="GO51" i="5"/>
  <c r="GP51" i="5"/>
  <c r="GQ51" i="5"/>
  <c r="GR51" i="5"/>
  <c r="GS51" i="5"/>
  <c r="GT51" i="5"/>
  <c r="GU51" i="5"/>
  <c r="GV51" i="5"/>
  <c r="GW51" i="5"/>
  <c r="GX51" i="5"/>
  <c r="GY51" i="5"/>
  <c r="GZ51" i="5"/>
  <c r="HA51" i="5"/>
  <c r="HB51" i="5"/>
  <c r="HC51" i="5"/>
  <c r="HD51" i="5"/>
  <c r="HE51" i="5"/>
  <c r="HF51" i="5"/>
  <c r="HG51" i="5"/>
  <c r="HH51" i="5"/>
  <c r="HI51" i="5"/>
  <c r="HJ51" i="5"/>
  <c r="HK51" i="5"/>
  <c r="HL51" i="5"/>
  <c r="HM51" i="5"/>
  <c r="HN51" i="5"/>
  <c r="HO51" i="5"/>
  <c r="HP51" i="5"/>
  <c r="HQ51" i="5"/>
  <c r="HR51" i="5"/>
  <c r="HS51" i="5"/>
  <c r="HT51" i="5"/>
  <c r="HU51" i="5"/>
  <c r="HV51" i="5"/>
  <c r="HW51" i="5"/>
  <c r="HX51" i="5"/>
  <c r="HY51" i="5"/>
  <c r="HZ51" i="5"/>
  <c r="IA51" i="5"/>
  <c r="IB51" i="5"/>
  <c r="IC51" i="5"/>
  <c r="ID51" i="5"/>
  <c r="IE51" i="5"/>
  <c r="IF51" i="5"/>
  <c r="IG51" i="5"/>
  <c r="IH51" i="5"/>
  <c r="II51" i="5"/>
  <c r="IJ51" i="5"/>
  <c r="IK51" i="5"/>
  <c r="IL51" i="5"/>
  <c r="IM51" i="5"/>
  <c r="IN51" i="5"/>
  <c r="IO51" i="5"/>
  <c r="IP51" i="5"/>
  <c r="IQ51" i="5"/>
  <c r="IR51" i="5"/>
  <c r="IS51" i="5"/>
  <c r="IT51" i="5"/>
  <c r="IU51" i="5"/>
  <c r="IV51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EJ52" i="5"/>
  <c r="EK52" i="5"/>
  <c r="EL52" i="5"/>
  <c r="EM52" i="5"/>
  <c r="EN52" i="5"/>
  <c r="EO52" i="5"/>
  <c r="EP52" i="5"/>
  <c r="EQ52" i="5"/>
  <c r="ER52" i="5"/>
  <c r="ES52" i="5"/>
  <c r="ET52" i="5"/>
  <c r="EU52" i="5"/>
  <c r="EV52" i="5"/>
  <c r="EW52" i="5"/>
  <c r="EX52" i="5"/>
  <c r="EY52" i="5"/>
  <c r="EZ52" i="5"/>
  <c r="FA52" i="5"/>
  <c r="FB52" i="5"/>
  <c r="FC52" i="5"/>
  <c r="FD52" i="5"/>
  <c r="FE52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GD52" i="5"/>
  <c r="GE52" i="5"/>
  <c r="GF52" i="5"/>
  <c r="GG52" i="5"/>
  <c r="GH52" i="5"/>
  <c r="GI52" i="5"/>
  <c r="GJ52" i="5"/>
  <c r="GK52" i="5"/>
  <c r="GL52" i="5"/>
  <c r="GM52" i="5"/>
  <c r="GN52" i="5"/>
  <c r="GO52" i="5"/>
  <c r="GP52" i="5"/>
  <c r="GQ52" i="5"/>
  <c r="GR52" i="5"/>
  <c r="GS52" i="5"/>
  <c r="GT52" i="5"/>
  <c r="GU52" i="5"/>
  <c r="GV52" i="5"/>
  <c r="GW52" i="5"/>
  <c r="GX52" i="5"/>
  <c r="GY52" i="5"/>
  <c r="GZ52" i="5"/>
  <c r="HA52" i="5"/>
  <c r="HB52" i="5"/>
  <c r="HC52" i="5"/>
  <c r="HD52" i="5"/>
  <c r="HE52" i="5"/>
  <c r="HF52" i="5"/>
  <c r="HG52" i="5"/>
  <c r="HH52" i="5"/>
  <c r="HI52" i="5"/>
  <c r="HJ52" i="5"/>
  <c r="HK52" i="5"/>
  <c r="HL52" i="5"/>
  <c r="HM52" i="5"/>
  <c r="HN52" i="5"/>
  <c r="HO52" i="5"/>
  <c r="HP52" i="5"/>
  <c r="HQ52" i="5"/>
  <c r="HR52" i="5"/>
  <c r="HS52" i="5"/>
  <c r="HT52" i="5"/>
  <c r="HU52" i="5"/>
  <c r="HV52" i="5"/>
  <c r="HW52" i="5"/>
  <c r="HX52" i="5"/>
  <c r="HY52" i="5"/>
  <c r="HZ52" i="5"/>
  <c r="IA52" i="5"/>
  <c r="IB52" i="5"/>
  <c r="IC52" i="5"/>
  <c r="ID52" i="5"/>
  <c r="IE52" i="5"/>
  <c r="IF52" i="5"/>
  <c r="IG52" i="5"/>
  <c r="IH52" i="5"/>
  <c r="II52" i="5"/>
  <c r="IJ52" i="5"/>
  <c r="IK52" i="5"/>
  <c r="IL52" i="5"/>
  <c r="IM52" i="5"/>
  <c r="IN52" i="5"/>
  <c r="IO52" i="5"/>
  <c r="IP52" i="5"/>
  <c r="IQ52" i="5"/>
  <c r="IR52" i="5"/>
  <c r="IS52" i="5"/>
  <c r="IT52" i="5"/>
  <c r="IU52" i="5"/>
  <c r="IV52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CY53" i="5"/>
  <c r="CZ53" i="5"/>
  <c r="DA53" i="5"/>
  <c r="DB53" i="5"/>
  <c r="DC53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EJ53" i="5"/>
  <c r="EK53" i="5"/>
  <c r="EL53" i="5"/>
  <c r="EM53" i="5"/>
  <c r="EN53" i="5"/>
  <c r="EO53" i="5"/>
  <c r="EP53" i="5"/>
  <c r="EQ53" i="5"/>
  <c r="ER53" i="5"/>
  <c r="ES53" i="5"/>
  <c r="ET53" i="5"/>
  <c r="EU53" i="5"/>
  <c r="EV53" i="5"/>
  <c r="EW53" i="5"/>
  <c r="EX53" i="5"/>
  <c r="EY53" i="5"/>
  <c r="EZ53" i="5"/>
  <c r="FA53" i="5"/>
  <c r="FB53" i="5"/>
  <c r="FC53" i="5"/>
  <c r="FD53" i="5"/>
  <c r="FE53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GD53" i="5"/>
  <c r="GE53" i="5"/>
  <c r="GF53" i="5"/>
  <c r="GG53" i="5"/>
  <c r="GH53" i="5"/>
  <c r="GI53" i="5"/>
  <c r="GJ53" i="5"/>
  <c r="GK53" i="5"/>
  <c r="GL53" i="5"/>
  <c r="GM53" i="5"/>
  <c r="GN53" i="5"/>
  <c r="GO53" i="5"/>
  <c r="GP53" i="5"/>
  <c r="GQ53" i="5"/>
  <c r="GR53" i="5"/>
  <c r="GS53" i="5"/>
  <c r="GT53" i="5"/>
  <c r="GU53" i="5"/>
  <c r="GV53" i="5"/>
  <c r="GW53" i="5"/>
  <c r="GX53" i="5"/>
  <c r="GY53" i="5"/>
  <c r="GZ53" i="5"/>
  <c r="HA53" i="5"/>
  <c r="HB53" i="5"/>
  <c r="HC53" i="5"/>
  <c r="HD53" i="5"/>
  <c r="HE53" i="5"/>
  <c r="HF53" i="5"/>
  <c r="HG53" i="5"/>
  <c r="HH53" i="5"/>
  <c r="HI53" i="5"/>
  <c r="HJ53" i="5"/>
  <c r="HK53" i="5"/>
  <c r="HL53" i="5"/>
  <c r="HM53" i="5"/>
  <c r="HN53" i="5"/>
  <c r="HO53" i="5"/>
  <c r="HP53" i="5"/>
  <c r="HQ53" i="5"/>
  <c r="HR53" i="5"/>
  <c r="HS53" i="5"/>
  <c r="HT53" i="5"/>
  <c r="HU53" i="5"/>
  <c r="HV53" i="5"/>
  <c r="HW53" i="5"/>
  <c r="HX53" i="5"/>
  <c r="HY53" i="5"/>
  <c r="HZ53" i="5"/>
  <c r="IA53" i="5"/>
  <c r="IB53" i="5"/>
  <c r="IC53" i="5"/>
  <c r="ID53" i="5"/>
  <c r="IE53" i="5"/>
  <c r="IF53" i="5"/>
  <c r="IG53" i="5"/>
  <c r="IH53" i="5"/>
  <c r="II53" i="5"/>
  <c r="IJ53" i="5"/>
  <c r="IK53" i="5"/>
  <c r="IL53" i="5"/>
  <c r="IM53" i="5"/>
  <c r="IN53" i="5"/>
  <c r="IO53" i="5"/>
  <c r="IP53" i="5"/>
  <c r="IQ53" i="5"/>
  <c r="IR53" i="5"/>
  <c r="IS53" i="5"/>
  <c r="IT53" i="5"/>
  <c r="IU53" i="5"/>
  <c r="IV53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CY54" i="5"/>
  <c r="CZ54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EJ54" i="5"/>
  <c r="EK54" i="5"/>
  <c r="EL54" i="5"/>
  <c r="EM54" i="5"/>
  <c r="EN54" i="5"/>
  <c r="EO54" i="5"/>
  <c r="EP54" i="5"/>
  <c r="EQ54" i="5"/>
  <c r="ER54" i="5"/>
  <c r="ES54" i="5"/>
  <c r="ET54" i="5"/>
  <c r="EU54" i="5"/>
  <c r="EV54" i="5"/>
  <c r="EW54" i="5"/>
  <c r="EX54" i="5"/>
  <c r="EY54" i="5"/>
  <c r="EZ54" i="5"/>
  <c r="FA54" i="5"/>
  <c r="FB54" i="5"/>
  <c r="FC54" i="5"/>
  <c r="FD54" i="5"/>
  <c r="FE54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GD54" i="5"/>
  <c r="GE54" i="5"/>
  <c r="GF54" i="5"/>
  <c r="GG54" i="5"/>
  <c r="GH54" i="5"/>
  <c r="GI54" i="5"/>
  <c r="GJ54" i="5"/>
  <c r="GK54" i="5"/>
  <c r="GL54" i="5"/>
  <c r="GM54" i="5"/>
  <c r="GN54" i="5"/>
  <c r="GO54" i="5"/>
  <c r="GP54" i="5"/>
  <c r="GQ54" i="5"/>
  <c r="GR54" i="5"/>
  <c r="GS54" i="5"/>
  <c r="GT54" i="5"/>
  <c r="GU54" i="5"/>
  <c r="GV54" i="5"/>
  <c r="GW54" i="5"/>
  <c r="GX54" i="5"/>
  <c r="GY54" i="5"/>
  <c r="GZ54" i="5"/>
  <c r="HA54" i="5"/>
  <c r="HB54" i="5"/>
  <c r="HC54" i="5"/>
  <c r="HD54" i="5"/>
  <c r="HE54" i="5"/>
  <c r="HF54" i="5"/>
  <c r="HG54" i="5"/>
  <c r="HH54" i="5"/>
  <c r="HI54" i="5"/>
  <c r="HJ54" i="5"/>
  <c r="HK54" i="5"/>
  <c r="HL54" i="5"/>
  <c r="HM54" i="5"/>
  <c r="HN54" i="5"/>
  <c r="HO54" i="5"/>
  <c r="HP54" i="5"/>
  <c r="HQ54" i="5"/>
  <c r="HR54" i="5"/>
  <c r="HS54" i="5"/>
  <c r="HT54" i="5"/>
  <c r="HU54" i="5"/>
  <c r="HV54" i="5"/>
  <c r="HW54" i="5"/>
  <c r="HX54" i="5"/>
  <c r="HY54" i="5"/>
  <c r="HZ54" i="5"/>
  <c r="IA54" i="5"/>
  <c r="IB54" i="5"/>
  <c r="IC54" i="5"/>
  <c r="ID54" i="5"/>
  <c r="IE54" i="5"/>
  <c r="IF54" i="5"/>
  <c r="IG54" i="5"/>
  <c r="IH54" i="5"/>
  <c r="II54" i="5"/>
  <c r="IJ54" i="5"/>
  <c r="IK54" i="5"/>
  <c r="IL54" i="5"/>
  <c r="IM54" i="5"/>
  <c r="IN54" i="5"/>
  <c r="IO54" i="5"/>
  <c r="IP54" i="5"/>
  <c r="IQ54" i="5"/>
  <c r="IR54" i="5"/>
  <c r="IS54" i="5"/>
  <c r="IT54" i="5"/>
  <c r="IU54" i="5"/>
  <c r="IV54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CU55" i="5"/>
  <c r="CV55" i="5"/>
  <c r="CW55" i="5"/>
  <c r="CX55" i="5"/>
  <c r="CY55" i="5"/>
  <c r="CZ55" i="5"/>
  <c r="DA55" i="5"/>
  <c r="DB55" i="5"/>
  <c r="DC55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EJ55" i="5"/>
  <c r="EK55" i="5"/>
  <c r="EL55" i="5"/>
  <c r="EM55" i="5"/>
  <c r="EN55" i="5"/>
  <c r="EO55" i="5"/>
  <c r="EP55" i="5"/>
  <c r="EQ55" i="5"/>
  <c r="ER55" i="5"/>
  <c r="ES55" i="5"/>
  <c r="ET55" i="5"/>
  <c r="EU55" i="5"/>
  <c r="EV55" i="5"/>
  <c r="EW55" i="5"/>
  <c r="EX55" i="5"/>
  <c r="EY55" i="5"/>
  <c r="EZ55" i="5"/>
  <c r="FA55" i="5"/>
  <c r="FB55" i="5"/>
  <c r="FC55" i="5"/>
  <c r="FD55" i="5"/>
  <c r="FE55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GD55" i="5"/>
  <c r="GE55" i="5"/>
  <c r="GF55" i="5"/>
  <c r="GG55" i="5"/>
  <c r="GH55" i="5"/>
  <c r="GI55" i="5"/>
  <c r="GJ55" i="5"/>
  <c r="GK55" i="5"/>
  <c r="GL55" i="5"/>
  <c r="GM55" i="5"/>
  <c r="GN55" i="5"/>
  <c r="GO55" i="5"/>
  <c r="GP55" i="5"/>
  <c r="GQ55" i="5"/>
  <c r="GR55" i="5"/>
  <c r="GS55" i="5"/>
  <c r="GT55" i="5"/>
  <c r="GU55" i="5"/>
  <c r="GV55" i="5"/>
  <c r="GW55" i="5"/>
  <c r="GX55" i="5"/>
  <c r="GY55" i="5"/>
  <c r="GZ55" i="5"/>
  <c r="HA55" i="5"/>
  <c r="HB55" i="5"/>
  <c r="HC55" i="5"/>
  <c r="HD55" i="5"/>
  <c r="HE55" i="5"/>
  <c r="HF55" i="5"/>
  <c r="HG55" i="5"/>
  <c r="HH55" i="5"/>
  <c r="HI55" i="5"/>
  <c r="HJ55" i="5"/>
  <c r="HK55" i="5"/>
  <c r="HL55" i="5"/>
  <c r="HM55" i="5"/>
  <c r="HN55" i="5"/>
  <c r="HO55" i="5"/>
  <c r="HP55" i="5"/>
  <c r="HQ55" i="5"/>
  <c r="HR55" i="5"/>
  <c r="HS55" i="5"/>
  <c r="HT55" i="5"/>
  <c r="HU55" i="5"/>
  <c r="HV55" i="5"/>
  <c r="HW55" i="5"/>
  <c r="HX55" i="5"/>
  <c r="HY55" i="5"/>
  <c r="HZ55" i="5"/>
  <c r="IA55" i="5"/>
  <c r="IB55" i="5"/>
  <c r="IC55" i="5"/>
  <c r="ID55" i="5"/>
  <c r="IE55" i="5"/>
  <c r="IF55" i="5"/>
  <c r="IG55" i="5"/>
  <c r="IH55" i="5"/>
  <c r="II55" i="5"/>
  <c r="IJ55" i="5"/>
  <c r="IK55" i="5"/>
  <c r="IL55" i="5"/>
  <c r="IM55" i="5"/>
  <c r="IN55" i="5"/>
  <c r="IO55" i="5"/>
  <c r="IP55" i="5"/>
  <c r="IQ55" i="5"/>
  <c r="IR55" i="5"/>
  <c r="IS55" i="5"/>
  <c r="IT55" i="5"/>
  <c r="IU55" i="5"/>
  <c r="IV55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GF56" i="5"/>
  <c r="GG56" i="5"/>
  <c r="GH56" i="5"/>
  <c r="GI56" i="5"/>
  <c r="GJ56" i="5"/>
  <c r="GK56" i="5"/>
  <c r="GL56" i="5"/>
  <c r="GM56" i="5"/>
  <c r="GN56" i="5"/>
  <c r="GO56" i="5"/>
  <c r="GP56" i="5"/>
  <c r="GQ56" i="5"/>
  <c r="GR56" i="5"/>
  <c r="GS56" i="5"/>
  <c r="GT56" i="5"/>
  <c r="GU56" i="5"/>
  <c r="GV56" i="5"/>
  <c r="GW56" i="5"/>
  <c r="GX56" i="5"/>
  <c r="GY56" i="5"/>
  <c r="GZ56" i="5"/>
  <c r="HA56" i="5"/>
  <c r="HB56" i="5"/>
  <c r="HC56" i="5"/>
  <c r="HD56" i="5"/>
  <c r="HE56" i="5"/>
  <c r="HF56" i="5"/>
  <c r="HG56" i="5"/>
  <c r="HH56" i="5"/>
  <c r="HI56" i="5"/>
  <c r="HJ56" i="5"/>
  <c r="HK56" i="5"/>
  <c r="HL56" i="5"/>
  <c r="HM56" i="5"/>
  <c r="HN56" i="5"/>
  <c r="HO56" i="5"/>
  <c r="HP56" i="5"/>
  <c r="HQ56" i="5"/>
  <c r="HR56" i="5"/>
  <c r="HS56" i="5"/>
  <c r="HT56" i="5"/>
  <c r="HU56" i="5"/>
  <c r="HV56" i="5"/>
  <c r="HW56" i="5"/>
  <c r="HX56" i="5"/>
  <c r="HY56" i="5"/>
  <c r="HZ56" i="5"/>
  <c r="IA56" i="5"/>
  <c r="IB56" i="5"/>
  <c r="IC56" i="5"/>
  <c r="ID56" i="5"/>
  <c r="IE56" i="5"/>
  <c r="IF56" i="5"/>
  <c r="IG56" i="5"/>
  <c r="IH56" i="5"/>
  <c r="II56" i="5"/>
  <c r="IJ56" i="5"/>
  <c r="IK56" i="5"/>
  <c r="IL56" i="5"/>
  <c r="IM56" i="5"/>
  <c r="IN56" i="5"/>
  <c r="IO56" i="5"/>
  <c r="IP56" i="5"/>
  <c r="IQ56" i="5"/>
  <c r="IR56" i="5"/>
  <c r="IS56" i="5"/>
  <c r="IT56" i="5"/>
  <c r="IU56" i="5"/>
  <c r="IV56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CU57" i="5"/>
  <c r="CV57" i="5"/>
  <c r="CW57" i="5"/>
  <c r="CX57" i="5"/>
  <c r="CY57" i="5"/>
  <c r="CZ57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EJ57" i="5"/>
  <c r="EK57" i="5"/>
  <c r="EL57" i="5"/>
  <c r="EM57" i="5"/>
  <c r="EN57" i="5"/>
  <c r="EO57" i="5"/>
  <c r="EP57" i="5"/>
  <c r="EQ57" i="5"/>
  <c r="ER57" i="5"/>
  <c r="ES57" i="5"/>
  <c r="ET57" i="5"/>
  <c r="EU57" i="5"/>
  <c r="EV57" i="5"/>
  <c r="EW57" i="5"/>
  <c r="EX57" i="5"/>
  <c r="EY57" i="5"/>
  <c r="EZ57" i="5"/>
  <c r="FA57" i="5"/>
  <c r="FB57" i="5"/>
  <c r="FC57" i="5"/>
  <c r="FD57" i="5"/>
  <c r="FE57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GD57" i="5"/>
  <c r="GE57" i="5"/>
  <c r="GF57" i="5"/>
  <c r="GG57" i="5"/>
  <c r="GH57" i="5"/>
  <c r="GI57" i="5"/>
  <c r="GJ57" i="5"/>
  <c r="GK57" i="5"/>
  <c r="GL57" i="5"/>
  <c r="GM57" i="5"/>
  <c r="GN57" i="5"/>
  <c r="GO57" i="5"/>
  <c r="GP57" i="5"/>
  <c r="GQ57" i="5"/>
  <c r="GR57" i="5"/>
  <c r="GS57" i="5"/>
  <c r="GT57" i="5"/>
  <c r="GU57" i="5"/>
  <c r="GV57" i="5"/>
  <c r="GW57" i="5"/>
  <c r="GX57" i="5"/>
  <c r="GY57" i="5"/>
  <c r="GZ57" i="5"/>
  <c r="HA57" i="5"/>
  <c r="HB57" i="5"/>
  <c r="HC57" i="5"/>
  <c r="HD57" i="5"/>
  <c r="HE57" i="5"/>
  <c r="HF57" i="5"/>
  <c r="HG57" i="5"/>
  <c r="HH57" i="5"/>
  <c r="HI57" i="5"/>
  <c r="HJ57" i="5"/>
  <c r="HK57" i="5"/>
  <c r="HL57" i="5"/>
  <c r="HM57" i="5"/>
  <c r="HN57" i="5"/>
  <c r="HO57" i="5"/>
  <c r="HP57" i="5"/>
  <c r="HQ57" i="5"/>
  <c r="HR57" i="5"/>
  <c r="HS57" i="5"/>
  <c r="HT57" i="5"/>
  <c r="HU57" i="5"/>
  <c r="HV57" i="5"/>
  <c r="HW57" i="5"/>
  <c r="HX57" i="5"/>
  <c r="HY57" i="5"/>
  <c r="HZ57" i="5"/>
  <c r="IA57" i="5"/>
  <c r="IB57" i="5"/>
  <c r="IC57" i="5"/>
  <c r="ID57" i="5"/>
  <c r="IE57" i="5"/>
  <c r="IF57" i="5"/>
  <c r="IG57" i="5"/>
  <c r="IH57" i="5"/>
  <c r="II57" i="5"/>
  <c r="IJ57" i="5"/>
  <c r="IK57" i="5"/>
  <c r="IL57" i="5"/>
  <c r="IM57" i="5"/>
  <c r="IN57" i="5"/>
  <c r="IO57" i="5"/>
  <c r="IP57" i="5"/>
  <c r="IQ57" i="5"/>
  <c r="IR57" i="5"/>
  <c r="IS57" i="5"/>
  <c r="IT57" i="5"/>
  <c r="IU57" i="5"/>
  <c r="IV57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CU58" i="5"/>
  <c r="CV58" i="5"/>
  <c r="CW58" i="5"/>
  <c r="CX58" i="5"/>
  <c r="CY58" i="5"/>
  <c r="CZ58" i="5"/>
  <c r="DA58" i="5"/>
  <c r="DB58" i="5"/>
  <c r="DC58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EJ58" i="5"/>
  <c r="EK58" i="5"/>
  <c r="EL58" i="5"/>
  <c r="EM58" i="5"/>
  <c r="EN58" i="5"/>
  <c r="EO58" i="5"/>
  <c r="EP58" i="5"/>
  <c r="EQ58" i="5"/>
  <c r="ER58" i="5"/>
  <c r="ES58" i="5"/>
  <c r="ET58" i="5"/>
  <c r="EU58" i="5"/>
  <c r="EV58" i="5"/>
  <c r="EW58" i="5"/>
  <c r="EX58" i="5"/>
  <c r="EY58" i="5"/>
  <c r="EZ58" i="5"/>
  <c r="FA58" i="5"/>
  <c r="FB58" i="5"/>
  <c r="FC58" i="5"/>
  <c r="FD58" i="5"/>
  <c r="FE58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GD58" i="5"/>
  <c r="GE58" i="5"/>
  <c r="GF58" i="5"/>
  <c r="GG58" i="5"/>
  <c r="GH58" i="5"/>
  <c r="GI58" i="5"/>
  <c r="GJ58" i="5"/>
  <c r="GK58" i="5"/>
  <c r="GL58" i="5"/>
  <c r="GM58" i="5"/>
  <c r="GN58" i="5"/>
  <c r="GO58" i="5"/>
  <c r="GP58" i="5"/>
  <c r="GQ58" i="5"/>
  <c r="GR58" i="5"/>
  <c r="GS58" i="5"/>
  <c r="GT58" i="5"/>
  <c r="GU58" i="5"/>
  <c r="GV58" i="5"/>
  <c r="GW58" i="5"/>
  <c r="GX58" i="5"/>
  <c r="GY58" i="5"/>
  <c r="GZ58" i="5"/>
  <c r="HA58" i="5"/>
  <c r="HB58" i="5"/>
  <c r="HC58" i="5"/>
  <c r="HD58" i="5"/>
  <c r="HE58" i="5"/>
  <c r="HF58" i="5"/>
  <c r="HG58" i="5"/>
  <c r="HH58" i="5"/>
  <c r="HI58" i="5"/>
  <c r="HJ58" i="5"/>
  <c r="HK58" i="5"/>
  <c r="HL58" i="5"/>
  <c r="HM58" i="5"/>
  <c r="HN58" i="5"/>
  <c r="HO58" i="5"/>
  <c r="HP58" i="5"/>
  <c r="HQ58" i="5"/>
  <c r="HR58" i="5"/>
  <c r="HS58" i="5"/>
  <c r="HT58" i="5"/>
  <c r="HU58" i="5"/>
  <c r="HV58" i="5"/>
  <c r="HW58" i="5"/>
  <c r="HX58" i="5"/>
  <c r="HY58" i="5"/>
  <c r="HZ58" i="5"/>
  <c r="IA58" i="5"/>
  <c r="IB58" i="5"/>
  <c r="IC58" i="5"/>
  <c r="ID58" i="5"/>
  <c r="IE58" i="5"/>
  <c r="IF58" i="5"/>
  <c r="IG58" i="5"/>
  <c r="IH58" i="5"/>
  <c r="II58" i="5"/>
  <c r="IJ58" i="5"/>
  <c r="IK58" i="5"/>
  <c r="IL58" i="5"/>
  <c r="IM58" i="5"/>
  <c r="IN58" i="5"/>
  <c r="IO58" i="5"/>
  <c r="IP58" i="5"/>
  <c r="IQ58" i="5"/>
  <c r="IR58" i="5"/>
  <c r="IS58" i="5"/>
  <c r="IT58" i="5"/>
  <c r="IU58" i="5"/>
  <c r="IV58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CU59" i="5"/>
  <c r="CV59" i="5"/>
  <c r="CW59" i="5"/>
  <c r="CX59" i="5"/>
  <c r="CY59" i="5"/>
  <c r="CZ59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GF59" i="5"/>
  <c r="GG59" i="5"/>
  <c r="GH59" i="5"/>
  <c r="GI59" i="5"/>
  <c r="GJ59" i="5"/>
  <c r="GK59" i="5"/>
  <c r="GL59" i="5"/>
  <c r="GM59" i="5"/>
  <c r="GN59" i="5"/>
  <c r="GO59" i="5"/>
  <c r="GP59" i="5"/>
  <c r="GQ59" i="5"/>
  <c r="GR59" i="5"/>
  <c r="GS59" i="5"/>
  <c r="GT59" i="5"/>
  <c r="GU59" i="5"/>
  <c r="GV59" i="5"/>
  <c r="GW59" i="5"/>
  <c r="GX59" i="5"/>
  <c r="GY59" i="5"/>
  <c r="GZ59" i="5"/>
  <c r="HA59" i="5"/>
  <c r="HB59" i="5"/>
  <c r="HC59" i="5"/>
  <c r="HD59" i="5"/>
  <c r="HE59" i="5"/>
  <c r="HF59" i="5"/>
  <c r="HG59" i="5"/>
  <c r="HH59" i="5"/>
  <c r="HI59" i="5"/>
  <c r="HJ59" i="5"/>
  <c r="HK59" i="5"/>
  <c r="HL59" i="5"/>
  <c r="HM59" i="5"/>
  <c r="HN59" i="5"/>
  <c r="HO59" i="5"/>
  <c r="HP59" i="5"/>
  <c r="HQ59" i="5"/>
  <c r="HR59" i="5"/>
  <c r="HS59" i="5"/>
  <c r="HT59" i="5"/>
  <c r="HU59" i="5"/>
  <c r="HV59" i="5"/>
  <c r="HW59" i="5"/>
  <c r="HX59" i="5"/>
  <c r="HY59" i="5"/>
  <c r="HZ59" i="5"/>
  <c r="IA59" i="5"/>
  <c r="IB59" i="5"/>
  <c r="IC59" i="5"/>
  <c r="ID59" i="5"/>
  <c r="IE59" i="5"/>
  <c r="IF59" i="5"/>
  <c r="IG59" i="5"/>
  <c r="IH59" i="5"/>
  <c r="II59" i="5"/>
  <c r="IJ59" i="5"/>
  <c r="IK59" i="5"/>
  <c r="IL59" i="5"/>
  <c r="IM59" i="5"/>
  <c r="IN59" i="5"/>
  <c r="IO59" i="5"/>
  <c r="IP59" i="5"/>
  <c r="IQ59" i="5"/>
  <c r="IR59" i="5"/>
  <c r="IS59" i="5"/>
  <c r="IT59" i="5"/>
  <c r="IU59" i="5"/>
  <c r="IV59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CU60" i="5"/>
  <c r="CV60" i="5"/>
  <c r="CW60" i="5"/>
  <c r="CX60" i="5"/>
  <c r="CY60" i="5"/>
  <c r="CZ60" i="5"/>
  <c r="DA60" i="5"/>
  <c r="DB60" i="5"/>
  <c r="DC60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EJ60" i="5"/>
  <c r="EK60" i="5"/>
  <c r="EL60" i="5"/>
  <c r="EM60" i="5"/>
  <c r="EN60" i="5"/>
  <c r="EO60" i="5"/>
  <c r="EP60" i="5"/>
  <c r="EQ60" i="5"/>
  <c r="ER60" i="5"/>
  <c r="ES60" i="5"/>
  <c r="ET60" i="5"/>
  <c r="EU60" i="5"/>
  <c r="EV60" i="5"/>
  <c r="EW60" i="5"/>
  <c r="EX60" i="5"/>
  <c r="EY60" i="5"/>
  <c r="EZ60" i="5"/>
  <c r="FA60" i="5"/>
  <c r="FB60" i="5"/>
  <c r="FC60" i="5"/>
  <c r="FD60" i="5"/>
  <c r="FE60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GD60" i="5"/>
  <c r="GE60" i="5"/>
  <c r="GF60" i="5"/>
  <c r="GG60" i="5"/>
  <c r="GH60" i="5"/>
  <c r="GI60" i="5"/>
  <c r="GJ60" i="5"/>
  <c r="GK60" i="5"/>
  <c r="GL60" i="5"/>
  <c r="GM60" i="5"/>
  <c r="GN60" i="5"/>
  <c r="GO60" i="5"/>
  <c r="GP60" i="5"/>
  <c r="GQ60" i="5"/>
  <c r="GR60" i="5"/>
  <c r="GS60" i="5"/>
  <c r="GT60" i="5"/>
  <c r="GU60" i="5"/>
  <c r="GV60" i="5"/>
  <c r="GW60" i="5"/>
  <c r="GX60" i="5"/>
  <c r="GY60" i="5"/>
  <c r="GZ60" i="5"/>
  <c r="HA60" i="5"/>
  <c r="HB60" i="5"/>
  <c r="HC60" i="5"/>
  <c r="HD60" i="5"/>
  <c r="HE60" i="5"/>
  <c r="HF60" i="5"/>
  <c r="HG60" i="5"/>
  <c r="HH60" i="5"/>
  <c r="HI60" i="5"/>
  <c r="HJ60" i="5"/>
  <c r="HK60" i="5"/>
  <c r="HL60" i="5"/>
  <c r="HM60" i="5"/>
  <c r="HN60" i="5"/>
  <c r="HO60" i="5"/>
  <c r="HP60" i="5"/>
  <c r="HQ60" i="5"/>
  <c r="HR60" i="5"/>
  <c r="HS60" i="5"/>
  <c r="HT60" i="5"/>
  <c r="HU60" i="5"/>
  <c r="HV60" i="5"/>
  <c r="HW60" i="5"/>
  <c r="HX60" i="5"/>
  <c r="HY60" i="5"/>
  <c r="HZ60" i="5"/>
  <c r="IA60" i="5"/>
  <c r="IB60" i="5"/>
  <c r="IC60" i="5"/>
  <c r="ID60" i="5"/>
  <c r="IE60" i="5"/>
  <c r="IF60" i="5"/>
  <c r="IG60" i="5"/>
  <c r="IH60" i="5"/>
  <c r="II60" i="5"/>
  <c r="IJ60" i="5"/>
  <c r="IK60" i="5"/>
  <c r="IL60" i="5"/>
  <c r="IM60" i="5"/>
  <c r="IN60" i="5"/>
  <c r="IO60" i="5"/>
  <c r="IP60" i="5"/>
  <c r="IQ60" i="5"/>
  <c r="IR60" i="5"/>
  <c r="IS60" i="5"/>
  <c r="IT60" i="5"/>
  <c r="IU60" i="5"/>
  <c r="IV60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CU61" i="5"/>
  <c r="CV61" i="5"/>
  <c r="CW61" i="5"/>
  <c r="CX61" i="5"/>
  <c r="CY61" i="5"/>
  <c r="CZ61" i="5"/>
  <c r="DA61" i="5"/>
  <c r="DB61" i="5"/>
  <c r="DC61" i="5"/>
  <c r="DD61" i="5"/>
  <c r="DE61" i="5"/>
  <c r="DF61" i="5"/>
  <c r="DG61" i="5"/>
  <c r="DH61" i="5"/>
  <c r="DI61" i="5"/>
  <c r="DJ61" i="5"/>
  <c r="DK61" i="5"/>
  <c r="DL61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EJ61" i="5"/>
  <c r="EK61" i="5"/>
  <c r="EL61" i="5"/>
  <c r="EM61" i="5"/>
  <c r="EN61" i="5"/>
  <c r="EO61" i="5"/>
  <c r="EP61" i="5"/>
  <c r="EQ61" i="5"/>
  <c r="ER61" i="5"/>
  <c r="ES61" i="5"/>
  <c r="ET61" i="5"/>
  <c r="EU61" i="5"/>
  <c r="EV61" i="5"/>
  <c r="EW61" i="5"/>
  <c r="EX61" i="5"/>
  <c r="EY61" i="5"/>
  <c r="EZ61" i="5"/>
  <c r="FA61" i="5"/>
  <c r="FB61" i="5"/>
  <c r="FC61" i="5"/>
  <c r="FD61" i="5"/>
  <c r="FE61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GD61" i="5"/>
  <c r="GE61" i="5"/>
  <c r="GF61" i="5"/>
  <c r="GG61" i="5"/>
  <c r="GH61" i="5"/>
  <c r="GI61" i="5"/>
  <c r="GJ61" i="5"/>
  <c r="GK61" i="5"/>
  <c r="GL61" i="5"/>
  <c r="GM61" i="5"/>
  <c r="GN61" i="5"/>
  <c r="GO61" i="5"/>
  <c r="GP61" i="5"/>
  <c r="GQ61" i="5"/>
  <c r="GR61" i="5"/>
  <c r="GS61" i="5"/>
  <c r="GT61" i="5"/>
  <c r="GU61" i="5"/>
  <c r="GV61" i="5"/>
  <c r="GW61" i="5"/>
  <c r="GX61" i="5"/>
  <c r="GY61" i="5"/>
  <c r="GZ61" i="5"/>
  <c r="HA61" i="5"/>
  <c r="HB61" i="5"/>
  <c r="HC61" i="5"/>
  <c r="HD61" i="5"/>
  <c r="HE61" i="5"/>
  <c r="HF61" i="5"/>
  <c r="HG61" i="5"/>
  <c r="HH61" i="5"/>
  <c r="HI61" i="5"/>
  <c r="HJ61" i="5"/>
  <c r="HK61" i="5"/>
  <c r="HL61" i="5"/>
  <c r="HM61" i="5"/>
  <c r="HN61" i="5"/>
  <c r="HO61" i="5"/>
  <c r="HP61" i="5"/>
  <c r="HQ61" i="5"/>
  <c r="HR61" i="5"/>
  <c r="HS61" i="5"/>
  <c r="HT61" i="5"/>
  <c r="HU61" i="5"/>
  <c r="HV61" i="5"/>
  <c r="HW61" i="5"/>
  <c r="HX61" i="5"/>
  <c r="HY61" i="5"/>
  <c r="HZ61" i="5"/>
  <c r="IA61" i="5"/>
  <c r="IB61" i="5"/>
  <c r="IC61" i="5"/>
  <c r="ID61" i="5"/>
  <c r="IE61" i="5"/>
  <c r="IF61" i="5"/>
  <c r="IG61" i="5"/>
  <c r="IH61" i="5"/>
  <c r="II61" i="5"/>
  <c r="IJ61" i="5"/>
  <c r="IK61" i="5"/>
  <c r="IL61" i="5"/>
  <c r="IM61" i="5"/>
  <c r="IN61" i="5"/>
  <c r="IO61" i="5"/>
  <c r="IP61" i="5"/>
  <c r="IQ61" i="5"/>
  <c r="IR61" i="5"/>
  <c r="IS61" i="5"/>
  <c r="IT61" i="5"/>
  <c r="IU61" i="5"/>
  <c r="IV61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CU62" i="5"/>
  <c r="CV62" i="5"/>
  <c r="CW62" i="5"/>
  <c r="CX62" i="5"/>
  <c r="CY62" i="5"/>
  <c r="CZ62" i="5"/>
  <c r="DA62" i="5"/>
  <c r="DB62" i="5"/>
  <c r="DC62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EJ62" i="5"/>
  <c r="EK62" i="5"/>
  <c r="EL62" i="5"/>
  <c r="EM62" i="5"/>
  <c r="EN62" i="5"/>
  <c r="EO62" i="5"/>
  <c r="EP62" i="5"/>
  <c r="EQ62" i="5"/>
  <c r="ER62" i="5"/>
  <c r="ES62" i="5"/>
  <c r="ET62" i="5"/>
  <c r="EU62" i="5"/>
  <c r="EV62" i="5"/>
  <c r="EW62" i="5"/>
  <c r="EX62" i="5"/>
  <c r="EY62" i="5"/>
  <c r="EZ62" i="5"/>
  <c r="FA62" i="5"/>
  <c r="FB62" i="5"/>
  <c r="FC62" i="5"/>
  <c r="FD62" i="5"/>
  <c r="FE62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GD62" i="5"/>
  <c r="GE62" i="5"/>
  <c r="GF62" i="5"/>
  <c r="GG62" i="5"/>
  <c r="GH62" i="5"/>
  <c r="GI62" i="5"/>
  <c r="GJ62" i="5"/>
  <c r="GK62" i="5"/>
  <c r="GL62" i="5"/>
  <c r="GM62" i="5"/>
  <c r="GN62" i="5"/>
  <c r="GO62" i="5"/>
  <c r="GP62" i="5"/>
  <c r="GQ62" i="5"/>
  <c r="GR62" i="5"/>
  <c r="GS62" i="5"/>
  <c r="GT62" i="5"/>
  <c r="GU62" i="5"/>
  <c r="GV62" i="5"/>
  <c r="GW62" i="5"/>
  <c r="GX62" i="5"/>
  <c r="GY62" i="5"/>
  <c r="GZ62" i="5"/>
  <c r="HA62" i="5"/>
  <c r="HB62" i="5"/>
  <c r="HC62" i="5"/>
  <c r="HD62" i="5"/>
  <c r="HE62" i="5"/>
  <c r="HF62" i="5"/>
  <c r="HG62" i="5"/>
  <c r="HH62" i="5"/>
  <c r="HI62" i="5"/>
  <c r="HJ62" i="5"/>
  <c r="HK62" i="5"/>
  <c r="HL62" i="5"/>
  <c r="HM62" i="5"/>
  <c r="HN62" i="5"/>
  <c r="HO62" i="5"/>
  <c r="HP62" i="5"/>
  <c r="HQ62" i="5"/>
  <c r="HR62" i="5"/>
  <c r="HS62" i="5"/>
  <c r="HT62" i="5"/>
  <c r="HU62" i="5"/>
  <c r="HV62" i="5"/>
  <c r="HW62" i="5"/>
  <c r="HX62" i="5"/>
  <c r="HY62" i="5"/>
  <c r="HZ62" i="5"/>
  <c r="IA62" i="5"/>
  <c r="IB62" i="5"/>
  <c r="IC62" i="5"/>
  <c r="ID62" i="5"/>
  <c r="IE62" i="5"/>
  <c r="IF62" i="5"/>
  <c r="IG62" i="5"/>
  <c r="IH62" i="5"/>
  <c r="II62" i="5"/>
  <c r="IJ62" i="5"/>
  <c r="IK62" i="5"/>
  <c r="IL62" i="5"/>
  <c r="IM62" i="5"/>
  <c r="IN62" i="5"/>
  <c r="IO62" i="5"/>
  <c r="IP62" i="5"/>
  <c r="IQ62" i="5"/>
  <c r="IR62" i="5"/>
  <c r="IS62" i="5"/>
  <c r="IT62" i="5"/>
  <c r="IU62" i="5"/>
  <c r="IV62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CU63" i="5"/>
  <c r="CV63" i="5"/>
  <c r="CW63" i="5"/>
  <c r="CX63" i="5"/>
  <c r="CY63" i="5"/>
  <c r="CZ63" i="5"/>
  <c r="DA63" i="5"/>
  <c r="DB63" i="5"/>
  <c r="DC63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EJ63" i="5"/>
  <c r="EK63" i="5"/>
  <c r="EL63" i="5"/>
  <c r="EM63" i="5"/>
  <c r="EN63" i="5"/>
  <c r="EO63" i="5"/>
  <c r="EP63" i="5"/>
  <c r="EQ63" i="5"/>
  <c r="ER63" i="5"/>
  <c r="ES63" i="5"/>
  <c r="ET63" i="5"/>
  <c r="EU63" i="5"/>
  <c r="EV63" i="5"/>
  <c r="EW63" i="5"/>
  <c r="EX63" i="5"/>
  <c r="EY63" i="5"/>
  <c r="EZ63" i="5"/>
  <c r="FA63" i="5"/>
  <c r="FB63" i="5"/>
  <c r="FC63" i="5"/>
  <c r="FD63" i="5"/>
  <c r="FE63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GD63" i="5"/>
  <c r="GE63" i="5"/>
  <c r="GF63" i="5"/>
  <c r="GG63" i="5"/>
  <c r="GH63" i="5"/>
  <c r="GI63" i="5"/>
  <c r="GJ63" i="5"/>
  <c r="GK63" i="5"/>
  <c r="GL63" i="5"/>
  <c r="GM63" i="5"/>
  <c r="GN63" i="5"/>
  <c r="GO63" i="5"/>
  <c r="GP63" i="5"/>
  <c r="GQ63" i="5"/>
  <c r="GR63" i="5"/>
  <c r="GS63" i="5"/>
  <c r="GT63" i="5"/>
  <c r="GU63" i="5"/>
  <c r="GV63" i="5"/>
  <c r="GW63" i="5"/>
  <c r="GX63" i="5"/>
  <c r="GY63" i="5"/>
  <c r="GZ63" i="5"/>
  <c r="HA63" i="5"/>
  <c r="HB63" i="5"/>
  <c r="HC63" i="5"/>
  <c r="HD63" i="5"/>
  <c r="HE63" i="5"/>
  <c r="HF63" i="5"/>
  <c r="HG63" i="5"/>
  <c r="HH63" i="5"/>
  <c r="HI63" i="5"/>
  <c r="HJ63" i="5"/>
  <c r="HK63" i="5"/>
  <c r="HL63" i="5"/>
  <c r="HM63" i="5"/>
  <c r="HN63" i="5"/>
  <c r="HO63" i="5"/>
  <c r="HP63" i="5"/>
  <c r="HQ63" i="5"/>
  <c r="HR63" i="5"/>
  <c r="HS63" i="5"/>
  <c r="HT63" i="5"/>
  <c r="HU63" i="5"/>
  <c r="HV63" i="5"/>
  <c r="HW63" i="5"/>
  <c r="HX63" i="5"/>
  <c r="HY63" i="5"/>
  <c r="HZ63" i="5"/>
  <c r="IA63" i="5"/>
  <c r="IB63" i="5"/>
  <c r="IC63" i="5"/>
  <c r="ID63" i="5"/>
  <c r="IE63" i="5"/>
  <c r="IF63" i="5"/>
  <c r="IG63" i="5"/>
  <c r="IH63" i="5"/>
  <c r="II63" i="5"/>
  <c r="IJ63" i="5"/>
  <c r="IK63" i="5"/>
  <c r="IL63" i="5"/>
  <c r="IM63" i="5"/>
  <c r="IN63" i="5"/>
  <c r="IO63" i="5"/>
  <c r="IP63" i="5"/>
  <c r="IQ63" i="5"/>
  <c r="IR63" i="5"/>
  <c r="IS63" i="5"/>
  <c r="IT63" i="5"/>
  <c r="IU63" i="5"/>
  <c r="IV63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CU64" i="5"/>
  <c r="CV64" i="5"/>
  <c r="CW64" i="5"/>
  <c r="CX64" i="5"/>
  <c r="CY64" i="5"/>
  <c r="CZ64" i="5"/>
  <c r="DA64" i="5"/>
  <c r="DB64" i="5"/>
  <c r="DC64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EJ64" i="5"/>
  <c r="EK64" i="5"/>
  <c r="EL64" i="5"/>
  <c r="EM64" i="5"/>
  <c r="EN64" i="5"/>
  <c r="EO64" i="5"/>
  <c r="EP64" i="5"/>
  <c r="EQ64" i="5"/>
  <c r="ER64" i="5"/>
  <c r="ES64" i="5"/>
  <c r="ET64" i="5"/>
  <c r="EU64" i="5"/>
  <c r="EV64" i="5"/>
  <c r="EW64" i="5"/>
  <c r="EX64" i="5"/>
  <c r="EY64" i="5"/>
  <c r="EZ64" i="5"/>
  <c r="FA64" i="5"/>
  <c r="FB64" i="5"/>
  <c r="FC64" i="5"/>
  <c r="FD64" i="5"/>
  <c r="FE64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GD64" i="5"/>
  <c r="GE64" i="5"/>
  <c r="GF64" i="5"/>
  <c r="GG64" i="5"/>
  <c r="GH64" i="5"/>
  <c r="GI64" i="5"/>
  <c r="GJ64" i="5"/>
  <c r="GK64" i="5"/>
  <c r="GL64" i="5"/>
  <c r="GM64" i="5"/>
  <c r="GN64" i="5"/>
  <c r="GO64" i="5"/>
  <c r="GP64" i="5"/>
  <c r="GQ64" i="5"/>
  <c r="GR64" i="5"/>
  <c r="GS64" i="5"/>
  <c r="GT64" i="5"/>
  <c r="GU64" i="5"/>
  <c r="GV64" i="5"/>
  <c r="GW64" i="5"/>
  <c r="GX64" i="5"/>
  <c r="GY64" i="5"/>
  <c r="GZ64" i="5"/>
  <c r="HA64" i="5"/>
  <c r="HB64" i="5"/>
  <c r="HC64" i="5"/>
  <c r="HD64" i="5"/>
  <c r="HE64" i="5"/>
  <c r="HF64" i="5"/>
  <c r="HG64" i="5"/>
  <c r="HH64" i="5"/>
  <c r="HI64" i="5"/>
  <c r="HJ64" i="5"/>
  <c r="HK64" i="5"/>
  <c r="HL64" i="5"/>
  <c r="HM64" i="5"/>
  <c r="HN64" i="5"/>
  <c r="HO64" i="5"/>
  <c r="HP64" i="5"/>
  <c r="HQ64" i="5"/>
  <c r="HR64" i="5"/>
  <c r="HS64" i="5"/>
  <c r="HT64" i="5"/>
  <c r="HU64" i="5"/>
  <c r="HV64" i="5"/>
  <c r="HW64" i="5"/>
  <c r="HX64" i="5"/>
  <c r="HY64" i="5"/>
  <c r="HZ64" i="5"/>
  <c r="IA64" i="5"/>
  <c r="IB64" i="5"/>
  <c r="IC64" i="5"/>
  <c r="ID64" i="5"/>
  <c r="IE64" i="5"/>
  <c r="IF64" i="5"/>
  <c r="IG64" i="5"/>
  <c r="IH64" i="5"/>
  <c r="II64" i="5"/>
  <c r="IJ64" i="5"/>
  <c r="IK64" i="5"/>
  <c r="IL64" i="5"/>
  <c r="IM64" i="5"/>
  <c r="IN64" i="5"/>
  <c r="IO64" i="5"/>
  <c r="IP64" i="5"/>
  <c r="IQ64" i="5"/>
  <c r="IR64" i="5"/>
  <c r="IS64" i="5"/>
  <c r="IT64" i="5"/>
  <c r="IU64" i="5"/>
  <c r="IV64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FD65" i="5"/>
  <c r="FE65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GD65" i="5"/>
  <c r="GE65" i="5"/>
  <c r="GF65" i="5"/>
  <c r="GG65" i="5"/>
  <c r="GH65" i="5"/>
  <c r="GI65" i="5"/>
  <c r="GJ65" i="5"/>
  <c r="GK65" i="5"/>
  <c r="GL65" i="5"/>
  <c r="GM65" i="5"/>
  <c r="GN65" i="5"/>
  <c r="GO65" i="5"/>
  <c r="GP65" i="5"/>
  <c r="GQ65" i="5"/>
  <c r="GR65" i="5"/>
  <c r="GS65" i="5"/>
  <c r="GT65" i="5"/>
  <c r="GU65" i="5"/>
  <c r="GV65" i="5"/>
  <c r="GW65" i="5"/>
  <c r="GX65" i="5"/>
  <c r="GY65" i="5"/>
  <c r="GZ65" i="5"/>
  <c r="HA65" i="5"/>
  <c r="HB65" i="5"/>
  <c r="HC65" i="5"/>
  <c r="HD65" i="5"/>
  <c r="HE65" i="5"/>
  <c r="HF65" i="5"/>
  <c r="HG65" i="5"/>
  <c r="HH65" i="5"/>
  <c r="HI65" i="5"/>
  <c r="HJ65" i="5"/>
  <c r="HK65" i="5"/>
  <c r="HL65" i="5"/>
  <c r="HM65" i="5"/>
  <c r="HN65" i="5"/>
  <c r="HO65" i="5"/>
  <c r="HP65" i="5"/>
  <c r="HQ65" i="5"/>
  <c r="HR65" i="5"/>
  <c r="HS65" i="5"/>
  <c r="HT65" i="5"/>
  <c r="HU65" i="5"/>
  <c r="HV65" i="5"/>
  <c r="HW65" i="5"/>
  <c r="HX65" i="5"/>
  <c r="HY65" i="5"/>
  <c r="HZ65" i="5"/>
  <c r="IA65" i="5"/>
  <c r="IB65" i="5"/>
  <c r="IC65" i="5"/>
  <c r="ID65" i="5"/>
  <c r="IE65" i="5"/>
  <c r="IF65" i="5"/>
  <c r="IG65" i="5"/>
  <c r="IH65" i="5"/>
  <c r="II65" i="5"/>
  <c r="IJ65" i="5"/>
  <c r="IK65" i="5"/>
  <c r="IL65" i="5"/>
  <c r="IM65" i="5"/>
  <c r="IN65" i="5"/>
  <c r="IO65" i="5"/>
  <c r="IP65" i="5"/>
  <c r="IQ65" i="5"/>
  <c r="IR65" i="5"/>
  <c r="IS65" i="5"/>
  <c r="IT65" i="5"/>
  <c r="IU65" i="5"/>
  <c r="IV65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CU66" i="5"/>
  <c r="CV66" i="5"/>
  <c r="CW66" i="5"/>
  <c r="CX66" i="5"/>
  <c r="CY66" i="5"/>
  <c r="CZ66" i="5"/>
  <c r="DA66" i="5"/>
  <c r="DB66" i="5"/>
  <c r="DC66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EJ66" i="5"/>
  <c r="EK66" i="5"/>
  <c r="EL66" i="5"/>
  <c r="EM66" i="5"/>
  <c r="EN66" i="5"/>
  <c r="EO66" i="5"/>
  <c r="EP66" i="5"/>
  <c r="EQ66" i="5"/>
  <c r="ER66" i="5"/>
  <c r="ES66" i="5"/>
  <c r="ET66" i="5"/>
  <c r="EU66" i="5"/>
  <c r="EV66" i="5"/>
  <c r="EW66" i="5"/>
  <c r="EX66" i="5"/>
  <c r="EY66" i="5"/>
  <c r="EZ66" i="5"/>
  <c r="FA66" i="5"/>
  <c r="FB66" i="5"/>
  <c r="FC66" i="5"/>
  <c r="FD66" i="5"/>
  <c r="FE66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GD66" i="5"/>
  <c r="GE66" i="5"/>
  <c r="GF66" i="5"/>
  <c r="GG66" i="5"/>
  <c r="GH66" i="5"/>
  <c r="GI66" i="5"/>
  <c r="GJ66" i="5"/>
  <c r="GK66" i="5"/>
  <c r="GL66" i="5"/>
  <c r="GM66" i="5"/>
  <c r="GN66" i="5"/>
  <c r="GO66" i="5"/>
  <c r="GP66" i="5"/>
  <c r="GQ66" i="5"/>
  <c r="GR66" i="5"/>
  <c r="GS66" i="5"/>
  <c r="GT66" i="5"/>
  <c r="GU66" i="5"/>
  <c r="GV66" i="5"/>
  <c r="GW66" i="5"/>
  <c r="GX66" i="5"/>
  <c r="GY66" i="5"/>
  <c r="GZ66" i="5"/>
  <c r="HA66" i="5"/>
  <c r="HB66" i="5"/>
  <c r="HC66" i="5"/>
  <c r="HD66" i="5"/>
  <c r="HE66" i="5"/>
  <c r="HF66" i="5"/>
  <c r="HG66" i="5"/>
  <c r="HH66" i="5"/>
  <c r="HI66" i="5"/>
  <c r="HJ66" i="5"/>
  <c r="HK66" i="5"/>
  <c r="HL66" i="5"/>
  <c r="HM66" i="5"/>
  <c r="HN66" i="5"/>
  <c r="HO66" i="5"/>
  <c r="HP66" i="5"/>
  <c r="HQ66" i="5"/>
  <c r="HR66" i="5"/>
  <c r="HS66" i="5"/>
  <c r="HT66" i="5"/>
  <c r="HU66" i="5"/>
  <c r="HV66" i="5"/>
  <c r="HW66" i="5"/>
  <c r="HX66" i="5"/>
  <c r="HY66" i="5"/>
  <c r="HZ66" i="5"/>
  <c r="IA66" i="5"/>
  <c r="IB66" i="5"/>
  <c r="IC66" i="5"/>
  <c r="ID66" i="5"/>
  <c r="IE66" i="5"/>
  <c r="IF66" i="5"/>
  <c r="IG66" i="5"/>
  <c r="IH66" i="5"/>
  <c r="II66" i="5"/>
  <c r="IJ66" i="5"/>
  <c r="IK66" i="5"/>
  <c r="IL66" i="5"/>
  <c r="IM66" i="5"/>
  <c r="IN66" i="5"/>
  <c r="IO66" i="5"/>
  <c r="IP66" i="5"/>
  <c r="IQ66" i="5"/>
  <c r="IR66" i="5"/>
  <c r="IS66" i="5"/>
  <c r="IT66" i="5"/>
  <c r="IU66" i="5"/>
  <c r="IV66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CU67" i="5"/>
  <c r="CV67" i="5"/>
  <c r="CW67" i="5"/>
  <c r="CX67" i="5"/>
  <c r="CY67" i="5"/>
  <c r="CZ67" i="5"/>
  <c r="DA67" i="5"/>
  <c r="DB67" i="5"/>
  <c r="DC67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EJ67" i="5"/>
  <c r="EK67" i="5"/>
  <c r="EL67" i="5"/>
  <c r="EM67" i="5"/>
  <c r="EN67" i="5"/>
  <c r="EO67" i="5"/>
  <c r="EP67" i="5"/>
  <c r="EQ67" i="5"/>
  <c r="ER67" i="5"/>
  <c r="ES67" i="5"/>
  <c r="ET67" i="5"/>
  <c r="EU67" i="5"/>
  <c r="EV67" i="5"/>
  <c r="EW67" i="5"/>
  <c r="EX67" i="5"/>
  <c r="EY67" i="5"/>
  <c r="EZ67" i="5"/>
  <c r="FA67" i="5"/>
  <c r="FB67" i="5"/>
  <c r="FC67" i="5"/>
  <c r="FD67" i="5"/>
  <c r="FE67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GD67" i="5"/>
  <c r="GE67" i="5"/>
  <c r="GF67" i="5"/>
  <c r="GG67" i="5"/>
  <c r="GH67" i="5"/>
  <c r="GI67" i="5"/>
  <c r="GJ67" i="5"/>
  <c r="GK67" i="5"/>
  <c r="GL67" i="5"/>
  <c r="GM67" i="5"/>
  <c r="GN67" i="5"/>
  <c r="GO67" i="5"/>
  <c r="GP67" i="5"/>
  <c r="GQ67" i="5"/>
  <c r="GR67" i="5"/>
  <c r="GS67" i="5"/>
  <c r="GT67" i="5"/>
  <c r="GU67" i="5"/>
  <c r="GV67" i="5"/>
  <c r="GW67" i="5"/>
  <c r="GX67" i="5"/>
  <c r="GY67" i="5"/>
  <c r="GZ67" i="5"/>
  <c r="HA67" i="5"/>
  <c r="HB67" i="5"/>
  <c r="HC67" i="5"/>
  <c r="HD67" i="5"/>
  <c r="HE67" i="5"/>
  <c r="HF67" i="5"/>
  <c r="HG67" i="5"/>
  <c r="HH67" i="5"/>
  <c r="HI67" i="5"/>
  <c r="HJ67" i="5"/>
  <c r="HK67" i="5"/>
  <c r="HL67" i="5"/>
  <c r="HM67" i="5"/>
  <c r="HN67" i="5"/>
  <c r="HO67" i="5"/>
  <c r="HP67" i="5"/>
  <c r="HQ67" i="5"/>
  <c r="HR67" i="5"/>
  <c r="HS67" i="5"/>
  <c r="HT67" i="5"/>
  <c r="HU67" i="5"/>
  <c r="HV67" i="5"/>
  <c r="HW67" i="5"/>
  <c r="HX67" i="5"/>
  <c r="HY67" i="5"/>
  <c r="HZ67" i="5"/>
  <c r="IA67" i="5"/>
  <c r="IB67" i="5"/>
  <c r="IC67" i="5"/>
  <c r="ID67" i="5"/>
  <c r="IE67" i="5"/>
  <c r="IF67" i="5"/>
  <c r="IG67" i="5"/>
  <c r="IH67" i="5"/>
  <c r="II67" i="5"/>
  <c r="IJ67" i="5"/>
  <c r="IK67" i="5"/>
  <c r="IL67" i="5"/>
  <c r="IM67" i="5"/>
  <c r="IN67" i="5"/>
  <c r="IO67" i="5"/>
  <c r="IP67" i="5"/>
  <c r="IQ67" i="5"/>
  <c r="IR67" i="5"/>
  <c r="IS67" i="5"/>
  <c r="IT67" i="5"/>
  <c r="IU67" i="5"/>
  <c r="IV67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CU68" i="5"/>
  <c r="CV68" i="5"/>
  <c r="CW68" i="5"/>
  <c r="CX68" i="5"/>
  <c r="CY68" i="5"/>
  <c r="CZ68" i="5"/>
  <c r="DA68" i="5"/>
  <c r="DB68" i="5"/>
  <c r="DC68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EJ68" i="5"/>
  <c r="EK68" i="5"/>
  <c r="EL68" i="5"/>
  <c r="EM68" i="5"/>
  <c r="EN68" i="5"/>
  <c r="EO68" i="5"/>
  <c r="EP68" i="5"/>
  <c r="EQ68" i="5"/>
  <c r="ER68" i="5"/>
  <c r="ES68" i="5"/>
  <c r="ET68" i="5"/>
  <c r="EU68" i="5"/>
  <c r="EV68" i="5"/>
  <c r="EW68" i="5"/>
  <c r="EX68" i="5"/>
  <c r="EY68" i="5"/>
  <c r="EZ68" i="5"/>
  <c r="FA68" i="5"/>
  <c r="FB68" i="5"/>
  <c r="FC68" i="5"/>
  <c r="FD68" i="5"/>
  <c r="FE68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GD68" i="5"/>
  <c r="GE68" i="5"/>
  <c r="GF68" i="5"/>
  <c r="GG68" i="5"/>
  <c r="GH68" i="5"/>
  <c r="GI68" i="5"/>
  <c r="GJ68" i="5"/>
  <c r="GK68" i="5"/>
  <c r="GL68" i="5"/>
  <c r="GM68" i="5"/>
  <c r="GN68" i="5"/>
  <c r="GO68" i="5"/>
  <c r="GP68" i="5"/>
  <c r="GQ68" i="5"/>
  <c r="GR68" i="5"/>
  <c r="GS68" i="5"/>
  <c r="GT68" i="5"/>
  <c r="GU68" i="5"/>
  <c r="GV68" i="5"/>
  <c r="GW68" i="5"/>
  <c r="GX68" i="5"/>
  <c r="GY68" i="5"/>
  <c r="GZ68" i="5"/>
  <c r="HA68" i="5"/>
  <c r="HB68" i="5"/>
  <c r="HC68" i="5"/>
  <c r="HD68" i="5"/>
  <c r="HE68" i="5"/>
  <c r="HF68" i="5"/>
  <c r="HG68" i="5"/>
  <c r="HH68" i="5"/>
  <c r="HI68" i="5"/>
  <c r="HJ68" i="5"/>
  <c r="HK68" i="5"/>
  <c r="HL68" i="5"/>
  <c r="HM68" i="5"/>
  <c r="HN68" i="5"/>
  <c r="HO68" i="5"/>
  <c r="HP68" i="5"/>
  <c r="HQ68" i="5"/>
  <c r="HR68" i="5"/>
  <c r="HS68" i="5"/>
  <c r="HT68" i="5"/>
  <c r="HU68" i="5"/>
  <c r="HV68" i="5"/>
  <c r="HW68" i="5"/>
  <c r="HX68" i="5"/>
  <c r="HY68" i="5"/>
  <c r="HZ68" i="5"/>
  <c r="IA68" i="5"/>
  <c r="IB68" i="5"/>
  <c r="IC68" i="5"/>
  <c r="ID68" i="5"/>
  <c r="IE68" i="5"/>
  <c r="IF68" i="5"/>
  <c r="IG68" i="5"/>
  <c r="IH68" i="5"/>
  <c r="II68" i="5"/>
  <c r="IJ68" i="5"/>
  <c r="IK68" i="5"/>
  <c r="IL68" i="5"/>
  <c r="IM68" i="5"/>
  <c r="IN68" i="5"/>
  <c r="IO68" i="5"/>
  <c r="IP68" i="5"/>
  <c r="IQ68" i="5"/>
  <c r="IR68" i="5"/>
  <c r="IS68" i="5"/>
  <c r="IT68" i="5"/>
  <c r="IU68" i="5"/>
  <c r="IV68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CU69" i="5"/>
  <c r="CV69" i="5"/>
  <c r="CW69" i="5"/>
  <c r="CX69" i="5"/>
  <c r="CY69" i="5"/>
  <c r="CZ69" i="5"/>
  <c r="DA69" i="5"/>
  <c r="DB69" i="5"/>
  <c r="DC69" i="5"/>
  <c r="DD69" i="5"/>
  <c r="DE69" i="5"/>
  <c r="DF69" i="5"/>
  <c r="DG69" i="5"/>
  <c r="DH69" i="5"/>
  <c r="DI69" i="5"/>
  <c r="DJ69" i="5"/>
  <c r="DK69" i="5"/>
  <c r="DL69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EJ69" i="5"/>
  <c r="EK69" i="5"/>
  <c r="EL69" i="5"/>
  <c r="EM69" i="5"/>
  <c r="EN69" i="5"/>
  <c r="EO69" i="5"/>
  <c r="EP69" i="5"/>
  <c r="EQ69" i="5"/>
  <c r="ER69" i="5"/>
  <c r="ES69" i="5"/>
  <c r="ET69" i="5"/>
  <c r="EU69" i="5"/>
  <c r="EV69" i="5"/>
  <c r="EW69" i="5"/>
  <c r="EX69" i="5"/>
  <c r="EY69" i="5"/>
  <c r="EZ69" i="5"/>
  <c r="FA69" i="5"/>
  <c r="FB69" i="5"/>
  <c r="FC69" i="5"/>
  <c r="FD69" i="5"/>
  <c r="FE69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GD69" i="5"/>
  <c r="GE69" i="5"/>
  <c r="GF69" i="5"/>
  <c r="GG69" i="5"/>
  <c r="GH69" i="5"/>
  <c r="GI69" i="5"/>
  <c r="GJ69" i="5"/>
  <c r="GK69" i="5"/>
  <c r="GL69" i="5"/>
  <c r="GM69" i="5"/>
  <c r="GN69" i="5"/>
  <c r="GO69" i="5"/>
  <c r="GP69" i="5"/>
  <c r="GQ69" i="5"/>
  <c r="GR69" i="5"/>
  <c r="GS69" i="5"/>
  <c r="GT69" i="5"/>
  <c r="GU69" i="5"/>
  <c r="GV69" i="5"/>
  <c r="GW69" i="5"/>
  <c r="GX69" i="5"/>
  <c r="GY69" i="5"/>
  <c r="GZ69" i="5"/>
  <c r="HA69" i="5"/>
  <c r="HB69" i="5"/>
  <c r="HC69" i="5"/>
  <c r="HD69" i="5"/>
  <c r="HE69" i="5"/>
  <c r="HF69" i="5"/>
  <c r="HG69" i="5"/>
  <c r="HH69" i="5"/>
  <c r="HI69" i="5"/>
  <c r="HJ69" i="5"/>
  <c r="HK69" i="5"/>
  <c r="HL69" i="5"/>
  <c r="HM69" i="5"/>
  <c r="HN69" i="5"/>
  <c r="HO69" i="5"/>
  <c r="HP69" i="5"/>
  <c r="HQ69" i="5"/>
  <c r="HR69" i="5"/>
  <c r="HS69" i="5"/>
  <c r="HT69" i="5"/>
  <c r="HU69" i="5"/>
  <c r="HV69" i="5"/>
  <c r="HW69" i="5"/>
  <c r="HX69" i="5"/>
  <c r="HY69" i="5"/>
  <c r="HZ69" i="5"/>
  <c r="IA69" i="5"/>
  <c r="IB69" i="5"/>
  <c r="IC69" i="5"/>
  <c r="ID69" i="5"/>
  <c r="IE69" i="5"/>
  <c r="IF69" i="5"/>
  <c r="IG69" i="5"/>
  <c r="IH69" i="5"/>
  <c r="II69" i="5"/>
  <c r="IJ69" i="5"/>
  <c r="IK69" i="5"/>
  <c r="IL69" i="5"/>
  <c r="IM69" i="5"/>
  <c r="IN69" i="5"/>
  <c r="IO69" i="5"/>
  <c r="IP69" i="5"/>
  <c r="IQ69" i="5"/>
  <c r="IR69" i="5"/>
  <c r="IS69" i="5"/>
  <c r="IT69" i="5"/>
  <c r="IU69" i="5"/>
  <c r="IV69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CU70" i="5"/>
  <c r="CV70" i="5"/>
  <c r="CW70" i="5"/>
  <c r="CX70" i="5"/>
  <c r="CY70" i="5"/>
  <c r="CZ70" i="5"/>
  <c r="DA70" i="5"/>
  <c r="DB70" i="5"/>
  <c r="DC70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EJ70" i="5"/>
  <c r="EK70" i="5"/>
  <c r="EL70" i="5"/>
  <c r="EM70" i="5"/>
  <c r="EN70" i="5"/>
  <c r="EO70" i="5"/>
  <c r="EP70" i="5"/>
  <c r="EQ70" i="5"/>
  <c r="ER70" i="5"/>
  <c r="ES70" i="5"/>
  <c r="ET70" i="5"/>
  <c r="EU70" i="5"/>
  <c r="EV70" i="5"/>
  <c r="EW70" i="5"/>
  <c r="EX70" i="5"/>
  <c r="EY70" i="5"/>
  <c r="EZ70" i="5"/>
  <c r="FA70" i="5"/>
  <c r="FB70" i="5"/>
  <c r="FC70" i="5"/>
  <c r="FD70" i="5"/>
  <c r="FE70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GD70" i="5"/>
  <c r="GE70" i="5"/>
  <c r="GF70" i="5"/>
  <c r="GG70" i="5"/>
  <c r="GH70" i="5"/>
  <c r="GI70" i="5"/>
  <c r="GJ70" i="5"/>
  <c r="GK70" i="5"/>
  <c r="GL70" i="5"/>
  <c r="GM70" i="5"/>
  <c r="GN70" i="5"/>
  <c r="GO70" i="5"/>
  <c r="GP70" i="5"/>
  <c r="GQ70" i="5"/>
  <c r="GR70" i="5"/>
  <c r="GS70" i="5"/>
  <c r="GT70" i="5"/>
  <c r="GU70" i="5"/>
  <c r="GV70" i="5"/>
  <c r="GW70" i="5"/>
  <c r="GX70" i="5"/>
  <c r="GY70" i="5"/>
  <c r="GZ70" i="5"/>
  <c r="HA70" i="5"/>
  <c r="HB70" i="5"/>
  <c r="HC70" i="5"/>
  <c r="HD70" i="5"/>
  <c r="HE70" i="5"/>
  <c r="HF70" i="5"/>
  <c r="HG70" i="5"/>
  <c r="HH70" i="5"/>
  <c r="HI70" i="5"/>
  <c r="HJ70" i="5"/>
  <c r="HK70" i="5"/>
  <c r="HL70" i="5"/>
  <c r="HM70" i="5"/>
  <c r="HN70" i="5"/>
  <c r="HO70" i="5"/>
  <c r="HP70" i="5"/>
  <c r="HQ70" i="5"/>
  <c r="HR70" i="5"/>
  <c r="HS70" i="5"/>
  <c r="HT70" i="5"/>
  <c r="HU70" i="5"/>
  <c r="HV70" i="5"/>
  <c r="HW70" i="5"/>
  <c r="HX70" i="5"/>
  <c r="HY70" i="5"/>
  <c r="HZ70" i="5"/>
  <c r="IA70" i="5"/>
  <c r="IB70" i="5"/>
  <c r="IC70" i="5"/>
  <c r="ID70" i="5"/>
  <c r="IE70" i="5"/>
  <c r="IF70" i="5"/>
  <c r="IG70" i="5"/>
  <c r="IH70" i="5"/>
  <c r="II70" i="5"/>
  <c r="IJ70" i="5"/>
  <c r="IK70" i="5"/>
  <c r="IL70" i="5"/>
  <c r="IM70" i="5"/>
  <c r="IN70" i="5"/>
  <c r="IO70" i="5"/>
  <c r="IP70" i="5"/>
  <c r="IQ70" i="5"/>
  <c r="IR70" i="5"/>
  <c r="IS70" i="5"/>
  <c r="IT70" i="5"/>
  <c r="IU70" i="5"/>
  <c r="IV70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CU71" i="5"/>
  <c r="CV71" i="5"/>
  <c r="CW71" i="5"/>
  <c r="CX71" i="5"/>
  <c r="CY71" i="5"/>
  <c r="CZ71" i="5"/>
  <c r="DA71" i="5"/>
  <c r="DB71" i="5"/>
  <c r="DC71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EJ71" i="5"/>
  <c r="EK71" i="5"/>
  <c r="EL71" i="5"/>
  <c r="EM71" i="5"/>
  <c r="EN71" i="5"/>
  <c r="EO71" i="5"/>
  <c r="EP71" i="5"/>
  <c r="EQ71" i="5"/>
  <c r="ER71" i="5"/>
  <c r="ES71" i="5"/>
  <c r="ET71" i="5"/>
  <c r="EU71" i="5"/>
  <c r="EV71" i="5"/>
  <c r="EW71" i="5"/>
  <c r="EX71" i="5"/>
  <c r="EY71" i="5"/>
  <c r="EZ71" i="5"/>
  <c r="FA71" i="5"/>
  <c r="FB71" i="5"/>
  <c r="FC71" i="5"/>
  <c r="FD71" i="5"/>
  <c r="FE71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GD71" i="5"/>
  <c r="GE71" i="5"/>
  <c r="GF71" i="5"/>
  <c r="GG71" i="5"/>
  <c r="GH71" i="5"/>
  <c r="GI71" i="5"/>
  <c r="GJ71" i="5"/>
  <c r="GK71" i="5"/>
  <c r="GL71" i="5"/>
  <c r="GM71" i="5"/>
  <c r="GN71" i="5"/>
  <c r="GO71" i="5"/>
  <c r="GP71" i="5"/>
  <c r="GQ71" i="5"/>
  <c r="GR71" i="5"/>
  <c r="GS71" i="5"/>
  <c r="GT71" i="5"/>
  <c r="GU71" i="5"/>
  <c r="GV71" i="5"/>
  <c r="GW71" i="5"/>
  <c r="GX71" i="5"/>
  <c r="GY71" i="5"/>
  <c r="GZ71" i="5"/>
  <c r="HA71" i="5"/>
  <c r="HB71" i="5"/>
  <c r="HC71" i="5"/>
  <c r="HD71" i="5"/>
  <c r="HE71" i="5"/>
  <c r="HF71" i="5"/>
  <c r="HG71" i="5"/>
  <c r="HH71" i="5"/>
  <c r="HI71" i="5"/>
  <c r="HJ71" i="5"/>
  <c r="HK71" i="5"/>
  <c r="HL71" i="5"/>
  <c r="HM71" i="5"/>
  <c r="HN71" i="5"/>
  <c r="HO71" i="5"/>
  <c r="HP71" i="5"/>
  <c r="HQ71" i="5"/>
  <c r="HR71" i="5"/>
  <c r="HS71" i="5"/>
  <c r="HT71" i="5"/>
  <c r="HU71" i="5"/>
  <c r="HV71" i="5"/>
  <c r="HW71" i="5"/>
  <c r="HX71" i="5"/>
  <c r="HY71" i="5"/>
  <c r="HZ71" i="5"/>
  <c r="IA71" i="5"/>
  <c r="IB71" i="5"/>
  <c r="IC71" i="5"/>
  <c r="ID71" i="5"/>
  <c r="IE71" i="5"/>
  <c r="IF71" i="5"/>
  <c r="IG71" i="5"/>
  <c r="IH71" i="5"/>
  <c r="II71" i="5"/>
  <c r="IJ71" i="5"/>
  <c r="IK71" i="5"/>
  <c r="IL71" i="5"/>
  <c r="IM71" i="5"/>
  <c r="IN71" i="5"/>
  <c r="IO71" i="5"/>
  <c r="IP71" i="5"/>
  <c r="IQ71" i="5"/>
  <c r="IR71" i="5"/>
  <c r="IS71" i="5"/>
  <c r="IT71" i="5"/>
  <c r="IU71" i="5"/>
  <c r="IV71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CU72" i="5"/>
  <c r="CV72" i="5"/>
  <c r="CW72" i="5"/>
  <c r="CX72" i="5"/>
  <c r="CY72" i="5"/>
  <c r="CZ72" i="5"/>
  <c r="DA72" i="5"/>
  <c r="DB72" i="5"/>
  <c r="DC72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EJ72" i="5"/>
  <c r="EK72" i="5"/>
  <c r="EL72" i="5"/>
  <c r="EM72" i="5"/>
  <c r="EN72" i="5"/>
  <c r="EO72" i="5"/>
  <c r="EP72" i="5"/>
  <c r="EQ72" i="5"/>
  <c r="ER72" i="5"/>
  <c r="ES72" i="5"/>
  <c r="ET72" i="5"/>
  <c r="EU72" i="5"/>
  <c r="EV72" i="5"/>
  <c r="EW72" i="5"/>
  <c r="EX72" i="5"/>
  <c r="EY72" i="5"/>
  <c r="EZ72" i="5"/>
  <c r="FA72" i="5"/>
  <c r="FB72" i="5"/>
  <c r="FC72" i="5"/>
  <c r="FD72" i="5"/>
  <c r="FE72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GD72" i="5"/>
  <c r="GE72" i="5"/>
  <c r="GF72" i="5"/>
  <c r="GG72" i="5"/>
  <c r="GH72" i="5"/>
  <c r="GI72" i="5"/>
  <c r="GJ72" i="5"/>
  <c r="GK72" i="5"/>
  <c r="GL72" i="5"/>
  <c r="GM72" i="5"/>
  <c r="GN72" i="5"/>
  <c r="GO72" i="5"/>
  <c r="GP72" i="5"/>
  <c r="GQ72" i="5"/>
  <c r="GR72" i="5"/>
  <c r="GS72" i="5"/>
  <c r="GT72" i="5"/>
  <c r="GU72" i="5"/>
  <c r="GV72" i="5"/>
  <c r="GW72" i="5"/>
  <c r="GX72" i="5"/>
  <c r="GY72" i="5"/>
  <c r="GZ72" i="5"/>
  <c r="HA72" i="5"/>
  <c r="HB72" i="5"/>
  <c r="HC72" i="5"/>
  <c r="HD72" i="5"/>
  <c r="HE72" i="5"/>
  <c r="HF72" i="5"/>
  <c r="HG72" i="5"/>
  <c r="HH72" i="5"/>
  <c r="HI72" i="5"/>
  <c r="HJ72" i="5"/>
  <c r="HK72" i="5"/>
  <c r="HL72" i="5"/>
  <c r="HM72" i="5"/>
  <c r="HN72" i="5"/>
  <c r="HO72" i="5"/>
  <c r="HP72" i="5"/>
  <c r="HQ72" i="5"/>
  <c r="HR72" i="5"/>
  <c r="HS72" i="5"/>
  <c r="HT72" i="5"/>
  <c r="HU72" i="5"/>
  <c r="HV72" i="5"/>
  <c r="HW72" i="5"/>
  <c r="HX72" i="5"/>
  <c r="HY72" i="5"/>
  <c r="HZ72" i="5"/>
  <c r="IA72" i="5"/>
  <c r="IB72" i="5"/>
  <c r="IC72" i="5"/>
  <c r="ID72" i="5"/>
  <c r="IE72" i="5"/>
  <c r="IF72" i="5"/>
  <c r="IG72" i="5"/>
  <c r="IH72" i="5"/>
  <c r="II72" i="5"/>
  <c r="IJ72" i="5"/>
  <c r="IK72" i="5"/>
  <c r="IL72" i="5"/>
  <c r="IM72" i="5"/>
  <c r="IN72" i="5"/>
  <c r="IO72" i="5"/>
  <c r="IP72" i="5"/>
  <c r="IQ72" i="5"/>
  <c r="IR72" i="5"/>
  <c r="IS72" i="5"/>
  <c r="IT72" i="5"/>
  <c r="IU72" i="5"/>
  <c r="IV72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CU73" i="5"/>
  <c r="CV73" i="5"/>
  <c r="CW73" i="5"/>
  <c r="CX73" i="5"/>
  <c r="CY73" i="5"/>
  <c r="CZ73" i="5"/>
  <c r="DA73" i="5"/>
  <c r="DB73" i="5"/>
  <c r="DC73" i="5"/>
  <c r="DD73" i="5"/>
  <c r="DE73" i="5"/>
  <c r="DF73" i="5"/>
  <c r="DG73" i="5"/>
  <c r="DH73" i="5"/>
  <c r="DI73" i="5"/>
  <c r="DJ73" i="5"/>
  <c r="DK73" i="5"/>
  <c r="DL73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EJ73" i="5"/>
  <c r="EK73" i="5"/>
  <c r="EL73" i="5"/>
  <c r="EM73" i="5"/>
  <c r="EN73" i="5"/>
  <c r="EO73" i="5"/>
  <c r="EP73" i="5"/>
  <c r="EQ73" i="5"/>
  <c r="ER73" i="5"/>
  <c r="ES73" i="5"/>
  <c r="ET73" i="5"/>
  <c r="EU73" i="5"/>
  <c r="EV73" i="5"/>
  <c r="EW73" i="5"/>
  <c r="EX73" i="5"/>
  <c r="EY73" i="5"/>
  <c r="EZ73" i="5"/>
  <c r="FA73" i="5"/>
  <c r="FB73" i="5"/>
  <c r="FC73" i="5"/>
  <c r="FD73" i="5"/>
  <c r="FE73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GD73" i="5"/>
  <c r="GE73" i="5"/>
  <c r="GF73" i="5"/>
  <c r="GG73" i="5"/>
  <c r="GH73" i="5"/>
  <c r="GI73" i="5"/>
  <c r="GJ73" i="5"/>
  <c r="GK73" i="5"/>
  <c r="GL73" i="5"/>
  <c r="GM73" i="5"/>
  <c r="GN73" i="5"/>
  <c r="GO73" i="5"/>
  <c r="GP73" i="5"/>
  <c r="GQ73" i="5"/>
  <c r="GR73" i="5"/>
  <c r="GS73" i="5"/>
  <c r="GT73" i="5"/>
  <c r="GU73" i="5"/>
  <c r="GV73" i="5"/>
  <c r="GW73" i="5"/>
  <c r="GX73" i="5"/>
  <c r="GY73" i="5"/>
  <c r="GZ73" i="5"/>
  <c r="HA73" i="5"/>
  <c r="HB73" i="5"/>
  <c r="HC73" i="5"/>
  <c r="HD73" i="5"/>
  <c r="HE73" i="5"/>
  <c r="HF73" i="5"/>
  <c r="HG73" i="5"/>
  <c r="HH73" i="5"/>
  <c r="HI73" i="5"/>
  <c r="HJ73" i="5"/>
  <c r="HK73" i="5"/>
  <c r="HL73" i="5"/>
  <c r="HM73" i="5"/>
  <c r="HN73" i="5"/>
  <c r="HO73" i="5"/>
  <c r="HP73" i="5"/>
  <c r="HQ73" i="5"/>
  <c r="HR73" i="5"/>
  <c r="HS73" i="5"/>
  <c r="HT73" i="5"/>
  <c r="HU73" i="5"/>
  <c r="HV73" i="5"/>
  <c r="HW73" i="5"/>
  <c r="HX73" i="5"/>
  <c r="HY73" i="5"/>
  <c r="HZ73" i="5"/>
  <c r="IA73" i="5"/>
  <c r="IB73" i="5"/>
  <c r="IC73" i="5"/>
  <c r="ID73" i="5"/>
  <c r="IE73" i="5"/>
  <c r="IF73" i="5"/>
  <c r="IG73" i="5"/>
  <c r="IH73" i="5"/>
  <c r="II73" i="5"/>
  <c r="IJ73" i="5"/>
  <c r="IK73" i="5"/>
  <c r="IL73" i="5"/>
  <c r="IM73" i="5"/>
  <c r="IN73" i="5"/>
  <c r="IO73" i="5"/>
  <c r="IP73" i="5"/>
  <c r="IQ73" i="5"/>
  <c r="IR73" i="5"/>
  <c r="IS73" i="5"/>
  <c r="IT73" i="5"/>
  <c r="IU73" i="5"/>
  <c r="IV73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CU74" i="5"/>
  <c r="CV74" i="5"/>
  <c r="CW74" i="5"/>
  <c r="CX74" i="5"/>
  <c r="CY74" i="5"/>
  <c r="CZ74" i="5"/>
  <c r="DA74" i="5"/>
  <c r="DB74" i="5"/>
  <c r="DC74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EJ74" i="5"/>
  <c r="EK74" i="5"/>
  <c r="EL74" i="5"/>
  <c r="EM74" i="5"/>
  <c r="EN74" i="5"/>
  <c r="EO74" i="5"/>
  <c r="EP74" i="5"/>
  <c r="EQ74" i="5"/>
  <c r="ER74" i="5"/>
  <c r="ES74" i="5"/>
  <c r="ET74" i="5"/>
  <c r="EU74" i="5"/>
  <c r="EV74" i="5"/>
  <c r="EW74" i="5"/>
  <c r="EX74" i="5"/>
  <c r="EY74" i="5"/>
  <c r="EZ74" i="5"/>
  <c r="FA74" i="5"/>
  <c r="FB74" i="5"/>
  <c r="FC74" i="5"/>
  <c r="FD74" i="5"/>
  <c r="FE74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GD74" i="5"/>
  <c r="GE74" i="5"/>
  <c r="GF74" i="5"/>
  <c r="GG74" i="5"/>
  <c r="GH74" i="5"/>
  <c r="GI74" i="5"/>
  <c r="GJ74" i="5"/>
  <c r="GK74" i="5"/>
  <c r="GL74" i="5"/>
  <c r="GM74" i="5"/>
  <c r="GN74" i="5"/>
  <c r="GO74" i="5"/>
  <c r="GP74" i="5"/>
  <c r="GQ74" i="5"/>
  <c r="GR74" i="5"/>
  <c r="GS74" i="5"/>
  <c r="GT74" i="5"/>
  <c r="GU74" i="5"/>
  <c r="GV74" i="5"/>
  <c r="GW74" i="5"/>
  <c r="GX74" i="5"/>
  <c r="GY74" i="5"/>
  <c r="GZ74" i="5"/>
  <c r="HA74" i="5"/>
  <c r="HB74" i="5"/>
  <c r="HC74" i="5"/>
  <c r="HD74" i="5"/>
  <c r="HE74" i="5"/>
  <c r="HF74" i="5"/>
  <c r="HG74" i="5"/>
  <c r="HH74" i="5"/>
  <c r="HI74" i="5"/>
  <c r="HJ74" i="5"/>
  <c r="HK74" i="5"/>
  <c r="HL74" i="5"/>
  <c r="HM74" i="5"/>
  <c r="HN74" i="5"/>
  <c r="HO74" i="5"/>
  <c r="HP74" i="5"/>
  <c r="HQ74" i="5"/>
  <c r="HR74" i="5"/>
  <c r="HS74" i="5"/>
  <c r="HT74" i="5"/>
  <c r="HU74" i="5"/>
  <c r="HV74" i="5"/>
  <c r="HW74" i="5"/>
  <c r="HX74" i="5"/>
  <c r="HY74" i="5"/>
  <c r="HZ74" i="5"/>
  <c r="IA74" i="5"/>
  <c r="IB74" i="5"/>
  <c r="IC74" i="5"/>
  <c r="ID74" i="5"/>
  <c r="IE74" i="5"/>
  <c r="IF74" i="5"/>
  <c r="IG74" i="5"/>
  <c r="IH74" i="5"/>
  <c r="II74" i="5"/>
  <c r="IJ74" i="5"/>
  <c r="IK74" i="5"/>
  <c r="IL74" i="5"/>
  <c r="IM74" i="5"/>
  <c r="IN74" i="5"/>
  <c r="IO74" i="5"/>
  <c r="IP74" i="5"/>
  <c r="IQ74" i="5"/>
  <c r="IR74" i="5"/>
  <c r="IS74" i="5"/>
  <c r="IT74" i="5"/>
  <c r="IU74" i="5"/>
  <c r="IV74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CU75" i="5"/>
  <c r="CV75" i="5"/>
  <c r="CW75" i="5"/>
  <c r="CX75" i="5"/>
  <c r="CY75" i="5"/>
  <c r="CZ75" i="5"/>
  <c r="DA75" i="5"/>
  <c r="DB75" i="5"/>
  <c r="DC75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EJ75" i="5"/>
  <c r="EK75" i="5"/>
  <c r="EL75" i="5"/>
  <c r="EM75" i="5"/>
  <c r="EN75" i="5"/>
  <c r="EO75" i="5"/>
  <c r="EP75" i="5"/>
  <c r="EQ75" i="5"/>
  <c r="ER75" i="5"/>
  <c r="ES75" i="5"/>
  <c r="ET75" i="5"/>
  <c r="EU75" i="5"/>
  <c r="EV75" i="5"/>
  <c r="EW75" i="5"/>
  <c r="EX75" i="5"/>
  <c r="EY75" i="5"/>
  <c r="EZ75" i="5"/>
  <c r="FA75" i="5"/>
  <c r="FB75" i="5"/>
  <c r="FC75" i="5"/>
  <c r="FD75" i="5"/>
  <c r="FE75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GD75" i="5"/>
  <c r="GE75" i="5"/>
  <c r="GF75" i="5"/>
  <c r="GG75" i="5"/>
  <c r="GH75" i="5"/>
  <c r="GI75" i="5"/>
  <c r="GJ75" i="5"/>
  <c r="GK75" i="5"/>
  <c r="GL75" i="5"/>
  <c r="GM75" i="5"/>
  <c r="GN75" i="5"/>
  <c r="GO75" i="5"/>
  <c r="GP75" i="5"/>
  <c r="GQ75" i="5"/>
  <c r="GR75" i="5"/>
  <c r="GS75" i="5"/>
  <c r="GT75" i="5"/>
  <c r="GU75" i="5"/>
  <c r="GV75" i="5"/>
  <c r="GW75" i="5"/>
  <c r="GX75" i="5"/>
  <c r="GY75" i="5"/>
  <c r="GZ75" i="5"/>
  <c r="HA75" i="5"/>
  <c r="HB75" i="5"/>
  <c r="HC75" i="5"/>
  <c r="HD75" i="5"/>
  <c r="HE75" i="5"/>
  <c r="HF75" i="5"/>
  <c r="HG75" i="5"/>
  <c r="HH75" i="5"/>
  <c r="HI75" i="5"/>
  <c r="HJ75" i="5"/>
  <c r="HK75" i="5"/>
  <c r="HL75" i="5"/>
  <c r="HM75" i="5"/>
  <c r="HN75" i="5"/>
  <c r="HO75" i="5"/>
  <c r="HP75" i="5"/>
  <c r="HQ75" i="5"/>
  <c r="HR75" i="5"/>
  <c r="HS75" i="5"/>
  <c r="HT75" i="5"/>
  <c r="HU75" i="5"/>
  <c r="HV75" i="5"/>
  <c r="HW75" i="5"/>
  <c r="HX75" i="5"/>
  <c r="HY75" i="5"/>
  <c r="HZ75" i="5"/>
  <c r="IA75" i="5"/>
  <c r="IB75" i="5"/>
  <c r="IC75" i="5"/>
  <c r="ID75" i="5"/>
  <c r="IE75" i="5"/>
  <c r="IF75" i="5"/>
  <c r="IG75" i="5"/>
  <c r="IH75" i="5"/>
  <c r="II75" i="5"/>
  <c r="IJ75" i="5"/>
  <c r="IK75" i="5"/>
  <c r="IL75" i="5"/>
  <c r="IM75" i="5"/>
  <c r="IN75" i="5"/>
  <c r="IO75" i="5"/>
  <c r="IP75" i="5"/>
  <c r="IQ75" i="5"/>
  <c r="IR75" i="5"/>
  <c r="IS75" i="5"/>
  <c r="IT75" i="5"/>
  <c r="IU75" i="5"/>
  <c r="IV75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CU76" i="5"/>
  <c r="CV76" i="5"/>
  <c r="CW76" i="5"/>
  <c r="CX76" i="5"/>
  <c r="CY76" i="5"/>
  <c r="CZ76" i="5"/>
  <c r="DA76" i="5"/>
  <c r="DB76" i="5"/>
  <c r="DC76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EJ76" i="5"/>
  <c r="EK76" i="5"/>
  <c r="EL76" i="5"/>
  <c r="EM76" i="5"/>
  <c r="EN76" i="5"/>
  <c r="EO76" i="5"/>
  <c r="EP76" i="5"/>
  <c r="EQ76" i="5"/>
  <c r="ER76" i="5"/>
  <c r="ES76" i="5"/>
  <c r="ET76" i="5"/>
  <c r="EU76" i="5"/>
  <c r="EV76" i="5"/>
  <c r="EW76" i="5"/>
  <c r="EX76" i="5"/>
  <c r="EY76" i="5"/>
  <c r="EZ76" i="5"/>
  <c r="FA76" i="5"/>
  <c r="FB76" i="5"/>
  <c r="FC76" i="5"/>
  <c r="FD76" i="5"/>
  <c r="FE76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GD76" i="5"/>
  <c r="GE76" i="5"/>
  <c r="GF76" i="5"/>
  <c r="GG76" i="5"/>
  <c r="GH76" i="5"/>
  <c r="GI76" i="5"/>
  <c r="GJ76" i="5"/>
  <c r="GK76" i="5"/>
  <c r="GL76" i="5"/>
  <c r="GM76" i="5"/>
  <c r="GN76" i="5"/>
  <c r="GO76" i="5"/>
  <c r="GP76" i="5"/>
  <c r="GQ76" i="5"/>
  <c r="GR76" i="5"/>
  <c r="GS76" i="5"/>
  <c r="GT76" i="5"/>
  <c r="GU76" i="5"/>
  <c r="GV76" i="5"/>
  <c r="GW76" i="5"/>
  <c r="GX76" i="5"/>
  <c r="GY76" i="5"/>
  <c r="GZ76" i="5"/>
  <c r="HA76" i="5"/>
  <c r="HB76" i="5"/>
  <c r="HC76" i="5"/>
  <c r="HD76" i="5"/>
  <c r="HE76" i="5"/>
  <c r="HF76" i="5"/>
  <c r="HG76" i="5"/>
  <c r="HH76" i="5"/>
  <c r="HI76" i="5"/>
  <c r="HJ76" i="5"/>
  <c r="HK76" i="5"/>
  <c r="HL76" i="5"/>
  <c r="HM76" i="5"/>
  <c r="HN76" i="5"/>
  <c r="HO76" i="5"/>
  <c r="HP76" i="5"/>
  <c r="HQ76" i="5"/>
  <c r="HR76" i="5"/>
  <c r="HS76" i="5"/>
  <c r="HT76" i="5"/>
  <c r="HU76" i="5"/>
  <c r="HV76" i="5"/>
  <c r="HW76" i="5"/>
  <c r="HX76" i="5"/>
  <c r="HY76" i="5"/>
  <c r="HZ76" i="5"/>
  <c r="IA76" i="5"/>
  <c r="IB76" i="5"/>
  <c r="IC76" i="5"/>
  <c r="ID76" i="5"/>
  <c r="IE76" i="5"/>
  <c r="IF76" i="5"/>
  <c r="IG76" i="5"/>
  <c r="IH76" i="5"/>
  <c r="II76" i="5"/>
  <c r="IJ76" i="5"/>
  <c r="IK76" i="5"/>
  <c r="IL76" i="5"/>
  <c r="IM76" i="5"/>
  <c r="IN76" i="5"/>
  <c r="IO76" i="5"/>
  <c r="IP76" i="5"/>
  <c r="IQ76" i="5"/>
  <c r="IR76" i="5"/>
  <c r="IS76" i="5"/>
  <c r="IT76" i="5"/>
  <c r="IU76" i="5"/>
  <c r="IV76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CU77" i="5"/>
  <c r="CV77" i="5"/>
  <c r="CW77" i="5"/>
  <c r="CX77" i="5"/>
  <c r="CY77" i="5"/>
  <c r="CZ77" i="5"/>
  <c r="DA77" i="5"/>
  <c r="DB77" i="5"/>
  <c r="DC77" i="5"/>
  <c r="DD77" i="5"/>
  <c r="DE77" i="5"/>
  <c r="DF77" i="5"/>
  <c r="DG77" i="5"/>
  <c r="DH77" i="5"/>
  <c r="DI77" i="5"/>
  <c r="DJ77" i="5"/>
  <c r="DK77" i="5"/>
  <c r="DL77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EJ77" i="5"/>
  <c r="EK77" i="5"/>
  <c r="EL77" i="5"/>
  <c r="EM77" i="5"/>
  <c r="EN77" i="5"/>
  <c r="EO77" i="5"/>
  <c r="EP77" i="5"/>
  <c r="EQ77" i="5"/>
  <c r="ER77" i="5"/>
  <c r="ES77" i="5"/>
  <c r="ET77" i="5"/>
  <c r="EU77" i="5"/>
  <c r="EV77" i="5"/>
  <c r="EW77" i="5"/>
  <c r="EX77" i="5"/>
  <c r="EY77" i="5"/>
  <c r="EZ77" i="5"/>
  <c r="FA77" i="5"/>
  <c r="FB77" i="5"/>
  <c r="FC77" i="5"/>
  <c r="FD77" i="5"/>
  <c r="FE77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GD77" i="5"/>
  <c r="GE77" i="5"/>
  <c r="GF77" i="5"/>
  <c r="GG77" i="5"/>
  <c r="GH77" i="5"/>
  <c r="GI77" i="5"/>
  <c r="GJ77" i="5"/>
  <c r="GK77" i="5"/>
  <c r="GL77" i="5"/>
  <c r="GM77" i="5"/>
  <c r="GN77" i="5"/>
  <c r="GO77" i="5"/>
  <c r="GP77" i="5"/>
  <c r="GQ77" i="5"/>
  <c r="GR77" i="5"/>
  <c r="GS77" i="5"/>
  <c r="GT77" i="5"/>
  <c r="GU77" i="5"/>
  <c r="GV77" i="5"/>
  <c r="GW77" i="5"/>
  <c r="GX77" i="5"/>
  <c r="GY77" i="5"/>
  <c r="GZ77" i="5"/>
  <c r="HA77" i="5"/>
  <c r="HB77" i="5"/>
  <c r="HC77" i="5"/>
  <c r="HD77" i="5"/>
  <c r="HE77" i="5"/>
  <c r="HF77" i="5"/>
  <c r="HG77" i="5"/>
  <c r="HH77" i="5"/>
  <c r="HI77" i="5"/>
  <c r="HJ77" i="5"/>
  <c r="HK77" i="5"/>
  <c r="HL77" i="5"/>
  <c r="HM77" i="5"/>
  <c r="HN77" i="5"/>
  <c r="HO77" i="5"/>
  <c r="HP77" i="5"/>
  <c r="HQ77" i="5"/>
  <c r="HR77" i="5"/>
  <c r="HS77" i="5"/>
  <c r="HT77" i="5"/>
  <c r="HU77" i="5"/>
  <c r="HV77" i="5"/>
  <c r="HW77" i="5"/>
  <c r="HX77" i="5"/>
  <c r="HY77" i="5"/>
  <c r="HZ77" i="5"/>
  <c r="IA77" i="5"/>
  <c r="IB77" i="5"/>
  <c r="IC77" i="5"/>
  <c r="ID77" i="5"/>
  <c r="IE77" i="5"/>
  <c r="IF77" i="5"/>
  <c r="IG77" i="5"/>
  <c r="IH77" i="5"/>
  <c r="II77" i="5"/>
  <c r="IJ77" i="5"/>
  <c r="IK77" i="5"/>
  <c r="IL77" i="5"/>
  <c r="IM77" i="5"/>
  <c r="IN77" i="5"/>
  <c r="IO77" i="5"/>
  <c r="IP77" i="5"/>
  <c r="IQ77" i="5"/>
  <c r="IR77" i="5"/>
  <c r="IS77" i="5"/>
  <c r="IT77" i="5"/>
  <c r="IU77" i="5"/>
  <c r="IV77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CU78" i="5"/>
  <c r="CV78" i="5"/>
  <c r="CW78" i="5"/>
  <c r="CX78" i="5"/>
  <c r="CY78" i="5"/>
  <c r="CZ78" i="5"/>
  <c r="DA78" i="5"/>
  <c r="DB78" i="5"/>
  <c r="DC78" i="5"/>
  <c r="DD78" i="5"/>
  <c r="DE78" i="5"/>
  <c r="DF78" i="5"/>
  <c r="DG78" i="5"/>
  <c r="DH78" i="5"/>
  <c r="DI78" i="5"/>
  <c r="DJ78" i="5"/>
  <c r="DK78" i="5"/>
  <c r="DL78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EJ78" i="5"/>
  <c r="EK78" i="5"/>
  <c r="EL78" i="5"/>
  <c r="EM78" i="5"/>
  <c r="EN78" i="5"/>
  <c r="EO78" i="5"/>
  <c r="EP78" i="5"/>
  <c r="EQ78" i="5"/>
  <c r="ER78" i="5"/>
  <c r="ES78" i="5"/>
  <c r="ET78" i="5"/>
  <c r="EU78" i="5"/>
  <c r="EV78" i="5"/>
  <c r="EW78" i="5"/>
  <c r="EX78" i="5"/>
  <c r="EY78" i="5"/>
  <c r="EZ78" i="5"/>
  <c r="FA78" i="5"/>
  <c r="FB78" i="5"/>
  <c r="FC78" i="5"/>
  <c r="FD78" i="5"/>
  <c r="FE78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GD78" i="5"/>
  <c r="GE78" i="5"/>
  <c r="GF78" i="5"/>
  <c r="GG78" i="5"/>
  <c r="GH78" i="5"/>
  <c r="GI78" i="5"/>
  <c r="GJ78" i="5"/>
  <c r="GK78" i="5"/>
  <c r="GL78" i="5"/>
  <c r="GM78" i="5"/>
  <c r="GN78" i="5"/>
  <c r="GO78" i="5"/>
  <c r="GP78" i="5"/>
  <c r="GQ78" i="5"/>
  <c r="GR78" i="5"/>
  <c r="GS78" i="5"/>
  <c r="GT78" i="5"/>
  <c r="GU78" i="5"/>
  <c r="GV78" i="5"/>
  <c r="GW78" i="5"/>
  <c r="GX78" i="5"/>
  <c r="GY78" i="5"/>
  <c r="GZ78" i="5"/>
  <c r="HA78" i="5"/>
  <c r="HB78" i="5"/>
  <c r="HC78" i="5"/>
  <c r="HD78" i="5"/>
  <c r="HE78" i="5"/>
  <c r="HF78" i="5"/>
  <c r="HG78" i="5"/>
  <c r="HH78" i="5"/>
  <c r="HI78" i="5"/>
  <c r="HJ78" i="5"/>
  <c r="HK78" i="5"/>
  <c r="HL78" i="5"/>
  <c r="HM78" i="5"/>
  <c r="HN78" i="5"/>
  <c r="HO78" i="5"/>
  <c r="HP78" i="5"/>
  <c r="HQ78" i="5"/>
  <c r="HR78" i="5"/>
  <c r="HS78" i="5"/>
  <c r="HT78" i="5"/>
  <c r="HU78" i="5"/>
  <c r="HV78" i="5"/>
  <c r="HW78" i="5"/>
  <c r="HX78" i="5"/>
  <c r="HY78" i="5"/>
  <c r="HZ78" i="5"/>
  <c r="IA78" i="5"/>
  <c r="IB78" i="5"/>
  <c r="IC78" i="5"/>
  <c r="ID78" i="5"/>
  <c r="IE78" i="5"/>
  <c r="IF78" i="5"/>
  <c r="IG78" i="5"/>
  <c r="IH78" i="5"/>
  <c r="II78" i="5"/>
  <c r="IJ78" i="5"/>
  <c r="IK78" i="5"/>
  <c r="IL78" i="5"/>
  <c r="IM78" i="5"/>
  <c r="IN78" i="5"/>
  <c r="IO78" i="5"/>
  <c r="IP78" i="5"/>
  <c r="IQ78" i="5"/>
  <c r="IR78" i="5"/>
  <c r="IS78" i="5"/>
  <c r="IT78" i="5"/>
  <c r="IU78" i="5"/>
  <c r="IV78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CU79" i="5"/>
  <c r="CV79" i="5"/>
  <c r="CW79" i="5"/>
  <c r="CX79" i="5"/>
  <c r="CY79" i="5"/>
  <c r="CZ79" i="5"/>
  <c r="DA79" i="5"/>
  <c r="DB79" i="5"/>
  <c r="DC79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EJ79" i="5"/>
  <c r="EK79" i="5"/>
  <c r="EL79" i="5"/>
  <c r="EM79" i="5"/>
  <c r="EN79" i="5"/>
  <c r="EO79" i="5"/>
  <c r="EP79" i="5"/>
  <c r="EQ79" i="5"/>
  <c r="ER79" i="5"/>
  <c r="ES79" i="5"/>
  <c r="ET79" i="5"/>
  <c r="EU79" i="5"/>
  <c r="EV79" i="5"/>
  <c r="EW79" i="5"/>
  <c r="EX79" i="5"/>
  <c r="EY79" i="5"/>
  <c r="EZ79" i="5"/>
  <c r="FA79" i="5"/>
  <c r="FB79" i="5"/>
  <c r="FC79" i="5"/>
  <c r="FD79" i="5"/>
  <c r="FE79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GD79" i="5"/>
  <c r="GE79" i="5"/>
  <c r="GF79" i="5"/>
  <c r="GG79" i="5"/>
  <c r="GH79" i="5"/>
  <c r="GI79" i="5"/>
  <c r="GJ79" i="5"/>
  <c r="GK79" i="5"/>
  <c r="GL79" i="5"/>
  <c r="GM79" i="5"/>
  <c r="GN79" i="5"/>
  <c r="GO79" i="5"/>
  <c r="GP79" i="5"/>
  <c r="GQ79" i="5"/>
  <c r="GR79" i="5"/>
  <c r="GS79" i="5"/>
  <c r="GT79" i="5"/>
  <c r="GU79" i="5"/>
  <c r="GV79" i="5"/>
  <c r="GW79" i="5"/>
  <c r="GX79" i="5"/>
  <c r="GY79" i="5"/>
  <c r="GZ79" i="5"/>
  <c r="HA79" i="5"/>
  <c r="HB79" i="5"/>
  <c r="HC79" i="5"/>
  <c r="HD79" i="5"/>
  <c r="HE79" i="5"/>
  <c r="HF79" i="5"/>
  <c r="HG79" i="5"/>
  <c r="HH79" i="5"/>
  <c r="HI79" i="5"/>
  <c r="HJ79" i="5"/>
  <c r="HK79" i="5"/>
  <c r="HL79" i="5"/>
  <c r="HM79" i="5"/>
  <c r="HN79" i="5"/>
  <c r="HO79" i="5"/>
  <c r="HP79" i="5"/>
  <c r="HQ79" i="5"/>
  <c r="HR79" i="5"/>
  <c r="HS79" i="5"/>
  <c r="HT79" i="5"/>
  <c r="HU79" i="5"/>
  <c r="HV79" i="5"/>
  <c r="HW79" i="5"/>
  <c r="HX79" i="5"/>
  <c r="HY79" i="5"/>
  <c r="HZ79" i="5"/>
  <c r="IA79" i="5"/>
  <c r="IB79" i="5"/>
  <c r="IC79" i="5"/>
  <c r="ID79" i="5"/>
  <c r="IE79" i="5"/>
  <c r="IF79" i="5"/>
  <c r="IG79" i="5"/>
  <c r="IH79" i="5"/>
  <c r="II79" i="5"/>
  <c r="IJ79" i="5"/>
  <c r="IK79" i="5"/>
  <c r="IL79" i="5"/>
  <c r="IM79" i="5"/>
  <c r="IN79" i="5"/>
  <c r="IO79" i="5"/>
  <c r="IP79" i="5"/>
  <c r="IQ79" i="5"/>
  <c r="IR79" i="5"/>
  <c r="IS79" i="5"/>
  <c r="IT79" i="5"/>
  <c r="IU79" i="5"/>
  <c r="IV79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EJ80" i="5"/>
  <c r="EK80" i="5"/>
  <c r="EL80" i="5"/>
  <c r="EM80" i="5"/>
  <c r="EN80" i="5"/>
  <c r="EO80" i="5"/>
  <c r="EP80" i="5"/>
  <c r="EQ80" i="5"/>
  <c r="ER80" i="5"/>
  <c r="ES80" i="5"/>
  <c r="ET80" i="5"/>
  <c r="EU80" i="5"/>
  <c r="EV80" i="5"/>
  <c r="EW80" i="5"/>
  <c r="EX80" i="5"/>
  <c r="EY80" i="5"/>
  <c r="EZ80" i="5"/>
  <c r="FA80" i="5"/>
  <c r="FB80" i="5"/>
  <c r="FC80" i="5"/>
  <c r="FD80" i="5"/>
  <c r="FE80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GD80" i="5"/>
  <c r="GE80" i="5"/>
  <c r="GF80" i="5"/>
  <c r="GG80" i="5"/>
  <c r="GH80" i="5"/>
  <c r="GI80" i="5"/>
  <c r="GJ80" i="5"/>
  <c r="GK80" i="5"/>
  <c r="GL80" i="5"/>
  <c r="GM80" i="5"/>
  <c r="GN80" i="5"/>
  <c r="GO80" i="5"/>
  <c r="GP80" i="5"/>
  <c r="GQ80" i="5"/>
  <c r="GR80" i="5"/>
  <c r="GS80" i="5"/>
  <c r="GT80" i="5"/>
  <c r="GU80" i="5"/>
  <c r="GV80" i="5"/>
  <c r="GW80" i="5"/>
  <c r="GX80" i="5"/>
  <c r="GY80" i="5"/>
  <c r="GZ80" i="5"/>
  <c r="HA80" i="5"/>
  <c r="HB80" i="5"/>
  <c r="HC80" i="5"/>
  <c r="HD80" i="5"/>
  <c r="HE80" i="5"/>
  <c r="HF80" i="5"/>
  <c r="HG80" i="5"/>
  <c r="HH80" i="5"/>
  <c r="HI80" i="5"/>
  <c r="HJ80" i="5"/>
  <c r="HK80" i="5"/>
  <c r="HL80" i="5"/>
  <c r="HM80" i="5"/>
  <c r="HN80" i="5"/>
  <c r="HO80" i="5"/>
  <c r="HP80" i="5"/>
  <c r="HQ80" i="5"/>
  <c r="HR80" i="5"/>
  <c r="HS80" i="5"/>
  <c r="HT80" i="5"/>
  <c r="HU80" i="5"/>
  <c r="HV80" i="5"/>
  <c r="HW80" i="5"/>
  <c r="HX80" i="5"/>
  <c r="HY80" i="5"/>
  <c r="HZ80" i="5"/>
  <c r="IA80" i="5"/>
  <c r="IB80" i="5"/>
  <c r="IC80" i="5"/>
  <c r="ID80" i="5"/>
  <c r="IE80" i="5"/>
  <c r="IF80" i="5"/>
  <c r="IG80" i="5"/>
  <c r="IH80" i="5"/>
  <c r="II80" i="5"/>
  <c r="IJ80" i="5"/>
  <c r="IK80" i="5"/>
  <c r="IL80" i="5"/>
  <c r="IM80" i="5"/>
  <c r="IN80" i="5"/>
  <c r="IO80" i="5"/>
  <c r="IP80" i="5"/>
  <c r="IQ80" i="5"/>
  <c r="IR80" i="5"/>
  <c r="IS80" i="5"/>
  <c r="IT80" i="5"/>
  <c r="IU80" i="5"/>
  <c r="IV80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CU81" i="5"/>
  <c r="CV81" i="5"/>
  <c r="CW81" i="5"/>
  <c r="CX81" i="5"/>
  <c r="CY81" i="5"/>
  <c r="CZ81" i="5"/>
  <c r="DA81" i="5"/>
  <c r="DB81" i="5"/>
  <c r="DC81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EJ81" i="5"/>
  <c r="EK81" i="5"/>
  <c r="EL81" i="5"/>
  <c r="EM81" i="5"/>
  <c r="EN81" i="5"/>
  <c r="EO81" i="5"/>
  <c r="EP81" i="5"/>
  <c r="EQ81" i="5"/>
  <c r="ER81" i="5"/>
  <c r="ES81" i="5"/>
  <c r="ET81" i="5"/>
  <c r="EU81" i="5"/>
  <c r="EV81" i="5"/>
  <c r="EW81" i="5"/>
  <c r="EX81" i="5"/>
  <c r="EY81" i="5"/>
  <c r="EZ81" i="5"/>
  <c r="FA81" i="5"/>
  <c r="FB81" i="5"/>
  <c r="FC81" i="5"/>
  <c r="FD81" i="5"/>
  <c r="FE81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GD81" i="5"/>
  <c r="GE81" i="5"/>
  <c r="GF81" i="5"/>
  <c r="GG81" i="5"/>
  <c r="GH81" i="5"/>
  <c r="GI81" i="5"/>
  <c r="GJ81" i="5"/>
  <c r="GK81" i="5"/>
  <c r="GL81" i="5"/>
  <c r="GM81" i="5"/>
  <c r="GN81" i="5"/>
  <c r="GO81" i="5"/>
  <c r="GP81" i="5"/>
  <c r="GQ81" i="5"/>
  <c r="GR81" i="5"/>
  <c r="GS81" i="5"/>
  <c r="GT81" i="5"/>
  <c r="GU81" i="5"/>
  <c r="GV81" i="5"/>
  <c r="GW81" i="5"/>
  <c r="GX81" i="5"/>
  <c r="GY81" i="5"/>
  <c r="GZ81" i="5"/>
  <c r="HA81" i="5"/>
  <c r="HB81" i="5"/>
  <c r="HC81" i="5"/>
  <c r="HD81" i="5"/>
  <c r="HE81" i="5"/>
  <c r="HF81" i="5"/>
  <c r="HG81" i="5"/>
  <c r="HH81" i="5"/>
  <c r="HI81" i="5"/>
  <c r="HJ81" i="5"/>
  <c r="HK81" i="5"/>
  <c r="HL81" i="5"/>
  <c r="HM81" i="5"/>
  <c r="HN81" i="5"/>
  <c r="HO81" i="5"/>
  <c r="HP81" i="5"/>
  <c r="HQ81" i="5"/>
  <c r="HR81" i="5"/>
  <c r="HS81" i="5"/>
  <c r="HT81" i="5"/>
  <c r="HU81" i="5"/>
  <c r="HV81" i="5"/>
  <c r="HW81" i="5"/>
  <c r="HX81" i="5"/>
  <c r="HY81" i="5"/>
  <c r="HZ81" i="5"/>
  <c r="IA81" i="5"/>
  <c r="IB81" i="5"/>
  <c r="IC81" i="5"/>
  <c r="ID81" i="5"/>
  <c r="IE81" i="5"/>
  <c r="IF81" i="5"/>
  <c r="IG81" i="5"/>
  <c r="IH81" i="5"/>
  <c r="II81" i="5"/>
  <c r="IJ81" i="5"/>
  <c r="IK81" i="5"/>
  <c r="IL81" i="5"/>
  <c r="IM81" i="5"/>
  <c r="IN81" i="5"/>
  <c r="IO81" i="5"/>
  <c r="IP81" i="5"/>
  <c r="IQ81" i="5"/>
  <c r="IR81" i="5"/>
  <c r="IS81" i="5"/>
  <c r="IT81" i="5"/>
  <c r="IU81" i="5"/>
  <c r="IV81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CU82" i="5"/>
  <c r="CV82" i="5"/>
  <c r="CW82" i="5"/>
  <c r="CX82" i="5"/>
  <c r="CY82" i="5"/>
  <c r="CZ82" i="5"/>
  <c r="DA82" i="5"/>
  <c r="DB82" i="5"/>
  <c r="DC82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EJ82" i="5"/>
  <c r="EK82" i="5"/>
  <c r="EL82" i="5"/>
  <c r="EM82" i="5"/>
  <c r="EN82" i="5"/>
  <c r="EO82" i="5"/>
  <c r="EP82" i="5"/>
  <c r="EQ82" i="5"/>
  <c r="ER82" i="5"/>
  <c r="ES82" i="5"/>
  <c r="ET82" i="5"/>
  <c r="EU82" i="5"/>
  <c r="EV82" i="5"/>
  <c r="EW82" i="5"/>
  <c r="EX82" i="5"/>
  <c r="EY82" i="5"/>
  <c r="EZ82" i="5"/>
  <c r="FA82" i="5"/>
  <c r="FB82" i="5"/>
  <c r="FC82" i="5"/>
  <c r="FD82" i="5"/>
  <c r="FE82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GD82" i="5"/>
  <c r="GE82" i="5"/>
  <c r="GF82" i="5"/>
  <c r="GG82" i="5"/>
  <c r="GH82" i="5"/>
  <c r="GI82" i="5"/>
  <c r="GJ82" i="5"/>
  <c r="GK82" i="5"/>
  <c r="GL82" i="5"/>
  <c r="GM82" i="5"/>
  <c r="GN82" i="5"/>
  <c r="GO82" i="5"/>
  <c r="GP82" i="5"/>
  <c r="GQ82" i="5"/>
  <c r="GR82" i="5"/>
  <c r="GS82" i="5"/>
  <c r="GT82" i="5"/>
  <c r="GU82" i="5"/>
  <c r="GV82" i="5"/>
  <c r="GW82" i="5"/>
  <c r="GX82" i="5"/>
  <c r="GY82" i="5"/>
  <c r="GZ82" i="5"/>
  <c r="HA82" i="5"/>
  <c r="HB82" i="5"/>
  <c r="HC82" i="5"/>
  <c r="HD82" i="5"/>
  <c r="HE82" i="5"/>
  <c r="HF82" i="5"/>
  <c r="HG82" i="5"/>
  <c r="HH82" i="5"/>
  <c r="HI82" i="5"/>
  <c r="HJ82" i="5"/>
  <c r="HK82" i="5"/>
  <c r="HL82" i="5"/>
  <c r="HM82" i="5"/>
  <c r="HN82" i="5"/>
  <c r="HO82" i="5"/>
  <c r="HP82" i="5"/>
  <c r="HQ82" i="5"/>
  <c r="HR82" i="5"/>
  <c r="HS82" i="5"/>
  <c r="HT82" i="5"/>
  <c r="HU82" i="5"/>
  <c r="HV82" i="5"/>
  <c r="HW82" i="5"/>
  <c r="HX82" i="5"/>
  <c r="HY82" i="5"/>
  <c r="HZ82" i="5"/>
  <c r="IA82" i="5"/>
  <c r="IB82" i="5"/>
  <c r="IC82" i="5"/>
  <c r="ID82" i="5"/>
  <c r="IE82" i="5"/>
  <c r="IF82" i="5"/>
  <c r="IG82" i="5"/>
  <c r="IH82" i="5"/>
  <c r="II82" i="5"/>
  <c r="IJ82" i="5"/>
  <c r="IK82" i="5"/>
  <c r="IL82" i="5"/>
  <c r="IM82" i="5"/>
  <c r="IN82" i="5"/>
  <c r="IO82" i="5"/>
  <c r="IP82" i="5"/>
  <c r="IQ82" i="5"/>
  <c r="IR82" i="5"/>
  <c r="IS82" i="5"/>
  <c r="IT82" i="5"/>
  <c r="IU82" i="5"/>
  <c r="IV82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CU83" i="5"/>
  <c r="CV83" i="5"/>
  <c r="CW83" i="5"/>
  <c r="CX83" i="5"/>
  <c r="CY83" i="5"/>
  <c r="CZ83" i="5"/>
  <c r="DA83" i="5"/>
  <c r="DB83" i="5"/>
  <c r="DC83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EJ83" i="5"/>
  <c r="EK83" i="5"/>
  <c r="EL83" i="5"/>
  <c r="EM83" i="5"/>
  <c r="EN83" i="5"/>
  <c r="EO83" i="5"/>
  <c r="EP83" i="5"/>
  <c r="EQ83" i="5"/>
  <c r="ER83" i="5"/>
  <c r="ES83" i="5"/>
  <c r="ET83" i="5"/>
  <c r="EU83" i="5"/>
  <c r="EV83" i="5"/>
  <c r="EW83" i="5"/>
  <c r="EX83" i="5"/>
  <c r="EY83" i="5"/>
  <c r="EZ83" i="5"/>
  <c r="FA83" i="5"/>
  <c r="FB83" i="5"/>
  <c r="FC83" i="5"/>
  <c r="FD83" i="5"/>
  <c r="FE83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GD83" i="5"/>
  <c r="GE83" i="5"/>
  <c r="GF83" i="5"/>
  <c r="GG83" i="5"/>
  <c r="GH83" i="5"/>
  <c r="GI83" i="5"/>
  <c r="GJ83" i="5"/>
  <c r="GK83" i="5"/>
  <c r="GL83" i="5"/>
  <c r="GM83" i="5"/>
  <c r="GN83" i="5"/>
  <c r="GO83" i="5"/>
  <c r="GP83" i="5"/>
  <c r="GQ83" i="5"/>
  <c r="GR83" i="5"/>
  <c r="GS83" i="5"/>
  <c r="GT83" i="5"/>
  <c r="GU83" i="5"/>
  <c r="GV83" i="5"/>
  <c r="GW83" i="5"/>
  <c r="GX83" i="5"/>
  <c r="GY83" i="5"/>
  <c r="GZ83" i="5"/>
  <c r="HA83" i="5"/>
  <c r="HB83" i="5"/>
  <c r="HC83" i="5"/>
  <c r="HD83" i="5"/>
  <c r="HE83" i="5"/>
  <c r="HF83" i="5"/>
  <c r="HG83" i="5"/>
  <c r="HH83" i="5"/>
  <c r="HI83" i="5"/>
  <c r="HJ83" i="5"/>
  <c r="HK83" i="5"/>
  <c r="HL83" i="5"/>
  <c r="HM83" i="5"/>
  <c r="HN83" i="5"/>
  <c r="HO83" i="5"/>
  <c r="HP83" i="5"/>
  <c r="HQ83" i="5"/>
  <c r="HR83" i="5"/>
  <c r="HS83" i="5"/>
  <c r="HT83" i="5"/>
  <c r="HU83" i="5"/>
  <c r="HV83" i="5"/>
  <c r="HW83" i="5"/>
  <c r="HX83" i="5"/>
  <c r="HY83" i="5"/>
  <c r="HZ83" i="5"/>
  <c r="IA83" i="5"/>
  <c r="IB83" i="5"/>
  <c r="IC83" i="5"/>
  <c r="ID83" i="5"/>
  <c r="IE83" i="5"/>
  <c r="IF83" i="5"/>
  <c r="IG83" i="5"/>
  <c r="IH83" i="5"/>
  <c r="II83" i="5"/>
  <c r="IJ83" i="5"/>
  <c r="IK83" i="5"/>
  <c r="IL83" i="5"/>
  <c r="IM83" i="5"/>
  <c r="IN83" i="5"/>
  <c r="IO83" i="5"/>
  <c r="IP83" i="5"/>
  <c r="IQ83" i="5"/>
  <c r="IR83" i="5"/>
  <c r="IS83" i="5"/>
  <c r="IT83" i="5"/>
  <c r="IU83" i="5"/>
  <c r="IV83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CU84" i="5"/>
  <c r="CV84" i="5"/>
  <c r="CW84" i="5"/>
  <c r="CX84" i="5"/>
  <c r="CY84" i="5"/>
  <c r="CZ84" i="5"/>
  <c r="DA84" i="5"/>
  <c r="DB84" i="5"/>
  <c r="DC84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EJ84" i="5"/>
  <c r="EK84" i="5"/>
  <c r="EL84" i="5"/>
  <c r="EM84" i="5"/>
  <c r="EN84" i="5"/>
  <c r="EO84" i="5"/>
  <c r="EP84" i="5"/>
  <c r="EQ84" i="5"/>
  <c r="ER84" i="5"/>
  <c r="ES84" i="5"/>
  <c r="ET84" i="5"/>
  <c r="EU84" i="5"/>
  <c r="EV84" i="5"/>
  <c r="EW84" i="5"/>
  <c r="EX84" i="5"/>
  <c r="EY84" i="5"/>
  <c r="EZ84" i="5"/>
  <c r="FA84" i="5"/>
  <c r="FB84" i="5"/>
  <c r="FC84" i="5"/>
  <c r="FD84" i="5"/>
  <c r="FE84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GD84" i="5"/>
  <c r="GE84" i="5"/>
  <c r="GF84" i="5"/>
  <c r="GG84" i="5"/>
  <c r="GH84" i="5"/>
  <c r="GI84" i="5"/>
  <c r="GJ84" i="5"/>
  <c r="GK84" i="5"/>
  <c r="GL84" i="5"/>
  <c r="GM84" i="5"/>
  <c r="GN84" i="5"/>
  <c r="GO84" i="5"/>
  <c r="GP84" i="5"/>
  <c r="GQ84" i="5"/>
  <c r="GR84" i="5"/>
  <c r="GS84" i="5"/>
  <c r="GT84" i="5"/>
  <c r="GU84" i="5"/>
  <c r="GV84" i="5"/>
  <c r="GW84" i="5"/>
  <c r="GX84" i="5"/>
  <c r="GY84" i="5"/>
  <c r="GZ84" i="5"/>
  <c r="HA84" i="5"/>
  <c r="HB84" i="5"/>
  <c r="HC84" i="5"/>
  <c r="HD84" i="5"/>
  <c r="HE84" i="5"/>
  <c r="HF84" i="5"/>
  <c r="HG84" i="5"/>
  <c r="HH84" i="5"/>
  <c r="HI84" i="5"/>
  <c r="HJ84" i="5"/>
  <c r="HK84" i="5"/>
  <c r="HL84" i="5"/>
  <c r="HM84" i="5"/>
  <c r="HN84" i="5"/>
  <c r="HO84" i="5"/>
  <c r="HP84" i="5"/>
  <c r="HQ84" i="5"/>
  <c r="HR84" i="5"/>
  <c r="HS84" i="5"/>
  <c r="HT84" i="5"/>
  <c r="HU84" i="5"/>
  <c r="HV84" i="5"/>
  <c r="HW84" i="5"/>
  <c r="HX84" i="5"/>
  <c r="HY84" i="5"/>
  <c r="HZ84" i="5"/>
  <c r="IA84" i="5"/>
  <c r="IB84" i="5"/>
  <c r="IC84" i="5"/>
  <c r="ID84" i="5"/>
  <c r="IE84" i="5"/>
  <c r="IF84" i="5"/>
  <c r="IG84" i="5"/>
  <c r="IH84" i="5"/>
  <c r="II84" i="5"/>
  <c r="IJ84" i="5"/>
  <c r="IK84" i="5"/>
  <c r="IL84" i="5"/>
  <c r="IM84" i="5"/>
  <c r="IN84" i="5"/>
  <c r="IO84" i="5"/>
  <c r="IP84" i="5"/>
  <c r="IQ84" i="5"/>
  <c r="IR84" i="5"/>
  <c r="IS84" i="5"/>
  <c r="IT84" i="5"/>
  <c r="IU84" i="5"/>
  <c r="IV84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CU85" i="5"/>
  <c r="CV85" i="5"/>
  <c r="CW85" i="5"/>
  <c r="CX85" i="5"/>
  <c r="CY85" i="5"/>
  <c r="CZ85" i="5"/>
  <c r="DA85" i="5"/>
  <c r="DB85" i="5"/>
  <c r="DC85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EJ85" i="5"/>
  <c r="EK85" i="5"/>
  <c r="EL85" i="5"/>
  <c r="EM85" i="5"/>
  <c r="EN85" i="5"/>
  <c r="EO85" i="5"/>
  <c r="EP85" i="5"/>
  <c r="EQ85" i="5"/>
  <c r="ER85" i="5"/>
  <c r="ES85" i="5"/>
  <c r="ET85" i="5"/>
  <c r="EU85" i="5"/>
  <c r="EV85" i="5"/>
  <c r="EW85" i="5"/>
  <c r="EX85" i="5"/>
  <c r="EY85" i="5"/>
  <c r="EZ85" i="5"/>
  <c r="FA85" i="5"/>
  <c r="FB85" i="5"/>
  <c r="FC85" i="5"/>
  <c r="FD85" i="5"/>
  <c r="FE85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GD85" i="5"/>
  <c r="GE85" i="5"/>
  <c r="GF85" i="5"/>
  <c r="GG85" i="5"/>
  <c r="GH85" i="5"/>
  <c r="GI85" i="5"/>
  <c r="GJ85" i="5"/>
  <c r="GK85" i="5"/>
  <c r="GL85" i="5"/>
  <c r="GM85" i="5"/>
  <c r="GN85" i="5"/>
  <c r="GO85" i="5"/>
  <c r="GP85" i="5"/>
  <c r="GQ85" i="5"/>
  <c r="GR85" i="5"/>
  <c r="GS85" i="5"/>
  <c r="GT85" i="5"/>
  <c r="GU85" i="5"/>
  <c r="GV85" i="5"/>
  <c r="GW85" i="5"/>
  <c r="GX85" i="5"/>
  <c r="GY85" i="5"/>
  <c r="GZ85" i="5"/>
  <c r="HA85" i="5"/>
  <c r="HB85" i="5"/>
  <c r="HC85" i="5"/>
  <c r="HD85" i="5"/>
  <c r="HE85" i="5"/>
  <c r="HF85" i="5"/>
  <c r="HG85" i="5"/>
  <c r="HH85" i="5"/>
  <c r="HI85" i="5"/>
  <c r="HJ85" i="5"/>
  <c r="HK85" i="5"/>
  <c r="HL85" i="5"/>
  <c r="HM85" i="5"/>
  <c r="HN85" i="5"/>
  <c r="HO85" i="5"/>
  <c r="HP85" i="5"/>
  <c r="HQ85" i="5"/>
  <c r="HR85" i="5"/>
  <c r="HS85" i="5"/>
  <c r="HT85" i="5"/>
  <c r="HU85" i="5"/>
  <c r="HV85" i="5"/>
  <c r="HW85" i="5"/>
  <c r="HX85" i="5"/>
  <c r="HY85" i="5"/>
  <c r="HZ85" i="5"/>
  <c r="IA85" i="5"/>
  <c r="IB85" i="5"/>
  <c r="IC85" i="5"/>
  <c r="ID85" i="5"/>
  <c r="IE85" i="5"/>
  <c r="IF85" i="5"/>
  <c r="IG85" i="5"/>
  <c r="IH85" i="5"/>
  <c r="II85" i="5"/>
  <c r="IJ85" i="5"/>
  <c r="IK85" i="5"/>
  <c r="IL85" i="5"/>
  <c r="IM85" i="5"/>
  <c r="IN85" i="5"/>
  <c r="IO85" i="5"/>
  <c r="IP85" i="5"/>
  <c r="IQ85" i="5"/>
  <c r="IR85" i="5"/>
  <c r="IS85" i="5"/>
  <c r="IT85" i="5"/>
  <c r="IU85" i="5"/>
  <c r="IV85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CU86" i="5"/>
  <c r="CV86" i="5"/>
  <c r="CW86" i="5"/>
  <c r="CX86" i="5"/>
  <c r="CY86" i="5"/>
  <c r="CZ86" i="5"/>
  <c r="DA86" i="5"/>
  <c r="DB86" i="5"/>
  <c r="DC86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EJ86" i="5"/>
  <c r="EK86" i="5"/>
  <c r="EL86" i="5"/>
  <c r="EM86" i="5"/>
  <c r="EN86" i="5"/>
  <c r="EO86" i="5"/>
  <c r="EP86" i="5"/>
  <c r="EQ86" i="5"/>
  <c r="ER86" i="5"/>
  <c r="ES86" i="5"/>
  <c r="ET86" i="5"/>
  <c r="EU86" i="5"/>
  <c r="EV86" i="5"/>
  <c r="EW86" i="5"/>
  <c r="EX86" i="5"/>
  <c r="EY86" i="5"/>
  <c r="EZ86" i="5"/>
  <c r="FA86" i="5"/>
  <c r="FB86" i="5"/>
  <c r="FC86" i="5"/>
  <c r="FD86" i="5"/>
  <c r="FE86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GD86" i="5"/>
  <c r="GE86" i="5"/>
  <c r="GF86" i="5"/>
  <c r="GG86" i="5"/>
  <c r="GH86" i="5"/>
  <c r="GI86" i="5"/>
  <c r="GJ86" i="5"/>
  <c r="GK86" i="5"/>
  <c r="GL86" i="5"/>
  <c r="GM86" i="5"/>
  <c r="GN86" i="5"/>
  <c r="GO86" i="5"/>
  <c r="GP86" i="5"/>
  <c r="GQ86" i="5"/>
  <c r="GR86" i="5"/>
  <c r="GS86" i="5"/>
  <c r="GT86" i="5"/>
  <c r="GU86" i="5"/>
  <c r="GV86" i="5"/>
  <c r="GW86" i="5"/>
  <c r="GX86" i="5"/>
  <c r="GY86" i="5"/>
  <c r="GZ86" i="5"/>
  <c r="HA86" i="5"/>
  <c r="HB86" i="5"/>
  <c r="HC86" i="5"/>
  <c r="HD86" i="5"/>
  <c r="HE86" i="5"/>
  <c r="HF86" i="5"/>
  <c r="HG86" i="5"/>
  <c r="HH86" i="5"/>
  <c r="HI86" i="5"/>
  <c r="HJ86" i="5"/>
  <c r="HK86" i="5"/>
  <c r="HL86" i="5"/>
  <c r="HM86" i="5"/>
  <c r="HN86" i="5"/>
  <c r="HO86" i="5"/>
  <c r="HP86" i="5"/>
  <c r="HQ86" i="5"/>
  <c r="HR86" i="5"/>
  <c r="HS86" i="5"/>
  <c r="HT86" i="5"/>
  <c r="HU86" i="5"/>
  <c r="HV86" i="5"/>
  <c r="HW86" i="5"/>
  <c r="HX86" i="5"/>
  <c r="HY86" i="5"/>
  <c r="HZ86" i="5"/>
  <c r="IA86" i="5"/>
  <c r="IB86" i="5"/>
  <c r="IC86" i="5"/>
  <c r="ID86" i="5"/>
  <c r="IE86" i="5"/>
  <c r="IF86" i="5"/>
  <c r="IG86" i="5"/>
  <c r="IH86" i="5"/>
  <c r="II86" i="5"/>
  <c r="IJ86" i="5"/>
  <c r="IK86" i="5"/>
  <c r="IL86" i="5"/>
  <c r="IM86" i="5"/>
  <c r="IN86" i="5"/>
  <c r="IO86" i="5"/>
  <c r="IP86" i="5"/>
  <c r="IQ86" i="5"/>
  <c r="IR86" i="5"/>
  <c r="IS86" i="5"/>
  <c r="IT86" i="5"/>
  <c r="IU86" i="5"/>
  <c r="IV86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CU87" i="5"/>
  <c r="CV87" i="5"/>
  <c r="CW87" i="5"/>
  <c r="CX87" i="5"/>
  <c r="CY87" i="5"/>
  <c r="CZ87" i="5"/>
  <c r="DA87" i="5"/>
  <c r="DB87" i="5"/>
  <c r="DC87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EJ87" i="5"/>
  <c r="EK87" i="5"/>
  <c r="EL87" i="5"/>
  <c r="EM87" i="5"/>
  <c r="EN87" i="5"/>
  <c r="EO87" i="5"/>
  <c r="EP87" i="5"/>
  <c r="EQ87" i="5"/>
  <c r="ER87" i="5"/>
  <c r="ES87" i="5"/>
  <c r="ET87" i="5"/>
  <c r="EU87" i="5"/>
  <c r="EV87" i="5"/>
  <c r="EW87" i="5"/>
  <c r="EX87" i="5"/>
  <c r="EY87" i="5"/>
  <c r="EZ87" i="5"/>
  <c r="FA87" i="5"/>
  <c r="FB87" i="5"/>
  <c r="FC87" i="5"/>
  <c r="FD87" i="5"/>
  <c r="FE87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GD87" i="5"/>
  <c r="GE87" i="5"/>
  <c r="GF87" i="5"/>
  <c r="GG87" i="5"/>
  <c r="GH87" i="5"/>
  <c r="GI87" i="5"/>
  <c r="GJ87" i="5"/>
  <c r="GK87" i="5"/>
  <c r="GL87" i="5"/>
  <c r="GM87" i="5"/>
  <c r="GN87" i="5"/>
  <c r="GO87" i="5"/>
  <c r="GP87" i="5"/>
  <c r="GQ87" i="5"/>
  <c r="GR87" i="5"/>
  <c r="GS87" i="5"/>
  <c r="GT87" i="5"/>
  <c r="GU87" i="5"/>
  <c r="GV87" i="5"/>
  <c r="GW87" i="5"/>
  <c r="GX87" i="5"/>
  <c r="GY87" i="5"/>
  <c r="GZ87" i="5"/>
  <c r="HA87" i="5"/>
  <c r="HB87" i="5"/>
  <c r="HC87" i="5"/>
  <c r="HD87" i="5"/>
  <c r="HE87" i="5"/>
  <c r="HF87" i="5"/>
  <c r="HG87" i="5"/>
  <c r="HH87" i="5"/>
  <c r="HI87" i="5"/>
  <c r="HJ87" i="5"/>
  <c r="HK87" i="5"/>
  <c r="HL87" i="5"/>
  <c r="HM87" i="5"/>
  <c r="HN87" i="5"/>
  <c r="HO87" i="5"/>
  <c r="HP87" i="5"/>
  <c r="HQ87" i="5"/>
  <c r="HR87" i="5"/>
  <c r="HS87" i="5"/>
  <c r="HT87" i="5"/>
  <c r="HU87" i="5"/>
  <c r="HV87" i="5"/>
  <c r="HW87" i="5"/>
  <c r="HX87" i="5"/>
  <c r="HY87" i="5"/>
  <c r="HZ87" i="5"/>
  <c r="IA87" i="5"/>
  <c r="IB87" i="5"/>
  <c r="IC87" i="5"/>
  <c r="ID87" i="5"/>
  <c r="IE87" i="5"/>
  <c r="IF87" i="5"/>
  <c r="IG87" i="5"/>
  <c r="IH87" i="5"/>
  <c r="II87" i="5"/>
  <c r="IJ87" i="5"/>
  <c r="IK87" i="5"/>
  <c r="IL87" i="5"/>
  <c r="IM87" i="5"/>
  <c r="IN87" i="5"/>
  <c r="IO87" i="5"/>
  <c r="IP87" i="5"/>
  <c r="IQ87" i="5"/>
  <c r="IR87" i="5"/>
  <c r="IS87" i="5"/>
  <c r="IT87" i="5"/>
  <c r="IU87" i="5"/>
  <c r="IV87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CU88" i="5"/>
  <c r="CV88" i="5"/>
  <c r="CW88" i="5"/>
  <c r="CX88" i="5"/>
  <c r="CY88" i="5"/>
  <c r="CZ88" i="5"/>
  <c r="DA88" i="5"/>
  <c r="DB88" i="5"/>
  <c r="DC88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EJ88" i="5"/>
  <c r="EK88" i="5"/>
  <c r="EL88" i="5"/>
  <c r="EM88" i="5"/>
  <c r="EN88" i="5"/>
  <c r="EO88" i="5"/>
  <c r="EP88" i="5"/>
  <c r="EQ88" i="5"/>
  <c r="ER88" i="5"/>
  <c r="ES88" i="5"/>
  <c r="ET88" i="5"/>
  <c r="EU88" i="5"/>
  <c r="EV88" i="5"/>
  <c r="EW88" i="5"/>
  <c r="EX88" i="5"/>
  <c r="EY88" i="5"/>
  <c r="EZ88" i="5"/>
  <c r="FA88" i="5"/>
  <c r="FB88" i="5"/>
  <c r="FC88" i="5"/>
  <c r="FD88" i="5"/>
  <c r="FE88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GD88" i="5"/>
  <c r="GE88" i="5"/>
  <c r="GF88" i="5"/>
  <c r="GG88" i="5"/>
  <c r="GH88" i="5"/>
  <c r="GI88" i="5"/>
  <c r="GJ88" i="5"/>
  <c r="GK88" i="5"/>
  <c r="GL88" i="5"/>
  <c r="GM88" i="5"/>
  <c r="GN88" i="5"/>
  <c r="GO88" i="5"/>
  <c r="GP88" i="5"/>
  <c r="GQ88" i="5"/>
  <c r="GR88" i="5"/>
  <c r="GS88" i="5"/>
  <c r="GT88" i="5"/>
  <c r="GU88" i="5"/>
  <c r="GV88" i="5"/>
  <c r="GW88" i="5"/>
  <c r="GX88" i="5"/>
  <c r="GY88" i="5"/>
  <c r="GZ88" i="5"/>
  <c r="HA88" i="5"/>
  <c r="HB88" i="5"/>
  <c r="HC88" i="5"/>
  <c r="HD88" i="5"/>
  <c r="HE88" i="5"/>
  <c r="HF88" i="5"/>
  <c r="HG88" i="5"/>
  <c r="HH88" i="5"/>
  <c r="HI88" i="5"/>
  <c r="HJ88" i="5"/>
  <c r="HK88" i="5"/>
  <c r="HL88" i="5"/>
  <c r="HM88" i="5"/>
  <c r="HN88" i="5"/>
  <c r="HO88" i="5"/>
  <c r="HP88" i="5"/>
  <c r="HQ88" i="5"/>
  <c r="HR88" i="5"/>
  <c r="HS88" i="5"/>
  <c r="HT88" i="5"/>
  <c r="HU88" i="5"/>
  <c r="HV88" i="5"/>
  <c r="HW88" i="5"/>
  <c r="HX88" i="5"/>
  <c r="HY88" i="5"/>
  <c r="HZ88" i="5"/>
  <c r="IA88" i="5"/>
  <c r="IB88" i="5"/>
  <c r="IC88" i="5"/>
  <c r="ID88" i="5"/>
  <c r="IE88" i="5"/>
  <c r="IF88" i="5"/>
  <c r="IG88" i="5"/>
  <c r="IH88" i="5"/>
  <c r="II88" i="5"/>
  <c r="IJ88" i="5"/>
  <c r="IK88" i="5"/>
  <c r="IL88" i="5"/>
  <c r="IM88" i="5"/>
  <c r="IN88" i="5"/>
  <c r="IO88" i="5"/>
  <c r="IP88" i="5"/>
  <c r="IQ88" i="5"/>
  <c r="IR88" i="5"/>
  <c r="IS88" i="5"/>
  <c r="IT88" i="5"/>
  <c r="IU88" i="5"/>
  <c r="IV88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CU89" i="5"/>
  <c r="CV89" i="5"/>
  <c r="CW89" i="5"/>
  <c r="CX89" i="5"/>
  <c r="CY89" i="5"/>
  <c r="CZ89" i="5"/>
  <c r="DA89" i="5"/>
  <c r="DB89" i="5"/>
  <c r="DC89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EJ89" i="5"/>
  <c r="EK89" i="5"/>
  <c r="EL89" i="5"/>
  <c r="EM89" i="5"/>
  <c r="EN89" i="5"/>
  <c r="EO89" i="5"/>
  <c r="EP89" i="5"/>
  <c r="EQ89" i="5"/>
  <c r="ER89" i="5"/>
  <c r="ES89" i="5"/>
  <c r="ET89" i="5"/>
  <c r="EU89" i="5"/>
  <c r="EV89" i="5"/>
  <c r="EW89" i="5"/>
  <c r="EX89" i="5"/>
  <c r="EY89" i="5"/>
  <c r="EZ89" i="5"/>
  <c r="FA89" i="5"/>
  <c r="FB89" i="5"/>
  <c r="FC89" i="5"/>
  <c r="FD89" i="5"/>
  <c r="FE89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GD89" i="5"/>
  <c r="GE89" i="5"/>
  <c r="GF89" i="5"/>
  <c r="GG89" i="5"/>
  <c r="GH89" i="5"/>
  <c r="GI89" i="5"/>
  <c r="GJ89" i="5"/>
  <c r="GK89" i="5"/>
  <c r="GL89" i="5"/>
  <c r="GM89" i="5"/>
  <c r="GN89" i="5"/>
  <c r="GO89" i="5"/>
  <c r="GP89" i="5"/>
  <c r="GQ89" i="5"/>
  <c r="GR89" i="5"/>
  <c r="GS89" i="5"/>
  <c r="GT89" i="5"/>
  <c r="GU89" i="5"/>
  <c r="GV89" i="5"/>
  <c r="GW89" i="5"/>
  <c r="GX89" i="5"/>
  <c r="GY89" i="5"/>
  <c r="GZ89" i="5"/>
  <c r="HA89" i="5"/>
  <c r="HB89" i="5"/>
  <c r="HC89" i="5"/>
  <c r="HD89" i="5"/>
  <c r="HE89" i="5"/>
  <c r="HF89" i="5"/>
  <c r="HG89" i="5"/>
  <c r="HH89" i="5"/>
  <c r="HI89" i="5"/>
  <c r="HJ89" i="5"/>
  <c r="HK89" i="5"/>
  <c r="HL89" i="5"/>
  <c r="HM89" i="5"/>
  <c r="HN89" i="5"/>
  <c r="HO89" i="5"/>
  <c r="HP89" i="5"/>
  <c r="HQ89" i="5"/>
  <c r="HR89" i="5"/>
  <c r="HS89" i="5"/>
  <c r="HT89" i="5"/>
  <c r="HU89" i="5"/>
  <c r="HV89" i="5"/>
  <c r="HW89" i="5"/>
  <c r="HX89" i="5"/>
  <c r="HY89" i="5"/>
  <c r="HZ89" i="5"/>
  <c r="IA89" i="5"/>
  <c r="IB89" i="5"/>
  <c r="IC89" i="5"/>
  <c r="ID89" i="5"/>
  <c r="IE89" i="5"/>
  <c r="IF89" i="5"/>
  <c r="IG89" i="5"/>
  <c r="IH89" i="5"/>
  <c r="II89" i="5"/>
  <c r="IJ89" i="5"/>
  <c r="IK89" i="5"/>
  <c r="IL89" i="5"/>
  <c r="IM89" i="5"/>
  <c r="IN89" i="5"/>
  <c r="IO89" i="5"/>
  <c r="IP89" i="5"/>
  <c r="IQ89" i="5"/>
  <c r="IR89" i="5"/>
  <c r="IS89" i="5"/>
  <c r="IT89" i="5"/>
  <c r="IU89" i="5"/>
  <c r="IV89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CU90" i="5"/>
  <c r="CV90" i="5"/>
  <c r="CW90" i="5"/>
  <c r="CX90" i="5"/>
  <c r="CY90" i="5"/>
  <c r="CZ90" i="5"/>
  <c r="DA90" i="5"/>
  <c r="DB90" i="5"/>
  <c r="DC90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EJ90" i="5"/>
  <c r="EK90" i="5"/>
  <c r="EL90" i="5"/>
  <c r="EM90" i="5"/>
  <c r="EN90" i="5"/>
  <c r="EO90" i="5"/>
  <c r="EP90" i="5"/>
  <c r="EQ90" i="5"/>
  <c r="ER90" i="5"/>
  <c r="ES90" i="5"/>
  <c r="ET90" i="5"/>
  <c r="EU90" i="5"/>
  <c r="EV90" i="5"/>
  <c r="EW90" i="5"/>
  <c r="EX90" i="5"/>
  <c r="EY90" i="5"/>
  <c r="EZ90" i="5"/>
  <c r="FA90" i="5"/>
  <c r="FB90" i="5"/>
  <c r="FC90" i="5"/>
  <c r="FD90" i="5"/>
  <c r="FE90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GD90" i="5"/>
  <c r="GE90" i="5"/>
  <c r="GF90" i="5"/>
  <c r="GG90" i="5"/>
  <c r="GH90" i="5"/>
  <c r="GI90" i="5"/>
  <c r="GJ90" i="5"/>
  <c r="GK90" i="5"/>
  <c r="GL90" i="5"/>
  <c r="GM90" i="5"/>
  <c r="GN90" i="5"/>
  <c r="GO90" i="5"/>
  <c r="GP90" i="5"/>
  <c r="GQ90" i="5"/>
  <c r="GR90" i="5"/>
  <c r="GS90" i="5"/>
  <c r="GT90" i="5"/>
  <c r="GU90" i="5"/>
  <c r="GV90" i="5"/>
  <c r="GW90" i="5"/>
  <c r="GX90" i="5"/>
  <c r="GY90" i="5"/>
  <c r="GZ90" i="5"/>
  <c r="HA90" i="5"/>
  <c r="HB90" i="5"/>
  <c r="HC90" i="5"/>
  <c r="HD90" i="5"/>
  <c r="HE90" i="5"/>
  <c r="HF90" i="5"/>
  <c r="HG90" i="5"/>
  <c r="HH90" i="5"/>
  <c r="HI90" i="5"/>
  <c r="HJ90" i="5"/>
  <c r="HK90" i="5"/>
  <c r="HL90" i="5"/>
  <c r="HM90" i="5"/>
  <c r="HN90" i="5"/>
  <c r="HO90" i="5"/>
  <c r="HP90" i="5"/>
  <c r="HQ90" i="5"/>
  <c r="HR90" i="5"/>
  <c r="HS90" i="5"/>
  <c r="HT90" i="5"/>
  <c r="HU90" i="5"/>
  <c r="HV90" i="5"/>
  <c r="HW90" i="5"/>
  <c r="HX90" i="5"/>
  <c r="HY90" i="5"/>
  <c r="HZ90" i="5"/>
  <c r="IA90" i="5"/>
  <c r="IB90" i="5"/>
  <c r="IC90" i="5"/>
  <c r="ID90" i="5"/>
  <c r="IE90" i="5"/>
  <c r="IF90" i="5"/>
  <c r="IG90" i="5"/>
  <c r="IH90" i="5"/>
  <c r="II90" i="5"/>
  <c r="IJ90" i="5"/>
  <c r="IK90" i="5"/>
  <c r="IL90" i="5"/>
  <c r="IM90" i="5"/>
  <c r="IN90" i="5"/>
  <c r="IO90" i="5"/>
  <c r="IP90" i="5"/>
  <c r="IQ90" i="5"/>
  <c r="IR90" i="5"/>
  <c r="IS90" i="5"/>
  <c r="IT90" i="5"/>
  <c r="IU90" i="5"/>
  <c r="IV90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CU91" i="5"/>
  <c r="CV91" i="5"/>
  <c r="CW91" i="5"/>
  <c r="CX91" i="5"/>
  <c r="CY91" i="5"/>
  <c r="CZ91" i="5"/>
  <c r="DA91" i="5"/>
  <c r="DB91" i="5"/>
  <c r="DC91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EJ91" i="5"/>
  <c r="EK91" i="5"/>
  <c r="EL91" i="5"/>
  <c r="EM91" i="5"/>
  <c r="EN91" i="5"/>
  <c r="EO91" i="5"/>
  <c r="EP91" i="5"/>
  <c r="EQ91" i="5"/>
  <c r="ER91" i="5"/>
  <c r="ES91" i="5"/>
  <c r="ET91" i="5"/>
  <c r="EU91" i="5"/>
  <c r="EV91" i="5"/>
  <c r="EW91" i="5"/>
  <c r="EX91" i="5"/>
  <c r="EY91" i="5"/>
  <c r="EZ91" i="5"/>
  <c r="FA91" i="5"/>
  <c r="FB91" i="5"/>
  <c r="FC91" i="5"/>
  <c r="FD91" i="5"/>
  <c r="FE91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GD91" i="5"/>
  <c r="GE91" i="5"/>
  <c r="GF91" i="5"/>
  <c r="GG91" i="5"/>
  <c r="GH91" i="5"/>
  <c r="GI91" i="5"/>
  <c r="GJ91" i="5"/>
  <c r="GK91" i="5"/>
  <c r="GL91" i="5"/>
  <c r="GM91" i="5"/>
  <c r="GN91" i="5"/>
  <c r="GO91" i="5"/>
  <c r="GP91" i="5"/>
  <c r="GQ91" i="5"/>
  <c r="GR91" i="5"/>
  <c r="GS91" i="5"/>
  <c r="GT91" i="5"/>
  <c r="GU91" i="5"/>
  <c r="GV91" i="5"/>
  <c r="GW91" i="5"/>
  <c r="GX91" i="5"/>
  <c r="GY91" i="5"/>
  <c r="GZ91" i="5"/>
  <c r="HA91" i="5"/>
  <c r="HB91" i="5"/>
  <c r="HC91" i="5"/>
  <c r="HD91" i="5"/>
  <c r="HE91" i="5"/>
  <c r="HF91" i="5"/>
  <c r="HG91" i="5"/>
  <c r="HH91" i="5"/>
  <c r="HI91" i="5"/>
  <c r="HJ91" i="5"/>
  <c r="HK91" i="5"/>
  <c r="HL91" i="5"/>
  <c r="HM91" i="5"/>
  <c r="HN91" i="5"/>
  <c r="HO91" i="5"/>
  <c r="HP91" i="5"/>
  <c r="HQ91" i="5"/>
  <c r="HR91" i="5"/>
  <c r="HS91" i="5"/>
  <c r="HT91" i="5"/>
  <c r="HU91" i="5"/>
  <c r="HV91" i="5"/>
  <c r="HW91" i="5"/>
  <c r="HX91" i="5"/>
  <c r="HY91" i="5"/>
  <c r="HZ91" i="5"/>
  <c r="IA91" i="5"/>
  <c r="IB91" i="5"/>
  <c r="IC91" i="5"/>
  <c r="ID91" i="5"/>
  <c r="IE91" i="5"/>
  <c r="IF91" i="5"/>
  <c r="IG91" i="5"/>
  <c r="IH91" i="5"/>
  <c r="II91" i="5"/>
  <c r="IJ91" i="5"/>
  <c r="IK91" i="5"/>
  <c r="IL91" i="5"/>
  <c r="IM91" i="5"/>
  <c r="IN91" i="5"/>
  <c r="IO91" i="5"/>
  <c r="IP91" i="5"/>
  <c r="IQ91" i="5"/>
  <c r="IR91" i="5"/>
  <c r="IS91" i="5"/>
  <c r="IT91" i="5"/>
  <c r="IU91" i="5"/>
  <c r="IV91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CU92" i="5"/>
  <c r="CV92" i="5"/>
  <c r="CW92" i="5"/>
  <c r="CX92" i="5"/>
  <c r="CY92" i="5"/>
  <c r="CZ92" i="5"/>
  <c r="DA92" i="5"/>
  <c r="DB92" i="5"/>
  <c r="DC92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EJ92" i="5"/>
  <c r="EK92" i="5"/>
  <c r="EL92" i="5"/>
  <c r="EM92" i="5"/>
  <c r="EN92" i="5"/>
  <c r="EO92" i="5"/>
  <c r="EP92" i="5"/>
  <c r="EQ92" i="5"/>
  <c r="ER92" i="5"/>
  <c r="ES92" i="5"/>
  <c r="ET92" i="5"/>
  <c r="EU92" i="5"/>
  <c r="EV92" i="5"/>
  <c r="EW92" i="5"/>
  <c r="EX92" i="5"/>
  <c r="EY92" i="5"/>
  <c r="EZ92" i="5"/>
  <c r="FA92" i="5"/>
  <c r="FB92" i="5"/>
  <c r="FC92" i="5"/>
  <c r="FD92" i="5"/>
  <c r="FE92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GD92" i="5"/>
  <c r="GE92" i="5"/>
  <c r="GF92" i="5"/>
  <c r="GG92" i="5"/>
  <c r="GH92" i="5"/>
  <c r="GI92" i="5"/>
  <c r="GJ92" i="5"/>
  <c r="GK92" i="5"/>
  <c r="GL92" i="5"/>
  <c r="GM92" i="5"/>
  <c r="GN92" i="5"/>
  <c r="GO92" i="5"/>
  <c r="GP92" i="5"/>
  <c r="GQ92" i="5"/>
  <c r="GR92" i="5"/>
  <c r="GS92" i="5"/>
  <c r="GT92" i="5"/>
  <c r="GU92" i="5"/>
  <c r="GV92" i="5"/>
  <c r="GW92" i="5"/>
  <c r="GX92" i="5"/>
  <c r="GY92" i="5"/>
  <c r="GZ92" i="5"/>
  <c r="HA92" i="5"/>
  <c r="HB92" i="5"/>
  <c r="HC92" i="5"/>
  <c r="HD92" i="5"/>
  <c r="HE92" i="5"/>
  <c r="HF92" i="5"/>
  <c r="HG92" i="5"/>
  <c r="HH92" i="5"/>
  <c r="HI92" i="5"/>
  <c r="HJ92" i="5"/>
  <c r="HK92" i="5"/>
  <c r="HL92" i="5"/>
  <c r="HM92" i="5"/>
  <c r="HN92" i="5"/>
  <c r="HO92" i="5"/>
  <c r="HP92" i="5"/>
  <c r="HQ92" i="5"/>
  <c r="HR92" i="5"/>
  <c r="HS92" i="5"/>
  <c r="HT92" i="5"/>
  <c r="HU92" i="5"/>
  <c r="HV92" i="5"/>
  <c r="HW92" i="5"/>
  <c r="HX92" i="5"/>
  <c r="HY92" i="5"/>
  <c r="HZ92" i="5"/>
  <c r="IA92" i="5"/>
  <c r="IB92" i="5"/>
  <c r="IC92" i="5"/>
  <c r="ID92" i="5"/>
  <c r="IE92" i="5"/>
  <c r="IF92" i="5"/>
  <c r="IG92" i="5"/>
  <c r="IH92" i="5"/>
  <c r="II92" i="5"/>
  <c r="IJ92" i="5"/>
  <c r="IK92" i="5"/>
  <c r="IL92" i="5"/>
  <c r="IM92" i="5"/>
  <c r="IN92" i="5"/>
  <c r="IO92" i="5"/>
  <c r="IP92" i="5"/>
  <c r="IQ92" i="5"/>
  <c r="IR92" i="5"/>
  <c r="IS92" i="5"/>
  <c r="IT92" i="5"/>
  <c r="IU92" i="5"/>
  <c r="IV92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CU93" i="5"/>
  <c r="CV93" i="5"/>
  <c r="CW93" i="5"/>
  <c r="CX93" i="5"/>
  <c r="CY93" i="5"/>
  <c r="CZ93" i="5"/>
  <c r="DA93" i="5"/>
  <c r="DB93" i="5"/>
  <c r="DC93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EJ93" i="5"/>
  <c r="EK93" i="5"/>
  <c r="EL93" i="5"/>
  <c r="EM93" i="5"/>
  <c r="EN93" i="5"/>
  <c r="EO93" i="5"/>
  <c r="EP93" i="5"/>
  <c r="EQ93" i="5"/>
  <c r="ER93" i="5"/>
  <c r="ES93" i="5"/>
  <c r="ET93" i="5"/>
  <c r="EU93" i="5"/>
  <c r="EV93" i="5"/>
  <c r="EW93" i="5"/>
  <c r="EX93" i="5"/>
  <c r="EY93" i="5"/>
  <c r="EZ93" i="5"/>
  <c r="FA93" i="5"/>
  <c r="FB93" i="5"/>
  <c r="FC93" i="5"/>
  <c r="FD93" i="5"/>
  <c r="FE93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GD93" i="5"/>
  <c r="GE93" i="5"/>
  <c r="GF93" i="5"/>
  <c r="GG93" i="5"/>
  <c r="GH93" i="5"/>
  <c r="GI93" i="5"/>
  <c r="GJ93" i="5"/>
  <c r="GK93" i="5"/>
  <c r="GL93" i="5"/>
  <c r="GM93" i="5"/>
  <c r="GN93" i="5"/>
  <c r="GO93" i="5"/>
  <c r="GP93" i="5"/>
  <c r="GQ93" i="5"/>
  <c r="GR93" i="5"/>
  <c r="GS93" i="5"/>
  <c r="GT93" i="5"/>
  <c r="GU93" i="5"/>
  <c r="GV93" i="5"/>
  <c r="GW93" i="5"/>
  <c r="GX93" i="5"/>
  <c r="GY93" i="5"/>
  <c r="GZ93" i="5"/>
  <c r="HA93" i="5"/>
  <c r="HB93" i="5"/>
  <c r="HC93" i="5"/>
  <c r="HD93" i="5"/>
  <c r="HE93" i="5"/>
  <c r="HF93" i="5"/>
  <c r="HG93" i="5"/>
  <c r="HH93" i="5"/>
  <c r="HI93" i="5"/>
  <c r="HJ93" i="5"/>
  <c r="HK93" i="5"/>
  <c r="HL93" i="5"/>
  <c r="HM93" i="5"/>
  <c r="HN93" i="5"/>
  <c r="HO93" i="5"/>
  <c r="HP93" i="5"/>
  <c r="HQ93" i="5"/>
  <c r="HR93" i="5"/>
  <c r="HS93" i="5"/>
  <c r="HT93" i="5"/>
  <c r="HU93" i="5"/>
  <c r="HV93" i="5"/>
  <c r="HW93" i="5"/>
  <c r="HX93" i="5"/>
  <c r="HY93" i="5"/>
  <c r="HZ93" i="5"/>
  <c r="IA93" i="5"/>
  <c r="IB93" i="5"/>
  <c r="IC93" i="5"/>
  <c r="ID93" i="5"/>
  <c r="IE93" i="5"/>
  <c r="IF93" i="5"/>
  <c r="IG93" i="5"/>
  <c r="IH93" i="5"/>
  <c r="II93" i="5"/>
  <c r="IJ93" i="5"/>
  <c r="IK93" i="5"/>
  <c r="IL93" i="5"/>
  <c r="IM93" i="5"/>
  <c r="IN93" i="5"/>
  <c r="IO93" i="5"/>
  <c r="IP93" i="5"/>
  <c r="IQ93" i="5"/>
  <c r="IR93" i="5"/>
  <c r="IS93" i="5"/>
  <c r="IT93" i="5"/>
  <c r="IU93" i="5"/>
  <c r="IV93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CU94" i="5"/>
  <c r="CV94" i="5"/>
  <c r="CW94" i="5"/>
  <c r="CX94" i="5"/>
  <c r="CY94" i="5"/>
  <c r="CZ94" i="5"/>
  <c r="DA94" i="5"/>
  <c r="DB94" i="5"/>
  <c r="DC94" i="5"/>
  <c r="DD94" i="5"/>
  <c r="DE94" i="5"/>
  <c r="DF94" i="5"/>
  <c r="DG94" i="5"/>
  <c r="DH94" i="5"/>
  <c r="DI94" i="5"/>
  <c r="DJ94" i="5"/>
  <c r="DK94" i="5"/>
  <c r="DL94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EJ94" i="5"/>
  <c r="EK94" i="5"/>
  <c r="EL94" i="5"/>
  <c r="EM94" i="5"/>
  <c r="EN94" i="5"/>
  <c r="EO94" i="5"/>
  <c r="EP94" i="5"/>
  <c r="EQ94" i="5"/>
  <c r="ER94" i="5"/>
  <c r="ES94" i="5"/>
  <c r="ET94" i="5"/>
  <c r="EU94" i="5"/>
  <c r="EV94" i="5"/>
  <c r="EW94" i="5"/>
  <c r="EX94" i="5"/>
  <c r="EY94" i="5"/>
  <c r="EZ94" i="5"/>
  <c r="FA94" i="5"/>
  <c r="FB94" i="5"/>
  <c r="FC94" i="5"/>
  <c r="FD94" i="5"/>
  <c r="FE94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GD94" i="5"/>
  <c r="GE94" i="5"/>
  <c r="GF94" i="5"/>
  <c r="GG94" i="5"/>
  <c r="GH94" i="5"/>
  <c r="GI94" i="5"/>
  <c r="GJ94" i="5"/>
  <c r="GK94" i="5"/>
  <c r="GL94" i="5"/>
  <c r="GM94" i="5"/>
  <c r="GN94" i="5"/>
  <c r="GO94" i="5"/>
  <c r="GP94" i="5"/>
  <c r="GQ94" i="5"/>
  <c r="GR94" i="5"/>
  <c r="GS94" i="5"/>
  <c r="GT94" i="5"/>
  <c r="GU94" i="5"/>
  <c r="GV94" i="5"/>
  <c r="GW94" i="5"/>
  <c r="GX94" i="5"/>
  <c r="GY94" i="5"/>
  <c r="GZ94" i="5"/>
  <c r="HA94" i="5"/>
  <c r="HB94" i="5"/>
  <c r="HC94" i="5"/>
  <c r="HD94" i="5"/>
  <c r="HE94" i="5"/>
  <c r="HF94" i="5"/>
  <c r="HG94" i="5"/>
  <c r="HH94" i="5"/>
  <c r="HI94" i="5"/>
  <c r="HJ94" i="5"/>
  <c r="HK94" i="5"/>
  <c r="HL94" i="5"/>
  <c r="HM94" i="5"/>
  <c r="HN94" i="5"/>
  <c r="HO94" i="5"/>
  <c r="HP94" i="5"/>
  <c r="HQ94" i="5"/>
  <c r="HR94" i="5"/>
  <c r="HS94" i="5"/>
  <c r="HT94" i="5"/>
  <c r="HU94" i="5"/>
  <c r="HV94" i="5"/>
  <c r="HW94" i="5"/>
  <c r="HX94" i="5"/>
  <c r="HY94" i="5"/>
  <c r="HZ94" i="5"/>
  <c r="IA94" i="5"/>
  <c r="IB94" i="5"/>
  <c r="IC94" i="5"/>
  <c r="ID94" i="5"/>
  <c r="IE94" i="5"/>
  <c r="IF94" i="5"/>
  <c r="IG94" i="5"/>
  <c r="IH94" i="5"/>
  <c r="II94" i="5"/>
  <c r="IJ94" i="5"/>
  <c r="IK94" i="5"/>
  <c r="IL94" i="5"/>
  <c r="IM94" i="5"/>
  <c r="IN94" i="5"/>
  <c r="IO94" i="5"/>
  <c r="IP94" i="5"/>
  <c r="IQ94" i="5"/>
  <c r="IR94" i="5"/>
  <c r="IS94" i="5"/>
  <c r="IT94" i="5"/>
  <c r="IU94" i="5"/>
  <c r="IV94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CU95" i="5"/>
  <c r="CV95" i="5"/>
  <c r="CW95" i="5"/>
  <c r="CX95" i="5"/>
  <c r="CY95" i="5"/>
  <c r="CZ95" i="5"/>
  <c r="DA95" i="5"/>
  <c r="DB95" i="5"/>
  <c r="DC95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EJ95" i="5"/>
  <c r="EK95" i="5"/>
  <c r="EL95" i="5"/>
  <c r="EM95" i="5"/>
  <c r="EN95" i="5"/>
  <c r="EO95" i="5"/>
  <c r="EP95" i="5"/>
  <c r="EQ95" i="5"/>
  <c r="ER95" i="5"/>
  <c r="ES95" i="5"/>
  <c r="ET95" i="5"/>
  <c r="EU95" i="5"/>
  <c r="EV95" i="5"/>
  <c r="EW95" i="5"/>
  <c r="EX95" i="5"/>
  <c r="EY95" i="5"/>
  <c r="EZ95" i="5"/>
  <c r="FA95" i="5"/>
  <c r="FB95" i="5"/>
  <c r="FC95" i="5"/>
  <c r="FD95" i="5"/>
  <c r="FE95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GD95" i="5"/>
  <c r="GE95" i="5"/>
  <c r="GF95" i="5"/>
  <c r="GG95" i="5"/>
  <c r="GH95" i="5"/>
  <c r="GI95" i="5"/>
  <c r="GJ95" i="5"/>
  <c r="GK95" i="5"/>
  <c r="GL95" i="5"/>
  <c r="GM95" i="5"/>
  <c r="GN95" i="5"/>
  <c r="GO95" i="5"/>
  <c r="GP95" i="5"/>
  <c r="GQ95" i="5"/>
  <c r="GR95" i="5"/>
  <c r="GS95" i="5"/>
  <c r="GT95" i="5"/>
  <c r="GU95" i="5"/>
  <c r="GV95" i="5"/>
  <c r="GW95" i="5"/>
  <c r="GX95" i="5"/>
  <c r="GY95" i="5"/>
  <c r="GZ95" i="5"/>
  <c r="HA95" i="5"/>
  <c r="HB95" i="5"/>
  <c r="HC95" i="5"/>
  <c r="HD95" i="5"/>
  <c r="HE95" i="5"/>
  <c r="HF95" i="5"/>
  <c r="HG95" i="5"/>
  <c r="HH95" i="5"/>
  <c r="HI95" i="5"/>
  <c r="HJ95" i="5"/>
  <c r="HK95" i="5"/>
  <c r="HL95" i="5"/>
  <c r="HM95" i="5"/>
  <c r="HN95" i="5"/>
  <c r="HO95" i="5"/>
  <c r="HP95" i="5"/>
  <c r="HQ95" i="5"/>
  <c r="HR95" i="5"/>
  <c r="HS95" i="5"/>
  <c r="HT95" i="5"/>
  <c r="HU95" i="5"/>
  <c r="HV95" i="5"/>
  <c r="HW95" i="5"/>
  <c r="HX95" i="5"/>
  <c r="HY95" i="5"/>
  <c r="HZ95" i="5"/>
  <c r="IA95" i="5"/>
  <c r="IB95" i="5"/>
  <c r="IC95" i="5"/>
  <c r="ID95" i="5"/>
  <c r="IE95" i="5"/>
  <c r="IF95" i="5"/>
  <c r="IG95" i="5"/>
  <c r="IH95" i="5"/>
  <c r="II95" i="5"/>
  <c r="IJ95" i="5"/>
  <c r="IK95" i="5"/>
  <c r="IL95" i="5"/>
  <c r="IM95" i="5"/>
  <c r="IN95" i="5"/>
  <c r="IO95" i="5"/>
  <c r="IP95" i="5"/>
  <c r="IQ95" i="5"/>
  <c r="IR95" i="5"/>
  <c r="IS95" i="5"/>
  <c r="IT95" i="5"/>
  <c r="IU95" i="5"/>
  <c r="IV95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CU96" i="5"/>
  <c r="CV96" i="5"/>
  <c r="CW96" i="5"/>
  <c r="CX96" i="5"/>
  <c r="CY96" i="5"/>
  <c r="CZ96" i="5"/>
  <c r="DA96" i="5"/>
  <c r="DB96" i="5"/>
  <c r="DC96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EJ96" i="5"/>
  <c r="EK96" i="5"/>
  <c r="EL96" i="5"/>
  <c r="EM96" i="5"/>
  <c r="EN96" i="5"/>
  <c r="EO96" i="5"/>
  <c r="EP96" i="5"/>
  <c r="EQ96" i="5"/>
  <c r="ER96" i="5"/>
  <c r="ES96" i="5"/>
  <c r="ET96" i="5"/>
  <c r="EU96" i="5"/>
  <c r="EV96" i="5"/>
  <c r="EW96" i="5"/>
  <c r="EX96" i="5"/>
  <c r="EY96" i="5"/>
  <c r="EZ96" i="5"/>
  <c r="FA96" i="5"/>
  <c r="FB96" i="5"/>
  <c r="FC96" i="5"/>
  <c r="FD96" i="5"/>
  <c r="FE96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GD96" i="5"/>
  <c r="GE96" i="5"/>
  <c r="GF96" i="5"/>
  <c r="GG96" i="5"/>
  <c r="GH96" i="5"/>
  <c r="GI96" i="5"/>
  <c r="GJ96" i="5"/>
  <c r="GK96" i="5"/>
  <c r="GL96" i="5"/>
  <c r="GM96" i="5"/>
  <c r="GN96" i="5"/>
  <c r="GO96" i="5"/>
  <c r="GP96" i="5"/>
  <c r="GQ96" i="5"/>
  <c r="GR96" i="5"/>
  <c r="GS96" i="5"/>
  <c r="GT96" i="5"/>
  <c r="GU96" i="5"/>
  <c r="GV96" i="5"/>
  <c r="GW96" i="5"/>
  <c r="GX96" i="5"/>
  <c r="GY96" i="5"/>
  <c r="GZ96" i="5"/>
  <c r="HA96" i="5"/>
  <c r="HB96" i="5"/>
  <c r="HC96" i="5"/>
  <c r="HD96" i="5"/>
  <c r="HE96" i="5"/>
  <c r="HF96" i="5"/>
  <c r="HG96" i="5"/>
  <c r="HH96" i="5"/>
  <c r="HI96" i="5"/>
  <c r="HJ96" i="5"/>
  <c r="HK96" i="5"/>
  <c r="HL96" i="5"/>
  <c r="HM96" i="5"/>
  <c r="HN96" i="5"/>
  <c r="HO96" i="5"/>
  <c r="HP96" i="5"/>
  <c r="HQ96" i="5"/>
  <c r="HR96" i="5"/>
  <c r="HS96" i="5"/>
  <c r="HT96" i="5"/>
  <c r="HU96" i="5"/>
  <c r="HV96" i="5"/>
  <c r="HW96" i="5"/>
  <c r="HX96" i="5"/>
  <c r="HY96" i="5"/>
  <c r="HZ96" i="5"/>
  <c r="IA96" i="5"/>
  <c r="IB96" i="5"/>
  <c r="IC96" i="5"/>
  <c r="ID96" i="5"/>
  <c r="IE96" i="5"/>
  <c r="IF96" i="5"/>
  <c r="IG96" i="5"/>
  <c r="IH96" i="5"/>
  <c r="II96" i="5"/>
  <c r="IJ96" i="5"/>
  <c r="IK96" i="5"/>
  <c r="IL96" i="5"/>
  <c r="IM96" i="5"/>
  <c r="IN96" i="5"/>
  <c r="IO96" i="5"/>
  <c r="IP96" i="5"/>
  <c r="IQ96" i="5"/>
  <c r="IR96" i="5"/>
  <c r="IS96" i="5"/>
  <c r="IT96" i="5"/>
  <c r="IU96" i="5"/>
  <c r="IV96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EJ97" i="5"/>
  <c r="EK97" i="5"/>
  <c r="EL97" i="5"/>
  <c r="EM97" i="5"/>
  <c r="EN97" i="5"/>
  <c r="EO97" i="5"/>
  <c r="EP97" i="5"/>
  <c r="EQ97" i="5"/>
  <c r="ER97" i="5"/>
  <c r="ES97" i="5"/>
  <c r="ET97" i="5"/>
  <c r="EU97" i="5"/>
  <c r="EV97" i="5"/>
  <c r="EW97" i="5"/>
  <c r="EX97" i="5"/>
  <c r="EY97" i="5"/>
  <c r="EZ97" i="5"/>
  <c r="FA97" i="5"/>
  <c r="FB97" i="5"/>
  <c r="FC97" i="5"/>
  <c r="FD97" i="5"/>
  <c r="FE97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GD97" i="5"/>
  <c r="GE97" i="5"/>
  <c r="GF97" i="5"/>
  <c r="GG97" i="5"/>
  <c r="GH97" i="5"/>
  <c r="GI97" i="5"/>
  <c r="GJ97" i="5"/>
  <c r="GK97" i="5"/>
  <c r="GL97" i="5"/>
  <c r="GM97" i="5"/>
  <c r="GN97" i="5"/>
  <c r="GO97" i="5"/>
  <c r="GP97" i="5"/>
  <c r="GQ97" i="5"/>
  <c r="GR97" i="5"/>
  <c r="GS97" i="5"/>
  <c r="GT97" i="5"/>
  <c r="GU97" i="5"/>
  <c r="GV97" i="5"/>
  <c r="GW97" i="5"/>
  <c r="GX97" i="5"/>
  <c r="GY97" i="5"/>
  <c r="GZ97" i="5"/>
  <c r="HA97" i="5"/>
  <c r="HB97" i="5"/>
  <c r="HC97" i="5"/>
  <c r="HD97" i="5"/>
  <c r="HE97" i="5"/>
  <c r="HF97" i="5"/>
  <c r="HG97" i="5"/>
  <c r="HH97" i="5"/>
  <c r="HI97" i="5"/>
  <c r="HJ97" i="5"/>
  <c r="HK97" i="5"/>
  <c r="HL97" i="5"/>
  <c r="HM97" i="5"/>
  <c r="HN97" i="5"/>
  <c r="HO97" i="5"/>
  <c r="HP97" i="5"/>
  <c r="HQ97" i="5"/>
  <c r="HR97" i="5"/>
  <c r="HS97" i="5"/>
  <c r="HT97" i="5"/>
  <c r="HU97" i="5"/>
  <c r="HV97" i="5"/>
  <c r="HW97" i="5"/>
  <c r="HX97" i="5"/>
  <c r="HY97" i="5"/>
  <c r="HZ97" i="5"/>
  <c r="IA97" i="5"/>
  <c r="IB97" i="5"/>
  <c r="IC97" i="5"/>
  <c r="ID97" i="5"/>
  <c r="IE97" i="5"/>
  <c r="IF97" i="5"/>
  <c r="IG97" i="5"/>
  <c r="IH97" i="5"/>
  <c r="II97" i="5"/>
  <c r="IJ97" i="5"/>
  <c r="IK97" i="5"/>
  <c r="IL97" i="5"/>
  <c r="IM97" i="5"/>
  <c r="IN97" i="5"/>
  <c r="IO97" i="5"/>
  <c r="IP97" i="5"/>
  <c r="IQ97" i="5"/>
  <c r="IR97" i="5"/>
  <c r="IS97" i="5"/>
  <c r="IT97" i="5"/>
  <c r="IU97" i="5"/>
  <c r="IV97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CU98" i="5"/>
  <c r="CV98" i="5"/>
  <c r="CW98" i="5"/>
  <c r="CX98" i="5"/>
  <c r="CY98" i="5"/>
  <c r="CZ98" i="5"/>
  <c r="DA98" i="5"/>
  <c r="DB98" i="5"/>
  <c r="DC98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EJ98" i="5"/>
  <c r="EK98" i="5"/>
  <c r="EL98" i="5"/>
  <c r="EM98" i="5"/>
  <c r="EN98" i="5"/>
  <c r="EO98" i="5"/>
  <c r="EP98" i="5"/>
  <c r="EQ98" i="5"/>
  <c r="ER98" i="5"/>
  <c r="ES98" i="5"/>
  <c r="ET98" i="5"/>
  <c r="EU98" i="5"/>
  <c r="EV98" i="5"/>
  <c r="EW98" i="5"/>
  <c r="EX98" i="5"/>
  <c r="EY98" i="5"/>
  <c r="EZ98" i="5"/>
  <c r="FA98" i="5"/>
  <c r="FB98" i="5"/>
  <c r="FC98" i="5"/>
  <c r="FD98" i="5"/>
  <c r="FE98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GD98" i="5"/>
  <c r="GE98" i="5"/>
  <c r="GF98" i="5"/>
  <c r="GG98" i="5"/>
  <c r="GH98" i="5"/>
  <c r="GI98" i="5"/>
  <c r="GJ98" i="5"/>
  <c r="GK98" i="5"/>
  <c r="GL98" i="5"/>
  <c r="GM98" i="5"/>
  <c r="GN98" i="5"/>
  <c r="GO98" i="5"/>
  <c r="GP98" i="5"/>
  <c r="GQ98" i="5"/>
  <c r="GR98" i="5"/>
  <c r="GS98" i="5"/>
  <c r="GT98" i="5"/>
  <c r="GU98" i="5"/>
  <c r="GV98" i="5"/>
  <c r="GW98" i="5"/>
  <c r="GX98" i="5"/>
  <c r="GY98" i="5"/>
  <c r="GZ98" i="5"/>
  <c r="HA98" i="5"/>
  <c r="HB98" i="5"/>
  <c r="HC98" i="5"/>
  <c r="HD98" i="5"/>
  <c r="HE98" i="5"/>
  <c r="HF98" i="5"/>
  <c r="HG98" i="5"/>
  <c r="HH98" i="5"/>
  <c r="HI98" i="5"/>
  <c r="HJ98" i="5"/>
  <c r="HK98" i="5"/>
  <c r="HL98" i="5"/>
  <c r="HM98" i="5"/>
  <c r="HN98" i="5"/>
  <c r="HO98" i="5"/>
  <c r="HP98" i="5"/>
  <c r="HQ98" i="5"/>
  <c r="HR98" i="5"/>
  <c r="HS98" i="5"/>
  <c r="HT98" i="5"/>
  <c r="HU98" i="5"/>
  <c r="HV98" i="5"/>
  <c r="HW98" i="5"/>
  <c r="HX98" i="5"/>
  <c r="HY98" i="5"/>
  <c r="HZ98" i="5"/>
  <c r="IA98" i="5"/>
  <c r="IB98" i="5"/>
  <c r="IC98" i="5"/>
  <c r="ID98" i="5"/>
  <c r="IE98" i="5"/>
  <c r="IF98" i="5"/>
  <c r="IG98" i="5"/>
  <c r="IH98" i="5"/>
  <c r="II98" i="5"/>
  <c r="IJ98" i="5"/>
  <c r="IK98" i="5"/>
  <c r="IL98" i="5"/>
  <c r="IM98" i="5"/>
  <c r="IN98" i="5"/>
  <c r="IO98" i="5"/>
  <c r="IP98" i="5"/>
  <c r="IQ98" i="5"/>
  <c r="IR98" i="5"/>
  <c r="IS98" i="5"/>
  <c r="IT98" i="5"/>
  <c r="IU98" i="5"/>
  <c r="IV98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CU99" i="5"/>
  <c r="CV99" i="5"/>
  <c r="CW99" i="5"/>
  <c r="CX99" i="5"/>
  <c r="CY99" i="5"/>
  <c r="CZ99" i="5"/>
  <c r="DA99" i="5"/>
  <c r="DB99" i="5"/>
  <c r="DC99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EJ99" i="5"/>
  <c r="EK99" i="5"/>
  <c r="EL99" i="5"/>
  <c r="EM99" i="5"/>
  <c r="EN99" i="5"/>
  <c r="EO99" i="5"/>
  <c r="EP99" i="5"/>
  <c r="EQ99" i="5"/>
  <c r="ER99" i="5"/>
  <c r="ES99" i="5"/>
  <c r="ET99" i="5"/>
  <c r="EU99" i="5"/>
  <c r="EV99" i="5"/>
  <c r="EW99" i="5"/>
  <c r="EX99" i="5"/>
  <c r="EY99" i="5"/>
  <c r="EZ99" i="5"/>
  <c r="FA99" i="5"/>
  <c r="FB99" i="5"/>
  <c r="FC99" i="5"/>
  <c r="FD99" i="5"/>
  <c r="FE99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GD99" i="5"/>
  <c r="GE99" i="5"/>
  <c r="GF99" i="5"/>
  <c r="GG99" i="5"/>
  <c r="GH99" i="5"/>
  <c r="GI99" i="5"/>
  <c r="GJ99" i="5"/>
  <c r="GK99" i="5"/>
  <c r="GL99" i="5"/>
  <c r="GM99" i="5"/>
  <c r="GN99" i="5"/>
  <c r="GO99" i="5"/>
  <c r="GP99" i="5"/>
  <c r="GQ99" i="5"/>
  <c r="GR99" i="5"/>
  <c r="GS99" i="5"/>
  <c r="GT99" i="5"/>
  <c r="GU99" i="5"/>
  <c r="GV99" i="5"/>
  <c r="GW99" i="5"/>
  <c r="GX99" i="5"/>
  <c r="GY99" i="5"/>
  <c r="GZ99" i="5"/>
  <c r="HA99" i="5"/>
  <c r="HB99" i="5"/>
  <c r="HC99" i="5"/>
  <c r="HD99" i="5"/>
  <c r="HE99" i="5"/>
  <c r="HF99" i="5"/>
  <c r="HG99" i="5"/>
  <c r="HH99" i="5"/>
  <c r="HI99" i="5"/>
  <c r="HJ99" i="5"/>
  <c r="HK99" i="5"/>
  <c r="HL99" i="5"/>
  <c r="HM99" i="5"/>
  <c r="HN99" i="5"/>
  <c r="HO99" i="5"/>
  <c r="HP99" i="5"/>
  <c r="HQ99" i="5"/>
  <c r="HR99" i="5"/>
  <c r="HS99" i="5"/>
  <c r="HT99" i="5"/>
  <c r="HU99" i="5"/>
  <c r="HV99" i="5"/>
  <c r="HW99" i="5"/>
  <c r="HX99" i="5"/>
  <c r="HY99" i="5"/>
  <c r="HZ99" i="5"/>
  <c r="IA99" i="5"/>
  <c r="IB99" i="5"/>
  <c r="IC99" i="5"/>
  <c r="ID99" i="5"/>
  <c r="IE99" i="5"/>
  <c r="IF99" i="5"/>
  <c r="IG99" i="5"/>
  <c r="IH99" i="5"/>
  <c r="II99" i="5"/>
  <c r="IJ99" i="5"/>
  <c r="IK99" i="5"/>
  <c r="IL99" i="5"/>
  <c r="IM99" i="5"/>
  <c r="IN99" i="5"/>
  <c r="IO99" i="5"/>
  <c r="IP99" i="5"/>
  <c r="IQ99" i="5"/>
  <c r="IR99" i="5"/>
  <c r="IS99" i="5"/>
  <c r="IT99" i="5"/>
  <c r="IU99" i="5"/>
  <c r="IV99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CU100" i="5"/>
  <c r="CV100" i="5"/>
  <c r="CW100" i="5"/>
  <c r="CX100" i="5"/>
  <c r="CY100" i="5"/>
  <c r="CZ100" i="5"/>
  <c r="DA100" i="5"/>
  <c r="DB100" i="5"/>
  <c r="DC100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EJ100" i="5"/>
  <c r="EK100" i="5"/>
  <c r="EL100" i="5"/>
  <c r="EM100" i="5"/>
  <c r="EN100" i="5"/>
  <c r="EO100" i="5"/>
  <c r="EP100" i="5"/>
  <c r="EQ100" i="5"/>
  <c r="ER100" i="5"/>
  <c r="ES100" i="5"/>
  <c r="ET100" i="5"/>
  <c r="EU100" i="5"/>
  <c r="EV100" i="5"/>
  <c r="EW100" i="5"/>
  <c r="EX100" i="5"/>
  <c r="EY100" i="5"/>
  <c r="EZ100" i="5"/>
  <c r="FA100" i="5"/>
  <c r="FB100" i="5"/>
  <c r="FC100" i="5"/>
  <c r="FD100" i="5"/>
  <c r="FE100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GD100" i="5"/>
  <c r="GE100" i="5"/>
  <c r="GF100" i="5"/>
  <c r="GG100" i="5"/>
  <c r="GH100" i="5"/>
  <c r="GI100" i="5"/>
  <c r="GJ100" i="5"/>
  <c r="GK100" i="5"/>
  <c r="GL100" i="5"/>
  <c r="GM100" i="5"/>
  <c r="GN100" i="5"/>
  <c r="GO100" i="5"/>
  <c r="GP100" i="5"/>
  <c r="GQ100" i="5"/>
  <c r="GR100" i="5"/>
  <c r="GS100" i="5"/>
  <c r="GT100" i="5"/>
  <c r="GU100" i="5"/>
  <c r="GV100" i="5"/>
  <c r="GW100" i="5"/>
  <c r="GX100" i="5"/>
  <c r="GY100" i="5"/>
  <c r="GZ100" i="5"/>
  <c r="HA100" i="5"/>
  <c r="HB100" i="5"/>
  <c r="HC100" i="5"/>
  <c r="HD100" i="5"/>
  <c r="HE100" i="5"/>
  <c r="HF100" i="5"/>
  <c r="HG100" i="5"/>
  <c r="HH100" i="5"/>
  <c r="HI100" i="5"/>
  <c r="HJ100" i="5"/>
  <c r="HK100" i="5"/>
  <c r="HL100" i="5"/>
  <c r="HM100" i="5"/>
  <c r="HN100" i="5"/>
  <c r="HO100" i="5"/>
  <c r="HP100" i="5"/>
  <c r="HQ100" i="5"/>
  <c r="HR100" i="5"/>
  <c r="HS100" i="5"/>
  <c r="HT100" i="5"/>
  <c r="HU100" i="5"/>
  <c r="HV100" i="5"/>
  <c r="HW100" i="5"/>
  <c r="HX100" i="5"/>
  <c r="HY100" i="5"/>
  <c r="HZ100" i="5"/>
  <c r="IA100" i="5"/>
  <c r="IB100" i="5"/>
  <c r="IC100" i="5"/>
  <c r="ID100" i="5"/>
  <c r="IE100" i="5"/>
  <c r="IF100" i="5"/>
  <c r="IG100" i="5"/>
  <c r="IH100" i="5"/>
  <c r="II100" i="5"/>
  <c r="IJ100" i="5"/>
  <c r="IK100" i="5"/>
  <c r="IL100" i="5"/>
  <c r="IM100" i="5"/>
  <c r="IN100" i="5"/>
  <c r="IO100" i="5"/>
  <c r="IP100" i="5"/>
  <c r="IQ100" i="5"/>
  <c r="IR100" i="5"/>
  <c r="IS100" i="5"/>
  <c r="IT100" i="5"/>
  <c r="IU100" i="5"/>
  <c r="IV100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CU101" i="5"/>
  <c r="CV101" i="5"/>
  <c r="CW101" i="5"/>
  <c r="CX101" i="5"/>
  <c r="CY101" i="5"/>
  <c r="CZ101" i="5"/>
  <c r="DA101" i="5"/>
  <c r="DB101" i="5"/>
  <c r="DC101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EJ101" i="5"/>
  <c r="EK101" i="5"/>
  <c r="EL101" i="5"/>
  <c r="EM101" i="5"/>
  <c r="EN101" i="5"/>
  <c r="EO101" i="5"/>
  <c r="EP101" i="5"/>
  <c r="EQ101" i="5"/>
  <c r="ER101" i="5"/>
  <c r="ES101" i="5"/>
  <c r="ET101" i="5"/>
  <c r="EU101" i="5"/>
  <c r="EV101" i="5"/>
  <c r="EW101" i="5"/>
  <c r="EX101" i="5"/>
  <c r="EY101" i="5"/>
  <c r="EZ101" i="5"/>
  <c r="FA101" i="5"/>
  <c r="FB101" i="5"/>
  <c r="FC101" i="5"/>
  <c r="FD101" i="5"/>
  <c r="FE101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GD101" i="5"/>
  <c r="GE101" i="5"/>
  <c r="GF101" i="5"/>
  <c r="GG101" i="5"/>
  <c r="GH101" i="5"/>
  <c r="GI101" i="5"/>
  <c r="GJ101" i="5"/>
  <c r="GK101" i="5"/>
  <c r="GL101" i="5"/>
  <c r="GM101" i="5"/>
  <c r="GN101" i="5"/>
  <c r="GO101" i="5"/>
  <c r="GP101" i="5"/>
  <c r="GQ101" i="5"/>
  <c r="GR101" i="5"/>
  <c r="GS101" i="5"/>
  <c r="GT101" i="5"/>
  <c r="GU101" i="5"/>
  <c r="GV101" i="5"/>
  <c r="GW101" i="5"/>
  <c r="GX101" i="5"/>
  <c r="GY101" i="5"/>
  <c r="GZ101" i="5"/>
  <c r="HA101" i="5"/>
  <c r="HB101" i="5"/>
  <c r="HC101" i="5"/>
  <c r="HD101" i="5"/>
  <c r="HE101" i="5"/>
  <c r="HF101" i="5"/>
  <c r="HG101" i="5"/>
  <c r="HH101" i="5"/>
  <c r="HI101" i="5"/>
  <c r="HJ101" i="5"/>
  <c r="HK101" i="5"/>
  <c r="HL101" i="5"/>
  <c r="HM101" i="5"/>
  <c r="HN101" i="5"/>
  <c r="HO101" i="5"/>
  <c r="HP101" i="5"/>
  <c r="HQ101" i="5"/>
  <c r="HR101" i="5"/>
  <c r="HS101" i="5"/>
  <c r="HT101" i="5"/>
  <c r="HU101" i="5"/>
  <c r="HV101" i="5"/>
  <c r="HW101" i="5"/>
  <c r="HX101" i="5"/>
  <c r="HY101" i="5"/>
  <c r="HZ101" i="5"/>
  <c r="IA101" i="5"/>
  <c r="IB101" i="5"/>
  <c r="IC101" i="5"/>
  <c r="ID101" i="5"/>
  <c r="IE101" i="5"/>
  <c r="IF101" i="5"/>
  <c r="IG101" i="5"/>
  <c r="IH101" i="5"/>
  <c r="II101" i="5"/>
  <c r="IJ101" i="5"/>
  <c r="IK101" i="5"/>
  <c r="IL101" i="5"/>
  <c r="IM101" i="5"/>
  <c r="IN101" i="5"/>
  <c r="IO101" i="5"/>
  <c r="IP101" i="5"/>
  <c r="IQ101" i="5"/>
  <c r="IR101" i="5"/>
  <c r="IS101" i="5"/>
  <c r="IT101" i="5"/>
  <c r="IU101" i="5"/>
  <c r="IV101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CU102" i="5"/>
  <c r="CV102" i="5"/>
  <c r="CW102" i="5"/>
  <c r="CX102" i="5"/>
  <c r="CY102" i="5"/>
  <c r="CZ102" i="5"/>
  <c r="DA102" i="5"/>
  <c r="DB102" i="5"/>
  <c r="DC102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EJ102" i="5"/>
  <c r="EK102" i="5"/>
  <c r="EL102" i="5"/>
  <c r="EM102" i="5"/>
  <c r="EN102" i="5"/>
  <c r="EO102" i="5"/>
  <c r="EP102" i="5"/>
  <c r="EQ102" i="5"/>
  <c r="ER102" i="5"/>
  <c r="ES102" i="5"/>
  <c r="ET102" i="5"/>
  <c r="EU102" i="5"/>
  <c r="EV102" i="5"/>
  <c r="EW102" i="5"/>
  <c r="EX102" i="5"/>
  <c r="EY102" i="5"/>
  <c r="EZ102" i="5"/>
  <c r="FA102" i="5"/>
  <c r="FB102" i="5"/>
  <c r="FC102" i="5"/>
  <c r="FD102" i="5"/>
  <c r="FE102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GD102" i="5"/>
  <c r="GE102" i="5"/>
  <c r="GF102" i="5"/>
  <c r="GG102" i="5"/>
  <c r="GH102" i="5"/>
  <c r="GI102" i="5"/>
  <c r="GJ102" i="5"/>
  <c r="GK102" i="5"/>
  <c r="GL102" i="5"/>
  <c r="GM102" i="5"/>
  <c r="GN102" i="5"/>
  <c r="GO102" i="5"/>
  <c r="GP102" i="5"/>
  <c r="GQ102" i="5"/>
  <c r="GR102" i="5"/>
  <c r="GS102" i="5"/>
  <c r="GT102" i="5"/>
  <c r="GU102" i="5"/>
  <c r="GV102" i="5"/>
  <c r="GW102" i="5"/>
  <c r="GX102" i="5"/>
  <c r="GY102" i="5"/>
  <c r="GZ102" i="5"/>
  <c r="HA102" i="5"/>
  <c r="HB102" i="5"/>
  <c r="HC102" i="5"/>
  <c r="HD102" i="5"/>
  <c r="HE102" i="5"/>
  <c r="HF102" i="5"/>
  <c r="HG102" i="5"/>
  <c r="HH102" i="5"/>
  <c r="HI102" i="5"/>
  <c r="HJ102" i="5"/>
  <c r="HK102" i="5"/>
  <c r="HL102" i="5"/>
  <c r="HM102" i="5"/>
  <c r="HN102" i="5"/>
  <c r="HO102" i="5"/>
  <c r="HP102" i="5"/>
  <c r="HQ102" i="5"/>
  <c r="HR102" i="5"/>
  <c r="HS102" i="5"/>
  <c r="HT102" i="5"/>
  <c r="HU102" i="5"/>
  <c r="HV102" i="5"/>
  <c r="HW102" i="5"/>
  <c r="HX102" i="5"/>
  <c r="HY102" i="5"/>
  <c r="HZ102" i="5"/>
  <c r="IA102" i="5"/>
  <c r="IB102" i="5"/>
  <c r="IC102" i="5"/>
  <c r="ID102" i="5"/>
  <c r="IE102" i="5"/>
  <c r="IF102" i="5"/>
  <c r="IG102" i="5"/>
  <c r="IH102" i="5"/>
  <c r="II102" i="5"/>
  <c r="IJ102" i="5"/>
  <c r="IK102" i="5"/>
  <c r="IL102" i="5"/>
  <c r="IM102" i="5"/>
  <c r="IN102" i="5"/>
  <c r="IO102" i="5"/>
  <c r="IP102" i="5"/>
  <c r="IQ102" i="5"/>
  <c r="IR102" i="5"/>
  <c r="IS102" i="5"/>
  <c r="IT102" i="5"/>
  <c r="IU102" i="5"/>
  <c r="IV102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CU103" i="5"/>
  <c r="CV103" i="5"/>
  <c r="CW103" i="5"/>
  <c r="CX103" i="5"/>
  <c r="CY103" i="5"/>
  <c r="CZ103" i="5"/>
  <c r="DA103" i="5"/>
  <c r="DB103" i="5"/>
  <c r="DC103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EJ103" i="5"/>
  <c r="EK103" i="5"/>
  <c r="EL103" i="5"/>
  <c r="EM103" i="5"/>
  <c r="EN103" i="5"/>
  <c r="EO103" i="5"/>
  <c r="EP103" i="5"/>
  <c r="EQ103" i="5"/>
  <c r="ER103" i="5"/>
  <c r="ES103" i="5"/>
  <c r="ET103" i="5"/>
  <c r="EU103" i="5"/>
  <c r="EV103" i="5"/>
  <c r="EW103" i="5"/>
  <c r="EX103" i="5"/>
  <c r="EY103" i="5"/>
  <c r="EZ103" i="5"/>
  <c r="FA103" i="5"/>
  <c r="FB103" i="5"/>
  <c r="FC103" i="5"/>
  <c r="FD103" i="5"/>
  <c r="FE103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GD103" i="5"/>
  <c r="GE103" i="5"/>
  <c r="GF103" i="5"/>
  <c r="GG103" i="5"/>
  <c r="GH103" i="5"/>
  <c r="GI103" i="5"/>
  <c r="GJ103" i="5"/>
  <c r="GK103" i="5"/>
  <c r="GL103" i="5"/>
  <c r="GM103" i="5"/>
  <c r="GN103" i="5"/>
  <c r="GO103" i="5"/>
  <c r="GP103" i="5"/>
  <c r="GQ103" i="5"/>
  <c r="GR103" i="5"/>
  <c r="GS103" i="5"/>
  <c r="GT103" i="5"/>
  <c r="GU103" i="5"/>
  <c r="GV103" i="5"/>
  <c r="GW103" i="5"/>
  <c r="GX103" i="5"/>
  <c r="GY103" i="5"/>
  <c r="GZ103" i="5"/>
  <c r="HA103" i="5"/>
  <c r="HB103" i="5"/>
  <c r="HC103" i="5"/>
  <c r="HD103" i="5"/>
  <c r="HE103" i="5"/>
  <c r="HF103" i="5"/>
  <c r="HG103" i="5"/>
  <c r="HH103" i="5"/>
  <c r="HI103" i="5"/>
  <c r="HJ103" i="5"/>
  <c r="HK103" i="5"/>
  <c r="HL103" i="5"/>
  <c r="HM103" i="5"/>
  <c r="HN103" i="5"/>
  <c r="HO103" i="5"/>
  <c r="HP103" i="5"/>
  <c r="HQ103" i="5"/>
  <c r="HR103" i="5"/>
  <c r="HS103" i="5"/>
  <c r="HT103" i="5"/>
  <c r="HU103" i="5"/>
  <c r="HV103" i="5"/>
  <c r="HW103" i="5"/>
  <c r="HX103" i="5"/>
  <c r="HY103" i="5"/>
  <c r="HZ103" i="5"/>
  <c r="IA103" i="5"/>
  <c r="IB103" i="5"/>
  <c r="IC103" i="5"/>
  <c r="ID103" i="5"/>
  <c r="IE103" i="5"/>
  <c r="IF103" i="5"/>
  <c r="IG103" i="5"/>
  <c r="IH103" i="5"/>
  <c r="II103" i="5"/>
  <c r="IJ103" i="5"/>
  <c r="IK103" i="5"/>
  <c r="IL103" i="5"/>
  <c r="IM103" i="5"/>
  <c r="IN103" i="5"/>
  <c r="IO103" i="5"/>
  <c r="IP103" i="5"/>
  <c r="IQ103" i="5"/>
  <c r="IR103" i="5"/>
  <c r="IS103" i="5"/>
  <c r="IT103" i="5"/>
  <c r="IU103" i="5"/>
  <c r="IV103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CU104" i="5"/>
  <c r="CV104" i="5"/>
  <c r="CW104" i="5"/>
  <c r="CX104" i="5"/>
  <c r="CY104" i="5"/>
  <c r="CZ104" i="5"/>
  <c r="DA104" i="5"/>
  <c r="DB104" i="5"/>
  <c r="DC104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EJ104" i="5"/>
  <c r="EK104" i="5"/>
  <c r="EL104" i="5"/>
  <c r="EM104" i="5"/>
  <c r="EN104" i="5"/>
  <c r="EO104" i="5"/>
  <c r="EP104" i="5"/>
  <c r="EQ104" i="5"/>
  <c r="ER104" i="5"/>
  <c r="ES104" i="5"/>
  <c r="ET104" i="5"/>
  <c r="EU104" i="5"/>
  <c r="EV104" i="5"/>
  <c r="EW104" i="5"/>
  <c r="EX104" i="5"/>
  <c r="EY104" i="5"/>
  <c r="EZ104" i="5"/>
  <c r="FA104" i="5"/>
  <c r="FB104" i="5"/>
  <c r="FC104" i="5"/>
  <c r="FD104" i="5"/>
  <c r="FE104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GD104" i="5"/>
  <c r="GE104" i="5"/>
  <c r="GF104" i="5"/>
  <c r="GG104" i="5"/>
  <c r="GH104" i="5"/>
  <c r="GI104" i="5"/>
  <c r="GJ104" i="5"/>
  <c r="GK104" i="5"/>
  <c r="GL104" i="5"/>
  <c r="GM104" i="5"/>
  <c r="GN104" i="5"/>
  <c r="GO104" i="5"/>
  <c r="GP104" i="5"/>
  <c r="GQ104" i="5"/>
  <c r="GR104" i="5"/>
  <c r="GS104" i="5"/>
  <c r="GT104" i="5"/>
  <c r="GU104" i="5"/>
  <c r="GV104" i="5"/>
  <c r="GW104" i="5"/>
  <c r="GX104" i="5"/>
  <c r="GY104" i="5"/>
  <c r="GZ104" i="5"/>
  <c r="HA104" i="5"/>
  <c r="HB104" i="5"/>
  <c r="HC104" i="5"/>
  <c r="HD104" i="5"/>
  <c r="HE104" i="5"/>
  <c r="HF104" i="5"/>
  <c r="HG104" i="5"/>
  <c r="HH104" i="5"/>
  <c r="HI104" i="5"/>
  <c r="HJ104" i="5"/>
  <c r="HK104" i="5"/>
  <c r="HL104" i="5"/>
  <c r="HM104" i="5"/>
  <c r="HN104" i="5"/>
  <c r="HO104" i="5"/>
  <c r="HP104" i="5"/>
  <c r="HQ104" i="5"/>
  <c r="HR104" i="5"/>
  <c r="HS104" i="5"/>
  <c r="HT104" i="5"/>
  <c r="HU104" i="5"/>
  <c r="HV104" i="5"/>
  <c r="HW104" i="5"/>
  <c r="HX104" i="5"/>
  <c r="HY104" i="5"/>
  <c r="HZ104" i="5"/>
  <c r="IA104" i="5"/>
  <c r="IB104" i="5"/>
  <c r="IC104" i="5"/>
  <c r="ID104" i="5"/>
  <c r="IE104" i="5"/>
  <c r="IF104" i="5"/>
  <c r="IG104" i="5"/>
  <c r="IH104" i="5"/>
  <c r="II104" i="5"/>
  <c r="IJ104" i="5"/>
  <c r="IK104" i="5"/>
  <c r="IL104" i="5"/>
  <c r="IM104" i="5"/>
  <c r="IN104" i="5"/>
  <c r="IO104" i="5"/>
  <c r="IP104" i="5"/>
  <c r="IQ104" i="5"/>
  <c r="IR104" i="5"/>
  <c r="IS104" i="5"/>
  <c r="IT104" i="5"/>
  <c r="IU104" i="5"/>
  <c r="IV104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CU105" i="5"/>
  <c r="CV105" i="5"/>
  <c r="CW105" i="5"/>
  <c r="CX105" i="5"/>
  <c r="CY105" i="5"/>
  <c r="CZ105" i="5"/>
  <c r="DA105" i="5"/>
  <c r="DB105" i="5"/>
  <c r="DC105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EJ105" i="5"/>
  <c r="EK105" i="5"/>
  <c r="EL105" i="5"/>
  <c r="EM105" i="5"/>
  <c r="EN105" i="5"/>
  <c r="EO105" i="5"/>
  <c r="EP105" i="5"/>
  <c r="EQ105" i="5"/>
  <c r="ER105" i="5"/>
  <c r="ES105" i="5"/>
  <c r="ET105" i="5"/>
  <c r="EU105" i="5"/>
  <c r="EV105" i="5"/>
  <c r="EW105" i="5"/>
  <c r="EX105" i="5"/>
  <c r="EY105" i="5"/>
  <c r="EZ105" i="5"/>
  <c r="FA105" i="5"/>
  <c r="FB105" i="5"/>
  <c r="FC105" i="5"/>
  <c r="FD105" i="5"/>
  <c r="FE105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GD105" i="5"/>
  <c r="GE105" i="5"/>
  <c r="GF105" i="5"/>
  <c r="GG105" i="5"/>
  <c r="GH105" i="5"/>
  <c r="GI105" i="5"/>
  <c r="GJ105" i="5"/>
  <c r="GK105" i="5"/>
  <c r="GL105" i="5"/>
  <c r="GM105" i="5"/>
  <c r="GN105" i="5"/>
  <c r="GO105" i="5"/>
  <c r="GP105" i="5"/>
  <c r="GQ105" i="5"/>
  <c r="GR105" i="5"/>
  <c r="GS105" i="5"/>
  <c r="GT105" i="5"/>
  <c r="GU105" i="5"/>
  <c r="GV105" i="5"/>
  <c r="GW105" i="5"/>
  <c r="GX105" i="5"/>
  <c r="GY105" i="5"/>
  <c r="GZ105" i="5"/>
  <c r="HA105" i="5"/>
  <c r="HB105" i="5"/>
  <c r="HC105" i="5"/>
  <c r="HD105" i="5"/>
  <c r="HE105" i="5"/>
  <c r="HF105" i="5"/>
  <c r="HG105" i="5"/>
  <c r="HH105" i="5"/>
  <c r="HI105" i="5"/>
  <c r="HJ105" i="5"/>
  <c r="HK105" i="5"/>
  <c r="HL105" i="5"/>
  <c r="HM105" i="5"/>
  <c r="HN105" i="5"/>
  <c r="HO105" i="5"/>
  <c r="HP105" i="5"/>
  <c r="HQ105" i="5"/>
  <c r="HR105" i="5"/>
  <c r="HS105" i="5"/>
  <c r="HT105" i="5"/>
  <c r="HU105" i="5"/>
  <c r="HV105" i="5"/>
  <c r="HW105" i="5"/>
  <c r="HX105" i="5"/>
  <c r="HY105" i="5"/>
  <c r="HZ105" i="5"/>
  <c r="IA105" i="5"/>
  <c r="IB105" i="5"/>
  <c r="IC105" i="5"/>
  <c r="ID105" i="5"/>
  <c r="IE105" i="5"/>
  <c r="IF105" i="5"/>
  <c r="IG105" i="5"/>
  <c r="IH105" i="5"/>
  <c r="II105" i="5"/>
  <c r="IJ105" i="5"/>
  <c r="IK105" i="5"/>
  <c r="IL105" i="5"/>
  <c r="IM105" i="5"/>
  <c r="IN105" i="5"/>
  <c r="IO105" i="5"/>
  <c r="IP105" i="5"/>
  <c r="IQ105" i="5"/>
  <c r="IR105" i="5"/>
  <c r="IS105" i="5"/>
  <c r="IT105" i="5"/>
  <c r="IU105" i="5"/>
  <c r="IV105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CU106" i="5"/>
  <c r="CV106" i="5"/>
  <c r="CW106" i="5"/>
  <c r="CX106" i="5"/>
  <c r="CY106" i="5"/>
  <c r="CZ106" i="5"/>
  <c r="DA106" i="5"/>
  <c r="DB106" i="5"/>
  <c r="DC106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EJ106" i="5"/>
  <c r="EK106" i="5"/>
  <c r="EL106" i="5"/>
  <c r="EM106" i="5"/>
  <c r="EN106" i="5"/>
  <c r="EO106" i="5"/>
  <c r="EP106" i="5"/>
  <c r="EQ106" i="5"/>
  <c r="ER106" i="5"/>
  <c r="ES106" i="5"/>
  <c r="ET106" i="5"/>
  <c r="EU106" i="5"/>
  <c r="EV106" i="5"/>
  <c r="EW106" i="5"/>
  <c r="EX106" i="5"/>
  <c r="EY106" i="5"/>
  <c r="EZ106" i="5"/>
  <c r="FA106" i="5"/>
  <c r="FB106" i="5"/>
  <c r="FC106" i="5"/>
  <c r="FD106" i="5"/>
  <c r="FE106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GD106" i="5"/>
  <c r="GE106" i="5"/>
  <c r="GF106" i="5"/>
  <c r="GG106" i="5"/>
  <c r="GH106" i="5"/>
  <c r="GI106" i="5"/>
  <c r="GJ106" i="5"/>
  <c r="GK106" i="5"/>
  <c r="GL106" i="5"/>
  <c r="GM106" i="5"/>
  <c r="GN106" i="5"/>
  <c r="GO106" i="5"/>
  <c r="GP106" i="5"/>
  <c r="GQ106" i="5"/>
  <c r="GR106" i="5"/>
  <c r="GS106" i="5"/>
  <c r="GT106" i="5"/>
  <c r="GU106" i="5"/>
  <c r="GV106" i="5"/>
  <c r="GW106" i="5"/>
  <c r="GX106" i="5"/>
  <c r="GY106" i="5"/>
  <c r="GZ106" i="5"/>
  <c r="HA106" i="5"/>
  <c r="HB106" i="5"/>
  <c r="HC106" i="5"/>
  <c r="HD106" i="5"/>
  <c r="HE106" i="5"/>
  <c r="HF106" i="5"/>
  <c r="HG106" i="5"/>
  <c r="HH106" i="5"/>
  <c r="HI106" i="5"/>
  <c r="HJ106" i="5"/>
  <c r="HK106" i="5"/>
  <c r="HL106" i="5"/>
  <c r="HM106" i="5"/>
  <c r="HN106" i="5"/>
  <c r="HO106" i="5"/>
  <c r="HP106" i="5"/>
  <c r="HQ106" i="5"/>
  <c r="HR106" i="5"/>
  <c r="HS106" i="5"/>
  <c r="HT106" i="5"/>
  <c r="HU106" i="5"/>
  <c r="HV106" i="5"/>
  <c r="HW106" i="5"/>
  <c r="HX106" i="5"/>
  <c r="HY106" i="5"/>
  <c r="HZ106" i="5"/>
  <c r="IA106" i="5"/>
  <c r="IB106" i="5"/>
  <c r="IC106" i="5"/>
  <c r="ID106" i="5"/>
  <c r="IE106" i="5"/>
  <c r="IF106" i="5"/>
  <c r="IG106" i="5"/>
  <c r="IH106" i="5"/>
  <c r="II106" i="5"/>
  <c r="IJ106" i="5"/>
  <c r="IK106" i="5"/>
  <c r="IL106" i="5"/>
  <c r="IM106" i="5"/>
  <c r="IN106" i="5"/>
  <c r="IO106" i="5"/>
  <c r="IP106" i="5"/>
  <c r="IQ106" i="5"/>
  <c r="IR106" i="5"/>
  <c r="IS106" i="5"/>
  <c r="IT106" i="5"/>
  <c r="IU106" i="5"/>
  <c r="IV106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CU107" i="5"/>
  <c r="CV107" i="5"/>
  <c r="CW107" i="5"/>
  <c r="CX107" i="5"/>
  <c r="CY107" i="5"/>
  <c r="CZ107" i="5"/>
  <c r="DA107" i="5"/>
  <c r="DB107" i="5"/>
  <c r="DC107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EJ107" i="5"/>
  <c r="EK107" i="5"/>
  <c r="EL107" i="5"/>
  <c r="EM107" i="5"/>
  <c r="EN107" i="5"/>
  <c r="EO107" i="5"/>
  <c r="EP107" i="5"/>
  <c r="EQ107" i="5"/>
  <c r="ER107" i="5"/>
  <c r="ES107" i="5"/>
  <c r="ET107" i="5"/>
  <c r="EU107" i="5"/>
  <c r="EV107" i="5"/>
  <c r="EW107" i="5"/>
  <c r="EX107" i="5"/>
  <c r="EY107" i="5"/>
  <c r="EZ107" i="5"/>
  <c r="FA107" i="5"/>
  <c r="FB107" i="5"/>
  <c r="FC107" i="5"/>
  <c r="FD107" i="5"/>
  <c r="FE107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GD107" i="5"/>
  <c r="GE107" i="5"/>
  <c r="GF107" i="5"/>
  <c r="GG107" i="5"/>
  <c r="GH107" i="5"/>
  <c r="GI107" i="5"/>
  <c r="GJ107" i="5"/>
  <c r="GK107" i="5"/>
  <c r="GL107" i="5"/>
  <c r="GM107" i="5"/>
  <c r="GN107" i="5"/>
  <c r="GO107" i="5"/>
  <c r="GP107" i="5"/>
  <c r="GQ107" i="5"/>
  <c r="GR107" i="5"/>
  <c r="GS107" i="5"/>
  <c r="GT107" i="5"/>
  <c r="GU107" i="5"/>
  <c r="GV107" i="5"/>
  <c r="GW107" i="5"/>
  <c r="GX107" i="5"/>
  <c r="GY107" i="5"/>
  <c r="GZ107" i="5"/>
  <c r="HA107" i="5"/>
  <c r="HB107" i="5"/>
  <c r="HC107" i="5"/>
  <c r="HD107" i="5"/>
  <c r="HE107" i="5"/>
  <c r="HF107" i="5"/>
  <c r="HG107" i="5"/>
  <c r="HH107" i="5"/>
  <c r="HI107" i="5"/>
  <c r="HJ107" i="5"/>
  <c r="HK107" i="5"/>
  <c r="HL107" i="5"/>
  <c r="HM107" i="5"/>
  <c r="HN107" i="5"/>
  <c r="HO107" i="5"/>
  <c r="HP107" i="5"/>
  <c r="HQ107" i="5"/>
  <c r="HR107" i="5"/>
  <c r="HS107" i="5"/>
  <c r="HT107" i="5"/>
  <c r="HU107" i="5"/>
  <c r="HV107" i="5"/>
  <c r="HW107" i="5"/>
  <c r="HX107" i="5"/>
  <c r="HY107" i="5"/>
  <c r="HZ107" i="5"/>
  <c r="IA107" i="5"/>
  <c r="IB107" i="5"/>
  <c r="IC107" i="5"/>
  <c r="ID107" i="5"/>
  <c r="IE107" i="5"/>
  <c r="IF107" i="5"/>
  <c r="IG107" i="5"/>
  <c r="IH107" i="5"/>
  <c r="II107" i="5"/>
  <c r="IJ107" i="5"/>
  <c r="IK107" i="5"/>
  <c r="IL107" i="5"/>
  <c r="IM107" i="5"/>
  <c r="IN107" i="5"/>
  <c r="IO107" i="5"/>
  <c r="IP107" i="5"/>
  <c r="IQ107" i="5"/>
  <c r="IR107" i="5"/>
  <c r="IS107" i="5"/>
  <c r="IT107" i="5"/>
  <c r="IU107" i="5"/>
  <c r="IV107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CU108" i="5"/>
  <c r="CV108" i="5"/>
  <c r="CW108" i="5"/>
  <c r="CX108" i="5"/>
  <c r="CY108" i="5"/>
  <c r="CZ108" i="5"/>
  <c r="DA108" i="5"/>
  <c r="DB108" i="5"/>
  <c r="DC108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EJ108" i="5"/>
  <c r="EK108" i="5"/>
  <c r="EL108" i="5"/>
  <c r="EM108" i="5"/>
  <c r="EN108" i="5"/>
  <c r="EO108" i="5"/>
  <c r="EP108" i="5"/>
  <c r="EQ108" i="5"/>
  <c r="ER108" i="5"/>
  <c r="ES108" i="5"/>
  <c r="ET108" i="5"/>
  <c r="EU108" i="5"/>
  <c r="EV108" i="5"/>
  <c r="EW108" i="5"/>
  <c r="EX108" i="5"/>
  <c r="EY108" i="5"/>
  <c r="EZ108" i="5"/>
  <c r="FA108" i="5"/>
  <c r="FB108" i="5"/>
  <c r="FC108" i="5"/>
  <c r="FD108" i="5"/>
  <c r="FE108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GD108" i="5"/>
  <c r="GE108" i="5"/>
  <c r="GF108" i="5"/>
  <c r="GG108" i="5"/>
  <c r="GH108" i="5"/>
  <c r="GI108" i="5"/>
  <c r="GJ108" i="5"/>
  <c r="GK108" i="5"/>
  <c r="GL108" i="5"/>
  <c r="GM108" i="5"/>
  <c r="GN108" i="5"/>
  <c r="GO108" i="5"/>
  <c r="GP108" i="5"/>
  <c r="GQ108" i="5"/>
  <c r="GR108" i="5"/>
  <c r="GS108" i="5"/>
  <c r="GT108" i="5"/>
  <c r="GU108" i="5"/>
  <c r="GV108" i="5"/>
  <c r="GW108" i="5"/>
  <c r="GX108" i="5"/>
  <c r="GY108" i="5"/>
  <c r="GZ108" i="5"/>
  <c r="HA108" i="5"/>
  <c r="HB108" i="5"/>
  <c r="HC108" i="5"/>
  <c r="HD108" i="5"/>
  <c r="HE108" i="5"/>
  <c r="HF108" i="5"/>
  <c r="HG108" i="5"/>
  <c r="HH108" i="5"/>
  <c r="HI108" i="5"/>
  <c r="HJ108" i="5"/>
  <c r="HK108" i="5"/>
  <c r="HL108" i="5"/>
  <c r="HM108" i="5"/>
  <c r="HN108" i="5"/>
  <c r="HO108" i="5"/>
  <c r="HP108" i="5"/>
  <c r="HQ108" i="5"/>
  <c r="HR108" i="5"/>
  <c r="HS108" i="5"/>
  <c r="HT108" i="5"/>
  <c r="HU108" i="5"/>
  <c r="HV108" i="5"/>
  <c r="HW108" i="5"/>
  <c r="HX108" i="5"/>
  <c r="HY108" i="5"/>
  <c r="HZ108" i="5"/>
  <c r="IA108" i="5"/>
  <c r="IB108" i="5"/>
  <c r="IC108" i="5"/>
  <c r="ID108" i="5"/>
  <c r="IE108" i="5"/>
  <c r="IF108" i="5"/>
  <c r="IG108" i="5"/>
  <c r="IH108" i="5"/>
  <c r="II108" i="5"/>
  <c r="IJ108" i="5"/>
  <c r="IK108" i="5"/>
  <c r="IL108" i="5"/>
  <c r="IM108" i="5"/>
  <c r="IN108" i="5"/>
  <c r="IO108" i="5"/>
  <c r="IP108" i="5"/>
  <c r="IQ108" i="5"/>
  <c r="IR108" i="5"/>
  <c r="IS108" i="5"/>
  <c r="IT108" i="5"/>
  <c r="IU108" i="5"/>
  <c r="IV108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CU109" i="5"/>
  <c r="CV109" i="5"/>
  <c r="CW109" i="5"/>
  <c r="CX109" i="5"/>
  <c r="CY109" i="5"/>
  <c r="CZ109" i="5"/>
  <c r="DA109" i="5"/>
  <c r="DB109" i="5"/>
  <c r="DC109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EJ109" i="5"/>
  <c r="EK109" i="5"/>
  <c r="EL109" i="5"/>
  <c r="EM109" i="5"/>
  <c r="EN109" i="5"/>
  <c r="EO109" i="5"/>
  <c r="EP109" i="5"/>
  <c r="EQ109" i="5"/>
  <c r="ER109" i="5"/>
  <c r="ES109" i="5"/>
  <c r="ET109" i="5"/>
  <c r="EU109" i="5"/>
  <c r="EV109" i="5"/>
  <c r="EW109" i="5"/>
  <c r="EX109" i="5"/>
  <c r="EY109" i="5"/>
  <c r="EZ109" i="5"/>
  <c r="FA109" i="5"/>
  <c r="FB109" i="5"/>
  <c r="FC109" i="5"/>
  <c r="FD109" i="5"/>
  <c r="FE109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GD109" i="5"/>
  <c r="GE109" i="5"/>
  <c r="GF109" i="5"/>
  <c r="GG109" i="5"/>
  <c r="GH109" i="5"/>
  <c r="GI109" i="5"/>
  <c r="GJ109" i="5"/>
  <c r="GK109" i="5"/>
  <c r="GL109" i="5"/>
  <c r="GM109" i="5"/>
  <c r="GN109" i="5"/>
  <c r="GO109" i="5"/>
  <c r="GP109" i="5"/>
  <c r="GQ109" i="5"/>
  <c r="GR109" i="5"/>
  <c r="GS109" i="5"/>
  <c r="GT109" i="5"/>
  <c r="GU109" i="5"/>
  <c r="GV109" i="5"/>
  <c r="GW109" i="5"/>
  <c r="GX109" i="5"/>
  <c r="GY109" i="5"/>
  <c r="GZ109" i="5"/>
  <c r="HA109" i="5"/>
  <c r="HB109" i="5"/>
  <c r="HC109" i="5"/>
  <c r="HD109" i="5"/>
  <c r="HE109" i="5"/>
  <c r="HF109" i="5"/>
  <c r="HG109" i="5"/>
  <c r="HH109" i="5"/>
  <c r="HI109" i="5"/>
  <c r="HJ109" i="5"/>
  <c r="HK109" i="5"/>
  <c r="HL109" i="5"/>
  <c r="HM109" i="5"/>
  <c r="HN109" i="5"/>
  <c r="HO109" i="5"/>
  <c r="HP109" i="5"/>
  <c r="HQ109" i="5"/>
  <c r="HR109" i="5"/>
  <c r="HS109" i="5"/>
  <c r="HT109" i="5"/>
  <c r="HU109" i="5"/>
  <c r="HV109" i="5"/>
  <c r="HW109" i="5"/>
  <c r="HX109" i="5"/>
  <c r="HY109" i="5"/>
  <c r="HZ109" i="5"/>
  <c r="IA109" i="5"/>
  <c r="IB109" i="5"/>
  <c r="IC109" i="5"/>
  <c r="ID109" i="5"/>
  <c r="IE109" i="5"/>
  <c r="IF109" i="5"/>
  <c r="IG109" i="5"/>
  <c r="IH109" i="5"/>
  <c r="II109" i="5"/>
  <c r="IJ109" i="5"/>
  <c r="IK109" i="5"/>
  <c r="IL109" i="5"/>
  <c r="IM109" i="5"/>
  <c r="IN109" i="5"/>
  <c r="IO109" i="5"/>
  <c r="IP109" i="5"/>
  <c r="IQ109" i="5"/>
  <c r="IR109" i="5"/>
  <c r="IS109" i="5"/>
  <c r="IT109" i="5"/>
  <c r="IU109" i="5"/>
  <c r="IV109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CU110" i="5"/>
  <c r="CV110" i="5"/>
  <c r="CW110" i="5"/>
  <c r="CX110" i="5"/>
  <c r="CY110" i="5"/>
  <c r="CZ110" i="5"/>
  <c r="DA110" i="5"/>
  <c r="DB110" i="5"/>
  <c r="DC110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EJ110" i="5"/>
  <c r="EK110" i="5"/>
  <c r="EL110" i="5"/>
  <c r="EM110" i="5"/>
  <c r="EN110" i="5"/>
  <c r="EO110" i="5"/>
  <c r="EP110" i="5"/>
  <c r="EQ110" i="5"/>
  <c r="ER110" i="5"/>
  <c r="ES110" i="5"/>
  <c r="ET110" i="5"/>
  <c r="EU110" i="5"/>
  <c r="EV110" i="5"/>
  <c r="EW110" i="5"/>
  <c r="EX110" i="5"/>
  <c r="EY110" i="5"/>
  <c r="EZ110" i="5"/>
  <c r="FA110" i="5"/>
  <c r="FB110" i="5"/>
  <c r="FC110" i="5"/>
  <c r="FD110" i="5"/>
  <c r="FE110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GD110" i="5"/>
  <c r="GE110" i="5"/>
  <c r="GF110" i="5"/>
  <c r="GG110" i="5"/>
  <c r="GH110" i="5"/>
  <c r="GI110" i="5"/>
  <c r="GJ110" i="5"/>
  <c r="GK110" i="5"/>
  <c r="GL110" i="5"/>
  <c r="GM110" i="5"/>
  <c r="GN110" i="5"/>
  <c r="GO110" i="5"/>
  <c r="GP110" i="5"/>
  <c r="GQ110" i="5"/>
  <c r="GR110" i="5"/>
  <c r="GS110" i="5"/>
  <c r="GT110" i="5"/>
  <c r="GU110" i="5"/>
  <c r="GV110" i="5"/>
  <c r="GW110" i="5"/>
  <c r="GX110" i="5"/>
  <c r="GY110" i="5"/>
  <c r="GZ110" i="5"/>
  <c r="HA110" i="5"/>
  <c r="HB110" i="5"/>
  <c r="HC110" i="5"/>
  <c r="HD110" i="5"/>
  <c r="HE110" i="5"/>
  <c r="HF110" i="5"/>
  <c r="HG110" i="5"/>
  <c r="HH110" i="5"/>
  <c r="HI110" i="5"/>
  <c r="HJ110" i="5"/>
  <c r="HK110" i="5"/>
  <c r="HL110" i="5"/>
  <c r="HM110" i="5"/>
  <c r="HN110" i="5"/>
  <c r="HO110" i="5"/>
  <c r="HP110" i="5"/>
  <c r="HQ110" i="5"/>
  <c r="HR110" i="5"/>
  <c r="HS110" i="5"/>
  <c r="HT110" i="5"/>
  <c r="HU110" i="5"/>
  <c r="HV110" i="5"/>
  <c r="HW110" i="5"/>
  <c r="HX110" i="5"/>
  <c r="HY110" i="5"/>
  <c r="HZ110" i="5"/>
  <c r="IA110" i="5"/>
  <c r="IB110" i="5"/>
  <c r="IC110" i="5"/>
  <c r="ID110" i="5"/>
  <c r="IE110" i="5"/>
  <c r="IF110" i="5"/>
  <c r="IG110" i="5"/>
  <c r="IH110" i="5"/>
  <c r="II110" i="5"/>
  <c r="IJ110" i="5"/>
  <c r="IK110" i="5"/>
  <c r="IL110" i="5"/>
  <c r="IM110" i="5"/>
  <c r="IN110" i="5"/>
  <c r="IO110" i="5"/>
  <c r="IP110" i="5"/>
  <c r="IQ110" i="5"/>
  <c r="IR110" i="5"/>
  <c r="IS110" i="5"/>
  <c r="IT110" i="5"/>
  <c r="IU110" i="5"/>
  <c r="IV110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CU111" i="5"/>
  <c r="CV111" i="5"/>
  <c r="CW111" i="5"/>
  <c r="CX111" i="5"/>
  <c r="CY111" i="5"/>
  <c r="CZ111" i="5"/>
  <c r="DA111" i="5"/>
  <c r="DB111" i="5"/>
  <c r="DC111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EJ111" i="5"/>
  <c r="EK111" i="5"/>
  <c r="EL111" i="5"/>
  <c r="EM111" i="5"/>
  <c r="EN111" i="5"/>
  <c r="EO111" i="5"/>
  <c r="EP111" i="5"/>
  <c r="EQ111" i="5"/>
  <c r="ER111" i="5"/>
  <c r="ES111" i="5"/>
  <c r="ET111" i="5"/>
  <c r="EU111" i="5"/>
  <c r="EV111" i="5"/>
  <c r="EW111" i="5"/>
  <c r="EX111" i="5"/>
  <c r="EY111" i="5"/>
  <c r="EZ111" i="5"/>
  <c r="FA111" i="5"/>
  <c r="FB111" i="5"/>
  <c r="FC111" i="5"/>
  <c r="FD111" i="5"/>
  <c r="FE111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GD111" i="5"/>
  <c r="GE111" i="5"/>
  <c r="GF111" i="5"/>
  <c r="GG111" i="5"/>
  <c r="GH111" i="5"/>
  <c r="GI111" i="5"/>
  <c r="GJ111" i="5"/>
  <c r="GK111" i="5"/>
  <c r="GL111" i="5"/>
  <c r="GM111" i="5"/>
  <c r="GN111" i="5"/>
  <c r="GO111" i="5"/>
  <c r="GP111" i="5"/>
  <c r="GQ111" i="5"/>
  <c r="GR111" i="5"/>
  <c r="GS111" i="5"/>
  <c r="GT111" i="5"/>
  <c r="GU111" i="5"/>
  <c r="GV111" i="5"/>
  <c r="GW111" i="5"/>
  <c r="GX111" i="5"/>
  <c r="GY111" i="5"/>
  <c r="GZ111" i="5"/>
  <c r="HA111" i="5"/>
  <c r="HB111" i="5"/>
  <c r="HC111" i="5"/>
  <c r="HD111" i="5"/>
  <c r="HE111" i="5"/>
  <c r="HF111" i="5"/>
  <c r="HG111" i="5"/>
  <c r="HH111" i="5"/>
  <c r="HI111" i="5"/>
  <c r="HJ111" i="5"/>
  <c r="HK111" i="5"/>
  <c r="HL111" i="5"/>
  <c r="HM111" i="5"/>
  <c r="HN111" i="5"/>
  <c r="HO111" i="5"/>
  <c r="HP111" i="5"/>
  <c r="HQ111" i="5"/>
  <c r="HR111" i="5"/>
  <c r="HS111" i="5"/>
  <c r="HT111" i="5"/>
  <c r="HU111" i="5"/>
  <c r="HV111" i="5"/>
  <c r="HW111" i="5"/>
  <c r="HX111" i="5"/>
  <c r="HY111" i="5"/>
  <c r="HZ111" i="5"/>
  <c r="IA111" i="5"/>
  <c r="IB111" i="5"/>
  <c r="IC111" i="5"/>
  <c r="ID111" i="5"/>
  <c r="IE111" i="5"/>
  <c r="IF111" i="5"/>
  <c r="IG111" i="5"/>
  <c r="IH111" i="5"/>
  <c r="II111" i="5"/>
  <c r="IJ111" i="5"/>
  <c r="IK111" i="5"/>
  <c r="IL111" i="5"/>
  <c r="IM111" i="5"/>
  <c r="IN111" i="5"/>
  <c r="IO111" i="5"/>
  <c r="IP111" i="5"/>
  <c r="IQ111" i="5"/>
  <c r="IR111" i="5"/>
  <c r="IS111" i="5"/>
  <c r="IT111" i="5"/>
  <c r="IU111" i="5"/>
  <c r="IV111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CU112" i="5"/>
  <c r="CV112" i="5"/>
  <c r="CW112" i="5"/>
  <c r="CX112" i="5"/>
  <c r="CY112" i="5"/>
  <c r="CZ112" i="5"/>
  <c r="DA112" i="5"/>
  <c r="DB112" i="5"/>
  <c r="DC112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EJ112" i="5"/>
  <c r="EK112" i="5"/>
  <c r="EL112" i="5"/>
  <c r="EM112" i="5"/>
  <c r="EN112" i="5"/>
  <c r="EO112" i="5"/>
  <c r="EP112" i="5"/>
  <c r="EQ112" i="5"/>
  <c r="ER112" i="5"/>
  <c r="ES112" i="5"/>
  <c r="ET112" i="5"/>
  <c r="EU112" i="5"/>
  <c r="EV112" i="5"/>
  <c r="EW112" i="5"/>
  <c r="EX112" i="5"/>
  <c r="EY112" i="5"/>
  <c r="EZ112" i="5"/>
  <c r="FA112" i="5"/>
  <c r="FB112" i="5"/>
  <c r="FC112" i="5"/>
  <c r="FD112" i="5"/>
  <c r="FE112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GD112" i="5"/>
  <c r="GE112" i="5"/>
  <c r="GF112" i="5"/>
  <c r="GG112" i="5"/>
  <c r="GH112" i="5"/>
  <c r="GI112" i="5"/>
  <c r="GJ112" i="5"/>
  <c r="GK112" i="5"/>
  <c r="GL112" i="5"/>
  <c r="GM112" i="5"/>
  <c r="GN112" i="5"/>
  <c r="GO112" i="5"/>
  <c r="GP112" i="5"/>
  <c r="GQ112" i="5"/>
  <c r="GR112" i="5"/>
  <c r="GS112" i="5"/>
  <c r="GT112" i="5"/>
  <c r="GU112" i="5"/>
  <c r="GV112" i="5"/>
  <c r="GW112" i="5"/>
  <c r="GX112" i="5"/>
  <c r="GY112" i="5"/>
  <c r="GZ112" i="5"/>
  <c r="HA112" i="5"/>
  <c r="HB112" i="5"/>
  <c r="HC112" i="5"/>
  <c r="HD112" i="5"/>
  <c r="HE112" i="5"/>
  <c r="HF112" i="5"/>
  <c r="HG112" i="5"/>
  <c r="HH112" i="5"/>
  <c r="HI112" i="5"/>
  <c r="HJ112" i="5"/>
  <c r="HK112" i="5"/>
  <c r="HL112" i="5"/>
  <c r="HM112" i="5"/>
  <c r="HN112" i="5"/>
  <c r="HO112" i="5"/>
  <c r="HP112" i="5"/>
  <c r="HQ112" i="5"/>
  <c r="HR112" i="5"/>
  <c r="HS112" i="5"/>
  <c r="HT112" i="5"/>
  <c r="HU112" i="5"/>
  <c r="HV112" i="5"/>
  <c r="HW112" i="5"/>
  <c r="HX112" i="5"/>
  <c r="HY112" i="5"/>
  <c r="HZ112" i="5"/>
  <c r="IA112" i="5"/>
  <c r="IB112" i="5"/>
  <c r="IC112" i="5"/>
  <c r="ID112" i="5"/>
  <c r="IE112" i="5"/>
  <c r="IF112" i="5"/>
  <c r="IG112" i="5"/>
  <c r="IH112" i="5"/>
  <c r="II112" i="5"/>
  <c r="IJ112" i="5"/>
  <c r="IK112" i="5"/>
  <c r="IL112" i="5"/>
  <c r="IM112" i="5"/>
  <c r="IN112" i="5"/>
  <c r="IO112" i="5"/>
  <c r="IP112" i="5"/>
  <c r="IQ112" i="5"/>
  <c r="IR112" i="5"/>
  <c r="IS112" i="5"/>
  <c r="IT112" i="5"/>
  <c r="IU112" i="5"/>
  <c r="IV112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CU113" i="5"/>
  <c r="CV113" i="5"/>
  <c r="CW113" i="5"/>
  <c r="CX113" i="5"/>
  <c r="CY113" i="5"/>
  <c r="CZ113" i="5"/>
  <c r="DA113" i="5"/>
  <c r="DB113" i="5"/>
  <c r="DC113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EJ113" i="5"/>
  <c r="EK113" i="5"/>
  <c r="EL113" i="5"/>
  <c r="EM113" i="5"/>
  <c r="EN113" i="5"/>
  <c r="EO113" i="5"/>
  <c r="EP113" i="5"/>
  <c r="EQ113" i="5"/>
  <c r="ER113" i="5"/>
  <c r="ES113" i="5"/>
  <c r="ET113" i="5"/>
  <c r="EU113" i="5"/>
  <c r="EV113" i="5"/>
  <c r="EW113" i="5"/>
  <c r="EX113" i="5"/>
  <c r="EY113" i="5"/>
  <c r="EZ113" i="5"/>
  <c r="FA113" i="5"/>
  <c r="FB113" i="5"/>
  <c r="FC113" i="5"/>
  <c r="FD113" i="5"/>
  <c r="FE113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GD113" i="5"/>
  <c r="GE113" i="5"/>
  <c r="GF113" i="5"/>
  <c r="GG113" i="5"/>
  <c r="GH113" i="5"/>
  <c r="GI113" i="5"/>
  <c r="GJ113" i="5"/>
  <c r="GK113" i="5"/>
  <c r="GL113" i="5"/>
  <c r="GM113" i="5"/>
  <c r="GN113" i="5"/>
  <c r="GO113" i="5"/>
  <c r="GP113" i="5"/>
  <c r="GQ113" i="5"/>
  <c r="GR113" i="5"/>
  <c r="GS113" i="5"/>
  <c r="GT113" i="5"/>
  <c r="GU113" i="5"/>
  <c r="GV113" i="5"/>
  <c r="GW113" i="5"/>
  <c r="GX113" i="5"/>
  <c r="GY113" i="5"/>
  <c r="GZ113" i="5"/>
  <c r="HA113" i="5"/>
  <c r="HB113" i="5"/>
  <c r="HC113" i="5"/>
  <c r="HD113" i="5"/>
  <c r="HE113" i="5"/>
  <c r="HF113" i="5"/>
  <c r="HG113" i="5"/>
  <c r="HH113" i="5"/>
  <c r="HI113" i="5"/>
  <c r="HJ113" i="5"/>
  <c r="HK113" i="5"/>
  <c r="HL113" i="5"/>
  <c r="HM113" i="5"/>
  <c r="HN113" i="5"/>
  <c r="HO113" i="5"/>
  <c r="HP113" i="5"/>
  <c r="HQ113" i="5"/>
  <c r="HR113" i="5"/>
  <c r="HS113" i="5"/>
  <c r="HT113" i="5"/>
  <c r="HU113" i="5"/>
  <c r="HV113" i="5"/>
  <c r="HW113" i="5"/>
  <c r="HX113" i="5"/>
  <c r="HY113" i="5"/>
  <c r="HZ113" i="5"/>
  <c r="IA113" i="5"/>
  <c r="IB113" i="5"/>
  <c r="IC113" i="5"/>
  <c r="ID113" i="5"/>
  <c r="IE113" i="5"/>
  <c r="IF113" i="5"/>
  <c r="IG113" i="5"/>
  <c r="IH113" i="5"/>
  <c r="II113" i="5"/>
  <c r="IJ113" i="5"/>
  <c r="IK113" i="5"/>
  <c r="IL113" i="5"/>
  <c r="IM113" i="5"/>
  <c r="IN113" i="5"/>
  <c r="IO113" i="5"/>
  <c r="IP113" i="5"/>
  <c r="IQ113" i="5"/>
  <c r="IR113" i="5"/>
  <c r="IS113" i="5"/>
  <c r="IT113" i="5"/>
  <c r="IU113" i="5"/>
  <c r="IV113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CU114" i="5"/>
  <c r="CV114" i="5"/>
  <c r="CW114" i="5"/>
  <c r="CX114" i="5"/>
  <c r="CY114" i="5"/>
  <c r="CZ114" i="5"/>
  <c r="DA114" i="5"/>
  <c r="DB114" i="5"/>
  <c r="DC114" i="5"/>
  <c r="DD114" i="5"/>
  <c r="DE114" i="5"/>
  <c r="DF114" i="5"/>
  <c r="DG114" i="5"/>
  <c r="DH114" i="5"/>
  <c r="DI114" i="5"/>
  <c r="DJ114" i="5"/>
  <c r="DK114" i="5"/>
  <c r="DL114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EJ114" i="5"/>
  <c r="EK114" i="5"/>
  <c r="EL114" i="5"/>
  <c r="EM114" i="5"/>
  <c r="EN114" i="5"/>
  <c r="EO114" i="5"/>
  <c r="EP114" i="5"/>
  <c r="EQ114" i="5"/>
  <c r="ER114" i="5"/>
  <c r="ES114" i="5"/>
  <c r="ET114" i="5"/>
  <c r="EU114" i="5"/>
  <c r="EV114" i="5"/>
  <c r="EW114" i="5"/>
  <c r="EX114" i="5"/>
  <c r="EY114" i="5"/>
  <c r="EZ114" i="5"/>
  <c r="FA114" i="5"/>
  <c r="FB114" i="5"/>
  <c r="FC114" i="5"/>
  <c r="FD114" i="5"/>
  <c r="FE114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GD114" i="5"/>
  <c r="GE114" i="5"/>
  <c r="GF114" i="5"/>
  <c r="GG114" i="5"/>
  <c r="GH114" i="5"/>
  <c r="GI114" i="5"/>
  <c r="GJ114" i="5"/>
  <c r="GK114" i="5"/>
  <c r="GL114" i="5"/>
  <c r="GM114" i="5"/>
  <c r="GN114" i="5"/>
  <c r="GO114" i="5"/>
  <c r="GP114" i="5"/>
  <c r="GQ114" i="5"/>
  <c r="GR114" i="5"/>
  <c r="GS114" i="5"/>
  <c r="GT114" i="5"/>
  <c r="GU114" i="5"/>
  <c r="GV114" i="5"/>
  <c r="GW114" i="5"/>
  <c r="GX114" i="5"/>
  <c r="GY114" i="5"/>
  <c r="GZ114" i="5"/>
  <c r="HA114" i="5"/>
  <c r="HB114" i="5"/>
  <c r="HC114" i="5"/>
  <c r="HD114" i="5"/>
  <c r="HE114" i="5"/>
  <c r="HF114" i="5"/>
  <c r="HG114" i="5"/>
  <c r="HH114" i="5"/>
  <c r="HI114" i="5"/>
  <c r="HJ114" i="5"/>
  <c r="HK114" i="5"/>
  <c r="HL114" i="5"/>
  <c r="HM114" i="5"/>
  <c r="HN114" i="5"/>
  <c r="HO114" i="5"/>
  <c r="HP114" i="5"/>
  <c r="HQ114" i="5"/>
  <c r="HR114" i="5"/>
  <c r="HS114" i="5"/>
  <c r="HT114" i="5"/>
  <c r="HU114" i="5"/>
  <c r="HV114" i="5"/>
  <c r="HW114" i="5"/>
  <c r="HX114" i="5"/>
  <c r="HY114" i="5"/>
  <c r="HZ114" i="5"/>
  <c r="IA114" i="5"/>
  <c r="IB114" i="5"/>
  <c r="IC114" i="5"/>
  <c r="ID114" i="5"/>
  <c r="IE114" i="5"/>
  <c r="IF114" i="5"/>
  <c r="IG114" i="5"/>
  <c r="IH114" i="5"/>
  <c r="II114" i="5"/>
  <c r="IJ114" i="5"/>
  <c r="IK114" i="5"/>
  <c r="IL114" i="5"/>
  <c r="IM114" i="5"/>
  <c r="IN114" i="5"/>
  <c r="IO114" i="5"/>
  <c r="IP114" i="5"/>
  <c r="IQ114" i="5"/>
  <c r="IR114" i="5"/>
  <c r="IS114" i="5"/>
  <c r="IT114" i="5"/>
  <c r="IU114" i="5"/>
  <c r="IV114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CU115" i="5"/>
  <c r="CV115" i="5"/>
  <c r="CW115" i="5"/>
  <c r="CX115" i="5"/>
  <c r="CY115" i="5"/>
  <c r="CZ115" i="5"/>
  <c r="DA115" i="5"/>
  <c r="DB115" i="5"/>
  <c r="DC115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EJ115" i="5"/>
  <c r="EK115" i="5"/>
  <c r="EL115" i="5"/>
  <c r="EM115" i="5"/>
  <c r="EN115" i="5"/>
  <c r="EO115" i="5"/>
  <c r="EP115" i="5"/>
  <c r="EQ115" i="5"/>
  <c r="ER115" i="5"/>
  <c r="ES115" i="5"/>
  <c r="ET115" i="5"/>
  <c r="EU115" i="5"/>
  <c r="EV115" i="5"/>
  <c r="EW115" i="5"/>
  <c r="EX115" i="5"/>
  <c r="EY115" i="5"/>
  <c r="EZ115" i="5"/>
  <c r="FA115" i="5"/>
  <c r="FB115" i="5"/>
  <c r="FC115" i="5"/>
  <c r="FD115" i="5"/>
  <c r="FE115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GD115" i="5"/>
  <c r="GE115" i="5"/>
  <c r="GF115" i="5"/>
  <c r="GG115" i="5"/>
  <c r="GH115" i="5"/>
  <c r="GI115" i="5"/>
  <c r="GJ115" i="5"/>
  <c r="GK115" i="5"/>
  <c r="GL115" i="5"/>
  <c r="GM115" i="5"/>
  <c r="GN115" i="5"/>
  <c r="GO115" i="5"/>
  <c r="GP115" i="5"/>
  <c r="GQ115" i="5"/>
  <c r="GR115" i="5"/>
  <c r="GS115" i="5"/>
  <c r="GT115" i="5"/>
  <c r="GU115" i="5"/>
  <c r="GV115" i="5"/>
  <c r="GW115" i="5"/>
  <c r="GX115" i="5"/>
  <c r="GY115" i="5"/>
  <c r="GZ115" i="5"/>
  <c r="HA115" i="5"/>
  <c r="HB115" i="5"/>
  <c r="HC115" i="5"/>
  <c r="HD115" i="5"/>
  <c r="HE115" i="5"/>
  <c r="HF115" i="5"/>
  <c r="HG115" i="5"/>
  <c r="HH115" i="5"/>
  <c r="HI115" i="5"/>
  <c r="HJ115" i="5"/>
  <c r="HK115" i="5"/>
  <c r="HL115" i="5"/>
  <c r="HM115" i="5"/>
  <c r="HN115" i="5"/>
  <c r="HO115" i="5"/>
  <c r="HP115" i="5"/>
  <c r="HQ115" i="5"/>
  <c r="HR115" i="5"/>
  <c r="HS115" i="5"/>
  <c r="HT115" i="5"/>
  <c r="HU115" i="5"/>
  <c r="HV115" i="5"/>
  <c r="HW115" i="5"/>
  <c r="HX115" i="5"/>
  <c r="HY115" i="5"/>
  <c r="HZ115" i="5"/>
  <c r="IA115" i="5"/>
  <c r="IB115" i="5"/>
  <c r="IC115" i="5"/>
  <c r="ID115" i="5"/>
  <c r="IE115" i="5"/>
  <c r="IF115" i="5"/>
  <c r="IG115" i="5"/>
  <c r="IH115" i="5"/>
  <c r="II115" i="5"/>
  <c r="IJ115" i="5"/>
  <c r="IK115" i="5"/>
  <c r="IL115" i="5"/>
  <c r="IM115" i="5"/>
  <c r="IN115" i="5"/>
  <c r="IO115" i="5"/>
  <c r="IP115" i="5"/>
  <c r="IQ115" i="5"/>
  <c r="IR115" i="5"/>
  <c r="IS115" i="5"/>
  <c r="IT115" i="5"/>
  <c r="IU115" i="5"/>
  <c r="IV115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CU116" i="5"/>
  <c r="CV116" i="5"/>
  <c r="CW116" i="5"/>
  <c r="CX116" i="5"/>
  <c r="CY116" i="5"/>
  <c r="CZ116" i="5"/>
  <c r="DA116" i="5"/>
  <c r="DB116" i="5"/>
  <c r="DC116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EJ116" i="5"/>
  <c r="EK116" i="5"/>
  <c r="EL116" i="5"/>
  <c r="EM116" i="5"/>
  <c r="EN116" i="5"/>
  <c r="EO116" i="5"/>
  <c r="EP116" i="5"/>
  <c r="EQ116" i="5"/>
  <c r="ER116" i="5"/>
  <c r="ES116" i="5"/>
  <c r="ET116" i="5"/>
  <c r="EU116" i="5"/>
  <c r="EV116" i="5"/>
  <c r="EW116" i="5"/>
  <c r="EX116" i="5"/>
  <c r="EY116" i="5"/>
  <c r="EZ116" i="5"/>
  <c r="FA116" i="5"/>
  <c r="FB116" i="5"/>
  <c r="FC116" i="5"/>
  <c r="FD116" i="5"/>
  <c r="FE116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GD116" i="5"/>
  <c r="GE116" i="5"/>
  <c r="GF116" i="5"/>
  <c r="GG116" i="5"/>
  <c r="GH116" i="5"/>
  <c r="GI116" i="5"/>
  <c r="GJ116" i="5"/>
  <c r="GK116" i="5"/>
  <c r="GL116" i="5"/>
  <c r="GM116" i="5"/>
  <c r="GN116" i="5"/>
  <c r="GO116" i="5"/>
  <c r="GP116" i="5"/>
  <c r="GQ116" i="5"/>
  <c r="GR116" i="5"/>
  <c r="GS116" i="5"/>
  <c r="GT116" i="5"/>
  <c r="GU116" i="5"/>
  <c r="GV116" i="5"/>
  <c r="GW116" i="5"/>
  <c r="GX116" i="5"/>
  <c r="GY116" i="5"/>
  <c r="GZ116" i="5"/>
  <c r="HA116" i="5"/>
  <c r="HB116" i="5"/>
  <c r="HC116" i="5"/>
  <c r="HD116" i="5"/>
  <c r="HE116" i="5"/>
  <c r="HF116" i="5"/>
  <c r="HG116" i="5"/>
  <c r="HH116" i="5"/>
  <c r="HI116" i="5"/>
  <c r="HJ116" i="5"/>
  <c r="HK116" i="5"/>
  <c r="HL116" i="5"/>
  <c r="HM116" i="5"/>
  <c r="HN116" i="5"/>
  <c r="HO116" i="5"/>
  <c r="HP116" i="5"/>
  <c r="HQ116" i="5"/>
  <c r="HR116" i="5"/>
  <c r="HS116" i="5"/>
  <c r="HT116" i="5"/>
  <c r="HU116" i="5"/>
  <c r="HV116" i="5"/>
  <c r="HW116" i="5"/>
  <c r="HX116" i="5"/>
  <c r="HY116" i="5"/>
  <c r="HZ116" i="5"/>
  <c r="IA116" i="5"/>
  <c r="IB116" i="5"/>
  <c r="IC116" i="5"/>
  <c r="ID116" i="5"/>
  <c r="IE116" i="5"/>
  <c r="IF116" i="5"/>
  <c r="IG116" i="5"/>
  <c r="IH116" i="5"/>
  <c r="II116" i="5"/>
  <c r="IJ116" i="5"/>
  <c r="IK116" i="5"/>
  <c r="IL116" i="5"/>
  <c r="IM116" i="5"/>
  <c r="IN116" i="5"/>
  <c r="IO116" i="5"/>
  <c r="IP116" i="5"/>
  <c r="IQ116" i="5"/>
  <c r="IR116" i="5"/>
  <c r="IS116" i="5"/>
  <c r="IT116" i="5"/>
  <c r="IU116" i="5"/>
  <c r="IV116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CU117" i="5"/>
  <c r="CV117" i="5"/>
  <c r="CW117" i="5"/>
  <c r="CX117" i="5"/>
  <c r="CY117" i="5"/>
  <c r="CZ117" i="5"/>
  <c r="DA117" i="5"/>
  <c r="DB117" i="5"/>
  <c r="DC117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EJ117" i="5"/>
  <c r="EK117" i="5"/>
  <c r="EL117" i="5"/>
  <c r="EM117" i="5"/>
  <c r="EN117" i="5"/>
  <c r="EO117" i="5"/>
  <c r="EP117" i="5"/>
  <c r="EQ117" i="5"/>
  <c r="ER117" i="5"/>
  <c r="ES117" i="5"/>
  <c r="ET117" i="5"/>
  <c r="EU117" i="5"/>
  <c r="EV117" i="5"/>
  <c r="EW117" i="5"/>
  <c r="EX117" i="5"/>
  <c r="EY117" i="5"/>
  <c r="EZ117" i="5"/>
  <c r="FA117" i="5"/>
  <c r="FB117" i="5"/>
  <c r="FC117" i="5"/>
  <c r="FD117" i="5"/>
  <c r="FE117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GD117" i="5"/>
  <c r="GE117" i="5"/>
  <c r="GF117" i="5"/>
  <c r="GG117" i="5"/>
  <c r="GH117" i="5"/>
  <c r="GI117" i="5"/>
  <c r="GJ117" i="5"/>
  <c r="GK117" i="5"/>
  <c r="GL117" i="5"/>
  <c r="GM117" i="5"/>
  <c r="GN117" i="5"/>
  <c r="GO117" i="5"/>
  <c r="GP117" i="5"/>
  <c r="GQ117" i="5"/>
  <c r="GR117" i="5"/>
  <c r="GS117" i="5"/>
  <c r="GT117" i="5"/>
  <c r="GU117" i="5"/>
  <c r="GV117" i="5"/>
  <c r="GW117" i="5"/>
  <c r="GX117" i="5"/>
  <c r="GY117" i="5"/>
  <c r="GZ117" i="5"/>
  <c r="HA117" i="5"/>
  <c r="HB117" i="5"/>
  <c r="HC117" i="5"/>
  <c r="HD117" i="5"/>
  <c r="HE117" i="5"/>
  <c r="HF117" i="5"/>
  <c r="HG117" i="5"/>
  <c r="HH117" i="5"/>
  <c r="HI117" i="5"/>
  <c r="HJ117" i="5"/>
  <c r="HK117" i="5"/>
  <c r="HL117" i="5"/>
  <c r="HM117" i="5"/>
  <c r="HN117" i="5"/>
  <c r="HO117" i="5"/>
  <c r="HP117" i="5"/>
  <c r="HQ117" i="5"/>
  <c r="HR117" i="5"/>
  <c r="HS117" i="5"/>
  <c r="HT117" i="5"/>
  <c r="HU117" i="5"/>
  <c r="HV117" i="5"/>
  <c r="HW117" i="5"/>
  <c r="HX117" i="5"/>
  <c r="HY117" i="5"/>
  <c r="HZ117" i="5"/>
  <c r="IA117" i="5"/>
  <c r="IB117" i="5"/>
  <c r="IC117" i="5"/>
  <c r="ID117" i="5"/>
  <c r="IE117" i="5"/>
  <c r="IF117" i="5"/>
  <c r="IG117" i="5"/>
  <c r="IH117" i="5"/>
  <c r="II117" i="5"/>
  <c r="IJ117" i="5"/>
  <c r="IK117" i="5"/>
  <c r="IL117" i="5"/>
  <c r="IM117" i="5"/>
  <c r="IN117" i="5"/>
  <c r="IO117" i="5"/>
  <c r="IP117" i="5"/>
  <c r="IQ117" i="5"/>
  <c r="IR117" i="5"/>
  <c r="IS117" i="5"/>
  <c r="IT117" i="5"/>
  <c r="IU117" i="5"/>
  <c r="IV117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CU118" i="5"/>
  <c r="CV118" i="5"/>
  <c r="CW118" i="5"/>
  <c r="CX118" i="5"/>
  <c r="CY118" i="5"/>
  <c r="CZ118" i="5"/>
  <c r="DA118" i="5"/>
  <c r="DB118" i="5"/>
  <c r="DC118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EJ118" i="5"/>
  <c r="EK118" i="5"/>
  <c r="EL118" i="5"/>
  <c r="EM118" i="5"/>
  <c r="EN118" i="5"/>
  <c r="EO118" i="5"/>
  <c r="EP118" i="5"/>
  <c r="EQ118" i="5"/>
  <c r="ER118" i="5"/>
  <c r="ES118" i="5"/>
  <c r="ET118" i="5"/>
  <c r="EU118" i="5"/>
  <c r="EV118" i="5"/>
  <c r="EW118" i="5"/>
  <c r="EX118" i="5"/>
  <c r="EY118" i="5"/>
  <c r="EZ118" i="5"/>
  <c r="FA118" i="5"/>
  <c r="FB118" i="5"/>
  <c r="FC118" i="5"/>
  <c r="FD118" i="5"/>
  <c r="FE118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GD118" i="5"/>
  <c r="GE118" i="5"/>
  <c r="GF118" i="5"/>
  <c r="GG118" i="5"/>
  <c r="GH118" i="5"/>
  <c r="GI118" i="5"/>
  <c r="GJ118" i="5"/>
  <c r="GK118" i="5"/>
  <c r="GL118" i="5"/>
  <c r="GM118" i="5"/>
  <c r="GN118" i="5"/>
  <c r="GO118" i="5"/>
  <c r="GP118" i="5"/>
  <c r="GQ118" i="5"/>
  <c r="GR118" i="5"/>
  <c r="GS118" i="5"/>
  <c r="GT118" i="5"/>
  <c r="GU118" i="5"/>
  <c r="GV118" i="5"/>
  <c r="GW118" i="5"/>
  <c r="GX118" i="5"/>
  <c r="GY118" i="5"/>
  <c r="GZ118" i="5"/>
  <c r="HA118" i="5"/>
  <c r="HB118" i="5"/>
  <c r="HC118" i="5"/>
  <c r="HD118" i="5"/>
  <c r="HE118" i="5"/>
  <c r="HF118" i="5"/>
  <c r="HG118" i="5"/>
  <c r="HH118" i="5"/>
  <c r="HI118" i="5"/>
  <c r="HJ118" i="5"/>
  <c r="HK118" i="5"/>
  <c r="HL118" i="5"/>
  <c r="HM118" i="5"/>
  <c r="HN118" i="5"/>
  <c r="HO118" i="5"/>
  <c r="HP118" i="5"/>
  <c r="HQ118" i="5"/>
  <c r="HR118" i="5"/>
  <c r="HS118" i="5"/>
  <c r="HT118" i="5"/>
  <c r="HU118" i="5"/>
  <c r="HV118" i="5"/>
  <c r="HW118" i="5"/>
  <c r="HX118" i="5"/>
  <c r="HY118" i="5"/>
  <c r="HZ118" i="5"/>
  <c r="IA118" i="5"/>
  <c r="IB118" i="5"/>
  <c r="IC118" i="5"/>
  <c r="ID118" i="5"/>
  <c r="IE118" i="5"/>
  <c r="IF118" i="5"/>
  <c r="IG118" i="5"/>
  <c r="IH118" i="5"/>
  <c r="II118" i="5"/>
  <c r="IJ118" i="5"/>
  <c r="IK118" i="5"/>
  <c r="IL118" i="5"/>
  <c r="IM118" i="5"/>
  <c r="IN118" i="5"/>
  <c r="IO118" i="5"/>
  <c r="IP118" i="5"/>
  <c r="IQ118" i="5"/>
  <c r="IR118" i="5"/>
  <c r="IS118" i="5"/>
  <c r="IT118" i="5"/>
  <c r="IU118" i="5"/>
  <c r="IV118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CU119" i="5"/>
  <c r="CV119" i="5"/>
  <c r="CW119" i="5"/>
  <c r="CX119" i="5"/>
  <c r="CY119" i="5"/>
  <c r="CZ119" i="5"/>
  <c r="DA119" i="5"/>
  <c r="DB119" i="5"/>
  <c r="DC119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EJ119" i="5"/>
  <c r="EK119" i="5"/>
  <c r="EL119" i="5"/>
  <c r="EM119" i="5"/>
  <c r="EN119" i="5"/>
  <c r="EO119" i="5"/>
  <c r="EP119" i="5"/>
  <c r="EQ119" i="5"/>
  <c r="ER119" i="5"/>
  <c r="ES119" i="5"/>
  <c r="ET119" i="5"/>
  <c r="EU119" i="5"/>
  <c r="EV119" i="5"/>
  <c r="EW119" i="5"/>
  <c r="EX119" i="5"/>
  <c r="EY119" i="5"/>
  <c r="EZ119" i="5"/>
  <c r="FA119" i="5"/>
  <c r="FB119" i="5"/>
  <c r="FC119" i="5"/>
  <c r="FD119" i="5"/>
  <c r="FE119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GD119" i="5"/>
  <c r="GE119" i="5"/>
  <c r="GF119" i="5"/>
  <c r="GG119" i="5"/>
  <c r="GH119" i="5"/>
  <c r="GI119" i="5"/>
  <c r="GJ119" i="5"/>
  <c r="GK119" i="5"/>
  <c r="GL119" i="5"/>
  <c r="GM119" i="5"/>
  <c r="GN119" i="5"/>
  <c r="GO119" i="5"/>
  <c r="GP119" i="5"/>
  <c r="GQ119" i="5"/>
  <c r="GR119" i="5"/>
  <c r="GS119" i="5"/>
  <c r="GT119" i="5"/>
  <c r="GU119" i="5"/>
  <c r="GV119" i="5"/>
  <c r="GW119" i="5"/>
  <c r="GX119" i="5"/>
  <c r="GY119" i="5"/>
  <c r="GZ119" i="5"/>
  <c r="HA119" i="5"/>
  <c r="HB119" i="5"/>
  <c r="HC119" i="5"/>
  <c r="HD119" i="5"/>
  <c r="HE119" i="5"/>
  <c r="HF119" i="5"/>
  <c r="HG119" i="5"/>
  <c r="HH119" i="5"/>
  <c r="HI119" i="5"/>
  <c r="HJ119" i="5"/>
  <c r="HK119" i="5"/>
  <c r="HL119" i="5"/>
  <c r="HM119" i="5"/>
  <c r="HN119" i="5"/>
  <c r="HO119" i="5"/>
  <c r="HP119" i="5"/>
  <c r="HQ119" i="5"/>
  <c r="HR119" i="5"/>
  <c r="HS119" i="5"/>
  <c r="HT119" i="5"/>
  <c r="HU119" i="5"/>
  <c r="HV119" i="5"/>
  <c r="HW119" i="5"/>
  <c r="HX119" i="5"/>
  <c r="HY119" i="5"/>
  <c r="HZ119" i="5"/>
  <c r="IA119" i="5"/>
  <c r="IB119" i="5"/>
  <c r="IC119" i="5"/>
  <c r="ID119" i="5"/>
  <c r="IE119" i="5"/>
  <c r="IF119" i="5"/>
  <c r="IG119" i="5"/>
  <c r="IH119" i="5"/>
  <c r="II119" i="5"/>
  <c r="IJ119" i="5"/>
  <c r="IK119" i="5"/>
  <c r="IL119" i="5"/>
  <c r="IM119" i="5"/>
  <c r="IN119" i="5"/>
  <c r="IO119" i="5"/>
  <c r="IP119" i="5"/>
  <c r="IQ119" i="5"/>
  <c r="IR119" i="5"/>
  <c r="IS119" i="5"/>
  <c r="IT119" i="5"/>
  <c r="IU119" i="5"/>
  <c r="IV119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CU120" i="5"/>
  <c r="CV120" i="5"/>
  <c r="CW120" i="5"/>
  <c r="CX120" i="5"/>
  <c r="CY120" i="5"/>
  <c r="CZ120" i="5"/>
  <c r="DA120" i="5"/>
  <c r="DB120" i="5"/>
  <c r="DC120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EJ120" i="5"/>
  <c r="EK120" i="5"/>
  <c r="EL120" i="5"/>
  <c r="EM120" i="5"/>
  <c r="EN120" i="5"/>
  <c r="EO120" i="5"/>
  <c r="EP120" i="5"/>
  <c r="EQ120" i="5"/>
  <c r="ER120" i="5"/>
  <c r="ES120" i="5"/>
  <c r="ET120" i="5"/>
  <c r="EU120" i="5"/>
  <c r="EV120" i="5"/>
  <c r="EW120" i="5"/>
  <c r="EX120" i="5"/>
  <c r="EY120" i="5"/>
  <c r="EZ120" i="5"/>
  <c r="FA120" i="5"/>
  <c r="FB120" i="5"/>
  <c r="FC120" i="5"/>
  <c r="FD120" i="5"/>
  <c r="FE120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GD120" i="5"/>
  <c r="GE120" i="5"/>
  <c r="GF120" i="5"/>
  <c r="GG120" i="5"/>
  <c r="GH120" i="5"/>
  <c r="GI120" i="5"/>
  <c r="GJ120" i="5"/>
  <c r="GK120" i="5"/>
  <c r="GL120" i="5"/>
  <c r="GM120" i="5"/>
  <c r="GN120" i="5"/>
  <c r="GO120" i="5"/>
  <c r="GP120" i="5"/>
  <c r="GQ120" i="5"/>
  <c r="GR120" i="5"/>
  <c r="GS120" i="5"/>
  <c r="GT120" i="5"/>
  <c r="GU120" i="5"/>
  <c r="GV120" i="5"/>
  <c r="GW120" i="5"/>
  <c r="GX120" i="5"/>
  <c r="GY120" i="5"/>
  <c r="GZ120" i="5"/>
  <c r="HA120" i="5"/>
  <c r="HB120" i="5"/>
  <c r="HC120" i="5"/>
  <c r="HD120" i="5"/>
  <c r="HE120" i="5"/>
  <c r="HF120" i="5"/>
  <c r="HG120" i="5"/>
  <c r="HH120" i="5"/>
  <c r="HI120" i="5"/>
  <c r="HJ120" i="5"/>
  <c r="HK120" i="5"/>
  <c r="HL120" i="5"/>
  <c r="HM120" i="5"/>
  <c r="HN120" i="5"/>
  <c r="HO120" i="5"/>
  <c r="HP120" i="5"/>
  <c r="HQ120" i="5"/>
  <c r="HR120" i="5"/>
  <c r="HS120" i="5"/>
  <c r="HT120" i="5"/>
  <c r="HU120" i="5"/>
  <c r="HV120" i="5"/>
  <c r="HW120" i="5"/>
  <c r="HX120" i="5"/>
  <c r="HY120" i="5"/>
  <c r="HZ120" i="5"/>
  <c r="IA120" i="5"/>
  <c r="IB120" i="5"/>
  <c r="IC120" i="5"/>
  <c r="ID120" i="5"/>
  <c r="IE120" i="5"/>
  <c r="IF120" i="5"/>
  <c r="IG120" i="5"/>
  <c r="IH120" i="5"/>
  <c r="II120" i="5"/>
  <c r="IJ120" i="5"/>
  <c r="IK120" i="5"/>
  <c r="IL120" i="5"/>
  <c r="IM120" i="5"/>
  <c r="IN120" i="5"/>
  <c r="IO120" i="5"/>
  <c r="IP120" i="5"/>
  <c r="IQ120" i="5"/>
  <c r="IR120" i="5"/>
  <c r="IS120" i="5"/>
  <c r="IT120" i="5"/>
  <c r="IU120" i="5"/>
  <c r="IV120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CU121" i="5"/>
  <c r="CV121" i="5"/>
  <c r="CW121" i="5"/>
  <c r="CX121" i="5"/>
  <c r="CY121" i="5"/>
  <c r="CZ121" i="5"/>
  <c r="DA121" i="5"/>
  <c r="DB121" i="5"/>
  <c r="DC121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EJ121" i="5"/>
  <c r="EK121" i="5"/>
  <c r="EL121" i="5"/>
  <c r="EM121" i="5"/>
  <c r="EN121" i="5"/>
  <c r="EO121" i="5"/>
  <c r="EP121" i="5"/>
  <c r="EQ121" i="5"/>
  <c r="ER121" i="5"/>
  <c r="ES121" i="5"/>
  <c r="ET121" i="5"/>
  <c r="EU121" i="5"/>
  <c r="EV121" i="5"/>
  <c r="EW121" i="5"/>
  <c r="EX121" i="5"/>
  <c r="EY121" i="5"/>
  <c r="EZ121" i="5"/>
  <c r="FA121" i="5"/>
  <c r="FB121" i="5"/>
  <c r="FC121" i="5"/>
  <c r="FD121" i="5"/>
  <c r="FE121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GD121" i="5"/>
  <c r="GE121" i="5"/>
  <c r="GF121" i="5"/>
  <c r="GG121" i="5"/>
  <c r="GH121" i="5"/>
  <c r="GI121" i="5"/>
  <c r="GJ121" i="5"/>
  <c r="GK121" i="5"/>
  <c r="GL121" i="5"/>
  <c r="GM121" i="5"/>
  <c r="GN121" i="5"/>
  <c r="GO121" i="5"/>
  <c r="GP121" i="5"/>
  <c r="GQ121" i="5"/>
  <c r="GR121" i="5"/>
  <c r="GS121" i="5"/>
  <c r="GT121" i="5"/>
  <c r="GU121" i="5"/>
  <c r="GV121" i="5"/>
  <c r="GW121" i="5"/>
  <c r="GX121" i="5"/>
  <c r="GY121" i="5"/>
  <c r="GZ121" i="5"/>
  <c r="HA121" i="5"/>
  <c r="HB121" i="5"/>
  <c r="HC121" i="5"/>
  <c r="HD121" i="5"/>
  <c r="HE121" i="5"/>
  <c r="HF121" i="5"/>
  <c r="HG121" i="5"/>
  <c r="HH121" i="5"/>
  <c r="HI121" i="5"/>
  <c r="HJ121" i="5"/>
  <c r="HK121" i="5"/>
  <c r="HL121" i="5"/>
  <c r="HM121" i="5"/>
  <c r="HN121" i="5"/>
  <c r="HO121" i="5"/>
  <c r="HP121" i="5"/>
  <c r="HQ121" i="5"/>
  <c r="HR121" i="5"/>
  <c r="HS121" i="5"/>
  <c r="HT121" i="5"/>
  <c r="HU121" i="5"/>
  <c r="HV121" i="5"/>
  <c r="HW121" i="5"/>
  <c r="HX121" i="5"/>
  <c r="HY121" i="5"/>
  <c r="HZ121" i="5"/>
  <c r="IA121" i="5"/>
  <c r="IB121" i="5"/>
  <c r="IC121" i="5"/>
  <c r="ID121" i="5"/>
  <c r="IE121" i="5"/>
  <c r="IF121" i="5"/>
  <c r="IG121" i="5"/>
  <c r="IH121" i="5"/>
  <c r="II121" i="5"/>
  <c r="IJ121" i="5"/>
  <c r="IK121" i="5"/>
  <c r="IL121" i="5"/>
  <c r="IM121" i="5"/>
  <c r="IN121" i="5"/>
  <c r="IO121" i="5"/>
  <c r="IP121" i="5"/>
  <c r="IQ121" i="5"/>
  <c r="IR121" i="5"/>
  <c r="IS121" i="5"/>
  <c r="IT121" i="5"/>
  <c r="IU121" i="5"/>
  <c r="IV121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CU122" i="5"/>
  <c r="CV122" i="5"/>
  <c r="CW122" i="5"/>
  <c r="CX122" i="5"/>
  <c r="CY122" i="5"/>
  <c r="CZ122" i="5"/>
  <c r="DA122" i="5"/>
  <c r="DB122" i="5"/>
  <c r="DC122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EJ122" i="5"/>
  <c r="EK122" i="5"/>
  <c r="EL122" i="5"/>
  <c r="EM122" i="5"/>
  <c r="EN122" i="5"/>
  <c r="EO122" i="5"/>
  <c r="EP122" i="5"/>
  <c r="EQ122" i="5"/>
  <c r="ER122" i="5"/>
  <c r="ES122" i="5"/>
  <c r="ET122" i="5"/>
  <c r="EU122" i="5"/>
  <c r="EV122" i="5"/>
  <c r="EW122" i="5"/>
  <c r="EX122" i="5"/>
  <c r="EY122" i="5"/>
  <c r="EZ122" i="5"/>
  <c r="FA122" i="5"/>
  <c r="FB122" i="5"/>
  <c r="FC122" i="5"/>
  <c r="FD122" i="5"/>
  <c r="FE122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GD122" i="5"/>
  <c r="GE122" i="5"/>
  <c r="GF122" i="5"/>
  <c r="GG122" i="5"/>
  <c r="GH122" i="5"/>
  <c r="GI122" i="5"/>
  <c r="GJ122" i="5"/>
  <c r="GK122" i="5"/>
  <c r="GL122" i="5"/>
  <c r="GM122" i="5"/>
  <c r="GN122" i="5"/>
  <c r="GO122" i="5"/>
  <c r="GP122" i="5"/>
  <c r="GQ122" i="5"/>
  <c r="GR122" i="5"/>
  <c r="GS122" i="5"/>
  <c r="GT122" i="5"/>
  <c r="GU122" i="5"/>
  <c r="GV122" i="5"/>
  <c r="GW122" i="5"/>
  <c r="GX122" i="5"/>
  <c r="GY122" i="5"/>
  <c r="GZ122" i="5"/>
  <c r="HA122" i="5"/>
  <c r="HB122" i="5"/>
  <c r="HC122" i="5"/>
  <c r="HD122" i="5"/>
  <c r="HE122" i="5"/>
  <c r="HF122" i="5"/>
  <c r="HG122" i="5"/>
  <c r="HH122" i="5"/>
  <c r="HI122" i="5"/>
  <c r="HJ122" i="5"/>
  <c r="HK122" i="5"/>
  <c r="HL122" i="5"/>
  <c r="HM122" i="5"/>
  <c r="HN122" i="5"/>
  <c r="HO122" i="5"/>
  <c r="HP122" i="5"/>
  <c r="HQ122" i="5"/>
  <c r="HR122" i="5"/>
  <c r="HS122" i="5"/>
  <c r="HT122" i="5"/>
  <c r="HU122" i="5"/>
  <c r="HV122" i="5"/>
  <c r="HW122" i="5"/>
  <c r="HX122" i="5"/>
  <c r="HY122" i="5"/>
  <c r="HZ122" i="5"/>
  <c r="IA122" i="5"/>
  <c r="IB122" i="5"/>
  <c r="IC122" i="5"/>
  <c r="ID122" i="5"/>
  <c r="IE122" i="5"/>
  <c r="IF122" i="5"/>
  <c r="IG122" i="5"/>
  <c r="IH122" i="5"/>
  <c r="II122" i="5"/>
  <c r="IJ122" i="5"/>
  <c r="IK122" i="5"/>
  <c r="IL122" i="5"/>
  <c r="IM122" i="5"/>
  <c r="IN122" i="5"/>
  <c r="IO122" i="5"/>
  <c r="IP122" i="5"/>
  <c r="IQ122" i="5"/>
  <c r="IR122" i="5"/>
  <c r="IS122" i="5"/>
  <c r="IT122" i="5"/>
  <c r="IU122" i="5"/>
  <c r="IV122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CU123" i="5"/>
  <c r="CV123" i="5"/>
  <c r="CW123" i="5"/>
  <c r="CX123" i="5"/>
  <c r="CY123" i="5"/>
  <c r="CZ123" i="5"/>
  <c r="DA123" i="5"/>
  <c r="DB123" i="5"/>
  <c r="DC123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EJ123" i="5"/>
  <c r="EK123" i="5"/>
  <c r="EL123" i="5"/>
  <c r="EM123" i="5"/>
  <c r="EN123" i="5"/>
  <c r="EO123" i="5"/>
  <c r="EP123" i="5"/>
  <c r="EQ123" i="5"/>
  <c r="ER123" i="5"/>
  <c r="ES123" i="5"/>
  <c r="ET123" i="5"/>
  <c r="EU123" i="5"/>
  <c r="EV123" i="5"/>
  <c r="EW123" i="5"/>
  <c r="EX123" i="5"/>
  <c r="EY123" i="5"/>
  <c r="EZ123" i="5"/>
  <c r="FA123" i="5"/>
  <c r="FB123" i="5"/>
  <c r="FC123" i="5"/>
  <c r="FD123" i="5"/>
  <c r="FE123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GD123" i="5"/>
  <c r="GE123" i="5"/>
  <c r="GF123" i="5"/>
  <c r="GG123" i="5"/>
  <c r="GH123" i="5"/>
  <c r="GI123" i="5"/>
  <c r="GJ123" i="5"/>
  <c r="GK123" i="5"/>
  <c r="GL123" i="5"/>
  <c r="GM123" i="5"/>
  <c r="GN123" i="5"/>
  <c r="GO123" i="5"/>
  <c r="GP123" i="5"/>
  <c r="GQ123" i="5"/>
  <c r="GR123" i="5"/>
  <c r="GS123" i="5"/>
  <c r="GT123" i="5"/>
  <c r="GU123" i="5"/>
  <c r="GV123" i="5"/>
  <c r="GW123" i="5"/>
  <c r="GX123" i="5"/>
  <c r="GY123" i="5"/>
  <c r="GZ123" i="5"/>
  <c r="HA123" i="5"/>
  <c r="HB123" i="5"/>
  <c r="HC123" i="5"/>
  <c r="HD123" i="5"/>
  <c r="HE123" i="5"/>
  <c r="HF123" i="5"/>
  <c r="HG123" i="5"/>
  <c r="HH123" i="5"/>
  <c r="HI123" i="5"/>
  <c r="HJ123" i="5"/>
  <c r="HK123" i="5"/>
  <c r="HL123" i="5"/>
  <c r="HM123" i="5"/>
  <c r="HN123" i="5"/>
  <c r="HO123" i="5"/>
  <c r="HP123" i="5"/>
  <c r="HQ123" i="5"/>
  <c r="HR123" i="5"/>
  <c r="HS123" i="5"/>
  <c r="HT123" i="5"/>
  <c r="HU123" i="5"/>
  <c r="HV123" i="5"/>
  <c r="HW123" i="5"/>
  <c r="HX123" i="5"/>
  <c r="HY123" i="5"/>
  <c r="HZ123" i="5"/>
  <c r="IA123" i="5"/>
  <c r="IB123" i="5"/>
  <c r="IC123" i="5"/>
  <c r="ID123" i="5"/>
  <c r="IE123" i="5"/>
  <c r="IF123" i="5"/>
  <c r="IG123" i="5"/>
  <c r="IH123" i="5"/>
  <c r="II123" i="5"/>
  <c r="IJ123" i="5"/>
  <c r="IK123" i="5"/>
  <c r="IL123" i="5"/>
  <c r="IM123" i="5"/>
  <c r="IN123" i="5"/>
  <c r="IO123" i="5"/>
  <c r="IP123" i="5"/>
  <c r="IQ123" i="5"/>
  <c r="IR123" i="5"/>
  <c r="IS123" i="5"/>
  <c r="IT123" i="5"/>
  <c r="IU123" i="5"/>
  <c r="IV123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CU124" i="5"/>
  <c r="CV124" i="5"/>
  <c r="CW124" i="5"/>
  <c r="CX124" i="5"/>
  <c r="CY124" i="5"/>
  <c r="CZ124" i="5"/>
  <c r="DA124" i="5"/>
  <c r="DB124" i="5"/>
  <c r="DC124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EJ124" i="5"/>
  <c r="EK124" i="5"/>
  <c r="EL124" i="5"/>
  <c r="EM124" i="5"/>
  <c r="EN124" i="5"/>
  <c r="EO124" i="5"/>
  <c r="EP124" i="5"/>
  <c r="EQ124" i="5"/>
  <c r="ER124" i="5"/>
  <c r="ES124" i="5"/>
  <c r="ET124" i="5"/>
  <c r="EU124" i="5"/>
  <c r="EV124" i="5"/>
  <c r="EW124" i="5"/>
  <c r="EX124" i="5"/>
  <c r="EY124" i="5"/>
  <c r="EZ124" i="5"/>
  <c r="FA124" i="5"/>
  <c r="FB124" i="5"/>
  <c r="FC124" i="5"/>
  <c r="FD124" i="5"/>
  <c r="FE124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GD124" i="5"/>
  <c r="GE124" i="5"/>
  <c r="GF124" i="5"/>
  <c r="GG124" i="5"/>
  <c r="GH124" i="5"/>
  <c r="GI124" i="5"/>
  <c r="GJ124" i="5"/>
  <c r="GK124" i="5"/>
  <c r="GL124" i="5"/>
  <c r="GM124" i="5"/>
  <c r="GN124" i="5"/>
  <c r="GO124" i="5"/>
  <c r="GP124" i="5"/>
  <c r="GQ124" i="5"/>
  <c r="GR124" i="5"/>
  <c r="GS124" i="5"/>
  <c r="GT124" i="5"/>
  <c r="GU124" i="5"/>
  <c r="GV124" i="5"/>
  <c r="GW124" i="5"/>
  <c r="GX124" i="5"/>
  <c r="GY124" i="5"/>
  <c r="GZ124" i="5"/>
  <c r="HA124" i="5"/>
  <c r="HB124" i="5"/>
  <c r="HC124" i="5"/>
  <c r="HD124" i="5"/>
  <c r="HE124" i="5"/>
  <c r="HF124" i="5"/>
  <c r="HG124" i="5"/>
  <c r="HH124" i="5"/>
  <c r="HI124" i="5"/>
  <c r="HJ124" i="5"/>
  <c r="HK124" i="5"/>
  <c r="HL124" i="5"/>
  <c r="HM124" i="5"/>
  <c r="HN124" i="5"/>
  <c r="HO124" i="5"/>
  <c r="HP124" i="5"/>
  <c r="HQ124" i="5"/>
  <c r="HR124" i="5"/>
  <c r="HS124" i="5"/>
  <c r="HT124" i="5"/>
  <c r="HU124" i="5"/>
  <c r="HV124" i="5"/>
  <c r="HW124" i="5"/>
  <c r="HX124" i="5"/>
  <c r="HY124" i="5"/>
  <c r="HZ124" i="5"/>
  <c r="IA124" i="5"/>
  <c r="IB124" i="5"/>
  <c r="IC124" i="5"/>
  <c r="ID124" i="5"/>
  <c r="IE124" i="5"/>
  <c r="IF124" i="5"/>
  <c r="IG124" i="5"/>
  <c r="IH124" i="5"/>
  <c r="II124" i="5"/>
  <c r="IJ124" i="5"/>
  <c r="IK124" i="5"/>
  <c r="IL124" i="5"/>
  <c r="IM124" i="5"/>
  <c r="IN124" i="5"/>
  <c r="IO124" i="5"/>
  <c r="IP124" i="5"/>
  <c r="IQ124" i="5"/>
  <c r="IR124" i="5"/>
  <c r="IS124" i="5"/>
  <c r="IT124" i="5"/>
  <c r="IU124" i="5"/>
  <c r="IV124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CU125" i="5"/>
  <c r="CV125" i="5"/>
  <c r="CW125" i="5"/>
  <c r="CX125" i="5"/>
  <c r="CY125" i="5"/>
  <c r="CZ125" i="5"/>
  <c r="DA125" i="5"/>
  <c r="DB125" i="5"/>
  <c r="DC125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EJ125" i="5"/>
  <c r="EK125" i="5"/>
  <c r="EL125" i="5"/>
  <c r="EM125" i="5"/>
  <c r="EN125" i="5"/>
  <c r="EO125" i="5"/>
  <c r="EP125" i="5"/>
  <c r="EQ125" i="5"/>
  <c r="ER125" i="5"/>
  <c r="ES125" i="5"/>
  <c r="ET125" i="5"/>
  <c r="EU125" i="5"/>
  <c r="EV125" i="5"/>
  <c r="EW125" i="5"/>
  <c r="EX125" i="5"/>
  <c r="EY125" i="5"/>
  <c r="EZ125" i="5"/>
  <c r="FA125" i="5"/>
  <c r="FB125" i="5"/>
  <c r="FC125" i="5"/>
  <c r="FD125" i="5"/>
  <c r="FE125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GD125" i="5"/>
  <c r="GE125" i="5"/>
  <c r="GF125" i="5"/>
  <c r="GG125" i="5"/>
  <c r="GH125" i="5"/>
  <c r="GI125" i="5"/>
  <c r="GJ125" i="5"/>
  <c r="GK125" i="5"/>
  <c r="GL125" i="5"/>
  <c r="GM125" i="5"/>
  <c r="GN125" i="5"/>
  <c r="GO125" i="5"/>
  <c r="GP125" i="5"/>
  <c r="GQ125" i="5"/>
  <c r="GR125" i="5"/>
  <c r="GS125" i="5"/>
  <c r="GT125" i="5"/>
  <c r="GU125" i="5"/>
  <c r="GV125" i="5"/>
  <c r="GW125" i="5"/>
  <c r="GX125" i="5"/>
  <c r="GY125" i="5"/>
  <c r="GZ125" i="5"/>
  <c r="HA125" i="5"/>
  <c r="HB125" i="5"/>
  <c r="HC125" i="5"/>
  <c r="HD125" i="5"/>
  <c r="HE125" i="5"/>
  <c r="HF125" i="5"/>
  <c r="HG125" i="5"/>
  <c r="HH125" i="5"/>
  <c r="HI125" i="5"/>
  <c r="HJ125" i="5"/>
  <c r="HK125" i="5"/>
  <c r="HL125" i="5"/>
  <c r="HM125" i="5"/>
  <c r="HN125" i="5"/>
  <c r="HO125" i="5"/>
  <c r="HP125" i="5"/>
  <c r="HQ125" i="5"/>
  <c r="HR125" i="5"/>
  <c r="HS125" i="5"/>
  <c r="HT125" i="5"/>
  <c r="HU125" i="5"/>
  <c r="HV125" i="5"/>
  <c r="HW125" i="5"/>
  <c r="HX125" i="5"/>
  <c r="HY125" i="5"/>
  <c r="HZ125" i="5"/>
  <c r="IA125" i="5"/>
  <c r="IB125" i="5"/>
  <c r="IC125" i="5"/>
  <c r="ID125" i="5"/>
  <c r="IE125" i="5"/>
  <c r="IF125" i="5"/>
  <c r="IG125" i="5"/>
  <c r="IH125" i="5"/>
  <c r="II125" i="5"/>
  <c r="IJ125" i="5"/>
  <c r="IK125" i="5"/>
  <c r="IL125" i="5"/>
  <c r="IM125" i="5"/>
  <c r="IN125" i="5"/>
  <c r="IO125" i="5"/>
  <c r="IP125" i="5"/>
  <c r="IQ125" i="5"/>
  <c r="IR125" i="5"/>
  <c r="IS125" i="5"/>
  <c r="IT125" i="5"/>
  <c r="IU125" i="5"/>
  <c r="IV125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CU126" i="5"/>
  <c r="CV126" i="5"/>
  <c r="CW126" i="5"/>
  <c r="CX126" i="5"/>
  <c r="CY126" i="5"/>
  <c r="CZ126" i="5"/>
  <c r="DA126" i="5"/>
  <c r="DB126" i="5"/>
  <c r="DC126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EJ126" i="5"/>
  <c r="EK126" i="5"/>
  <c r="EL126" i="5"/>
  <c r="EM126" i="5"/>
  <c r="EN126" i="5"/>
  <c r="EO126" i="5"/>
  <c r="EP126" i="5"/>
  <c r="EQ126" i="5"/>
  <c r="ER126" i="5"/>
  <c r="ES126" i="5"/>
  <c r="ET126" i="5"/>
  <c r="EU126" i="5"/>
  <c r="EV126" i="5"/>
  <c r="EW126" i="5"/>
  <c r="EX126" i="5"/>
  <c r="EY126" i="5"/>
  <c r="EZ126" i="5"/>
  <c r="FA126" i="5"/>
  <c r="FB126" i="5"/>
  <c r="FC126" i="5"/>
  <c r="FD126" i="5"/>
  <c r="FE126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GD126" i="5"/>
  <c r="GE126" i="5"/>
  <c r="GF126" i="5"/>
  <c r="GG126" i="5"/>
  <c r="GH126" i="5"/>
  <c r="GI126" i="5"/>
  <c r="GJ126" i="5"/>
  <c r="GK126" i="5"/>
  <c r="GL126" i="5"/>
  <c r="GM126" i="5"/>
  <c r="GN126" i="5"/>
  <c r="GO126" i="5"/>
  <c r="GP126" i="5"/>
  <c r="GQ126" i="5"/>
  <c r="GR126" i="5"/>
  <c r="GS126" i="5"/>
  <c r="GT126" i="5"/>
  <c r="GU126" i="5"/>
  <c r="GV126" i="5"/>
  <c r="GW126" i="5"/>
  <c r="GX126" i="5"/>
  <c r="GY126" i="5"/>
  <c r="GZ126" i="5"/>
  <c r="HA126" i="5"/>
  <c r="HB126" i="5"/>
  <c r="HC126" i="5"/>
  <c r="HD126" i="5"/>
  <c r="HE126" i="5"/>
  <c r="HF126" i="5"/>
  <c r="HG126" i="5"/>
  <c r="HH126" i="5"/>
  <c r="HI126" i="5"/>
  <c r="HJ126" i="5"/>
  <c r="HK126" i="5"/>
  <c r="HL126" i="5"/>
  <c r="HM126" i="5"/>
  <c r="HN126" i="5"/>
  <c r="HO126" i="5"/>
  <c r="HP126" i="5"/>
  <c r="HQ126" i="5"/>
  <c r="HR126" i="5"/>
  <c r="HS126" i="5"/>
  <c r="HT126" i="5"/>
  <c r="HU126" i="5"/>
  <c r="HV126" i="5"/>
  <c r="HW126" i="5"/>
  <c r="HX126" i="5"/>
  <c r="HY126" i="5"/>
  <c r="HZ126" i="5"/>
  <c r="IA126" i="5"/>
  <c r="IB126" i="5"/>
  <c r="IC126" i="5"/>
  <c r="ID126" i="5"/>
  <c r="IE126" i="5"/>
  <c r="IF126" i="5"/>
  <c r="IG126" i="5"/>
  <c r="IH126" i="5"/>
  <c r="II126" i="5"/>
  <c r="IJ126" i="5"/>
  <c r="IK126" i="5"/>
  <c r="IL126" i="5"/>
  <c r="IM126" i="5"/>
  <c r="IN126" i="5"/>
  <c r="IO126" i="5"/>
  <c r="IP126" i="5"/>
  <c r="IQ126" i="5"/>
  <c r="IR126" i="5"/>
  <c r="IS126" i="5"/>
  <c r="IT126" i="5"/>
  <c r="IU126" i="5"/>
  <c r="IV126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CU127" i="5"/>
  <c r="CV127" i="5"/>
  <c r="CW127" i="5"/>
  <c r="CX127" i="5"/>
  <c r="CY127" i="5"/>
  <c r="CZ127" i="5"/>
  <c r="DA127" i="5"/>
  <c r="DB127" i="5"/>
  <c r="DC127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EJ127" i="5"/>
  <c r="EK127" i="5"/>
  <c r="EL127" i="5"/>
  <c r="EM127" i="5"/>
  <c r="EN127" i="5"/>
  <c r="EO127" i="5"/>
  <c r="EP127" i="5"/>
  <c r="EQ127" i="5"/>
  <c r="ER127" i="5"/>
  <c r="ES127" i="5"/>
  <c r="ET127" i="5"/>
  <c r="EU127" i="5"/>
  <c r="EV127" i="5"/>
  <c r="EW127" i="5"/>
  <c r="EX127" i="5"/>
  <c r="EY127" i="5"/>
  <c r="EZ127" i="5"/>
  <c r="FA127" i="5"/>
  <c r="FB127" i="5"/>
  <c r="FC127" i="5"/>
  <c r="FD127" i="5"/>
  <c r="FE127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GD127" i="5"/>
  <c r="GE127" i="5"/>
  <c r="GF127" i="5"/>
  <c r="GG127" i="5"/>
  <c r="GH127" i="5"/>
  <c r="GI127" i="5"/>
  <c r="GJ127" i="5"/>
  <c r="GK127" i="5"/>
  <c r="GL127" i="5"/>
  <c r="GM127" i="5"/>
  <c r="GN127" i="5"/>
  <c r="GO127" i="5"/>
  <c r="GP127" i="5"/>
  <c r="GQ127" i="5"/>
  <c r="GR127" i="5"/>
  <c r="GS127" i="5"/>
  <c r="GT127" i="5"/>
  <c r="GU127" i="5"/>
  <c r="GV127" i="5"/>
  <c r="GW127" i="5"/>
  <c r="GX127" i="5"/>
  <c r="GY127" i="5"/>
  <c r="GZ127" i="5"/>
  <c r="HA127" i="5"/>
  <c r="HB127" i="5"/>
  <c r="HC127" i="5"/>
  <c r="HD127" i="5"/>
  <c r="HE127" i="5"/>
  <c r="HF127" i="5"/>
  <c r="HG127" i="5"/>
  <c r="HH127" i="5"/>
  <c r="HI127" i="5"/>
  <c r="HJ127" i="5"/>
  <c r="HK127" i="5"/>
  <c r="HL127" i="5"/>
  <c r="HM127" i="5"/>
  <c r="HN127" i="5"/>
  <c r="HO127" i="5"/>
  <c r="HP127" i="5"/>
  <c r="HQ127" i="5"/>
  <c r="HR127" i="5"/>
  <c r="HS127" i="5"/>
  <c r="HT127" i="5"/>
  <c r="HU127" i="5"/>
  <c r="HV127" i="5"/>
  <c r="HW127" i="5"/>
  <c r="HX127" i="5"/>
  <c r="HY127" i="5"/>
  <c r="HZ127" i="5"/>
  <c r="IA127" i="5"/>
  <c r="IB127" i="5"/>
  <c r="IC127" i="5"/>
  <c r="ID127" i="5"/>
  <c r="IE127" i="5"/>
  <c r="IF127" i="5"/>
  <c r="IG127" i="5"/>
  <c r="IH127" i="5"/>
  <c r="II127" i="5"/>
  <c r="IJ127" i="5"/>
  <c r="IK127" i="5"/>
  <c r="IL127" i="5"/>
  <c r="IM127" i="5"/>
  <c r="IN127" i="5"/>
  <c r="IO127" i="5"/>
  <c r="IP127" i="5"/>
  <c r="IQ127" i="5"/>
  <c r="IR127" i="5"/>
  <c r="IS127" i="5"/>
  <c r="IT127" i="5"/>
  <c r="IU127" i="5"/>
  <c r="IV127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CU128" i="5"/>
  <c r="CV128" i="5"/>
  <c r="CW128" i="5"/>
  <c r="CX128" i="5"/>
  <c r="CY128" i="5"/>
  <c r="CZ128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EJ128" i="5"/>
  <c r="EK128" i="5"/>
  <c r="EL128" i="5"/>
  <c r="EM128" i="5"/>
  <c r="EN128" i="5"/>
  <c r="EO128" i="5"/>
  <c r="EP128" i="5"/>
  <c r="EQ128" i="5"/>
  <c r="ER128" i="5"/>
  <c r="ES128" i="5"/>
  <c r="ET128" i="5"/>
  <c r="EU128" i="5"/>
  <c r="EV128" i="5"/>
  <c r="EW128" i="5"/>
  <c r="EX128" i="5"/>
  <c r="EY128" i="5"/>
  <c r="EZ128" i="5"/>
  <c r="FA128" i="5"/>
  <c r="FB128" i="5"/>
  <c r="FC128" i="5"/>
  <c r="FD128" i="5"/>
  <c r="FE128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GD128" i="5"/>
  <c r="GE128" i="5"/>
  <c r="GF128" i="5"/>
  <c r="GG128" i="5"/>
  <c r="GH128" i="5"/>
  <c r="GI128" i="5"/>
  <c r="GJ128" i="5"/>
  <c r="GK128" i="5"/>
  <c r="GL128" i="5"/>
  <c r="GM128" i="5"/>
  <c r="GN128" i="5"/>
  <c r="GO128" i="5"/>
  <c r="GP128" i="5"/>
  <c r="GQ128" i="5"/>
  <c r="GR128" i="5"/>
  <c r="GS128" i="5"/>
  <c r="GT128" i="5"/>
  <c r="GU128" i="5"/>
  <c r="GV128" i="5"/>
  <c r="GW128" i="5"/>
  <c r="GX128" i="5"/>
  <c r="GY128" i="5"/>
  <c r="GZ128" i="5"/>
  <c r="HA128" i="5"/>
  <c r="HB128" i="5"/>
  <c r="HC128" i="5"/>
  <c r="HD128" i="5"/>
  <c r="HE128" i="5"/>
  <c r="HF128" i="5"/>
  <c r="HG128" i="5"/>
  <c r="HH128" i="5"/>
  <c r="HI128" i="5"/>
  <c r="HJ128" i="5"/>
  <c r="HK128" i="5"/>
  <c r="HL128" i="5"/>
  <c r="HM128" i="5"/>
  <c r="HN128" i="5"/>
  <c r="HO128" i="5"/>
  <c r="HP128" i="5"/>
  <c r="HQ128" i="5"/>
  <c r="HR128" i="5"/>
  <c r="HS128" i="5"/>
  <c r="HT128" i="5"/>
  <c r="HU128" i="5"/>
  <c r="HV128" i="5"/>
  <c r="HW128" i="5"/>
  <c r="HX128" i="5"/>
  <c r="HY128" i="5"/>
  <c r="HZ128" i="5"/>
  <c r="IA128" i="5"/>
  <c r="IB128" i="5"/>
  <c r="IC128" i="5"/>
  <c r="ID128" i="5"/>
  <c r="IE128" i="5"/>
  <c r="IF128" i="5"/>
  <c r="IG128" i="5"/>
  <c r="IH128" i="5"/>
  <c r="II128" i="5"/>
  <c r="IJ128" i="5"/>
  <c r="IK128" i="5"/>
  <c r="IL128" i="5"/>
  <c r="IM128" i="5"/>
  <c r="IN128" i="5"/>
  <c r="IO128" i="5"/>
  <c r="IP128" i="5"/>
  <c r="IQ128" i="5"/>
  <c r="IR128" i="5"/>
  <c r="IS128" i="5"/>
  <c r="IT128" i="5"/>
  <c r="IU128" i="5"/>
  <c r="IV128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CU129" i="5"/>
  <c r="CV129" i="5"/>
  <c r="CW129" i="5"/>
  <c r="CX129" i="5"/>
  <c r="CY129" i="5"/>
  <c r="CZ129" i="5"/>
  <c r="DA129" i="5"/>
  <c r="DB129" i="5"/>
  <c r="DC129" i="5"/>
  <c r="DD129" i="5"/>
  <c r="DE129" i="5"/>
  <c r="DF129" i="5"/>
  <c r="DG129" i="5"/>
  <c r="DH129" i="5"/>
  <c r="DI129" i="5"/>
  <c r="DJ129" i="5"/>
  <c r="DK129" i="5"/>
  <c r="DL129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EJ129" i="5"/>
  <c r="EK129" i="5"/>
  <c r="EL129" i="5"/>
  <c r="EM129" i="5"/>
  <c r="EN129" i="5"/>
  <c r="EO129" i="5"/>
  <c r="EP129" i="5"/>
  <c r="EQ129" i="5"/>
  <c r="ER129" i="5"/>
  <c r="ES129" i="5"/>
  <c r="ET129" i="5"/>
  <c r="EU129" i="5"/>
  <c r="EV129" i="5"/>
  <c r="EW129" i="5"/>
  <c r="EX129" i="5"/>
  <c r="EY129" i="5"/>
  <c r="EZ129" i="5"/>
  <c r="FA129" i="5"/>
  <c r="FB129" i="5"/>
  <c r="FC129" i="5"/>
  <c r="FD129" i="5"/>
  <c r="FE129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GD129" i="5"/>
  <c r="GE129" i="5"/>
  <c r="GF129" i="5"/>
  <c r="GG129" i="5"/>
  <c r="GH129" i="5"/>
  <c r="GI129" i="5"/>
  <c r="GJ129" i="5"/>
  <c r="GK129" i="5"/>
  <c r="GL129" i="5"/>
  <c r="GM129" i="5"/>
  <c r="GN129" i="5"/>
  <c r="GO129" i="5"/>
  <c r="GP129" i="5"/>
  <c r="GQ129" i="5"/>
  <c r="GR129" i="5"/>
  <c r="GS129" i="5"/>
  <c r="GT129" i="5"/>
  <c r="GU129" i="5"/>
  <c r="GV129" i="5"/>
  <c r="GW129" i="5"/>
  <c r="GX129" i="5"/>
  <c r="GY129" i="5"/>
  <c r="GZ129" i="5"/>
  <c r="HA129" i="5"/>
  <c r="HB129" i="5"/>
  <c r="HC129" i="5"/>
  <c r="HD129" i="5"/>
  <c r="HE129" i="5"/>
  <c r="HF129" i="5"/>
  <c r="HG129" i="5"/>
  <c r="HH129" i="5"/>
  <c r="HI129" i="5"/>
  <c r="HJ129" i="5"/>
  <c r="HK129" i="5"/>
  <c r="HL129" i="5"/>
  <c r="HM129" i="5"/>
  <c r="HN129" i="5"/>
  <c r="HO129" i="5"/>
  <c r="HP129" i="5"/>
  <c r="HQ129" i="5"/>
  <c r="HR129" i="5"/>
  <c r="HS129" i="5"/>
  <c r="HT129" i="5"/>
  <c r="HU129" i="5"/>
  <c r="HV129" i="5"/>
  <c r="HW129" i="5"/>
  <c r="HX129" i="5"/>
  <c r="HY129" i="5"/>
  <c r="HZ129" i="5"/>
  <c r="IA129" i="5"/>
  <c r="IB129" i="5"/>
  <c r="IC129" i="5"/>
  <c r="ID129" i="5"/>
  <c r="IE129" i="5"/>
  <c r="IF129" i="5"/>
  <c r="IG129" i="5"/>
  <c r="IH129" i="5"/>
  <c r="II129" i="5"/>
  <c r="IJ129" i="5"/>
  <c r="IK129" i="5"/>
  <c r="IL129" i="5"/>
  <c r="IM129" i="5"/>
  <c r="IN129" i="5"/>
  <c r="IO129" i="5"/>
  <c r="IP129" i="5"/>
  <c r="IQ129" i="5"/>
  <c r="IR129" i="5"/>
  <c r="IS129" i="5"/>
  <c r="IT129" i="5"/>
  <c r="IU129" i="5"/>
  <c r="IV129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CU130" i="5"/>
  <c r="CV130" i="5"/>
  <c r="CW130" i="5"/>
  <c r="CX130" i="5"/>
  <c r="CY130" i="5"/>
  <c r="CZ130" i="5"/>
  <c r="DA130" i="5"/>
  <c r="DB130" i="5"/>
  <c r="DC130" i="5"/>
  <c r="DD130" i="5"/>
  <c r="DE130" i="5"/>
  <c r="DF130" i="5"/>
  <c r="DG130" i="5"/>
  <c r="DH130" i="5"/>
  <c r="DI130" i="5"/>
  <c r="DJ130" i="5"/>
  <c r="DK130" i="5"/>
  <c r="DL130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EJ130" i="5"/>
  <c r="EK130" i="5"/>
  <c r="EL130" i="5"/>
  <c r="EM130" i="5"/>
  <c r="EN130" i="5"/>
  <c r="EO130" i="5"/>
  <c r="EP130" i="5"/>
  <c r="EQ130" i="5"/>
  <c r="ER130" i="5"/>
  <c r="ES130" i="5"/>
  <c r="ET130" i="5"/>
  <c r="EU130" i="5"/>
  <c r="EV130" i="5"/>
  <c r="EW130" i="5"/>
  <c r="EX130" i="5"/>
  <c r="EY130" i="5"/>
  <c r="EZ130" i="5"/>
  <c r="FA130" i="5"/>
  <c r="FB130" i="5"/>
  <c r="FC130" i="5"/>
  <c r="FD130" i="5"/>
  <c r="FE130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GD130" i="5"/>
  <c r="GE130" i="5"/>
  <c r="GF130" i="5"/>
  <c r="GG130" i="5"/>
  <c r="GH130" i="5"/>
  <c r="GI130" i="5"/>
  <c r="GJ130" i="5"/>
  <c r="GK130" i="5"/>
  <c r="GL130" i="5"/>
  <c r="GM130" i="5"/>
  <c r="GN130" i="5"/>
  <c r="GO130" i="5"/>
  <c r="GP130" i="5"/>
  <c r="GQ130" i="5"/>
  <c r="GR130" i="5"/>
  <c r="GS130" i="5"/>
  <c r="GT130" i="5"/>
  <c r="GU130" i="5"/>
  <c r="GV130" i="5"/>
  <c r="GW130" i="5"/>
  <c r="GX130" i="5"/>
  <c r="GY130" i="5"/>
  <c r="GZ130" i="5"/>
  <c r="HA130" i="5"/>
  <c r="HB130" i="5"/>
  <c r="HC130" i="5"/>
  <c r="HD130" i="5"/>
  <c r="HE130" i="5"/>
  <c r="HF130" i="5"/>
  <c r="HG130" i="5"/>
  <c r="HH130" i="5"/>
  <c r="HI130" i="5"/>
  <c r="HJ130" i="5"/>
  <c r="HK130" i="5"/>
  <c r="HL130" i="5"/>
  <c r="HM130" i="5"/>
  <c r="HN130" i="5"/>
  <c r="HO130" i="5"/>
  <c r="HP130" i="5"/>
  <c r="HQ130" i="5"/>
  <c r="HR130" i="5"/>
  <c r="HS130" i="5"/>
  <c r="HT130" i="5"/>
  <c r="HU130" i="5"/>
  <c r="HV130" i="5"/>
  <c r="HW130" i="5"/>
  <c r="HX130" i="5"/>
  <c r="HY130" i="5"/>
  <c r="HZ130" i="5"/>
  <c r="IA130" i="5"/>
  <c r="IB130" i="5"/>
  <c r="IC130" i="5"/>
  <c r="ID130" i="5"/>
  <c r="IE130" i="5"/>
  <c r="IF130" i="5"/>
  <c r="IG130" i="5"/>
  <c r="IH130" i="5"/>
  <c r="II130" i="5"/>
  <c r="IJ130" i="5"/>
  <c r="IK130" i="5"/>
  <c r="IL130" i="5"/>
  <c r="IM130" i="5"/>
  <c r="IN130" i="5"/>
  <c r="IO130" i="5"/>
  <c r="IP130" i="5"/>
  <c r="IQ130" i="5"/>
  <c r="IR130" i="5"/>
  <c r="IS130" i="5"/>
  <c r="IT130" i="5"/>
  <c r="IU130" i="5"/>
  <c r="IV130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CU131" i="5"/>
  <c r="CV131" i="5"/>
  <c r="CW131" i="5"/>
  <c r="CX131" i="5"/>
  <c r="CY131" i="5"/>
  <c r="CZ131" i="5"/>
  <c r="DA131" i="5"/>
  <c r="DB131" i="5"/>
  <c r="DC131" i="5"/>
  <c r="DD131" i="5"/>
  <c r="DE131" i="5"/>
  <c r="DF131" i="5"/>
  <c r="DG131" i="5"/>
  <c r="DH131" i="5"/>
  <c r="DI131" i="5"/>
  <c r="DJ131" i="5"/>
  <c r="DK131" i="5"/>
  <c r="DL131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EG131" i="5"/>
  <c r="EH131" i="5"/>
  <c r="EI131" i="5"/>
  <c r="EJ131" i="5"/>
  <c r="EK131" i="5"/>
  <c r="EL131" i="5"/>
  <c r="EM131" i="5"/>
  <c r="EN131" i="5"/>
  <c r="EO131" i="5"/>
  <c r="EP131" i="5"/>
  <c r="EQ131" i="5"/>
  <c r="ER131" i="5"/>
  <c r="ES131" i="5"/>
  <c r="ET131" i="5"/>
  <c r="EU131" i="5"/>
  <c r="EV131" i="5"/>
  <c r="EW131" i="5"/>
  <c r="EX131" i="5"/>
  <c r="EY131" i="5"/>
  <c r="EZ131" i="5"/>
  <c r="FA131" i="5"/>
  <c r="FB131" i="5"/>
  <c r="FC131" i="5"/>
  <c r="FD131" i="5"/>
  <c r="FE131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GD131" i="5"/>
  <c r="GE131" i="5"/>
  <c r="GF131" i="5"/>
  <c r="GG131" i="5"/>
  <c r="GH131" i="5"/>
  <c r="GI131" i="5"/>
  <c r="GJ131" i="5"/>
  <c r="GK131" i="5"/>
  <c r="GL131" i="5"/>
  <c r="GM131" i="5"/>
  <c r="GN131" i="5"/>
  <c r="GO131" i="5"/>
  <c r="GP131" i="5"/>
  <c r="GQ131" i="5"/>
  <c r="GR131" i="5"/>
  <c r="GS131" i="5"/>
  <c r="GT131" i="5"/>
  <c r="GU131" i="5"/>
  <c r="GV131" i="5"/>
  <c r="GW131" i="5"/>
  <c r="GX131" i="5"/>
  <c r="GY131" i="5"/>
  <c r="GZ131" i="5"/>
  <c r="HA131" i="5"/>
  <c r="HB131" i="5"/>
  <c r="HC131" i="5"/>
  <c r="HD131" i="5"/>
  <c r="HE131" i="5"/>
  <c r="HF131" i="5"/>
  <c r="HG131" i="5"/>
  <c r="HH131" i="5"/>
  <c r="HI131" i="5"/>
  <c r="HJ131" i="5"/>
  <c r="HK131" i="5"/>
  <c r="HL131" i="5"/>
  <c r="HM131" i="5"/>
  <c r="HN131" i="5"/>
  <c r="HO131" i="5"/>
  <c r="HP131" i="5"/>
  <c r="HQ131" i="5"/>
  <c r="HR131" i="5"/>
  <c r="HS131" i="5"/>
  <c r="HT131" i="5"/>
  <c r="HU131" i="5"/>
  <c r="HV131" i="5"/>
  <c r="HW131" i="5"/>
  <c r="HX131" i="5"/>
  <c r="HY131" i="5"/>
  <c r="HZ131" i="5"/>
  <c r="IA131" i="5"/>
  <c r="IB131" i="5"/>
  <c r="IC131" i="5"/>
  <c r="ID131" i="5"/>
  <c r="IE131" i="5"/>
  <c r="IF131" i="5"/>
  <c r="IG131" i="5"/>
  <c r="IH131" i="5"/>
  <c r="II131" i="5"/>
  <c r="IJ131" i="5"/>
  <c r="IK131" i="5"/>
  <c r="IL131" i="5"/>
  <c r="IM131" i="5"/>
  <c r="IN131" i="5"/>
  <c r="IO131" i="5"/>
  <c r="IP131" i="5"/>
  <c r="IQ131" i="5"/>
  <c r="IR131" i="5"/>
  <c r="IS131" i="5"/>
  <c r="IT131" i="5"/>
  <c r="IU131" i="5"/>
  <c r="IV131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CM132" i="5"/>
  <c r="CN132" i="5"/>
  <c r="CO132" i="5"/>
  <c r="CP132" i="5"/>
  <c r="CQ132" i="5"/>
  <c r="CR132" i="5"/>
  <c r="CS132" i="5"/>
  <c r="CT132" i="5"/>
  <c r="CU132" i="5"/>
  <c r="CV132" i="5"/>
  <c r="CW132" i="5"/>
  <c r="CX132" i="5"/>
  <c r="CY132" i="5"/>
  <c r="CZ132" i="5"/>
  <c r="DA132" i="5"/>
  <c r="DB132" i="5"/>
  <c r="DC132" i="5"/>
  <c r="DD132" i="5"/>
  <c r="DE132" i="5"/>
  <c r="DF132" i="5"/>
  <c r="DG132" i="5"/>
  <c r="DH132" i="5"/>
  <c r="DI132" i="5"/>
  <c r="DJ132" i="5"/>
  <c r="DK132" i="5"/>
  <c r="DL132" i="5"/>
  <c r="DM132" i="5"/>
  <c r="DN132" i="5"/>
  <c r="DO132" i="5"/>
  <c r="DP132" i="5"/>
  <c r="DQ132" i="5"/>
  <c r="DR132" i="5"/>
  <c r="DS132" i="5"/>
  <c r="DT132" i="5"/>
  <c r="DU132" i="5"/>
  <c r="DV132" i="5"/>
  <c r="DW132" i="5"/>
  <c r="DX132" i="5"/>
  <c r="DY132" i="5"/>
  <c r="DZ132" i="5"/>
  <c r="EA132" i="5"/>
  <c r="EB132" i="5"/>
  <c r="EC132" i="5"/>
  <c r="ED132" i="5"/>
  <c r="EE132" i="5"/>
  <c r="EF132" i="5"/>
  <c r="EG132" i="5"/>
  <c r="EH132" i="5"/>
  <c r="EI132" i="5"/>
  <c r="EJ132" i="5"/>
  <c r="EK132" i="5"/>
  <c r="EL132" i="5"/>
  <c r="EM132" i="5"/>
  <c r="EN132" i="5"/>
  <c r="EO132" i="5"/>
  <c r="EP132" i="5"/>
  <c r="EQ132" i="5"/>
  <c r="ER132" i="5"/>
  <c r="ES132" i="5"/>
  <c r="ET132" i="5"/>
  <c r="EU132" i="5"/>
  <c r="EV132" i="5"/>
  <c r="EW132" i="5"/>
  <c r="EX132" i="5"/>
  <c r="EY132" i="5"/>
  <c r="EZ132" i="5"/>
  <c r="FA132" i="5"/>
  <c r="FB132" i="5"/>
  <c r="FC132" i="5"/>
  <c r="FD132" i="5"/>
  <c r="FE132" i="5"/>
  <c r="FF132" i="5"/>
  <c r="FG132" i="5"/>
  <c r="FH132" i="5"/>
  <c r="FI132" i="5"/>
  <c r="FJ132" i="5"/>
  <c r="FK132" i="5"/>
  <c r="FL132" i="5"/>
  <c r="FM132" i="5"/>
  <c r="FN132" i="5"/>
  <c r="FO132" i="5"/>
  <c r="FP132" i="5"/>
  <c r="FQ132" i="5"/>
  <c r="FR132" i="5"/>
  <c r="FS132" i="5"/>
  <c r="FT132" i="5"/>
  <c r="FU132" i="5"/>
  <c r="FV132" i="5"/>
  <c r="FW132" i="5"/>
  <c r="FX132" i="5"/>
  <c r="FY132" i="5"/>
  <c r="FZ132" i="5"/>
  <c r="GA132" i="5"/>
  <c r="GB132" i="5"/>
  <c r="GC132" i="5"/>
  <c r="GD132" i="5"/>
  <c r="GE132" i="5"/>
  <c r="GF132" i="5"/>
  <c r="GG132" i="5"/>
  <c r="GH132" i="5"/>
  <c r="GI132" i="5"/>
  <c r="GJ132" i="5"/>
  <c r="GK132" i="5"/>
  <c r="GL132" i="5"/>
  <c r="GM132" i="5"/>
  <c r="GN132" i="5"/>
  <c r="GO132" i="5"/>
  <c r="GP132" i="5"/>
  <c r="GQ132" i="5"/>
  <c r="GR132" i="5"/>
  <c r="GS132" i="5"/>
  <c r="GT132" i="5"/>
  <c r="GU132" i="5"/>
  <c r="GV132" i="5"/>
  <c r="GW132" i="5"/>
  <c r="GX132" i="5"/>
  <c r="GY132" i="5"/>
  <c r="GZ132" i="5"/>
  <c r="HA132" i="5"/>
  <c r="HB132" i="5"/>
  <c r="HC132" i="5"/>
  <c r="HD132" i="5"/>
  <c r="HE132" i="5"/>
  <c r="HF132" i="5"/>
  <c r="HG132" i="5"/>
  <c r="HH132" i="5"/>
  <c r="HI132" i="5"/>
  <c r="HJ132" i="5"/>
  <c r="HK132" i="5"/>
  <c r="HL132" i="5"/>
  <c r="HM132" i="5"/>
  <c r="HN132" i="5"/>
  <c r="HO132" i="5"/>
  <c r="HP132" i="5"/>
  <c r="HQ132" i="5"/>
  <c r="HR132" i="5"/>
  <c r="HS132" i="5"/>
  <c r="HT132" i="5"/>
  <c r="HU132" i="5"/>
  <c r="HV132" i="5"/>
  <c r="HW132" i="5"/>
  <c r="HX132" i="5"/>
  <c r="HY132" i="5"/>
  <c r="HZ132" i="5"/>
  <c r="IA132" i="5"/>
  <c r="IB132" i="5"/>
  <c r="IC132" i="5"/>
  <c r="ID132" i="5"/>
  <c r="IE132" i="5"/>
  <c r="IF132" i="5"/>
  <c r="IG132" i="5"/>
  <c r="IH132" i="5"/>
  <c r="II132" i="5"/>
  <c r="IJ132" i="5"/>
  <c r="IK132" i="5"/>
  <c r="IL132" i="5"/>
  <c r="IM132" i="5"/>
  <c r="IN132" i="5"/>
  <c r="IO132" i="5"/>
  <c r="IP132" i="5"/>
  <c r="IQ132" i="5"/>
  <c r="IR132" i="5"/>
  <c r="IS132" i="5"/>
  <c r="IT132" i="5"/>
  <c r="IU132" i="5"/>
  <c r="IV132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CM133" i="5"/>
  <c r="CN133" i="5"/>
  <c r="CO133" i="5"/>
  <c r="CP133" i="5"/>
  <c r="CQ133" i="5"/>
  <c r="CR133" i="5"/>
  <c r="CS133" i="5"/>
  <c r="CT133" i="5"/>
  <c r="CU133" i="5"/>
  <c r="CV133" i="5"/>
  <c r="CW133" i="5"/>
  <c r="CX133" i="5"/>
  <c r="CY133" i="5"/>
  <c r="CZ133" i="5"/>
  <c r="DA133" i="5"/>
  <c r="DB133" i="5"/>
  <c r="DC133" i="5"/>
  <c r="DD133" i="5"/>
  <c r="DE133" i="5"/>
  <c r="DF133" i="5"/>
  <c r="DG133" i="5"/>
  <c r="DH133" i="5"/>
  <c r="DI133" i="5"/>
  <c r="DJ133" i="5"/>
  <c r="DK133" i="5"/>
  <c r="DL133" i="5"/>
  <c r="DM133" i="5"/>
  <c r="DN133" i="5"/>
  <c r="DO133" i="5"/>
  <c r="DP133" i="5"/>
  <c r="DQ133" i="5"/>
  <c r="DR133" i="5"/>
  <c r="DS133" i="5"/>
  <c r="DT133" i="5"/>
  <c r="DU133" i="5"/>
  <c r="DV133" i="5"/>
  <c r="DW133" i="5"/>
  <c r="DX133" i="5"/>
  <c r="DY133" i="5"/>
  <c r="DZ133" i="5"/>
  <c r="EA133" i="5"/>
  <c r="EB133" i="5"/>
  <c r="EC133" i="5"/>
  <c r="ED133" i="5"/>
  <c r="EE133" i="5"/>
  <c r="EF133" i="5"/>
  <c r="EG133" i="5"/>
  <c r="EH133" i="5"/>
  <c r="EI133" i="5"/>
  <c r="EJ133" i="5"/>
  <c r="EK133" i="5"/>
  <c r="EL133" i="5"/>
  <c r="EM133" i="5"/>
  <c r="EN133" i="5"/>
  <c r="EO133" i="5"/>
  <c r="EP133" i="5"/>
  <c r="EQ133" i="5"/>
  <c r="ER133" i="5"/>
  <c r="ES133" i="5"/>
  <c r="ET133" i="5"/>
  <c r="EU133" i="5"/>
  <c r="EV133" i="5"/>
  <c r="EW133" i="5"/>
  <c r="EX133" i="5"/>
  <c r="EY133" i="5"/>
  <c r="EZ133" i="5"/>
  <c r="FA133" i="5"/>
  <c r="FB133" i="5"/>
  <c r="FC133" i="5"/>
  <c r="FD133" i="5"/>
  <c r="FE133" i="5"/>
  <c r="FF133" i="5"/>
  <c r="FG133" i="5"/>
  <c r="FH133" i="5"/>
  <c r="FI133" i="5"/>
  <c r="FJ133" i="5"/>
  <c r="FK133" i="5"/>
  <c r="FL133" i="5"/>
  <c r="FM133" i="5"/>
  <c r="FN133" i="5"/>
  <c r="FO133" i="5"/>
  <c r="FP133" i="5"/>
  <c r="FQ133" i="5"/>
  <c r="FR133" i="5"/>
  <c r="FS133" i="5"/>
  <c r="FT133" i="5"/>
  <c r="FU133" i="5"/>
  <c r="FV133" i="5"/>
  <c r="FW133" i="5"/>
  <c r="FX133" i="5"/>
  <c r="FY133" i="5"/>
  <c r="FZ133" i="5"/>
  <c r="GA133" i="5"/>
  <c r="GB133" i="5"/>
  <c r="GC133" i="5"/>
  <c r="GD133" i="5"/>
  <c r="GE133" i="5"/>
  <c r="GF133" i="5"/>
  <c r="GG133" i="5"/>
  <c r="GH133" i="5"/>
  <c r="GI133" i="5"/>
  <c r="GJ133" i="5"/>
  <c r="GK133" i="5"/>
  <c r="GL133" i="5"/>
  <c r="GM133" i="5"/>
  <c r="GN133" i="5"/>
  <c r="GO133" i="5"/>
  <c r="GP133" i="5"/>
  <c r="GQ133" i="5"/>
  <c r="GR133" i="5"/>
  <c r="GS133" i="5"/>
  <c r="GT133" i="5"/>
  <c r="GU133" i="5"/>
  <c r="GV133" i="5"/>
  <c r="GW133" i="5"/>
  <c r="GX133" i="5"/>
  <c r="GY133" i="5"/>
  <c r="GZ133" i="5"/>
  <c r="HA133" i="5"/>
  <c r="HB133" i="5"/>
  <c r="HC133" i="5"/>
  <c r="HD133" i="5"/>
  <c r="HE133" i="5"/>
  <c r="HF133" i="5"/>
  <c r="HG133" i="5"/>
  <c r="HH133" i="5"/>
  <c r="HI133" i="5"/>
  <c r="HJ133" i="5"/>
  <c r="HK133" i="5"/>
  <c r="HL133" i="5"/>
  <c r="HM133" i="5"/>
  <c r="HN133" i="5"/>
  <c r="HO133" i="5"/>
  <c r="HP133" i="5"/>
  <c r="HQ133" i="5"/>
  <c r="HR133" i="5"/>
  <c r="HS133" i="5"/>
  <c r="HT133" i="5"/>
  <c r="HU133" i="5"/>
  <c r="HV133" i="5"/>
  <c r="HW133" i="5"/>
  <c r="HX133" i="5"/>
  <c r="HY133" i="5"/>
  <c r="HZ133" i="5"/>
  <c r="IA133" i="5"/>
  <c r="IB133" i="5"/>
  <c r="IC133" i="5"/>
  <c r="ID133" i="5"/>
  <c r="IE133" i="5"/>
  <c r="IF133" i="5"/>
  <c r="IG133" i="5"/>
  <c r="IH133" i="5"/>
  <c r="II133" i="5"/>
  <c r="IJ133" i="5"/>
  <c r="IK133" i="5"/>
  <c r="IL133" i="5"/>
  <c r="IM133" i="5"/>
  <c r="IN133" i="5"/>
  <c r="IO133" i="5"/>
  <c r="IP133" i="5"/>
  <c r="IQ133" i="5"/>
  <c r="IR133" i="5"/>
  <c r="IS133" i="5"/>
  <c r="IT133" i="5"/>
  <c r="IU133" i="5"/>
  <c r="IV133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CM134" i="5"/>
  <c r="CN134" i="5"/>
  <c r="CO134" i="5"/>
  <c r="CP134" i="5"/>
  <c r="CQ134" i="5"/>
  <c r="CR134" i="5"/>
  <c r="CS134" i="5"/>
  <c r="CT134" i="5"/>
  <c r="CU134" i="5"/>
  <c r="CV134" i="5"/>
  <c r="CW134" i="5"/>
  <c r="CX134" i="5"/>
  <c r="CY134" i="5"/>
  <c r="CZ134" i="5"/>
  <c r="DA134" i="5"/>
  <c r="DB134" i="5"/>
  <c r="DC134" i="5"/>
  <c r="DD134" i="5"/>
  <c r="DE134" i="5"/>
  <c r="DF134" i="5"/>
  <c r="DG134" i="5"/>
  <c r="DH134" i="5"/>
  <c r="DI134" i="5"/>
  <c r="DJ134" i="5"/>
  <c r="DK134" i="5"/>
  <c r="DL134" i="5"/>
  <c r="DM134" i="5"/>
  <c r="DN134" i="5"/>
  <c r="DO134" i="5"/>
  <c r="DP134" i="5"/>
  <c r="DQ134" i="5"/>
  <c r="DR134" i="5"/>
  <c r="DS134" i="5"/>
  <c r="DT134" i="5"/>
  <c r="DU134" i="5"/>
  <c r="DV134" i="5"/>
  <c r="DW134" i="5"/>
  <c r="DX134" i="5"/>
  <c r="DY134" i="5"/>
  <c r="DZ134" i="5"/>
  <c r="EA134" i="5"/>
  <c r="EB134" i="5"/>
  <c r="EC134" i="5"/>
  <c r="ED134" i="5"/>
  <c r="EE134" i="5"/>
  <c r="EF134" i="5"/>
  <c r="EG134" i="5"/>
  <c r="EH134" i="5"/>
  <c r="EI134" i="5"/>
  <c r="EJ134" i="5"/>
  <c r="EK134" i="5"/>
  <c r="EL134" i="5"/>
  <c r="EM134" i="5"/>
  <c r="EN134" i="5"/>
  <c r="EO134" i="5"/>
  <c r="EP134" i="5"/>
  <c r="EQ134" i="5"/>
  <c r="ER134" i="5"/>
  <c r="ES134" i="5"/>
  <c r="ET134" i="5"/>
  <c r="EU134" i="5"/>
  <c r="EV134" i="5"/>
  <c r="EW134" i="5"/>
  <c r="EX134" i="5"/>
  <c r="EY134" i="5"/>
  <c r="EZ134" i="5"/>
  <c r="FA134" i="5"/>
  <c r="FB134" i="5"/>
  <c r="FC134" i="5"/>
  <c r="FD134" i="5"/>
  <c r="FE134" i="5"/>
  <c r="FF134" i="5"/>
  <c r="FG134" i="5"/>
  <c r="FH134" i="5"/>
  <c r="FI134" i="5"/>
  <c r="FJ134" i="5"/>
  <c r="FK134" i="5"/>
  <c r="FL134" i="5"/>
  <c r="FM134" i="5"/>
  <c r="FN134" i="5"/>
  <c r="FO134" i="5"/>
  <c r="FP134" i="5"/>
  <c r="FQ134" i="5"/>
  <c r="FR134" i="5"/>
  <c r="FS134" i="5"/>
  <c r="FT134" i="5"/>
  <c r="FU134" i="5"/>
  <c r="FV134" i="5"/>
  <c r="FW134" i="5"/>
  <c r="FX134" i="5"/>
  <c r="FY134" i="5"/>
  <c r="FZ134" i="5"/>
  <c r="GA134" i="5"/>
  <c r="GB134" i="5"/>
  <c r="GC134" i="5"/>
  <c r="GD134" i="5"/>
  <c r="GE134" i="5"/>
  <c r="GF134" i="5"/>
  <c r="GG134" i="5"/>
  <c r="GH134" i="5"/>
  <c r="GI134" i="5"/>
  <c r="GJ134" i="5"/>
  <c r="GK134" i="5"/>
  <c r="GL134" i="5"/>
  <c r="GM134" i="5"/>
  <c r="GN134" i="5"/>
  <c r="GO134" i="5"/>
  <c r="GP134" i="5"/>
  <c r="GQ134" i="5"/>
  <c r="GR134" i="5"/>
  <c r="GS134" i="5"/>
  <c r="GT134" i="5"/>
  <c r="GU134" i="5"/>
  <c r="GV134" i="5"/>
  <c r="GW134" i="5"/>
  <c r="GX134" i="5"/>
  <c r="GY134" i="5"/>
  <c r="GZ134" i="5"/>
  <c r="HA134" i="5"/>
  <c r="HB134" i="5"/>
  <c r="HC134" i="5"/>
  <c r="HD134" i="5"/>
  <c r="HE134" i="5"/>
  <c r="HF134" i="5"/>
  <c r="HG134" i="5"/>
  <c r="HH134" i="5"/>
  <c r="HI134" i="5"/>
  <c r="HJ134" i="5"/>
  <c r="HK134" i="5"/>
  <c r="HL134" i="5"/>
  <c r="HM134" i="5"/>
  <c r="HN134" i="5"/>
  <c r="HO134" i="5"/>
  <c r="HP134" i="5"/>
  <c r="HQ134" i="5"/>
  <c r="HR134" i="5"/>
  <c r="HS134" i="5"/>
  <c r="HT134" i="5"/>
  <c r="HU134" i="5"/>
  <c r="HV134" i="5"/>
  <c r="HW134" i="5"/>
  <c r="HX134" i="5"/>
  <c r="HY134" i="5"/>
  <c r="HZ134" i="5"/>
  <c r="IA134" i="5"/>
  <c r="IB134" i="5"/>
  <c r="IC134" i="5"/>
  <c r="ID134" i="5"/>
  <c r="IE134" i="5"/>
  <c r="IF134" i="5"/>
  <c r="IG134" i="5"/>
  <c r="IH134" i="5"/>
  <c r="II134" i="5"/>
  <c r="IJ134" i="5"/>
  <c r="IK134" i="5"/>
  <c r="IL134" i="5"/>
  <c r="IM134" i="5"/>
  <c r="IN134" i="5"/>
  <c r="IO134" i="5"/>
  <c r="IP134" i="5"/>
  <c r="IQ134" i="5"/>
  <c r="IR134" i="5"/>
  <c r="IS134" i="5"/>
  <c r="IT134" i="5"/>
  <c r="IU134" i="5"/>
  <c r="IV134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CM135" i="5"/>
  <c r="CN135" i="5"/>
  <c r="CO135" i="5"/>
  <c r="CP135" i="5"/>
  <c r="CQ135" i="5"/>
  <c r="CR135" i="5"/>
  <c r="CS135" i="5"/>
  <c r="CT135" i="5"/>
  <c r="CU135" i="5"/>
  <c r="CV135" i="5"/>
  <c r="CW135" i="5"/>
  <c r="CX135" i="5"/>
  <c r="CY135" i="5"/>
  <c r="CZ135" i="5"/>
  <c r="DA135" i="5"/>
  <c r="DB135" i="5"/>
  <c r="DC135" i="5"/>
  <c r="DD135" i="5"/>
  <c r="DE135" i="5"/>
  <c r="DF135" i="5"/>
  <c r="DG135" i="5"/>
  <c r="DH135" i="5"/>
  <c r="DI135" i="5"/>
  <c r="DJ135" i="5"/>
  <c r="DK135" i="5"/>
  <c r="DL135" i="5"/>
  <c r="DM135" i="5"/>
  <c r="DN135" i="5"/>
  <c r="DO135" i="5"/>
  <c r="DP135" i="5"/>
  <c r="DQ135" i="5"/>
  <c r="DR135" i="5"/>
  <c r="DS135" i="5"/>
  <c r="DT135" i="5"/>
  <c r="DU135" i="5"/>
  <c r="DV135" i="5"/>
  <c r="DW135" i="5"/>
  <c r="DX135" i="5"/>
  <c r="DY135" i="5"/>
  <c r="DZ135" i="5"/>
  <c r="EA135" i="5"/>
  <c r="EB135" i="5"/>
  <c r="EC135" i="5"/>
  <c r="ED135" i="5"/>
  <c r="EE135" i="5"/>
  <c r="EF135" i="5"/>
  <c r="EG135" i="5"/>
  <c r="EH135" i="5"/>
  <c r="EI135" i="5"/>
  <c r="EJ135" i="5"/>
  <c r="EK135" i="5"/>
  <c r="EL135" i="5"/>
  <c r="EM135" i="5"/>
  <c r="EN135" i="5"/>
  <c r="EO135" i="5"/>
  <c r="EP135" i="5"/>
  <c r="EQ135" i="5"/>
  <c r="ER135" i="5"/>
  <c r="ES135" i="5"/>
  <c r="ET135" i="5"/>
  <c r="EU135" i="5"/>
  <c r="EV135" i="5"/>
  <c r="EW135" i="5"/>
  <c r="EX135" i="5"/>
  <c r="EY135" i="5"/>
  <c r="EZ135" i="5"/>
  <c r="FA135" i="5"/>
  <c r="FB135" i="5"/>
  <c r="FC135" i="5"/>
  <c r="FD135" i="5"/>
  <c r="FE135" i="5"/>
  <c r="FF135" i="5"/>
  <c r="FG135" i="5"/>
  <c r="FH135" i="5"/>
  <c r="FI135" i="5"/>
  <c r="FJ135" i="5"/>
  <c r="FK135" i="5"/>
  <c r="FL135" i="5"/>
  <c r="FM135" i="5"/>
  <c r="FN135" i="5"/>
  <c r="FO135" i="5"/>
  <c r="FP135" i="5"/>
  <c r="FQ135" i="5"/>
  <c r="FR135" i="5"/>
  <c r="FS135" i="5"/>
  <c r="FT135" i="5"/>
  <c r="FU135" i="5"/>
  <c r="FV135" i="5"/>
  <c r="FW135" i="5"/>
  <c r="FX135" i="5"/>
  <c r="FY135" i="5"/>
  <c r="FZ135" i="5"/>
  <c r="GA135" i="5"/>
  <c r="GB135" i="5"/>
  <c r="GC135" i="5"/>
  <c r="GD135" i="5"/>
  <c r="GE135" i="5"/>
  <c r="GF135" i="5"/>
  <c r="GG135" i="5"/>
  <c r="GH135" i="5"/>
  <c r="GI135" i="5"/>
  <c r="GJ135" i="5"/>
  <c r="GK135" i="5"/>
  <c r="GL135" i="5"/>
  <c r="GM135" i="5"/>
  <c r="GN135" i="5"/>
  <c r="GO135" i="5"/>
  <c r="GP135" i="5"/>
  <c r="GQ135" i="5"/>
  <c r="GR135" i="5"/>
  <c r="GS135" i="5"/>
  <c r="GT135" i="5"/>
  <c r="GU135" i="5"/>
  <c r="GV135" i="5"/>
  <c r="GW135" i="5"/>
  <c r="GX135" i="5"/>
  <c r="GY135" i="5"/>
  <c r="GZ135" i="5"/>
  <c r="HA135" i="5"/>
  <c r="HB135" i="5"/>
  <c r="HC135" i="5"/>
  <c r="HD135" i="5"/>
  <c r="HE135" i="5"/>
  <c r="HF135" i="5"/>
  <c r="HG135" i="5"/>
  <c r="HH135" i="5"/>
  <c r="HI135" i="5"/>
  <c r="HJ135" i="5"/>
  <c r="HK135" i="5"/>
  <c r="HL135" i="5"/>
  <c r="HM135" i="5"/>
  <c r="HN135" i="5"/>
  <c r="HO135" i="5"/>
  <c r="HP135" i="5"/>
  <c r="HQ135" i="5"/>
  <c r="HR135" i="5"/>
  <c r="HS135" i="5"/>
  <c r="HT135" i="5"/>
  <c r="HU135" i="5"/>
  <c r="HV135" i="5"/>
  <c r="HW135" i="5"/>
  <c r="HX135" i="5"/>
  <c r="HY135" i="5"/>
  <c r="HZ135" i="5"/>
  <c r="IA135" i="5"/>
  <c r="IB135" i="5"/>
  <c r="IC135" i="5"/>
  <c r="ID135" i="5"/>
  <c r="IE135" i="5"/>
  <c r="IF135" i="5"/>
  <c r="IG135" i="5"/>
  <c r="IH135" i="5"/>
  <c r="II135" i="5"/>
  <c r="IJ135" i="5"/>
  <c r="IK135" i="5"/>
  <c r="IL135" i="5"/>
  <c r="IM135" i="5"/>
  <c r="IN135" i="5"/>
  <c r="IO135" i="5"/>
  <c r="IP135" i="5"/>
  <c r="IQ135" i="5"/>
  <c r="IR135" i="5"/>
  <c r="IS135" i="5"/>
  <c r="IT135" i="5"/>
  <c r="IU135" i="5"/>
  <c r="IV135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CM136" i="5"/>
  <c r="CN136" i="5"/>
  <c r="CO136" i="5"/>
  <c r="CP136" i="5"/>
  <c r="CQ136" i="5"/>
  <c r="CR136" i="5"/>
  <c r="CS136" i="5"/>
  <c r="CT136" i="5"/>
  <c r="CU136" i="5"/>
  <c r="CV136" i="5"/>
  <c r="CW136" i="5"/>
  <c r="CX136" i="5"/>
  <c r="CY136" i="5"/>
  <c r="CZ136" i="5"/>
  <c r="DA136" i="5"/>
  <c r="DB136" i="5"/>
  <c r="DC136" i="5"/>
  <c r="DD136" i="5"/>
  <c r="DE136" i="5"/>
  <c r="DF136" i="5"/>
  <c r="DG136" i="5"/>
  <c r="DH136" i="5"/>
  <c r="DI136" i="5"/>
  <c r="DJ136" i="5"/>
  <c r="DK136" i="5"/>
  <c r="DL136" i="5"/>
  <c r="DM136" i="5"/>
  <c r="DN136" i="5"/>
  <c r="DO136" i="5"/>
  <c r="DP136" i="5"/>
  <c r="DQ136" i="5"/>
  <c r="DR136" i="5"/>
  <c r="DS136" i="5"/>
  <c r="DT136" i="5"/>
  <c r="DU136" i="5"/>
  <c r="DV136" i="5"/>
  <c r="DW136" i="5"/>
  <c r="DX136" i="5"/>
  <c r="DY136" i="5"/>
  <c r="DZ136" i="5"/>
  <c r="EA136" i="5"/>
  <c r="EB136" i="5"/>
  <c r="EC136" i="5"/>
  <c r="ED136" i="5"/>
  <c r="EE136" i="5"/>
  <c r="EF136" i="5"/>
  <c r="EG136" i="5"/>
  <c r="EH136" i="5"/>
  <c r="EI136" i="5"/>
  <c r="EJ136" i="5"/>
  <c r="EK136" i="5"/>
  <c r="EL136" i="5"/>
  <c r="EM136" i="5"/>
  <c r="EN136" i="5"/>
  <c r="EO136" i="5"/>
  <c r="EP136" i="5"/>
  <c r="EQ136" i="5"/>
  <c r="ER136" i="5"/>
  <c r="ES136" i="5"/>
  <c r="ET136" i="5"/>
  <c r="EU136" i="5"/>
  <c r="EV136" i="5"/>
  <c r="EW136" i="5"/>
  <c r="EX136" i="5"/>
  <c r="EY136" i="5"/>
  <c r="EZ136" i="5"/>
  <c r="FA136" i="5"/>
  <c r="FB136" i="5"/>
  <c r="FC136" i="5"/>
  <c r="FD136" i="5"/>
  <c r="FE136" i="5"/>
  <c r="FF136" i="5"/>
  <c r="FG136" i="5"/>
  <c r="FH136" i="5"/>
  <c r="FI136" i="5"/>
  <c r="FJ136" i="5"/>
  <c r="FK136" i="5"/>
  <c r="FL136" i="5"/>
  <c r="FM136" i="5"/>
  <c r="FN136" i="5"/>
  <c r="FO136" i="5"/>
  <c r="FP136" i="5"/>
  <c r="FQ136" i="5"/>
  <c r="FR136" i="5"/>
  <c r="FS136" i="5"/>
  <c r="FT136" i="5"/>
  <c r="FU136" i="5"/>
  <c r="FV136" i="5"/>
  <c r="FW136" i="5"/>
  <c r="FX136" i="5"/>
  <c r="FY136" i="5"/>
  <c r="FZ136" i="5"/>
  <c r="GA136" i="5"/>
  <c r="GB136" i="5"/>
  <c r="GC136" i="5"/>
  <c r="GD136" i="5"/>
  <c r="GE136" i="5"/>
  <c r="GF136" i="5"/>
  <c r="GG136" i="5"/>
  <c r="GH136" i="5"/>
  <c r="GI136" i="5"/>
  <c r="GJ136" i="5"/>
  <c r="GK136" i="5"/>
  <c r="GL136" i="5"/>
  <c r="GM136" i="5"/>
  <c r="GN136" i="5"/>
  <c r="GO136" i="5"/>
  <c r="GP136" i="5"/>
  <c r="GQ136" i="5"/>
  <c r="GR136" i="5"/>
  <c r="GS136" i="5"/>
  <c r="GT136" i="5"/>
  <c r="GU136" i="5"/>
  <c r="GV136" i="5"/>
  <c r="GW136" i="5"/>
  <c r="GX136" i="5"/>
  <c r="GY136" i="5"/>
  <c r="GZ136" i="5"/>
  <c r="HA136" i="5"/>
  <c r="HB136" i="5"/>
  <c r="HC136" i="5"/>
  <c r="HD136" i="5"/>
  <c r="HE136" i="5"/>
  <c r="HF136" i="5"/>
  <c r="HG136" i="5"/>
  <c r="HH136" i="5"/>
  <c r="HI136" i="5"/>
  <c r="HJ136" i="5"/>
  <c r="HK136" i="5"/>
  <c r="HL136" i="5"/>
  <c r="HM136" i="5"/>
  <c r="HN136" i="5"/>
  <c r="HO136" i="5"/>
  <c r="HP136" i="5"/>
  <c r="HQ136" i="5"/>
  <c r="HR136" i="5"/>
  <c r="HS136" i="5"/>
  <c r="HT136" i="5"/>
  <c r="HU136" i="5"/>
  <c r="HV136" i="5"/>
  <c r="HW136" i="5"/>
  <c r="HX136" i="5"/>
  <c r="HY136" i="5"/>
  <c r="HZ136" i="5"/>
  <c r="IA136" i="5"/>
  <c r="IB136" i="5"/>
  <c r="IC136" i="5"/>
  <c r="ID136" i="5"/>
  <c r="IE136" i="5"/>
  <c r="IF136" i="5"/>
  <c r="IG136" i="5"/>
  <c r="IH136" i="5"/>
  <c r="II136" i="5"/>
  <c r="IJ136" i="5"/>
  <c r="IK136" i="5"/>
  <c r="IL136" i="5"/>
  <c r="IM136" i="5"/>
  <c r="IN136" i="5"/>
  <c r="IO136" i="5"/>
  <c r="IP136" i="5"/>
  <c r="IQ136" i="5"/>
  <c r="IR136" i="5"/>
  <c r="IS136" i="5"/>
  <c r="IT136" i="5"/>
  <c r="IU136" i="5"/>
  <c r="IV136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CM137" i="5"/>
  <c r="CN137" i="5"/>
  <c r="CO137" i="5"/>
  <c r="CP137" i="5"/>
  <c r="CQ137" i="5"/>
  <c r="CR137" i="5"/>
  <c r="CS137" i="5"/>
  <c r="CT137" i="5"/>
  <c r="CU137" i="5"/>
  <c r="CV137" i="5"/>
  <c r="CW137" i="5"/>
  <c r="CX137" i="5"/>
  <c r="CY137" i="5"/>
  <c r="CZ137" i="5"/>
  <c r="DA137" i="5"/>
  <c r="DB137" i="5"/>
  <c r="DC137" i="5"/>
  <c r="DD137" i="5"/>
  <c r="DE137" i="5"/>
  <c r="DF137" i="5"/>
  <c r="DG137" i="5"/>
  <c r="DH137" i="5"/>
  <c r="DI137" i="5"/>
  <c r="DJ137" i="5"/>
  <c r="DK137" i="5"/>
  <c r="DL137" i="5"/>
  <c r="DM137" i="5"/>
  <c r="DN137" i="5"/>
  <c r="DO137" i="5"/>
  <c r="DP137" i="5"/>
  <c r="DQ137" i="5"/>
  <c r="DR137" i="5"/>
  <c r="DS137" i="5"/>
  <c r="DT137" i="5"/>
  <c r="DU137" i="5"/>
  <c r="DV137" i="5"/>
  <c r="DW137" i="5"/>
  <c r="DX137" i="5"/>
  <c r="DY137" i="5"/>
  <c r="DZ137" i="5"/>
  <c r="EA137" i="5"/>
  <c r="EB137" i="5"/>
  <c r="EC137" i="5"/>
  <c r="ED137" i="5"/>
  <c r="EE137" i="5"/>
  <c r="EF137" i="5"/>
  <c r="EG137" i="5"/>
  <c r="EH137" i="5"/>
  <c r="EI137" i="5"/>
  <c r="EJ137" i="5"/>
  <c r="EK137" i="5"/>
  <c r="EL137" i="5"/>
  <c r="EM137" i="5"/>
  <c r="EN137" i="5"/>
  <c r="EO137" i="5"/>
  <c r="EP137" i="5"/>
  <c r="EQ137" i="5"/>
  <c r="ER137" i="5"/>
  <c r="ES137" i="5"/>
  <c r="ET137" i="5"/>
  <c r="EU137" i="5"/>
  <c r="EV137" i="5"/>
  <c r="EW137" i="5"/>
  <c r="EX137" i="5"/>
  <c r="EY137" i="5"/>
  <c r="EZ137" i="5"/>
  <c r="FA137" i="5"/>
  <c r="FB137" i="5"/>
  <c r="FC137" i="5"/>
  <c r="FD137" i="5"/>
  <c r="FE137" i="5"/>
  <c r="FF137" i="5"/>
  <c r="FG137" i="5"/>
  <c r="FH137" i="5"/>
  <c r="FI137" i="5"/>
  <c r="FJ137" i="5"/>
  <c r="FK137" i="5"/>
  <c r="FL137" i="5"/>
  <c r="FM137" i="5"/>
  <c r="FN137" i="5"/>
  <c r="FO137" i="5"/>
  <c r="FP137" i="5"/>
  <c r="FQ137" i="5"/>
  <c r="FR137" i="5"/>
  <c r="FS137" i="5"/>
  <c r="FT137" i="5"/>
  <c r="FU137" i="5"/>
  <c r="FV137" i="5"/>
  <c r="FW137" i="5"/>
  <c r="FX137" i="5"/>
  <c r="FY137" i="5"/>
  <c r="FZ137" i="5"/>
  <c r="GA137" i="5"/>
  <c r="GB137" i="5"/>
  <c r="GC137" i="5"/>
  <c r="GD137" i="5"/>
  <c r="GE137" i="5"/>
  <c r="GF137" i="5"/>
  <c r="GG137" i="5"/>
  <c r="GH137" i="5"/>
  <c r="GI137" i="5"/>
  <c r="GJ137" i="5"/>
  <c r="GK137" i="5"/>
  <c r="GL137" i="5"/>
  <c r="GM137" i="5"/>
  <c r="GN137" i="5"/>
  <c r="GO137" i="5"/>
  <c r="GP137" i="5"/>
  <c r="GQ137" i="5"/>
  <c r="GR137" i="5"/>
  <c r="GS137" i="5"/>
  <c r="GT137" i="5"/>
  <c r="GU137" i="5"/>
  <c r="GV137" i="5"/>
  <c r="GW137" i="5"/>
  <c r="GX137" i="5"/>
  <c r="GY137" i="5"/>
  <c r="GZ137" i="5"/>
  <c r="HA137" i="5"/>
  <c r="HB137" i="5"/>
  <c r="HC137" i="5"/>
  <c r="HD137" i="5"/>
  <c r="HE137" i="5"/>
  <c r="HF137" i="5"/>
  <c r="HG137" i="5"/>
  <c r="HH137" i="5"/>
  <c r="HI137" i="5"/>
  <c r="HJ137" i="5"/>
  <c r="HK137" i="5"/>
  <c r="HL137" i="5"/>
  <c r="HM137" i="5"/>
  <c r="HN137" i="5"/>
  <c r="HO137" i="5"/>
  <c r="HP137" i="5"/>
  <c r="HQ137" i="5"/>
  <c r="HR137" i="5"/>
  <c r="HS137" i="5"/>
  <c r="HT137" i="5"/>
  <c r="HU137" i="5"/>
  <c r="HV137" i="5"/>
  <c r="HW137" i="5"/>
  <c r="HX137" i="5"/>
  <c r="HY137" i="5"/>
  <c r="HZ137" i="5"/>
  <c r="IA137" i="5"/>
  <c r="IB137" i="5"/>
  <c r="IC137" i="5"/>
  <c r="ID137" i="5"/>
  <c r="IE137" i="5"/>
  <c r="IF137" i="5"/>
  <c r="IG137" i="5"/>
  <c r="IH137" i="5"/>
  <c r="II137" i="5"/>
  <c r="IJ137" i="5"/>
  <c r="IK137" i="5"/>
  <c r="IL137" i="5"/>
  <c r="IM137" i="5"/>
  <c r="IN137" i="5"/>
  <c r="IO137" i="5"/>
  <c r="IP137" i="5"/>
  <c r="IQ137" i="5"/>
  <c r="IR137" i="5"/>
  <c r="IS137" i="5"/>
  <c r="IT137" i="5"/>
  <c r="IU137" i="5"/>
  <c r="IV137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CM138" i="5"/>
  <c r="CN138" i="5"/>
  <c r="CO138" i="5"/>
  <c r="CP138" i="5"/>
  <c r="CQ138" i="5"/>
  <c r="CR138" i="5"/>
  <c r="CS138" i="5"/>
  <c r="CT138" i="5"/>
  <c r="CU138" i="5"/>
  <c r="CV138" i="5"/>
  <c r="CW138" i="5"/>
  <c r="CX138" i="5"/>
  <c r="CY138" i="5"/>
  <c r="CZ138" i="5"/>
  <c r="DA138" i="5"/>
  <c r="DB138" i="5"/>
  <c r="DC138" i="5"/>
  <c r="DD138" i="5"/>
  <c r="DE138" i="5"/>
  <c r="DF138" i="5"/>
  <c r="DG138" i="5"/>
  <c r="DH138" i="5"/>
  <c r="DI138" i="5"/>
  <c r="DJ138" i="5"/>
  <c r="DK138" i="5"/>
  <c r="DL138" i="5"/>
  <c r="DM138" i="5"/>
  <c r="DN138" i="5"/>
  <c r="DO138" i="5"/>
  <c r="DP138" i="5"/>
  <c r="DQ138" i="5"/>
  <c r="DR138" i="5"/>
  <c r="DS138" i="5"/>
  <c r="DT138" i="5"/>
  <c r="DU138" i="5"/>
  <c r="DV138" i="5"/>
  <c r="DW138" i="5"/>
  <c r="DX138" i="5"/>
  <c r="DY138" i="5"/>
  <c r="DZ138" i="5"/>
  <c r="EA138" i="5"/>
  <c r="EB138" i="5"/>
  <c r="EC138" i="5"/>
  <c r="ED138" i="5"/>
  <c r="EE138" i="5"/>
  <c r="EF138" i="5"/>
  <c r="EG138" i="5"/>
  <c r="EH138" i="5"/>
  <c r="EI138" i="5"/>
  <c r="EJ138" i="5"/>
  <c r="EK138" i="5"/>
  <c r="EL138" i="5"/>
  <c r="EM138" i="5"/>
  <c r="EN138" i="5"/>
  <c r="EO138" i="5"/>
  <c r="EP138" i="5"/>
  <c r="EQ138" i="5"/>
  <c r="ER138" i="5"/>
  <c r="ES138" i="5"/>
  <c r="ET138" i="5"/>
  <c r="EU138" i="5"/>
  <c r="EV138" i="5"/>
  <c r="EW138" i="5"/>
  <c r="EX138" i="5"/>
  <c r="EY138" i="5"/>
  <c r="EZ138" i="5"/>
  <c r="FA138" i="5"/>
  <c r="FB138" i="5"/>
  <c r="FC138" i="5"/>
  <c r="FD138" i="5"/>
  <c r="FE138" i="5"/>
  <c r="FF138" i="5"/>
  <c r="FG138" i="5"/>
  <c r="FH138" i="5"/>
  <c r="FI138" i="5"/>
  <c r="FJ138" i="5"/>
  <c r="FK138" i="5"/>
  <c r="FL138" i="5"/>
  <c r="FM138" i="5"/>
  <c r="FN138" i="5"/>
  <c r="FO138" i="5"/>
  <c r="FP138" i="5"/>
  <c r="FQ138" i="5"/>
  <c r="FR138" i="5"/>
  <c r="FS138" i="5"/>
  <c r="FT138" i="5"/>
  <c r="FU138" i="5"/>
  <c r="FV138" i="5"/>
  <c r="FW138" i="5"/>
  <c r="FX138" i="5"/>
  <c r="FY138" i="5"/>
  <c r="FZ138" i="5"/>
  <c r="GA138" i="5"/>
  <c r="GB138" i="5"/>
  <c r="GC138" i="5"/>
  <c r="GD138" i="5"/>
  <c r="GE138" i="5"/>
  <c r="GF138" i="5"/>
  <c r="GG138" i="5"/>
  <c r="GH138" i="5"/>
  <c r="GI138" i="5"/>
  <c r="GJ138" i="5"/>
  <c r="GK138" i="5"/>
  <c r="GL138" i="5"/>
  <c r="GM138" i="5"/>
  <c r="GN138" i="5"/>
  <c r="GO138" i="5"/>
  <c r="GP138" i="5"/>
  <c r="GQ138" i="5"/>
  <c r="GR138" i="5"/>
  <c r="GS138" i="5"/>
  <c r="GT138" i="5"/>
  <c r="GU138" i="5"/>
  <c r="GV138" i="5"/>
  <c r="GW138" i="5"/>
  <c r="GX138" i="5"/>
  <c r="GY138" i="5"/>
  <c r="GZ138" i="5"/>
  <c r="HA138" i="5"/>
  <c r="HB138" i="5"/>
  <c r="HC138" i="5"/>
  <c r="HD138" i="5"/>
  <c r="HE138" i="5"/>
  <c r="HF138" i="5"/>
  <c r="HG138" i="5"/>
  <c r="HH138" i="5"/>
  <c r="HI138" i="5"/>
  <c r="HJ138" i="5"/>
  <c r="HK138" i="5"/>
  <c r="HL138" i="5"/>
  <c r="HM138" i="5"/>
  <c r="HN138" i="5"/>
  <c r="HO138" i="5"/>
  <c r="HP138" i="5"/>
  <c r="HQ138" i="5"/>
  <c r="HR138" i="5"/>
  <c r="HS138" i="5"/>
  <c r="HT138" i="5"/>
  <c r="HU138" i="5"/>
  <c r="HV138" i="5"/>
  <c r="HW138" i="5"/>
  <c r="HX138" i="5"/>
  <c r="HY138" i="5"/>
  <c r="HZ138" i="5"/>
  <c r="IA138" i="5"/>
  <c r="IB138" i="5"/>
  <c r="IC138" i="5"/>
  <c r="ID138" i="5"/>
  <c r="IE138" i="5"/>
  <c r="IF138" i="5"/>
  <c r="IG138" i="5"/>
  <c r="IH138" i="5"/>
  <c r="II138" i="5"/>
  <c r="IJ138" i="5"/>
  <c r="IK138" i="5"/>
  <c r="IL138" i="5"/>
  <c r="IM138" i="5"/>
  <c r="IN138" i="5"/>
  <c r="IO138" i="5"/>
  <c r="IP138" i="5"/>
  <c r="IQ138" i="5"/>
  <c r="IR138" i="5"/>
  <c r="IS138" i="5"/>
  <c r="IT138" i="5"/>
  <c r="IU138" i="5"/>
  <c r="IV138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CM139" i="5"/>
  <c r="CN139" i="5"/>
  <c r="CO139" i="5"/>
  <c r="CP139" i="5"/>
  <c r="CQ139" i="5"/>
  <c r="CR139" i="5"/>
  <c r="CS139" i="5"/>
  <c r="CT139" i="5"/>
  <c r="CU139" i="5"/>
  <c r="CV139" i="5"/>
  <c r="CW139" i="5"/>
  <c r="CX139" i="5"/>
  <c r="CY139" i="5"/>
  <c r="CZ139" i="5"/>
  <c r="DA139" i="5"/>
  <c r="DB139" i="5"/>
  <c r="DC139" i="5"/>
  <c r="DD139" i="5"/>
  <c r="DE139" i="5"/>
  <c r="DF139" i="5"/>
  <c r="DG139" i="5"/>
  <c r="DH139" i="5"/>
  <c r="DI139" i="5"/>
  <c r="DJ139" i="5"/>
  <c r="DK139" i="5"/>
  <c r="DL139" i="5"/>
  <c r="DM139" i="5"/>
  <c r="DN139" i="5"/>
  <c r="DO139" i="5"/>
  <c r="DP139" i="5"/>
  <c r="DQ139" i="5"/>
  <c r="DR139" i="5"/>
  <c r="DS139" i="5"/>
  <c r="DT139" i="5"/>
  <c r="DU139" i="5"/>
  <c r="DV139" i="5"/>
  <c r="DW139" i="5"/>
  <c r="DX139" i="5"/>
  <c r="DY139" i="5"/>
  <c r="DZ139" i="5"/>
  <c r="EA139" i="5"/>
  <c r="EB139" i="5"/>
  <c r="EC139" i="5"/>
  <c r="ED139" i="5"/>
  <c r="EE139" i="5"/>
  <c r="EF139" i="5"/>
  <c r="EG139" i="5"/>
  <c r="EH139" i="5"/>
  <c r="EI139" i="5"/>
  <c r="EJ139" i="5"/>
  <c r="EK139" i="5"/>
  <c r="EL139" i="5"/>
  <c r="EM139" i="5"/>
  <c r="EN139" i="5"/>
  <c r="EO139" i="5"/>
  <c r="EP139" i="5"/>
  <c r="EQ139" i="5"/>
  <c r="ER139" i="5"/>
  <c r="ES139" i="5"/>
  <c r="ET139" i="5"/>
  <c r="EU139" i="5"/>
  <c r="EV139" i="5"/>
  <c r="EW139" i="5"/>
  <c r="EX139" i="5"/>
  <c r="EY139" i="5"/>
  <c r="EZ139" i="5"/>
  <c r="FA139" i="5"/>
  <c r="FB139" i="5"/>
  <c r="FC139" i="5"/>
  <c r="FD139" i="5"/>
  <c r="FE139" i="5"/>
  <c r="FF139" i="5"/>
  <c r="FG139" i="5"/>
  <c r="FH139" i="5"/>
  <c r="FI139" i="5"/>
  <c r="FJ139" i="5"/>
  <c r="FK139" i="5"/>
  <c r="FL139" i="5"/>
  <c r="FM139" i="5"/>
  <c r="FN139" i="5"/>
  <c r="FO139" i="5"/>
  <c r="FP139" i="5"/>
  <c r="FQ139" i="5"/>
  <c r="FR139" i="5"/>
  <c r="FS139" i="5"/>
  <c r="FT139" i="5"/>
  <c r="FU139" i="5"/>
  <c r="FV139" i="5"/>
  <c r="FW139" i="5"/>
  <c r="FX139" i="5"/>
  <c r="FY139" i="5"/>
  <c r="FZ139" i="5"/>
  <c r="GA139" i="5"/>
  <c r="GB139" i="5"/>
  <c r="GC139" i="5"/>
  <c r="GD139" i="5"/>
  <c r="GE139" i="5"/>
  <c r="GF139" i="5"/>
  <c r="GG139" i="5"/>
  <c r="GH139" i="5"/>
  <c r="GI139" i="5"/>
  <c r="GJ139" i="5"/>
  <c r="GK139" i="5"/>
  <c r="GL139" i="5"/>
  <c r="GM139" i="5"/>
  <c r="GN139" i="5"/>
  <c r="GO139" i="5"/>
  <c r="GP139" i="5"/>
  <c r="GQ139" i="5"/>
  <c r="GR139" i="5"/>
  <c r="GS139" i="5"/>
  <c r="GT139" i="5"/>
  <c r="GU139" i="5"/>
  <c r="GV139" i="5"/>
  <c r="GW139" i="5"/>
  <c r="GX139" i="5"/>
  <c r="GY139" i="5"/>
  <c r="GZ139" i="5"/>
  <c r="HA139" i="5"/>
  <c r="HB139" i="5"/>
  <c r="HC139" i="5"/>
  <c r="HD139" i="5"/>
  <c r="HE139" i="5"/>
  <c r="HF139" i="5"/>
  <c r="HG139" i="5"/>
  <c r="HH139" i="5"/>
  <c r="HI139" i="5"/>
  <c r="HJ139" i="5"/>
  <c r="HK139" i="5"/>
  <c r="HL139" i="5"/>
  <c r="HM139" i="5"/>
  <c r="HN139" i="5"/>
  <c r="HO139" i="5"/>
  <c r="HP139" i="5"/>
  <c r="HQ139" i="5"/>
  <c r="HR139" i="5"/>
  <c r="HS139" i="5"/>
  <c r="HT139" i="5"/>
  <c r="HU139" i="5"/>
  <c r="HV139" i="5"/>
  <c r="HW139" i="5"/>
  <c r="HX139" i="5"/>
  <c r="HY139" i="5"/>
  <c r="HZ139" i="5"/>
  <c r="IA139" i="5"/>
  <c r="IB139" i="5"/>
  <c r="IC139" i="5"/>
  <c r="ID139" i="5"/>
  <c r="IE139" i="5"/>
  <c r="IF139" i="5"/>
  <c r="IG139" i="5"/>
  <c r="IH139" i="5"/>
  <c r="II139" i="5"/>
  <c r="IJ139" i="5"/>
  <c r="IK139" i="5"/>
  <c r="IL139" i="5"/>
  <c r="IM139" i="5"/>
  <c r="IN139" i="5"/>
  <c r="IO139" i="5"/>
  <c r="IP139" i="5"/>
  <c r="IQ139" i="5"/>
  <c r="IR139" i="5"/>
  <c r="IS139" i="5"/>
  <c r="IT139" i="5"/>
  <c r="IU139" i="5"/>
  <c r="IV139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CM140" i="5"/>
  <c r="CN140" i="5"/>
  <c r="CO140" i="5"/>
  <c r="CP140" i="5"/>
  <c r="CQ140" i="5"/>
  <c r="CR140" i="5"/>
  <c r="CS140" i="5"/>
  <c r="CT140" i="5"/>
  <c r="CU140" i="5"/>
  <c r="CV140" i="5"/>
  <c r="CW140" i="5"/>
  <c r="CX140" i="5"/>
  <c r="CY140" i="5"/>
  <c r="CZ140" i="5"/>
  <c r="DA140" i="5"/>
  <c r="DB140" i="5"/>
  <c r="DC140" i="5"/>
  <c r="DD140" i="5"/>
  <c r="DE140" i="5"/>
  <c r="DF140" i="5"/>
  <c r="DG140" i="5"/>
  <c r="DH140" i="5"/>
  <c r="DI140" i="5"/>
  <c r="DJ140" i="5"/>
  <c r="DK140" i="5"/>
  <c r="DL140" i="5"/>
  <c r="DM140" i="5"/>
  <c r="DN140" i="5"/>
  <c r="DO140" i="5"/>
  <c r="DP140" i="5"/>
  <c r="DQ140" i="5"/>
  <c r="DR140" i="5"/>
  <c r="DS140" i="5"/>
  <c r="DT140" i="5"/>
  <c r="DU140" i="5"/>
  <c r="DV140" i="5"/>
  <c r="DW140" i="5"/>
  <c r="DX140" i="5"/>
  <c r="DY140" i="5"/>
  <c r="DZ140" i="5"/>
  <c r="EA140" i="5"/>
  <c r="EB140" i="5"/>
  <c r="EC140" i="5"/>
  <c r="ED140" i="5"/>
  <c r="EE140" i="5"/>
  <c r="EF140" i="5"/>
  <c r="EG140" i="5"/>
  <c r="EH140" i="5"/>
  <c r="EI140" i="5"/>
  <c r="EJ140" i="5"/>
  <c r="EK140" i="5"/>
  <c r="EL140" i="5"/>
  <c r="EM140" i="5"/>
  <c r="EN140" i="5"/>
  <c r="EO140" i="5"/>
  <c r="EP140" i="5"/>
  <c r="EQ140" i="5"/>
  <c r="ER140" i="5"/>
  <c r="ES140" i="5"/>
  <c r="ET140" i="5"/>
  <c r="EU140" i="5"/>
  <c r="EV140" i="5"/>
  <c r="EW140" i="5"/>
  <c r="EX140" i="5"/>
  <c r="EY140" i="5"/>
  <c r="EZ140" i="5"/>
  <c r="FA140" i="5"/>
  <c r="FB140" i="5"/>
  <c r="FC140" i="5"/>
  <c r="FD140" i="5"/>
  <c r="FE140" i="5"/>
  <c r="FF140" i="5"/>
  <c r="FG140" i="5"/>
  <c r="FH140" i="5"/>
  <c r="FI140" i="5"/>
  <c r="FJ140" i="5"/>
  <c r="FK140" i="5"/>
  <c r="FL140" i="5"/>
  <c r="FM140" i="5"/>
  <c r="FN140" i="5"/>
  <c r="FO140" i="5"/>
  <c r="FP140" i="5"/>
  <c r="FQ140" i="5"/>
  <c r="FR140" i="5"/>
  <c r="FS140" i="5"/>
  <c r="FT140" i="5"/>
  <c r="FU140" i="5"/>
  <c r="FV140" i="5"/>
  <c r="FW140" i="5"/>
  <c r="FX140" i="5"/>
  <c r="FY140" i="5"/>
  <c r="FZ140" i="5"/>
  <c r="GA140" i="5"/>
  <c r="GB140" i="5"/>
  <c r="GC140" i="5"/>
  <c r="GD140" i="5"/>
  <c r="GE140" i="5"/>
  <c r="GF140" i="5"/>
  <c r="GG140" i="5"/>
  <c r="GH140" i="5"/>
  <c r="GI140" i="5"/>
  <c r="GJ140" i="5"/>
  <c r="GK140" i="5"/>
  <c r="GL140" i="5"/>
  <c r="GM140" i="5"/>
  <c r="GN140" i="5"/>
  <c r="GO140" i="5"/>
  <c r="GP140" i="5"/>
  <c r="GQ140" i="5"/>
  <c r="GR140" i="5"/>
  <c r="GS140" i="5"/>
  <c r="GT140" i="5"/>
  <c r="GU140" i="5"/>
  <c r="GV140" i="5"/>
  <c r="GW140" i="5"/>
  <c r="GX140" i="5"/>
  <c r="GY140" i="5"/>
  <c r="GZ140" i="5"/>
  <c r="HA140" i="5"/>
  <c r="HB140" i="5"/>
  <c r="HC140" i="5"/>
  <c r="HD140" i="5"/>
  <c r="HE140" i="5"/>
  <c r="HF140" i="5"/>
  <c r="HG140" i="5"/>
  <c r="HH140" i="5"/>
  <c r="HI140" i="5"/>
  <c r="HJ140" i="5"/>
  <c r="HK140" i="5"/>
  <c r="HL140" i="5"/>
  <c r="HM140" i="5"/>
  <c r="HN140" i="5"/>
  <c r="HO140" i="5"/>
  <c r="HP140" i="5"/>
  <c r="HQ140" i="5"/>
  <c r="HR140" i="5"/>
  <c r="HS140" i="5"/>
  <c r="HT140" i="5"/>
  <c r="HU140" i="5"/>
  <c r="HV140" i="5"/>
  <c r="HW140" i="5"/>
  <c r="HX140" i="5"/>
  <c r="HY140" i="5"/>
  <c r="HZ140" i="5"/>
  <c r="IA140" i="5"/>
  <c r="IB140" i="5"/>
  <c r="IC140" i="5"/>
  <c r="ID140" i="5"/>
  <c r="IE140" i="5"/>
  <c r="IF140" i="5"/>
  <c r="IG140" i="5"/>
  <c r="IH140" i="5"/>
  <c r="II140" i="5"/>
  <c r="IJ140" i="5"/>
  <c r="IK140" i="5"/>
  <c r="IL140" i="5"/>
  <c r="IM140" i="5"/>
  <c r="IN140" i="5"/>
  <c r="IO140" i="5"/>
  <c r="IP140" i="5"/>
  <c r="IQ140" i="5"/>
  <c r="IR140" i="5"/>
  <c r="IS140" i="5"/>
  <c r="IT140" i="5"/>
  <c r="IU140" i="5"/>
  <c r="IV140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CM141" i="5"/>
  <c r="CN141" i="5"/>
  <c r="CO141" i="5"/>
  <c r="CP141" i="5"/>
  <c r="CQ141" i="5"/>
  <c r="CR141" i="5"/>
  <c r="CS141" i="5"/>
  <c r="CT141" i="5"/>
  <c r="CU141" i="5"/>
  <c r="CV141" i="5"/>
  <c r="CW141" i="5"/>
  <c r="CX141" i="5"/>
  <c r="CY141" i="5"/>
  <c r="CZ141" i="5"/>
  <c r="DA141" i="5"/>
  <c r="DB141" i="5"/>
  <c r="DC141" i="5"/>
  <c r="DD141" i="5"/>
  <c r="DE141" i="5"/>
  <c r="DF141" i="5"/>
  <c r="DG141" i="5"/>
  <c r="DH141" i="5"/>
  <c r="DI141" i="5"/>
  <c r="DJ141" i="5"/>
  <c r="DK141" i="5"/>
  <c r="DL141" i="5"/>
  <c r="DM141" i="5"/>
  <c r="DN141" i="5"/>
  <c r="DO141" i="5"/>
  <c r="DP141" i="5"/>
  <c r="DQ141" i="5"/>
  <c r="DR141" i="5"/>
  <c r="DS141" i="5"/>
  <c r="DT141" i="5"/>
  <c r="DU141" i="5"/>
  <c r="DV141" i="5"/>
  <c r="DW141" i="5"/>
  <c r="DX141" i="5"/>
  <c r="DY141" i="5"/>
  <c r="DZ141" i="5"/>
  <c r="EA141" i="5"/>
  <c r="EB141" i="5"/>
  <c r="EC141" i="5"/>
  <c r="ED141" i="5"/>
  <c r="EE141" i="5"/>
  <c r="EF141" i="5"/>
  <c r="EG141" i="5"/>
  <c r="EH141" i="5"/>
  <c r="EI141" i="5"/>
  <c r="EJ141" i="5"/>
  <c r="EK141" i="5"/>
  <c r="EL141" i="5"/>
  <c r="EM141" i="5"/>
  <c r="EN141" i="5"/>
  <c r="EO141" i="5"/>
  <c r="EP141" i="5"/>
  <c r="EQ141" i="5"/>
  <c r="ER141" i="5"/>
  <c r="ES141" i="5"/>
  <c r="ET141" i="5"/>
  <c r="EU141" i="5"/>
  <c r="EV141" i="5"/>
  <c r="EW141" i="5"/>
  <c r="EX141" i="5"/>
  <c r="EY141" i="5"/>
  <c r="EZ141" i="5"/>
  <c r="FA141" i="5"/>
  <c r="FB141" i="5"/>
  <c r="FC141" i="5"/>
  <c r="FD141" i="5"/>
  <c r="FE141" i="5"/>
  <c r="FF141" i="5"/>
  <c r="FG141" i="5"/>
  <c r="FH141" i="5"/>
  <c r="FI141" i="5"/>
  <c r="FJ141" i="5"/>
  <c r="FK141" i="5"/>
  <c r="FL141" i="5"/>
  <c r="FM141" i="5"/>
  <c r="FN141" i="5"/>
  <c r="FO141" i="5"/>
  <c r="FP141" i="5"/>
  <c r="FQ141" i="5"/>
  <c r="FR141" i="5"/>
  <c r="FS141" i="5"/>
  <c r="FT141" i="5"/>
  <c r="FU141" i="5"/>
  <c r="FV141" i="5"/>
  <c r="FW141" i="5"/>
  <c r="FX141" i="5"/>
  <c r="FY141" i="5"/>
  <c r="FZ141" i="5"/>
  <c r="GA141" i="5"/>
  <c r="GB141" i="5"/>
  <c r="GC141" i="5"/>
  <c r="GD141" i="5"/>
  <c r="GE141" i="5"/>
  <c r="GF141" i="5"/>
  <c r="GG141" i="5"/>
  <c r="GH141" i="5"/>
  <c r="GI141" i="5"/>
  <c r="GJ141" i="5"/>
  <c r="GK141" i="5"/>
  <c r="GL141" i="5"/>
  <c r="GM141" i="5"/>
  <c r="GN141" i="5"/>
  <c r="GO141" i="5"/>
  <c r="GP141" i="5"/>
  <c r="GQ141" i="5"/>
  <c r="GR141" i="5"/>
  <c r="GS141" i="5"/>
  <c r="GT141" i="5"/>
  <c r="GU141" i="5"/>
  <c r="GV141" i="5"/>
  <c r="GW141" i="5"/>
  <c r="GX141" i="5"/>
  <c r="GY141" i="5"/>
  <c r="GZ141" i="5"/>
  <c r="HA141" i="5"/>
  <c r="HB141" i="5"/>
  <c r="HC141" i="5"/>
  <c r="HD141" i="5"/>
  <c r="HE141" i="5"/>
  <c r="HF141" i="5"/>
  <c r="HG141" i="5"/>
  <c r="HH141" i="5"/>
  <c r="HI141" i="5"/>
  <c r="HJ141" i="5"/>
  <c r="HK141" i="5"/>
  <c r="HL141" i="5"/>
  <c r="HM141" i="5"/>
  <c r="HN141" i="5"/>
  <c r="HO141" i="5"/>
  <c r="HP141" i="5"/>
  <c r="HQ141" i="5"/>
  <c r="HR141" i="5"/>
  <c r="HS141" i="5"/>
  <c r="HT141" i="5"/>
  <c r="HU141" i="5"/>
  <c r="HV141" i="5"/>
  <c r="HW141" i="5"/>
  <c r="HX141" i="5"/>
  <c r="HY141" i="5"/>
  <c r="HZ141" i="5"/>
  <c r="IA141" i="5"/>
  <c r="IB141" i="5"/>
  <c r="IC141" i="5"/>
  <c r="ID141" i="5"/>
  <c r="IE141" i="5"/>
  <c r="IF141" i="5"/>
  <c r="IG141" i="5"/>
  <c r="IH141" i="5"/>
  <c r="II141" i="5"/>
  <c r="IJ141" i="5"/>
  <c r="IK141" i="5"/>
  <c r="IL141" i="5"/>
  <c r="IM141" i="5"/>
  <c r="IN141" i="5"/>
  <c r="IO141" i="5"/>
  <c r="IP141" i="5"/>
  <c r="IQ141" i="5"/>
  <c r="IR141" i="5"/>
  <c r="IS141" i="5"/>
  <c r="IT141" i="5"/>
  <c r="IU141" i="5"/>
  <c r="IV141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CM142" i="5"/>
  <c r="CN142" i="5"/>
  <c r="CO142" i="5"/>
  <c r="CP142" i="5"/>
  <c r="CQ142" i="5"/>
  <c r="CR142" i="5"/>
  <c r="CS142" i="5"/>
  <c r="CT142" i="5"/>
  <c r="CU142" i="5"/>
  <c r="CV142" i="5"/>
  <c r="CW142" i="5"/>
  <c r="CX142" i="5"/>
  <c r="CY142" i="5"/>
  <c r="CZ142" i="5"/>
  <c r="DA142" i="5"/>
  <c r="DB142" i="5"/>
  <c r="DC142" i="5"/>
  <c r="DD142" i="5"/>
  <c r="DE142" i="5"/>
  <c r="DF142" i="5"/>
  <c r="DG142" i="5"/>
  <c r="DH142" i="5"/>
  <c r="DI142" i="5"/>
  <c r="DJ142" i="5"/>
  <c r="DK142" i="5"/>
  <c r="DL142" i="5"/>
  <c r="DM142" i="5"/>
  <c r="DN142" i="5"/>
  <c r="DO142" i="5"/>
  <c r="DP142" i="5"/>
  <c r="DQ142" i="5"/>
  <c r="DR142" i="5"/>
  <c r="DS142" i="5"/>
  <c r="DT142" i="5"/>
  <c r="DU142" i="5"/>
  <c r="DV142" i="5"/>
  <c r="DW142" i="5"/>
  <c r="DX142" i="5"/>
  <c r="DY142" i="5"/>
  <c r="DZ142" i="5"/>
  <c r="EA142" i="5"/>
  <c r="EB142" i="5"/>
  <c r="EC142" i="5"/>
  <c r="ED142" i="5"/>
  <c r="EE142" i="5"/>
  <c r="EF142" i="5"/>
  <c r="EG142" i="5"/>
  <c r="EH142" i="5"/>
  <c r="EI142" i="5"/>
  <c r="EJ142" i="5"/>
  <c r="EK142" i="5"/>
  <c r="EL142" i="5"/>
  <c r="EM142" i="5"/>
  <c r="EN142" i="5"/>
  <c r="EO142" i="5"/>
  <c r="EP142" i="5"/>
  <c r="EQ142" i="5"/>
  <c r="ER142" i="5"/>
  <c r="ES142" i="5"/>
  <c r="ET142" i="5"/>
  <c r="EU142" i="5"/>
  <c r="EV142" i="5"/>
  <c r="EW142" i="5"/>
  <c r="EX142" i="5"/>
  <c r="EY142" i="5"/>
  <c r="EZ142" i="5"/>
  <c r="FA142" i="5"/>
  <c r="FB142" i="5"/>
  <c r="FC142" i="5"/>
  <c r="FD142" i="5"/>
  <c r="FE142" i="5"/>
  <c r="FF142" i="5"/>
  <c r="FG142" i="5"/>
  <c r="FH142" i="5"/>
  <c r="FI142" i="5"/>
  <c r="FJ142" i="5"/>
  <c r="FK142" i="5"/>
  <c r="FL142" i="5"/>
  <c r="FM142" i="5"/>
  <c r="FN142" i="5"/>
  <c r="FO142" i="5"/>
  <c r="FP142" i="5"/>
  <c r="FQ142" i="5"/>
  <c r="FR142" i="5"/>
  <c r="FS142" i="5"/>
  <c r="FT142" i="5"/>
  <c r="FU142" i="5"/>
  <c r="FV142" i="5"/>
  <c r="FW142" i="5"/>
  <c r="FX142" i="5"/>
  <c r="FY142" i="5"/>
  <c r="FZ142" i="5"/>
  <c r="GA142" i="5"/>
  <c r="GB142" i="5"/>
  <c r="GC142" i="5"/>
  <c r="GD142" i="5"/>
  <c r="GE142" i="5"/>
  <c r="GF142" i="5"/>
  <c r="GG142" i="5"/>
  <c r="GH142" i="5"/>
  <c r="GI142" i="5"/>
  <c r="GJ142" i="5"/>
  <c r="GK142" i="5"/>
  <c r="GL142" i="5"/>
  <c r="GM142" i="5"/>
  <c r="GN142" i="5"/>
  <c r="GO142" i="5"/>
  <c r="GP142" i="5"/>
  <c r="GQ142" i="5"/>
  <c r="GR142" i="5"/>
  <c r="GS142" i="5"/>
  <c r="GT142" i="5"/>
  <c r="GU142" i="5"/>
  <c r="GV142" i="5"/>
  <c r="GW142" i="5"/>
  <c r="GX142" i="5"/>
  <c r="GY142" i="5"/>
  <c r="GZ142" i="5"/>
  <c r="HA142" i="5"/>
  <c r="HB142" i="5"/>
  <c r="HC142" i="5"/>
  <c r="HD142" i="5"/>
  <c r="HE142" i="5"/>
  <c r="HF142" i="5"/>
  <c r="HG142" i="5"/>
  <c r="HH142" i="5"/>
  <c r="HI142" i="5"/>
  <c r="HJ142" i="5"/>
  <c r="HK142" i="5"/>
  <c r="HL142" i="5"/>
  <c r="HM142" i="5"/>
  <c r="HN142" i="5"/>
  <c r="HO142" i="5"/>
  <c r="HP142" i="5"/>
  <c r="HQ142" i="5"/>
  <c r="HR142" i="5"/>
  <c r="HS142" i="5"/>
  <c r="HT142" i="5"/>
  <c r="HU142" i="5"/>
  <c r="HV142" i="5"/>
  <c r="HW142" i="5"/>
  <c r="HX142" i="5"/>
  <c r="HY142" i="5"/>
  <c r="HZ142" i="5"/>
  <c r="IA142" i="5"/>
  <c r="IB142" i="5"/>
  <c r="IC142" i="5"/>
  <c r="ID142" i="5"/>
  <c r="IE142" i="5"/>
  <c r="IF142" i="5"/>
  <c r="IG142" i="5"/>
  <c r="IH142" i="5"/>
  <c r="II142" i="5"/>
  <c r="IJ142" i="5"/>
  <c r="IK142" i="5"/>
  <c r="IL142" i="5"/>
  <c r="IM142" i="5"/>
  <c r="IN142" i="5"/>
  <c r="IO142" i="5"/>
  <c r="IP142" i="5"/>
  <c r="IQ142" i="5"/>
  <c r="IR142" i="5"/>
  <c r="IS142" i="5"/>
  <c r="IT142" i="5"/>
  <c r="IU142" i="5"/>
  <c r="IV142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CM143" i="5"/>
  <c r="CN143" i="5"/>
  <c r="CO143" i="5"/>
  <c r="CP143" i="5"/>
  <c r="CQ143" i="5"/>
  <c r="CR143" i="5"/>
  <c r="CS143" i="5"/>
  <c r="CT143" i="5"/>
  <c r="CU143" i="5"/>
  <c r="CV143" i="5"/>
  <c r="CW143" i="5"/>
  <c r="CX143" i="5"/>
  <c r="CY143" i="5"/>
  <c r="CZ143" i="5"/>
  <c r="DA143" i="5"/>
  <c r="DB143" i="5"/>
  <c r="DC143" i="5"/>
  <c r="DD143" i="5"/>
  <c r="DE143" i="5"/>
  <c r="DF143" i="5"/>
  <c r="DG143" i="5"/>
  <c r="DH143" i="5"/>
  <c r="DI143" i="5"/>
  <c r="DJ143" i="5"/>
  <c r="DK143" i="5"/>
  <c r="DL143" i="5"/>
  <c r="DM143" i="5"/>
  <c r="DN143" i="5"/>
  <c r="DO143" i="5"/>
  <c r="DP143" i="5"/>
  <c r="DQ143" i="5"/>
  <c r="DR143" i="5"/>
  <c r="DS143" i="5"/>
  <c r="DT143" i="5"/>
  <c r="DU143" i="5"/>
  <c r="DV143" i="5"/>
  <c r="DW143" i="5"/>
  <c r="DX143" i="5"/>
  <c r="DY143" i="5"/>
  <c r="DZ143" i="5"/>
  <c r="EA143" i="5"/>
  <c r="EB143" i="5"/>
  <c r="EC143" i="5"/>
  <c r="ED143" i="5"/>
  <c r="EE143" i="5"/>
  <c r="EF143" i="5"/>
  <c r="EG143" i="5"/>
  <c r="EH143" i="5"/>
  <c r="EI143" i="5"/>
  <c r="EJ143" i="5"/>
  <c r="EK143" i="5"/>
  <c r="EL143" i="5"/>
  <c r="EM143" i="5"/>
  <c r="EN143" i="5"/>
  <c r="EO143" i="5"/>
  <c r="EP143" i="5"/>
  <c r="EQ143" i="5"/>
  <c r="ER143" i="5"/>
  <c r="ES143" i="5"/>
  <c r="ET143" i="5"/>
  <c r="EU143" i="5"/>
  <c r="EV143" i="5"/>
  <c r="EW143" i="5"/>
  <c r="EX143" i="5"/>
  <c r="EY143" i="5"/>
  <c r="EZ143" i="5"/>
  <c r="FA143" i="5"/>
  <c r="FB143" i="5"/>
  <c r="FC143" i="5"/>
  <c r="FD143" i="5"/>
  <c r="FE143" i="5"/>
  <c r="FF143" i="5"/>
  <c r="FG143" i="5"/>
  <c r="FH143" i="5"/>
  <c r="FI143" i="5"/>
  <c r="FJ143" i="5"/>
  <c r="FK143" i="5"/>
  <c r="FL143" i="5"/>
  <c r="FM143" i="5"/>
  <c r="FN143" i="5"/>
  <c r="FO143" i="5"/>
  <c r="FP143" i="5"/>
  <c r="FQ143" i="5"/>
  <c r="FR143" i="5"/>
  <c r="FS143" i="5"/>
  <c r="FT143" i="5"/>
  <c r="FU143" i="5"/>
  <c r="FV143" i="5"/>
  <c r="FW143" i="5"/>
  <c r="FX143" i="5"/>
  <c r="FY143" i="5"/>
  <c r="FZ143" i="5"/>
  <c r="GA143" i="5"/>
  <c r="GB143" i="5"/>
  <c r="GC143" i="5"/>
  <c r="GD143" i="5"/>
  <c r="GE143" i="5"/>
  <c r="GF143" i="5"/>
  <c r="GG143" i="5"/>
  <c r="GH143" i="5"/>
  <c r="GI143" i="5"/>
  <c r="GJ143" i="5"/>
  <c r="GK143" i="5"/>
  <c r="GL143" i="5"/>
  <c r="GM143" i="5"/>
  <c r="GN143" i="5"/>
  <c r="GO143" i="5"/>
  <c r="GP143" i="5"/>
  <c r="GQ143" i="5"/>
  <c r="GR143" i="5"/>
  <c r="GS143" i="5"/>
  <c r="GT143" i="5"/>
  <c r="GU143" i="5"/>
  <c r="GV143" i="5"/>
  <c r="GW143" i="5"/>
  <c r="GX143" i="5"/>
  <c r="GY143" i="5"/>
  <c r="GZ143" i="5"/>
  <c r="HA143" i="5"/>
  <c r="HB143" i="5"/>
  <c r="HC143" i="5"/>
  <c r="HD143" i="5"/>
  <c r="HE143" i="5"/>
  <c r="HF143" i="5"/>
  <c r="HG143" i="5"/>
  <c r="HH143" i="5"/>
  <c r="HI143" i="5"/>
  <c r="HJ143" i="5"/>
  <c r="HK143" i="5"/>
  <c r="HL143" i="5"/>
  <c r="HM143" i="5"/>
  <c r="HN143" i="5"/>
  <c r="HO143" i="5"/>
  <c r="HP143" i="5"/>
  <c r="HQ143" i="5"/>
  <c r="HR143" i="5"/>
  <c r="HS143" i="5"/>
  <c r="HT143" i="5"/>
  <c r="HU143" i="5"/>
  <c r="HV143" i="5"/>
  <c r="HW143" i="5"/>
  <c r="HX143" i="5"/>
  <c r="HY143" i="5"/>
  <c r="HZ143" i="5"/>
  <c r="IA143" i="5"/>
  <c r="IB143" i="5"/>
  <c r="IC143" i="5"/>
  <c r="ID143" i="5"/>
  <c r="IE143" i="5"/>
  <c r="IF143" i="5"/>
  <c r="IG143" i="5"/>
  <c r="IH143" i="5"/>
  <c r="II143" i="5"/>
  <c r="IJ143" i="5"/>
  <c r="IK143" i="5"/>
  <c r="IL143" i="5"/>
  <c r="IM143" i="5"/>
  <c r="IN143" i="5"/>
  <c r="IO143" i="5"/>
  <c r="IP143" i="5"/>
  <c r="IQ143" i="5"/>
  <c r="IR143" i="5"/>
  <c r="IS143" i="5"/>
  <c r="IT143" i="5"/>
  <c r="IU143" i="5"/>
  <c r="IV143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CM144" i="5"/>
  <c r="CN144" i="5"/>
  <c r="CO144" i="5"/>
  <c r="CP144" i="5"/>
  <c r="CQ144" i="5"/>
  <c r="CR144" i="5"/>
  <c r="CS144" i="5"/>
  <c r="CT144" i="5"/>
  <c r="CU144" i="5"/>
  <c r="CV144" i="5"/>
  <c r="CW144" i="5"/>
  <c r="CX144" i="5"/>
  <c r="CY144" i="5"/>
  <c r="CZ144" i="5"/>
  <c r="DA144" i="5"/>
  <c r="DB144" i="5"/>
  <c r="DC144" i="5"/>
  <c r="DD144" i="5"/>
  <c r="DE144" i="5"/>
  <c r="DF144" i="5"/>
  <c r="DG144" i="5"/>
  <c r="DH144" i="5"/>
  <c r="DI144" i="5"/>
  <c r="DJ144" i="5"/>
  <c r="DK144" i="5"/>
  <c r="DL144" i="5"/>
  <c r="DM144" i="5"/>
  <c r="DN144" i="5"/>
  <c r="DO144" i="5"/>
  <c r="DP144" i="5"/>
  <c r="DQ144" i="5"/>
  <c r="DR144" i="5"/>
  <c r="DS144" i="5"/>
  <c r="DT144" i="5"/>
  <c r="DU144" i="5"/>
  <c r="DV144" i="5"/>
  <c r="DW144" i="5"/>
  <c r="DX144" i="5"/>
  <c r="DY144" i="5"/>
  <c r="DZ144" i="5"/>
  <c r="EA144" i="5"/>
  <c r="EB144" i="5"/>
  <c r="EC144" i="5"/>
  <c r="ED144" i="5"/>
  <c r="EE144" i="5"/>
  <c r="EF144" i="5"/>
  <c r="EG144" i="5"/>
  <c r="EH144" i="5"/>
  <c r="EI144" i="5"/>
  <c r="EJ144" i="5"/>
  <c r="EK144" i="5"/>
  <c r="EL144" i="5"/>
  <c r="EM144" i="5"/>
  <c r="EN144" i="5"/>
  <c r="EO144" i="5"/>
  <c r="EP144" i="5"/>
  <c r="EQ144" i="5"/>
  <c r="ER144" i="5"/>
  <c r="ES144" i="5"/>
  <c r="ET144" i="5"/>
  <c r="EU144" i="5"/>
  <c r="EV144" i="5"/>
  <c r="EW144" i="5"/>
  <c r="EX144" i="5"/>
  <c r="EY144" i="5"/>
  <c r="EZ144" i="5"/>
  <c r="FA144" i="5"/>
  <c r="FB144" i="5"/>
  <c r="FC144" i="5"/>
  <c r="FD144" i="5"/>
  <c r="FE144" i="5"/>
  <c r="FF144" i="5"/>
  <c r="FG144" i="5"/>
  <c r="FH144" i="5"/>
  <c r="FI144" i="5"/>
  <c r="FJ144" i="5"/>
  <c r="FK144" i="5"/>
  <c r="FL144" i="5"/>
  <c r="FM144" i="5"/>
  <c r="FN144" i="5"/>
  <c r="FO144" i="5"/>
  <c r="FP144" i="5"/>
  <c r="FQ144" i="5"/>
  <c r="FR144" i="5"/>
  <c r="FS144" i="5"/>
  <c r="FT144" i="5"/>
  <c r="FU144" i="5"/>
  <c r="FV144" i="5"/>
  <c r="FW144" i="5"/>
  <c r="FX144" i="5"/>
  <c r="FY144" i="5"/>
  <c r="FZ144" i="5"/>
  <c r="GA144" i="5"/>
  <c r="GB144" i="5"/>
  <c r="GC144" i="5"/>
  <c r="GD144" i="5"/>
  <c r="GE144" i="5"/>
  <c r="GF144" i="5"/>
  <c r="GG144" i="5"/>
  <c r="GH144" i="5"/>
  <c r="GI144" i="5"/>
  <c r="GJ144" i="5"/>
  <c r="GK144" i="5"/>
  <c r="GL144" i="5"/>
  <c r="GM144" i="5"/>
  <c r="GN144" i="5"/>
  <c r="GO144" i="5"/>
  <c r="GP144" i="5"/>
  <c r="GQ144" i="5"/>
  <c r="GR144" i="5"/>
  <c r="GS144" i="5"/>
  <c r="GT144" i="5"/>
  <c r="GU144" i="5"/>
  <c r="GV144" i="5"/>
  <c r="GW144" i="5"/>
  <c r="GX144" i="5"/>
  <c r="GY144" i="5"/>
  <c r="GZ144" i="5"/>
  <c r="HA144" i="5"/>
  <c r="HB144" i="5"/>
  <c r="HC144" i="5"/>
  <c r="HD144" i="5"/>
  <c r="HE144" i="5"/>
  <c r="HF144" i="5"/>
  <c r="HG144" i="5"/>
  <c r="HH144" i="5"/>
  <c r="HI144" i="5"/>
  <c r="HJ144" i="5"/>
  <c r="HK144" i="5"/>
  <c r="HL144" i="5"/>
  <c r="HM144" i="5"/>
  <c r="HN144" i="5"/>
  <c r="HO144" i="5"/>
  <c r="HP144" i="5"/>
  <c r="HQ144" i="5"/>
  <c r="HR144" i="5"/>
  <c r="HS144" i="5"/>
  <c r="HT144" i="5"/>
  <c r="HU144" i="5"/>
  <c r="HV144" i="5"/>
  <c r="HW144" i="5"/>
  <c r="HX144" i="5"/>
  <c r="HY144" i="5"/>
  <c r="HZ144" i="5"/>
  <c r="IA144" i="5"/>
  <c r="IB144" i="5"/>
  <c r="IC144" i="5"/>
  <c r="ID144" i="5"/>
  <c r="IE144" i="5"/>
  <c r="IF144" i="5"/>
  <c r="IG144" i="5"/>
  <c r="IH144" i="5"/>
  <c r="II144" i="5"/>
  <c r="IJ144" i="5"/>
  <c r="IK144" i="5"/>
  <c r="IL144" i="5"/>
  <c r="IM144" i="5"/>
  <c r="IN144" i="5"/>
  <c r="IO144" i="5"/>
  <c r="IP144" i="5"/>
  <c r="IQ144" i="5"/>
  <c r="IR144" i="5"/>
  <c r="IS144" i="5"/>
  <c r="IT144" i="5"/>
  <c r="IU144" i="5"/>
  <c r="IV144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CM145" i="5"/>
  <c r="CN145" i="5"/>
  <c r="CO145" i="5"/>
  <c r="CP145" i="5"/>
  <c r="CQ145" i="5"/>
  <c r="CR145" i="5"/>
  <c r="CS145" i="5"/>
  <c r="CT145" i="5"/>
  <c r="CU145" i="5"/>
  <c r="CV145" i="5"/>
  <c r="CW145" i="5"/>
  <c r="CX145" i="5"/>
  <c r="CY145" i="5"/>
  <c r="CZ145" i="5"/>
  <c r="DA145" i="5"/>
  <c r="DB145" i="5"/>
  <c r="DC145" i="5"/>
  <c r="DD145" i="5"/>
  <c r="DE145" i="5"/>
  <c r="DF145" i="5"/>
  <c r="DG145" i="5"/>
  <c r="DH145" i="5"/>
  <c r="DI145" i="5"/>
  <c r="DJ145" i="5"/>
  <c r="DK145" i="5"/>
  <c r="DL145" i="5"/>
  <c r="DM145" i="5"/>
  <c r="DN145" i="5"/>
  <c r="DO145" i="5"/>
  <c r="DP145" i="5"/>
  <c r="DQ145" i="5"/>
  <c r="DR145" i="5"/>
  <c r="DS145" i="5"/>
  <c r="DT145" i="5"/>
  <c r="DU145" i="5"/>
  <c r="DV145" i="5"/>
  <c r="DW145" i="5"/>
  <c r="DX145" i="5"/>
  <c r="DY145" i="5"/>
  <c r="DZ145" i="5"/>
  <c r="EA145" i="5"/>
  <c r="EB145" i="5"/>
  <c r="EC145" i="5"/>
  <c r="ED145" i="5"/>
  <c r="EE145" i="5"/>
  <c r="EF145" i="5"/>
  <c r="EG145" i="5"/>
  <c r="EH145" i="5"/>
  <c r="EI145" i="5"/>
  <c r="EJ145" i="5"/>
  <c r="EK145" i="5"/>
  <c r="EL145" i="5"/>
  <c r="EM145" i="5"/>
  <c r="EN145" i="5"/>
  <c r="EO145" i="5"/>
  <c r="EP145" i="5"/>
  <c r="EQ145" i="5"/>
  <c r="ER145" i="5"/>
  <c r="ES145" i="5"/>
  <c r="ET145" i="5"/>
  <c r="EU145" i="5"/>
  <c r="EV145" i="5"/>
  <c r="EW145" i="5"/>
  <c r="EX145" i="5"/>
  <c r="EY145" i="5"/>
  <c r="EZ145" i="5"/>
  <c r="FA145" i="5"/>
  <c r="FB145" i="5"/>
  <c r="FC145" i="5"/>
  <c r="FD145" i="5"/>
  <c r="FE145" i="5"/>
  <c r="FF145" i="5"/>
  <c r="FG145" i="5"/>
  <c r="FH145" i="5"/>
  <c r="FI145" i="5"/>
  <c r="FJ145" i="5"/>
  <c r="FK145" i="5"/>
  <c r="FL145" i="5"/>
  <c r="FM145" i="5"/>
  <c r="FN145" i="5"/>
  <c r="FO145" i="5"/>
  <c r="FP145" i="5"/>
  <c r="FQ145" i="5"/>
  <c r="FR145" i="5"/>
  <c r="FS145" i="5"/>
  <c r="FT145" i="5"/>
  <c r="FU145" i="5"/>
  <c r="FV145" i="5"/>
  <c r="FW145" i="5"/>
  <c r="FX145" i="5"/>
  <c r="FY145" i="5"/>
  <c r="FZ145" i="5"/>
  <c r="GA145" i="5"/>
  <c r="GB145" i="5"/>
  <c r="GC145" i="5"/>
  <c r="GD145" i="5"/>
  <c r="GE145" i="5"/>
  <c r="GF145" i="5"/>
  <c r="GG145" i="5"/>
  <c r="GH145" i="5"/>
  <c r="GI145" i="5"/>
  <c r="GJ145" i="5"/>
  <c r="GK145" i="5"/>
  <c r="GL145" i="5"/>
  <c r="GM145" i="5"/>
  <c r="GN145" i="5"/>
  <c r="GO145" i="5"/>
  <c r="GP145" i="5"/>
  <c r="GQ145" i="5"/>
  <c r="GR145" i="5"/>
  <c r="GS145" i="5"/>
  <c r="GT145" i="5"/>
  <c r="GU145" i="5"/>
  <c r="GV145" i="5"/>
  <c r="GW145" i="5"/>
  <c r="GX145" i="5"/>
  <c r="GY145" i="5"/>
  <c r="GZ145" i="5"/>
  <c r="HA145" i="5"/>
  <c r="HB145" i="5"/>
  <c r="HC145" i="5"/>
  <c r="HD145" i="5"/>
  <c r="HE145" i="5"/>
  <c r="HF145" i="5"/>
  <c r="HG145" i="5"/>
  <c r="HH145" i="5"/>
  <c r="HI145" i="5"/>
  <c r="HJ145" i="5"/>
  <c r="HK145" i="5"/>
  <c r="HL145" i="5"/>
  <c r="HM145" i="5"/>
  <c r="HN145" i="5"/>
  <c r="HO145" i="5"/>
  <c r="HP145" i="5"/>
  <c r="HQ145" i="5"/>
  <c r="HR145" i="5"/>
  <c r="HS145" i="5"/>
  <c r="HT145" i="5"/>
  <c r="HU145" i="5"/>
  <c r="HV145" i="5"/>
  <c r="HW145" i="5"/>
  <c r="HX145" i="5"/>
  <c r="HY145" i="5"/>
  <c r="HZ145" i="5"/>
  <c r="IA145" i="5"/>
  <c r="IB145" i="5"/>
  <c r="IC145" i="5"/>
  <c r="ID145" i="5"/>
  <c r="IE145" i="5"/>
  <c r="IF145" i="5"/>
  <c r="IG145" i="5"/>
  <c r="IH145" i="5"/>
  <c r="II145" i="5"/>
  <c r="IJ145" i="5"/>
  <c r="IK145" i="5"/>
  <c r="IL145" i="5"/>
  <c r="IM145" i="5"/>
  <c r="IN145" i="5"/>
  <c r="IO145" i="5"/>
  <c r="IP145" i="5"/>
  <c r="IQ145" i="5"/>
  <c r="IR145" i="5"/>
  <c r="IS145" i="5"/>
  <c r="IT145" i="5"/>
  <c r="IU145" i="5"/>
  <c r="IV145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CM146" i="5"/>
  <c r="CN146" i="5"/>
  <c r="CO146" i="5"/>
  <c r="CP146" i="5"/>
  <c r="CQ146" i="5"/>
  <c r="CR146" i="5"/>
  <c r="CS146" i="5"/>
  <c r="CT146" i="5"/>
  <c r="CU146" i="5"/>
  <c r="CV146" i="5"/>
  <c r="CW146" i="5"/>
  <c r="CX146" i="5"/>
  <c r="CY146" i="5"/>
  <c r="CZ146" i="5"/>
  <c r="DA146" i="5"/>
  <c r="DB146" i="5"/>
  <c r="DC146" i="5"/>
  <c r="DD146" i="5"/>
  <c r="DE146" i="5"/>
  <c r="DF146" i="5"/>
  <c r="DG146" i="5"/>
  <c r="DH146" i="5"/>
  <c r="DI146" i="5"/>
  <c r="DJ146" i="5"/>
  <c r="DK146" i="5"/>
  <c r="DL146" i="5"/>
  <c r="DM146" i="5"/>
  <c r="DN146" i="5"/>
  <c r="DO146" i="5"/>
  <c r="DP146" i="5"/>
  <c r="DQ146" i="5"/>
  <c r="DR146" i="5"/>
  <c r="DS146" i="5"/>
  <c r="DT146" i="5"/>
  <c r="DU146" i="5"/>
  <c r="DV146" i="5"/>
  <c r="DW146" i="5"/>
  <c r="DX146" i="5"/>
  <c r="DY146" i="5"/>
  <c r="DZ146" i="5"/>
  <c r="EA146" i="5"/>
  <c r="EB146" i="5"/>
  <c r="EC146" i="5"/>
  <c r="ED146" i="5"/>
  <c r="EE146" i="5"/>
  <c r="EF146" i="5"/>
  <c r="EG146" i="5"/>
  <c r="EH146" i="5"/>
  <c r="EI146" i="5"/>
  <c r="EJ146" i="5"/>
  <c r="EK146" i="5"/>
  <c r="EL146" i="5"/>
  <c r="EM146" i="5"/>
  <c r="EN146" i="5"/>
  <c r="EO146" i="5"/>
  <c r="EP146" i="5"/>
  <c r="EQ146" i="5"/>
  <c r="ER146" i="5"/>
  <c r="ES146" i="5"/>
  <c r="ET146" i="5"/>
  <c r="EU146" i="5"/>
  <c r="EV146" i="5"/>
  <c r="EW146" i="5"/>
  <c r="EX146" i="5"/>
  <c r="EY146" i="5"/>
  <c r="EZ146" i="5"/>
  <c r="FA146" i="5"/>
  <c r="FB146" i="5"/>
  <c r="FC146" i="5"/>
  <c r="FD146" i="5"/>
  <c r="FE146" i="5"/>
  <c r="FF146" i="5"/>
  <c r="FG146" i="5"/>
  <c r="FH146" i="5"/>
  <c r="FI146" i="5"/>
  <c r="FJ146" i="5"/>
  <c r="FK146" i="5"/>
  <c r="FL146" i="5"/>
  <c r="FM146" i="5"/>
  <c r="FN146" i="5"/>
  <c r="FO146" i="5"/>
  <c r="FP146" i="5"/>
  <c r="FQ146" i="5"/>
  <c r="FR146" i="5"/>
  <c r="FS146" i="5"/>
  <c r="FT146" i="5"/>
  <c r="FU146" i="5"/>
  <c r="FV146" i="5"/>
  <c r="FW146" i="5"/>
  <c r="FX146" i="5"/>
  <c r="FY146" i="5"/>
  <c r="FZ146" i="5"/>
  <c r="GA146" i="5"/>
  <c r="GB146" i="5"/>
  <c r="GC146" i="5"/>
  <c r="GD146" i="5"/>
  <c r="GE146" i="5"/>
  <c r="GF146" i="5"/>
  <c r="GG146" i="5"/>
  <c r="GH146" i="5"/>
  <c r="GI146" i="5"/>
  <c r="GJ146" i="5"/>
  <c r="GK146" i="5"/>
  <c r="GL146" i="5"/>
  <c r="GM146" i="5"/>
  <c r="GN146" i="5"/>
  <c r="GO146" i="5"/>
  <c r="GP146" i="5"/>
  <c r="GQ146" i="5"/>
  <c r="GR146" i="5"/>
  <c r="GS146" i="5"/>
  <c r="GT146" i="5"/>
  <c r="GU146" i="5"/>
  <c r="GV146" i="5"/>
  <c r="GW146" i="5"/>
  <c r="GX146" i="5"/>
  <c r="GY146" i="5"/>
  <c r="GZ146" i="5"/>
  <c r="HA146" i="5"/>
  <c r="HB146" i="5"/>
  <c r="HC146" i="5"/>
  <c r="HD146" i="5"/>
  <c r="HE146" i="5"/>
  <c r="HF146" i="5"/>
  <c r="HG146" i="5"/>
  <c r="HH146" i="5"/>
  <c r="HI146" i="5"/>
  <c r="HJ146" i="5"/>
  <c r="HK146" i="5"/>
  <c r="HL146" i="5"/>
  <c r="HM146" i="5"/>
  <c r="HN146" i="5"/>
  <c r="HO146" i="5"/>
  <c r="HP146" i="5"/>
  <c r="HQ146" i="5"/>
  <c r="HR146" i="5"/>
  <c r="HS146" i="5"/>
  <c r="HT146" i="5"/>
  <c r="HU146" i="5"/>
  <c r="HV146" i="5"/>
  <c r="HW146" i="5"/>
  <c r="HX146" i="5"/>
  <c r="HY146" i="5"/>
  <c r="HZ146" i="5"/>
  <c r="IA146" i="5"/>
  <c r="IB146" i="5"/>
  <c r="IC146" i="5"/>
  <c r="ID146" i="5"/>
  <c r="IE146" i="5"/>
  <c r="IF146" i="5"/>
  <c r="IG146" i="5"/>
  <c r="IH146" i="5"/>
  <c r="II146" i="5"/>
  <c r="IJ146" i="5"/>
  <c r="IK146" i="5"/>
  <c r="IL146" i="5"/>
  <c r="IM146" i="5"/>
  <c r="IN146" i="5"/>
  <c r="IO146" i="5"/>
  <c r="IP146" i="5"/>
  <c r="IQ146" i="5"/>
  <c r="IR146" i="5"/>
  <c r="IS146" i="5"/>
  <c r="IT146" i="5"/>
  <c r="IU146" i="5"/>
  <c r="IV146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CM147" i="5"/>
  <c r="CN147" i="5"/>
  <c r="CO147" i="5"/>
  <c r="CP147" i="5"/>
  <c r="CQ147" i="5"/>
  <c r="CR147" i="5"/>
  <c r="CS147" i="5"/>
  <c r="CT147" i="5"/>
  <c r="CU147" i="5"/>
  <c r="CV147" i="5"/>
  <c r="CW147" i="5"/>
  <c r="CX147" i="5"/>
  <c r="CY147" i="5"/>
  <c r="CZ147" i="5"/>
  <c r="DA147" i="5"/>
  <c r="DB147" i="5"/>
  <c r="DC147" i="5"/>
  <c r="DD147" i="5"/>
  <c r="DE147" i="5"/>
  <c r="DF147" i="5"/>
  <c r="DG147" i="5"/>
  <c r="DH147" i="5"/>
  <c r="DI147" i="5"/>
  <c r="DJ147" i="5"/>
  <c r="DK147" i="5"/>
  <c r="DL147" i="5"/>
  <c r="DM147" i="5"/>
  <c r="DN147" i="5"/>
  <c r="DO147" i="5"/>
  <c r="DP147" i="5"/>
  <c r="DQ147" i="5"/>
  <c r="DR147" i="5"/>
  <c r="DS147" i="5"/>
  <c r="DT147" i="5"/>
  <c r="DU147" i="5"/>
  <c r="DV147" i="5"/>
  <c r="DW147" i="5"/>
  <c r="DX147" i="5"/>
  <c r="DY147" i="5"/>
  <c r="DZ147" i="5"/>
  <c r="EA147" i="5"/>
  <c r="EB147" i="5"/>
  <c r="EC147" i="5"/>
  <c r="ED147" i="5"/>
  <c r="EE147" i="5"/>
  <c r="EF147" i="5"/>
  <c r="EG147" i="5"/>
  <c r="EH147" i="5"/>
  <c r="EI147" i="5"/>
  <c r="EJ147" i="5"/>
  <c r="EK147" i="5"/>
  <c r="EL147" i="5"/>
  <c r="EM147" i="5"/>
  <c r="EN147" i="5"/>
  <c r="EO147" i="5"/>
  <c r="EP147" i="5"/>
  <c r="EQ147" i="5"/>
  <c r="ER147" i="5"/>
  <c r="ES147" i="5"/>
  <c r="ET147" i="5"/>
  <c r="EU147" i="5"/>
  <c r="EV147" i="5"/>
  <c r="EW147" i="5"/>
  <c r="EX147" i="5"/>
  <c r="EY147" i="5"/>
  <c r="EZ147" i="5"/>
  <c r="FA147" i="5"/>
  <c r="FB147" i="5"/>
  <c r="FC147" i="5"/>
  <c r="FD147" i="5"/>
  <c r="FE147" i="5"/>
  <c r="FF147" i="5"/>
  <c r="FG147" i="5"/>
  <c r="FH147" i="5"/>
  <c r="FI147" i="5"/>
  <c r="FJ147" i="5"/>
  <c r="FK147" i="5"/>
  <c r="FL147" i="5"/>
  <c r="FM147" i="5"/>
  <c r="FN147" i="5"/>
  <c r="FO147" i="5"/>
  <c r="FP147" i="5"/>
  <c r="FQ147" i="5"/>
  <c r="FR147" i="5"/>
  <c r="FS147" i="5"/>
  <c r="FT147" i="5"/>
  <c r="FU147" i="5"/>
  <c r="FV147" i="5"/>
  <c r="FW147" i="5"/>
  <c r="FX147" i="5"/>
  <c r="FY147" i="5"/>
  <c r="FZ147" i="5"/>
  <c r="GA147" i="5"/>
  <c r="GB147" i="5"/>
  <c r="GC147" i="5"/>
  <c r="GD147" i="5"/>
  <c r="GE147" i="5"/>
  <c r="GF147" i="5"/>
  <c r="GG147" i="5"/>
  <c r="GH147" i="5"/>
  <c r="GI147" i="5"/>
  <c r="GJ147" i="5"/>
  <c r="GK147" i="5"/>
  <c r="GL147" i="5"/>
  <c r="GM147" i="5"/>
  <c r="GN147" i="5"/>
  <c r="GO147" i="5"/>
  <c r="GP147" i="5"/>
  <c r="GQ147" i="5"/>
  <c r="GR147" i="5"/>
  <c r="GS147" i="5"/>
  <c r="GT147" i="5"/>
  <c r="GU147" i="5"/>
  <c r="GV147" i="5"/>
  <c r="GW147" i="5"/>
  <c r="GX147" i="5"/>
  <c r="GY147" i="5"/>
  <c r="GZ147" i="5"/>
  <c r="HA147" i="5"/>
  <c r="HB147" i="5"/>
  <c r="HC147" i="5"/>
  <c r="HD147" i="5"/>
  <c r="HE147" i="5"/>
  <c r="HF147" i="5"/>
  <c r="HG147" i="5"/>
  <c r="HH147" i="5"/>
  <c r="HI147" i="5"/>
  <c r="HJ147" i="5"/>
  <c r="HK147" i="5"/>
  <c r="HL147" i="5"/>
  <c r="HM147" i="5"/>
  <c r="HN147" i="5"/>
  <c r="HO147" i="5"/>
  <c r="HP147" i="5"/>
  <c r="HQ147" i="5"/>
  <c r="HR147" i="5"/>
  <c r="HS147" i="5"/>
  <c r="HT147" i="5"/>
  <c r="HU147" i="5"/>
  <c r="HV147" i="5"/>
  <c r="HW147" i="5"/>
  <c r="HX147" i="5"/>
  <c r="HY147" i="5"/>
  <c r="HZ147" i="5"/>
  <c r="IA147" i="5"/>
  <c r="IB147" i="5"/>
  <c r="IC147" i="5"/>
  <c r="ID147" i="5"/>
  <c r="IE147" i="5"/>
  <c r="IF147" i="5"/>
  <c r="IG147" i="5"/>
  <c r="IH147" i="5"/>
  <c r="II147" i="5"/>
  <c r="IJ147" i="5"/>
  <c r="IK147" i="5"/>
  <c r="IL147" i="5"/>
  <c r="IM147" i="5"/>
  <c r="IN147" i="5"/>
  <c r="IO147" i="5"/>
  <c r="IP147" i="5"/>
  <c r="IQ147" i="5"/>
  <c r="IR147" i="5"/>
  <c r="IS147" i="5"/>
  <c r="IT147" i="5"/>
  <c r="IU147" i="5"/>
  <c r="IV147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CM148" i="5"/>
  <c r="CN148" i="5"/>
  <c r="CO148" i="5"/>
  <c r="CP148" i="5"/>
  <c r="CQ148" i="5"/>
  <c r="CR148" i="5"/>
  <c r="CS148" i="5"/>
  <c r="CT148" i="5"/>
  <c r="CU148" i="5"/>
  <c r="CV148" i="5"/>
  <c r="CW148" i="5"/>
  <c r="CX148" i="5"/>
  <c r="CY148" i="5"/>
  <c r="CZ148" i="5"/>
  <c r="DA148" i="5"/>
  <c r="DB148" i="5"/>
  <c r="DC148" i="5"/>
  <c r="DD148" i="5"/>
  <c r="DE148" i="5"/>
  <c r="DF148" i="5"/>
  <c r="DG148" i="5"/>
  <c r="DH148" i="5"/>
  <c r="DI148" i="5"/>
  <c r="DJ148" i="5"/>
  <c r="DK148" i="5"/>
  <c r="DL148" i="5"/>
  <c r="DM148" i="5"/>
  <c r="DN148" i="5"/>
  <c r="DO148" i="5"/>
  <c r="DP148" i="5"/>
  <c r="DQ148" i="5"/>
  <c r="DR148" i="5"/>
  <c r="DS148" i="5"/>
  <c r="DT148" i="5"/>
  <c r="DU148" i="5"/>
  <c r="DV148" i="5"/>
  <c r="DW148" i="5"/>
  <c r="DX148" i="5"/>
  <c r="DY148" i="5"/>
  <c r="DZ148" i="5"/>
  <c r="EA148" i="5"/>
  <c r="EB148" i="5"/>
  <c r="EC148" i="5"/>
  <c r="ED148" i="5"/>
  <c r="EE148" i="5"/>
  <c r="EF148" i="5"/>
  <c r="EG148" i="5"/>
  <c r="EH148" i="5"/>
  <c r="EI148" i="5"/>
  <c r="EJ148" i="5"/>
  <c r="EK148" i="5"/>
  <c r="EL148" i="5"/>
  <c r="EM148" i="5"/>
  <c r="EN148" i="5"/>
  <c r="EO148" i="5"/>
  <c r="EP148" i="5"/>
  <c r="EQ148" i="5"/>
  <c r="ER148" i="5"/>
  <c r="ES148" i="5"/>
  <c r="ET148" i="5"/>
  <c r="EU148" i="5"/>
  <c r="EV148" i="5"/>
  <c r="EW148" i="5"/>
  <c r="EX148" i="5"/>
  <c r="EY148" i="5"/>
  <c r="EZ148" i="5"/>
  <c r="FA148" i="5"/>
  <c r="FB148" i="5"/>
  <c r="FC148" i="5"/>
  <c r="FD148" i="5"/>
  <c r="FE148" i="5"/>
  <c r="FF148" i="5"/>
  <c r="FG148" i="5"/>
  <c r="FH148" i="5"/>
  <c r="FI148" i="5"/>
  <c r="FJ148" i="5"/>
  <c r="FK148" i="5"/>
  <c r="FL148" i="5"/>
  <c r="FM148" i="5"/>
  <c r="FN148" i="5"/>
  <c r="FO148" i="5"/>
  <c r="FP148" i="5"/>
  <c r="FQ148" i="5"/>
  <c r="FR148" i="5"/>
  <c r="FS148" i="5"/>
  <c r="FT148" i="5"/>
  <c r="FU148" i="5"/>
  <c r="FV148" i="5"/>
  <c r="FW148" i="5"/>
  <c r="FX148" i="5"/>
  <c r="FY148" i="5"/>
  <c r="FZ148" i="5"/>
  <c r="GA148" i="5"/>
  <c r="GB148" i="5"/>
  <c r="GC148" i="5"/>
  <c r="GD148" i="5"/>
  <c r="GE148" i="5"/>
  <c r="GF148" i="5"/>
  <c r="GG148" i="5"/>
  <c r="GH148" i="5"/>
  <c r="GI148" i="5"/>
  <c r="GJ148" i="5"/>
  <c r="GK148" i="5"/>
  <c r="GL148" i="5"/>
  <c r="GM148" i="5"/>
  <c r="GN148" i="5"/>
  <c r="GO148" i="5"/>
  <c r="GP148" i="5"/>
  <c r="GQ148" i="5"/>
  <c r="GR148" i="5"/>
  <c r="GS148" i="5"/>
  <c r="GT148" i="5"/>
  <c r="GU148" i="5"/>
  <c r="GV148" i="5"/>
  <c r="GW148" i="5"/>
  <c r="GX148" i="5"/>
  <c r="GY148" i="5"/>
  <c r="GZ148" i="5"/>
  <c r="HA148" i="5"/>
  <c r="HB148" i="5"/>
  <c r="HC148" i="5"/>
  <c r="HD148" i="5"/>
  <c r="HE148" i="5"/>
  <c r="HF148" i="5"/>
  <c r="HG148" i="5"/>
  <c r="HH148" i="5"/>
  <c r="HI148" i="5"/>
  <c r="HJ148" i="5"/>
  <c r="HK148" i="5"/>
  <c r="HL148" i="5"/>
  <c r="HM148" i="5"/>
  <c r="HN148" i="5"/>
  <c r="HO148" i="5"/>
  <c r="HP148" i="5"/>
  <c r="HQ148" i="5"/>
  <c r="HR148" i="5"/>
  <c r="HS148" i="5"/>
  <c r="HT148" i="5"/>
  <c r="HU148" i="5"/>
  <c r="HV148" i="5"/>
  <c r="HW148" i="5"/>
  <c r="HX148" i="5"/>
  <c r="HY148" i="5"/>
  <c r="HZ148" i="5"/>
  <c r="IA148" i="5"/>
  <c r="IB148" i="5"/>
  <c r="IC148" i="5"/>
  <c r="ID148" i="5"/>
  <c r="IE148" i="5"/>
  <c r="IF148" i="5"/>
  <c r="IG148" i="5"/>
  <c r="IH148" i="5"/>
  <c r="II148" i="5"/>
  <c r="IJ148" i="5"/>
  <c r="IK148" i="5"/>
  <c r="IL148" i="5"/>
  <c r="IM148" i="5"/>
  <c r="IN148" i="5"/>
  <c r="IO148" i="5"/>
  <c r="IP148" i="5"/>
  <c r="IQ148" i="5"/>
  <c r="IR148" i="5"/>
  <c r="IS148" i="5"/>
  <c r="IT148" i="5"/>
  <c r="IU148" i="5"/>
  <c r="IV148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CM149" i="5"/>
  <c r="CN149" i="5"/>
  <c r="CO149" i="5"/>
  <c r="CP149" i="5"/>
  <c r="CQ149" i="5"/>
  <c r="CR149" i="5"/>
  <c r="CS149" i="5"/>
  <c r="CT149" i="5"/>
  <c r="CU149" i="5"/>
  <c r="CV149" i="5"/>
  <c r="CW149" i="5"/>
  <c r="CX149" i="5"/>
  <c r="CY149" i="5"/>
  <c r="CZ149" i="5"/>
  <c r="DA149" i="5"/>
  <c r="DB149" i="5"/>
  <c r="DC149" i="5"/>
  <c r="DD149" i="5"/>
  <c r="DE149" i="5"/>
  <c r="DF149" i="5"/>
  <c r="DG149" i="5"/>
  <c r="DH149" i="5"/>
  <c r="DI149" i="5"/>
  <c r="DJ149" i="5"/>
  <c r="DK149" i="5"/>
  <c r="DL149" i="5"/>
  <c r="DM149" i="5"/>
  <c r="DN149" i="5"/>
  <c r="DO149" i="5"/>
  <c r="DP149" i="5"/>
  <c r="DQ149" i="5"/>
  <c r="DR149" i="5"/>
  <c r="DS149" i="5"/>
  <c r="DT149" i="5"/>
  <c r="DU149" i="5"/>
  <c r="DV149" i="5"/>
  <c r="DW149" i="5"/>
  <c r="DX149" i="5"/>
  <c r="DY149" i="5"/>
  <c r="DZ149" i="5"/>
  <c r="EA149" i="5"/>
  <c r="EB149" i="5"/>
  <c r="EC149" i="5"/>
  <c r="ED149" i="5"/>
  <c r="EE149" i="5"/>
  <c r="EF149" i="5"/>
  <c r="EG149" i="5"/>
  <c r="EH149" i="5"/>
  <c r="EI149" i="5"/>
  <c r="EJ149" i="5"/>
  <c r="EK149" i="5"/>
  <c r="EL149" i="5"/>
  <c r="EM149" i="5"/>
  <c r="EN149" i="5"/>
  <c r="EO149" i="5"/>
  <c r="EP149" i="5"/>
  <c r="EQ149" i="5"/>
  <c r="ER149" i="5"/>
  <c r="ES149" i="5"/>
  <c r="ET149" i="5"/>
  <c r="EU149" i="5"/>
  <c r="EV149" i="5"/>
  <c r="EW149" i="5"/>
  <c r="EX149" i="5"/>
  <c r="EY149" i="5"/>
  <c r="EZ149" i="5"/>
  <c r="FA149" i="5"/>
  <c r="FB149" i="5"/>
  <c r="FC149" i="5"/>
  <c r="FD149" i="5"/>
  <c r="FE149" i="5"/>
  <c r="FF149" i="5"/>
  <c r="FG149" i="5"/>
  <c r="FH149" i="5"/>
  <c r="FI149" i="5"/>
  <c r="FJ149" i="5"/>
  <c r="FK149" i="5"/>
  <c r="FL149" i="5"/>
  <c r="FM149" i="5"/>
  <c r="FN149" i="5"/>
  <c r="FO149" i="5"/>
  <c r="FP149" i="5"/>
  <c r="FQ149" i="5"/>
  <c r="FR149" i="5"/>
  <c r="FS149" i="5"/>
  <c r="FT149" i="5"/>
  <c r="FU149" i="5"/>
  <c r="FV149" i="5"/>
  <c r="FW149" i="5"/>
  <c r="FX149" i="5"/>
  <c r="FY149" i="5"/>
  <c r="FZ149" i="5"/>
  <c r="GA149" i="5"/>
  <c r="GB149" i="5"/>
  <c r="GC149" i="5"/>
  <c r="GD149" i="5"/>
  <c r="GE149" i="5"/>
  <c r="GF149" i="5"/>
  <c r="GG149" i="5"/>
  <c r="GH149" i="5"/>
  <c r="GI149" i="5"/>
  <c r="GJ149" i="5"/>
  <c r="GK149" i="5"/>
  <c r="GL149" i="5"/>
  <c r="GM149" i="5"/>
  <c r="GN149" i="5"/>
  <c r="GO149" i="5"/>
  <c r="GP149" i="5"/>
  <c r="GQ149" i="5"/>
  <c r="GR149" i="5"/>
  <c r="GS149" i="5"/>
  <c r="GT149" i="5"/>
  <c r="GU149" i="5"/>
  <c r="GV149" i="5"/>
  <c r="GW149" i="5"/>
  <c r="GX149" i="5"/>
  <c r="GY149" i="5"/>
  <c r="GZ149" i="5"/>
  <c r="HA149" i="5"/>
  <c r="HB149" i="5"/>
  <c r="HC149" i="5"/>
  <c r="HD149" i="5"/>
  <c r="HE149" i="5"/>
  <c r="HF149" i="5"/>
  <c r="HG149" i="5"/>
  <c r="HH149" i="5"/>
  <c r="HI149" i="5"/>
  <c r="HJ149" i="5"/>
  <c r="HK149" i="5"/>
  <c r="HL149" i="5"/>
  <c r="HM149" i="5"/>
  <c r="HN149" i="5"/>
  <c r="HO149" i="5"/>
  <c r="HP149" i="5"/>
  <c r="HQ149" i="5"/>
  <c r="HR149" i="5"/>
  <c r="HS149" i="5"/>
  <c r="HT149" i="5"/>
  <c r="HU149" i="5"/>
  <c r="HV149" i="5"/>
  <c r="HW149" i="5"/>
  <c r="HX149" i="5"/>
  <c r="HY149" i="5"/>
  <c r="HZ149" i="5"/>
  <c r="IA149" i="5"/>
  <c r="IB149" i="5"/>
  <c r="IC149" i="5"/>
  <c r="ID149" i="5"/>
  <c r="IE149" i="5"/>
  <c r="IF149" i="5"/>
  <c r="IG149" i="5"/>
  <c r="IH149" i="5"/>
  <c r="II149" i="5"/>
  <c r="IJ149" i="5"/>
  <c r="IK149" i="5"/>
  <c r="IL149" i="5"/>
  <c r="IM149" i="5"/>
  <c r="IN149" i="5"/>
  <c r="IO149" i="5"/>
  <c r="IP149" i="5"/>
  <c r="IQ149" i="5"/>
  <c r="IR149" i="5"/>
  <c r="IS149" i="5"/>
  <c r="IT149" i="5"/>
  <c r="IU149" i="5"/>
  <c r="IV149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CM150" i="5"/>
  <c r="CN150" i="5"/>
  <c r="CO150" i="5"/>
  <c r="CP150" i="5"/>
  <c r="CQ150" i="5"/>
  <c r="CR150" i="5"/>
  <c r="CS150" i="5"/>
  <c r="CT150" i="5"/>
  <c r="CU150" i="5"/>
  <c r="CV150" i="5"/>
  <c r="CW150" i="5"/>
  <c r="CX150" i="5"/>
  <c r="CY150" i="5"/>
  <c r="CZ150" i="5"/>
  <c r="DA150" i="5"/>
  <c r="DB150" i="5"/>
  <c r="DC150" i="5"/>
  <c r="DD150" i="5"/>
  <c r="DE150" i="5"/>
  <c r="DF150" i="5"/>
  <c r="DG150" i="5"/>
  <c r="DH150" i="5"/>
  <c r="DI150" i="5"/>
  <c r="DJ150" i="5"/>
  <c r="DK150" i="5"/>
  <c r="DL150" i="5"/>
  <c r="DM150" i="5"/>
  <c r="DN150" i="5"/>
  <c r="DO150" i="5"/>
  <c r="DP150" i="5"/>
  <c r="DQ150" i="5"/>
  <c r="DR150" i="5"/>
  <c r="DS150" i="5"/>
  <c r="DT150" i="5"/>
  <c r="DU150" i="5"/>
  <c r="DV150" i="5"/>
  <c r="DW150" i="5"/>
  <c r="DX150" i="5"/>
  <c r="DY150" i="5"/>
  <c r="DZ150" i="5"/>
  <c r="EA150" i="5"/>
  <c r="EB150" i="5"/>
  <c r="EC150" i="5"/>
  <c r="ED150" i="5"/>
  <c r="EE150" i="5"/>
  <c r="EF150" i="5"/>
  <c r="EG150" i="5"/>
  <c r="EH150" i="5"/>
  <c r="EI150" i="5"/>
  <c r="EJ150" i="5"/>
  <c r="EK150" i="5"/>
  <c r="EL150" i="5"/>
  <c r="EM150" i="5"/>
  <c r="EN150" i="5"/>
  <c r="EO150" i="5"/>
  <c r="EP150" i="5"/>
  <c r="EQ150" i="5"/>
  <c r="ER150" i="5"/>
  <c r="ES150" i="5"/>
  <c r="ET150" i="5"/>
  <c r="EU150" i="5"/>
  <c r="EV150" i="5"/>
  <c r="EW150" i="5"/>
  <c r="EX150" i="5"/>
  <c r="EY150" i="5"/>
  <c r="EZ150" i="5"/>
  <c r="FA150" i="5"/>
  <c r="FB150" i="5"/>
  <c r="FC150" i="5"/>
  <c r="FD150" i="5"/>
  <c r="FE150" i="5"/>
  <c r="FF150" i="5"/>
  <c r="FG150" i="5"/>
  <c r="FH150" i="5"/>
  <c r="FI150" i="5"/>
  <c r="FJ150" i="5"/>
  <c r="FK150" i="5"/>
  <c r="FL150" i="5"/>
  <c r="FM150" i="5"/>
  <c r="FN150" i="5"/>
  <c r="FO150" i="5"/>
  <c r="FP150" i="5"/>
  <c r="FQ150" i="5"/>
  <c r="FR150" i="5"/>
  <c r="FS150" i="5"/>
  <c r="FT150" i="5"/>
  <c r="FU150" i="5"/>
  <c r="FV150" i="5"/>
  <c r="FW150" i="5"/>
  <c r="FX150" i="5"/>
  <c r="FY150" i="5"/>
  <c r="FZ150" i="5"/>
  <c r="GA150" i="5"/>
  <c r="GB150" i="5"/>
  <c r="GC150" i="5"/>
  <c r="GD150" i="5"/>
  <c r="GE150" i="5"/>
  <c r="GF150" i="5"/>
  <c r="GG150" i="5"/>
  <c r="GH150" i="5"/>
  <c r="GI150" i="5"/>
  <c r="GJ150" i="5"/>
  <c r="GK150" i="5"/>
  <c r="GL150" i="5"/>
  <c r="GM150" i="5"/>
  <c r="GN150" i="5"/>
  <c r="GO150" i="5"/>
  <c r="GP150" i="5"/>
  <c r="GQ150" i="5"/>
  <c r="GR150" i="5"/>
  <c r="GS150" i="5"/>
  <c r="GT150" i="5"/>
  <c r="GU150" i="5"/>
  <c r="GV150" i="5"/>
  <c r="GW150" i="5"/>
  <c r="GX150" i="5"/>
  <c r="GY150" i="5"/>
  <c r="GZ150" i="5"/>
  <c r="HA150" i="5"/>
  <c r="HB150" i="5"/>
  <c r="HC150" i="5"/>
  <c r="HD150" i="5"/>
  <c r="HE150" i="5"/>
  <c r="HF150" i="5"/>
  <c r="HG150" i="5"/>
  <c r="HH150" i="5"/>
  <c r="HI150" i="5"/>
  <c r="HJ150" i="5"/>
  <c r="HK150" i="5"/>
  <c r="HL150" i="5"/>
  <c r="HM150" i="5"/>
  <c r="HN150" i="5"/>
  <c r="HO150" i="5"/>
  <c r="HP150" i="5"/>
  <c r="HQ150" i="5"/>
  <c r="HR150" i="5"/>
  <c r="HS150" i="5"/>
  <c r="HT150" i="5"/>
  <c r="HU150" i="5"/>
  <c r="HV150" i="5"/>
  <c r="HW150" i="5"/>
  <c r="HX150" i="5"/>
  <c r="HY150" i="5"/>
  <c r="HZ150" i="5"/>
  <c r="IA150" i="5"/>
  <c r="IB150" i="5"/>
  <c r="IC150" i="5"/>
  <c r="ID150" i="5"/>
  <c r="IE150" i="5"/>
  <c r="IF150" i="5"/>
  <c r="IG150" i="5"/>
  <c r="IH150" i="5"/>
  <c r="II150" i="5"/>
  <c r="IJ150" i="5"/>
  <c r="IK150" i="5"/>
  <c r="IL150" i="5"/>
  <c r="IM150" i="5"/>
  <c r="IN150" i="5"/>
  <c r="IO150" i="5"/>
  <c r="IP150" i="5"/>
  <c r="IQ150" i="5"/>
  <c r="IR150" i="5"/>
  <c r="IS150" i="5"/>
  <c r="IT150" i="5"/>
  <c r="IU150" i="5"/>
  <c r="IV150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CM151" i="5"/>
  <c r="CN151" i="5"/>
  <c r="CO151" i="5"/>
  <c r="CP151" i="5"/>
  <c r="CQ151" i="5"/>
  <c r="CR151" i="5"/>
  <c r="CS151" i="5"/>
  <c r="CT151" i="5"/>
  <c r="CU151" i="5"/>
  <c r="CV151" i="5"/>
  <c r="CW151" i="5"/>
  <c r="CX151" i="5"/>
  <c r="CY151" i="5"/>
  <c r="CZ151" i="5"/>
  <c r="DA151" i="5"/>
  <c r="DB151" i="5"/>
  <c r="DC151" i="5"/>
  <c r="DD151" i="5"/>
  <c r="DE151" i="5"/>
  <c r="DF151" i="5"/>
  <c r="DG151" i="5"/>
  <c r="DH151" i="5"/>
  <c r="DI151" i="5"/>
  <c r="DJ151" i="5"/>
  <c r="DK151" i="5"/>
  <c r="DL151" i="5"/>
  <c r="DM151" i="5"/>
  <c r="DN151" i="5"/>
  <c r="DO151" i="5"/>
  <c r="DP151" i="5"/>
  <c r="DQ151" i="5"/>
  <c r="DR151" i="5"/>
  <c r="DS151" i="5"/>
  <c r="DT151" i="5"/>
  <c r="DU151" i="5"/>
  <c r="DV151" i="5"/>
  <c r="DW151" i="5"/>
  <c r="DX151" i="5"/>
  <c r="DY151" i="5"/>
  <c r="DZ151" i="5"/>
  <c r="EA151" i="5"/>
  <c r="EB151" i="5"/>
  <c r="EC151" i="5"/>
  <c r="ED151" i="5"/>
  <c r="EE151" i="5"/>
  <c r="EF151" i="5"/>
  <c r="EG151" i="5"/>
  <c r="EH151" i="5"/>
  <c r="EI151" i="5"/>
  <c r="EJ151" i="5"/>
  <c r="EK151" i="5"/>
  <c r="EL151" i="5"/>
  <c r="EM151" i="5"/>
  <c r="EN151" i="5"/>
  <c r="EO151" i="5"/>
  <c r="EP151" i="5"/>
  <c r="EQ151" i="5"/>
  <c r="ER151" i="5"/>
  <c r="ES151" i="5"/>
  <c r="ET151" i="5"/>
  <c r="EU151" i="5"/>
  <c r="EV151" i="5"/>
  <c r="EW151" i="5"/>
  <c r="EX151" i="5"/>
  <c r="EY151" i="5"/>
  <c r="EZ151" i="5"/>
  <c r="FA151" i="5"/>
  <c r="FB151" i="5"/>
  <c r="FC151" i="5"/>
  <c r="FD151" i="5"/>
  <c r="FE151" i="5"/>
  <c r="FF151" i="5"/>
  <c r="FG151" i="5"/>
  <c r="FH151" i="5"/>
  <c r="FI151" i="5"/>
  <c r="FJ151" i="5"/>
  <c r="FK151" i="5"/>
  <c r="FL151" i="5"/>
  <c r="FM151" i="5"/>
  <c r="FN151" i="5"/>
  <c r="FO151" i="5"/>
  <c r="FP151" i="5"/>
  <c r="FQ151" i="5"/>
  <c r="FR151" i="5"/>
  <c r="FS151" i="5"/>
  <c r="FT151" i="5"/>
  <c r="FU151" i="5"/>
  <c r="FV151" i="5"/>
  <c r="FW151" i="5"/>
  <c r="FX151" i="5"/>
  <c r="FY151" i="5"/>
  <c r="FZ151" i="5"/>
  <c r="GA151" i="5"/>
  <c r="GB151" i="5"/>
  <c r="GC151" i="5"/>
  <c r="GD151" i="5"/>
  <c r="GE151" i="5"/>
  <c r="GF151" i="5"/>
  <c r="GG151" i="5"/>
  <c r="GH151" i="5"/>
  <c r="GI151" i="5"/>
  <c r="GJ151" i="5"/>
  <c r="GK151" i="5"/>
  <c r="GL151" i="5"/>
  <c r="GM151" i="5"/>
  <c r="GN151" i="5"/>
  <c r="GO151" i="5"/>
  <c r="GP151" i="5"/>
  <c r="GQ151" i="5"/>
  <c r="GR151" i="5"/>
  <c r="GS151" i="5"/>
  <c r="GT151" i="5"/>
  <c r="GU151" i="5"/>
  <c r="GV151" i="5"/>
  <c r="GW151" i="5"/>
  <c r="GX151" i="5"/>
  <c r="GY151" i="5"/>
  <c r="GZ151" i="5"/>
  <c r="HA151" i="5"/>
  <c r="HB151" i="5"/>
  <c r="HC151" i="5"/>
  <c r="HD151" i="5"/>
  <c r="HE151" i="5"/>
  <c r="HF151" i="5"/>
  <c r="HG151" i="5"/>
  <c r="HH151" i="5"/>
  <c r="HI151" i="5"/>
  <c r="HJ151" i="5"/>
  <c r="HK151" i="5"/>
  <c r="HL151" i="5"/>
  <c r="HM151" i="5"/>
  <c r="HN151" i="5"/>
  <c r="HO151" i="5"/>
  <c r="HP151" i="5"/>
  <c r="HQ151" i="5"/>
  <c r="HR151" i="5"/>
  <c r="HS151" i="5"/>
  <c r="HT151" i="5"/>
  <c r="HU151" i="5"/>
  <c r="HV151" i="5"/>
  <c r="HW151" i="5"/>
  <c r="HX151" i="5"/>
  <c r="HY151" i="5"/>
  <c r="HZ151" i="5"/>
  <c r="IA151" i="5"/>
  <c r="IB151" i="5"/>
  <c r="IC151" i="5"/>
  <c r="ID151" i="5"/>
  <c r="IE151" i="5"/>
  <c r="IF151" i="5"/>
  <c r="IG151" i="5"/>
  <c r="IH151" i="5"/>
  <c r="II151" i="5"/>
  <c r="IJ151" i="5"/>
  <c r="IK151" i="5"/>
  <c r="IL151" i="5"/>
  <c r="IM151" i="5"/>
  <c r="IN151" i="5"/>
  <c r="IO151" i="5"/>
  <c r="IP151" i="5"/>
  <c r="IQ151" i="5"/>
  <c r="IR151" i="5"/>
  <c r="IS151" i="5"/>
  <c r="IT151" i="5"/>
  <c r="IU151" i="5"/>
  <c r="IV151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CM152" i="5"/>
  <c r="CN152" i="5"/>
  <c r="CO152" i="5"/>
  <c r="CP152" i="5"/>
  <c r="CQ152" i="5"/>
  <c r="CR152" i="5"/>
  <c r="CS152" i="5"/>
  <c r="CT152" i="5"/>
  <c r="CU152" i="5"/>
  <c r="CV152" i="5"/>
  <c r="CW152" i="5"/>
  <c r="CX152" i="5"/>
  <c r="CY152" i="5"/>
  <c r="CZ152" i="5"/>
  <c r="DA152" i="5"/>
  <c r="DB152" i="5"/>
  <c r="DC152" i="5"/>
  <c r="DD152" i="5"/>
  <c r="DE152" i="5"/>
  <c r="DF152" i="5"/>
  <c r="DG152" i="5"/>
  <c r="DH152" i="5"/>
  <c r="DI152" i="5"/>
  <c r="DJ152" i="5"/>
  <c r="DK152" i="5"/>
  <c r="DL152" i="5"/>
  <c r="DM152" i="5"/>
  <c r="DN152" i="5"/>
  <c r="DO152" i="5"/>
  <c r="DP152" i="5"/>
  <c r="DQ152" i="5"/>
  <c r="DR152" i="5"/>
  <c r="DS152" i="5"/>
  <c r="DT152" i="5"/>
  <c r="DU152" i="5"/>
  <c r="DV152" i="5"/>
  <c r="DW152" i="5"/>
  <c r="DX152" i="5"/>
  <c r="DY152" i="5"/>
  <c r="DZ152" i="5"/>
  <c r="EA152" i="5"/>
  <c r="EB152" i="5"/>
  <c r="EC152" i="5"/>
  <c r="ED152" i="5"/>
  <c r="EE152" i="5"/>
  <c r="EF152" i="5"/>
  <c r="EG152" i="5"/>
  <c r="EH152" i="5"/>
  <c r="EI152" i="5"/>
  <c r="EJ152" i="5"/>
  <c r="EK152" i="5"/>
  <c r="EL152" i="5"/>
  <c r="EM152" i="5"/>
  <c r="EN152" i="5"/>
  <c r="EO152" i="5"/>
  <c r="EP152" i="5"/>
  <c r="EQ152" i="5"/>
  <c r="ER152" i="5"/>
  <c r="ES152" i="5"/>
  <c r="ET152" i="5"/>
  <c r="EU152" i="5"/>
  <c r="EV152" i="5"/>
  <c r="EW152" i="5"/>
  <c r="EX152" i="5"/>
  <c r="EY152" i="5"/>
  <c r="EZ152" i="5"/>
  <c r="FA152" i="5"/>
  <c r="FB152" i="5"/>
  <c r="FC152" i="5"/>
  <c r="FD152" i="5"/>
  <c r="FE152" i="5"/>
  <c r="FF152" i="5"/>
  <c r="FG152" i="5"/>
  <c r="FH152" i="5"/>
  <c r="FI152" i="5"/>
  <c r="FJ152" i="5"/>
  <c r="FK152" i="5"/>
  <c r="FL152" i="5"/>
  <c r="FM152" i="5"/>
  <c r="FN152" i="5"/>
  <c r="FO152" i="5"/>
  <c r="FP152" i="5"/>
  <c r="FQ152" i="5"/>
  <c r="FR152" i="5"/>
  <c r="FS152" i="5"/>
  <c r="FT152" i="5"/>
  <c r="FU152" i="5"/>
  <c r="FV152" i="5"/>
  <c r="FW152" i="5"/>
  <c r="FX152" i="5"/>
  <c r="FY152" i="5"/>
  <c r="FZ152" i="5"/>
  <c r="GA152" i="5"/>
  <c r="GB152" i="5"/>
  <c r="GC152" i="5"/>
  <c r="GD152" i="5"/>
  <c r="GE152" i="5"/>
  <c r="GF152" i="5"/>
  <c r="GG152" i="5"/>
  <c r="GH152" i="5"/>
  <c r="GI152" i="5"/>
  <c r="GJ152" i="5"/>
  <c r="GK152" i="5"/>
  <c r="GL152" i="5"/>
  <c r="GM152" i="5"/>
  <c r="GN152" i="5"/>
  <c r="GO152" i="5"/>
  <c r="GP152" i="5"/>
  <c r="GQ152" i="5"/>
  <c r="GR152" i="5"/>
  <c r="GS152" i="5"/>
  <c r="GT152" i="5"/>
  <c r="GU152" i="5"/>
  <c r="GV152" i="5"/>
  <c r="GW152" i="5"/>
  <c r="GX152" i="5"/>
  <c r="GY152" i="5"/>
  <c r="GZ152" i="5"/>
  <c r="HA152" i="5"/>
  <c r="HB152" i="5"/>
  <c r="HC152" i="5"/>
  <c r="HD152" i="5"/>
  <c r="HE152" i="5"/>
  <c r="HF152" i="5"/>
  <c r="HG152" i="5"/>
  <c r="HH152" i="5"/>
  <c r="HI152" i="5"/>
  <c r="HJ152" i="5"/>
  <c r="HK152" i="5"/>
  <c r="HL152" i="5"/>
  <c r="HM152" i="5"/>
  <c r="HN152" i="5"/>
  <c r="HO152" i="5"/>
  <c r="HP152" i="5"/>
  <c r="HQ152" i="5"/>
  <c r="HR152" i="5"/>
  <c r="HS152" i="5"/>
  <c r="HT152" i="5"/>
  <c r="HU152" i="5"/>
  <c r="HV152" i="5"/>
  <c r="HW152" i="5"/>
  <c r="HX152" i="5"/>
  <c r="HY152" i="5"/>
  <c r="HZ152" i="5"/>
  <c r="IA152" i="5"/>
  <c r="IB152" i="5"/>
  <c r="IC152" i="5"/>
  <c r="ID152" i="5"/>
  <c r="IE152" i="5"/>
  <c r="IF152" i="5"/>
  <c r="IG152" i="5"/>
  <c r="IH152" i="5"/>
  <c r="II152" i="5"/>
  <c r="IJ152" i="5"/>
  <c r="IK152" i="5"/>
  <c r="IL152" i="5"/>
  <c r="IM152" i="5"/>
  <c r="IN152" i="5"/>
  <c r="IO152" i="5"/>
  <c r="IP152" i="5"/>
  <c r="IQ152" i="5"/>
  <c r="IR152" i="5"/>
  <c r="IS152" i="5"/>
  <c r="IT152" i="5"/>
  <c r="IU152" i="5"/>
  <c r="IV152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CM153" i="5"/>
  <c r="CN153" i="5"/>
  <c r="CO153" i="5"/>
  <c r="CP153" i="5"/>
  <c r="CQ153" i="5"/>
  <c r="CR153" i="5"/>
  <c r="CS153" i="5"/>
  <c r="CT153" i="5"/>
  <c r="CU153" i="5"/>
  <c r="CV153" i="5"/>
  <c r="CW153" i="5"/>
  <c r="CX153" i="5"/>
  <c r="CY153" i="5"/>
  <c r="CZ153" i="5"/>
  <c r="DA153" i="5"/>
  <c r="DB153" i="5"/>
  <c r="DC153" i="5"/>
  <c r="DD153" i="5"/>
  <c r="DE153" i="5"/>
  <c r="DF153" i="5"/>
  <c r="DG153" i="5"/>
  <c r="DH153" i="5"/>
  <c r="DI153" i="5"/>
  <c r="DJ153" i="5"/>
  <c r="DK153" i="5"/>
  <c r="DL153" i="5"/>
  <c r="DM153" i="5"/>
  <c r="DN153" i="5"/>
  <c r="DO153" i="5"/>
  <c r="DP153" i="5"/>
  <c r="DQ153" i="5"/>
  <c r="DR153" i="5"/>
  <c r="DS153" i="5"/>
  <c r="DT153" i="5"/>
  <c r="DU153" i="5"/>
  <c r="DV153" i="5"/>
  <c r="DW153" i="5"/>
  <c r="DX153" i="5"/>
  <c r="DY153" i="5"/>
  <c r="DZ153" i="5"/>
  <c r="EA153" i="5"/>
  <c r="EB153" i="5"/>
  <c r="EC153" i="5"/>
  <c r="ED153" i="5"/>
  <c r="EE153" i="5"/>
  <c r="EF153" i="5"/>
  <c r="EG153" i="5"/>
  <c r="EH153" i="5"/>
  <c r="EI153" i="5"/>
  <c r="EJ153" i="5"/>
  <c r="EK153" i="5"/>
  <c r="EL153" i="5"/>
  <c r="EM153" i="5"/>
  <c r="EN153" i="5"/>
  <c r="EO153" i="5"/>
  <c r="EP153" i="5"/>
  <c r="EQ153" i="5"/>
  <c r="ER153" i="5"/>
  <c r="ES153" i="5"/>
  <c r="ET153" i="5"/>
  <c r="EU153" i="5"/>
  <c r="EV153" i="5"/>
  <c r="EW153" i="5"/>
  <c r="EX153" i="5"/>
  <c r="EY153" i="5"/>
  <c r="EZ153" i="5"/>
  <c r="FA153" i="5"/>
  <c r="FB153" i="5"/>
  <c r="FC153" i="5"/>
  <c r="FD153" i="5"/>
  <c r="FE153" i="5"/>
  <c r="FF153" i="5"/>
  <c r="FG153" i="5"/>
  <c r="FH153" i="5"/>
  <c r="FI153" i="5"/>
  <c r="FJ153" i="5"/>
  <c r="FK153" i="5"/>
  <c r="FL153" i="5"/>
  <c r="FM153" i="5"/>
  <c r="FN153" i="5"/>
  <c r="FO153" i="5"/>
  <c r="FP153" i="5"/>
  <c r="FQ153" i="5"/>
  <c r="FR153" i="5"/>
  <c r="FS153" i="5"/>
  <c r="FT153" i="5"/>
  <c r="FU153" i="5"/>
  <c r="FV153" i="5"/>
  <c r="FW153" i="5"/>
  <c r="FX153" i="5"/>
  <c r="FY153" i="5"/>
  <c r="FZ153" i="5"/>
  <c r="GA153" i="5"/>
  <c r="GB153" i="5"/>
  <c r="GC153" i="5"/>
  <c r="GD153" i="5"/>
  <c r="GE153" i="5"/>
  <c r="GF153" i="5"/>
  <c r="GG153" i="5"/>
  <c r="GH153" i="5"/>
  <c r="GI153" i="5"/>
  <c r="GJ153" i="5"/>
  <c r="GK153" i="5"/>
  <c r="GL153" i="5"/>
  <c r="GM153" i="5"/>
  <c r="GN153" i="5"/>
  <c r="GO153" i="5"/>
  <c r="GP153" i="5"/>
  <c r="GQ153" i="5"/>
  <c r="GR153" i="5"/>
  <c r="GS153" i="5"/>
  <c r="GT153" i="5"/>
  <c r="GU153" i="5"/>
  <c r="GV153" i="5"/>
  <c r="GW153" i="5"/>
  <c r="GX153" i="5"/>
  <c r="GY153" i="5"/>
  <c r="GZ153" i="5"/>
  <c r="HA153" i="5"/>
  <c r="HB153" i="5"/>
  <c r="HC153" i="5"/>
  <c r="HD153" i="5"/>
  <c r="HE153" i="5"/>
  <c r="HF153" i="5"/>
  <c r="HG153" i="5"/>
  <c r="HH153" i="5"/>
  <c r="HI153" i="5"/>
  <c r="HJ153" i="5"/>
  <c r="HK153" i="5"/>
  <c r="HL153" i="5"/>
  <c r="HM153" i="5"/>
  <c r="HN153" i="5"/>
  <c r="HO153" i="5"/>
  <c r="HP153" i="5"/>
  <c r="HQ153" i="5"/>
  <c r="HR153" i="5"/>
  <c r="HS153" i="5"/>
  <c r="HT153" i="5"/>
  <c r="HU153" i="5"/>
  <c r="HV153" i="5"/>
  <c r="HW153" i="5"/>
  <c r="HX153" i="5"/>
  <c r="HY153" i="5"/>
  <c r="HZ153" i="5"/>
  <c r="IA153" i="5"/>
  <c r="IB153" i="5"/>
  <c r="IC153" i="5"/>
  <c r="ID153" i="5"/>
  <c r="IE153" i="5"/>
  <c r="IF153" i="5"/>
  <c r="IG153" i="5"/>
  <c r="IH153" i="5"/>
  <c r="II153" i="5"/>
  <c r="IJ153" i="5"/>
  <c r="IK153" i="5"/>
  <c r="IL153" i="5"/>
  <c r="IM153" i="5"/>
  <c r="IN153" i="5"/>
  <c r="IO153" i="5"/>
  <c r="IP153" i="5"/>
  <c r="IQ153" i="5"/>
  <c r="IR153" i="5"/>
  <c r="IS153" i="5"/>
  <c r="IT153" i="5"/>
  <c r="IU153" i="5"/>
  <c r="IV153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CM154" i="5"/>
  <c r="CN154" i="5"/>
  <c r="CO154" i="5"/>
  <c r="CP154" i="5"/>
  <c r="CQ154" i="5"/>
  <c r="CR154" i="5"/>
  <c r="CS154" i="5"/>
  <c r="CT154" i="5"/>
  <c r="CU154" i="5"/>
  <c r="CV154" i="5"/>
  <c r="CW154" i="5"/>
  <c r="CX154" i="5"/>
  <c r="CY154" i="5"/>
  <c r="CZ154" i="5"/>
  <c r="DA154" i="5"/>
  <c r="DB154" i="5"/>
  <c r="DC154" i="5"/>
  <c r="DD154" i="5"/>
  <c r="DE154" i="5"/>
  <c r="DF154" i="5"/>
  <c r="DG154" i="5"/>
  <c r="DH154" i="5"/>
  <c r="DI154" i="5"/>
  <c r="DJ154" i="5"/>
  <c r="DK154" i="5"/>
  <c r="DL154" i="5"/>
  <c r="DM154" i="5"/>
  <c r="DN154" i="5"/>
  <c r="DO154" i="5"/>
  <c r="DP154" i="5"/>
  <c r="DQ154" i="5"/>
  <c r="DR154" i="5"/>
  <c r="DS154" i="5"/>
  <c r="DT154" i="5"/>
  <c r="DU154" i="5"/>
  <c r="DV154" i="5"/>
  <c r="DW154" i="5"/>
  <c r="DX154" i="5"/>
  <c r="DY154" i="5"/>
  <c r="DZ154" i="5"/>
  <c r="EA154" i="5"/>
  <c r="EB154" i="5"/>
  <c r="EC154" i="5"/>
  <c r="ED154" i="5"/>
  <c r="EE154" i="5"/>
  <c r="EF154" i="5"/>
  <c r="EG154" i="5"/>
  <c r="EH154" i="5"/>
  <c r="EI154" i="5"/>
  <c r="EJ154" i="5"/>
  <c r="EK154" i="5"/>
  <c r="EL154" i="5"/>
  <c r="EM154" i="5"/>
  <c r="EN154" i="5"/>
  <c r="EO154" i="5"/>
  <c r="EP154" i="5"/>
  <c r="EQ154" i="5"/>
  <c r="ER154" i="5"/>
  <c r="ES154" i="5"/>
  <c r="ET154" i="5"/>
  <c r="EU154" i="5"/>
  <c r="EV154" i="5"/>
  <c r="EW154" i="5"/>
  <c r="EX154" i="5"/>
  <c r="EY154" i="5"/>
  <c r="EZ154" i="5"/>
  <c r="FA154" i="5"/>
  <c r="FB154" i="5"/>
  <c r="FC154" i="5"/>
  <c r="FD154" i="5"/>
  <c r="FE154" i="5"/>
  <c r="FF154" i="5"/>
  <c r="FG154" i="5"/>
  <c r="FH154" i="5"/>
  <c r="FI154" i="5"/>
  <c r="FJ154" i="5"/>
  <c r="FK154" i="5"/>
  <c r="FL154" i="5"/>
  <c r="FM154" i="5"/>
  <c r="FN154" i="5"/>
  <c r="FO154" i="5"/>
  <c r="FP154" i="5"/>
  <c r="FQ154" i="5"/>
  <c r="FR154" i="5"/>
  <c r="FS154" i="5"/>
  <c r="FT154" i="5"/>
  <c r="FU154" i="5"/>
  <c r="FV154" i="5"/>
  <c r="FW154" i="5"/>
  <c r="FX154" i="5"/>
  <c r="FY154" i="5"/>
  <c r="FZ154" i="5"/>
  <c r="GA154" i="5"/>
  <c r="GB154" i="5"/>
  <c r="GC154" i="5"/>
  <c r="GD154" i="5"/>
  <c r="GE154" i="5"/>
  <c r="GF154" i="5"/>
  <c r="GG154" i="5"/>
  <c r="GH154" i="5"/>
  <c r="GI154" i="5"/>
  <c r="GJ154" i="5"/>
  <c r="GK154" i="5"/>
  <c r="GL154" i="5"/>
  <c r="GM154" i="5"/>
  <c r="GN154" i="5"/>
  <c r="GO154" i="5"/>
  <c r="GP154" i="5"/>
  <c r="GQ154" i="5"/>
  <c r="GR154" i="5"/>
  <c r="GS154" i="5"/>
  <c r="GT154" i="5"/>
  <c r="GU154" i="5"/>
  <c r="GV154" i="5"/>
  <c r="GW154" i="5"/>
  <c r="GX154" i="5"/>
  <c r="GY154" i="5"/>
  <c r="GZ154" i="5"/>
  <c r="HA154" i="5"/>
  <c r="HB154" i="5"/>
  <c r="HC154" i="5"/>
  <c r="HD154" i="5"/>
  <c r="HE154" i="5"/>
  <c r="HF154" i="5"/>
  <c r="HG154" i="5"/>
  <c r="HH154" i="5"/>
  <c r="HI154" i="5"/>
  <c r="HJ154" i="5"/>
  <c r="HK154" i="5"/>
  <c r="HL154" i="5"/>
  <c r="HM154" i="5"/>
  <c r="HN154" i="5"/>
  <c r="HO154" i="5"/>
  <c r="HP154" i="5"/>
  <c r="HQ154" i="5"/>
  <c r="HR154" i="5"/>
  <c r="HS154" i="5"/>
  <c r="HT154" i="5"/>
  <c r="HU154" i="5"/>
  <c r="HV154" i="5"/>
  <c r="HW154" i="5"/>
  <c r="HX154" i="5"/>
  <c r="HY154" i="5"/>
  <c r="HZ154" i="5"/>
  <c r="IA154" i="5"/>
  <c r="IB154" i="5"/>
  <c r="IC154" i="5"/>
  <c r="ID154" i="5"/>
  <c r="IE154" i="5"/>
  <c r="IF154" i="5"/>
  <c r="IG154" i="5"/>
  <c r="IH154" i="5"/>
  <c r="II154" i="5"/>
  <c r="IJ154" i="5"/>
  <c r="IK154" i="5"/>
  <c r="IL154" i="5"/>
  <c r="IM154" i="5"/>
  <c r="IN154" i="5"/>
  <c r="IO154" i="5"/>
  <c r="IP154" i="5"/>
  <c r="IQ154" i="5"/>
  <c r="IR154" i="5"/>
  <c r="IS154" i="5"/>
  <c r="IT154" i="5"/>
  <c r="IU154" i="5"/>
  <c r="IV154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BM155" i="5"/>
  <c r="BN155" i="5"/>
  <c r="BO155" i="5"/>
  <c r="BP155" i="5"/>
  <c r="BQ155" i="5"/>
  <c r="BR155" i="5"/>
  <c r="BS155" i="5"/>
  <c r="BT155" i="5"/>
  <c r="BU155" i="5"/>
  <c r="BV155" i="5"/>
  <c r="BW155" i="5"/>
  <c r="BX155" i="5"/>
  <c r="BY155" i="5"/>
  <c r="BZ155" i="5"/>
  <c r="CA155" i="5"/>
  <c r="CB155" i="5"/>
  <c r="CC155" i="5"/>
  <c r="CD155" i="5"/>
  <c r="CE155" i="5"/>
  <c r="CF155" i="5"/>
  <c r="CG155" i="5"/>
  <c r="CH155" i="5"/>
  <c r="CI155" i="5"/>
  <c r="CJ155" i="5"/>
  <c r="CK155" i="5"/>
  <c r="CL155" i="5"/>
  <c r="CM155" i="5"/>
  <c r="CN155" i="5"/>
  <c r="CO155" i="5"/>
  <c r="CP155" i="5"/>
  <c r="CQ155" i="5"/>
  <c r="CR155" i="5"/>
  <c r="CS155" i="5"/>
  <c r="CT155" i="5"/>
  <c r="CU155" i="5"/>
  <c r="CV155" i="5"/>
  <c r="CW155" i="5"/>
  <c r="CX155" i="5"/>
  <c r="CY155" i="5"/>
  <c r="CZ155" i="5"/>
  <c r="DA155" i="5"/>
  <c r="DB155" i="5"/>
  <c r="DC155" i="5"/>
  <c r="DD155" i="5"/>
  <c r="DE155" i="5"/>
  <c r="DF155" i="5"/>
  <c r="DG155" i="5"/>
  <c r="DH155" i="5"/>
  <c r="DI155" i="5"/>
  <c r="DJ155" i="5"/>
  <c r="DK155" i="5"/>
  <c r="DL155" i="5"/>
  <c r="DM155" i="5"/>
  <c r="DN155" i="5"/>
  <c r="DO155" i="5"/>
  <c r="DP155" i="5"/>
  <c r="DQ155" i="5"/>
  <c r="DR155" i="5"/>
  <c r="DS155" i="5"/>
  <c r="DT155" i="5"/>
  <c r="DU155" i="5"/>
  <c r="DV155" i="5"/>
  <c r="DW155" i="5"/>
  <c r="DX155" i="5"/>
  <c r="DY155" i="5"/>
  <c r="DZ155" i="5"/>
  <c r="EA155" i="5"/>
  <c r="EB155" i="5"/>
  <c r="EC155" i="5"/>
  <c r="ED155" i="5"/>
  <c r="EE155" i="5"/>
  <c r="EF155" i="5"/>
  <c r="EG155" i="5"/>
  <c r="EH155" i="5"/>
  <c r="EI155" i="5"/>
  <c r="EJ155" i="5"/>
  <c r="EK155" i="5"/>
  <c r="EL155" i="5"/>
  <c r="EM155" i="5"/>
  <c r="EN155" i="5"/>
  <c r="EO155" i="5"/>
  <c r="EP155" i="5"/>
  <c r="EQ155" i="5"/>
  <c r="ER155" i="5"/>
  <c r="ES155" i="5"/>
  <c r="ET155" i="5"/>
  <c r="EU155" i="5"/>
  <c r="EV155" i="5"/>
  <c r="EW155" i="5"/>
  <c r="EX155" i="5"/>
  <c r="EY155" i="5"/>
  <c r="EZ155" i="5"/>
  <c r="FA155" i="5"/>
  <c r="FB155" i="5"/>
  <c r="FC155" i="5"/>
  <c r="FD155" i="5"/>
  <c r="FE155" i="5"/>
  <c r="FF155" i="5"/>
  <c r="FG155" i="5"/>
  <c r="FH155" i="5"/>
  <c r="FI155" i="5"/>
  <c r="FJ155" i="5"/>
  <c r="FK155" i="5"/>
  <c r="FL155" i="5"/>
  <c r="FM155" i="5"/>
  <c r="FN155" i="5"/>
  <c r="FO155" i="5"/>
  <c r="FP155" i="5"/>
  <c r="FQ155" i="5"/>
  <c r="FR155" i="5"/>
  <c r="FS155" i="5"/>
  <c r="FT155" i="5"/>
  <c r="FU155" i="5"/>
  <c r="FV155" i="5"/>
  <c r="FW155" i="5"/>
  <c r="FX155" i="5"/>
  <c r="FY155" i="5"/>
  <c r="FZ155" i="5"/>
  <c r="GA155" i="5"/>
  <c r="GB155" i="5"/>
  <c r="GC155" i="5"/>
  <c r="GD155" i="5"/>
  <c r="GE155" i="5"/>
  <c r="GF155" i="5"/>
  <c r="GG155" i="5"/>
  <c r="GH155" i="5"/>
  <c r="GI155" i="5"/>
  <c r="GJ155" i="5"/>
  <c r="GK155" i="5"/>
  <c r="GL155" i="5"/>
  <c r="GM155" i="5"/>
  <c r="GN155" i="5"/>
  <c r="GO155" i="5"/>
  <c r="GP155" i="5"/>
  <c r="GQ155" i="5"/>
  <c r="GR155" i="5"/>
  <c r="GS155" i="5"/>
  <c r="GT155" i="5"/>
  <c r="GU155" i="5"/>
  <c r="GV155" i="5"/>
  <c r="GW155" i="5"/>
  <c r="GX155" i="5"/>
  <c r="GY155" i="5"/>
  <c r="GZ155" i="5"/>
  <c r="HA155" i="5"/>
  <c r="HB155" i="5"/>
  <c r="HC155" i="5"/>
  <c r="HD155" i="5"/>
  <c r="HE155" i="5"/>
  <c r="HF155" i="5"/>
  <c r="HG155" i="5"/>
  <c r="HH155" i="5"/>
  <c r="HI155" i="5"/>
  <c r="HJ155" i="5"/>
  <c r="HK155" i="5"/>
  <c r="HL155" i="5"/>
  <c r="HM155" i="5"/>
  <c r="HN155" i="5"/>
  <c r="HO155" i="5"/>
  <c r="HP155" i="5"/>
  <c r="HQ155" i="5"/>
  <c r="HR155" i="5"/>
  <c r="HS155" i="5"/>
  <c r="HT155" i="5"/>
  <c r="HU155" i="5"/>
  <c r="HV155" i="5"/>
  <c r="HW155" i="5"/>
  <c r="HX155" i="5"/>
  <c r="HY155" i="5"/>
  <c r="HZ155" i="5"/>
  <c r="IA155" i="5"/>
  <c r="IB155" i="5"/>
  <c r="IC155" i="5"/>
  <c r="ID155" i="5"/>
  <c r="IE155" i="5"/>
  <c r="IF155" i="5"/>
  <c r="IG155" i="5"/>
  <c r="IH155" i="5"/>
  <c r="II155" i="5"/>
  <c r="IJ155" i="5"/>
  <c r="IK155" i="5"/>
  <c r="IL155" i="5"/>
  <c r="IM155" i="5"/>
  <c r="IN155" i="5"/>
  <c r="IO155" i="5"/>
  <c r="IP155" i="5"/>
  <c r="IQ155" i="5"/>
  <c r="IR155" i="5"/>
  <c r="IS155" i="5"/>
  <c r="IT155" i="5"/>
  <c r="IU155" i="5"/>
  <c r="IV155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BB156" i="5"/>
  <c r="BC156" i="5"/>
  <c r="BD156" i="5"/>
  <c r="BE156" i="5"/>
  <c r="BF156" i="5"/>
  <c r="BG156" i="5"/>
  <c r="BH156" i="5"/>
  <c r="BI156" i="5"/>
  <c r="BJ156" i="5"/>
  <c r="BK156" i="5"/>
  <c r="BL156" i="5"/>
  <c r="BM156" i="5"/>
  <c r="BN156" i="5"/>
  <c r="BO156" i="5"/>
  <c r="BP156" i="5"/>
  <c r="BQ156" i="5"/>
  <c r="BR156" i="5"/>
  <c r="BS156" i="5"/>
  <c r="BT156" i="5"/>
  <c r="BU156" i="5"/>
  <c r="BV156" i="5"/>
  <c r="BW156" i="5"/>
  <c r="BX156" i="5"/>
  <c r="BY156" i="5"/>
  <c r="BZ156" i="5"/>
  <c r="CA156" i="5"/>
  <c r="CB156" i="5"/>
  <c r="CC156" i="5"/>
  <c r="CD156" i="5"/>
  <c r="CE156" i="5"/>
  <c r="CF156" i="5"/>
  <c r="CG156" i="5"/>
  <c r="CH156" i="5"/>
  <c r="CI156" i="5"/>
  <c r="CJ156" i="5"/>
  <c r="CK156" i="5"/>
  <c r="CL156" i="5"/>
  <c r="CM156" i="5"/>
  <c r="CN156" i="5"/>
  <c r="CO156" i="5"/>
  <c r="CP156" i="5"/>
  <c r="CQ156" i="5"/>
  <c r="CR156" i="5"/>
  <c r="CS156" i="5"/>
  <c r="CT156" i="5"/>
  <c r="CU156" i="5"/>
  <c r="CV156" i="5"/>
  <c r="CW156" i="5"/>
  <c r="CX156" i="5"/>
  <c r="CY156" i="5"/>
  <c r="CZ156" i="5"/>
  <c r="DA156" i="5"/>
  <c r="DB156" i="5"/>
  <c r="DC156" i="5"/>
  <c r="DD156" i="5"/>
  <c r="DE156" i="5"/>
  <c r="DF156" i="5"/>
  <c r="DG156" i="5"/>
  <c r="DH156" i="5"/>
  <c r="DI156" i="5"/>
  <c r="DJ156" i="5"/>
  <c r="DK156" i="5"/>
  <c r="DL156" i="5"/>
  <c r="DM156" i="5"/>
  <c r="DN156" i="5"/>
  <c r="DO156" i="5"/>
  <c r="DP156" i="5"/>
  <c r="DQ156" i="5"/>
  <c r="DR156" i="5"/>
  <c r="DS156" i="5"/>
  <c r="DT156" i="5"/>
  <c r="DU156" i="5"/>
  <c r="DV156" i="5"/>
  <c r="DW156" i="5"/>
  <c r="DX156" i="5"/>
  <c r="DY156" i="5"/>
  <c r="DZ156" i="5"/>
  <c r="EA156" i="5"/>
  <c r="EB156" i="5"/>
  <c r="EC156" i="5"/>
  <c r="ED156" i="5"/>
  <c r="EE156" i="5"/>
  <c r="EF156" i="5"/>
  <c r="EG156" i="5"/>
  <c r="EH156" i="5"/>
  <c r="EI156" i="5"/>
  <c r="EJ156" i="5"/>
  <c r="EK156" i="5"/>
  <c r="EL156" i="5"/>
  <c r="EM156" i="5"/>
  <c r="EN156" i="5"/>
  <c r="EO156" i="5"/>
  <c r="EP156" i="5"/>
  <c r="EQ156" i="5"/>
  <c r="ER156" i="5"/>
  <c r="ES156" i="5"/>
  <c r="ET156" i="5"/>
  <c r="EU156" i="5"/>
  <c r="EV156" i="5"/>
  <c r="EW156" i="5"/>
  <c r="EX156" i="5"/>
  <c r="EY156" i="5"/>
  <c r="EZ156" i="5"/>
  <c r="FA156" i="5"/>
  <c r="FB156" i="5"/>
  <c r="FC156" i="5"/>
  <c r="FD156" i="5"/>
  <c r="FE156" i="5"/>
  <c r="FF156" i="5"/>
  <c r="FG156" i="5"/>
  <c r="FH156" i="5"/>
  <c r="FI156" i="5"/>
  <c r="FJ156" i="5"/>
  <c r="FK156" i="5"/>
  <c r="FL156" i="5"/>
  <c r="FM156" i="5"/>
  <c r="FN156" i="5"/>
  <c r="FO156" i="5"/>
  <c r="FP156" i="5"/>
  <c r="FQ156" i="5"/>
  <c r="FR156" i="5"/>
  <c r="FS156" i="5"/>
  <c r="FT156" i="5"/>
  <c r="FU156" i="5"/>
  <c r="FV156" i="5"/>
  <c r="FW156" i="5"/>
  <c r="FX156" i="5"/>
  <c r="FY156" i="5"/>
  <c r="FZ156" i="5"/>
  <c r="GA156" i="5"/>
  <c r="GB156" i="5"/>
  <c r="GC156" i="5"/>
  <c r="GD156" i="5"/>
  <c r="GE156" i="5"/>
  <c r="GF156" i="5"/>
  <c r="GG156" i="5"/>
  <c r="GH156" i="5"/>
  <c r="GI156" i="5"/>
  <c r="GJ156" i="5"/>
  <c r="GK156" i="5"/>
  <c r="GL156" i="5"/>
  <c r="GM156" i="5"/>
  <c r="GN156" i="5"/>
  <c r="GO156" i="5"/>
  <c r="GP156" i="5"/>
  <c r="GQ156" i="5"/>
  <c r="GR156" i="5"/>
  <c r="GS156" i="5"/>
  <c r="GT156" i="5"/>
  <c r="GU156" i="5"/>
  <c r="GV156" i="5"/>
  <c r="GW156" i="5"/>
  <c r="GX156" i="5"/>
  <c r="GY156" i="5"/>
  <c r="GZ156" i="5"/>
  <c r="HA156" i="5"/>
  <c r="HB156" i="5"/>
  <c r="HC156" i="5"/>
  <c r="HD156" i="5"/>
  <c r="HE156" i="5"/>
  <c r="HF156" i="5"/>
  <c r="HG156" i="5"/>
  <c r="HH156" i="5"/>
  <c r="HI156" i="5"/>
  <c r="HJ156" i="5"/>
  <c r="HK156" i="5"/>
  <c r="HL156" i="5"/>
  <c r="HM156" i="5"/>
  <c r="HN156" i="5"/>
  <c r="HO156" i="5"/>
  <c r="HP156" i="5"/>
  <c r="HQ156" i="5"/>
  <c r="HR156" i="5"/>
  <c r="HS156" i="5"/>
  <c r="HT156" i="5"/>
  <c r="HU156" i="5"/>
  <c r="HV156" i="5"/>
  <c r="HW156" i="5"/>
  <c r="HX156" i="5"/>
  <c r="HY156" i="5"/>
  <c r="HZ156" i="5"/>
  <c r="IA156" i="5"/>
  <c r="IB156" i="5"/>
  <c r="IC156" i="5"/>
  <c r="ID156" i="5"/>
  <c r="IE156" i="5"/>
  <c r="IF156" i="5"/>
  <c r="IG156" i="5"/>
  <c r="IH156" i="5"/>
  <c r="II156" i="5"/>
  <c r="IJ156" i="5"/>
  <c r="IK156" i="5"/>
  <c r="IL156" i="5"/>
  <c r="IM156" i="5"/>
  <c r="IN156" i="5"/>
  <c r="IO156" i="5"/>
  <c r="IP156" i="5"/>
  <c r="IQ156" i="5"/>
  <c r="IR156" i="5"/>
  <c r="IS156" i="5"/>
  <c r="IT156" i="5"/>
  <c r="IU156" i="5"/>
  <c r="IV156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BB157" i="5"/>
  <c r="BC157" i="5"/>
  <c r="BD157" i="5"/>
  <c r="BE157" i="5"/>
  <c r="BF157" i="5"/>
  <c r="BG157" i="5"/>
  <c r="BH157" i="5"/>
  <c r="BI157" i="5"/>
  <c r="BJ157" i="5"/>
  <c r="BK157" i="5"/>
  <c r="BL157" i="5"/>
  <c r="BM157" i="5"/>
  <c r="BN157" i="5"/>
  <c r="BO157" i="5"/>
  <c r="BP157" i="5"/>
  <c r="BQ157" i="5"/>
  <c r="BR157" i="5"/>
  <c r="BS157" i="5"/>
  <c r="BT157" i="5"/>
  <c r="BU157" i="5"/>
  <c r="BV157" i="5"/>
  <c r="BW157" i="5"/>
  <c r="BX157" i="5"/>
  <c r="BY157" i="5"/>
  <c r="BZ157" i="5"/>
  <c r="CA157" i="5"/>
  <c r="CB157" i="5"/>
  <c r="CC157" i="5"/>
  <c r="CD157" i="5"/>
  <c r="CE157" i="5"/>
  <c r="CF157" i="5"/>
  <c r="CG157" i="5"/>
  <c r="CH157" i="5"/>
  <c r="CI157" i="5"/>
  <c r="CJ157" i="5"/>
  <c r="CK157" i="5"/>
  <c r="CL157" i="5"/>
  <c r="CM157" i="5"/>
  <c r="CN157" i="5"/>
  <c r="CO157" i="5"/>
  <c r="CP157" i="5"/>
  <c r="CQ157" i="5"/>
  <c r="CR157" i="5"/>
  <c r="CS157" i="5"/>
  <c r="CT157" i="5"/>
  <c r="CU157" i="5"/>
  <c r="CV157" i="5"/>
  <c r="CW157" i="5"/>
  <c r="CX157" i="5"/>
  <c r="CY157" i="5"/>
  <c r="CZ157" i="5"/>
  <c r="DA157" i="5"/>
  <c r="DB157" i="5"/>
  <c r="DC157" i="5"/>
  <c r="DD157" i="5"/>
  <c r="DE157" i="5"/>
  <c r="DF157" i="5"/>
  <c r="DG157" i="5"/>
  <c r="DH157" i="5"/>
  <c r="DI157" i="5"/>
  <c r="DJ157" i="5"/>
  <c r="DK157" i="5"/>
  <c r="DL157" i="5"/>
  <c r="DM157" i="5"/>
  <c r="DN157" i="5"/>
  <c r="DO157" i="5"/>
  <c r="DP157" i="5"/>
  <c r="DQ157" i="5"/>
  <c r="DR157" i="5"/>
  <c r="DS157" i="5"/>
  <c r="DT157" i="5"/>
  <c r="DU157" i="5"/>
  <c r="DV157" i="5"/>
  <c r="DW157" i="5"/>
  <c r="DX157" i="5"/>
  <c r="DY157" i="5"/>
  <c r="DZ157" i="5"/>
  <c r="EA157" i="5"/>
  <c r="EB157" i="5"/>
  <c r="EC157" i="5"/>
  <c r="ED157" i="5"/>
  <c r="EE157" i="5"/>
  <c r="EF157" i="5"/>
  <c r="EG157" i="5"/>
  <c r="EH157" i="5"/>
  <c r="EI157" i="5"/>
  <c r="EJ157" i="5"/>
  <c r="EK157" i="5"/>
  <c r="EL157" i="5"/>
  <c r="EM157" i="5"/>
  <c r="EN157" i="5"/>
  <c r="EO157" i="5"/>
  <c r="EP157" i="5"/>
  <c r="EQ157" i="5"/>
  <c r="ER157" i="5"/>
  <c r="ES157" i="5"/>
  <c r="ET157" i="5"/>
  <c r="EU157" i="5"/>
  <c r="EV157" i="5"/>
  <c r="EW157" i="5"/>
  <c r="EX157" i="5"/>
  <c r="EY157" i="5"/>
  <c r="EZ157" i="5"/>
  <c r="FA157" i="5"/>
  <c r="FB157" i="5"/>
  <c r="FC157" i="5"/>
  <c r="FD157" i="5"/>
  <c r="FE157" i="5"/>
  <c r="FF157" i="5"/>
  <c r="FG157" i="5"/>
  <c r="FH157" i="5"/>
  <c r="FI157" i="5"/>
  <c r="FJ157" i="5"/>
  <c r="FK157" i="5"/>
  <c r="FL157" i="5"/>
  <c r="FM157" i="5"/>
  <c r="FN157" i="5"/>
  <c r="FO157" i="5"/>
  <c r="FP157" i="5"/>
  <c r="FQ157" i="5"/>
  <c r="FR157" i="5"/>
  <c r="FS157" i="5"/>
  <c r="FT157" i="5"/>
  <c r="FU157" i="5"/>
  <c r="FV157" i="5"/>
  <c r="FW157" i="5"/>
  <c r="FX157" i="5"/>
  <c r="FY157" i="5"/>
  <c r="FZ157" i="5"/>
  <c r="GA157" i="5"/>
  <c r="GB157" i="5"/>
  <c r="GC157" i="5"/>
  <c r="GD157" i="5"/>
  <c r="GE157" i="5"/>
  <c r="GF157" i="5"/>
  <c r="GG157" i="5"/>
  <c r="GH157" i="5"/>
  <c r="GI157" i="5"/>
  <c r="GJ157" i="5"/>
  <c r="GK157" i="5"/>
  <c r="GL157" i="5"/>
  <c r="GM157" i="5"/>
  <c r="GN157" i="5"/>
  <c r="GO157" i="5"/>
  <c r="GP157" i="5"/>
  <c r="GQ157" i="5"/>
  <c r="GR157" i="5"/>
  <c r="GS157" i="5"/>
  <c r="GT157" i="5"/>
  <c r="GU157" i="5"/>
  <c r="GV157" i="5"/>
  <c r="GW157" i="5"/>
  <c r="GX157" i="5"/>
  <c r="GY157" i="5"/>
  <c r="GZ157" i="5"/>
  <c r="HA157" i="5"/>
  <c r="HB157" i="5"/>
  <c r="HC157" i="5"/>
  <c r="HD157" i="5"/>
  <c r="HE157" i="5"/>
  <c r="HF157" i="5"/>
  <c r="HG157" i="5"/>
  <c r="HH157" i="5"/>
  <c r="HI157" i="5"/>
  <c r="HJ157" i="5"/>
  <c r="HK157" i="5"/>
  <c r="HL157" i="5"/>
  <c r="HM157" i="5"/>
  <c r="HN157" i="5"/>
  <c r="HO157" i="5"/>
  <c r="HP157" i="5"/>
  <c r="HQ157" i="5"/>
  <c r="HR157" i="5"/>
  <c r="HS157" i="5"/>
  <c r="HT157" i="5"/>
  <c r="HU157" i="5"/>
  <c r="HV157" i="5"/>
  <c r="HW157" i="5"/>
  <c r="HX157" i="5"/>
  <c r="HY157" i="5"/>
  <c r="HZ157" i="5"/>
  <c r="IA157" i="5"/>
  <c r="IB157" i="5"/>
  <c r="IC157" i="5"/>
  <c r="ID157" i="5"/>
  <c r="IE157" i="5"/>
  <c r="IF157" i="5"/>
  <c r="IG157" i="5"/>
  <c r="IH157" i="5"/>
  <c r="II157" i="5"/>
  <c r="IJ157" i="5"/>
  <c r="IK157" i="5"/>
  <c r="IL157" i="5"/>
  <c r="IM157" i="5"/>
  <c r="IN157" i="5"/>
  <c r="IO157" i="5"/>
  <c r="IP157" i="5"/>
  <c r="IQ157" i="5"/>
  <c r="IR157" i="5"/>
  <c r="IS157" i="5"/>
  <c r="IT157" i="5"/>
  <c r="IU157" i="5"/>
  <c r="IV157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BE158" i="5"/>
  <c r="BF158" i="5"/>
  <c r="BG158" i="5"/>
  <c r="BH158" i="5"/>
  <c r="BI158" i="5"/>
  <c r="BJ158" i="5"/>
  <c r="BK158" i="5"/>
  <c r="BL158" i="5"/>
  <c r="BM158" i="5"/>
  <c r="BN158" i="5"/>
  <c r="BO158" i="5"/>
  <c r="BP158" i="5"/>
  <c r="BQ158" i="5"/>
  <c r="BR158" i="5"/>
  <c r="BS158" i="5"/>
  <c r="BT158" i="5"/>
  <c r="BU158" i="5"/>
  <c r="BV158" i="5"/>
  <c r="BW158" i="5"/>
  <c r="BX158" i="5"/>
  <c r="BY158" i="5"/>
  <c r="BZ158" i="5"/>
  <c r="CA158" i="5"/>
  <c r="CB158" i="5"/>
  <c r="CC158" i="5"/>
  <c r="CD158" i="5"/>
  <c r="CE158" i="5"/>
  <c r="CF158" i="5"/>
  <c r="CG158" i="5"/>
  <c r="CH158" i="5"/>
  <c r="CI158" i="5"/>
  <c r="CJ158" i="5"/>
  <c r="CK158" i="5"/>
  <c r="CL158" i="5"/>
  <c r="CM158" i="5"/>
  <c r="CN158" i="5"/>
  <c r="CO158" i="5"/>
  <c r="CP158" i="5"/>
  <c r="CQ158" i="5"/>
  <c r="CR158" i="5"/>
  <c r="CS158" i="5"/>
  <c r="CT158" i="5"/>
  <c r="CU158" i="5"/>
  <c r="CV158" i="5"/>
  <c r="CW158" i="5"/>
  <c r="CX158" i="5"/>
  <c r="CY158" i="5"/>
  <c r="CZ158" i="5"/>
  <c r="DA158" i="5"/>
  <c r="DB158" i="5"/>
  <c r="DC158" i="5"/>
  <c r="DD158" i="5"/>
  <c r="DE158" i="5"/>
  <c r="DF158" i="5"/>
  <c r="DG158" i="5"/>
  <c r="DH158" i="5"/>
  <c r="DI158" i="5"/>
  <c r="DJ158" i="5"/>
  <c r="DK158" i="5"/>
  <c r="DL158" i="5"/>
  <c r="DM158" i="5"/>
  <c r="DN158" i="5"/>
  <c r="DO158" i="5"/>
  <c r="DP158" i="5"/>
  <c r="DQ158" i="5"/>
  <c r="DR158" i="5"/>
  <c r="DS158" i="5"/>
  <c r="DT158" i="5"/>
  <c r="DU158" i="5"/>
  <c r="DV158" i="5"/>
  <c r="DW158" i="5"/>
  <c r="DX158" i="5"/>
  <c r="DY158" i="5"/>
  <c r="DZ158" i="5"/>
  <c r="EA158" i="5"/>
  <c r="EB158" i="5"/>
  <c r="EC158" i="5"/>
  <c r="ED158" i="5"/>
  <c r="EE158" i="5"/>
  <c r="EF158" i="5"/>
  <c r="EG158" i="5"/>
  <c r="EH158" i="5"/>
  <c r="EI158" i="5"/>
  <c r="EJ158" i="5"/>
  <c r="EK158" i="5"/>
  <c r="EL158" i="5"/>
  <c r="EM158" i="5"/>
  <c r="EN158" i="5"/>
  <c r="EO158" i="5"/>
  <c r="EP158" i="5"/>
  <c r="EQ158" i="5"/>
  <c r="ER158" i="5"/>
  <c r="ES158" i="5"/>
  <c r="ET158" i="5"/>
  <c r="EU158" i="5"/>
  <c r="EV158" i="5"/>
  <c r="EW158" i="5"/>
  <c r="EX158" i="5"/>
  <c r="EY158" i="5"/>
  <c r="EZ158" i="5"/>
  <c r="FA158" i="5"/>
  <c r="FB158" i="5"/>
  <c r="FC158" i="5"/>
  <c r="FD158" i="5"/>
  <c r="FE158" i="5"/>
  <c r="FF158" i="5"/>
  <c r="FG158" i="5"/>
  <c r="FH158" i="5"/>
  <c r="FI158" i="5"/>
  <c r="FJ158" i="5"/>
  <c r="FK158" i="5"/>
  <c r="FL158" i="5"/>
  <c r="FM158" i="5"/>
  <c r="FN158" i="5"/>
  <c r="FO158" i="5"/>
  <c r="FP158" i="5"/>
  <c r="FQ158" i="5"/>
  <c r="FR158" i="5"/>
  <c r="FS158" i="5"/>
  <c r="FT158" i="5"/>
  <c r="FU158" i="5"/>
  <c r="FV158" i="5"/>
  <c r="FW158" i="5"/>
  <c r="FX158" i="5"/>
  <c r="FY158" i="5"/>
  <c r="FZ158" i="5"/>
  <c r="GA158" i="5"/>
  <c r="GB158" i="5"/>
  <c r="GC158" i="5"/>
  <c r="GD158" i="5"/>
  <c r="GE158" i="5"/>
  <c r="GF158" i="5"/>
  <c r="GG158" i="5"/>
  <c r="GH158" i="5"/>
  <c r="GI158" i="5"/>
  <c r="GJ158" i="5"/>
  <c r="GK158" i="5"/>
  <c r="GL158" i="5"/>
  <c r="GM158" i="5"/>
  <c r="GN158" i="5"/>
  <c r="GO158" i="5"/>
  <c r="GP158" i="5"/>
  <c r="GQ158" i="5"/>
  <c r="GR158" i="5"/>
  <c r="GS158" i="5"/>
  <c r="GT158" i="5"/>
  <c r="GU158" i="5"/>
  <c r="GV158" i="5"/>
  <c r="GW158" i="5"/>
  <c r="GX158" i="5"/>
  <c r="GY158" i="5"/>
  <c r="GZ158" i="5"/>
  <c r="HA158" i="5"/>
  <c r="HB158" i="5"/>
  <c r="HC158" i="5"/>
  <c r="HD158" i="5"/>
  <c r="HE158" i="5"/>
  <c r="HF158" i="5"/>
  <c r="HG158" i="5"/>
  <c r="HH158" i="5"/>
  <c r="HI158" i="5"/>
  <c r="HJ158" i="5"/>
  <c r="HK158" i="5"/>
  <c r="HL158" i="5"/>
  <c r="HM158" i="5"/>
  <c r="HN158" i="5"/>
  <c r="HO158" i="5"/>
  <c r="HP158" i="5"/>
  <c r="HQ158" i="5"/>
  <c r="HR158" i="5"/>
  <c r="HS158" i="5"/>
  <c r="HT158" i="5"/>
  <c r="HU158" i="5"/>
  <c r="HV158" i="5"/>
  <c r="HW158" i="5"/>
  <c r="HX158" i="5"/>
  <c r="HY158" i="5"/>
  <c r="HZ158" i="5"/>
  <c r="IA158" i="5"/>
  <c r="IB158" i="5"/>
  <c r="IC158" i="5"/>
  <c r="ID158" i="5"/>
  <c r="IE158" i="5"/>
  <c r="IF158" i="5"/>
  <c r="IG158" i="5"/>
  <c r="IH158" i="5"/>
  <c r="II158" i="5"/>
  <c r="IJ158" i="5"/>
  <c r="IK158" i="5"/>
  <c r="IL158" i="5"/>
  <c r="IM158" i="5"/>
  <c r="IN158" i="5"/>
  <c r="IO158" i="5"/>
  <c r="IP158" i="5"/>
  <c r="IQ158" i="5"/>
  <c r="IR158" i="5"/>
  <c r="IS158" i="5"/>
  <c r="IT158" i="5"/>
  <c r="IU158" i="5"/>
  <c r="IV158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BE159" i="5"/>
  <c r="BF159" i="5"/>
  <c r="BG159" i="5"/>
  <c r="BH159" i="5"/>
  <c r="BI159" i="5"/>
  <c r="BJ159" i="5"/>
  <c r="BK159" i="5"/>
  <c r="BL159" i="5"/>
  <c r="BM159" i="5"/>
  <c r="BN159" i="5"/>
  <c r="BO159" i="5"/>
  <c r="BP159" i="5"/>
  <c r="BQ159" i="5"/>
  <c r="BR159" i="5"/>
  <c r="BS159" i="5"/>
  <c r="BT159" i="5"/>
  <c r="BU159" i="5"/>
  <c r="BV159" i="5"/>
  <c r="BW159" i="5"/>
  <c r="BX159" i="5"/>
  <c r="BY159" i="5"/>
  <c r="BZ159" i="5"/>
  <c r="CA159" i="5"/>
  <c r="CB159" i="5"/>
  <c r="CC159" i="5"/>
  <c r="CD159" i="5"/>
  <c r="CE159" i="5"/>
  <c r="CF159" i="5"/>
  <c r="CG159" i="5"/>
  <c r="CH159" i="5"/>
  <c r="CI159" i="5"/>
  <c r="CJ159" i="5"/>
  <c r="CK159" i="5"/>
  <c r="CL159" i="5"/>
  <c r="CM159" i="5"/>
  <c r="CN159" i="5"/>
  <c r="CO159" i="5"/>
  <c r="CP159" i="5"/>
  <c r="CQ159" i="5"/>
  <c r="CR159" i="5"/>
  <c r="CS159" i="5"/>
  <c r="CT159" i="5"/>
  <c r="CU159" i="5"/>
  <c r="CV159" i="5"/>
  <c r="CW159" i="5"/>
  <c r="CX159" i="5"/>
  <c r="CY159" i="5"/>
  <c r="CZ159" i="5"/>
  <c r="DA159" i="5"/>
  <c r="DB159" i="5"/>
  <c r="DC159" i="5"/>
  <c r="DD159" i="5"/>
  <c r="DE159" i="5"/>
  <c r="DF159" i="5"/>
  <c r="DG159" i="5"/>
  <c r="DH159" i="5"/>
  <c r="DI159" i="5"/>
  <c r="DJ159" i="5"/>
  <c r="DK159" i="5"/>
  <c r="DL159" i="5"/>
  <c r="DM159" i="5"/>
  <c r="DN159" i="5"/>
  <c r="DO159" i="5"/>
  <c r="DP159" i="5"/>
  <c r="DQ159" i="5"/>
  <c r="DR159" i="5"/>
  <c r="DS159" i="5"/>
  <c r="DT159" i="5"/>
  <c r="DU159" i="5"/>
  <c r="DV159" i="5"/>
  <c r="DW159" i="5"/>
  <c r="DX159" i="5"/>
  <c r="DY159" i="5"/>
  <c r="DZ159" i="5"/>
  <c r="EA159" i="5"/>
  <c r="EB159" i="5"/>
  <c r="EC159" i="5"/>
  <c r="ED159" i="5"/>
  <c r="EE159" i="5"/>
  <c r="EF159" i="5"/>
  <c r="EG159" i="5"/>
  <c r="EH159" i="5"/>
  <c r="EI159" i="5"/>
  <c r="EJ159" i="5"/>
  <c r="EK159" i="5"/>
  <c r="EL159" i="5"/>
  <c r="EM159" i="5"/>
  <c r="EN159" i="5"/>
  <c r="EO159" i="5"/>
  <c r="EP159" i="5"/>
  <c r="EQ159" i="5"/>
  <c r="ER159" i="5"/>
  <c r="ES159" i="5"/>
  <c r="ET159" i="5"/>
  <c r="EU159" i="5"/>
  <c r="EV159" i="5"/>
  <c r="EW159" i="5"/>
  <c r="EX159" i="5"/>
  <c r="EY159" i="5"/>
  <c r="EZ159" i="5"/>
  <c r="FA159" i="5"/>
  <c r="FB159" i="5"/>
  <c r="FC159" i="5"/>
  <c r="FD159" i="5"/>
  <c r="FE159" i="5"/>
  <c r="FF159" i="5"/>
  <c r="FG159" i="5"/>
  <c r="FH159" i="5"/>
  <c r="FI159" i="5"/>
  <c r="FJ159" i="5"/>
  <c r="FK159" i="5"/>
  <c r="FL159" i="5"/>
  <c r="FM159" i="5"/>
  <c r="FN159" i="5"/>
  <c r="FO159" i="5"/>
  <c r="FP159" i="5"/>
  <c r="FQ159" i="5"/>
  <c r="FR159" i="5"/>
  <c r="FS159" i="5"/>
  <c r="FT159" i="5"/>
  <c r="FU159" i="5"/>
  <c r="FV159" i="5"/>
  <c r="FW159" i="5"/>
  <c r="FX159" i="5"/>
  <c r="FY159" i="5"/>
  <c r="FZ159" i="5"/>
  <c r="GA159" i="5"/>
  <c r="GB159" i="5"/>
  <c r="GC159" i="5"/>
  <c r="GD159" i="5"/>
  <c r="GE159" i="5"/>
  <c r="GF159" i="5"/>
  <c r="GG159" i="5"/>
  <c r="GH159" i="5"/>
  <c r="GI159" i="5"/>
  <c r="GJ159" i="5"/>
  <c r="GK159" i="5"/>
  <c r="GL159" i="5"/>
  <c r="GM159" i="5"/>
  <c r="GN159" i="5"/>
  <c r="GO159" i="5"/>
  <c r="GP159" i="5"/>
  <c r="GQ159" i="5"/>
  <c r="GR159" i="5"/>
  <c r="GS159" i="5"/>
  <c r="GT159" i="5"/>
  <c r="GU159" i="5"/>
  <c r="GV159" i="5"/>
  <c r="GW159" i="5"/>
  <c r="GX159" i="5"/>
  <c r="GY159" i="5"/>
  <c r="GZ159" i="5"/>
  <c r="HA159" i="5"/>
  <c r="HB159" i="5"/>
  <c r="HC159" i="5"/>
  <c r="HD159" i="5"/>
  <c r="HE159" i="5"/>
  <c r="HF159" i="5"/>
  <c r="HG159" i="5"/>
  <c r="HH159" i="5"/>
  <c r="HI159" i="5"/>
  <c r="HJ159" i="5"/>
  <c r="HK159" i="5"/>
  <c r="HL159" i="5"/>
  <c r="HM159" i="5"/>
  <c r="HN159" i="5"/>
  <c r="HO159" i="5"/>
  <c r="HP159" i="5"/>
  <c r="HQ159" i="5"/>
  <c r="HR159" i="5"/>
  <c r="HS159" i="5"/>
  <c r="HT159" i="5"/>
  <c r="HU159" i="5"/>
  <c r="HV159" i="5"/>
  <c r="HW159" i="5"/>
  <c r="HX159" i="5"/>
  <c r="HY159" i="5"/>
  <c r="HZ159" i="5"/>
  <c r="IA159" i="5"/>
  <c r="IB159" i="5"/>
  <c r="IC159" i="5"/>
  <c r="ID159" i="5"/>
  <c r="IE159" i="5"/>
  <c r="IF159" i="5"/>
  <c r="IG159" i="5"/>
  <c r="IH159" i="5"/>
  <c r="II159" i="5"/>
  <c r="IJ159" i="5"/>
  <c r="IK159" i="5"/>
  <c r="IL159" i="5"/>
  <c r="IM159" i="5"/>
  <c r="IN159" i="5"/>
  <c r="IO159" i="5"/>
  <c r="IP159" i="5"/>
  <c r="IQ159" i="5"/>
  <c r="IR159" i="5"/>
  <c r="IS159" i="5"/>
  <c r="IT159" i="5"/>
  <c r="IU159" i="5"/>
  <c r="IV159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BB160" i="5"/>
  <c r="BC160" i="5"/>
  <c r="BD160" i="5"/>
  <c r="BE160" i="5"/>
  <c r="BF160" i="5"/>
  <c r="BG160" i="5"/>
  <c r="BH160" i="5"/>
  <c r="BI160" i="5"/>
  <c r="BJ160" i="5"/>
  <c r="BK160" i="5"/>
  <c r="BL160" i="5"/>
  <c r="BM160" i="5"/>
  <c r="BN160" i="5"/>
  <c r="BO160" i="5"/>
  <c r="BP160" i="5"/>
  <c r="BQ160" i="5"/>
  <c r="BR160" i="5"/>
  <c r="BS160" i="5"/>
  <c r="BT160" i="5"/>
  <c r="BU160" i="5"/>
  <c r="BV160" i="5"/>
  <c r="BW160" i="5"/>
  <c r="BX160" i="5"/>
  <c r="BY160" i="5"/>
  <c r="BZ160" i="5"/>
  <c r="CA160" i="5"/>
  <c r="CB160" i="5"/>
  <c r="CC160" i="5"/>
  <c r="CD160" i="5"/>
  <c r="CE160" i="5"/>
  <c r="CF160" i="5"/>
  <c r="CG160" i="5"/>
  <c r="CH160" i="5"/>
  <c r="CI160" i="5"/>
  <c r="CJ160" i="5"/>
  <c r="CK160" i="5"/>
  <c r="CL160" i="5"/>
  <c r="CM160" i="5"/>
  <c r="CN160" i="5"/>
  <c r="CO160" i="5"/>
  <c r="CP160" i="5"/>
  <c r="CQ160" i="5"/>
  <c r="CR160" i="5"/>
  <c r="CS160" i="5"/>
  <c r="CT160" i="5"/>
  <c r="CU160" i="5"/>
  <c r="CV160" i="5"/>
  <c r="CW160" i="5"/>
  <c r="CX160" i="5"/>
  <c r="CY160" i="5"/>
  <c r="CZ160" i="5"/>
  <c r="DA160" i="5"/>
  <c r="DB160" i="5"/>
  <c r="DC160" i="5"/>
  <c r="DD160" i="5"/>
  <c r="DE160" i="5"/>
  <c r="DF160" i="5"/>
  <c r="DG160" i="5"/>
  <c r="DH160" i="5"/>
  <c r="DI160" i="5"/>
  <c r="DJ160" i="5"/>
  <c r="DK160" i="5"/>
  <c r="DL160" i="5"/>
  <c r="DM160" i="5"/>
  <c r="DN160" i="5"/>
  <c r="DO160" i="5"/>
  <c r="DP160" i="5"/>
  <c r="DQ160" i="5"/>
  <c r="DR160" i="5"/>
  <c r="DS160" i="5"/>
  <c r="DT160" i="5"/>
  <c r="DU160" i="5"/>
  <c r="DV160" i="5"/>
  <c r="DW160" i="5"/>
  <c r="DX160" i="5"/>
  <c r="DY160" i="5"/>
  <c r="DZ160" i="5"/>
  <c r="EA160" i="5"/>
  <c r="EB160" i="5"/>
  <c r="EC160" i="5"/>
  <c r="ED160" i="5"/>
  <c r="EE160" i="5"/>
  <c r="EF160" i="5"/>
  <c r="EG160" i="5"/>
  <c r="EH160" i="5"/>
  <c r="EI160" i="5"/>
  <c r="EJ160" i="5"/>
  <c r="EK160" i="5"/>
  <c r="EL160" i="5"/>
  <c r="EM160" i="5"/>
  <c r="EN160" i="5"/>
  <c r="EO160" i="5"/>
  <c r="EP160" i="5"/>
  <c r="EQ160" i="5"/>
  <c r="ER160" i="5"/>
  <c r="ES160" i="5"/>
  <c r="ET160" i="5"/>
  <c r="EU160" i="5"/>
  <c r="EV160" i="5"/>
  <c r="EW160" i="5"/>
  <c r="EX160" i="5"/>
  <c r="EY160" i="5"/>
  <c r="EZ160" i="5"/>
  <c r="FA160" i="5"/>
  <c r="FB160" i="5"/>
  <c r="FC160" i="5"/>
  <c r="FD160" i="5"/>
  <c r="FE160" i="5"/>
  <c r="FF160" i="5"/>
  <c r="FG160" i="5"/>
  <c r="FH160" i="5"/>
  <c r="FI160" i="5"/>
  <c r="FJ160" i="5"/>
  <c r="FK160" i="5"/>
  <c r="FL160" i="5"/>
  <c r="FM160" i="5"/>
  <c r="FN160" i="5"/>
  <c r="FO160" i="5"/>
  <c r="FP160" i="5"/>
  <c r="FQ160" i="5"/>
  <c r="FR160" i="5"/>
  <c r="FS160" i="5"/>
  <c r="FT160" i="5"/>
  <c r="FU160" i="5"/>
  <c r="FV160" i="5"/>
  <c r="FW160" i="5"/>
  <c r="FX160" i="5"/>
  <c r="FY160" i="5"/>
  <c r="FZ160" i="5"/>
  <c r="GA160" i="5"/>
  <c r="GB160" i="5"/>
  <c r="GC160" i="5"/>
  <c r="GD160" i="5"/>
  <c r="GE160" i="5"/>
  <c r="GF160" i="5"/>
  <c r="GG160" i="5"/>
  <c r="GH160" i="5"/>
  <c r="GI160" i="5"/>
  <c r="GJ160" i="5"/>
  <c r="GK160" i="5"/>
  <c r="GL160" i="5"/>
  <c r="GM160" i="5"/>
  <c r="GN160" i="5"/>
  <c r="GO160" i="5"/>
  <c r="GP160" i="5"/>
  <c r="GQ160" i="5"/>
  <c r="GR160" i="5"/>
  <c r="GS160" i="5"/>
  <c r="GT160" i="5"/>
  <c r="GU160" i="5"/>
  <c r="GV160" i="5"/>
  <c r="GW160" i="5"/>
  <c r="GX160" i="5"/>
  <c r="GY160" i="5"/>
  <c r="GZ160" i="5"/>
  <c r="HA160" i="5"/>
  <c r="HB160" i="5"/>
  <c r="HC160" i="5"/>
  <c r="HD160" i="5"/>
  <c r="HE160" i="5"/>
  <c r="HF160" i="5"/>
  <c r="HG160" i="5"/>
  <c r="HH160" i="5"/>
  <c r="HI160" i="5"/>
  <c r="HJ160" i="5"/>
  <c r="HK160" i="5"/>
  <c r="HL160" i="5"/>
  <c r="HM160" i="5"/>
  <c r="HN160" i="5"/>
  <c r="HO160" i="5"/>
  <c r="HP160" i="5"/>
  <c r="HQ160" i="5"/>
  <c r="HR160" i="5"/>
  <c r="HS160" i="5"/>
  <c r="HT160" i="5"/>
  <c r="HU160" i="5"/>
  <c r="HV160" i="5"/>
  <c r="HW160" i="5"/>
  <c r="HX160" i="5"/>
  <c r="HY160" i="5"/>
  <c r="HZ160" i="5"/>
  <c r="IA160" i="5"/>
  <c r="IB160" i="5"/>
  <c r="IC160" i="5"/>
  <c r="ID160" i="5"/>
  <c r="IE160" i="5"/>
  <c r="IF160" i="5"/>
  <c r="IG160" i="5"/>
  <c r="IH160" i="5"/>
  <c r="II160" i="5"/>
  <c r="IJ160" i="5"/>
  <c r="IK160" i="5"/>
  <c r="IL160" i="5"/>
  <c r="IM160" i="5"/>
  <c r="IN160" i="5"/>
  <c r="IO160" i="5"/>
  <c r="IP160" i="5"/>
  <c r="IQ160" i="5"/>
  <c r="IR160" i="5"/>
  <c r="IS160" i="5"/>
  <c r="IT160" i="5"/>
  <c r="IU160" i="5"/>
  <c r="IV160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BB161" i="5"/>
  <c r="BC161" i="5"/>
  <c r="BD161" i="5"/>
  <c r="BE161" i="5"/>
  <c r="BF161" i="5"/>
  <c r="BG161" i="5"/>
  <c r="BH161" i="5"/>
  <c r="BI161" i="5"/>
  <c r="BJ161" i="5"/>
  <c r="BK161" i="5"/>
  <c r="BL161" i="5"/>
  <c r="BM161" i="5"/>
  <c r="BN161" i="5"/>
  <c r="BO161" i="5"/>
  <c r="BP161" i="5"/>
  <c r="BQ161" i="5"/>
  <c r="BR161" i="5"/>
  <c r="BS161" i="5"/>
  <c r="BT161" i="5"/>
  <c r="BU161" i="5"/>
  <c r="BV161" i="5"/>
  <c r="BW161" i="5"/>
  <c r="BX161" i="5"/>
  <c r="BY161" i="5"/>
  <c r="BZ161" i="5"/>
  <c r="CA161" i="5"/>
  <c r="CB161" i="5"/>
  <c r="CC161" i="5"/>
  <c r="CD161" i="5"/>
  <c r="CE161" i="5"/>
  <c r="CF161" i="5"/>
  <c r="CG161" i="5"/>
  <c r="CH161" i="5"/>
  <c r="CI161" i="5"/>
  <c r="CJ161" i="5"/>
  <c r="CK161" i="5"/>
  <c r="CL161" i="5"/>
  <c r="CM161" i="5"/>
  <c r="CN161" i="5"/>
  <c r="CO161" i="5"/>
  <c r="CP161" i="5"/>
  <c r="CQ161" i="5"/>
  <c r="CR161" i="5"/>
  <c r="CS161" i="5"/>
  <c r="CT161" i="5"/>
  <c r="CU161" i="5"/>
  <c r="CV161" i="5"/>
  <c r="CW161" i="5"/>
  <c r="CX161" i="5"/>
  <c r="CY161" i="5"/>
  <c r="CZ161" i="5"/>
  <c r="DA161" i="5"/>
  <c r="DB161" i="5"/>
  <c r="DC161" i="5"/>
  <c r="DD161" i="5"/>
  <c r="DE161" i="5"/>
  <c r="DF161" i="5"/>
  <c r="DG161" i="5"/>
  <c r="DH161" i="5"/>
  <c r="DI161" i="5"/>
  <c r="DJ161" i="5"/>
  <c r="DK161" i="5"/>
  <c r="DL161" i="5"/>
  <c r="DM161" i="5"/>
  <c r="DN161" i="5"/>
  <c r="DO161" i="5"/>
  <c r="DP161" i="5"/>
  <c r="DQ161" i="5"/>
  <c r="DR161" i="5"/>
  <c r="DS161" i="5"/>
  <c r="DT161" i="5"/>
  <c r="DU161" i="5"/>
  <c r="DV161" i="5"/>
  <c r="DW161" i="5"/>
  <c r="DX161" i="5"/>
  <c r="DY161" i="5"/>
  <c r="DZ161" i="5"/>
  <c r="EA161" i="5"/>
  <c r="EB161" i="5"/>
  <c r="EC161" i="5"/>
  <c r="ED161" i="5"/>
  <c r="EE161" i="5"/>
  <c r="EF161" i="5"/>
  <c r="EG161" i="5"/>
  <c r="EH161" i="5"/>
  <c r="EI161" i="5"/>
  <c r="EJ161" i="5"/>
  <c r="EK161" i="5"/>
  <c r="EL161" i="5"/>
  <c r="EM161" i="5"/>
  <c r="EN161" i="5"/>
  <c r="EO161" i="5"/>
  <c r="EP161" i="5"/>
  <c r="EQ161" i="5"/>
  <c r="ER161" i="5"/>
  <c r="ES161" i="5"/>
  <c r="ET161" i="5"/>
  <c r="EU161" i="5"/>
  <c r="EV161" i="5"/>
  <c r="EW161" i="5"/>
  <c r="EX161" i="5"/>
  <c r="EY161" i="5"/>
  <c r="EZ161" i="5"/>
  <c r="FA161" i="5"/>
  <c r="FB161" i="5"/>
  <c r="FC161" i="5"/>
  <c r="FD161" i="5"/>
  <c r="FE161" i="5"/>
  <c r="FF161" i="5"/>
  <c r="FG161" i="5"/>
  <c r="FH161" i="5"/>
  <c r="FI161" i="5"/>
  <c r="FJ161" i="5"/>
  <c r="FK161" i="5"/>
  <c r="FL161" i="5"/>
  <c r="FM161" i="5"/>
  <c r="FN161" i="5"/>
  <c r="FO161" i="5"/>
  <c r="FP161" i="5"/>
  <c r="FQ161" i="5"/>
  <c r="FR161" i="5"/>
  <c r="FS161" i="5"/>
  <c r="FT161" i="5"/>
  <c r="FU161" i="5"/>
  <c r="FV161" i="5"/>
  <c r="FW161" i="5"/>
  <c r="FX161" i="5"/>
  <c r="FY161" i="5"/>
  <c r="FZ161" i="5"/>
  <c r="GA161" i="5"/>
  <c r="GB161" i="5"/>
  <c r="GC161" i="5"/>
  <c r="GD161" i="5"/>
  <c r="GE161" i="5"/>
  <c r="GF161" i="5"/>
  <c r="GG161" i="5"/>
  <c r="GH161" i="5"/>
  <c r="GI161" i="5"/>
  <c r="GJ161" i="5"/>
  <c r="GK161" i="5"/>
  <c r="GL161" i="5"/>
  <c r="GM161" i="5"/>
  <c r="GN161" i="5"/>
  <c r="GO161" i="5"/>
  <c r="GP161" i="5"/>
  <c r="GQ161" i="5"/>
  <c r="GR161" i="5"/>
  <c r="GS161" i="5"/>
  <c r="GT161" i="5"/>
  <c r="GU161" i="5"/>
  <c r="GV161" i="5"/>
  <c r="GW161" i="5"/>
  <c r="GX161" i="5"/>
  <c r="GY161" i="5"/>
  <c r="GZ161" i="5"/>
  <c r="HA161" i="5"/>
  <c r="HB161" i="5"/>
  <c r="HC161" i="5"/>
  <c r="HD161" i="5"/>
  <c r="HE161" i="5"/>
  <c r="HF161" i="5"/>
  <c r="HG161" i="5"/>
  <c r="HH161" i="5"/>
  <c r="HI161" i="5"/>
  <c r="HJ161" i="5"/>
  <c r="HK161" i="5"/>
  <c r="HL161" i="5"/>
  <c r="HM161" i="5"/>
  <c r="HN161" i="5"/>
  <c r="HO161" i="5"/>
  <c r="HP161" i="5"/>
  <c r="HQ161" i="5"/>
  <c r="HR161" i="5"/>
  <c r="HS161" i="5"/>
  <c r="HT161" i="5"/>
  <c r="HU161" i="5"/>
  <c r="HV161" i="5"/>
  <c r="HW161" i="5"/>
  <c r="HX161" i="5"/>
  <c r="HY161" i="5"/>
  <c r="HZ161" i="5"/>
  <c r="IA161" i="5"/>
  <c r="IB161" i="5"/>
  <c r="IC161" i="5"/>
  <c r="ID161" i="5"/>
  <c r="IE161" i="5"/>
  <c r="IF161" i="5"/>
  <c r="IG161" i="5"/>
  <c r="IH161" i="5"/>
  <c r="II161" i="5"/>
  <c r="IJ161" i="5"/>
  <c r="IK161" i="5"/>
  <c r="IL161" i="5"/>
  <c r="IM161" i="5"/>
  <c r="IN161" i="5"/>
  <c r="IO161" i="5"/>
  <c r="IP161" i="5"/>
  <c r="IQ161" i="5"/>
  <c r="IR161" i="5"/>
  <c r="IS161" i="5"/>
  <c r="IT161" i="5"/>
  <c r="IU161" i="5"/>
  <c r="IV161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BB162" i="5"/>
  <c r="BC162" i="5"/>
  <c r="BD162" i="5"/>
  <c r="BE162" i="5"/>
  <c r="BF162" i="5"/>
  <c r="BG162" i="5"/>
  <c r="BH162" i="5"/>
  <c r="BI162" i="5"/>
  <c r="BJ162" i="5"/>
  <c r="BK162" i="5"/>
  <c r="BL162" i="5"/>
  <c r="BM162" i="5"/>
  <c r="BN162" i="5"/>
  <c r="BO162" i="5"/>
  <c r="BP162" i="5"/>
  <c r="BQ162" i="5"/>
  <c r="BR162" i="5"/>
  <c r="BS162" i="5"/>
  <c r="BT162" i="5"/>
  <c r="BU162" i="5"/>
  <c r="BV162" i="5"/>
  <c r="BW162" i="5"/>
  <c r="BX162" i="5"/>
  <c r="BY162" i="5"/>
  <c r="BZ162" i="5"/>
  <c r="CA162" i="5"/>
  <c r="CB162" i="5"/>
  <c r="CC162" i="5"/>
  <c r="CD162" i="5"/>
  <c r="CE162" i="5"/>
  <c r="CF162" i="5"/>
  <c r="CG162" i="5"/>
  <c r="CH162" i="5"/>
  <c r="CI162" i="5"/>
  <c r="CJ162" i="5"/>
  <c r="CK162" i="5"/>
  <c r="CL162" i="5"/>
  <c r="CM162" i="5"/>
  <c r="CN162" i="5"/>
  <c r="CO162" i="5"/>
  <c r="CP162" i="5"/>
  <c r="CQ162" i="5"/>
  <c r="CR162" i="5"/>
  <c r="CS162" i="5"/>
  <c r="CT162" i="5"/>
  <c r="CU162" i="5"/>
  <c r="CV162" i="5"/>
  <c r="CW162" i="5"/>
  <c r="CX162" i="5"/>
  <c r="CY162" i="5"/>
  <c r="CZ162" i="5"/>
  <c r="DA162" i="5"/>
  <c r="DB162" i="5"/>
  <c r="DC162" i="5"/>
  <c r="DD162" i="5"/>
  <c r="DE162" i="5"/>
  <c r="DF162" i="5"/>
  <c r="DG162" i="5"/>
  <c r="DH162" i="5"/>
  <c r="DI162" i="5"/>
  <c r="DJ162" i="5"/>
  <c r="DK162" i="5"/>
  <c r="DL162" i="5"/>
  <c r="DM162" i="5"/>
  <c r="DN162" i="5"/>
  <c r="DO162" i="5"/>
  <c r="DP162" i="5"/>
  <c r="DQ162" i="5"/>
  <c r="DR162" i="5"/>
  <c r="DS162" i="5"/>
  <c r="DT162" i="5"/>
  <c r="DU162" i="5"/>
  <c r="DV162" i="5"/>
  <c r="DW162" i="5"/>
  <c r="DX162" i="5"/>
  <c r="DY162" i="5"/>
  <c r="DZ162" i="5"/>
  <c r="EA162" i="5"/>
  <c r="EB162" i="5"/>
  <c r="EC162" i="5"/>
  <c r="ED162" i="5"/>
  <c r="EE162" i="5"/>
  <c r="EF162" i="5"/>
  <c r="EG162" i="5"/>
  <c r="EH162" i="5"/>
  <c r="EI162" i="5"/>
  <c r="EJ162" i="5"/>
  <c r="EK162" i="5"/>
  <c r="EL162" i="5"/>
  <c r="EM162" i="5"/>
  <c r="EN162" i="5"/>
  <c r="EO162" i="5"/>
  <c r="EP162" i="5"/>
  <c r="EQ162" i="5"/>
  <c r="ER162" i="5"/>
  <c r="ES162" i="5"/>
  <c r="ET162" i="5"/>
  <c r="EU162" i="5"/>
  <c r="EV162" i="5"/>
  <c r="EW162" i="5"/>
  <c r="EX162" i="5"/>
  <c r="EY162" i="5"/>
  <c r="EZ162" i="5"/>
  <c r="FA162" i="5"/>
  <c r="FB162" i="5"/>
  <c r="FC162" i="5"/>
  <c r="FD162" i="5"/>
  <c r="FE162" i="5"/>
  <c r="FF162" i="5"/>
  <c r="FG162" i="5"/>
  <c r="FH162" i="5"/>
  <c r="FI162" i="5"/>
  <c r="FJ162" i="5"/>
  <c r="FK162" i="5"/>
  <c r="FL162" i="5"/>
  <c r="FM162" i="5"/>
  <c r="FN162" i="5"/>
  <c r="FO162" i="5"/>
  <c r="FP162" i="5"/>
  <c r="FQ162" i="5"/>
  <c r="FR162" i="5"/>
  <c r="FS162" i="5"/>
  <c r="FT162" i="5"/>
  <c r="FU162" i="5"/>
  <c r="FV162" i="5"/>
  <c r="FW162" i="5"/>
  <c r="FX162" i="5"/>
  <c r="FY162" i="5"/>
  <c r="FZ162" i="5"/>
  <c r="GA162" i="5"/>
  <c r="GB162" i="5"/>
  <c r="GC162" i="5"/>
  <c r="GD162" i="5"/>
  <c r="GE162" i="5"/>
  <c r="GF162" i="5"/>
  <c r="GG162" i="5"/>
  <c r="GH162" i="5"/>
  <c r="GI162" i="5"/>
  <c r="GJ162" i="5"/>
  <c r="GK162" i="5"/>
  <c r="GL162" i="5"/>
  <c r="GM162" i="5"/>
  <c r="GN162" i="5"/>
  <c r="GO162" i="5"/>
  <c r="GP162" i="5"/>
  <c r="GQ162" i="5"/>
  <c r="GR162" i="5"/>
  <c r="GS162" i="5"/>
  <c r="GT162" i="5"/>
  <c r="GU162" i="5"/>
  <c r="GV162" i="5"/>
  <c r="GW162" i="5"/>
  <c r="GX162" i="5"/>
  <c r="GY162" i="5"/>
  <c r="GZ162" i="5"/>
  <c r="HA162" i="5"/>
  <c r="HB162" i="5"/>
  <c r="HC162" i="5"/>
  <c r="HD162" i="5"/>
  <c r="HE162" i="5"/>
  <c r="HF162" i="5"/>
  <c r="HG162" i="5"/>
  <c r="HH162" i="5"/>
  <c r="HI162" i="5"/>
  <c r="HJ162" i="5"/>
  <c r="HK162" i="5"/>
  <c r="HL162" i="5"/>
  <c r="HM162" i="5"/>
  <c r="HN162" i="5"/>
  <c r="HO162" i="5"/>
  <c r="HP162" i="5"/>
  <c r="HQ162" i="5"/>
  <c r="HR162" i="5"/>
  <c r="HS162" i="5"/>
  <c r="HT162" i="5"/>
  <c r="HU162" i="5"/>
  <c r="HV162" i="5"/>
  <c r="HW162" i="5"/>
  <c r="HX162" i="5"/>
  <c r="HY162" i="5"/>
  <c r="HZ162" i="5"/>
  <c r="IA162" i="5"/>
  <c r="IB162" i="5"/>
  <c r="IC162" i="5"/>
  <c r="ID162" i="5"/>
  <c r="IE162" i="5"/>
  <c r="IF162" i="5"/>
  <c r="IG162" i="5"/>
  <c r="IH162" i="5"/>
  <c r="II162" i="5"/>
  <c r="IJ162" i="5"/>
  <c r="IK162" i="5"/>
  <c r="IL162" i="5"/>
  <c r="IM162" i="5"/>
  <c r="IN162" i="5"/>
  <c r="IO162" i="5"/>
  <c r="IP162" i="5"/>
  <c r="IQ162" i="5"/>
  <c r="IR162" i="5"/>
  <c r="IS162" i="5"/>
  <c r="IT162" i="5"/>
  <c r="IU162" i="5"/>
  <c r="IV162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BB163" i="5"/>
  <c r="BC163" i="5"/>
  <c r="BD163" i="5"/>
  <c r="BE163" i="5"/>
  <c r="BF163" i="5"/>
  <c r="BG163" i="5"/>
  <c r="BH163" i="5"/>
  <c r="BI163" i="5"/>
  <c r="BJ163" i="5"/>
  <c r="BK163" i="5"/>
  <c r="BL163" i="5"/>
  <c r="BM163" i="5"/>
  <c r="BN163" i="5"/>
  <c r="BO163" i="5"/>
  <c r="BP163" i="5"/>
  <c r="BQ163" i="5"/>
  <c r="BR163" i="5"/>
  <c r="BS163" i="5"/>
  <c r="BT163" i="5"/>
  <c r="BU163" i="5"/>
  <c r="BV163" i="5"/>
  <c r="BW163" i="5"/>
  <c r="BX163" i="5"/>
  <c r="BY163" i="5"/>
  <c r="BZ163" i="5"/>
  <c r="CA163" i="5"/>
  <c r="CB163" i="5"/>
  <c r="CC163" i="5"/>
  <c r="CD163" i="5"/>
  <c r="CE163" i="5"/>
  <c r="CF163" i="5"/>
  <c r="CG163" i="5"/>
  <c r="CH163" i="5"/>
  <c r="CI163" i="5"/>
  <c r="CJ163" i="5"/>
  <c r="CK163" i="5"/>
  <c r="CL163" i="5"/>
  <c r="CM163" i="5"/>
  <c r="CN163" i="5"/>
  <c r="CO163" i="5"/>
  <c r="CP163" i="5"/>
  <c r="CQ163" i="5"/>
  <c r="CR163" i="5"/>
  <c r="CS163" i="5"/>
  <c r="CT163" i="5"/>
  <c r="CU163" i="5"/>
  <c r="CV163" i="5"/>
  <c r="CW163" i="5"/>
  <c r="CX163" i="5"/>
  <c r="CY163" i="5"/>
  <c r="CZ163" i="5"/>
  <c r="DA163" i="5"/>
  <c r="DB163" i="5"/>
  <c r="DC163" i="5"/>
  <c r="DD163" i="5"/>
  <c r="DE163" i="5"/>
  <c r="DF163" i="5"/>
  <c r="DG163" i="5"/>
  <c r="DH163" i="5"/>
  <c r="DI163" i="5"/>
  <c r="DJ163" i="5"/>
  <c r="DK163" i="5"/>
  <c r="DL163" i="5"/>
  <c r="DM163" i="5"/>
  <c r="DN163" i="5"/>
  <c r="DO163" i="5"/>
  <c r="DP163" i="5"/>
  <c r="DQ163" i="5"/>
  <c r="DR163" i="5"/>
  <c r="DS163" i="5"/>
  <c r="DT163" i="5"/>
  <c r="DU163" i="5"/>
  <c r="DV163" i="5"/>
  <c r="DW163" i="5"/>
  <c r="DX163" i="5"/>
  <c r="DY163" i="5"/>
  <c r="DZ163" i="5"/>
  <c r="EA163" i="5"/>
  <c r="EB163" i="5"/>
  <c r="EC163" i="5"/>
  <c r="ED163" i="5"/>
  <c r="EE163" i="5"/>
  <c r="EF163" i="5"/>
  <c r="EG163" i="5"/>
  <c r="EH163" i="5"/>
  <c r="EI163" i="5"/>
  <c r="EJ163" i="5"/>
  <c r="EK163" i="5"/>
  <c r="EL163" i="5"/>
  <c r="EM163" i="5"/>
  <c r="EN163" i="5"/>
  <c r="EO163" i="5"/>
  <c r="EP163" i="5"/>
  <c r="EQ163" i="5"/>
  <c r="ER163" i="5"/>
  <c r="ES163" i="5"/>
  <c r="ET163" i="5"/>
  <c r="EU163" i="5"/>
  <c r="EV163" i="5"/>
  <c r="EW163" i="5"/>
  <c r="EX163" i="5"/>
  <c r="EY163" i="5"/>
  <c r="EZ163" i="5"/>
  <c r="FA163" i="5"/>
  <c r="FB163" i="5"/>
  <c r="FC163" i="5"/>
  <c r="FD163" i="5"/>
  <c r="FE163" i="5"/>
  <c r="FF163" i="5"/>
  <c r="FG163" i="5"/>
  <c r="FH163" i="5"/>
  <c r="FI163" i="5"/>
  <c r="FJ163" i="5"/>
  <c r="FK163" i="5"/>
  <c r="FL163" i="5"/>
  <c r="FM163" i="5"/>
  <c r="FN163" i="5"/>
  <c r="FO163" i="5"/>
  <c r="FP163" i="5"/>
  <c r="FQ163" i="5"/>
  <c r="FR163" i="5"/>
  <c r="FS163" i="5"/>
  <c r="FT163" i="5"/>
  <c r="FU163" i="5"/>
  <c r="FV163" i="5"/>
  <c r="FW163" i="5"/>
  <c r="FX163" i="5"/>
  <c r="FY163" i="5"/>
  <c r="FZ163" i="5"/>
  <c r="GA163" i="5"/>
  <c r="GB163" i="5"/>
  <c r="GC163" i="5"/>
  <c r="GD163" i="5"/>
  <c r="GE163" i="5"/>
  <c r="GF163" i="5"/>
  <c r="GG163" i="5"/>
  <c r="GH163" i="5"/>
  <c r="GI163" i="5"/>
  <c r="GJ163" i="5"/>
  <c r="GK163" i="5"/>
  <c r="GL163" i="5"/>
  <c r="GM163" i="5"/>
  <c r="GN163" i="5"/>
  <c r="GO163" i="5"/>
  <c r="GP163" i="5"/>
  <c r="GQ163" i="5"/>
  <c r="GR163" i="5"/>
  <c r="GS163" i="5"/>
  <c r="GT163" i="5"/>
  <c r="GU163" i="5"/>
  <c r="GV163" i="5"/>
  <c r="GW163" i="5"/>
  <c r="GX163" i="5"/>
  <c r="GY163" i="5"/>
  <c r="GZ163" i="5"/>
  <c r="HA163" i="5"/>
  <c r="HB163" i="5"/>
  <c r="HC163" i="5"/>
  <c r="HD163" i="5"/>
  <c r="HE163" i="5"/>
  <c r="HF163" i="5"/>
  <c r="HG163" i="5"/>
  <c r="HH163" i="5"/>
  <c r="HI163" i="5"/>
  <c r="HJ163" i="5"/>
  <c r="HK163" i="5"/>
  <c r="HL163" i="5"/>
  <c r="HM163" i="5"/>
  <c r="HN163" i="5"/>
  <c r="HO163" i="5"/>
  <c r="HP163" i="5"/>
  <c r="HQ163" i="5"/>
  <c r="HR163" i="5"/>
  <c r="HS163" i="5"/>
  <c r="HT163" i="5"/>
  <c r="HU163" i="5"/>
  <c r="HV163" i="5"/>
  <c r="HW163" i="5"/>
  <c r="HX163" i="5"/>
  <c r="HY163" i="5"/>
  <c r="HZ163" i="5"/>
  <c r="IA163" i="5"/>
  <c r="IB163" i="5"/>
  <c r="IC163" i="5"/>
  <c r="ID163" i="5"/>
  <c r="IE163" i="5"/>
  <c r="IF163" i="5"/>
  <c r="IG163" i="5"/>
  <c r="IH163" i="5"/>
  <c r="II163" i="5"/>
  <c r="IJ163" i="5"/>
  <c r="IK163" i="5"/>
  <c r="IL163" i="5"/>
  <c r="IM163" i="5"/>
  <c r="IN163" i="5"/>
  <c r="IO163" i="5"/>
  <c r="IP163" i="5"/>
  <c r="IQ163" i="5"/>
  <c r="IR163" i="5"/>
  <c r="IS163" i="5"/>
  <c r="IT163" i="5"/>
  <c r="IU163" i="5"/>
  <c r="IV163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BE164" i="5"/>
  <c r="BF164" i="5"/>
  <c r="BG164" i="5"/>
  <c r="BH164" i="5"/>
  <c r="BI164" i="5"/>
  <c r="BJ164" i="5"/>
  <c r="BK164" i="5"/>
  <c r="BL164" i="5"/>
  <c r="BM164" i="5"/>
  <c r="BN164" i="5"/>
  <c r="BO164" i="5"/>
  <c r="BP164" i="5"/>
  <c r="BQ164" i="5"/>
  <c r="BR164" i="5"/>
  <c r="BS164" i="5"/>
  <c r="BT164" i="5"/>
  <c r="BU164" i="5"/>
  <c r="BV164" i="5"/>
  <c r="BW164" i="5"/>
  <c r="BX164" i="5"/>
  <c r="BY164" i="5"/>
  <c r="BZ164" i="5"/>
  <c r="CA164" i="5"/>
  <c r="CB164" i="5"/>
  <c r="CC164" i="5"/>
  <c r="CD164" i="5"/>
  <c r="CE164" i="5"/>
  <c r="CF164" i="5"/>
  <c r="CG164" i="5"/>
  <c r="CH164" i="5"/>
  <c r="CI164" i="5"/>
  <c r="CJ164" i="5"/>
  <c r="CK164" i="5"/>
  <c r="CL164" i="5"/>
  <c r="CM164" i="5"/>
  <c r="CN164" i="5"/>
  <c r="CO164" i="5"/>
  <c r="CP164" i="5"/>
  <c r="CQ164" i="5"/>
  <c r="CR164" i="5"/>
  <c r="CS164" i="5"/>
  <c r="CT164" i="5"/>
  <c r="CU164" i="5"/>
  <c r="CV164" i="5"/>
  <c r="CW164" i="5"/>
  <c r="CX164" i="5"/>
  <c r="CY164" i="5"/>
  <c r="CZ164" i="5"/>
  <c r="DA164" i="5"/>
  <c r="DB164" i="5"/>
  <c r="DC164" i="5"/>
  <c r="DD164" i="5"/>
  <c r="DE164" i="5"/>
  <c r="DF164" i="5"/>
  <c r="DG164" i="5"/>
  <c r="DH164" i="5"/>
  <c r="DI164" i="5"/>
  <c r="DJ164" i="5"/>
  <c r="DK164" i="5"/>
  <c r="DL164" i="5"/>
  <c r="DM164" i="5"/>
  <c r="DN164" i="5"/>
  <c r="DO164" i="5"/>
  <c r="DP164" i="5"/>
  <c r="DQ164" i="5"/>
  <c r="DR164" i="5"/>
  <c r="DS164" i="5"/>
  <c r="DT164" i="5"/>
  <c r="DU164" i="5"/>
  <c r="DV164" i="5"/>
  <c r="DW164" i="5"/>
  <c r="DX164" i="5"/>
  <c r="DY164" i="5"/>
  <c r="DZ164" i="5"/>
  <c r="EA164" i="5"/>
  <c r="EB164" i="5"/>
  <c r="EC164" i="5"/>
  <c r="ED164" i="5"/>
  <c r="EE164" i="5"/>
  <c r="EF164" i="5"/>
  <c r="EG164" i="5"/>
  <c r="EH164" i="5"/>
  <c r="EI164" i="5"/>
  <c r="EJ164" i="5"/>
  <c r="EK164" i="5"/>
  <c r="EL164" i="5"/>
  <c r="EM164" i="5"/>
  <c r="EN164" i="5"/>
  <c r="EO164" i="5"/>
  <c r="EP164" i="5"/>
  <c r="EQ164" i="5"/>
  <c r="ER164" i="5"/>
  <c r="ES164" i="5"/>
  <c r="ET164" i="5"/>
  <c r="EU164" i="5"/>
  <c r="EV164" i="5"/>
  <c r="EW164" i="5"/>
  <c r="EX164" i="5"/>
  <c r="EY164" i="5"/>
  <c r="EZ164" i="5"/>
  <c r="FA164" i="5"/>
  <c r="FB164" i="5"/>
  <c r="FC164" i="5"/>
  <c r="FD164" i="5"/>
  <c r="FE164" i="5"/>
  <c r="FF164" i="5"/>
  <c r="FG164" i="5"/>
  <c r="FH164" i="5"/>
  <c r="FI164" i="5"/>
  <c r="FJ164" i="5"/>
  <c r="FK164" i="5"/>
  <c r="FL164" i="5"/>
  <c r="FM164" i="5"/>
  <c r="FN164" i="5"/>
  <c r="FO164" i="5"/>
  <c r="FP164" i="5"/>
  <c r="FQ164" i="5"/>
  <c r="FR164" i="5"/>
  <c r="FS164" i="5"/>
  <c r="FT164" i="5"/>
  <c r="FU164" i="5"/>
  <c r="FV164" i="5"/>
  <c r="FW164" i="5"/>
  <c r="FX164" i="5"/>
  <c r="FY164" i="5"/>
  <c r="FZ164" i="5"/>
  <c r="GA164" i="5"/>
  <c r="GB164" i="5"/>
  <c r="GC164" i="5"/>
  <c r="GD164" i="5"/>
  <c r="GE164" i="5"/>
  <c r="GF164" i="5"/>
  <c r="GG164" i="5"/>
  <c r="GH164" i="5"/>
  <c r="GI164" i="5"/>
  <c r="GJ164" i="5"/>
  <c r="GK164" i="5"/>
  <c r="GL164" i="5"/>
  <c r="GM164" i="5"/>
  <c r="GN164" i="5"/>
  <c r="GO164" i="5"/>
  <c r="GP164" i="5"/>
  <c r="GQ164" i="5"/>
  <c r="GR164" i="5"/>
  <c r="GS164" i="5"/>
  <c r="GT164" i="5"/>
  <c r="GU164" i="5"/>
  <c r="GV164" i="5"/>
  <c r="GW164" i="5"/>
  <c r="GX164" i="5"/>
  <c r="GY164" i="5"/>
  <c r="GZ164" i="5"/>
  <c r="HA164" i="5"/>
  <c r="HB164" i="5"/>
  <c r="HC164" i="5"/>
  <c r="HD164" i="5"/>
  <c r="HE164" i="5"/>
  <c r="HF164" i="5"/>
  <c r="HG164" i="5"/>
  <c r="HH164" i="5"/>
  <c r="HI164" i="5"/>
  <c r="HJ164" i="5"/>
  <c r="HK164" i="5"/>
  <c r="HL164" i="5"/>
  <c r="HM164" i="5"/>
  <c r="HN164" i="5"/>
  <c r="HO164" i="5"/>
  <c r="HP164" i="5"/>
  <c r="HQ164" i="5"/>
  <c r="HR164" i="5"/>
  <c r="HS164" i="5"/>
  <c r="HT164" i="5"/>
  <c r="HU164" i="5"/>
  <c r="HV164" i="5"/>
  <c r="HW164" i="5"/>
  <c r="HX164" i="5"/>
  <c r="HY164" i="5"/>
  <c r="HZ164" i="5"/>
  <c r="IA164" i="5"/>
  <c r="IB164" i="5"/>
  <c r="IC164" i="5"/>
  <c r="ID164" i="5"/>
  <c r="IE164" i="5"/>
  <c r="IF164" i="5"/>
  <c r="IG164" i="5"/>
  <c r="IH164" i="5"/>
  <c r="II164" i="5"/>
  <c r="IJ164" i="5"/>
  <c r="IK164" i="5"/>
  <c r="IL164" i="5"/>
  <c r="IM164" i="5"/>
  <c r="IN164" i="5"/>
  <c r="IO164" i="5"/>
  <c r="IP164" i="5"/>
  <c r="IQ164" i="5"/>
  <c r="IR164" i="5"/>
  <c r="IS164" i="5"/>
  <c r="IT164" i="5"/>
  <c r="IU164" i="5"/>
  <c r="IV164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B165" i="5"/>
  <c r="BC165" i="5"/>
  <c r="BD165" i="5"/>
  <c r="BE165" i="5"/>
  <c r="BF165" i="5"/>
  <c r="BG165" i="5"/>
  <c r="BH165" i="5"/>
  <c r="BI165" i="5"/>
  <c r="BJ165" i="5"/>
  <c r="BK165" i="5"/>
  <c r="BL165" i="5"/>
  <c r="BM165" i="5"/>
  <c r="BN165" i="5"/>
  <c r="BO165" i="5"/>
  <c r="BP165" i="5"/>
  <c r="BQ165" i="5"/>
  <c r="BR165" i="5"/>
  <c r="BS165" i="5"/>
  <c r="BT165" i="5"/>
  <c r="BU165" i="5"/>
  <c r="BV165" i="5"/>
  <c r="BW165" i="5"/>
  <c r="BX165" i="5"/>
  <c r="BY165" i="5"/>
  <c r="BZ165" i="5"/>
  <c r="CA165" i="5"/>
  <c r="CB165" i="5"/>
  <c r="CC165" i="5"/>
  <c r="CD165" i="5"/>
  <c r="CE165" i="5"/>
  <c r="CF165" i="5"/>
  <c r="CG165" i="5"/>
  <c r="CH165" i="5"/>
  <c r="CI165" i="5"/>
  <c r="CJ165" i="5"/>
  <c r="CK165" i="5"/>
  <c r="CL165" i="5"/>
  <c r="CM165" i="5"/>
  <c r="CN165" i="5"/>
  <c r="CO165" i="5"/>
  <c r="CP165" i="5"/>
  <c r="CQ165" i="5"/>
  <c r="CR165" i="5"/>
  <c r="CS165" i="5"/>
  <c r="CT165" i="5"/>
  <c r="CU165" i="5"/>
  <c r="CV165" i="5"/>
  <c r="CW165" i="5"/>
  <c r="CX165" i="5"/>
  <c r="CY165" i="5"/>
  <c r="CZ165" i="5"/>
  <c r="DA165" i="5"/>
  <c r="DB165" i="5"/>
  <c r="DC165" i="5"/>
  <c r="DD165" i="5"/>
  <c r="DE165" i="5"/>
  <c r="DF165" i="5"/>
  <c r="DG165" i="5"/>
  <c r="DH165" i="5"/>
  <c r="DI165" i="5"/>
  <c r="DJ165" i="5"/>
  <c r="DK165" i="5"/>
  <c r="DL165" i="5"/>
  <c r="DM165" i="5"/>
  <c r="DN165" i="5"/>
  <c r="DO165" i="5"/>
  <c r="DP165" i="5"/>
  <c r="DQ165" i="5"/>
  <c r="DR165" i="5"/>
  <c r="DS165" i="5"/>
  <c r="DT165" i="5"/>
  <c r="DU165" i="5"/>
  <c r="DV165" i="5"/>
  <c r="DW165" i="5"/>
  <c r="DX165" i="5"/>
  <c r="DY165" i="5"/>
  <c r="DZ165" i="5"/>
  <c r="EA165" i="5"/>
  <c r="EB165" i="5"/>
  <c r="EC165" i="5"/>
  <c r="ED165" i="5"/>
  <c r="EE165" i="5"/>
  <c r="EF165" i="5"/>
  <c r="EG165" i="5"/>
  <c r="EH165" i="5"/>
  <c r="EI165" i="5"/>
  <c r="EJ165" i="5"/>
  <c r="EK165" i="5"/>
  <c r="EL165" i="5"/>
  <c r="EM165" i="5"/>
  <c r="EN165" i="5"/>
  <c r="EO165" i="5"/>
  <c r="EP165" i="5"/>
  <c r="EQ165" i="5"/>
  <c r="ER165" i="5"/>
  <c r="ES165" i="5"/>
  <c r="ET165" i="5"/>
  <c r="EU165" i="5"/>
  <c r="EV165" i="5"/>
  <c r="EW165" i="5"/>
  <c r="EX165" i="5"/>
  <c r="EY165" i="5"/>
  <c r="EZ165" i="5"/>
  <c r="FA165" i="5"/>
  <c r="FB165" i="5"/>
  <c r="FC165" i="5"/>
  <c r="FD165" i="5"/>
  <c r="FE165" i="5"/>
  <c r="FF165" i="5"/>
  <c r="FG165" i="5"/>
  <c r="FH165" i="5"/>
  <c r="FI165" i="5"/>
  <c r="FJ165" i="5"/>
  <c r="FK165" i="5"/>
  <c r="FL165" i="5"/>
  <c r="FM165" i="5"/>
  <c r="FN165" i="5"/>
  <c r="FO165" i="5"/>
  <c r="FP165" i="5"/>
  <c r="FQ165" i="5"/>
  <c r="FR165" i="5"/>
  <c r="FS165" i="5"/>
  <c r="FT165" i="5"/>
  <c r="FU165" i="5"/>
  <c r="FV165" i="5"/>
  <c r="FW165" i="5"/>
  <c r="FX165" i="5"/>
  <c r="FY165" i="5"/>
  <c r="FZ165" i="5"/>
  <c r="GA165" i="5"/>
  <c r="GB165" i="5"/>
  <c r="GC165" i="5"/>
  <c r="GD165" i="5"/>
  <c r="GE165" i="5"/>
  <c r="GF165" i="5"/>
  <c r="GG165" i="5"/>
  <c r="GH165" i="5"/>
  <c r="GI165" i="5"/>
  <c r="GJ165" i="5"/>
  <c r="GK165" i="5"/>
  <c r="GL165" i="5"/>
  <c r="GM165" i="5"/>
  <c r="GN165" i="5"/>
  <c r="GO165" i="5"/>
  <c r="GP165" i="5"/>
  <c r="GQ165" i="5"/>
  <c r="GR165" i="5"/>
  <c r="GS165" i="5"/>
  <c r="GT165" i="5"/>
  <c r="GU165" i="5"/>
  <c r="GV165" i="5"/>
  <c r="GW165" i="5"/>
  <c r="GX165" i="5"/>
  <c r="GY165" i="5"/>
  <c r="GZ165" i="5"/>
  <c r="HA165" i="5"/>
  <c r="HB165" i="5"/>
  <c r="HC165" i="5"/>
  <c r="HD165" i="5"/>
  <c r="HE165" i="5"/>
  <c r="HF165" i="5"/>
  <c r="HG165" i="5"/>
  <c r="HH165" i="5"/>
  <c r="HI165" i="5"/>
  <c r="HJ165" i="5"/>
  <c r="HK165" i="5"/>
  <c r="HL165" i="5"/>
  <c r="HM165" i="5"/>
  <c r="HN165" i="5"/>
  <c r="HO165" i="5"/>
  <c r="HP165" i="5"/>
  <c r="HQ165" i="5"/>
  <c r="HR165" i="5"/>
  <c r="HS165" i="5"/>
  <c r="HT165" i="5"/>
  <c r="HU165" i="5"/>
  <c r="HV165" i="5"/>
  <c r="HW165" i="5"/>
  <c r="HX165" i="5"/>
  <c r="HY165" i="5"/>
  <c r="HZ165" i="5"/>
  <c r="IA165" i="5"/>
  <c r="IB165" i="5"/>
  <c r="IC165" i="5"/>
  <c r="ID165" i="5"/>
  <c r="IE165" i="5"/>
  <c r="IF165" i="5"/>
  <c r="IG165" i="5"/>
  <c r="IH165" i="5"/>
  <c r="II165" i="5"/>
  <c r="IJ165" i="5"/>
  <c r="IK165" i="5"/>
  <c r="IL165" i="5"/>
  <c r="IM165" i="5"/>
  <c r="IN165" i="5"/>
  <c r="IO165" i="5"/>
  <c r="IP165" i="5"/>
  <c r="IQ165" i="5"/>
  <c r="IR165" i="5"/>
  <c r="IS165" i="5"/>
  <c r="IT165" i="5"/>
  <c r="IU165" i="5"/>
  <c r="IV165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BM166" i="5"/>
  <c r="BN166" i="5"/>
  <c r="BO166" i="5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CD166" i="5"/>
  <c r="CE166" i="5"/>
  <c r="CF166" i="5"/>
  <c r="CG166" i="5"/>
  <c r="CH166" i="5"/>
  <c r="CI166" i="5"/>
  <c r="CJ166" i="5"/>
  <c r="CK166" i="5"/>
  <c r="CL166" i="5"/>
  <c r="CM166" i="5"/>
  <c r="CN166" i="5"/>
  <c r="CO166" i="5"/>
  <c r="CP166" i="5"/>
  <c r="CQ166" i="5"/>
  <c r="CR166" i="5"/>
  <c r="CS166" i="5"/>
  <c r="CT166" i="5"/>
  <c r="CU166" i="5"/>
  <c r="CV166" i="5"/>
  <c r="CW166" i="5"/>
  <c r="CX166" i="5"/>
  <c r="CY166" i="5"/>
  <c r="CZ166" i="5"/>
  <c r="DA166" i="5"/>
  <c r="DB166" i="5"/>
  <c r="DC166" i="5"/>
  <c r="DD166" i="5"/>
  <c r="DE166" i="5"/>
  <c r="DF166" i="5"/>
  <c r="DG166" i="5"/>
  <c r="DH166" i="5"/>
  <c r="DI166" i="5"/>
  <c r="DJ166" i="5"/>
  <c r="DK166" i="5"/>
  <c r="DL166" i="5"/>
  <c r="DM166" i="5"/>
  <c r="DN166" i="5"/>
  <c r="DO166" i="5"/>
  <c r="DP166" i="5"/>
  <c r="DQ166" i="5"/>
  <c r="DR166" i="5"/>
  <c r="DS166" i="5"/>
  <c r="DT166" i="5"/>
  <c r="DU166" i="5"/>
  <c r="DV166" i="5"/>
  <c r="DW166" i="5"/>
  <c r="DX166" i="5"/>
  <c r="DY166" i="5"/>
  <c r="DZ166" i="5"/>
  <c r="EA166" i="5"/>
  <c r="EB166" i="5"/>
  <c r="EC166" i="5"/>
  <c r="ED166" i="5"/>
  <c r="EE166" i="5"/>
  <c r="EF166" i="5"/>
  <c r="EG166" i="5"/>
  <c r="EH166" i="5"/>
  <c r="EI166" i="5"/>
  <c r="EJ166" i="5"/>
  <c r="EK166" i="5"/>
  <c r="EL166" i="5"/>
  <c r="EM166" i="5"/>
  <c r="EN166" i="5"/>
  <c r="EO166" i="5"/>
  <c r="EP166" i="5"/>
  <c r="EQ166" i="5"/>
  <c r="ER166" i="5"/>
  <c r="ES166" i="5"/>
  <c r="ET166" i="5"/>
  <c r="EU166" i="5"/>
  <c r="EV166" i="5"/>
  <c r="EW166" i="5"/>
  <c r="EX166" i="5"/>
  <c r="EY166" i="5"/>
  <c r="EZ166" i="5"/>
  <c r="FA166" i="5"/>
  <c r="FB166" i="5"/>
  <c r="FC166" i="5"/>
  <c r="FD166" i="5"/>
  <c r="FE166" i="5"/>
  <c r="FF166" i="5"/>
  <c r="FG166" i="5"/>
  <c r="FH166" i="5"/>
  <c r="FI166" i="5"/>
  <c r="FJ166" i="5"/>
  <c r="FK166" i="5"/>
  <c r="FL166" i="5"/>
  <c r="FM166" i="5"/>
  <c r="FN166" i="5"/>
  <c r="FO166" i="5"/>
  <c r="FP166" i="5"/>
  <c r="FQ166" i="5"/>
  <c r="FR166" i="5"/>
  <c r="FS166" i="5"/>
  <c r="FT166" i="5"/>
  <c r="FU166" i="5"/>
  <c r="FV166" i="5"/>
  <c r="FW166" i="5"/>
  <c r="FX166" i="5"/>
  <c r="FY166" i="5"/>
  <c r="FZ166" i="5"/>
  <c r="GA166" i="5"/>
  <c r="GB166" i="5"/>
  <c r="GC166" i="5"/>
  <c r="GD166" i="5"/>
  <c r="GE166" i="5"/>
  <c r="GF166" i="5"/>
  <c r="GG166" i="5"/>
  <c r="GH166" i="5"/>
  <c r="GI166" i="5"/>
  <c r="GJ166" i="5"/>
  <c r="GK166" i="5"/>
  <c r="GL166" i="5"/>
  <c r="GM166" i="5"/>
  <c r="GN166" i="5"/>
  <c r="GO166" i="5"/>
  <c r="HL166" i="5"/>
  <c r="HM166" i="5"/>
  <c r="HN166" i="5"/>
  <c r="HO166" i="5"/>
  <c r="HP166" i="5"/>
  <c r="HQ166" i="5"/>
  <c r="HR166" i="5"/>
  <c r="HS166" i="5"/>
  <c r="HT166" i="5"/>
  <c r="HU166" i="5"/>
  <c r="HV166" i="5"/>
  <c r="HW166" i="5"/>
  <c r="HX166" i="5"/>
  <c r="HY166" i="5"/>
  <c r="HZ166" i="5"/>
  <c r="IA166" i="5"/>
  <c r="IB166" i="5"/>
  <c r="IC166" i="5"/>
  <c r="ID166" i="5"/>
  <c r="IE166" i="5"/>
  <c r="IF166" i="5"/>
  <c r="IG166" i="5"/>
  <c r="IH166" i="5"/>
  <c r="II166" i="5"/>
  <c r="IJ166" i="5"/>
  <c r="IK166" i="5"/>
  <c r="IL166" i="5"/>
  <c r="IM166" i="5"/>
  <c r="IN166" i="5"/>
  <c r="IO166" i="5"/>
  <c r="IP166" i="5"/>
  <c r="IQ166" i="5"/>
  <c r="IR166" i="5"/>
  <c r="IS166" i="5"/>
  <c r="IT166" i="5"/>
  <c r="IU166" i="5"/>
  <c r="IV166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AV167" i="5"/>
  <c r="AW167" i="5"/>
  <c r="AX167" i="5"/>
  <c r="AY167" i="5"/>
  <c r="AZ167" i="5"/>
  <c r="BA167" i="5"/>
  <c r="BB167" i="5"/>
  <c r="BC167" i="5"/>
  <c r="BD167" i="5"/>
  <c r="BE167" i="5"/>
  <c r="BF167" i="5"/>
  <c r="BG167" i="5"/>
  <c r="BH167" i="5"/>
  <c r="BI167" i="5"/>
  <c r="BJ167" i="5"/>
  <c r="BK167" i="5"/>
  <c r="BL167" i="5"/>
  <c r="BM167" i="5"/>
  <c r="BN167" i="5"/>
  <c r="BO167" i="5"/>
  <c r="BP167" i="5"/>
  <c r="BQ167" i="5"/>
  <c r="BR167" i="5"/>
  <c r="BS167" i="5"/>
  <c r="BT167" i="5"/>
  <c r="BU167" i="5"/>
  <c r="BV167" i="5"/>
  <c r="BW167" i="5"/>
  <c r="BX167" i="5"/>
  <c r="BY167" i="5"/>
  <c r="BZ167" i="5"/>
  <c r="CA167" i="5"/>
  <c r="CB167" i="5"/>
  <c r="CC167" i="5"/>
  <c r="CD167" i="5"/>
  <c r="CE167" i="5"/>
  <c r="CF167" i="5"/>
  <c r="CG167" i="5"/>
  <c r="CH167" i="5"/>
  <c r="CI167" i="5"/>
  <c r="CJ167" i="5"/>
  <c r="CK167" i="5"/>
  <c r="CL167" i="5"/>
  <c r="CM167" i="5"/>
  <c r="CN167" i="5"/>
  <c r="CO167" i="5"/>
  <c r="CP167" i="5"/>
  <c r="CQ167" i="5"/>
  <c r="CR167" i="5"/>
  <c r="CS167" i="5"/>
  <c r="CT167" i="5"/>
  <c r="CU167" i="5"/>
  <c r="CV167" i="5"/>
  <c r="CW167" i="5"/>
  <c r="CX167" i="5"/>
  <c r="CY167" i="5"/>
  <c r="CZ167" i="5"/>
  <c r="DA167" i="5"/>
  <c r="DB167" i="5"/>
  <c r="DC167" i="5"/>
  <c r="DD167" i="5"/>
  <c r="DE167" i="5"/>
  <c r="DF167" i="5"/>
  <c r="DG167" i="5"/>
  <c r="DH167" i="5"/>
  <c r="DI167" i="5"/>
  <c r="DJ167" i="5"/>
  <c r="DK167" i="5"/>
  <c r="DL167" i="5"/>
  <c r="DM167" i="5"/>
  <c r="DN167" i="5"/>
  <c r="DO167" i="5"/>
  <c r="DP167" i="5"/>
  <c r="DQ167" i="5"/>
  <c r="DR167" i="5"/>
  <c r="DS167" i="5"/>
  <c r="DT167" i="5"/>
  <c r="DU167" i="5"/>
  <c r="DV167" i="5"/>
  <c r="DW167" i="5"/>
  <c r="DX167" i="5"/>
  <c r="DY167" i="5"/>
  <c r="DZ167" i="5"/>
  <c r="EA167" i="5"/>
  <c r="EB167" i="5"/>
  <c r="EC167" i="5"/>
  <c r="ED167" i="5"/>
  <c r="EE167" i="5"/>
  <c r="EF167" i="5"/>
  <c r="EG167" i="5"/>
  <c r="EH167" i="5"/>
  <c r="EI167" i="5"/>
  <c r="EJ167" i="5"/>
  <c r="EK167" i="5"/>
  <c r="EL167" i="5"/>
  <c r="EM167" i="5"/>
  <c r="EN167" i="5"/>
  <c r="EO167" i="5"/>
  <c r="EP167" i="5"/>
  <c r="EQ167" i="5"/>
  <c r="ER167" i="5"/>
  <c r="ES167" i="5"/>
  <c r="ET167" i="5"/>
  <c r="EU167" i="5"/>
  <c r="EV167" i="5"/>
  <c r="EW167" i="5"/>
  <c r="EX167" i="5"/>
  <c r="EY167" i="5"/>
  <c r="EZ167" i="5"/>
  <c r="FA167" i="5"/>
  <c r="FB167" i="5"/>
  <c r="FC167" i="5"/>
  <c r="FD167" i="5"/>
  <c r="FE167" i="5"/>
  <c r="FF167" i="5"/>
  <c r="FG167" i="5"/>
  <c r="FH167" i="5"/>
  <c r="FI167" i="5"/>
  <c r="FJ167" i="5"/>
  <c r="FK167" i="5"/>
  <c r="FL167" i="5"/>
  <c r="FM167" i="5"/>
  <c r="FN167" i="5"/>
  <c r="FO167" i="5"/>
  <c r="FP167" i="5"/>
  <c r="FQ167" i="5"/>
  <c r="FR167" i="5"/>
  <c r="FS167" i="5"/>
  <c r="FT167" i="5"/>
  <c r="FU167" i="5"/>
  <c r="FV167" i="5"/>
  <c r="FW167" i="5"/>
  <c r="FX167" i="5"/>
  <c r="FY167" i="5"/>
  <c r="FZ167" i="5"/>
  <c r="GA167" i="5"/>
  <c r="GB167" i="5"/>
  <c r="GC167" i="5"/>
  <c r="GD167" i="5"/>
  <c r="GE167" i="5"/>
  <c r="GF167" i="5"/>
  <c r="GG167" i="5"/>
  <c r="GH167" i="5"/>
  <c r="GI167" i="5"/>
  <c r="GJ167" i="5"/>
  <c r="GK167" i="5"/>
  <c r="GL167" i="5"/>
  <c r="GM167" i="5"/>
  <c r="GN167" i="5"/>
  <c r="GO167" i="5"/>
  <c r="GP167" i="5"/>
  <c r="GQ167" i="5"/>
  <c r="GR167" i="5"/>
  <c r="GS167" i="5"/>
  <c r="GT167" i="5"/>
  <c r="GU167" i="5"/>
  <c r="GV167" i="5"/>
  <c r="GW167" i="5"/>
  <c r="GX167" i="5"/>
  <c r="GY167" i="5"/>
  <c r="GZ167" i="5"/>
  <c r="HA167" i="5"/>
  <c r="HB167" i="5"/>
  <c r="HC167" i="5"/>
  <c r="HD167" i="5"/>
  <c r="HE167" i="5"/>
  <c r="HF167" i="5"/>
  <c r="HG167" i="5"/>
  <c r="HH167" i="5"/>
  <c r="HI167" i="5"/>
  <c r="HJ167" i="5"/>
  <c r="HK167" i="5"/>
  <c r="HL167" i="5"/>
  <c r="HM167" i="5"/>
  <c r="HN167" i="5"/>
  <c r="HO167" i="5"/>
  <c r="HP167" i="5"/>
  <c r="HQ167" i="5"/>
  <c r="HR167" i="5"/>
  <c r="HS167" i="5"/>
  <c r="HT167" i="5"/>
  <c r="HU167" i="5"/>
  <c r="HV167" i="5"/>
  <c r="HW167" i="5"/>
  <c r="HX167" i="5"/>
  <c r="HY167" i="5"/>
  <c r="HZ167" i="5"/>
  <c r="IA167" i="5"/>
  <c r="IB167" i="5"/>
  <c r="IC167" i="5"/>
  <c r="ID167" i="5"/>
  <c r="IE167" i="5"/>
  <c r="IF167" i="5"/>
  <c r="IG167" i="5"/>
  <c r="IH167" i="5"/>
  <c r="II167" i="5"/>
  <c r="IJ167" i="5"/>
  <c r="IK167" i="5"/>
  <c r="IL167" i="5"/>
  <c r="IM167" i="5"/>
  <c r="IN167" i="5"/>
  <c r="IO167" i="5"/>
  <c r="IP167" i="5"/>
  <c r="IQ167" i="5"/>
  <c r="IR167" i="5"/>
  <c r="IS167" i="5"/>
  <c r="IT167" i="5"/>
  <c r="IU167" i="5"/>
  <c r="IV167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BB168" i="5"/>
  <c r="BC168" i="5"/>
  <c r="BD168" i="5"/>
  <c r="BE168" i="5"/>
  <c r="BF168" i="5"/>
  <c r="BG168" i="5"/>
  <c r="BH168" i="5"/>
  <c r="BI168" i="5"/>
  <c r="BJ168" i="5"/>
  <c r="BK168" i="5"/>
  <c r="BL168" i="5"/>
  <c r="BM168" i="5"/>
  <c r="BN168" i="5"/>
  <c r="BO168" i="5"/>
  <c r="BP168" i="5"/>
  <c r="BQ168" i="5"/>
  <c r="BR168" i="5"/>
  <c r="BS168" i="5"/>
  <c r="BT168" i="5"/>
  <c r="BU168" i="5"/>
  <c r="BV168" i="5"/>
  <c r="BW168" i="5"/>
  <c r="BX168" i="5"/>
  <c r="BY168" i="5"/>
  <c r="BZ168" i="5"/>
  <c r="CA168" i="5"/>
  <c r="CB168" i="5"/>
  <c r="CC168" i="5"/>
  <c r="CD168" i="5"/>
  <c r="CE168" i="5"/>
  <c r="CF168" i="5"/>
  <c r="CG168" i="5"/>
  <c r="CH168" i="5"/>
  <c r="CI168" i="5"/>
  <c r="CJ168" i="5"/>
  <c r="CK168" i="5"/>
  <c r="CL168" i="5"/>
  <c r="CM168" i="5"/>
  <c r="CN168" i="5"/>
  <c r="CO168" i="5"/>
  <c r="CP168" i="5"/>
  <c r="CQ168" i="5"/>
  <c r="CR168" i="5"/>
  <c r="CS168" i="5"/>
  <c r="CT168" i="5"/>
  <c r="CU168" i="5"/>
  <c r="CV168" i="5"/>
  <c r="CW168" i="5"/>
  <c r="CX168" i="5"/>
  <c r="CY168" i="5"/>
  <c r="CZ168" i="5"/>
  <c r="DA168" i="5"/>
  <c r="DB168" i="5"/>
  <c r="DC168" i="5"/>
  <c r="DD168" i="5"/>
  <c r="DE168" i="5"/>
  <c r="DF168" i="5"/>
  <c r="DG168" i="5"/>
  <c r="DH168" i="5"/>
  <c r="DI168" i="5"/>
  <c r="DJ168" i="5"/>
  <c r="DK168" i="5"/>
  <c r="DL168" i="5"/>
  <c r="DM168" i="5"/>
  <c r="DN168" i="5"/>
  <c r="DO168" i="5"/>
  <c r="DP168" i="5"/>
  <c r="DQ168" i="5"/>
  <c r="DR168" i="5"/>
  <c r="DS168" i="5"/>
  <c r="DT168" i="5"/>
  <c r="DU168" i="5"/>
  <c r="DV168" i="5"/>
  <c r="DW168" i="5"/>
  <c r="DX168" i="5"/>
  <c r="DY168" i="5"/>
  <c r="DZ168" i="5"/>
  <c r="EA168" i="5"/>
  <c r="EB168" i="5"/>
  <c r="EC168" i="5"/>
  <c r="ED168" i="5"/>
  <c r="EE168" i="5"/>
  <c r="EF168" i="5"/>
  <c r="EG168" i="5"/>
  <c r="EH168" i="5"/>
  <c r="EI168" i="5"/>
  <c r="EJ168" i="5"/>
  <c r="EK168" i="5"/>
  <c r="EL168" i="5"/>
  <c r="EM168" i="5"/>
  <c r="EN168" i="5"/>
  <c r="EO168" i="5"/>
  <c r="EP168" i="5"/>
  <c r="EQ168" i="5"/>
  <c r="ER168" i="5"/>
  <c r="ES168" i="5"/>
  <c r="ET168" i="5"/>
  <c r="EU168" i="5"/>
  <c r="EV168" i="5"/>
  <c r="EW168" i="5"/>
  <c r="EX168" i="5"/>
  <c r="EY168" i="5"/>
  <c r="EZ168" i="5"/>
  <c r="FA168" i="5"/>
  <c r="FB168" i="5"/>
  <c r="FC168" i="5"/>
  <c r="FD168" i="5"/>
  <c r="FE168" i="5"/>
  <c r="FF168" i="5"/>
  <c r="FG168" i="5"/>
  <c r="FH168" i="5"/>
  <c r="FI168" i="5"/>
  <c r="FJ168" i="5"/>
  <c r="FK168" i="5"/>
  <c r="FL168" i="5"/>
  <c r="FM168" i="5"/>
  <c r="FN168" i="5"/>
  <c r="FO168" i="5"/>
  <c r="FP168" i="5"/>
  <c r="FQ168" i="5"/>
  <c r="FR168" i="5"/>
  <c r="FS168" i="5"/>
  <c r="FT168" i="5"/>
  <c r="FU168" i="5"/>
  <c r="FV168" i="5"/>
  <c r="FW168" i="5"/>
  <c r="FX168" i="5"/>
  <c r="FY168" i="5"/>
  <c r="FZ168" i="5"/>
  <c r="GA168" i="5"/>
  <c r="GB168" i="5"/>
  <c r="GC168" i="5"/>
  <c r="GD168" i="5"/>
  <c r="GE168" i="5"/>
  <c r="GF168" i="5"/>
  <c r="GG168" i="5"/>
  <c r="GH168" i="5"/>
  <c r="GI168" i="5"/>
  <c r="GJ168" i="5"/>
  <c r="GK168" i="5"/>
  <c r="GL168" i="5"/>
  <c r="GM168" i="5"/>
  <c r="GN168" i="5"/>
  <c r="GO168" i="5"/>
  <c r="GP168" i="5"/>
  <c r="GQ168" i="5"/>
  <c r="GR168" i="5"/>
  <c r="GS168" i="5"/>
  <c r="GT168" i="5"/>
  <c r="GU168" i="5"/>
  <c r="GV168" i="5"/>
  <c r="GW168" i="5"/>
  <c r="GX168" i="5"/>
  <c r="GY168" i="5"/>
  <c r="GZ168" i="5"/>
  <c r="HA168" i="5"/>
  <c r="HB168" i="5"/>
  <c r="HC168" i="5"/>
  <c r="HD168" i="5"/>
  <c r="HE168" i="5"/>
  <c r="HF168" i="5"/>
  <c r="HG168" i="5"/>
  <c r="HH168" i="5"/>
  <c r="HI168" i="5"/>
  <c r="HJ168" i="5"/>
  <c r="HK168" i="5"/>
  <c r="HL168" i="5"/>
  <c r="HM168" i="5"/>
  <c r="HN168" i="5"/>
  <c r="HO168" i="5"/>
  <c r="HP168" i="5"/>
  <c r="HQ168" i="5"/>
  <c r="HR168" i="5"/>
  <c r="HS168" i="5"/>
  <c r="HT168" i="5"/>
  <c r="HU168" i="5"/>
  <c r="HV168" i="5"/>
  <c r="HW168" i="5"/>
  <c r="HX168" i="5"/>
  <c r="HY168" i="5"/>
  <c r="HZ168" i="5"/>
  <c r="IA168" i="5"/>
  <c r="IB168" i="5"/>
  <c r="IC168" i="5"/>
  <c r="ID168" i="5"/>
  <c r="IE168" i="5"/>
  <c r="IF168" i="5"/>
  <c r="IG168" i="5"/>
  <c r="IH168" i="5"/>
  <c r="II168" i="5"/>
  <c r="IJ168" i="5"/>
  <c r="IK168" i="5"/>
  <c r="IL168" i="5"/>
  <c r="IM168" i="5"/>
  <c r="IN168" i="5"/>
  <c r="IO168" i="5"/>
  <c r="IP168" i="5"/>
  <c r="IQ168" i="5"/>
  <c r="IR168" i="5"/>
  <c r="IS168" i="5"/>
  <c r="IT168" i="5"/>
  <c r="IU168" i="5"/>
  <c r="IV168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BB169" i="5"/>
  <c r="BC169" i="5"/>
  <c r="BD169" i="5"/>
  <c r="BE169" i="5"/>
  <c r="BF169" i="5"/>
  <c r="BG169" i="5"/>
  <c r="BH169" i="5"/>
  <c r="BI169" i="5"/>
  <c r="BJ169" i="5"/>
  <c r="BK169" i="5"/>
  <c r="BL169" i="5"/>
  <c r="BM169" i="5"/>
  <c r="BN169" i="5"/>
  <c r="BO169" i="5"/>
  <c r="BP169" i="5"/>
  <c r="BQ169" i="5"/>
  <c r="BR169" i="5"/>
  <c r="BS169" i="5"/>
  <c r="BT169" i="5"/>
  <c r="BU169" i="5"/>
  <c r="BV169" i="5"/>
  <c r="BW169" i="5"/>
  <c r="BX169" i="5"/>
  <c r="BY169" i="5"/>
  <c r="BZ169" i="5"/>
  <c r="CA169" i="5"/>
  <c r="CB169" i="5"/>
  <c r="CC169" i="5"/>
  <c r="CD169" i="5"/>
  <c r="CE169" i="5"/>
  <c r="CF169" i="5"/>
  <c r="CG169" i="5"/>
  <c r="CH169" i="5"/>
  <c r="CI169" i="5"/>
  <c r="CJ169" i="5"/>
  <c r="CK169" i="5"/>
  <c r="CL169" i="5"/>
  <c r="CM169" i="5"/>
  <c r="CN169" i="5"/>
  <c r="CO169" i="5"/>
  <c r="CP169" i="5"/>
  <c r="CQ169" i="5"/>
  <c r="CR169" i="5"/>
  <c r="CS169" i="5"/>
  <c r="CT169" i="5"/>
  <c r="CU169" i="5"/>
  <c r="CV169" i="5"/>
  <c r="CW169" i="5"/>
  <c r="CX169" i="5"/>
  <c r="CY169" i="5"/>
  <c r="CZ169" i="5"/>
  <c r="DA169" i="5"/>
  <c r="DB169" i="5"/>
  <c r="DC169" i="5"/>
  <c r="DD169" i="5"/>
  <c r="DE169" i="5"/>
  <c r="DF169" i="5"/>
  <c r="DG169" i="5"/>
  <c r="DH169" i="5"/>
  <c r="DI169" i="5"/>
  <c r="DJ169" i="5"/>
  <c r="DK169" i="5"/>
  <c r="DL169" i="5"/>
  <c r="DM169" i="5"/>
  <c r="DN169" i="5"/>
  <c r="DO169" i="5"/>
  <c r="DP169" i="5"/>
  <c r="DQ169" i="5"/>
  <c r="DR169" i="5"/>
  <c r="DS169" i="5"/>
  <c r="DT169" i="5"/>
  <c r="DU169" i="5"/>
  <c r="DV169" i="5"/>
  <c r="DW169" i="5"/>
  <c r="DX169" i="5"/>
  <c r="DY169" i="5"/>
  <c r="DZ169" i="5"/>
  <c r="EA169" i="5"/>
  <c r="EB169" i="5"/>
  <c r="EC169" i="5"/>
  <c r="ED169" i="5"/>
  <c r="EE169" i="5"/>
  <c r="EF169" i="5"/>
  <c r="EG169" i="5"/>
  <c r="EH169" i="5"/>
  <c r="EI169" i="5"/>
  <c r="EJ169" i="5"/>
  <c r="EK169" i="5"/>
  <c r="EL169" i="5"/>
  <c r="EM169" i="5"/>
  <c r="EN169" i="5"/>
  <c r="EO169" i="5"/>
  <c r="EP169" i="5"/>
  <c r="EQ169" i="5"/>
  <c r="ER169" i="5"/>
  <c r="ES169" i="5"/>
  <c r="ET169" i="5"/>
  <c r="EU169" i="5"/>
  <c r="EV169" i="5"/>
  <c r="EW169" i="5"/>
  <c r="EX169" i="5"/>
  <c r="EY169" i="5"/>
  <c r="EZ169" i="5"/>
  <c r="FA169" i="5"/>
  <c r="FB169" i="5"/>
  <c r="FC169" i="5"/>
  <c r="FD169" i="5"/>
  <c r="FE169" i="5"/>
  <c r="FF169" i="5"/>
  <c r="FG169" i="5"/>
  <c r="FH169" i="5"/>
  <c r="FI169" i="5"/>
  <c r="FJ169" i="5"/>
  <c r="FK169" i="5"/>
  <c r="FL169" i="5"/>
  <c r="FM169" i="5"/>
  <c r="FN169" i="5"/>
  <c r="FO169" i="5"/>
  <c r="FP169" i="5"/>
  <c r="FQ169" i="5"/>
  <c r="FR169" i="5"/>
  <c r="FS169" i="5"/>
  <c r="FT169" i="5"/>
  <c r="FU169" i="5"/>
  <c r="FV169" i="5"/>
  <c r="FW169" i="5"/>
  <c r="FX169" i="5"/>
  <c r="FY169" i="5"/>
  <c r="FZ169" i="5"/>
  <c r="GA169" i="5"/>
  <c r="GB169" i="5"/>
  <c r="GC169" i="5"/>
  <c r="GD169" i="5"/>
  <c r="GE169" i="5"/>
  <c r="GF169" i="5"/>
  <c r="GG169" i="5"/>
  <c r="GH169" i="5"/>
  <c r="GI169" i="5"/>
  <c r="GJ169" i="5"/>
  <c r="GK169" i="5"/>
  <c r="GL169" i="5"/>
  <c r="GM169" i="5"/>
  <c r="GN169" i="5"/>
  <c r="GO169" i="5"/>
  <c r="GP169" i="5"/>
  <c r="GQ169" i="5"/>
  <c r="GR169" i="5"/>
  <c r="GS169" i="5"/>
  <c r="GT169" i="5"/>
  <c r="GU169" i="5"/>
  <c r="GV169" i="5"/>
  <c r="GW169" i="5"/>
  <c r="GX169" i="5"/>
  <c r="GY169" i="5"/>
  <c r="GZ169" i="5"/>
  <c r="HA169" i="5"/>
  <c r="HB169" i="5"/>
  <c r="HC169" i="5"/>
  <c r="HD169" i="5"/>
  <c r="HE169" i="5"/>
  <c r="HF169" i="5"/>
  <c r="HG169" i="5"/>
  <c r="HH169" i="5"/>
  <c r="HI169" i="5"/>
  <c r="HJ169" i="5"/>
  <c r="HK169" i="5"/>
  <c r="HL169" i="5"/>
  <c r="HM169" i="5"/>
  <c r="HN169" i="5"/>
  <c r="HO169" i="5"/>
  <c r="HP169" i="5"/>
  <c r="HQ169" i="5"/>
  <c r="HR169" i="5"/>
  <c r="HS169" i="5"/>
  <c r="HT169" i="5"/>
  <c r="HU169" i="5"/>
  <c r="HV169" i="5"/>
  <c r="HW169" i="5"/>
  <c r="HX169" i="5"/>
  <c r="HY169" i="5"/>
  <c r="HZ169" i="5"/>
  <c r="IA169" i="5"/>
  <c r="IB169" i="5"/>
  <c r="IC169" i="5"/>
  <c r="ID169" i="5"/>
  <c r="IE169" i="5"/>
  <c r="IF169" i="5"/>
  <c r="IG169" i="5"/>
  <c r="IH169" i="5"/>
  <c r="II169" i="5"/>
  <c r="IJ169" i="5"/>
  <c r="IK169" i="5"/>
  <c r="IL169" i="5"/>
  <c r="IM169" i="5"/>
  <c r="IN169" i="5"/>
  <c r="IO169" i="5"/>
  <c r="IP169" i="5"/>
  <c r="IQ169" i="5"/>
  <c r="IR169" i="5"/>
  <c r="IS169" i="5"/>
  <c r="IT169" i="5"/>
  <c r="IU169" i="5"/>
  <c r="IV169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BB170" i="5"/>
  <c r="BC170" i="5"/>
  <c r="BD170" i="5"/>
  <c r="BE170" i="5"/>
  <c r="BF170" i="5"/>
  <c r="BG170" i="5"/>
  <c r="BH170" i="5"/>
  <c r="BI170" i="5"/>
  <c r="BJ170" i="5"/>
  <c r="BK170" i="5"/>
  <c r="BL170" i="5"/>
  <c r="BM170" i="5"/>
  <c r="BN170" i="5"/>
  <c r="BO170" i="5"/>
  <c r="BP170" i="5"/>
  <c r="BQ170" i="5"/>
  <c r="BR170" i="5"/>
  <c r="BS170" i="5"/>
  <c r="BT170" i="5"/>
  <c r="BU170" i="5"/>
  <c r="BV170" i="5"/>
  <c r="BW170" i="5"/>
  <c r="BX170" i="5"/>
  <c r="BY170" i="5"/>
  <c r="BZ170" i="5"/>
  <c r="CA170" i="5"/>
  <c r="CB170" i="5"/>
  <c r="CC170" i="5"/>
  <c r="CD170" i="5"/>
  <c r="CE170" i="5"/>
  <c r="CF170" i="5"/>
  <c r="CG170" i="5"/>
  <c r="CH170" i="5"/>
  <c r="CI170" i="5"/>
  <c r="CJ170" i="5"/>
  <c r="CK170" i="5"/>
  <c r="CL170" i="5"/>
  <c r="CM170" i="5"/>
  <c r="CN170" i="5"/>
  <c r="CO170" i="5"/>
  <c r="CP170" i="5"/>
  <c r="CQ170" i="5"/>
  <c r="CR170" i="5"/>
  <c r="CS170" i="5"/>
  <c r="CT170" i="5"/>
  <c r="CU170" i="5"/>
  <c r="CV170" i="5"/>
  <c r="CW170" i="5"/>
  <c r="CX170" i="5"/>
  <c r="CY170" i="5"/>
  <c r="CZ170" i="5"/>
  <c r="DA170" i="5"/>
  <c r="DB170" i="5"/>
  <c r="DC170" i="5"/>
  <c r="DD170" i="5"/>
  <c r="DE170" i="5"/>
  <c r="DF170" i="5"/>
  <c r="DG170" i="5"/>
  <c r="DH170" i="5"/>
  <c r="DI170" i="5"/>
  <c r="DJ170" i="5"/>
  <c r="DK170" i="5"/>
  <c r="DL170" i="5"/>
  <c r="DM170" i="5"/>
  <c r="DN170" i="5"/>
  <c r="DO170" i="5"/>
  <c r="DP170" i="5"/>
  <c r="DQ170" i="5"/>
  <c r="DR170" i="5"/>
  <c r="DS170" i="5"/>
  <c r="DT170" i="5"/>
  <c r="DU170" i="5"/>
  <c r="DV170" i="5"/>
  <c r="DW170" i="5"/>
  <c r="DX170" i="5"/>
  <c r="DY170" i="5"/>
  <c r="DZ170" i="5"/>
  <c r="EA170" i="5"/>
  <c r="EB170" i="5"/>
  <c r="EC170" i="5"/>
  <c r="ED170" i="5"/>
  <c r="EE170" i="5"/>
  <c r="EF170" i="5"/>
  <c r="EG170" i="5"/>
  <c r="EH170" i="5"/>
  <c r="EI170" i="5"/>
  <c r="EJ170" i="5"/>
  <c r="EK170" i="5"/>
  <c r="EL170" i="5"/>
  <c r="EM170" i="5"/>
  <c r="EN170" i="5"/>
  <c r="EO170" i="5"/>
  <c r="EP170" i="5"/>
  <c r="EQ170" i="5"/>
  <c r="ER170" i="5"/>
  <c r="ES170" i="5"/>
  <c r="ET170" i="5"/>
  <c r="EU170" i="5"/>
  <c r="EV170" i="5"/>
  <c r="EW170" i="5"/>
  <c r="EX170" i="5"/>
  <c r="EY170" i="5"/>
  <c r="EZ170" i="5"/>
  <c r="FA170" i="5"/>
  <c r="FB170" i="5"/>
  <c r="FC170" i="5"/>
  <c r="FD170" i="5"/>
  <c r="FE170" i="5"/>
  <c r="FF170" i="5"/>
  <c r="FG170" i="5"/>
  <c r="FH170" i="5"/>
  <c r="FI170" i="5"/>
  <c r="FJ170" i="5"/>
  <c r="FK170" i="5"/>
  <c r="FL170" i="5"/>
  <c r="FM170" i="5"/>
  <c r="FN170" i="5"/>
  <c r="FO170" i="5"/>
  <c r="FP170" i="5"/>
  <c r="FQ170" i="5"/>
  <c r="FR170" i="5"/>
  <c r="FS170" i="5"/>
  <c r="FT170" i="5"/>
  <c r="FU170" i="5"/>
  <c r="FV170" i="5"/>
  <c r="FW170" i="5"/>
  <c r="FX170" i="5"/>
  <c r="FY170" i="5"/>
  <c r="FZ170" i="5"/>
  <c r="GA170" i="5"/>
  <c r="GB170" i="5"/>
  <c r="GC170" i="5"/>
  <c r="GD170" i="5"/>
  <c r="GE170" i="5"/>
  <c r="GF170" i="5"/>
  <c r="GG170" i="5"/>
  <c r="GH170" i="5"/>
  <c r="GI170" i="5"/>
  <c r="HF170" i="5"/>
  <c r="IC170" i="5"/>
  <c r="I171" i="5"/>
  <c r="AF171" i="5"/>
  <c r="BC171" i="5"/>
  <c r="BZ171" i="5"/>
  <c r="CW171" i="5"/>
  <c r="DT171" i="5"/>
  <c r="EQ171" i="5"/>
  <c r="FN171" i="5"/>
  <c r="GK171" i="5"/>
  <c r="HH171" i="5"/>
  <c r="IE171" i="5"/>
  <c r="K172" i="5"/>
  <c r="AH172" i="5"/>
  <c r="BE172" i="5"/>
  <c r="CB172" i="5"/>
  <c r="CY172" i="5"/>
  <c r="DV172" i="5"/>
  <c r="ES172" i="5"/>
  <c r="FP172" i="5"/>
  <c r="GM172" i="5"/>
  <c r="HJ172" i="5"/>
  <c r="IG172" i="5"/>
  <c r="M173" i="5"/>
  <c r="AJ173" i="5"/>
  <c r="BG173" i="5"/>
  <c r="CD173" i="5"/>
  <c r="DA173" i="5"/>
  <c r="DX173" i="5"/>
  <c r="EU173" i="5"/>
  <c r="FR173" i="5"/>
  <c r="GO173" i="5"/>
  <c r="HL173" i="5"/>
  <c r="II173" i="5"/>
  <c r="O174" i="5"/>
  <c r="AL174" i="5"/>
  <c r="BI174" i="5"/>
  <c r="CF174" i="5"/>
  <c r="DC174" i="5"/>
  <c r="DZ174" i="5"/>
  <c r="EW174" i="5"/>
  <c r="FT174" i="5"/>
  <c r="GQ174" i="5"/>
  <c r="HN174" i="5"/>
  <c r="IK174" i="5"/>
  <c r="Q175" i="5"/>
  <c r="AN175" i="5"/>
  <c r="BK175" i="5"/>
  <c r="CH175" i="5"/>
  <c r="DE175" i="5"/>
  <c r="EB175" i="5"/>
  <c r="EY175" i="5"/>
  <c r="FV175" i="5"/>
  <c r="GS175" i="5"/>
  <c r="HP175" i="5"/>
  <c r="IM175" i="5"/>
  <c r="S176" i="5"/>
  <c r="AP176" i="5"/>
  <c r="BM176" i="5"/>
  <c r="CJ176" i="5"/>
  <c r="DG176" i="5"/>
  <c r="ED176" i="5"/>
  <c r="FA176" i="5"/>
  <c r="FX176" i="5"/>
  <c r="GU176" i="5"/>
  <c r="HR176" i="5"/>
  <c r="IO176" i="5"/>
  <c r="U177" i="5"/>
  <c r="AR177" i="5"/>
  <c r="BO177" i="5"/>
  <c r="CL177" i="5"/>
  <c r="DI177" i="5"/>
  <c r="EF177" i="5"/>
  <c r="FC177" i="5"/>
  <c r="FZ177" i="5"/>
  <c r="GW177" i="5"/>
  <c r="HT177" i="5"/>
  <c r="IQ177" i="5"/>
  <c r="W178" i="5"/>
  <c r="AT178" i="5"/>
  <c r="BQ178" i="5"/>
  <c r="CN178" i="5"/>
  <c r="DK178" i="5"/>
  <c r="EH178" i="5"/>
  <c r="FE178" i="5"/>
  <c r="GB178" i="5"/>
  <c r="GY178" i="5"/>
  <c r="HV178" i="5"/>
  <c r="IS178" i="5"/>
  <c r="Y179" i="5"/>
  <c r="AV179" i="5"/>
  <c r="BS179" i="5"/>
  <c r="CP179" i="5"/>
  <c r="DM179" i="5"/>
  <c r="EJ179" i="5"/>
  <c r="FG179" i="5"/>
  <c r="GD179" i="5"/>
  <c r="HA179" i="5"/>
  <c r="HX179" i="5"/>
  <c r="IU179" i="5"/>
  <c r="AA180" i="5"/>
  <c r="AX180" i="5"/>
  <c r="BU180" i="5"/>
  <c r="CR180" i="5"/>
  <c r="DO180" i="5"/>
  <c r="EL180" i="5"/>
  <c r="FI180" i="5"/>
  <c r="GF180" i="5"/>
  <c r="HC180" i="5"/>
  <c r="HZ180" i="5"/>
  <c r="F181" i="5"/>
  <c r="AC181" i="5"/>
  <c r="AZ181" i="5"/>
  <c r="BW181" i="5"/>
  <c r="CT181" i="5"/>
  <c r="DQ181" i="5"/>
  <c r="EN181" i="5"/>
  <c r="FK181" i="5"/>
  <c r="GH181" i="5"/>
  <c r="HE181" i="5"/>
  <c r="IB181" i="5"/>
  <c r="H182" i="5"/>
  <c r="AE182" i="5"/>
  <c r="BB182" i="5"/>
  <c r="BY182" i="5"/>
  <c r="CV182" i="5"/>
  <c r="DS182" i="5"/>
  <c r="EP182" i="5"/>
  <c r="FM182" i="5"/>
  <c r="GJ182" i="5"/>
  <c r="HG182" i="5"/>
  <c r="ID182" i="5"/>
  <c r="J183" i="5"/>
  <c r="AG183" i="5"/>
  <c r="BD183" i="5"/>
  <c r="CA183" i="5"/>
  <c r="CX183" i="5"/>
  <c r="DU183" i="5"/>
  <c r="ER183" i="5"/>
  <c r="FO183" i="5"/>
  <c r="GL183" i="5"/>
  <c r="HI183" i="5"/>
  <c r="IF183" i="5"/>
  <c r="L184" i="5"/>
  <c r="AI184" i="5"/>
  <c r="BF184" i="5"/>
  <c r="CC184" i="5"/>
  <c r="CZ184" i="5"/>
  <c r="DW184" i="5"/>
  <c r="ET184" i="5"/>
  <c r="FQ184" i="5"/>
  <c r="GN184" i="5"/>
  <c r="HK184" i="5"/>
  <c r="IH184" i="5"/>
  <c r="N185" i="5"/>
  <c r="AK185" i="5"/>
  <c r="BH185" i="5"/>
  <c r="CE185" i="5"/>
  <c r="DB185" i="5"/>
  <c r="DY185" i="5"/>
  <c r="EV185" i="5"/>
  <c r="FS185" i="5"/>
  <c r="GP185" i="5"/>
  <c r="HM185" i="5"/>
  <c r="IJ185" i="5"/>
  <c r="P186" i="5"/>
  <c r="AM186" i="5"/>
  <c r="BJ186" i="5"/>
  <c r="CG186" i="5"/>
  <c r="DD186" i="5"/>
  <c r="EA186" i="5"/>
  <c r="EX186" i="5"/>
  <c r="FU186" i="5"/>
  <c r="GR186" i="5"/>
  <c r="HO186" i="5"/>
  <c r="IL186" i="5"/>
  <c r="R187" i="5"/>
  <c r="AO187" i="5"/>
  <c r="BL187" i="5"/>
  <c r="CI187" i="5"/>
  <c r="DF187" i="5"/>
  <c r="EC187" i="5"/>
  <c r="EZ187" i="5"/>
  <c r="FW187" i="5"/>
  <c r="GT187" i="5"/>
  <c r="HQ187" i="5"/>
  <c r="IN187" i="5"/>
  <c r="T188" i="5"/>
  <c r="AQ188" i="5"/>
  <c r="BN188" i="5"/>
  <c r="CK188" i="5"/>
  <c r="DH188" i="5"/>
  <c r="EE188" i="5"/>
  <c r="FB188" i="5"/>
  <c r="FY188" i="5"/>
  <c r="GV188" i="5"/>
  <c r="HS188" i="5"/>
  <c r="IP188" i="5"/>
  <c r="V189" i="5"/>
  <c r="AS189" i="5"/>
  <c r="BP189" i="5"/>
  <c r="CM189" i="5"/>
  <c r="DJ189" i="5"/>
  <c r="EG189" i="5"/>
  <c r="FD189" i="5"/>
  <c r="GA189" i="5"/>
  <c r="GX189" i="5"/>
  <c r="HU189" i="5"/>
  <c r="IR189" i="5"/>
  <c r="X190" i="5"/>
  <c r="AU190" i="5"/>
  <c r="BR190" i="5"/>
  <c r="CO190" i="5"/>
  <c r="DL190" i="5"/>
  <c r="EI190" i="5"/>
  <c r="FF190" i="5"/>
  <c r="GC190" i="5"/>
  <c r="GZ190" i="5"/>
  <c r="HW190" i="5"/>
  <c r="IT190" i="5"/>
  <c r="Z191" i="5"/>
  <c r="AW191" i="5"/>
  <c r="BT191" i="5"/>
  <c r="CQ191" i="5"/>
  <c r="DN191" i="5"/>
  <c r="EK191" i="5"/>
  <c r="FH191" i="5"/>
  <c r="GE191" i="5"/>
  <c r="HB191" i="5"/>
  <c r="HY191" i="5"/>
  <c r="IV191" i="5"/>
  <c r="AB192" i="5"/>
  <c r="AY192" i="5"/>
  <c r="BV192" i="5"/>
  <c r="CS192" i="5"/>
  <c r="DP192" i="5"/>
  <c r="EM192" i="5"/>
  <c r="FJ192" i="5"/>
  <c r="GG192" i="5"/>
  <c r="HD192" i="5"/>
  <c r="IA192" i="5"/>
  <c r="G193" i="5"/>
  <c r="AD193" i="5"/>
  <c r="BA193" i="5"/>
  <c r="BX193" i="5"/>
  <c r="CU193" i="5"/>
  <c r="DR193" i="5"/>
  <c r="EO193" i="5"/>
  <c r="FL193" i="5"/>
  <c r="GI193" i="5"/>
  <c r="HF193" i="5"/>
  <c r="IC193" i="5"/>
  <c r="I194" i="5"/>
  <c r="AF194" i="5"/>
  <c r="BC194" i="5"/>
  <c r="BZ194" i="5"/>
  <c r="CW194" i="5"/>
  <c r="DT194" i="5"/>
  <c r="EQ194" i="5"/>
  <c r="FN194" i="5"/>
  <c r="GK194" i="5"/>
  <c r="HH194" i="5"/>
  <c r="IE194" i="5"/>
  <c r="K195" i="5"/>
  <c r="AH195" i="5"/>
  <c r="BE195" i="5"/>
  <c r="CB195" i="5"/>
  <c r="CY195" i="5"/>
  <c r="DV195" i="5"/>
  <c r="ES195" i="5"/>
  <c r="FP195" i="5"/>
  <c r="GM195" i="5"/>
  <c r="HJ195" i="5"/>
  <c r="IG195" i="5"/>
  <c r="M196" i="5"/>
  <c r="AJ196" i="5"/>
  <c r="BG196" i="5"/>
  <c r="CD196" i="5"/>
  <c r="DA196" i="5"/>
  <c r="DX196" i="5"/>
  <c r="EU196" i="5"/>
  <c r="FR196" i="5"/>
  <c r="GO196" i="5"/>
  <c r="HL196" i="5"/>
  <c r="II196" i="5"/>
  <c r="O197" i="5"/>
  <c r="AL197" i="5"/>
  <c r="BI197" i="5"/>
  <c r="CF197" i="5"/>
  <c r="DC197" i="5"/>
  <c r="DZ197" i="5"/>
  <c r="EW197" i="5"/>
  <c r="FT197" i="5"/>
  <c r="GQ197" i="5"/>
  <c r="HN197" i="5"/>
  <c r="IK197" i="5"/>
  <c r="Q198" i="5"/>
  <c r="AN198" i="5"/>
  <c r="BK198" i="5"/>
  <c r="CH198" i="5"/>
  <c r="DE198" i="5"/>
  <c r="EB198" i="5"/>
  <c r="EY198" i="5"/>
  <c r="FV198" i="5"/>
  <c r="GS198" i="5"/>
  <c r="HP198" i="5"/>
  <c r="IM198" i="5"/>
  <c r="S199" i="5"/>
  <c r="AP199" i="5"/>
  <c r="BM199" i="5"/>
  <c r="CJ199" i="5"/>
  <c r="DG199" i="5"/>
  <c r="ED199" i="5"/>
  <c r="FA199" i="5"/>
  <c r="FX199" i="5"/>
  <c r="GU199" i="5"/>
  <c r="HR199" i="5"/>
  <c r="IO199" i="5"/>
  <c r="U200" i="5"/>
  <c r="AR200" i="5"/>
  <c r="BO200" i="5"/>
  <c r="CL200" i="5"/>
  <c r="DI200" i="5"/>
  <c r="EF200" i="5"/>
  <c r="FC200" i="5"/>
  <c r="FZ200" i="5"/>
  <c r="GW200" i="5"/>
  <c r="HT200" i="5"/>
  <c r="IQ200" i="5"/>
  <c r="W201" i="5"/>
  <c r="AT201" i="5"/>
  <c r="BQ201" i="5"/>
  <c r="CN201" i="5"/>
  <c r="DK201" i="5"/>
  <c r="EH201" i="5"/>
  <c r="FE201" i="5"/>
  <c r="GB201" i="5"/>
  <c r="GY201" i="5"/>
  <c r="HV201" i="5"/>
  <c r="IS201" i="5"/>
  <c r="Y202" i="5"/>
  <c r="AV202" i="5"/>
  <c r="BS202" i="5"/>
  <c r="CP202" i="5"/>
  <c r="DM202" i="5"/>
  <c r="EJ202" i="5"/>
  <c r="FG202" i="5"/>
  <c r="GD202" i="5"/>
  <c r="HA202" i="5"/>
  <c r="HX202" i="5"/>
  <c r="IU202" i="5"/>
  <c r="AA203" i="5"/>
  <c r="AX203" i="5"/>
  <c r="BU203" i="5"/>
  <c r="CR203" i="5"/>
  <c r="DO203" i="5"/>
  <c r="EL203" i="5"/>
  <c r="FI203" i="5"/>
  <c r="GF203" i="5"/>
  <c r="HC203" i="5"/>
  <c r="HZ203" i="5"/>
  <c r="F204" i="5"/>
  <c r="AC204" i="5"/>
  <c r="AZ204" i="5"/>
  <c r="BW204" i="5"/>
  <c r="CT204" i="5"/>
  <c r="DQ204" i="5"/>
  <c r="EN204" i="5"/>
  <c r="FK204" i="5"/>
  <c r="GH204" i="5"/>
  <c r="HE204" i="5"/>
  <c r="IB204" i="5"/>
  <c r="H205" i="5"/>
  <c r="AE205" i="5"/>
  <c r="BB205" i="5"/>
  <c r="BY205" i="5"/>
  <c r="CV205" i="5"/>
  <c r="DS205" i="5"/>
  <c r="EP205" i="5"/>
  <c r="FM205" i="5"/>
  <c r="GJ205" i="5"/>
  <c r="HG205" i="5"/>
  <c r="ID205" i="5"/>
  <c r="J206" i="5"/>
  <c r="AG206" i="5"/>
  <c r="BD206" i="5"/>
  <c r="CA206" i="5"/>
  <c r="CX206" i="5"/>
  <c r="DU206" i="5"/>
  <c r="ER206" i="5"/>
  <c r="FO206" i="5"/>
  <c r="GL206" i="5"/>
  <c r="HI206" i="5"/>
  <c r="IF206" i="5"/>
  <c r="L207" i="5"/>
  <c r="AI207" i="5"/>
  <c r="BF207" i="5"/>
  <c r="CC207" i="5"/>
  <c r="CZ207" i="5"/>
  <c r="DW207" i="5"/>
  <c r="ET207" i="5"/>
  <c r="FQ207" i="5"/>
  <c r="GN207" i="5"/>
  <c r="HK207" i="5"/>
  <c r="IH207" i="5"/>
  <c r="N208" i="5"/>
  <c r="AK208" i="5"/>
  <c r="BH208" i="5"/>
  <c r="CE208" i="5"/>
  <c r="DB208" i="5"/>
  <c r="DY208" i="5"/>
  <c r="EV208" i="5"/>
  <c r="FS208" i="5"/>
  <c r="GP208" i="5"/>
  <c r="HM208" i="5"/>
  <c r="IJ208" i="5"/>
  <c r="P209" i="5"/>
  <c r="AM209" i="5"/>
  <c r="BJ209" i="5"/>
  <c r="CG209" i="5"/>
  <c r="DD209" i="5"/>
  <c r="EA209" i="5"/>
  <c r="EX209" i="5"/>
  <c r="FU209" i="5"/>
  <c r="GR209" i="5"/>
  <c r="HO209" i="5"/>
  <c r="IL209" i="5"/>
  <c r="R210" i="5"/>
  <c r="AO210" i="5"/>
  <c r="BL210" i="5"/>
  <c r="CI210" i="5"/>
  <c r="DF210" i="5"/>
  <c r="EC210" i="5"/>
  <c r="EZ210" i="5"/>
  <c r="FW210" i="5"/>
  <c r="GT210" i="5"/>
  <c r="HQ210" i="5"/>
  <c r="IN210" i="5"/>
  <c r="T211" i="5"/>
  <c r="AQ211" i="5"/>
  <c r="BN211" i="5"/>
  <c r="CK211" i="5"/>
  <c r="DH211" i="5"/>
  <c r="EE211" i="5"/>
  <c r="FB211" i="5"/>
  <c r="FY211" i="5"/>
  <c r="GV211" i="5"/>
  <c r="HS211" i="5"/>
  <c r="IP211" i="5"/>
  <c r="V212" i="5"/>
  <c r="AS212" i="5"/>
  <c r="BP212" i="5"/>
  <c r="CM212" i="5"/>
  <c r="DJ212" i="5"/>
  <c r="EG212" i="5"/>
  <c r="FD212" i="5"/>
  <c r="GA212" i="5"/>
  <c r="GX212" i="5"/>
  <c r="HU212" i="5"/>
  <c r="IR212" i="5"/>
  <c r="X213" i="5"/>
  <c r="AU213" i="5"/>
  <c r="BR213" i="5"/>
  <c r="CO213" i="5"/>
  <c r="DL213" i="5"/>
  <c r="EI213" i="5"/>
  <c r="FF213" i="5"/>
  <c r="GC213" i="5"/>
  <c r="GZ213" i="5"/>
  <c r="HW213" i="5"/>
  <c r="IT213" i="5"/>
  <c r="Z214" i="5"/>
  <c r="AW214" i="5"/>
  <c r="BT214" i="5"/>
  <c r="CQ214" i="5"/>
  <c r="DN214" i="5"/>
  <c r="EK214" i="5"/>
  <c r="FH214" i="5"/>
  <c r="GE214" i="5"/>
  <c r="HB214" i="5"/>
  <c r="HY214" i="5"/>
  <c r="IV214" i="5"/>
  <c r="AB215" i="5"/>
  <c r="AY215" i="5"/>
  <c r="BV215" i="5"/>
  <c r="CS215" i="5"/>
  <c r="DP215" i="5"/>
  <c r="EM215" i="5"/>
  <c r="FJ215" i="5"/>
  <c r="GG215" i="5"/>
  <c r="HD215" i="5"/>
  <c r="IA215" i="5"/>
  <c r="G216" i="5"/>
  <c r="AD216" i="5"/>
  <c r="BA216" i="5"/>
  <c r="BX216" i="5"/>
  <c r="CU216" i="5"/>
  <c r="DR216" i="5"/>
  <c r="EO216" i="5"/>
  <c r="FL216" i="5"/>
  <c r="GI216" i="5"/>
  <c r="HF216" i="5"/>
  <c r="IC216" i="5"/>
  <c r="I217" i="5"/>
  <c r="AF217" i="5"/>
  <c r="BC217" i="5"/>
  <c r="BZ217" i="5"/>
  <c r="CW217" i="5"/>
  <c r="DT217" i="5"/>
  <c r="EQ217" i="5"/>
  <c r="FN217" i="5"/>
  <c r="GK217" i="5"/>
  <c r="HH217" i="5"/>
  <c r="IE217" i="5"/>
  <c r="K218" i="5"/>
  <c r="AH218" i="5"/>
  <c r="BE218" i="5"/>
  <c r="CB218" i="5"/>
  <c r="CY218" i="5"/>
  <c r="DV218" i="5"/>
  <c r="ES218" i="5"/>
  <c r="FP218" i="5"/>
  <c r="GM218" i="5"/>
  <c r="HJ218" i="5"/>
  <c r="IG218" i="5"/>
  <c r="M219" i="5"/>
  <c r="AJ219" i="5"/>
  <c r="BG219" i="5"/>
  <c r="CD219" i="5"/>
  <c r="DA219" i="5"/>
  <c r="DX219" i="5"/>
  <c r="EU219" i="5"/>
  <c r="FR219" i="5"/>
  <c r="GO219" i="5"/>
  <c r="HL219" i="5"/>
  <c r="II219" i="5"/>
  <c r="O220" i="5"/>
  <c r="AL220" i="5"/>
  <c r="BI220" i="5"/>
  <c r="CF220" i="5"/>
  <c r="DC220" i="5"/>
  <c r="DZ220" i="5"/>
  <c r="EW220" i="5"/>
  <c r="FT220" i="5"/>
  <c r="GQ220" i="5"/>
  <c r="HN220" i="5"/>
  <c r="IK220" i="5"/>
  <c r="Q221" i="5"/>
  <c r="AN221" i="5"/>
  <c r="BK221" i="5"/>
  <c r="CH221" i="5"/>
  <c r="DE221" i="5"/>
  <c r="EB221" i="5"/>
  <c r="EY221" i="5"/>
  <c r="FV221" i="5"/>
  <c r="GS221" i="5"/>
  <c r="HP221" i="5"/>
  <c r="IM221" i="5"/>
  <c r="S222" i="5"/>
  <c r="AP222" i="5"/>
  <c r="BM222" i="5"/>
  <c r="CJ222" i="5"/>
  <c r="DG222" i="5"/>
  <c r="ED222" i="5"/>
  <c r="FA222" i="5"/>
  <c r="FX222" i="5"/>
  <c r="GU222" i="5"/>
  <c r="HR222" i="5"/>
  <c r="IO222" i="5"/>
  <c r="U223" i="5"/>
  <c r="AR223" i="5"/>
  <c r="BO223" i="5"/>
  <c r="CL223" i="5"/>
  <c r="DI223" i="5"/>
  <c r="EF223" i="5"/>
  <c r="FC223" i="5"/>
  <c r="FZ223" i="5"/>
  <c r="GW223" i="5"/>
  <c r="HT223" i="5"/>
  <c r="IQ223" i="5"/>
  <c r="W224" i="5"/>
  <c r="AT224" i="5"/>
  <c r="BQ224" i="5"/>
  <c r="CN224" i="5"/>
  <c r="DK224" i="5"/>
  <c r="EH224" i="5"/>
  <c r="FE224" i="5"/>
  <c r="GB224" i="5"/>
  <c r="GY224" i="5"/>
  <c r="HV224" i="5"/>
  <c r="IS224" i="5"/>
  <c r="Y225" i="5"/>
  <c r="AV225" i="5"/>
  <c r="BS225" i="5"/>
  <c r="CP225" i="5"/>
  <c r="DM225" i="5"/>
  <c r="EJ225" i="5"/>
  <c r="FG225" i="5"/>
  <c r="GD225" i="5"/>
  <c r="HA225" i="5"/>
  <c r="HX225" i="5"/>
  <c r="IU225" i="5"/>
  <c r="AA226" i="5"/>
  <c r="AX226" i="5"/>
  <c r="BU226" i="5"/>
  <c r="CR226" i="5"/>
  <c r="DO226" i="5"/>
  <c r="EL226" i="5"/>
  <c r="FI226" i="5"/>
  <c r="GF226" i="5"/>
  <c r="HC226" i="5"/>
  <c r="HZ226" i="5"/>
  <c r="F227" i="5"/>
  <c r="AC227" i="5"/>
  <c r="AZ227" i="5"/>
  <c r="BW227" i="5"/>
  <c r="CT227" i="5"/>
  <c r="DQ227" i="5"/>
  <c r="EN227" i="5"/>
  <c r="FK227" i="5"/>
  <c r="GH227" i="5"/>
  <c r="HE227" i="5"/>
  <c r="IB227" i="5"/>
  <c r="H228" i="5"/>
  <c r="AE228" i="5"/>
  <c r="BB228" i="5"/>
  <c r="BY228" i="5"/>
  <c r="CV228" i="5"/>
  <c r="DS228" i="5"/>
  <c r="EP228" i="5"/>
  <c r="FM228" i="5"/>
  <c r="GJ228" i="5"/>
  <c r="HG228" i="5"/>
  <c r="ID228" i="5"/>
  <c r="J229" i="5"/>
  <c r="AG229" i="5"/>
  <c r="BD229" i="5"/>
  <c r="CA229" i="5"/>
  <c r="CX229" i="5"/>
  <c r="DU229" i="5"/>
  <c r="ER229" i="5"/>
  <c r="FO229" i="5"/>
  <c r="GL229" i="5"/>
  <c r="HI229" i="5"/>
  <c r="IF229" i="5"/>
  <c r="L230" i="5"/>
  <c r="AI230" i="5"/>
  <c r="BF230" i="5"/>
  <c r="CC230" i="5"/>
  <c r="CZ230" i="5"/>
  <c r="DW230" i="5"/>
  <c r="ET230" i="5"/>
  <c r="FQ230" i="5"/>
  <c r="GN230" i="5"/>
  <c r="HK230" i="5"/>
  <c r="IH230" i="5"/>
  <c r="N231" i="5"/>
  <c r="AK231" i="5"/>
  <c r="BH231" i="5"/>
  <c r="CE231" i="5"/>
  <c r="DB231" i="5"/>
  <c r="DY231" i="5"/>
  <c r="EV231" i="5"/>
  <c r="FS231" i="5"/>
  <c r="GP231" i="5"/>
  <c r="HM231" i="5"/>
  <c r="IJ231" i="5"/>
  <c r="P232" i="5"/>
  <c r="AM232" i="5"/>
  <c r="BJ232" i="5"/>
  <c r="CG232" i="5"/>
  <c r="DD232" i="5"/>
  <c r="EA232" i="5"/>
  <c r="EX232" i="5"/>
  <c r="FU232" i="5"/>
  <c r="GR232" i="5"/>
  <c r="HO232" i="5"/>
  <c r="IL232" i="5"/>
  <c r="R233" i="5"/>
  <c r="AO233" i="5"/>
  <c r="BL233" i="5"/>
  <c r="CI233" i="5"/>
  <c r="DF233" i="5"/>
  <c r="EC233" i="5"/>
  <c r="EZ233" i="5"/>
  <c r="FW233" i="5"/>
  <c r="GT233" i="5"/>
  <c r="HQ233" i="5"/>
  <c r="IN233" i="5"/>
  <c r="T234" i="5"/>
  <c r="AQ234" i="5"/>
  <c r="BN234" i="5"/>
  <c r="CK234" i="5"/>
  <c r="DH234" i="5"/>
  <c r="EE234" i="5"/>
  <c r="FB234" i="5"/>
  <c r="FY234" i="5"/>
  <c r="GV234" i="5"/>
  <c r="HS234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BP1" i="5"/>
  <c r="BQ1" i="5"/>
  <c r="BR1" i="5"/>
  <c r="BS1" i="5"/>
  <c r="BT1" i="5"/>
  <c r="BU1" i="5"/>
  <c r="BV1" i="5"/>
  <c r="BW1" i="5"/>
  <c r="BX1" i="5"/>
  <c r="BY1" i="5"/>
  <c r="BZ1" i="5"/>
  <c r="CA1" i="5"/>
  <c r="CB1" i="5"/>
  <c r="CC1" i="5"/>
  <c r="CD1" i="5"/>
  <c r="CE1" i="5"/>
  <c r="CF1" i="5"/>
  <c r="CG1" i="5"/>
  <c r="CH1" i="5"/>
  <c r="CI1" i="5"/>
  <c r="CJ1" i="5"/>
  <c r="CK1" i="5"/>
  <c r="CL1" i="5"/>
  <c r="CM1" i="5"/>
  <c r="CN1" i="5"/>
  <c r="CO1" i="5"/>
  <c r="CP1" i="5"/>
  <c r="CQ1" i="5"/>
  <c r="CR1" i="5"/>
  <c r="CS1" i="5"/>
  <c r="CT1" i="5"/>
  <c r="CU1" i="5"/>
  <c r="CV1" i="5"/>
  <c r="CW1" i="5"/>
  <c r="CX1" i="5"/>
  <c r="CY1" i="5"/>
  <c r="CZ1" i="5"/>
  <c r="DA1" i="5"/>
  <c r="DB1" i="5"/>
  <c r="DC1" i="5"/>
  <c r="DD1" i="5"/>
  <c r="DE1" i="5"/>
  <c r="DF1" i="5"/>
  <c r="DG1" i="5"/>
  <c r="DH1" i="5"/>
  <c r="DI1" i="5"/>
  <c r="DJ1" i="5"/>
  <c r="DK1" i="5"/>
  <c r="DL1" i="5"/>
  <c r="DM1" i="5"/>
  <c r="DN1" i="5"/>
  <c r="DO1" i="5"/>
  <c r="DP1" i="5"/>
  <c r="DQ1" i="5"/>
  <c r="DR1" i="5"/>
  <c r="DS1" i="5"/>
  <c r="DT1" i="5"/>
  <c r="DU1" i="5"/>
  <c r="DV1" i="5"/>
  <c r="DW1" i="5"/>
  <c r="DX1" i="5"/>
  <c r="DY1" i="5"/>
  <c r="DZ1" i="5"/>
  <c r="EA1" i="5"/>
  <c r="EB1" i="5"/>
  <c r="EC1" i="5"/>
  <c r="ED1" i="5"/>
  <c r="EE1" i="5"/>
  <c r="EF1" i="5"/>
  <c r="EG1" i="5"/>
  <c r="EH1" i="5"/>
  <c r="EI1" i="5"/>
  <c r="EJ1" i="5"/>
  <c r="EK1" i="5"/>
  <c r="EL1" i="5"/>
  <c r="EM1" i="5"/>
  <c r="EN1" i="5"/>
  <c r="EO1" i="5"/>
  <c r="EP1" i="5"/>
  <c r="EQ1" i="5"/>
  <c r="ER1" i="5"/>
  <c r="ES1" i="5"/>
  <c r="ET1" i="5"/>
  <c r="EU1" i="5"/>
  <c r="EV1" i="5"/>
  <c r="EW1" i="5"/>
  <c r="EX1" i="5"/>
  <c r="EY1" i="5"/>
  <c r="EZ1" i="5"/>
  <c r="FA1" i="5"/>
  <c r="FB1" i="5"/>
  <c r="FC1" i="5"/>
  <c r="FD1" i="5"/>
  <c r="FE1" i="5"/>
  <c r="FF1" i="5"/>
  <c r="FG1" i="5"/>
  <c r="FH1" i="5"/>
  <c r="FI1" i="5"/>
  <c r="FJ1" i="5"/>
  <c r="FK1" i="5"/>
  <c r="FL1" i="5"/>
  <c r="FM1" i="5"/>
  <c r="FN1" i="5"/>
  <c r="FO1" i="5"/>
  <c r="FP1" i="5"/>
  <c r="FQ1" i="5"/>
  <c r="FR1" i="5"/>
  <c r="FS1" i="5"/>
  <c r="FT1" i="5"/>
  <c r="FU1" i="5"/>
  <c r="FV1" i="5"/>
  <c r="FW1" i="5"/>
  <c r="FX1" i="5"/>
  <c r="FY1" i="5"/>
  <c r="FZ1" i="5"/>
  <c r="GA1" i="5"/>
  <c r="GB1" i="5"/>
  <c r="GC1" i="5"/>
  <c r="GD1" i="5"/>
  <c r="GE1" i="5"/>
  <c r="GF1" i="5"/>
  <c r="GG1" i="5"/>
  <c r="GH1" i="5"/>
  <c r="GI1" i="5"/>
  <c r="GJ1" i="5"/>
  <c r="GK1" i="5"/>
  <c r="GL1" i="5"/>
  <c r="GM1" i="5"/>
  <c r="GN1" i="5"/>
  <c r="GO1" i="5"/>
  <c r="GP1" i="5"/>
  <c r="GQ1" i="5"/>
  <c r="GR1" i="5"/>
  <c r="GS1" i="5"/>
  <c r="GT1" i="5"/>
  <c r="GU1" i="5"/>
  <c r="GV1" i="5"/>
  <c r="GW1" i="5"/>
  <c r="GX1" i="5"/>
  <c r="GY1" i="5"/>
  <c r="GZ1" i="5"/>
  <c r="HA1" i="5"/>
  <c r="HB1" i="5"/>
  <c r="HC1" i="5"/>
  <c r="HD1" i="5"/>
  <c r="HE1" i="5"/>
  <c r="HF1" i="5"/>
  <c r="HG1" i="5"/>
  <c r="HH1" i="5"/>
  <c r="HI1" i="5"/>
  <c r="HJ1" i="5"/>
  <c r="HK1" i="5"/>
  <c r="HL1" i="5"/>
  <c r="HM1" i="5"/>
  <c r="HN1" i="5"/>
  <c r="HO1" i="5"/>
  <c r="HP1" i="5"/>
  <c r="HQ1" i="5"/>
  <c r="HR1" i="5"/>
  <c r="HS1" i="5"/>
  <c r="HT1" i="5"/>
  <c r="HU1" i="5"/>
  <c r="HV1" i="5"/>
  <c r="HW1" i="5"/>
  <c r="HX1" i="5"/>
  <c r="HY1" i="5"/>
  <c r="HZ1" i="5"/>
  <c r="IA1" i="5"/>
  <c r="IB1" i="5"/>
  <c r="IC1" i="5"/>
  <c r="ID1" i="5"/>
  <c r="IE1" i="5"/>
  <c r="IF1" i="5"/>
  <c r="IG1" i="5"/>
  <c r="IH1" i="5"/>
  <c r="II1" i="5"/>
  <c r="IJ1" i="5"/>
  <c r="IK1" i="5"/>
  <c r="IL1" i="5"/>
  <c r="IM1" i="5"/>
  <c r="IN1" i="5"/>
  <c r="IO1" i="5"/>
  <c r="IP1" i="5"/>
  <c r="IQ1" i="5"/>
  <c r="IR1" i="5"/>
  <c r="IS1" i="5"/>
  <c r="IT1" i="5"/>
  <c r="IU1" i="5"/>
  <c r="IV1" i="5"/>
  <c r="G3" i="4"/>
  <c r="HL170" i="5" s="1"/>
  <c r="H3" i="4"/>
  <c r="HM170" i="5" s="1"/>
  <c r="I3" i="4"/>
  <c r="HN170" i="5" s="1"/>
  <c r="J3" i="4"/>
  <c r="HO170" i="5" s="1"/>
  <c r="K3" i="4"/>
  <c r="HP170" i="5" s="1"/>
  <c r="L3" i="4"/>
  <c r="HQ170" i="5" s="1"/>
  <c r="M3" i="4"/>
  <c r="HR170" i="5" s="1"/>
  <c r="N3" i="4"/>
  <c r="HS170" i="5" s="1"/>
  <c r="O3" i="4"/>
  <c r="HT170" i="5" s="1"/>
  <c r="P3" i="4"/>
  <c r="HU170" i="5" s="1"/>
  <c r="Q3" i="4"/>
  <c r="HV170" i="5" s="1"/>
  <c r="R3" i="4"/>
  <c r="HW170" i="5" s="1"/>
  <c r="S3" i="4"/>
  <c r="HX170" i="5" s="1"/>
  <c r="T3" i="4"/>
  <c r="HY170" i="5" s="1"/>
  <c r="U3" i="4"/>
  <c r="V3" i="4"/>
  <c r="IA170" i="5" s="1"/>
  <c r="W3" i="4"/>
  <c r="IB170" i="5" s="1"/>
  <c r="G4" i="4"/>
  <c r="II170" i="5" s="1"/>
  <c r="H4" i="4"/>
  <c r="IJ170" i="5" s="1"/>
  <c r="I4" i="4"/>
  <c r="IK170" i="5" s="1"/>
  <c r="J4" i="4"/>
  <c r="IL170" i="5" s="1"/>
  <c r="K4" i="4"/>
  <c r="IM170" i="5" s="1"/>
  <c r="L4" i="4"/>
  <c r="IN170" i="5" s="1"/>
  <c r="M4" i="4"/>
  <c r="IO170" i="5" s="1"/>
  <c r="N4" i="4"/>
  <c r="IP170" i="5" s="1"/>
  <c r="O4" i="4"/>
  <c r="IQ170" i="5" s="1"/>
  <c r="P4" i="4"/>
  <c r="IR170" i="5" s="1"/>
  <c r="Q4" i="4"/>
  <c r="IS170" i="5" s="1"/>
  <c r="R4" i="4"/>
  <c r="IT170" i="5" s="1"/>
  <c r="S4" i="4"/>
  <c r="IU170" i="5" s="1"/>
  <c r="T4" i="4"/>
  <c r="IV170" i="5" s="1"/>
  <c r="U4" i="4"/>
  <c r="F171" i="5" s="1"/>
  <c r="V4" i="4"/>
  <c r="W4" i="4"/>
  <c r="H171" i="5" s="1"/>
  <c r="G5" i="4"/>
  <c r="O171" i="5" s="1"/>
  <c r="H5" i="4"/>
  <c r="P171" i="5" s="1"/>
  <c r="I5" i="4"/>
  <c r="Q171" i="5" s="1"/>
  <c r="J5" i="4"/>
  <c r="R171" i="5" s="1"/>
  <c r="K5" i="4"/>
  <c r="S171" i="5" s="1"/>
  <c r="L5" i="4"/>
  <c r="T171" i="5" s="1"/>
  <c r="M5" i="4"/>
  <c r="U171" i="5" s="1"/>
  <c r="N5" i="4"/>
  <c r="V171" i="5" s="1"/>
  <c r="O5" i="4"/>
  <c r="W171" i="5" s="1"/>
  <c r="P5" i="4"/>
  <c r="X171" i="5" s="1"/>
  <c r="Q5" i="4"/>
  <c r="Y171" i="5" s="1"/>
  <c r="R5" i="4"/>
  <c r="Z171" i="5" s="1"/>
  <c r="S5" i="4"/>
  <c r="AA171" i="5" s="1"/>
  <c r="T5" i="4"/>
  <c r="AB171" i="5" s="1"/>
  <c r="U5" i="4"/>
  <c r="AC171" i="5" s="1"/>
  <c r="V5" i="4"/>
  <c r="AD171" i="5" s="1"/>
  <c r="W5" i="4"/>
  <c r="G6" i="4"/>
  <c r="AL171" i="5" s="1"/>
  <c r="H6" i="4"/>
  <c r="AM171" i="5" s="1"/>
  <c r="I6" i="4"/>
  <c r="AN171" i="5" s="1"/>
  <c r="J6" i="4"/>
  <c r="AO171" i="5" s="1"/>
  <c r="K6" i="4"/>
  <c r="AP171" i="5" s="1"/>
  <c r="L6" i="4"/>
  <c r="AQ171" i="5" s="1"/>
  <c r="M6" i="4"/>
  <c r="AR171" i="5" s="1"/>
  <c r="N6" i="4"/>
  <c r="AS171" i="5" s="1"/>
  <c r="O6" i="4"/>
  <c r="AT171" i="5" s="1"/>
  <c r="P6" i="4"/>
  <c r="AU171" i="5" s="1"/>
  <c r="Q6" i="4"/>
  <c r="AV171" i="5" s="1"/>
  <c r="R6" i="4"/>
  <c r="AW171" i="5" s="1"/>
  <c r="S6" i="4"/>
  <c r="AX171" i="5" s="1"/>
  <c r="T6" i="4"/>
  <c r="AY171" i="5" s="1"/>
  <c r="U6" i="4"/>
  <c r="AZ171" i="5" s="1"/>
  <c r="V6" i="4"/>
  <c r="BA171" i="5" s="1"/>
  <c r="W6" i="4"/>
  <c r="BB171" i="5" s="1"/>
  <c r="G7" i="4"/>
  <c r="BI171" i="5" s="1"/>
  <c r="H7" i="4"/>
  <c r="BJ171" i="5" s="1"/>
  <c r="I7" i="4"/>
  <c r="BK171" i="5" s="1"/>
  <c r="J7" i="4"/>
  <c r="BL171" i="5" s="1"/>
  <c r="K7" i="4"/>
  <c r="BM171" i="5" s="1"/>
  <c r="L7" i="4"/>
  <c r="BN171" i="5" s="1"/>
  <c r="M7" i="4"/>
  <c r="BO171" i="5" s="1"/>
  <c r="N7" i="4"/>
  <c r="BP171" i="5" s="1"/>
  <c r="O7" i="4"/>
  <c r="BQ171" i="5" s="1"/>
  <c r="P7" i="4"/>
  <c r="BR171" i="5" s="1"/>
  <c r="Q7" i="4"/>
  <c r="BS171" i="5" s="1"/>
  <c r="R7" i="4"/>
  <c r="BT171" i="5" s="1"/>
  <c r="S7" i="4"/>
  <c r="BU171" i="5" s="1"/>
  <c r="T7" i="4"/>
  <c r="BV171" i="5" s="1"/>
  <c r="U7" i="4"/>
  <c r="BW171" i="5" s="1"/>
  <c r="V7" i="4"/>
  <c r="BX171" i="5" s="1"/>
  <c r="W7" i="4"/>
  <c r="BY171" i="5" s="1"/>
  <c r="G8" i="4"/>
  <c r="CF171" i="5" s="1"/>
  <c r="H8" i="4"/>
  <c r="CG171" i="5" s="1"/>
  <c r="I8" i="4"/>
  <c r="CH171" i="5" s="1"/>
  <c r="J8" i="4"/>
  <c r="CI171" i="5" s="1"/>
  <c r="K8" i="4"/>
  <c r="CJ171" i="5" s="1"/>
  <c r="L8" i="4"/>
  <c r="CK171" i="5" s="1"/>
  <c r="M8" i="4"/>
  <c r="CL171" i="5" s="1"/>
  <c r="N8" i="4"/>
  <c r="CM171" i="5" s="1"/>
  <c r="O8" i="4"/>
  <c r="CN171" i="5" s="1"/>
  <c r="P8" i="4"/>
  <c r="CO171" i="5" s="1"/>
  <c r="Q8" i="4"/>
  <c r="CP171" i="5" s="1"/>
  <c r="R8" i="4"/>
  <c r="CQ171" i="5" s="1"/>
  <c r="S8" i="4"/>
  <c r="CR171" i="5" s="1"/>
  <c r="T8" i="4"/>
  <c r="CS171" i="5" s="1"/>
  <c r="U8" i="4"/>
  <c r="CT171" i="5" s="1"/>
  <c r="V8" i="4"/>
  <c r="CU171" i="5" s="1"/>
  <c r="W8" i="4"/>
  <c r="CV171" i="5" s="1"/>
  <c r="G9" i="4"/>
  <c r="DC171" i="5" s="1"/>
  <c r="H9" i="4"/>
  <c r="DD171" i="5" s="1"/>
  <c r="I9" i="4"/>
  <c r="DE171" i="5" s="1"/>
  <c r="J9" i="4"/>
  <c r="DF171" i="5" s="1"/>
  <c r="K9" i="4"/>
  <c r="DG171" i="5" s="1"/>
  <c r="L9" i="4"/>
  <c r="DH171" i="5" s="1"/>
  <c r="M9" i="4"/>
  <c r="DI171" i="5" s="1"/>
  <c r="N9" i="4"/>
  <c r="DJ171" i="5" s="1"/>
  <c r="O9" i="4"/>
  <c r="DK171" i="5" s="1"/>
  <c r="P9" i="4"/>
  <c r="DL171" i="5" s="1"/>
  <c r="Q9" i="4"/>
  <c r="DM171" i="5" s="1"/>
  <c r="R9" i="4"/>
  <c r="DN171" i="5" s="1"/>
  <c r="S9" i="4"/>
  <c r="DO171" i="5" s="1"/>
  <c r="T9" i="4"/>
  <c r="DP171" i="5" s="1"/>
  <c r="U9" i="4"/>
  <c r="DQ171" i="5" s="1"/>
  <c r="V9" i="4"/>
  <c r="DR171" i="5" s="1"/>
  <c r="W9" i="4"/>
  <c r="DS171" i="5" s="1"/>
  <c r="G10" i="4"/>
  <c r="DZ171" i="5" s="1"/>
  <c r="H10" i="4"/>
  <c r="EA171" i="5" s="1"/>
  <c r="I10" i="4"/>
  <c r="EB171" i="5" s="1"/>
  <c r="J10" i="4"/>
  <c r="EC171" i="5" s="1"/>
  <c r="K10" i="4"/>
  <c r="ED171" i="5" s="1"/>
  <c r="L10" i="4"/>
  <c r="EE171" i="5" s="1"/>
  <c r="M10" i="4"/>
  <c r="EF171" i="5" s="1"/>
  <c r="N10" i="4"/>
  <c r="EG171" i="5" s="1"/>
  <c r="O10" i="4"/>
  <c r="EH171" i="5" s="1"/>
  <c r="P10" i="4"/>
  <c r="EI171" i="5" s="1"/>
  <c r="Q10" i="4"/>
  <c r="EJ171" i="5" s="1"/>
  <c r="R10" i="4"/>
  <c r="EK171" i="5" s="1"/>
  <c r="S10" i="4"/>
  <c r="EL171" i="5" s="1"/>
  <c r="T10" i="4"/>
  <c r="EM171" i="5" s="1"/>
  <c r="U10" i="4"/>
  <c r="EN171" i="5" s="1"/>
  <c r="V10" i="4"/>
  <c r="EO171" i="5" s="1"/>
  <c r="W10" i="4"/>
  <c r="EP171" i="5" s="1"/>
  <c r="G11" i="4"/>
  <c r="EW171" i="5" s="1"/>
  <c r="H11" i="4"/>
  <c r="EX171" i="5" s="1"/>
  <c r="I11" i="4"/>
  <c r="EY171" i="5" s="1"/>
  <c r="J11" i="4"/>
  <c r="EZ171" i="5" s="1"/>
  <c r="K11" i="4"/>
  <c r="FA171" i="5" s="1"/>
  <c r="L11" i="4"/>
  <c r="FB171" i="5" s="1"/>
  <c r="M11" i="4"/>
  <c r="FC171" i="5" s="1"/>
  <c r="N11" i="4"/>
  <c r="FD171" i="5" s="1"/>
  <c r="O11" i="4"/>
  <c r="FE171" i="5" s="1"/>
  <c r="P11" i="4"/>
  <c r="FF171" i="5" s="1"/>
  <c r="Q11" i="4"/>
  <c r="FG171" i="5" s="1"/>
  <c r="R11" i="4"/>
  <c r="FH171" i="5" s="1"/>
  <c r="S11" i="4"/>
  <c r="FI171" i="5" s="1"/>
  <c r="T11" i="4"/>
  <c r="FJ171" i="5" s="1"/>
  <c r="U11" i="4"/>
  <c r="FK171" i="5" s="1"/>
  <c r="V11" i="4"/>
  <c r="FL171" i="5" s="1"/>
  <c r="W11" i="4"/>
  <c r="FM171" i="5" s="1"/>
  <c r="G12" i="4"/>
  <c r="FT171" i="5" s="1"/>
  <c r="H12" i="4"/>
  <c r="FU171" i="5" s="1"/>
  <c r="I12" i="4"/>
  <c r="FV171" i="5" s="1"/>
  <c r="J12" i="4"/>
  <c r="FW171" i="5" s="1"/>
  <c r="K12" i="4"/>
  <c r="FX171" i="5" s="1"/>
  <c r="L12" i="4"/>
  <c r="FY171" i="5" s="1"/>
  <c r="M12" i="4"/>
  <c r="FZ171" i="5" s="1"/>
  <c r="N12" i="4"/>
  <c r="GA171" i="5" s="1"/>
  <c r="O12" i="4"/>
  <c r="GB171" i="5" s="1"/>
  <c r="P12" i="4"/>
  <c r="GC171" i="5" s="1"/>
  <c r="Q12" i="4"/>
  <c r="GD171" i="5" s="1"/>
  <c r="R12" i="4"/>
  <c r="GE171" i="5" s="1"/>
  <c r="S12" i="4"/>
  <c r="GF171" i="5" s="1"/>
  <c r="T12" i="4"/>
  <c r="GG171" i="5" s="1"/>
  <c r="U12" i="4"/>
  <c r="GH171" i="5" s="1"/>
  <c r="V12" i="4"/>
  <c r="GI171" i="5" s="1"/>
  <c r="W12" i="4"/>
  <c r="GJ171" i="5" s="1"/>
  <c r="G13" i="4"/>
  <c r="GQ171" i="5" s="1"/>
  <c r="H13" i="4"/>
  <c r="GR171" i="5" s="1"/>
  <c r="I13" i="4"/>
  <c r="GS171" i="5" s="1"/>
  <c r="J13" i="4"/>
  <c r="GT171" i="5" s="1"/>
  <c r="K13" i="4"/>
  <c r="GU171" i="5" s="1"/>
  <c r="L13" i="4"/>
  <c r="GV171" i="5" s="1"/>
  <c r="M13" i="4"/>
  <c r="GW171" i="5" s="1"/>
  <c r="N13" i="4"/>
  <c r="GX171" i="5" s="1"/>
  <c r="O13" i="4"/>
  <c r="GY171" i="5" s="1"/>
  <c r="P13" i="4"/>
  <c r="GZ171" i="5" s="1"/>
  <c r="Q13" i="4"/>
  <c r="HA171" i="5" s="1"/>
  <c r="R13" i="4"/>
  <c r="HB171" i="5" s="1"/>
  <c r="S13" i="4"/>
  <c r="HC171" i="5" s="1"/>
  <c r="T13" i="4"/>
  <c r="HD171" i="5" s="1"/>
  <c r="U13" i="4"/>
  <c r="HE171" i="5" s="1"/>
  <c r="V13" i="4"/>
  <c r="HF171" i="5" s="1"/>
  <c r="W13" i="4"/>
  <c r="HG171" i="5" s="1"/>
  <c r="G14" i="4"/>
  <c r="HN171" i="5" s="1"/>
  <c r="H14" i="4"/>
  <c r="HO171" i="5" s="1"/>
  <c r="I14" i="4"/>
  <c r="HP171" i="5" s="1"/>
  <c r="J14" i="4"/>
  <c r="HQ171" i="5" s="1"/>
  <c r="K14" i="4"/>
  <c r="HR171" i="5" s="1"/>
  <c r="L14" i="4"/>
  <c r="HS171" i="5" s="1"/>
  <c r="M14" i="4"/>
  <c r="HT171" i="5" s="1"/>
  <c r="N14" i="4"/>
  <c r="HU171" i="5" s="1"/>
  <c r="O14" i="4"/>
  <c r="HV171" i="5" s="1"/>
  <c r="P14" i="4"/>
  <c r="HW171" i="5" s="1"/>
  <c r="Q14" i="4"/>
  <c r="HX171" i="5" s="1"/>
  <c r="R14" i="4"/>
  <c r="HY171" i="5" s="1"/>
  <c r="S14" i="4"/>
  <c r="HZ171" i="5" s="1"/>
  <c r="T14" i="4"/>
  <c r="IA171" i="5" s="1"/>
  <c r="U14" i="4"/>
  <c r="IB171" i="5" s="1"/>
  <c r="V14" i="4"/>
  <c r="IC171" i="5" s="1"/>
  <c r="W14" i="4"/>
  <c r="ID171" i="5" s="1"/>
  <c r="G15" i="4"/>
  <c r="IK171" i="5" s="1"/>
  <c r="H15" i="4"/>
  <c r="IL171" i="5" s="1"/>
  <c r="I15" i="4"/>
  <c r="IM171" i="5" s="1"/>
  <c r="J15" i="4"/>
  <c r="IN171" i="5" s="1"/>
  <c r="K15" i="4"/>
  <c r="IO171" i="5" s="1"/>
  <c r="L15" i="4"/>
  <c r="IP171" i="5" s="1"/>
  <c r="M15" i="4"/>
  <c r="IQ171" i="5" s="1"/>
  <c r="N15" i="4"/>
  <c r="IR171" i="5" s="1"/>
  <c r="O15" i="4"/>
  <c r="IS171" i="5" s="1"/>
  <c r="P15" i="4"/>
  <c r="IT171" i="5" s="1"/>
  <c r="Q15" i="4"/>
  <c r="IU171" i="5" s="1"/>
  <c r="R15" i="4"/>
  <c r="IV171" i="5" s="1"/>
  <c r="S15" i="4"/>
  <c r="F172" i="5" s="1"/>
  <c r="T15" i="4"/>
  <c r="G172" i="5" s="1"/>
  <c r="U15" i="4"/>
  <c r="H172" i="5" s="1"/>
  <c r="V15" i="4"/>
  <c r="I172" i="5" s="1"/>
  <c r="W15" i="4"/>
  <c r="J172" i="5" s="1"/>
  <c r="G16" i="4"/>
  <c r="Q172" i="5" s="1"/>
  <c r="H16" i="4"/>
  <c r="R172" i="5" s="1"/>
  <c r="I16" i="4"/>
  <c r="S172" i="5" s="1"/>
  <c r="J16" i="4"/>
  <c r="T172" i="5" s="1"/>
  <c r="K16" i="4"/>
  <c r="U172" i="5" s="1"/>
  <c r="L16" i="4"/>
  <c r="V172" i="5" s="1"/>
  <c r="M16" i="4"/>
  <c r="W172" i="5" s="1"/>
  <c r="N16" i="4"/>
  <c r="X172" i="5" s="1"/>
  <c r="O16" i="4"/>
  <c r="Y172" i="5" s="1"/>
  <c r="P16" i="4"/>
  <c r="Z172" i="5" s="1"/>
  <c r="Q16" i="4"/>
  <c r="AA172" i="5" s="1"/>
  <c r="R16" i="4"/>
  <c r="AB172" i="5" s="1"/>
  <c r="S16" i="4"/>
  <c r="AC172" i="5" s="1"/>
  <c r="T16" i="4"/>
  <c r="AD172" i="5" s="1"/>
  <c r="U16" i="4"/>
  <c r="AE172" i="5" s="1"/>
  <c r="V16" i="4"/>
  <c r="AF172" i="5" s="1"/>
  <c r="W16" i="4"/>
  <c r="AG172" i="5" s="1"/>
  <c r="G17" i="4"/>
  <c r="AN172" i="5" s="1"/>
  <c r="H17" i="4"/>
  <c r="AO172" i="5" s="1"/>
  <c r="I17" i="4"/>
  <c r="AP172" i="5" s="1"/>
  <c r="J17" i="4"/>
  <c r="AQ172" i="5" s="1"/>
  <c r="K17" i="4"/>
  <c r="AR172" i="5" s="1"/>
  <c r="L17" i="4"/>
  <c r="AS172" i="5" s="1"/>
  <c r="M17" i="4"/>
  <c r="AT172" i="5" s="1"/>
  <c r="N17" i="4"/>
  <c r="AU172" i="5" s="1"/>
  <c r="O17" i="4"/>
  <c r="AV172" i="5" s="1"/>
  <c r="P17" i="4"/>
  <c r="AW172" i="5" s="1"/>
  <c r="Q17" i="4"/>
  <c r="AX172" i="5" s="1"/>
  <c r="R17" i="4"/>
  <c r="AY172" i="5" s="1"/>
  <c r="S17" i="4"/>
  <c r="AZ172" i="5" s="1"/>
  <c r="T17" i="4"/>
  <c r="BA172" i="5" s="1"/>
  <c r="U17" i="4"/>
  <c r="BB172" i="5" s="1"/>
  <c r="V17" i="4"/>
  <c r="BC172" i="5" s="1"/>
  <c r="W17" i="4"/>
  <c r="BD172" i="5" s="1"/>
  <c r="G18" i="4"/>
  <c r="BK172" i="5" s="1"/>
  <c r="H18" i="4"/>
  <c r="BL172" i="5" s="1"/>
  <c r="I18" i="4"/>
  <c r="BM172" i="5" s="1"/>
  <c r="J18" i="4"/>
  <c r="BN172" i="5" s="1"/>
  <c r="K18" i="4"/>
  <c r="BO172" i="5" s="1"/>
  <c r="L18" i="4"/>
  <c r="BP172" i="5" s="1"/>
  <c r="M18" i="4"/>
  <c r="BQ172" i="5" s="1"/>
  <c r="N18" i="4"/>
  <c r="BR172" i="5" s="1"/>
  <c r="O18" i="4"/>
  <c r="BS172" i="5" s="1"/>
  <c r="P18" i="4"/>
  <c r="BT172" i="5" s="1"/>
  <c r="Q18" i="4"/>
  <c r="BU172" i="5" s="1"/>
  <c r="R18" i="4"/>
  <c r="BV172" i="5" s="1"/>
  <c r="S18" i="4"/>
  <c r="BW172" i="5" s="1"/>
  <c r="T18" i="4"/>
  <c r="BX172" i="5" s="1"/>
  <c r="U18" i="4"/>
  <c r="BY172" i="5" s="1"/>
  <c r="V18" i="4"/>
  <c r="BZ172" i="5" s="1"/>
  <c r="W18" i="4"/>
  <c r="CA172" i="5" s="1"/>
  <c r="G19" i="4"/>
  <c r="CH172" i="5" s="1"/>
  <c r="H19" i="4"/>
  <c r="CI172" i="5" s="1"/>
  <c r="I19" i="4"/>
  <c r="CJ172" i="5" s="1"/>
  <c r="J19" i="4"/>
  <c r="CK172" i="5" s="1"/>
  <c r="K19" i="4"/>
  <c r="CL172" i="5" s="1"/>
  <c r="L19" i="4"/>
  <c r="CM172" i="5" s="1"/>
  <c r="M19" i="4"/>
  <c r="CN172" i="5" s="1"/>
  <c r="N19" i="4"/>
  <c r="CO172" i="5" s="1"/>
  <c r="O19" i="4"/>
  <c r="CP172" i="5" s="1"/>
  <c r="P19" i="4"/>
  <c r="CQ172" i="5" s="1"/>
  <c r="Q19" i="4"/>
  <c r="CR172" i="5" s="1"/>
  <c r="R19" i="4"/>
  <c r="CS172" i="5" s="1"/>
  <c r="S19" i="4"/>
  <c r="CT172" i="5" s="1"/>
  <c r="T19" i="4"/>
  <c r="CU172" i="5" s="1"/>
  <c r="U19" i="4"/>
  <c r="CV172" i="5" s="1"/>
  <c r="V19" i="4"/>
  <c r="CW172" i="5" s="1"/>
  <c r="W19" i="4"/>
  <c r="CX172" i="5" s="1"/>
  <c r="G20" i="4"/>
  <c r="DE172" i="5" s="1"/>
  <c r="H20" i="4"/>
  <c r="DF172" i="5" s="1"/>
  <c r="I20" i="4"/>
  <c r="DG172" i="5" s="1"/>
  <c r="J20" i="4"/>
  <c r="DH172" i="5" s="1"/>
  <c r="K20" i="4"/>
  <c r="DI172" i="5" s="1"/>
  <c r="L20" i="4"/>
  <c r="DJ172" i="5" s="1"/>
  <c r="M20" i="4"/>
  <c r="DK172" i="5" s="1"/>
  <c r="N20" i="4"/>
  <c r="DL172" i="5" s="1"/>
  <c r="O20" i="4"/>
  <c r="DM172" i="5" s="1"/>
  <c r="P20" i="4"/>
  <c r="DN172" i="5" s="1"/>
  <c r="Q20" i="4"/>
  <c r="DO172" i="5" s="1"/>
  <c r="R20" i="4"/>
  <c r="DP172" i="5" s="1"/>
  <c r="S20" i="4"/>
  <c r="DQ172" i="5" s="1"/>
  <c r="T20" i="4"/>
  <c r="DR172" i="5" s="1"/>
  <c r="U20" i="4"/>
  <c r="DS172" i="5" s="1"/>
  <c r="V20" i="4"/>
  <c r="DT172" i="5" s="1"/>
  <c r="W20" i="4"/>
  <c r="DU172" i="5" s="1"/>
  <c r="G21" i="4"/>
  <c r="EB172" i="5" s="1"/>
  <c r="H21" i="4"/>
  <c r="EC172" i="5" s="1"/>
  <c r="I21" i="4"/>
  <c r="ED172" i="5" s="1"/>
  <c r="J21" i="4"/>
  <c r="EE172" i="5" s="1"/>
  <c r="K21" i="4"/>
  <c r="EF172" i="5" s="1"/>
  <c r="L21" i="4"/>
  <c r="EG172" i="5" s="1"/>
  <c r="M21" i="4"/>
  <c r="EH172" i="5" s="1"/>
  <c r="N21" i="4"/>
  <c r="EI172" i="5" s="1"/>
  <c r="O21" i="4"/>
  <c r="EJ172" i="5" s="1"/>
  <c r="P21" i="4"/>
  <c r="EK172" i="5" s="1"/>
  <c r="Q21" i="4"/>
  <c r="EL172" i="5" s="1"/>
  <c r="R21" i="4"/>
  <c r="EM172" i="5" s="1"/>
  <c r="S21" i="4"/>
  <c r="EN172" i="5" s="1"/>
  <c r="T21" i="4"/>
  <c r="EO172" i="5" s="1"/>
  <c r="U21" i="4"/>
  <c r="EP172" i="5" s="1"/>
  <c r="V21" i="4"/>
  <c r="EQ172" i="5" s="1"/>
  <c r="W21" i="4"/>
  <c r="ER172" i="5" s="1"/>
  <c r="G22" i="4"/>
  <c r="EY172" i="5" s="1"/>
  <c r="H22" i="4"/>
  <c r="EZ172" i="5" s="1"/>
  <c r="I22" i="4"/>
  <c r="FA172" i="5" s="1"/>
  <c r="J22" i="4"/>
  <c r="FB172" i="5" s="1"/>
  <c r="K22" i="4"/>
  <c r="FC172" i="5" s="1"/>
  <c r="L22" i="4"/>
  <c r="FD172" i="5" s="1"/>
  <c r="M22" i="4"/>
  <c r="FE172" i="5" s="1"/>
  <c r="N22" i="4"/>
  <c r="FF172" i="5" s="1"/>
  <c r="O22" i="4"/>
  <c r="FG172" i="5" s="1"/>
  <c r="P22" i="4"/>
  <c r="FH172" i="5" s="1"/>
  <c r="Q22" i="4"/>
  <c r="FI172" i="5" s="1"/>
  <c r="R22" i="4"/>
  <c r="FJ172" i="5" s="1"/>
  <c r="S22" i="4"/>
  <c r="FK172" i="5" s="1"/>
  <c r="T22" i="4"/>
  <c r="FL172" i="5" s="1"/>
  <c r="U22" i="4"/>
  <c r="FM172" i="5" s="1"/>
  <c r="V22" i="4"/>
  <c r="FN172" i="5" s="1"/>
  <c r="W22" i="4"/>
  <c r="FO172" i="5" s="1"/>
  <c r="G23" i="4"/>
  <c r="FV172" i="5" s="1"/>
  <c r="H23" i="4"/>
  <c r="FW172" i="5" s="1"/>
  <c r="I23" i="4"/>
  <c r="FX172" i="5" s="1"/>
  <c r="J23" i="4"/>
  <c r="FY172" i="5" s="1"/>
  <c r="K23" i="4"/>
  <c r="FZ172" i="5" s="1"/>
  <c r="L23" i="4"/>
  <c r="GA172" i="5" s="1"/>
  <c r="M23" i="4"/>
  <c r="GB172" i="5" s="1"/>
  <c r="N23" i="4"/>
  <c r="GC172" i="5" s="1"/>
  <c r="O23" i="4"/>
  <c r="GD172" i="5" s="1"/>
  <c r="P23" i="4"/>
  <c r="GE172" i="5" s="1"/>
  <c r="Q23" i="4"/>
  <c r="GF172" i="5" s="1"/>
  <c r="R23" i="4"/>
  <c r="GG172" i="5" s="1"/>
  <c r="S23" i="4"/>
  <c r="GH172" i="5" s="1"/>
  <c r="T23" i="4"/>
  <c r="GI172" i="5" s="1"/>
  <c r="U23" i="4"/>
  <c r="GJ172" i="5" s="1"/>
  <c r="V23" i="4"/>
  <c r="GK172" i="5" s="1"/>
  <c r="W23" i="4"/>
  <c r="GL172" i="5" s="1"/>
  <c r="G24" i="4"/>
  <c r="GS172" i="5" s="1"/>
  <c r="H24" i="4"/>
  <c r="GT172" i="5" s="1"/>
  <c r="I24" i="4"/>
  <c r="GU172" i="5" s="1"/>
  <c r="J24" i="4"/>
  <c r="GV172" i="5" s="1"/>
  <c r="K24" i="4"/>
  <c r="GW172" i="5" s="1"/>
  <c r="L24" i="4"/>
  <c r="GX172" i="5" s="1"/>
  <c r="M24" i="4"/>
  <c r="GY172" i="5" s="1"/>
  <c r="N24" i="4"/>
  <c r="GZ172" i="5" s="1"/>
  <c r="O24" i="4"/>
  <c r="HA172" i="5" s="1"/>
  <c r="P24" i="4"/>
  <c r="HB172" i="5" s="1"/>
  <c r="Q24" i="4"/>
  <c r="HC172" i="5" s="1"/>
  <c r="R24" i="4"/>
  <c r="HD172" i="5" s="1"/>
  <c r="S24" i="4"/>
  <c r="HE172" i="5" s="1"/>
  <c r="T24" i="4"/>
  <c r="HF172" i="5" s="1"/>
  <c r="U24" i="4"/>
  <c r="HG172" i="5" s="1"/>
  <c r="V24" i="4"/>
  <c r="HH172" i="5" s="1"/>
  <c r="W24" i="4"/>
  <c r="HI172" i="5" s="1"/>
  <c r="G25" i="4"/>
  <c r="HP172" i="5" s="1"/>
  <c r="H25" i="4"/>
  <c r="HQ172" i="5" s="1"/>
  <c r="I25" i="4"/>
  <c r="HR172" i="5" s="1"/>
  <c r="J25" i="4"/>
  <c r="HS172" i="5" s="1"/>
  <c r="K25" i="4"/>
  <c r="HT172" i="5" s="1"/>
  <c r="L25" i="4"/>
  <c r="HU172" i="5" s="1"/>
  <c r="M25" i="4"/>
  <c r="HV172" i="5" s="1"/>
  <c r="N25" i="4"/>
  <c r="HW172" i="5" s="1"/>
  <c r="O25" i="4"/>
  <c r="HX172" i="5" s="1"/>
  <c r="P25" i="4"/>
  <c r="HY172" i="5" s="1"/>
  <c r="Q25" i="4"/>
  <c r="HZ172" i="5" s="1"/>
  <c r="R25" i="4"/>
  <c r="IA172" i="5" s="1"/>
  <c r="S25" i="4"/>
  <c r="IB172" i="5" s="1"/>
  <c r="T25" i="4"/>
  <c r="IC172" i="5" s="1"/>
  <c r="U25" i="4"/>
  <c r="ID172" i="5" s="1"/>
  <c r="V25" i="4"/>
  <c r="IE172" i="5" s="1"/>
  <c r="W25" i="4"/>
  <c r="IF172" i="5" s="1"/>
  <c r="G26" i="4"/>
  <c r="IM172" i="5" s="1"/>
  <c r="H26" i="4"/>
  <c r="IN172" i="5" s="1"/>
  <c r="I26" i="4"/>
  <c r="IO172" i="5" s="1"/>
  <c r="J26" i="4"/>
  <c r="IP172" i="5" s="1"/>
  <c r="K26" i="4"/>
  <c r="IQ172" i="5" s="1"/>
  <c r="L26" i="4"/>
  <c r="IR172" i="5" s="1"/>
  <c r="M26" i="4"/>
  <c r="IS172" i="5" s="1"/>
  <c r="N26" i="4"/>
  <c r="IT172" i="5" s="1"/>
  <c r="O26" i="4"/>
  <c r="IU172" i="5" s="1"/>
  <c r="P26" i="4"/>
  <c r="IV172" i="5" s="1"/>
  <c r="Q26" i="4"/>
  <c r="F173" i="5" s="1"/>
  <c r="R26" i="4"/>
  <c r="G173" i="5" s="1"/>
  <c r="S26" i="4"/>
  <c r="H173" i="5" s="1"/>
  <c r="T26" i="4"/>
  <c r="I173" i="5" s="1"/>
  <c r="U26" i="4"/>
  <c r="J173" i="5" s="1"/>
  <c r="V26" i="4"/>
  <c r="K173" i="5" s="1"/>
  <c r="W26" i="4"/>
  <c r="L173" i="5" s="1"/>
  <c r="G27" i="4"/>
  <c r="S173" i="5" s="1"/>
  <c r="H27" i="4"/>
  <c r="T173" i="5" s="1"/>
  <c r="I27" i="4"/>
  <c r="U173" i="5" s="1"/>
  <c r="J27" i="4"/>
  <c r="V173" i="5" s="1"/>
  <c r="K27" i="4"/>
  <c r="W173" i="5" s="1"/>
  <c r="L27" i="4"/>
  <c r="X173" i="5" s="1"/>
  <c r="M27" i="4"/>
  <c r="Y173" i="5" s="1"/>
  <c r="N27" i="4"/>
  <c r="Z173" i="5" s="1"/>
  <c r="O27" i="4"/>
  <c r="AA173" i="5" s="1"/>
  <c r="P27" i="4"/>
  <c r="AB173" i="5" s="1"/>
  <c r="Q27" i="4"/>
  <c r="AC173" i="5" s="1"/>
  <c r="R27" i="4"/>
  <c r="AD173" i="5" s="1"/>
  <c r="S27" i="4"/>
  <c r="AE173" i="5" s="1"/>
  <c r="T27" i="4"/>
  <c r="AF173" i="5" s="1"/>
  <c r="U27" i="4"/>
  <c r="AG173" i="5" s="1"/>
  <c r="V27" i="4"/>
  <c r="AH173" i="5" s="1"/>
  <c r="W27" i="4"/>
  <c r="AI173" i="5" s="1"/>
  <c r="G28" i="4"/>
  <c r="AP173" i="5" s="1"/>
  <c r="H28" i="4"/>
  <c r="AQ173" i="5" s="1"/>
  <c r="I28" i="4"/>
  <c r="AR173" i="5" s="1"/>
  <c r="J28" i="4"/>
  <c r="AS173" i="5" s="1"/>
  <c r="K28" i="4"/>
  <c r="AT173" i="5" s="1"/>
  <c r="L28" i="4"/>
  <c r="AU173" i="5" s="1"/>
  <c r="M28" i="4"/>
  <c r="AV173" i="5" s="1"/>
  <c r="N28" i="4"/>
  <c r="AW173" i="5" s="1"/>
  <c r="O28" i="4"/>
  <c r="AX173" i="5" s="1"/>
  <c r="P28" i="4"/>
  <c r="AY173" i="5" s="1"/>
  <c r="Q28" i="4"/>
  <c r="AZ173" i="5" s="1"/>
  <c r="R28" i="4"/>
  <c r="BA173" i="5" s="1"/>
  <c r="S28" i="4"/>
  <c r="BB173" i="5" s="1"/>
  <c r="T28" i="4"/>
  <c r="BC173" i="5" s="1"/>
  <c r="U28" i="4"/>
  <c r="BD173" i="5" s="1"/>
  <c r="V28" i="4"/>
  <c r="BE173" i="5" s="1"/>
  <c r="W28" i="4"/>
  <c r="BF173" i="5" s="1"/>
  <c r="G29" i="4"/>
  <c r="BM173" i="5" s="1"/>
  <c r="H29" i="4"/>
  <c r="BN173" i="5" s="1"/>
  <c r="I29" i="4"/>
  <c r="BO173" i="5" s="1"/>
  <c r="J29" i="4"/>
  <c r="BP173" i="5" s="1"/>
  <c r="K29" i="4"/>
  <c r="BQ173" i="5" s="1"/>
  <c r="L29" i="4"/>
  <c r="BR173" i="5" s="1"/>
  <c r="M29" i="4"/>
  <c r="BS173" i="5" s="1"/>
  <c r="N29" i="4"/>
  <c r="BT173" i="5" s="1"/>
  <c r="O29" i="4"/>
  <c r="BU173" i="5" s="1"/>
  <c r="P29" i="4"/>
  <c r="BV173" i="5" s="1"/>
  <c r="Q29" i="4"/>
  <c r="BW173" i="5" s="1"/>
  <c r="R29" i="4"/>
  <c r="BX173" i="5" s="1"/>
  <c r="S29" i="4"/>
  <c r="BY173" i="5" s="1"/>
  <c r="T29" i="4"/>
  <c r="BZ173" i="5" s="1"/>
  <c r="U29" i="4"/>
  <c r="CA173" i="5" s="1"/>
  <c r="V29" i="4"/>
  <c r="CB173" i="5" s="1"/>
  <c r="W29" i="4"/>
  <c r="CC173" i="5" s="1"/>
  <c r="G30" i="4"/>
  <c r="CJ173" i="5" s="1"/>
  <c r="H30" i="4"/>
  <c r="CK173" i="5" s="1"/>
  <c r="I30" i="4"/>
  <c r="CL173" i="5" s="1"/>
  <c r="J30" i="4"/>
  <c r="CM173" i="5" s="1"/>
  <c r="K30" i="4"/>
  <c r="CN173" i="5" s="1"/>
  <c r="L30" i="4"/>
  <c r="CO173" i="5" s="1"/>
  <c r="M30" i="4"/>
  <c r="CP173" i="5" s="1"/>
  <c r="N30" i="4"/>
  <c r="CQ173" i="5" s="1"/>
  <c r="O30" i="4"/>
  <c r="CR173" i="5" s="1"/>
  <c r="P30" i="4"/>
  <c r="CS173" i="5" s="1"/>
  <c r="Q30" i="4"/>
  <c r="CT173" i="5" s="1"/>
  <c r="R30" i="4"/>
  <c r="CU173" i="5" s="1"/>
  <c r="S30" i="4"/>
  <c r="CV173" i="5" s="1"/>
  <c r="T30" i="4"/>
  <c r="CW173" i="5" s="1"/>
  <c r="U30" i="4"/>
  <c r="CX173" i="5" s="1"/>
  <c r="V30" i="4"/>
  <c r="CY173" i="5" s="1"/>
  <c r="W30" i="4"/>
  <c r="CZ173" i="5" s="1"/>
  <c r="G31" i="4"/>
  <c r="DG173" i="5" s="1"/>
  <c r="H31" i="4"/>
  <c r="DH173" i="5" s="1"/>
  <c r="I31" i="4"/>
  <c r="DI173" i="5" s="1"/>
  <c r="J31" i="4"/>
  <c r="DJ173" i="5" s="1"/>
  <c r="K31" i="4"/>
  <c r="DK173" i="5" s="1"/>
  <c r="L31" i="4"/>
  <c r="DL173" i="5" s="1"/>
  <c r="M31" i="4"/>
  <c r="DM173" i="5" s="1"/>
  <c r="N31" i="4"/>
  <c r="DN173" i="5" s="1"/>
  <c r="O31" i="4"/>
  <c r="DO173" i="5" s="1"/>
  <c r="P31" i="4"/>
  <c r="DP173" i="5" s="1"/>
  <c r="Q31" i="4"/>
  <c r="DQ173" i="5" s="1"/>
  <c r="R31" i="4"/>
  <c r="DR173" i="5" s="1"/>
  <c r="S31" i="4"/>
  <c r="DS173" i="5" s="1"/>
  <c r="T31" i="4"/>
  <c r="DT173" i="5" s="1"/>
  <c r="U31" i="4"/>
  <c r="DU173" i="5" s="1"/>
  <c r="V31" i="4"/>
  <c r="DV173" i="5" s="1"/>
  <c r="W31" i="4"/>
  <c r="DW173" i="5" s="1"/>
  <c r="G32" i="4"/>
  <c r="ED173" i="5" s="1"/>
  <c r="H32" i="4"/>
  <c r="EE173" i="5" s="1"/>
  <c r="I32" i="4"/>
  <c r="EF173" i="5" s="1"/>
  <c r="J32" i="4"/>
  <c r="EG173" i="5" s="1"/>
  <c r="K32" i="4"/>
  <c r="EH173" i="5" s="1"/>
  <c r="L32" i="4"/>
  <c r="EI173" i="5" s="1"/>
  <c r="M32" i="4"/>
  <c r="EJ173" i="5" s="1"/>
  <c r="N32" i="4"/>
  <c r="EK173" i="5" s="1"/>
  <c r="O32" i="4"/>
  <c r="EL173" i="5" s="1"/>
  <c r="P32" i="4"/>
  <c r="EM173" i="5" s="1"/>
  <c r="Q32" i="4"/>
  <c r="EN173" i="5" s="1"/>
  <c r="R32" i="4"/>
  <c r="EO173" i="5" s="1"/>
  <c r="S32" i="4"/>
  <c r="EP173" i="5" s="1"/>
  <c r="T32" i="4"/>
  <c r="EQ173" i="5" s="1"/>
  <c r="U32" i="4"/>
  <c r="ER173" i="5" s="1"/>
  <c r="V32" i="4"/>
  <c r="ES173" i="5" s="1"/>
  <c r="W32" i="4"/>
  <c r="ET173" i="5" s="1"/>
  <c r="G33" i="4"/>
  <c r="FA173" i="5" s="1"/>
  <c r="H33" i="4"/>
  <c r="FB173" i="5" s="1"/>
  <c r="I33" i="4"/>
  <c r="FC173" i="5" s="1"/>
  <c r="J33" i="4"/>
  <c r="FD173" i="5" s="1"/>
  <c r="K33" i="4"/>
  <c r="FE173" i="5" s="1"/>
  <c r="L33" i="4"/>
  <c r="FF173" i="5" s="1"/>
  <c r="M33" i="4"/>
  <c r="FG173" i="5" s="1"/>
  <c r="N33" i="4"/>
  <c r="FH173" i="5" s="1"/>
  <c r="O33" i="4"/>
  <c r="FI173" i="5" s="1"/>
  <c r="P33" i="4"/>
  <c r="FJ173" i="5" s="1"/>
  <c r="Q33" i="4"/>
  <c r="FK173" i="5" s="1"/>
  <c r="R33" i="4"/>
  <c r="FL173" i="5" s="1"/>
  <c r="S33" i="4"/>
  <c r="FM173" i="5" s="1"/>
  <c r="T33" i="4"/>
  <c r="FN173" i="5" s="1"/>
  <c r="U33" i="4"/>
  <c r="FO173" i="5" s="1"/>
  <c r="V33" i="4"/>
  <c r="FP173" i="5" s="1"/>
  <c r="W33" i="4"/>
  <c r="FQ173" i="5" s="1"/>
  <c r="G34" i="4"/>
  <c r="FX173" i="5" s="1"/>
  <c r="H34" i="4"/>
  <c r="FY173" i="5" s="1"/>
  <c r="I34" i="4"/>
  <c r="FZ173" i="5" s="1"/>
  <c r="J34" i="4"/>
  <c r="GA173" i="5" s="1"/>
  <c r="K34" i="4"/>
  <c r="GB173" i="5" s="1"/>
  <c r="L34" i="4"/>
  <c r="GC173" i="5" s="1"/>
  <c r="M34" i="4"/>
  <c r="GD173" i="5" s="1"/>
  <c r="N34" i="4"/>
  <c r="GE173" i="5" s="1"/>
  <c r="O34" i="4"/>
  <c r="GF173" i="5" s="1"/>
  <c r="P34" i="4"/>
  <c r="GG173" i="5" s="1"/>
  <c r="Q34" i="4"/>
  <c r="GH173" i="5" s="1"/>
  <c r="R34" i="4"/>
  <c r="GI173" i="5" s="1"/>
  <c r="S34" i="4"/>
  <c r="GJ173" i="5" s="1"/>
  <c r="T34" i="4"/>
  <c r="GK173" i="5" s="1"/>
  <c r="U34" i="4"/>
  <c r="GL173" i="5" s="1"/>
  <c r="V34" i="4"/>
  <c r="GM173" i="5" s="1"/>
  <c r="W34" i="4"/>
  <c r="GN173" i="5" s="1"/>
  <c r="G35" i="4"/>
  <c r="GU173" i="5" s="1"/>
  <c r="H35" i="4"/>
  <c r="GV173" i="5" s="1"/>
  <c r="I35" i="4"/>
  <c r="GW173" i="5" s="1"/>
  <c r="J35" i="4"/>
  <c r="GX173" i="5" s="1"/>
  <c r="K35" i="4"/>
  <c r="GY173" i="5" s="1"/>
  <c r="L35" i="4"/>
  <c r="GZ173" i="5" s="1"/>
  <c r="M35" i="4"/>
  <c r="HA173" i="5" s="1"/>
  <c r="N35" i="4"/>
  <c r="HB173" i="5" s="1"/>
  <c r="O35" i="4"/>
  <c r="HC173" i="5" s="1"/>
  <c r="P35" i="4"/>
  <c r="HD173" i="5" s="1"/>
  <c r="Q35" i="4"/>
  <c r="HE173" i="5" s="1"/>
  <c r="R35" i="4"/>
  <c r="HF173" i="5" s="1"/>
  <c r="S35" i="4"/>
  <c r="HG173" i="5" s="1"/>
  <c r="T35" i="4"/>
  <c r="HH173" i="5" s="1"/>
  <c r="U35" i="4"/>
  <c r="HI173" i="5" s="1"/>
  <c r="V35" i="4"/>
  <c r="HJ173" i="5" s="1"/>
  <c r="W35" i="4"/>
  <c r="HK173" i="5" s="1"/>
  <c r="G36" i="4"/>
  <c r="HR173" i="5" s="1"/>
  <c r="H36" i="4"/>
  <c r="HS173" i="5" s="1"/>
  <c r="I36" i="4"/>
  <c r="HT173" i="5" s="1"/>
  <c r="J36" i="4"/>
  <c r="HU173" i="5" s="1"/>
  <c r="K36" i="4"/>
  <c r="HV173" i="5" s="1"/>
  <c r="L36" i="4"/>
  <c r="HW173" i="5" s="1"/>
  <c r="M36" i="4"/>
  <c r="HX173" i="5" s="1"/>
  <c r="N36" i="4"/>
  <c r="HY173" i="5" s="1"/>
  <c r="O36" i="4"/>
  <c r="HZ173" i="5" s="1"/>
  <c r="P36" i="4"/>
  <c r="IA173" i="5" s="1"/>
  <c r="Q36" i="4"/>
  <c r="IB173" i="5" s="1"/>
  <c r="R36" i="4"/>
  <c r="IC173" i="5" s="1"/>
  <c r="S36" i="4"/>
  <c r="ID173" i="5" s="1"/>
  <c r="T36" i="4"/>
  <c r="IE173" i="5" s="1"/>
  <c r="U36" i="4"/>
  <c r="IF173" i="5" s="1"/>
  <c r="V36" i="4"/>
  <c r="IG173" i="5" s="1"/>
  <c r="W36" i="4"/>
  <c r="IH173" i="5" s="1"/>
  <c r="G37" i="4"/>
  <c r="IO173" i="5" s="1"/>
  <c r="H37" i="4"/>
  <c r="IP173" i="5" s="1"/>
  <c r="I37" i="4"/>
  <c r="IQ173" i="5" s="1"/>
  <c r="J37" i="4"/>
  <c r="IR173" i="5" s="1"/>
  <c r="K37" i="4"/>
  <c r="IS173" i="5" s="1"/>
  <c r="L37" i="4"/>
  <c r="IT173" i="5" s="1"/>
  <c r="M37" i="4"/>
  <c r="IU173" i="5" s="1"/>
  <c r="N37" i="4"/>
  <c r="IV173" i="5" s="1"/>
  <c r="O37" i="4"/>
  <c r="F174" i="5" s="1"/>
  <c r="P37" i="4"/>
  <c r="G174" i="5" s="1"/>
  <c r="Q37" i="4"/>
  <c r="H174" i="5" s="1"/>
  <c r="R37" i="4"/>
  <c r="I174" i="5" s="1"/>
  <c r="S37" i="4"/>
  <c r="J174" i="5" s="1"/>
  <c r="T37" i="4"/>
  <c r="K174" i="5" s="1"/>
  <c r="U37" i="4"/>
  <c r="L174" i="5" s="1"/>
  <c r="V37" i="4"/>
  <c r="M174" i="5" s="1"/>
  <c r="W37" i="4"/>
  <c r="N174" i="5" s="1"/>
  <c r="G38" i="4"/>
  <c r="U174" i="5" s="1"/>
  <c r="H38" i="4"/>
  <c r="V174" i="5" s="1"/>
  <c r="I38" i="4"/>
  <c r="W174" i="5" s="1"/>
  <c r="J38" i="4"/>
  <c r="X174" i="5" s="1"/>
  <c r="K38" i="4"/>
  <c r="Y174" i="5" s="1"/>
  <c r="L38" i="4"/>
  <c r="Z174" i="5" s="1"/>
  <c r="M38" i="4"/>
  <c r="AA174" i="5" s="1"/>
  <c r="N38" i="4"/>
  <c r="AB174" i="5" s="1"/>
  <c r="O38" i="4"/>
  <c r="AC174" i="5" s="1"/>
  <c r="P38" i="4"/>
  <c r="AD174" i="5" s="1"/>
  <c r="Q38" i="4"/>
  <c r="AE174" i="5" s="1"/>
  <c r="R38" i="4"/>
  <c r="AF174" i="5" s="1"/>
  <c r="S38" i="4"/>
  <c r="AG174" i="5" s="1"/>
  <c r="T38" i="4"/>
  <c r="AH174" i="5" s="1"/>
  <c r="U38" i="4"/>
  <c r="AI174" i="5" s="1"/>
  <c r="V38" i="4"/>
  <c r="AJ174" i="5" s="1"/>
  <c r="W38" i="4"/>
  <c r="AK174" i="5" s="1"/>
  <c r="G39" i="4"/>
  <c r="AR174" i="5" s="1"/>
  <c r="H39" i="4"/>
  <c r="AS174" i="5" s="1"/>
  <c r="I39" i="4"/>
  <c r="AT174" i="5" s="1"/>
  <c r="J39" i="4"/>
  <c r="AU174" i="5" s="1"/>
  <c r="K39" i="4"/>
  <c r="AV174" i="5" s="1"/>
  <c r="L39" i="4"/>
  <c r="AW174" i="5" s="1"/>
  <c r="M39" i="4"/>
  <c r="AX174" i="5" s="1"/>
  <c r="N39" i="4"/>
  <c r="AY174" i="5" s="1"/>
  <c r="O39" i="4"/>
  <c r="AZ174" i="5" s="1"/>
  <c r="P39" i="4"/>
  <c r="BA174" i="5" s="1"/>
  <c r="Q39" i="4"/>
  <c r="BB174" i="5" s="1"/>
  <c r="R39" i="4"/>
  <c r="BC174" i="5" s="1"/>
  <c r="S39" i="4"/>
  <c r="BD174" i="5" s="1"/>
  <c r="T39" i="4"/>
  <c r="BE174" i="5" s="1"/>
  <c r="U39" i="4"/>
  <c r="BF174" i="5" s="1"/>
  <c r="V39" i="4"/>
  <c r="BG174" i="5" s="1"/>
  <c r="W39" i="4"/>
  <c r="BH174" i="5" s="1"/>
  <c r="G40" i="4"/>
  <c r="BO174" i="5" s="1"/>
  <c r="H40" i="4"/>
  <c r="BP174" i="5" s="1"/>
  <c r="I40" i="4"/>
  <c r="BQ174" i="5" s="1"/>
  <c r="J40" i="4"/>
  <c r="BR174" i="5" s="1"/>
  <c r="K40" i="4"/>
  <c r="BS174" i="5" s="1"/>
  <c r="L40" i="4"/>
  <c r="BT174" i="5" s="1"/>
  <c r="M40" i="4"/>
  <c r="BU174" i="5" s="1"/>
  <c r="N40" i="4"/>
  <c r="BV174" i="5" s="1"/>
  <c r="O40" i="4"/>
  <c r="BW174" i="5" s="1"/>
  <c r="P40" i="4"/>
  <c r="BX174" i="5" s="1"/>
  <c r="Q40" i="4"/>
  <c r="BY174" i="5" s="1"/>
  <c r="R40" i="4"/>
  <c r="BZ174" i="5" s="1"/>
  <c r="S40" i="4"/>
  <c r="CA174" i="5" s="1"/>
  <c r="T40" i="4"/>
  <c r="CB174" i="5" s="1"/>
  <c r="U40" i="4"/>
  <c r="CC174" i="5" s="1"/>
  <c r="V40" i="4"/>
  <c r="CD174" i="5" s="1"/>
  <c r="W40" i="4"/>
  <c r="CE174" i="5" s="1"/>
  <c r="G41" i="4"/>
  <c r="CL174" i="5" s="1"/>
  <c r="H41" i="4"/>
  <c r="CM174" i="5" s="1"/>
  <c r="I41" i="4"/>
  <c r="CN174" i="5" s="1"/>
  <c r="J41" i="4"/>
  <c r="CO174" i="5" s="1"/>
  <c r="K41" i="4"/>
  <c r="CP174" i="5" s="1"/>
  <c r="L41" i="4"/>
  <c r="CQ174" i="5" s="1"/>
  <c r="M41" i="4"/>
  <c r="CR174" i="5" s="1"/>
  <c r="N41" i="4"/>
  <c r="CS174" i="5" s="1"/>
  <c r="O41" i="4"/>
  <c r="CT174" i="5" s="1"/>
  <c r="P41" i="4"/>
  <c r="CU174" i="5" s="1"/>
  <c r="Q41" i="4"/>
  <c r="CV174" i="5" s="1"/>
  <c r="R41" i="4"/>
  <c r="CW174" i="5" s="1"/>
  <c r="S41" i="4"/>
  <c r="CX174" i="5" s="1"/>
  <c r="T41" i="4"/>
  <c r="CY174" i="5" s="1"/>
  <c r="U41" i="4"/>
  <c r="CZ174" i="5" s="1"/>
  <c r="V41" i="4"/>
  <c r="DA174" i="5" s="1"/>
  <c r="W41" i="4"/>
  <c r="DB174" i="5" s="1"/>
  <c r="G42" i="4"/>
  <c r="DI174" i="5" s="1"/>
  <c r="H42" i="4"/>
  <c r="DJ174" i="5" s="1"/>
  <c r="I42" i="4"/>
  <c r="DK174" i="5" s="1"/>
  <c r="J42" i="4"/>
  <c r="DL174" i="5" s="1"/>
  <c r="K42" i="4"/>
  <c r="DM174" i="5" s="1"/>
  <c r="L42" i="4"/>
  <c r="DN174" i="5" s="1"/>
  <c r="M42" i="4"/>
  <c r="DO174" i="5" s="1"/>
  <c r="N42" i="4"/>
  <c r="DP174" i="5" s="1"/>
  <c r="O42" i="4"/>
  <c r="DQ174" i="5" s="1"/>
  <c r="P42" i="4"/>
  <c r="DR174" i="5" s="1"/>
  <c r="Q42" i="4"/>
  <c r="DS174" i="5" s="1"/>
  <c r="R42" i="4"/>
  <c r="DT174" i="5" s="1"/>
  <c r="S42" i="4"/>
  <c r="DU174" i="5" s="1"/>
  <c r="T42" i="4"/>
  <c r="DV174" i="5" s="1"/>
  <c r="U42" i="4"/>
  <c r="DW174" i="5" s="1"/>
  <c r="V42" i="4"/>
  <c r="DX174" i="5" s="1"/>
  <c r="W42" i="4"/>
  <c r="DY174" i="5" s="1"/>
  <c r="G43" i="4"/>
  <c r="EF174" i="5" s="1"/>
  <c r="H43" i="4"/>
  <c r="EG174" i="5" s="1"/>
  <c r="I43" i="4"/>
  <c r="EH174" i="5" s="1"/>
  <c r="J43" i="4"/>
  <c r="EI174" i="5" s="1"/>
  <c r="K43" i="4"/>
  <c r="EJ174" i="5" s="1"/>
  <c r="L43" i="4"/>
  <c r="EK174" i="5" s="1"/>
  <c r="M43" i="4"/>
  <c r="EL174" i="5" s="1"/>
  <c r="N43" i="4"/>
  <c r="EM174" i="5" s="1"/>
  <c r="O43" i="4"/>
  <c r="EN174" i="5" s="1"/>
  <c r="P43" i="4"/>
  <c r="EO174" i="5" s="1"/>
  <c r="Q43" i="4"/>
  <c r="EP174" i="5" s="1"/>
  <c r="R43" i="4"/>
  <c r="EQ174" i="5" s="1"/>
  <c r="S43" i="4"/>
  <c r="ER174" i="5" s="1"/>
  <c r="T43" i="4"/>
  <c r="ES174" i="5" s="1"/>
  <c r="U43" i="4"/>
  <c r="ET174" i="5" s="1"/>
  <c r="V43" i="4"/>
  <c r="EU174" i="5" s="1"/>
  <c r="W43" i="4"/>
  <c r="EV174" i="5" s="1"/>
  <c r="G44" i="4"/>
  <c r="FC174" i="5" s="1"/>
  <c r="H44" i="4"/>
  <c r="FD174" i="5" s="1"/>
  <c r="I44" i="4"/>
  <c r="FE174" i="5" s="1"/>
  <c r="J44" i="4"/>
  <c r="FF174" i="5" s="1"/>
  <c r="K44" i="4"/>
  <c r="FG174" i="5" s="1"/>
  <c r="L44" i="4"/>
  <c r="FH174" i="5" s="1"/>
  <c r="M44" i="4"/>
  <c r="FI174" i="5" s="1"/>
  <c r="N44" i="4"/>
  <c r="FJ174" i="5" s="1"/>
  <c r="O44" i="4"/>
  <c r="FK174" i="5" s="1"/>
  <c r="P44" i="4"/>
  <c r="FL174" i="5" s="1"/>
  <c r="Q44" i="4"/>
  <c r="FM174" i="5" s="1"/>
  <c r="R44" i="4"/>
  <c r="FN174" i="5" s="1"/>
  <c r="S44" i="4"/>
  <c r="FO174" i="5" s="1"/>
  <c r="T44" i="4"/>
  <c r="FP174" i="5" s="1"/>
  <c r="U44" i="4"/>
  <c r="FQ174" i="5" s="1"/>
  <c r="V44" i="4"/>
  <c r="FR174" i="5" s="1"/>
  <c r="W44" i="4"/>
  <c r="FS174" i="5" s="1"/>
  <c r="G45" i="4"/>
  <c r="FZ174" i="5" s="1"/>
  <c r="H45" i="4"/>
  <c r="GA174" i="5" s="1"/>
  <c r="I45" i="4"/>
  <c r="GB174" i="5" s="1"/>
  <c r="J45" i="4"/>
  <c r="GC174" i="5" s="1"/>
  <c r="K45" i="4"/>
  <c r="GD174" i="5" s="1"/>
  <c r="L45" i="4"/>
  <c r="GE174" i="5" s="1"/>
  <c r="M45" i="4"/>
  <c r="GF174" i="5" s="1"/>
  <c r="N45" i="4"/>
  <c r="GG174" i="5" s="1"/>
  <c r="O45" i="4"/>
  <c r="GH174" i="5" s="1"/>
  <c r="P45" i="4"/>
  <c r="GI174" i="5" s="1"/>
  <c r="Q45" i="4"/>
  <c r="GJ174" i="5" s="1"/>
  <c r="R45" i="4"/>
  <c r="GK174" i="5" s="1"/>
  <c r="S45" i="4"/>
  <c r="GL174" i="5" s="1"/>
  <c r="T45" i="4"/>
  <c r="GM174" i="5" s="1"/>
  <c r="U45" i="4"/>
  <c r="GN174" i="5" s="1"/>
  <c r="V45" i="4"/>
  <c r="GO174" i="5" s="1"/>
  <c r="W45" i="4"/>
  <c r="GP174" i="5" s="1"/>
  <c r="G46" i="4"/>
  <c r="GW174" i="5" s="1"/>
  <c r="H46" i="4"/>
  <c r="GX174" i="5" s="1"/>
  <c r="I46" i="4"/>
  <c r="GY174" i="5" s="1"/>
  <c r="J46" i="4"/>
  <c r="GZ174" i="5" s="1"/>
  <c r="K46" i="4"/>
  <c r="HA174" i="5" s="1"/>
  <c r="L46" i="4"/>
  <c r="HB174" i="5" s="1"/>
  <c r="M46" i="4"/>
  <c r="HC174" i="5" s="1"/>
  <c r="N46" i="4"/>
  <c r="HD174" i="5" s="1"/>
  <c r="O46" i="4"/>
  <c r="HE174" i="5" s="1"/>
  <c r="P46" i="4"/>
  <c r="HF174" i="5" s="1"/>
  <c r="Q46" i="4"/>
  <c r="HG174" i="5" s="1"/>
  <c r="R46" i="4"/>
  <c r="HH174" i="5" s="1"/>
  <c r="S46" i="4"/>
  <c r="HI174" i="5" s="1"/>
  <c r="T46" i="4"/>
  <c r="HJ174" i="5" s="1"/>
  <c r="U46" i="4"/>
  <c r="HK174" i="5" s="1"/>
  <c r="V46" i="4"/>
  <c r="HL174" i="5" s="1"/>
  <c r="W46" i="4"/>
  <c r="HM174" i="5" s="1"/>
  <c r="G47" i="4"/>
  <c r="HT174" i="5" s="1"/>
  <c r="H47" i="4"/>
  <c r="HU174" i="5" s="1"/>
  <c r="I47" i="4"/>
  <c r="HV174" i="5" s="1"/>
  <c r="J47" i="4"/>
  <c r="HW174" i="5" s="1"/>
  <c r="K47" i="4"/>
  <c r="HX174" i="5" s="1"/>
  <c r="L47" i="4"/>
  <c r="HY174" i="5" s="1"/>
  <c r="M47" i="4"/>
  <c r="HZ174" i="5" s="1"/>
  <c r="N47" i="4"/>
  <c r="IA174" i="5" s="1"/>
  <c r="O47" i="4"/>
  <c r="IB174" i="5" s="1"/>
  <c r="P47" i="4"/>
  <c r="IC174" i="5" s="1"/>
  <c r="Q47" i="4"/>
  <c r="ID174" i="5" s="1"/>
  <c r="R47" i="4"/>
  <c r="IE174" i="5" s="1"/>
  <c r="S47" i="4"/>
  <c r="IF174" i="5" s="1"/>
  <c r="T47" i="4"/>
  <c r="IG174" i="5" s="1"/>
  <c r="U47" i="4"/>
  <c r="IH174" i="5" s="1"/>
  <c r="V47" i="4"/>
  <c r="II174" i="5" s="1"/>
  <c r="W47" i="4"/>
  <c r="IJ174" i="5" s="1"/>
  <c r="G48" i="4"/>
  <c r="IQ174" i="5" s="1"/>
  <c r="H48" i="4"/>
  <c r="IR174" i="5" s="1"/>
  <c r="I48" i="4"/>
  <c r="IS174" i="5" s="1"/>
  <c r="J48" i="4"/>
  <c r="IT174" i="5" s="1"/>
  <c r="K48" i="4"/>
  <c r="IU174" i="5" s="1"/>
  <c r="L48" i="4"/>
  <c r="IV174" i="5" s="1"/>
  <c r="M48" i="4"/>
  <c r="F175" i="5" s="1"/>
  <c r="N48" i="4"/>
  <c r="G175" i="5" s="1"/>
  <c r="O48" i="4"/>
  <c r="H175" i="5" s="1"/>
  <c r="P48" i="4"/>
  <c r="I175" i="5" s="1"/>
  <c r="Q48" i="4"/>
  <c r="J175" i="5" s="1"/>
  <c r="R48" i="4"/>
  <c r="K175" i="5" s="1"/>
  <c r="S48" i="4"/>
  <c r="L175" i="5" s="1"/>
  <c r="T48" i="4"/>
  <c r="M175" i="5" s="1"/>
  <c r="U48" i="4"/>
  <c r="N175" i="5" s="1"/>
  <c r="V48" i="4"/>
  <c r="O175" i="5" s="1"/>
  <c r="W48" i="4"/>
  <c r="P175" i="5" s="1"/>
  <c r="G49" i="4"/>
  <c r="W175" i="5" s="1"/>
  <c r="H49" i="4"/>
  <c r="X175" i="5" s="1"/>
  <c r="I49" i="4"/>
  <c r="Y175" i="5" s="1"/>
  <c r="J49" i="4"/>
  <c r="Z175" i="5" s="1"/>
  <c r="K49" i="4"/>
  <c r="AA175" i="5" s="1"/>
  <c r="L49" i="4"/>
  <c r="AB175" i="5" s="1"/>
  <c r="M49" i="4"/>
  <c r="AC175" i="5" s="1"/>
  <c r="N49" i="4"/>
  <c r="AD175" i="5" s="1"/>
  <c r="O49" i="4"/>
  <c r="AE175" i="5" s="1"/>
  <c r="P49" i="4"/>
  <c r="AF175" i="5" s="1"/>
  <c r="Q49" i="4"/>
  <c r="AG175" i="5" s="1"/>
  <c r="R49" i="4"/>
  <c r="AH175" i="5" s="1"/>
  <c r="S49" i="4"/>
  <c r="AI175" i="5" s="1"/>
  <c r="T49" i="4"/>
  <c r="AJ175" i="5" s="1"/>
  <c r="U49" i="4"/>
  <c r="AK175" i="5" s="1"/>
  <c r="V49" i="4"/>
  <c r="AL175" i="5" s="1"/>
  <c r="W49" i="4"/>
  <c r="AM175" i="5" s="1"/>
  <c r="G50" i="4"/>
  <c r="AT175" i="5" s="1"/>
  <c r="H50" i="4"/>
  <c r="AU175" i="5" s="1"/>
  <c r="I50" i="4"/>
  <c r="AV175" i="5" s="1"/>
  <c r="J50" i="4"/>
  <c r="AW175" i="5" s="1"/>
  <c r="K50" i="4"/>
  <c r="AX175" i="5" s="1"/>
  <c r="L50" i="4"/>
  <c r="AY175" i="5" s="1"/>
  <c r="M50" i="4"/>
  <c r="AZ175" i="5" s="1"/>
  <c r="N50" i="4"/>
  <c r="BA175" i="5" s="1"/>
  <c r="O50" i="4"/>
  <c r="BB175" i="5" s="1"/>
  <c r="P50" i="4"/>
  <c r="BC175" i="5" s="1"/>
  <c r="Q50" i="4"/>
  <c r="BD175" i="5" s="1"/>
  <c r="R50" i="4"/>
  <c r="BE175" i="5" s="1"/>
  <c r="S50" i="4"/>
  <c r="BF175" i="5" s="1"/>
  <c r="T50" i="4"/>
  <c r="BG175" i="5" s="1"/>
  <c r="U50" i="4"/>
  <c r="BH175" i="5" s="1"/>
  <c r="V50" i="4"/>
  <c r="BI175" i="5" s="1"/>
  <c r="W50" i="4"/>
  <c r="BJ175" i="5" s="1"/>
  <c r="G51" i="4"/>
  <c r="BQ175" i="5" s="1"/>
  <c r="H51" i="4"/>
  <c r="BR175" i="5" s="1"/>
  <c r="I51" i="4"/>
  <c r="BS175" i="5" s="1"/>
  <c r="J51" i="4"/>
  <c r="BT175" i="5" s="1"/>
  <c r="K51" i="4"/>
  <c r="BU175" i="5" s="1"/>
  <c r="L51" i="4"/>
  <c r="BV175" i="5" s="1"/>
  <c r="M51" i="4"/>
  <c r="BW175" i="5" s="1"/>
  <c r="N51" i="4"/>
  <c r="BX175" i="5" s="1"/>
  <c r="O51" i="4"/>
  <c r="BY175" i="5" s="1"/>
  <c r="P51" i="4"/>
  <c r="BZ175" i="5" s="1"/>
  <c r="Q51" i="4"/>
  <c r="CA175" i="5" s="1"/>
  <c r="R51" i="4"/>
  <c r="CB175" i="5" s="1"/>
  <c r="S51" i="4"/>
  <c r="CC175" i="5" s="1"/>
  <c r="T51" i="4"/>
  <c r="CD175" i="5" s="1"/>
  <c r="U51" i="4"/>
  <c r="CE175" i="5" s="1"/>
  <c r="V51" i="4"/>
  <c r="CF175" i="5" s="1"/>
  <c r="W51" i="4"/>
  <c r="CG175" i="5" s="1"/>
  <c r="G52" i="4"/>
  <c r="CN175" i="5" s="1"/>
  <c r="H52" i="4"/>
  <c r="CO175" i="5" s="1"/>
  <c r="I52" i="4"/>
  <c r="CP175" i="5" s="1"/>
  <c r="J52" i="4"/>
  <c r="CQ175" i="5" s="1"/>
  <c r="K52" i="4"/>
  <c r="CR175" i="5" s="1"/>
  <c r="L52" i="4"/>
  <c r="CS175" i="5" s="1"/>
  <c r="M52" i="4"/>
  <c r="CT175" i="5" s="1"/>
  <c r="N52" i="4"/>
  <c r="CU175" i="5" s="1"/>
  <c r="O52" i="4"/>
  <c r="CV175" i="5" s="1"/>
  <c r="P52" i="4"/>
  <c r="CW175" i="5" s="1"/>
  <c r="Q52" i="4"/>
  <c r="CX175" i="5" s="1"/>
  <c r="R52" i="4"/>
  <c r="CY175" i="5" s="1"/>
  <c r="S52" i="4"/>
  <c r="CZ175" i="5" s="1"/>
  <c r="T52" i="4"/>
  <c r="DA175" i="5" s="1"/>
  <c r="U52" i="4"/>
  <c r="DB175" i="5" s="1"/>
  <c r="V52" i="4"/>
  <c r="DC175" i="5" s="1"/>
  <c r="W52" i="4"/>
  <c r="DD175" i="5" s="1"/>
  <c r="G53" i="4"/>
  <c r="DK175" i="5" s="1"/>
  <c r="H53" i="4"/>
  <c r="DL175" i="5" s="1"/>
  <c r="I53" i="4"/>
  <c r="DM175" i="5" s="1"/>
  <c r="J53" i="4"/>
  <c r="DN175" i="5" s="1"/>
  <c r="K53" i="4"/>
  <c r="DO175" i="5" s="1"/>
  <c r="L53" i="4"/>
  <c r="DP175" i="5" s="1"/>
  <c r="M53" i="4"/>
  <c r="DQ175" i="5" s="1"/>
  <c r="N53" i="4"/>
  <c r="DR175" i="5" s="1"/>
  <c r="O53" i="4"/>
  <c r="DS175" i="5" s="1"/>
  <c r="P53" i="4"/>
  <c r="DT175" i="5" s="1"/>
  <c r="Q53" i="4"/>
  <c r="DU175" i="5" s="1"/>
  <c r="R53" i="4"/>
  <c r="DV175" i="5" s="1"/>
  <c r="S53" i="4"/>
  <c r="DW175" i="5" s="1"/>
  <c r="T53" i="4"/>
  <c r="DX175" i="5" s="1"/>
  <c r="U53" i="4"/>
  <c r="DY175" i="5" s="1"/>
  <c r="V53" i="4"/>
  <c r="DZ175" i="5" s="1"/>
  <c r="W53" i="4"/>
  <c r="EA175" i="5" s="1"/>
  <c r="G54" i="4"/>
  <c r="EH175" i="5" s="1"/>
  <c r="H54" i="4"/>
  <c r="EI175" i="5" s="1"/>
  <c r="I54" i="4"/>
  <c r="EJ175" i="5" s="1"/>
  <c r="J54" i="4"/>
  <c r="EK175" i="5" s="1"/>
  <c r="K54" i="4"/>
  <c r="EL175" i="5" s="1"/>
  <c r="L54" i="4"/>
  <c r="EM175" i="5" s="1"/>
  <c r="M54" i="4"/>
  <c r="EN175" i="5" s="1"/>
  <c r="N54" i="4"/>
  <c r="EO175" i="5" s="1"/>
  <c r="O54" i="4"/>
  <c r="EP175" i="5" s="1"/>
  <c r="P54" i="4"/>
  <c r="EQ175" i="5" s="1"/>
  <c r="Q54" i="4"/>
  <c r="ER175" i="5" s="1"/>
  <c r="R54" i="4"/>
  <c r="ES175" i="5" s="1"/>
  <c r="S54" i="4"/>
  <c r="ET175" i="5" s="1"/>
  <c r="T54" i="4"/>
  <c r="EU175" i="5" s="1"/>
  <c r="U54" i="4"/>
  <c r="EV175" i="5" s="1"/>
  <c r="V54" i="4"/>
  <c r="EW175" i="5" s="1"/>
  <c r="W54" i="4"/>
  <c r="EX175" i="5" s="1"/>
  <c r="G55" i="4"/>
  <c r="FE175" i="5" s="1"/>
  <c r="H55" i="4"/>
  <c r="FF175" i="5" s="1"/>
  <c r="I55" i="4"/>
  <c r="FG175" i="5" s="1"/>
  <c r="J55" i="4"/>
  <c r="FH175" i="5" s="1"/>
  <c r="K55" i="4"/>
  <c r="FI175" i="5" s="1"/>
  <c r="L55" i="4"/>
  <c r="FJ175" i="5" s="1"/>
  <c r="M55" i="4"/>
  <c r="FK175" i="5" s="1"/>
  <c r="N55" i="4"/>
  <c r="FL175" i="5" s="1"/>
  <c r="O55" i="4"/>
  <c r="FM175" i="5" s="1"/>
  <c r="P55" i="4"/>
  <c r="FN175" i="5" s="1"/>
  <c r="Q55" i="4"/>
  <c r="FO175" i="5" s="1"/>
  <c r="R55" i="4"/>
  <c r="FP175" i="5" s="1"/>
  <c r="S55" i="4"/>
  <c r="FQ175" i="5" s="1"/>
  <c r="T55" i="4"/>
  <c r="FR175" i="5" s="1"/>
  <c r="U55" i="4"/>
  <c r="FS175" i="5" s="1"/>
  <c r="V55" i="4"/>
  <c r="FT175" i="5" s="1"/>
  <c r="W55" i="4"/>
  <c r="FU175" i="5" s="1"/>
  <c r="G56" i="4"/>
  <c r="GB175" i="5" s="1"/>
  <c r="H56" i="4"/>
  <c r="GC175" i="5" s="1"/>
  <c r="I56" i="4"/>
  <c r="GD175" i="5" s="1"/>
  <c r="J56" i="4"/>
  <c r="GE175" i="5" s="1"/>
  <c r="K56" i="4"/>
  <c r="GF175" i="5" s="1"/>
  <c r="L56" i="4"/>
  <c r="GG175" i="5" s="1"/>
  <c r="M56" i="4"/>
  <c r="GH175" i="5" s="1"/>
  <c r="N56" i="4"/>
  <c r="GI175" i="5" s="1"/>
  <c r="O56" i="4"/>
  <c r="GJ175" i="5" s="1"/>
  <c r="P56" i="4"/>
  <c r="GK175" i="5" s="1"/>
  <c r="Q56" i="4"/>
  <c r="GL175" i="5" s="1"/>
  <c r="R56" i="4"/>
  <c r="GM175" i="5" s="1"/>
  <c r="S56" i="4"/>
  <c r="GN175" i="5" s="1"/>
  <c r="T56" i="4"/>
  <c r="GO175" i="5" s="1"/>
  <c r="U56" i="4"/>
  <c r="GP175" i="5" s="1"/>
  <c r="V56" i="4"/>
  <c r="GQ175" i="5" s="1"/>
  <c r="W56" i="4"/>
  <c r="GR175" i="5" s="1"/>
  <c r="G57" i="4"/>
  <c r="GY175" i="5" s="1"/>
  <c r="H57" i="4"/>
  <c r="GZ175" i="5" s="1"/>
  <c r="I57" i="4"/>
  <c r="HA175" i="5" s="1"/>
  <c r="J57" i="4"/>
  <c r="HB175" i="5" s="1"/>
  <c r="K57" i="4"/>
  <c r="HC175" i="5" s="1"/>
  <c r="L57" i="4"/>
  <c r="HD175" i="5" s="1"/>
  <c r="M57" i="4"/>
  <c r="HE175" i="5" s="1"/>
  <c r="N57" i="4"/>
  <c r="HF175" i="5" s="1"/>
  <c r="O57" i="4"/>
  <c r="HG175" i="5" s="1"/>
  <c r="P57" i="4"/>
  <c r="HH175" i="5" s="1"/>
  <c r="Q57" i="4"/>
  <c r="HI175" i="5" s="1"/>
  <c r="R57" i="4"/>
  <c r="HJ175" i="5" s="1"/>
  <c r="S57" i="4"/>
  <c r="HK175" i="5" s="1"/>
  <c r="T57" i="4"/>
  <c r="HL175" i="5" s="1"/>
  <c r="U57" i="4"/>
  <c r="HM175" i="5" s="1"/>
  <c r="V57" i="4"/>
  <c r="HN175" i="5" s="1"/>
  <c r="W57" i="4"/>
  <c r="HO175" i="5" s="1"/>
  <c r="G58" i="4"/>
  <c r="HV175" i="5" s="1"/>
  <c r="H58" i="4"/>
  <c r="HW175" i="5" s="1"/>
  <c r="I58" i="4"/>
  <c r="HX175" i="5" s="1"/>
  <c r="J58" i="4"/>
  <c r="HY175" i="5" s="1"/>
  <c r="K58" i="4"/>
  <c r="HZ175" i="5" s="1"/>
  <c r="L58" i="4"/>
  <c r="IA175" i="5" s="1"/>
  <c r="M58" i="4"/>
  <c r="IB175" i="5" s="1"/>
  <c r="N58" i="4"/>
  <c r="IC175" i="5" s="1"/>
  <c r="O58" i="4"/>
  <c r="ID175" i="5" s="1"/>
  <c r="P58" i="4"/>
  <c r="IE175" i="5" s="1"/>
  <c r="Q58" i="4"/>
  <c r="IF175" i="5" s="1"/>
  <c r="R58" i="4"/>
  <c r="IG175" i="5" s="1"/>
  <c r="S58" i="4"/>
  <c r="IH175" i="5" s="1"/>
  <c r="T58" i="4"/>
  <c r="II175" i="5" s="1"/>
  <c r="U58" i="4"/>
  <c r="IJ175" i="5" s="1"/>
  <c r="V58" i="4"/>
  <c r="IK175" i="5" s="1"/>
  <c r="W58" i="4"/>
  <c r="IL175" i="5" s="1"/>
  <c r="G59" i="4"/>
  <c r="IS175" i="5" s="1"/>
  <c r="H59" i="4"/>
  <c r="IT175" i="5" s="1"/>
  <c r="I59" i="4"/>
  <c r="IU175" i="5" s="1"/>
  <c r="J59" i="4"/>
  <c r="IV175" i="5" s="1"/>
  <c r="K59" i="4"/>
  <c r="F176" i="5" s="1"/>
  <c r="L59" i="4"/>
  <c r="G176" i="5" s="1"/>
  <c r="M59" i="4"/>
  <c r="H176" i="5" s="1"/>
  <c r="N59" i="4"/>
  <c r="I176" i="5" s="1"/>
  <c r="O59" i="4"/>
  <c r="J176" i="5" s="1"/>
  <c r="P59" i="4"/>
  <c r="K176" i="5" s="1"/>
  <c r="Q59" i="4"/>
  <c r="L176" i="5" s="1"/>
  <c r="R59" i="4"/>
  <c r="M176" i="5" s="1"/>
  <c r="S59" i="4"/>
  <c r="N176" i="5" s="1"/>
  <c r="T59" i="4"/>
  <c r="O176" i="5" s="1"/>
  <c r="U59" i="4"/>
  <c r="P176" i="5" s="1"/>
  <c r="V59" i="4"/>
  <c r="Q176" i="5" s="1"/>
  <c r="W59" i="4"/>
  <c r="R176" i="5" s="1"/>
  <c r="G60" i="4"/>
  <c r="Y176" i="5" s="1"/>
  <c r="H60" i="4"/>
  <c r="Z176" i="5" s="1"/>
  <c r="I60" i="4"/>
  <c r="AA176" i="5" s="1"/>
  <c r="J60" i="4"/>
  <c r="AB176" i="5" s="1"/>
  <c r="K60" i="4"/>
  <c r="AC176" i="5" s="1"/>
  <c r="L60" i="4"/>
  <c r="AD176" i="5" s="1"/>
  <c r="M60" i="4"/>
  <c r="AE176" i="5" s="1"/>
  <c r="N60" i="4"/>
  <c r="AF176" i="5" s="1"/>
  <c r="O60" i="4"/>
  <c r="AG176" i="5" s="1"/>
  <c r="P60" i="4"/>
  <c r="AH176" i="5" s="1"/>
  <c r="Q60" i="4"/>
  <c r="AI176" i="5" s="1"/>
  <c r="R60" i="4"/>
  <c r="AJ176" i="5" s="1"/>
  <c r="S60" i="4"/>
  <c r="AK176" i="5" s="1"/>
  <c r="T60" i="4"/>
  <c r="AL176" i="5" s="1"/>
  <c r="U60" i="4"/>
  <c r="AM176" i="5" s="1"/>
  <c r="V60" i="4"/>
  <c r="AN176" i="5" s="1"/>
  <c r="W60" i="4"/>
  <c r="AO176" i="5" s="1"/>
  <c r="G61" i="4"/>
  <c r="AV176" i="5" s="1"/>
  <c r="H61" i="4"/>
  <c r="AW176" i="5" s="1"/>
  <c r="I61" i="4"/>
  <c r="AX176" i="5" s="1"/>
  <c r="J61" i="4"/>
  <c r="AY176" i="5" s="1"/>
  <c r="K61" i="4"/>
  <c r="AZ176" i="5" s="1"/>
  <c r="L61" i="4"/>
  <c r="BA176" i="5" s="1"/>
  <c r="M61" i="4"/>
  <c r="BB176" i="5" s="1"/>
  <c r="N61" i="4"/>
  <c r="BC176" i="5" s="1"/>
  <c r="O61" i="4"/>
  <c r="BD176" i="5" s="1"/>
  <c r="P61" i="4"/>
  <c r="BE176" i="5" s="1"/>
  <c r="Q61" i="4"/>
  <c r="BF176" i="5" s="1"/>
  <c r="R61" i="4"/>
  <c r="BG176" i="5" s="1"/>
  <c r="S61" i="4"/>
  <c r="BH176" i="5" s="1"/>
  <c r="T61" i="4"/>
  <c r="BI176" i="5" s="1"/>
  <c r="U61" i="4"/>
  <c r="BJ176" i="5" s="1"/>
  <c r="V61" i="4"/>
  <c r="BK176" i="5" s="1"/>
  <c r="W61" i="4"/>
  <c r="BL176" i="5" s="1"/>
  <c r="G62" i="4"/>
  <c r="BS176" i="5" s="1"/>
  <c r="H62" i="4"/>
  <c r="BT176" i="5" s="1"/>
  <c r="I62" i="4"/>
  <c r="BU176" i="5" s="1"/>
  <c r="J62" i="4"/>
  <c r="BV176" i="5" s="1"/>
  <c r="K62" i="4"/>
  <c r="BW176" i="5" s="1"/>
  <c r="L62" i="4"/>
  <c r="BX176" i="5" s="1"/>
  <c r="M62" i="4"/>
  <c r="BY176" i="5" s="1"/>
  <c r="N62" i="4"/>
  <c r="BZ176" i="5" s="1"/>
  <c r="O62" i="4"/>
  <c r="CA176" i="5" s="1"/>
  <c r="P62" i="4"/>
  <c r="CB176" i="5" s="1"/>
  <c r="Q62" i="4"/>
  <c r="CC176" i="5" s="1"/>
  <c r="R62" i="4"/>
  <c r="CD176" i="5" s="1"/>
  <c r="S62" i="4"/>
  <c r="CE176" i="5" s="1"/>
  <c r="T62" i="4"/>
  <c r="CF176" i="5" s="1"/>
  <c r="U62" i="4"/>
  <c r="CG176" i="5" s="1"/>
  <c r="V62" i="4"/>
  <c r="CH176" i="5" s="1"/>
  <c r="W62" i="4"/>
  <c r="CI176" i="5" s="1"/>
  <c r="G63" i="4"/>
  <c r="CP176" i="5" s="1"/>
  <c r="H63" i="4"/>
  <c r="CQ176" i="5" s="1"/>
  <c r="I63" i="4"/>
  <c r="CR176" i="5" s="1"/>
  <c r="J63" i="4"/>
  <c r="CS176" i="5" s="1"/>
  <c r="K63" i="4"/>
  <c r="CT176" i="5" s="1"/>
  <c r="L63" i="4"/>
  <c r="CU176" i="5" s="1"/>
  <c r="M63" i="4"/>
  <c r="CV176" i="5" s="1"/>
  <c r="N63" i="4"/>
  <c r="CW176" i="5" s="1"/>
  <c r="O63" i="4"/>
  <c r="CX176" i="5" s="1"/>
  <c r="P63" i="4"/>
  <c r="CY176" i="5" s="1"/>
  <c r="Q63" i="4"/>
  <c r="CZ176" i="5" s="1"/>
  <c r="R63" i="4"/>
  <c r="DA176" i="5" s="1"/>
  <c r="S63" i="4"/>
  <c r="DB176" i="5" s="1"/>
  <c r="T63" i="4"/>
  <c r="DC176" i="5" s="1"/>
  <c r="U63" i="4"/>
  <c r="DD176" i="5" s="1"/>
  <c r="V63" i="4"/>
  <c r="DE176" i="5" s="1"/>
  <c r="W63" i="4"/>
  <c r="DF176" i="5" s="1"/>
  <c r="G64" i="4"/>
  <c r="DM176" i="5" s="1"/>
  <c r="H64" i="4"/>
  <c r="DN176" i="5" s="1"/>
  <c r="I64" i="4"/>
  <c r="DO176" i="5" s="1"/>
  <c r="J64" i="4"/>
  <c r="DP176" i="5" s="1"/>
  <c r="K64" i="4"/>
  <c r="DQ176" i="5" s="1"/>
  <c r="L64" i="4"/>
  <c r="DR176" i="5" s="1"/>
  <c r="M64" i="4"/>
  <c r="DS176" i="5" s="1"/>
  <c r="N64" i="4"/>
  <c r="DT176" i="5" s="1"/>
  <c r="O64" i="4"/>
  <c r="DU176" i="5" s="1"/>
  <c r="P64" i="4"/>
  <c r="DV176" i="5" s="1"/>
  <c r="Q64" i="4"/>
  <c r="DW176" i="5" s="1"/>
  <c r="R64" i="4"/>
  <c r="DX176" i="5" s="1"/>
  <c r="S64" i="4"/>
  <c r="DY176" i="5" s="1"/>
  <c r="T64" i="4"/>
  <c r="DZ176" i="5" s="1"/>
  <c r="U64" i="4"/>
  <c r="EA176" i="5" s="1"/>
  <c r="V64" i="4"/>
  <c r="EB176" i="5" s="1"/>
  <c r="W64" i="4"/>
  <c r="EC176" i="5" s="1"/>
  <c r="G65" i="4"/>
  <c r="EJ176" i="5" s="1"/>
  <c r="H65" i="4"/>
  <c r="EK176" i="5" s="1"/>
  <c r="I65" i="4"/>
  <c r="EL176" i="5" s="1"/>
  <c r="J65" i="4"/>
  <c r="EM176" i="5" s="1"/>
  <c r="K65" i="4"/>
  <c r="EN176" i="5" s="1"/>
  <c r="L65" i="4"/>
  <c r="EO176" i="5" s="1"/>
  <c r="M65" i="4"/>
  <c r="EP176" i="5" s="1"/>
  <c r="N65" i="4"/>
  <c r="EQ176" i="5" s="1"/>
  <c r="O65" i="4"/>
  <c r="ER176" i="5" s="1"/>
  <c r="P65" i="4"/>
  <c r="ES176" i="5" s="1"/>
  <c r="Q65" i="4"/>
  <c r="ET176" i="5" s="1"/>
  <c r="R65" i="4"/>
  <c r="EU176" i="5" s="1"/>
  <c r="S65" i="4"/>
  <c r="EV176" i="5" s="1"/>
  <c r="T65" i="4"/>
  <c r="EW176" i="5" s="1"/>
  <c r="U65" i="4"/>
  <c r="EX176" i="5" s="1"/>
  <c r="V65" i="4"/>
  <c r="EY176" i="5" s="1"/>
  <c r="W65" i="4"/>
  <c r="EZ176" i="5" s="1"/>
  <c r="G66" i="4"/>
  <c r="FG176" i="5" s="1"/>
  <c r="H66" i="4"/>
  <c r="FH176" i="5" s="1"/>
  <c r="I66" i="4"/>
  <c r="FI176" i="5" s="1"/>
  <c r="J66" i="4"/>
  <c r="FJ176" i="5" s="1"/>
  <c r="K66" i="4"/>
  <c r="FK176" i="5" s="1"/>
  <c r="L66" i="4"/>
  <c r="FL176" i="5" s="1"/>
  <c r="M66" i="4"/>
  <c r="FM176" i="5" s="1"/>
  <c r="N66" i="4"/>
  <c r="FN176" i="5" s="1"/>
  <c r="O66" i="4"/>
  <c r="FO176" i="5" s="1"/>
  <c r="P66" i="4"/>
  <c r="FP176" i="5" s="1"/>
  <c r="Q66" i="4"/>
  <c r="FQ176" i="5" s="1"/>
  <c r="R66" i="4"/>
  <c r="FR176" i="5" s="1"/>
  <c r="S66" i="4"/>
  <c r="FS176" i="5" s="1"/>
  <c r="T66" i="4"/>
  <c r="FT176" i="5" s="1"/>
  <c r="U66" i="4"/>
  <c r="FU176" i="5" s="1"/>
  <c r="V66" i="4"/>
  <c r="FV176" i="5" s="1"/>
  <c r="W66" i="4"/>
  <c r="FW176" i="5" s="1"/>
  <c r="G67" i="4"/>
  <c r="GD176" i="5" s="1"/>
  <c r="H67" i="4"/>
  <c r="GE176" i="5" s="1"/>
  <c r="I67" i="4"/>
  <c r="GF176" i="5" s="1"/>
  <c r="J67" i="4"/>
  <c r="GG176" i="5" s="1"/>
  <c r="K67" i="4"/>
  <c r="GH176" i="5" s="1"/>
  <c r="L67" i="4"/>
  <c r="GI176" i="5" s="1"/>
  <c r="M67" i="4"/>
  <c r="GJ176" i="5" s="1"/>
  <c r="N67" i="4"/>
  <c r="GK176" i="5" s="1"/>
  <c r="O67" i="4"/>
  <c r="GL176" i="5" s="1"/>
  <c r="P67" i="4"/>
  <c r="GM176" i="5" s="1"/>
  <c r="Q67" i="4"/>
  <c r="GN176" i="5" s="1"/>
  <c r="R67" i="4"/>
  <c r="GO176" i="5" s="1"/>
  <c r="S67" i="4"/>
  <c r="GP176" i="5" s="1"/>
  <c r="T67" i="4"/>
  <c r="GQ176" i="5" s="1"/>
  <c r="U67" i="4"/>
  <c r="GR176" i="5" s="1"/>
  <c r="V67" i="4"/>
  <c r="GS176" i="5" s="1"/>
  <c r="W67" i="4"/>
  <c r="GT176" i="5" s="1"/>
  <c r="G68" i="4"/>
  <c r="HA176" i="5" s="1"/>
  <c r="H68" i="4"/>
  <c r="HB176" i="5" s="1"/>
  <c r="I68" i="4"/>
  <c r="HC176" i="5" s="1"/>
  <c r="J68" i="4"/>
  <c r="HD176" i="5" s="1"/>
  <c r="K68" i="4"/>
  <c r="HE176" i="5" s="1"/>
  <c r="L68" i="4"/>
  <c r="HF176" i="5" s="1"/>
  <c r="M68" i="4"/>
  <c r="HG176" i="5" s="1"/>
  <c r="N68" i="4"/>
  <c r="HH176" i="5" s="1"/>
  <c r="O68" i="4"/>
  <c r="HI176" i="5" s="1"/>
  <c r="P68" i="4"/>
  <c r="HJ176" i="5" s="1"/>
  <c r="Q68" i="4"/>
  <c r="HK176" i="5" s="1"/>
  <c r="R68" i="4"/>
  <c r="HL176" i="5" s="1"/>
  <c r="S68" i="4"/>
  <c r="HM176" i="5" s="1"/>
  <c r="T68" i="4"/>
  <c r="HN176" i="5" s="1"/>
  <c r="U68" i="4"/>
  <c r="HO176" i="5" s="1"/>
  <c r="V68" i="4"/>
  <c r="HP176" i="5" s="1"/>
  <c r="W68" i="4"/>
  <c r="HQ176" i="5" s="1"/>
  <c r="G69" i="4"/>
  <c r="HX176" i="5" s="1"/>
  <c r="H69" i="4"/>
  <c r="HY176" i="5" s="1"/>
  <c r="I69" i="4"/>
  <c r="HZ176" i="5" s="1"/>
  <c r="J69" i="4"/>
  <c r="IA176" i="5" s="1"/>
  <c r="K69" i="4"/>
  <c r="IB176" i="5" s="1"/>
  <c r="L69" i="4"/>
  <c r="IC176" i="5" s="1"/>
  <c r="M69" i="4"/>
  <c r="ID176" i="5" s="1"/>
  <c r="N69" i="4"/>
  <c r="IE176" i="5" s="1"/>
  <c r="O69" i="4"/>
  <c r="IF176" i="5" s="1"/>
  <c r="P69" i="4"/>
  <c r="IG176" i="5" s="1"/>
  <c r="Q69" i="4"/>
  <c r="IH176" i="5" s="1"/>
  <c r="R69" i="4"/>
  <c r="II176" i="5" s="1"/>
  <c r="S69" i="4"/>
  <c r="IJ176" i="5" s="1"/>
  <c r="T69" i="4"/>
  <c r="IK176" i="5" s="1"/>
  <c r="U69" i="4"/>
  <c r="IL176" i="5" s="1"/>
  <c r="V69" i="4"/>
  <c r="IM176" i="5" s="1"/>
  <c r="W69" i="4"/>
  <c r="IN176" i="5" s="1"/>
  <c r="G70" i="4"/>
  <c r="IU176" i="5" s="1"/>
  <c r="H70" i="4"/>
  <c r="IV176" i="5" s="1"/>
  <c r="I70" i="4"/>
  <c r="F177" i="5" s="1"/>
  <c r="J70" i="4"/>
  <c r="G177" i="5" s="1"/>
  <c r="K70" i="4"/>
  <c r="H177" i="5" s="1"/>
  <c r="L70" i="4"/>
  <c r="I177" i="5" s="1"/>
  <c r="M70" i="4"/>
  <c r="J177" i="5" s="1"/>
  <c r="N70" i="4"/>
  <c r="K177" i="5" s="1"/>
  <c r="O70" i="4"/>
  <c r="L177" i="5" s="1"/>
  <c r="P70" i="4"/>
  <c r="M177" i="5" s="1"/>
  <c r="Q70" i="4"/>
  <c r="N177" i="5" s="1"/>
  <c r="R70" i="4"/>
  <c r="O177" i="5" s="1"/>
  <c r="S70" i="4"/>
  <c r="P177" i="5" s="1"/>
  <c r="T70" i="4"/>
  <c r="Q177" i="5" s="1"/>
  <c r="U70" i="4"/>
  <c r="R177" i="5" s="1"/>
  <c r="V70" i="4"/>
  <c r="S177" i="5" s="1"/>
  <c r="W70" i="4"/>
  <c r="T177" i="5" s="1"/>
  <c r="G71" i="4"/>
  <c r="AA177" i="5" s="1"/>
  <c r="H71" i="4"/>
  <c r="AB177" i="5" s="1"/>
  <c r="I71" i="4"/>
  <c r="AC177" i="5" s="1"/>
  <c r="J71" i="4"/>
  <c r="AD177" i="5" s="1"/>
  <c r="K71" i="4"/>
  <c r="AE177" i="5" s="1"/>
  <c r="L71" i="4"/>
  <c r="AF177" i="5" s="1"/>
  <c r="M71" i="4"/>
  <c r="AG177" i="5" s="1"/>
  <c r="N71" i="4"/>
  <c r="AH177" i="5" s="1"/>
  <c r="O71" i="4"/>
  <c r="AI177" i="5" s="1"/>
  <c r="P71" i="4"/>
  <c r="AJ177" i="5" s="1"/>
  <c r="Q71" i="4"/>
  <c r="AK177" i="5" s="1"/>
  <c r="R71" i="4"/>
  <c r="AL177" i="5" s="1"/>
  <c r="S71" i="4"/>
  <c r="AM177" i="5" s="1"/>
  <c r="T71" i="4"/>
  <c r="AN177" i="5" s="1"/>
  <c r="U71" i="4"/>
  <c r="AO177" i="5" s="1"/>
  <c r="V71" i="4"/>
  <c r="AP177" i="5" s="1"/>
  <c r="W71" i="4"/>
  <c r="AQ177" i="5" s="1"/>
  <c r="G72" i="4"/>
  <c r="AX177" i="5" s="1"/>
  <c r="H72" i="4"/>
  <c r="AY177" i="5" s="1"/>
  <c r="I72" i="4"/>
  <c r="AZ177" i="5" s="1"/>
  <c r="J72" i="4"/>
  <c r="BA177" i="5" s="1"/>
  <c r="K72" i="4"/>
  <c r="BB177" i="5" s="1"/>
  <c r="L72" i="4"/>
  <c r="BC177" i="5" s="1"/>
  <c r="M72" i="4"/>
  <c r="BD177" i="5" s="1"/>
  <c r="N72" i="4"/>
  <c r="BE177" i="5" s="1"/>
  <c r="O72" i="4"/>
  <c r="BF177" i="5" s="1"/>
  <c r="P72" i="4"/>
  <c r="BG177" i="5" s="1"/>
  <c r="Q72" i="4"/>
  <c r="BH177" i="5" s="1"/>
  <c r="R72" i="4"/>
  <c r="BI177" i="5" s="1"/>
  <c r="S72" i="4"/>
  <c r="BJ177" i="5" s="1"/>
  <c r="T72" i="4"/>
  <c r="BK177" i="5" s="1"/>
  <c r="U72" i="4"/>
  <c r="BL177" i="5" s="1"/>
  <c r="V72" i="4"/>
  <c r="BM177" i="5" s="1"/>
  <c r="W72" i="4"/>
  <c r="BN177" i="5" s="1"/>
  <c r="G73" i="4"/>
  <c r="BU177" i="5" s="1"/>
  <c r="H73" i="4"/>
  <c r="BV177" i="5" s="1"/>
  <c r="I73" i="4"/>
  <c r="BW177" i="5" s="1"/>
  <c r="J73" i="4"/>
  <c r="BX177" i="5" s="1"/>
  <c r="K73" i="4"/>
  <c r="BY177" i="5" s="1"/>
  <c r="L73" i="4"/>
  <c r="BZ177" i="5" s="1"/>
  <c r="M73" i="4"/>
  <c r="CA177" i="5" s="1"/>
  <c r="N73" i="4"/>
  <c r="CB177" i="5" s="1"/>
  <c r="O73" i="4"/>
  <c r="CC177" i="5" s="1"/>
  <c r="P73" i="4"/>
  <c r="CD177" i="5" s="1"/>
  <c r="Q73" i="4"/>
  <c r="CE177" i="5" s="1"/>
  <c r="R73" i="4"/>
  <c r="CF177" i="5" s="1"/>
  <c r="S73" i="4"/>
  <c r="CG177" i="5" s="1"/>
  <c r="T73" i="4"/>
  <c r="CH177" i="5" s="1"/>
  <c r="U73" i="4"/>
  <c r="CI177" i="5" s="1"/>
  <c r="V73" i="4"/>
  <c r="CJ177" i="5" s="1"/>
  <c r="W73" i="4"/>
  <c r="CK177" i="5" s="1"/>
  <c r="G74" i="4"/>
  <c r="CR177" i="5" s="1"/>
  <c r="H74" i="4"/>
  <c r="CS177" i="5" s="1"/>
  <c r="I74" i="4"/>
  <c r="CT177" i="5" s="1"/>
  <c r="J74" i="4"/>
  <c r="CU177" i="5" s="1"/>
  <c r="K74" i="4"/>
  <c r="CV177" i="5" s="1"/>
  <c r="L74" i="4"/>
  <c r="CW177" i="5" s="1"/>
  <c r="M74" i="4"/>
  <c r="CX177" i="5" s="1"/>
  <c r="N74" i="4"/>
  <c r="CY177" i="5" s="1"/>
  <c r="O74" i="4"/>
  <c r="CZ177" i="5" s="1"/>
  <c r="P74" i="4"/>
  <c r="DA177" i="5" s="1"/>
  <c r="Q74" i="4"/>
  <c r="DB177" i="5" s="1"/>
  <c r="R74" i="4"/>
  <c r="DC177" i="5" s="1"/>
  <c r="S74" i="4"/>
  <c r="DD177" i="5" s="1"/>
  <c r="T74" i="4"/>
  <c r="DE177" i="5" s="1"/>
  <c r="U74" i="4"/>
  <c r="DF177" i="5" s="1"/>
  <c r="V74" i="4"/>
  <c r="DG177" i="5" s="1"/>
  <c r="W74" i="4"/>
  <c r="DH177" i="5" s="1"/>
  <c r="G75" i="4"/>
  <c r="DO177" i="5" s="1"/>
  <c r="H75" i="4"/>
  <c r="DP177" i="5" s="1"/>
  <c r="I75" i="4"/>
  <c r="DQ177" i="5" s="1"/>
  <c r="J75" i="4"/>
  <c r="DR177" i="5" s="1"/>
  <c r="K75" i="4"/>
  <c r="DS177" i="5" s="1"/>
  <c r="L75" i="4"/>
  <c r="DT177" i="5" s="1"/>
  <c r="M75" i="4"/>
  <c r="DU177" i="5" s="1"/>
  <c r="N75" i="4"/>
  <c r="DV177" i="5" s="1"/>
  <c r="O75" i="4"/>
  <c r="DW177" i="5" s="1"/>
  <c r="P75" i="4"/>
  <c r="DX177" i="5" s="1"/>
  <c r="Q75" i="4"/>
  <c r="DY177" i="5" s="1"/>
  <c r="R75" i="4"/>
  <c r="DZ177" i="5" s="1"/>
  <c r="S75" i="4"/>
  <c r="EA177" i="5" s="1"/>
  <c r="T75" i="4"/>
  <c r="EB177" i="5" s="1"/>
  <c r="U75" i="4"/>
  <c r="EC177" i="5" s="1"/>
  <c r="V75" i="4"/>
  <c r="ED177" i="5" s="1"/>
  <c r="W75" i="4"/>
  <c r="EE177" i="5" s="1"/>
  <c r="G76" i="4"/>
  <c r="EL177" i="5" s="1"/>
  <c r="H76" i="4"/>
  <c r="EM177" i="5" s="1"/>
  <c r="I76" i="4"/>
  <c r="EN177" i="5" s="1"/>
  <c r="J76" i="4"/>
  <c r="EO177" i="5" s="1"/>
  <c r="K76" i="4"/>
  <c r="EP177" i="5" s="1"/>
  <c r="L76" i="4"/>
  <c r="EQ177" i="5" s="1"/>
  <c r="M76" i="4"/>
  <c r="ER177" i="5" s="1"/>
  <c r="N76" i="4"/>
  <c r="ES177" i="5" s="1"/>
  <c r="O76" i="4"/>
  <c r="ET177" i="5" s="1"/>
  <c r="P76" i="4"/>
  <c r="EU177" i="5" s="1"/>
  <c r="Q76" i="4"/>
  <c r="EV177" i="5" s="1"/>
  <c r="R76" i="4"/>
  <c r="EW177" i="5" s="1"/>
  <c r="S76" i="4"/>
  <c r="EX177" i="5" s="1"/>
  <c r="T76" i="4"/>
  <c r="EY177" i="5" s="1"/>
  <c r="U76" i="4"/>
  <c r="EZ177" i="5" s="1"/>
  <c r="V76" i="4"/>
  <c r="FA177" i="5" s="1"/>
  <c r="W76" i="4"/>
  <c r="FB177" i="5" s="1"/>
  <c r="G77" i="4"/>
  <c r="FI177" i="5" s="1"/>
  <c r="H77" i="4"/>
  <c r="FJ177" i="5" s="1"/>
  <c r="I77" i="4"/>
  <c r="FK177" i="5" s="1"/>
  <c r="J77" i="4"/>
  <c r="FL177" i="5" s="1"/>
  <c r="K77" i="4"/>
  <c r="FM177" i="5" s="1"/>
  <c r="L77" i="4"/>
  <c r="FN177" i="5" s="1"/>
  <c r="M77" i="4"/>
  <c r="FO177" i="5" s="1"/>
  <c r="N77" i="4"/>
  <c r="FP177" i="5" s="1"/>
  <c r="O77" i="4"/>
  <c r="FQ177" i="5" s="1"/>
  <c r="P77" i="4"/>
  <c r="FR177" i="5" s="1"/>
  <c r="Q77" i="4"/>
  <c r="FS177" i="5" s="1"/>
  <c r="R77" i="4"/>
  <c r="FT177" i="5" s="1"/>
  <c r="S77" i="4"/>
  <c r="FU177" i="5" s="1"/>
  <c r="T77" i="4"/>
  <c r="FV177" i="5" s="1"/>
  <c r="U77" i="4"/>
  <c r="FW177" i="5" s="1"/>
  <c r="V77" i="4"/>
  <c r="FX177" i="5" s="1"/>
  <c r="W77" i="4"/>
  <c r="FY177" i="5" s="1"/>
  <c r="G78" i="4"/>
  <c r="GF177" i="5" s="1"/>
  <c r="H78" i="4"/>
  <c r="GG177" i="5" s="1"/>
  <c r="I78" i="4"/>
  <c r="GH177" i="5" s="1"/>
  <c r="J78" i="4"/>
  <c r="GI177" i="5" s="1"/>
  <c r="K78" i="4"/>
  <c r="GJ177" i="5" s="1"/>
  <c r="L78" i="4"/>
  <c r="GK177" i="5" s="1"/>
  <c r="M78" i="4"/>
  <c r="GL177" i="5" s="1"/>
  <c r="N78" i="4"/>
  <c r="GM177" i="5" s="1"/>
  <c r="O78" i="4"/>
  <c r="GN177" i="5" s="1"/>
  <c r="P78" i="4"/>
  <c r="GO177" i="5" s="1"/>
  <c r="Q78" i="4"/>
  <c r="GP177" i="5" s="1"/>
  <c r="R78" i="4"/>
  <c r="GQ177" i="5" s="1"/>
  <c r="S78" i="4"/>
  <c r="GR177" i="5" s="1"/>
  <c r="T78" i="4"/>
  <c r="GS177" i="5" s="1"/>
  <c r="U78" i="4"/>
  <c r="GT177" i="5" s="1"/>
  <c r="V78" i="4"/>
  <c r="GU177" i="5" s="1"/>
  <c r="W78" i="4"/>
  <c r="GV177" i="5" s="1"/>
  <c r="G79" i="4"/>
  <c r="HC177" i="5" s="1"/>
  <c r="H79" i="4"/>
  <c r="HD177" i="5" s="1"/>
  <c r="I79" i="4"/>
  <c r="HE177" i="5" s="1"/>
  <c r="J79" i="4"/>
  <c r="HF177" i="5" s="1"/>
  <c r="K79" i="4"/>
  <c r="HG177" i="5" s="1"/>
  <c r="L79" i="4"/>
  <c r="HH177" i="5" s="1"/>
  <c r="M79" i="4"/>
  <c r="HI177" i="5" s="1"/>
  <c r="N79" i="4"/>
  <c r="HJ177" i="5" s="1"/>
  <c r="O79" i="4"/>
  <c r="HK177" i="5" s="1"/>
  <c r="P79" i="4"/>
  <c r="HL177" i="5" s="1"/>
  <c r="Q79" i="4"/>
  <c r="HM177" i="5" s="1"/>
  <c r="R79" i="4"/>
  <c r="HN177" i="5" s="1"/>
  <c r="S79" i="4"/>
  <c r="HO177" i="5" s="1"/>
  <c r="T79" i="4"/>
  <c r="HP177" i="5" s="1"/>
  <c r="U79" i="4"/>
  <c r="HQ177" i="5" s="1"/>
  <c r="V79" i="4"/>
  <c r="HR177" i="5" s="1"/>
  <c r="W79" i="4"/>
  <c r="HS177" i="5" s="1"/>
  <c r="G80" i="4"/>
  <c r="HZ177" i="5" s="1"/>
  <c r="H80" i="4"/>
  <c r="IA177" i="5" s="1"/>
  <c r="I80" i="4"/>
  <c r="IB177" i="5" s="1"/>
  <c r="J80" i="4"/>
  <c r="IC177" i="5" s="1"/>
  <c r="K80" i="4"/>
  <c r="ID177" i="5" s="1"/>
  <c r="L80" i="4"/>
  <c r="IE177" i="5" s="1"/>
  <c r="M80" i="4"/>
  <c r="IF177" i="5" s="1"/>
  <c r="N80" i="4"/>
  <c r="IG177" i="5" s="1"/>
  <c r="O80" i="4"/>
  <c r="IH177" i="5" s="1"/>
  <c r="P80" i="4"/>
  <c r="II177" i="5" s="1"/>
  <c r="Q80" i="4"/>
  <c r="IJ177" i="5" s="1"/>
  <c r="R80" i="4"/>
  <c r="IK177" i="5" s="1"/>
  <c r="S80" i="4"/>
  <c r="IL177" i="5" s="1"/>
  <c r="T80" i="4"/>
  <c r="IM177" i="5" s="1"/>
  <c r="U80" i="4"/>
  <c r="IN177" i="5" s="1"/>
  <c r="V80" i="4"/>
  <c r="IO177" i="5" s="1"/>
  <c r="W80" i="4"/>
  <c r="IP177" i="5" s="1"/>
  <c r="G81" i="4"/>
  <c r="F178" i="5" s="1"/>
  <c r="H81" i="4"/>
  <c r="G178" i="5" s="1"/>
  <c r="I81" i="4"/>
  <c r="H178" i="5" s="1"/>
  <c r="J81" i="4"/>
  <c r="I178" i="5" s="1"/>
  <c r="K81" i="4"/>
  <c r="J178" i="5" s="1"/>
  <c r="L81" i="4"/>
  <c r="K178" i="5" s="1"/>
  <c r="M81" i="4"/>
  <c r="L178" i="5" s="1"/>
  <c r="N81" i="4"/>
  <c r="M178" i="5" s="1"/>
  <c r="O81" i="4"/>
  <c r="N178" i="5" s="1"/>
  <c r="P81" i="4"/>
  <c r="O178" i="5" s="1"/>
  <c r="Q81" i="4"/>
  <c r="P178" i="5" s="1"/>
  <c r="R81" i="4"/>
  <c r="Q178" i="5" s="1"/>
  <c r="S81" i="4"/>
  <c r="R178" i="5" s="1"/>
  <c r="T81" i="4"/>
  <c r="S178" i="5" s="1"/>
  <c r="U81" i="4"/>
  <c r="T178" i="5" s="1"/>
  <c r="V81" i="4"/>
  <c r="U178" i="5" s="1"/>
  <c r="W81" i="4"/>
  <c r="V178" i="5" s="1"/>
  <c r="G82" i="4"/>
  <c r="AC178" i="5" s="1"/>
  <c r="H82" i="4"/>
  <c r="AD178" i="5" s="1"/>
  <c r="I82" i="4"/>
  <c r="AE178" i="5" s="1"/>
  <c r="J82" i="4"/>
  <c r="AF178" i="5" s="1"/>
  <c r="K82" i="4"/>
  <c r="AG178" i="5" s="1"/>
  <c r="L82" i="4"/>
  <c r="AH178" i="5" s="1"/>
  <c r="M82" i="4"/>
  <c r="AI178" i="5" s="1"/>
  <c r="N82" i="4"/>
  <c r="AJ178" i="5" s="1"/>
  <c r="O82" i="4"/>
  <c r="AK178" i="5" s="1"/>
  <c r="P82" i="4"/>
  <c r="AL178" i="5" s="1"/>
  <c r="Q82" i="4"/>
  <c r="AM178" i="5" s="1"/>
  <c r="R82" i="4"/>
  <c r="AN178" i="5" s="1"/>
  <c r="S82" i="4"/>
  <c r="AO178" i="5" s="1"/>
  <c r="T82" i="4"/>
  <c r="AP178" i="5" s="1"/>
  <c r="U82" i="4"/>
  <c r="AQ178" i="5" s="1"/>
  <c r="V82" i="4"/>
  <c r="AR178" i="5" s="1"/>
  <c r="W82" i="4"/>
  <c r="AS178" i="5" s="1"/>
  <c r="G83" i="4"/>
  <c r="AZ178" i="5" s="1"/>
  <c r="H83" i="4"/>
  <c r="BA178" i="5" s="1"/>
  <c r="I83" i="4"/>
  <c r="BB178" i="5" s="1"/>
  <c r="J83" i="4"/>
  <c r="BC178" i="5" s="1"/>
  <c r="K83" i="4"/>
  <c r="BD178" i="5" s="1"/>
  <c r="L83" i="4"/>
  <c r="BE178" i="5" s="1"/>
  <c r="M83" i="4"/>
  <c r="BF178" i="5" s="1"/>
  <c r="N83" i="4"/>
  <c r="BG178" i="5" s="1"/>
  <c r="O83" i="4"/>
  <c r="BH178" i="5" s="1"/>
  <c r="P83" i="4"/>
  <c r="BI178" i="5" s="1"/>
  <c r="Q83" i="4"/>
  <c r="BJ178" i="5" s="1"/>
  <c r="R83" i="4"/>
  <c r="BK178" i="5" s="1"/>
  <c r="S83" i="4"/>
  <c r="BL178" i="5" s="1"/>
  <c r="T83" i="4"/>
  <c r="BM178" i="5" s="1"/>
  <c r="U83" i="4"/>
  <c r="BN178" i="5" s="1"/>
  <c r="V83" i="4"/>
  <c r="BO178" i="5" s="1"/>
  <c r="W83" i="4"/>
  <c r="BP178" i="5" s="1"/>
  <c r="G84" i="4"/>
  <c r="BW178" i="5" s="1"/>
  <c r="H84" i="4"/>
  <c r="BX178" i="5" s="1"/>
  <c r="I84" i="4"/>
  <c r="BY178" i="5" s="1"/>
  <c r="J84" i="4"/>
  <c r="BZ178" i="5" s="1"/>
  <c r="K84" i="4"/>
  <c r="CA178" i="5" s="1"/>
  <c r="L84" i="4"/>
  <c r="CB178" i="5" s="1"/>
  <c r="M84" i="4"/>
  <c r="CC178" i="5" s="1"/>
  <c r="N84" i="4"/>
  <c r="CD178" i="5" s="1"/>
  <c r="O84" i="4"/>
  <c r="CE178" i="5" s="1"/>
  <c r="P84" i="4"/>
  <c r="CF178" i="5" s="1"/>
  <c r="Q84" i="4"/>
  <c r="CG178" i="5" s="1"/>
  <c r="R84" i="4"/>
  <c r="CH178" i="5" s="1"/>
  <c r="S84" i="4"/>
  <c r="CI178" i="5" s="1"/>
  <c r="T84" i="4"/>
  <c r="CJ178" i="5" s="1"/>
  <c r="U84" i="4"/>
  <c r="CK178" i="5" s="1"/>
  <c r="V84" i="4"/>
  <c r="CL178" i="5" s="1"/>
  <c r="W84" i="4"/>
  <c r="CM178" i="5" s="1"/>
  <c r="G85" i="4"/>
  <c r="CT178" i="5" s="1"/>
  <c r="H85" i="4"/>
  <c r="CU178" i="5" s="1"/>
  <c r="I85" i="4"/>
  <c r="CV178" i="5" s="1"/>
  <c r="J85" i="4"/>
  <c r="CW178" i="5" s="1"/>
  <c r="K85" i="4"/>
  <c r="CX178" i="5" s="1"/>
  <c r="L85" i="4"/>
  <c r="CY178" i="5" s="1"/>
  <c r="M85" i="4"/>
  <c r="CZ178" i="5" s="1"/>
  <c r="N85" i="4"/>
  <c r="DA178" i="5" s="1"/>
  <c r="O85" i="4"/>
  <c r="DB178" i="5" s="1"/>
  <c r="P85" i="4"/>
  <c r="DC178" i="5" s="1"/>
  <c r="Q85" i="4"/>
  <c r="DD178" i="5" s="1"/>
  <c r="R85" i="4"/>
  <c r="DE178" i="5" s="1"/>
  <c r="S85" i="4"/>
  <c r="DF178" i="5" s="1"/>
  <c r="T85" i="4"/>
  <c r="DG178" i="5" s="1"/>
  <c r="U85" i="4"/>
  <c r="DH178" i="5" s="1"/>
  <c r="V85" i="4"/>
  <c r="DI178" i="5" s="1"/>
  <c r="W85" i="4"/>
  <c r="DJ178" i="5" s="1"/>
  <c r="G86" i="4"/>
  <c r="DQ178" i="5" s="1"/>
  <c r="H86" i="4"/>
  <c r="DR178" i="5" s="1"/>
  <c r="I86" i="4"/>
  <c r="DS178" i="5" s="1"/>
  <c r="J86" i="4"/>
  <c r="DT178" i="5" s="1"/>
  <c r="K86" i="4"/>
  <c r="DU178" i="5" s="1"/>
  <c r="L86" i="4"/>
  <c r="DV178" i="5" s="1"/>
  <c r="M86" i="4"/>
  <c r="DW178" i="5" s="1"/>
  <c r="N86" i="4"/>
  <c r="DX178" i="5" s="1"/>
  <c r="O86" i="4"/>
  <c r="DY178" i="5" s="1"/>
  <c r="P86" i="4"/>
  <c r="DZ178" i="5" s="1"/>
  <c r="Q86" i="4"/>
  <c r="EA178" i="5" s="1"/>
  <c r="R86" i="4"/>
  <c r="EB178" i="5" s="1"/>
  <c r="S86" i="4"/>
  <c r="EC178" i="5" s="1"/>
  <c r="T86" i="4"/>
  <c r="ED178" i="5" s="1"/>
  <c r="U86" i="4"/>
  <c r="EE178" i="5" s="1"/>
  <c r="V86" i="4"/>
  <c r="EF178" i="5" s="1"/>
  <c r="W86" i="4"/>
  <c r="EG178" i="5" s="1"/>
  <c r="G87" i="4"/>
  <c r="EN178" i="5" s="1"/>
  <c r="H87" i="4"/>
  <c r="EO178" i="5" s="1"/>
  <c r="I87" i="4"/>
  <c r="EP178" i="5" s="1"/>
  <c r="J87" i="4"/>
  <c r="EQ178" i="5" s="1"/>
  <c r="K87" i="4"/>
  <c r="ER178" i="5" s="1"/>
  <c r="L87" i="4"/>
  <c r="ES178" i="5" s="1"/>
  <c r="M87" i="4"/>
  <c r="ET178" i="5" s="1"/>
  <c r="N87" i="4"/>
  <c r="EU178" i="5" s="1"/>
  <c r="O87" i="4"/>
  <c r="EV178" i="5" s="1"/>
  <c r="P87" i="4"/>
  <c r="EW178" i="5" s="1"/>
  <c r="Q87" i="4"/>
  <c r="EX178" i="5" s="1"/>
  <c r="R87" i="4"/>
  <c r="EY178" i="5" s="1"/>
  <c r="S87" i="4"/>
  <c r="EZ178" i="5" s="1"/>
  <c r="T87" i="4"/>
  <c r="FA178" i="5" s="1"/>
  <c r="U87" i="4"/>
  <c r="FB178" i="5" s="1"/>
  <c r="V87" i="4"/>
  <c r="FC178" i="5" s="1"/>
  <c r="W87" i="4"/>
  <c r="FD178" i="5" s="1"/>
  <c r="G88" i="4"/>
  <c r="FK178" i="5" s="1"/>
  <c r="H88" i="4"/>
  <c r="FL178" i="5" s="1"/>
  <c r="I88" i="4"/>
  <c r="FM178" i="5" s="1"/>
  <c r="J88" i="4"/>
  <c r="FN178" i="5" s="1"/>
  <c r="K88" i="4"/>
  <c r="FO178" i="5" s="1"/>
  <c r="L88" i="4"/>
  <c r="FP178" i="5" s="1"/>
  <c r="M88" i="4"/>
  <c r="FQ178" i="5" s="1"/>
  <c r="N88" i="4"/>
  <c r="FR178" i="5" s="1"/>
  <c r="O88" i="4"/>
  <c r="FS178" i="5" s="1"/>
  <c r="P88" i="4"/>
  <c r="FT178" i="5" s="1"/>
  <c r="Q88" i="4"/>
  <c r="FU178" i="5" s="1"/>
  <c r="R88" i="4"/>
  <c r="FV178" i="5" s="1"/>
  <c r="S88" i="4"/>
  <c r="FW178" i="5" s="1"/>
  <c r="T88" i="4"/>
  <c r="FX178" i="5" s="1"/>
  <c r="U88" i="4"/>
  <c r="FY178" i="5" s="1"/>
  <c r="V88" i="4"/>
  <c r="FZ178" i="5" s="1"/>
  <c r="W88" i="4"/>
  <c r="GA178" i="5" s="1"/>
  <c r="G89" i="4"/>
  <c r="GH178" i="5" s="1"/>
  <c r="H89" i="4"/>
  <c r="GI178" i="5" s="1"/>
  <c r="I89" i="4"/>
  <c r="GJ178" i="5" s="1"/>
  <c r="J89" i="4"/>
  <c r="GK178" i="5" s="1"/>
  <c r="K89" i="4"/>
  <c r="GL178" i="5" s="1"/>
  <c r="L89" i="4"/>
  <c r="GM178" i="5" s="1"/>
  <c r="M89" i="4"/>
  <c r="GN178" i="5" s="1"/>
  <c r="N89" i="4"/>
  <c r="GO178" i="5" s="1"/>
  <c r="O89" i="4"/>
  <c r="GP178" i="5" s="1"/>
  <c r="P89" i="4"/>
  <c r="GQ178" i="5" s="1"/>
  <c r="Q89" i="4"/>
  <c r="GR178" i="5" s="1"/>
  <c r="R89" i="4"/>
  <c r="GS178" i="5" s="1"/>
  <c r="S89" i="4"/>
  <c r="GT178" i="5" s="1"/>
  <c r="T89" i="4"/>
  <c r="GU178" i="5" s="1"/>
  <c r="U89" i="4"/>
  <c r="GV178" i="5" s="1"/>
  <c r="V89" i="4"/>
  <c r="GW178" i="5" s="1"/>
  <c r="W89" i="4"/>
  <c r="GX178" i="5" s="1"/>
  <c r="G90" i="4"/>
  <c r="HE178" i="5" s="1"/>
  <c r="H90" i="4"/>
  <c r="HF178" i="5" s="1"/>
  <c r="I90" i="4"/>
  <c r="HG178" i="5" s="1"/>
  <c r="J90" i="4"/>
  <c r="HH178" i="5" s="1"/>
  <c r="K90" i="4"/>
  <c r="HI178" i="5" s="1"/>
  <c r="L90" i="4"/>
  <c r="HJ178" i="5" s="1"/>
  <c r="M90" i="4"/>
  <c r="HK178" i="5" s="1"/>
  <c r="N90" i="4"/>
  <c r="HL178" i="5" s="1"/>
  <c r="O90" i="4"/>
  <c r="HM178" i="5" s="1"/>
  <c r="P90" i="4"/>
  <c r="HN178" i="5" s="1"/>
  <c r="Q90" i="4"/>
  <c r="HO178" i="5" s="1"/>
  <c r="R90" i="4"/>
  <c r="HP178" i="5" s="1"/>
  <c r="S90" i="4"/>
  <c r="HQ178" i="5" s="1"/>
  <c r="T90" i="4"/>
  <c r="HR178" i="5" s="1"/>
  <c r="U90" i="4"/>
  <c r="HS178" i="5" s="1"/>
  <c r="V90" i="4"/>
  <c r="HT178" i="5" s="1"/>
  <c r="W90" i="4"/>
  <c r="HU178" i="5" s="1"/>
  <c r="G91" i="4"/>
  <c r="IB178" i="5" s="1"/>
  <c r="H91" i="4"/>
  <c r="IC178" i="5" s="1"/>
  <c r="I91" i="4"/>
  <c r="ID178" i="5" s="1"/>
  <c r="J91" i="4"/>
  <c r="IE178" i="5" s="1"/>
  <c r="K91" i="4"/>
  <c r="IF178" i="5" s="1"/>
  <c r="L91" i="4"/>
  <c r="IG178" i="5" s="1"/>
  <c r="M91" i="4"/>
  <c r="IH178" i="5" s="1"/>
  <c r="N91" i="4"/>
  <c r="II178" i="5" s="1"/>
  <c r="O91" i="4"/>
  <c r="IJ178" i="5" s="1"/>
  <c r="P91" i="4"/>
  <c r="IK178" i="5" s="1"/>
  <c r="Q91" i="4"/>
  <c r="IL178" i="5" s="1"/>
  <c r="R91" i="4"/>
  <c r="IM178" i="5" s="1"/>
  <c r="S91" i="4"/>
  <c r="IN178" i="5" s="1"/>
  <c r="T91" i="4"/>
  <c r="IO178" i="5" s="1"/>
  <c r="U91" i="4"/>
  <c r="IP178" i="5" s="1"/>
  <c r="V91" i="4"/>
  <c r="IQ178" i="5" s="1"/>
  <c r="W91" i="4"/>
  <c r="IR178" i="5" s="1"/>
  <c r="G92" i="4"/>
  <c r="H179" i="5" s="1"/>
  <c r="H92" i="4"/>
  <c r="I179" i="5" s="1"/>
  <c r="I92" i="4"/>
  <c r="J179" i="5" s="1"/>
  <c r="J92" i="4"/>
  <c r="K179" i="5" s="1"/>
  <c r="K92" i="4"/>
  <c r="L179" i="5" s="1"/>
  <c r="L92" i="4"/>
  <c r="M179" i="5" s="1"/>
  <c r="M92" i="4"/>
  <c r="N179" i="5" s="1"/>
  <c r="N92" i="4"/>
  <c r="O179" i="5" s="1"/>
  <c r="O92" i="4"/>
  <c r="P179" i="5" s="1"/>
  <c r="P92" i="4"/>
  <c r="Q179" i="5" s="1"/>
  <c r="Q92" i="4"/>
  <c r="R179" i="5" s="1"/>
  <c r="R92" i="4"/>
  <c r="S179" i="5" s="1"/>
  <c r="S92" i="4"/>
  <c r="T179" i="5" s="1"/>
  <c r="T92" i="4"/>
  <c r="U179" i="5" s="1"/>
  <c r="U92" i="4"/>
  <c r="V179" i="5" s="1"/>
  <c r="V92" i="4"/>
  <c r="W179" i="5" s="1"/>
  <c r="W92" i="4"/>
  <c r="X179" i="5" s="1"/>
  <c r="G93" i="4"/>
  <c r="AE179" i="5" s="1"/>
  <c r="H93" i="4"/>
  <c r="AF179" i="5" s="1"/>
  <c r="I93" i="4"/>
  <c r="AG179" i="5" s="1"/>
  <c r="J93" i="4"/>
  <c r="AH179" i="5" s="1"/>
  <c r="K93" i="4"/>
  <c r="AI179" i="5" s="1"/>
  <c r="L93" i="4"/>
  <c r="AJ179" i="5" s="1"/>
  <c r="M93" i="4"/>
  <c r="AK179" i="5" s="1"/>
  <c r="N93" i="4"/>
  <c r="AL179" i="5" s="1"/>
  <c r="O93" i="4"/>
  <c r="AM179" i="5" s="1"/>
  <c r="P93" i="4"/>
  <c r="AN179" i="5" s="1"/>
  <c r="Q93" i="4"/>
  <c r="AO179" i="5" s="1"/>
  <c r="R93" i="4"/>
  <c r="AP179" i="5" s="1"/>
  <c r="S93" i="4"/>
  <c r="AQ179" i="5" s="1"/>
  <c r="T93" i="4"/>
  <c r="AR179" i="5" s="1"/>
  <c r="U93" i="4"/>
  <c r="AS179" i="5" s="1"/>
  <c r="V93" i="4"/>
  <c r="AT179" i="5" s="1"/>
  <c r="W93" i="4"/>
  <c r="AU179" i="5" s="1"/>
  <c r="G94" i="4"/>
  <c r="BB179" i="5" s="1"/>
  <c r="H94" i="4"/>
  <c r="BC179" i="5" s="1"/>
  <c r="I94" i="4"/>
  <c r="BD179" i="5" s="1"/>
  <c r="J94" i="4"/>
  <c r="BE179" i="5" s="1"/>
  <c r="K94" i="4"/>
  <c r="BF179" i="5" s="1"/>
  <c r="L94" i="4"/>
  <c r="BG179" i="5" s="1"/>
  <c r="M94" i="4"/>
  <c r="BH179" i="5" s="1"/>
  <c r="N94" i="4"/>
  <c r="BI179" i="5" s="1"/>
  <c r="O94" i="4"/>
  <c r="BJ179" i="5" s="1"/>
  <c r="P94" i="4"/>
  <c r="BK179" i="5" s="1"/>
  <c r="Q94" i="4"/>
  <c r="BL179" i="5" s="1"/>
  <c r="R94" i="4"/>
  <c r="BM179" i="5" s="1"/>
  <c r="S94" i="4"/>
  <c r="BN179" i="5" s="1"/>
  <c r="T94" i="4"/>
  <c r="BO179" i="5" s="1"/>
  <c r="U94" i="4"/>
  <c r="BP179" i="5" s="1"/>
  <c r="V94" i="4"/>
  <c r="BQ179" i="5" s="1"/>
  <c r="W94" i="4"/>
  <c r="BR179" i="5" s="1"/>
  <c r="G95" i="4"/>
  <c r="BY179" i="5" s="1"/>
  <c r="H95" i="4"/>
  <c r="BZ179" i="5" s="1"/>
  <c r="I95" i="4"/>
  <c r="CA179" i="5" s="1"/>
  <c r="J95" i="4"/>
  <c r="CB179" i="5" s="1"/>
  <c r="K95" i="4"/>
  <c r="CC179" i="5" s="1"/>
  <c r="L95" i="4"/>
  <c r="CD179" i="5" s="1"/>
  <c r="M95" i="4"/>
  <c r="CE179" i="5" s="1"/>
  <c r="N95" i="4"/>
  <c r="CF179" i="5" s="1"/>
  <c r="O95" i="4"/>
  <c r="CG179" i="5" s="1"/>
  <c r="P95" i="4"/>
  <c r="CH179" i="5" s="1"/>
  <c r="Q95" i="4"/>
  <c r="CI179" i="5" s="1"/>
  <c r="R95" i="4"/>
  <c r="CJ179" i="5" s="1"/>
  <c r="S95" i="4"/>
  <c r="CK179" i="5" s="1"/>
  <c r="T95" i="4"/>
  <c r="CL179" i="5" s="1"/>
  <c r="U95" i="4"/>
  <c r="CM179" i="5" s="1"/>
  <c r="V95" i="4"/>
  <c r="CN179" i="5" s="1"/>
  <c r="W95" i="4"/>
  <c r="CO179" i="5" s="1"/>
  <c r="G96" i="4"/>
  <c r="CV179" i="5" s="1"/>
  <c r="H96" i="4"/>
  <c r="CW179" i="5" s="1"/>
  <c r="I96" i="4"/>
  <c r="CX179" i="5" s="1"/>
  <c r="J96" i="4"/>
  <c r="CY179" i="5" s="1"/>
  <c r="K96" i="4"/>
  <c r="CZ179" i="5" s="1"/>
  <c r="L96" i="4"/>
  <c r="DA179" i="5" s="1"/>
  <c r="M96" i="4"/>
  <c r="DB179" i="5" s="1"/>
  <c r="N96" i="4"/>
  <c r="DC179" i="5" s="1"/>
  <c r="O96" i="4"/>
  <c r="DD179" i="5" s="1"/>
  <c r="P96" i="4"/>
  <c r="DE179" i="5" s="1"/>
  <c r="Q96" i="4"/>
  <c r="DF179" i="5" s="1"/>
  <c r="R96" i="4"/>
  <c r="DG179" i="5" s="1"/>
  <c r="S96" i="4"/>
  <c r="DH179" i="5" s="1"/>
  <c r="T96" i="4"/>
  <c r="DI179" i="5" s="1"/>
  <c r="U96" i="4"/>
  <c r="DJ179" i="5" s="1"/>
  <c r="V96" i="4"/>
  <c r="DK179" i="5" s="1"/>
  <c r="W96" i="4"/>
  <c r="DL179" i="5" s="1"/>
  <c r="G97" i="4"/>
  <c r="DS179" i="5" s="1"/>
  <c r="H97" i="4"/>
  <c r="DT179" i="5" s="1"/>
  <c r="I97" i="4"/>
  <c r="DU179" i="5" s="1"/>
  <c r="J97" i="4"/>
  <c r="DV179" i="5" s="1"/>
  <c r="K97" i="4"/>
  <c r="DW179" i="5" s="1"/>
  <c r="L97" i="4"/>
  <c r="DX179" i="5" s="1"/>
  <c r="M97" i="4"/>
  <c r="DY179" i="5" s="1"/>
  <c r="N97" i="4"/>
  <c r="DZ179" i="5" s="1"/>
  <c r="O97" i="4"/>
  <c r="EA179" i="5" s="1"/>
  <c r="P97" i="4"/>
  <c r="EB179" i="5" s="1"/>
  <c r="Q97" i="4"/>
  <c r="EC179" i="5" s="1"/>
  <c r="R97" i="4"/>
  <c r="ED179" i="5" s="1"/>
  <c r="S97" i="4"/>
  <c r="EE179" i="5" s="1"/>
  <c r="T97" i="4"/>
  <c r="EF179" i="5" s="1"/>
  <c r="U97" i="4"/>
  <c r="EG179" i="5" s="1"/>
  <c r="V97" i="4"/>
  <c r="EH179" i="5" s="1"/>
  <c r="W97" i="4"/>
  <c r="EI179" i="5" s="1"/>
  <c r="G98" i="4"/>
  <c r="EP179" i="5" s="1"/>
  <c r="H98" i="4"/>
  <c r="EQ179" i="5" s="1"/>
  <c r="I98" i="4"/>
  <c r="ER179" i="5" s="1"/>
  <c r="J98" i="4"/>
  <c r="ES179" i="5" s="1"/>
  <c r="K98" i="4"/>
  <c r="ET179" i="5" s="1"/>
  <c r="L98" i="4"/>
  <c r="EU179" i="5" s="1"/>
  <c r="M98" i="4"/>
  <c r="EV179" i="5" s="1"/>
  <c r="N98" i="4"/>
  <c r="EW179" i="5" s="1"/>
  <c r="O98" i="4"/>
  <c r="EX179" i="5" s="1"/>
  <c r="P98" i="4"/>
  <c r="EY179" i="5" s="1"/>
  <c r="Q98" i="4"/>
  <c r="EZ179" i="5" s="1"/>
  <c r="R98" i="4"/>
  <c r="FA179" i="5" s="1"/>
  <c r="S98" i="4"/>
  <c r="FB179" i="5" s="1"/>
  <c r="T98" i="4"/>
  <c r="FC179" i="5" s="1"/>
  <c r="U98" i="4"/>
  <c r="FD179" i="5" s="1"/>
  <c r="V98" i="4"/>
  <c r="FE179" i="5" s="1"/>
  <c r="W98" i="4"/>
  <c r="FF179" i="5" s="1"/>
  <c r="G99" i="4"/>
  <c r="FM179" i="5" s="1"/>
  <c r="H99" i="4"/>
  <c r="FN179" i="5" s="1"/>
  <c r="I99" i="4"/>
  <c r="FO179" i="5" s="1"/>
  <c r="J99" i="4"/>
  <c r="FP179" i="5" s="1"/>
  <c r="K99" i="4"/>
  <c r="FQ179" i="5" s="1"/>
  <c r="L99" i="4"/>
  <c r="FR179" i="5" s="1"/>
  <c r="M99" i="4"/>
  <c r="FS179" i="5" s="1"/>
  <c r="N99" i="4"/>
  <c r="FT179" i="5" s="1"/>
  <c r="O99" i="4"/>
  <c r="FU179" i="5" s="1"/>
  <c r="P99" i="4"/>
  <c r="FV179" i="5" s="1"/>
  <c r="Q99" i="4"/>
  <c r="FW179" i="5" s="1"/>
  <c r="R99" i="4"/>
  <c r="FX179" i="5" s="1"/>
  <c r="S99" i="4"/>
  <c r="FY179" i="5" s="1"/>
  <c r="T99" i="4"/>
  <c r="FZ179" i="5" s="1"/>
  <c r="U99" i="4"/>
  <c r="GA179" i="5" s="1"/>
  <c r="V99" i="4"/>
  <c r="GB179" i="5" s="1"/>
  <c r="W99" i="4"/>
  <c r="GC179" i="5" s="1"/>
  <c r="G100" i="4"/>
  <c r="GJ179" i="5" s="1"/>
  <c r="H100" i="4"/>
  <c r="GK179" i="5" s="1"/>
  <c r="I100" i="4"/>
  <c r="GL179" i="5" s="1"/>
  <c r="J100" i="4"/>
  <c r="GM179" i="5" s="1"/>
  <c r="K100" i="4"/>
  <c r="GN179" i="5" s="1"/>
  <c r="L100" i="4"/>
  <c r="GO179" i="5" s="1"/>
  <c r="M100" i="4"/>
  <c r="GP179" i="5" s="1"/>
  <c r="N100" i="4"/>
  <c r="GQ179" i="5" s="1"/>
  <c r="O100" i="4"/>
  <c r="GR179" i="5" s="1"/>
  <c r="P100" i="4"/>
  <c r="GS179" i="5" s="1"/>
  <c r="Q100" i="4"/>
  <c r="GT179" i="5" s="1"/>
  <c r="R100" i="4"/>
  <c r="GU179" i="5" s="1"/>
  <c r="S100" i="4"/>
  <c r="GV179" i="5" s="1"/>
  <c r="T100" i="4"/>
  <c r="GW179" i="5" s="1"/>
  <c r="U100" i="4"/>
  <c r="GX179" i="5" s="1"/>
  <c r="V100" i="4"/>
  <c r="GY179" i="5" s="1"/>
  <c r="W100" i="4"/>
  <c r="GZ179" i="5" s="1"/>
  <c r="G101" i="4"/>
  <c r="HG179" i="5" s="1"/>
  <c r="H101" i="4"/>
  <c r="HH179" i="5" s="1"/>
  <c r="I101" i="4"/>
  <c r="HI179" i="5" s="1"/>
  <c r="J101" i="4"/>
  <c r="HJ179" i="5" s="1"/>
  <c r="K101" i="4"/>
  <c r="HK179" i="5" s="1"/>
  <c r="L101" i="4"/>
  <c r="HL179" i="5" s="1"/>
  <c r="M101" i="4"/>
  <c r="HM179" i="5" s="1"/>
  <c r="N101" i="4"/>
  <c r="HN179" i="5" s="1"/>
  <c r="O101" i="4"/>
  <c r="HO179" i="5" s="1"/>
  <c r="P101" i="4"/>
  <c r="HP179" i="5" s="1"/>
  <c r="Q101" i="4"/>
  <c r="HQ179" i="5" s="1"/>
  <c r="R101" i="4"/>
  <c r="HR179" i="5" s="1"/>
  <c r="S101" i="4"/>
  <c r="HS179" i="5" s="1"/>
  <c r="T101" i="4"/>
  <c r="HT179" i="5" s="1"/>
  <c r="U101" i="4"/>
  <c r="HU179" i="5" s="1"/>
  <c r="V101" i="4"/>
  <c r="HV179" i="5" s="1"/>
  <c r="W101" i="4"/>
  <c r="HW179" i="5" s="1"/>
  <c r="G102" i="4"/>
  <c r="ID179" i="5" s="1"/>
  <c r="H102" i="4"/>
  <c r="IE179" i="5" s="1"/>
  <c r="I102" i="4"/>
  <c r="IF179" i="5" s="1"/>
  <c r="J102" i="4"/>
  <c r="IG179" i="5" s="1"/>
  <c r="K102" i="4"/>
  <c r="IH179" i="5" s="1"/>
  <c r="L102" i="4"/>
  <c r="II179" i="5" s="1"/>
  <c r="M102" i="4"/>
  <c r="IJ179" i="5" s="1"/>
  <c r="N102" i="4"/>
  <c r="IK179" i="5" s="1"/>
  <c r="O102" i="4"/>
  <c r="IL179" i="5" s="1"/>
  <c r="P102" i="4"/>
  <c r="IM179" i="5" s="1"/>
  <c r="Q102" i="4"/>
  <c r="IN179" i="5" s="1"/>
  <c r="R102" i="4"/>
  <c r="IO179" i="5" s="1"/>
  <c r="S102" i="4"/>
  <c r="IP179" i="5" s="1"/>
  <c r="T102" i="4"/>
  <c r="IQ179" i="5" s="1"/>
  <c r="U102" i="4"/>
  <c r="IR179" i="5" s="1"/>
  <c r="V102" i="4"/>
  <c r="IS179" i="5" s="1"/>
  <c r="W102" i="4"/>
  <c r="IT179" i="5" s="1"/>
  <c r="G103" i="4"/>
  <c r="J180" i="5" s="1"/>
  <c r="H103" i="4"/>
  <c r="K180" i="5" s="1"/>
  <c r="I103" i="4"/>
  <c r="L180" i="5" s="1"/>
  <c r="J103" i="4"/>
  <c r="M180" i="5" s="1"/>
  <c r="K103" i="4"/>
  <c r="N180" i="5" s="1"/>
  <c r="L103" i="4"/>
  <c r="O180" i="5" s="1"/>
  <c r="M103" i="4"/>
  <c r="P180" i="5" s="1"/>
  <c r="N103" i="4"/>
  <c r="Q180" i="5" s="1"/>
  <c r="O103" i="4"/>
  <c r="R180" i="5" s="1"/>
  <c r="P103" i="4"/>
  <c r="S180" i="5" s="1"/>
  <c r="Q103" i="4"/>
  <c r="T180" i="5" s="1"/>
  <c r="R103" i="4"/>
  <c r="U180" i="5" s="1"/>
  <c r="S103" i="4"/>
  <c r="V180" i="5" s="1"/>
  <c r="T103" i="4"/>
  <c r="W180" i="5" s="1"/>
  <c r="U103" i="4"/>
  <c r="X180" i="5" s="1"/>
  <c r="V103" i="4"/>
  <c r="Y180" i="5" s="1"/>
  <c r="W103" i="4"/>
  <c r="Z180" i="5" s="1"/>
  <c r="G104" i="4"/>
  <c r="AG180" i="5" s="1"/>
  <c r="H104" i="4"/>
  <c r="AH180" i="5" s="1"/>
  <c r="I104" i="4"/>
  <c r="AI180" i="5" s="1"/>
  <c r="J104" i="4"/>
  <c r="AJ180" i="5" s="1"/>
  <c r="K104" i="4"/>
  <c r="AK180" i="5" s="1"/>
  <c r="L104" i="4"/>
  <c r="AL180" i="5" s="1"/>
  <c r="M104" i="4"/>
  <c r="AM180" i="5" s="1"/>
  <c r="N104" i="4"/>
  <c r="AN180" i="5" s="1"/>
  <c r="O104" i="4"/>
  <c r="AO180" i="5" s="1"/>
  <c r="P104" i="4"/>
  <c r="AP180" i="5" s="1"/>
  <c r="Q104" i="4"/>
  <c r="AQ180" i="5" s="1"/>
  <c r="R104" i="4"/>
  <c r="AR180" i="5" s="1"/>
  <c r="S104" i="4"/>
  <c r="AS180" i="5" s="1"/>
  <c r="T104" i="4"/>
  <c r="AT180" i="5" s="1"/>
  <c r="U104" i="4"/>
  <c r="AU180" i="5" s="1"/>
  <c r="V104" i="4"/>
  <c r="AV180" i="5" s="1"/>
  <c r="W104" i="4"/>
  <c r="AW180" i="5" s="1"/>
  <c r="G105" i="4"/>
  <c r="BD180" i="5" s="1"/>
  <c r="H105" i="4"/>
  <c r="BE180" i="5" s="1"/>
  <c r="I105" i="4"/>
  <c r="BF180" i="5" s="1"/>
  <c r="J105" i="4"/>
  <c r="BG180" i="5" s="1"/>
  <c r="K105" i="4"/>
  <c r="BH180" i="5" s="1"/>
  <c r="L105" i="4"/>
  <c r="BI180" i="5" s="1"/>
  <c r="M105" i="4"/>
  <c r="BJ180" i="5" s="1"/>
  <c r="N105" i="4"/>
  <c r="BK180" i="5" s="1"/>
  <c r="O105" i="4"/>
  <c r="BL180" i="5" s="1"/>
  <c r="P105" i="4"/>
  <c r="BM180" i="5" s="1"/>
  <c r="Q105" i="4"/>
  <c r="BN180" i="5" s="1"/>
  <c r="R105" i="4"/>
  <c r="BO180" i="5" s="1"/>
  <c r="S105" i="4"/>
  <c r="BP180" i="5" s="1"/>
  <c r="T105" i="4"/>
  <c r="BQ180" i="5" s="1"/>
  <c r="U105" i="4"/>
  <c r="BR180" i="5" s="1"/>
  <c r="V105" i="4"/>
  <c r="BS180" i="5" s="1"/>
  <c r="W105" i="4"/>
  <c r="BT180" i="5" s="1"/>
  <c r="G106" i="4"/>
  <c r="CA180" i="5" s="1"/>
  <c r="H106" i="4"/>
  <c r="CB180" i="5" s="1"/>
  <c r="I106" i="4"/>
  <c r="CC180" i="5" s="1"/>
  <c r="J106" i="4"/>
  <c r="CD180" i="5" s="1"/>
  <c r="K106" i="4"/>
  <c r="CE180" i="5" s="1"/>
  <c r="L106" i="4"/>
  <c r="CF180" i="5" s="1"/>
  <c r="M106" i="4"/>
  <c r="CG180" i="5" s="1"/>
  <c r="N106" i="4"/>
  <c r="CH180" i="5" s="1"/>
  <c r="O106" i="4"/>
  <c r="CI180" i="5" s="1"/>
  <c r="P106" i="4"/>
  <c r="CJ180" i="5" s="1"/>
  <c r="Q106" i="4"/>
  <c r="CK180" i="5" s="1"/>
  <c r="R106" i="4"/>
  <c r="CL180" i="5" s="1"/>
  <c r="S106" i="4"/>
  <c r="CM180" i="5" s="1"/>
  <c r="T106" i="4"/>
  <c r="CN180" i="5" s="1"/>
  <c r="U106" i="4"/>
  <c r="CO180" i="5" s="1"/>
  <c r="V106" i="4"/>
  <c r="CP180" i="5" s="1"/>
  <c r="W106" i="4"/>
  <c r="CQ180" i="5" s="1"/>
  <c r="G107" i="4"/>
  <c r="CX180" i="5" s="1"/>
  <c r="H107" i="4"/>
  <c r="CY180" i="5" s="1"/>
  <c r="I107" i="4"/>
  <c r="CZ180" i="5" s="1"/>
  <c r="J107" i="4"/>
  <c r="DA180" i="5" s="1"/>
  <c r="K107" i="4"/>
  <c r="DB180" i="5" s="1"/>
  <c r="L107" i="4"/>
  <c r="DC180" i="5" s="1"/>
  <c r="M107" i="4"/>
  <c r="DD180" i="5" s="1"/>
  <c r="N107" i="4"/>
  <c r="DE180" i="5" s="1"/>
  <c r="O107" i="4"/>
  <c r="DF180" i="5" s="1"/>
  <c r="P107" i="4"/>
  <c r="DG180" i="5" s="1"/>
  <c r="Q107" i="4"/>
  <c r="DH180" i="5" s="1"/>
  <c r="R107" i="4"/>
  <c r="DI180" i="5" s="1"/>
  <c r="S107" i="4"/>
  <c r="DJ180" i="5" s="1"/>
  <c r="T107" i="4"/>
  <c r="DK180" i="5" s="1"/>
  <c r="U107" i="4"/>
  <c r="DL180" i="5" s="1"/>
  <c r="V107" i="4"/>
  <c r="DM180" i="5" s="1"/>
  <c r="W107" i="4"/>
  <c r="DN180" i="5" s="1"/>
  <c r="G108" i="4"/>
  <c r="DU180" i="5" s="1"/>
  <c r="H108" i="4"/>
  <c r="DV180" i="5" s="1"/>
  <c r="I108" i="4"/>
  <c r="DW180" i="5" s="1"/>
  <c r="J108" i="4"/>
  <c r="DX180" i="5" s="1"/>
  <c r="K108" i="4"/>
  <c r="DY180" i="5" s="1"/>
  <c r="L108" i="4"/>
  <c r="DZ180" i="5" s="1"/>
  <c r="M108" i="4"/>
  <c r="EA180" i="5" s="1"/>
  <c r="N108" i="4"/>
  <c r="EB180" i="5" s="1"/>
  <c r="O108" i="4"/>
  <c r="EC180" i="5" s="1"/>
  <c r="P108" i="4"/>
  <c r="ED180" i="5" s="1"/>
  <c r="Q108" i="4"/>
  <c r="EE180" i="5" s="1"/>
  <c r="R108" i="4"/>
  <c r="EF180" i="5" s="1"/>
  <c r="S108" i="4"/>
  <c r="EG180" i="5" s="1"/>
  <c r="T108" i="4"/>
  <c r="EH180" i="5" s="1"/>
  <c r="U108" i="4"/>
  <c r="EI180" i="5" s="1"/>
  <c r="V108" i="4"/>
  <c r="EJ180" i="5" s="1"/>
  <c r="W108" i="4"/>
  <c r="EK180" i="5" s="1"/>
  <c r="G109" i="4"/>
  <c r="ER180" i="5" s="1"/>
  <c r="H109" i="4"/>
  <c r="ES180" i="5" s="1"/>
  <c r="I109" i="4"/>
  <c r="ET180" i="5" s="1"/>
  <c r="J109" i="4"/>
  <c r="EU180" i="5" s="1"/>
  <c r="K109" i="4"/>
  <c r="EV180" i="5" s="1"/>
  <c r="L109" i="4"/>
  <c r="EW180" i="5" s="1"/>
  <c r="M109" i="4"/>
  <c r="EX180" i="5" s="1"/>
  <c r="N109" i="4"/>
  <c r="EY180" i="5" s="1"/>
  <c r="O109" i="4"/>
  <c r="EZ180" i="5" s="1"/>
  <c r="P109" i="4"/>
  <c r="FA180" i="5" s="1"/>
  <c r="Q109" i="4"/>
  <c r="FB180" i="5" s="1"/>
  <c r="R109" i="4"/>
  <c r="FC180" i="5" s="1"/>
  <c r="S109" i="4"/>
  <c r="FD180" i="5" s="1"/>
  <c r="T109" i="4"/>
  <c r="FE180" i="5" s="1"/>
  <c r="U109" i="4"/>
  <c r="FF180" i="5" s="1"/>
  <c r="V109" i="4"/>
  <c r="FG180" i="5" s="1"/>
  <c r="W109" i="4"/>
  <c r="FH180" i="5" s="1"/>
  <c r="G110" i="4"/>
  <c r="FO180" i="5" s="1"/>
  <c r="H110" i="4"/>
  <c r="FP180" i="5" s="1"/>
  <c r="I110" i="4"/>
  <c r="FQ180" i="5" s="1"/>
  <c r="J110" i="4"/>
  <c r="FR180" i="5" s="1"/>
  <c r="K110" i="4"/>
  <c r="FS180" i="5" s="1"/>
  <c r="L110" i="4"/>
  <c r="FT180" i="5" s="1"/>
  <c r="M110" i="4"/>
  <c r="FU180" i="5" s="1"/>
  <c r="N110" i="4"/>
  <c r="FV180" i="5" s="1"/>
  <c r="O110" i="4"/>
  <c r="FW180" i="5" s="1"/>
  <c r="P110" i="4"/>
  <c r="FX180" i="5" s="1"/>
  <c r="Q110" i="4"/>
  <c r="FY180" i="5" s="1"/>
  <c r="R110" i="4"/>
  <c r="FZ180" i="5" s="1"/>
  <c r="S110" i="4"/>
  <c r="GA180" i="5" s="1"/>
  <c r="T110" i="4"/>
  <c r="GB180" i="5" s="1"/>
  <c r="U110" i="4"/>
  <c r="GC180" i="5" s="1"/>
  <c r="V110" i="4"/>
  <c r="GD180" i="5" s="1"/>
  <c r="W110" i="4"/>
  <c r="GE180" i="5" s="1"/>
  <c r="G111" i="4"/>
  <c r="GL180" i="5" s="1"/>
  <c r="H111" i="4"/>
  <c r="GM180" i="5" s="1"/>
  <c r="I111" i="4"/>
  <c r="GN180" i="5" s="1"/>
  <c r="J111" i="4"/>
  <c r="GO180" i="5" s="1"/>
  <c r="K111" i="4"/>
  <c r="GP180" i="5" s="1"/>
  <c r="L111" i="4"/>
  <c r="GQ180" i="5" s="1"/>
  <c r="M111" i="4"/>
  <c r="GR180" i="5" s="1"/>
  <c r="N111" i="4"/>
  <c r="GS180" i="5" s="1"/>
  <c r="O111" i="4"/>
  <c r="GT180" i="5" s="1"/>
  <c r="P111" i="4"/>
  <c r="GU180" i="5" s="1"/>
  <c r="Q111" i="4"/>
  <c r="GV180" i="5" s="1"/>
  <c r="R111" i="4"/>
  <c r="GW180" i="5" s="1"/>
  <c r="S111" i="4"/>
  <c r="GX180" i="5" s="1"/>
  <c r="T111" i="4"/>
  <c r="GY180" i="5" s="1"/>
  <c r="U111" i="4"/>
  <c r="GZ180" i="5" s="1"/>
  <c r="V111" i="4"/>
  <c r="HA180" i="5" s="1"/>
  <c r="W111" i="4"/>
  <c r="HB180" i="5" s="1"/>
  <c r="G112" i="4"/>
  <c r="HI180" i="5" s="1"/>
  <c r="H112" i="4"/>
  <c r="HJ180" i="5" s="1"/>
  <c r="I112" i="4"/>
  <c r="HK180" i="5" s="1"/>
  <c r="J112" i="4"/>
  <c r="HL180" i="5" s="1"/>
  <c r="K112" i="4"/>
  <c r="HM180" i="5" s="1"/>
  <c r="L112" i="4"/>
  <c r="HN180" i="5" s="1"/>
  <c r="M112" i="4"/>
  <c r="HO180" i="5" s="1"/>
  <c r="N112" i="4"/>
  <c r="HP180" i="5" s="1"/>
  <c r="O112" i="4"/>
  <c r="HQ180" i="5" s="1"/>
  <c r="P112" i="4"/>
  <c r="HR180" i="5" s="1"/>
  <c r="Q112" i="4"/>
  <c r="HS180" i="5" s="1"/>
  <c r="R112" i="4"/>
  <c r="HT180" i="5" s="1"/>
  <c r="S112" i="4"/>
  <c r="HU180" i="5" s="1"/>
  <c r="T112" i="4"/>
  <c r="HV180" i="5" s="1"/>
  <c r="U112" i="4"/>
  <c r="HW180" i="5" s="1"/>
  <c r="V112" i="4"/>
  <c r="HX180" i="5" s="1"/>
  <c r="W112" i="4"/>
  <c r="HY180" i="5" s="1"/>
  <c r="G113" i="4"/>
  <c r="IF180" i="5" s="1"/>
  <c r="H113" i="4"/>
  <c r="IG180" i="5" s="1"/>
  <c r="I113" i="4"/>
  <c r="IH180" i="5" s="1"/>
  <c r="J113" i="4"/>
  <c r="II180" i="5" s="1"/>
  <c r="K113" i="4"/>
  <c r="IJ180" i="5" s="1"/>
  <c r="L113" i="4"/>
  <c r="IK180" i="5" s="1"/>
  <c r="M113" i="4"/>
  <c r="IL180" i="5" s="1"/>
  <c r="N113" i="4"/>
  <c r="IM180" i="5" s="1"/>
  <c r="O113" i="4"/>
  <c r="IN180" i="5" s="1"/>
  <c r="P113" i="4"/>
  <c r="IO180" i="5" s="1"/>
  <c r="Q113" i="4"/>
  <c r="IP180" i="5" s="1"/>
  <c r="R113" i="4"/>
  <c r="IQ180" i="5" s="1"/>
  <c r="S113" i="4"/>
  <c r="IR180" i="5" s="1"/>
  <c r="T113" i="4"/>
  <c r="IS180" i="5" s="1"/>
  <c r="U113" i="4"/>
  <c r="IT180" i="5" s="1"/>
  <c r="V113" i="4"/>
  <c r="IU180" i="5" s="1"/>
  <c r="W113" i="4"/>
  <c r="IV180" i="5" s="1"/>
  <c r="G114" i="4"/>
  <c r="L181" i="5" s="1"/>
  <c r="H114" i="4"/>
  <c r="M181" i="5" s="1"/>
  <c r="I114" i="4"/>
  <c r="N181" i="5" s="1"/>
  <c r="J114" i="4"/>
  <c r="O181" i="5" s="1"/>
  <c r="K114" i="4"/>
  <c r="P181" i="5" s="1"/>
  <c r="L114" i="4"/>
  <c r="Q181" i="5" s="1"/>
  <c r="M114" i="4"/>
  <c r="R181" i="5" s="1"/>
  <c r="N114" i="4"/>
  <c r="S181" i="5" s="1"/>
  <c r="O114" i="4"/>
  <c r="T181" i="5" s="1"/>
  <c r="P114" i="4"/>
  <c r="U181" i="5" s="1"/>
  <c r="Q114" i="4"/>
  <c r="V181" i="5" s="1"/>
  <c r="R114" i="4"/>
  <c r="W181" i="5" s="1"/>
  <c r="S114" i="4"/>
  <c r="X181" i="5" s="1"/>
  <c r="T114" i="4"/>
  <c r="Y181" i="5" s="1"/>
  <c r="U114" i="4"/>
  <c r="Z181" i="5" s="1"/>
  <c r="V114" i="4"/>
  <c r="AA181" i="5" s="1"/>
  <c r="W114" i="4"/>
  <c r="AB181" i="5" s="1"/>
  <c r="G115" i="4"/>
  <c r="AI181" i="5" s="1"/>
  <c r="H115" i="4"/>
  <c r="AJ181" i="5" s="1"/>
  <c r="I115" i="4"/>
  <c r="AK181" i="5" s="1"/>
  <c r="J115" i="4"/>
  <c r="AL181" i="5" s="1"/>
  <c r="K115" i="4"/>
  <c r="AM181" i="5" s="1"/>
  <c r="L115" i="4"/>
  <c r="AN181" i="5" s="1"/>
  <c r="M115" i="4"/>
  <c r="AO181" i="5" s="1"/>
  <c r="N115" i="4"/>
  <c r="AP181" i="5" s="1"/>
  <c r="O115" i="4"/>
  <c r="AQ181" i="5" s="1"/>
  <c r="P115" i="4"/>
  <c r="AR181" i="5" s="1"/>
  <c r="Q115" i="4"/>
  <c r="AS181" i="5" s="1"/>
  <c r="R115" i="4"/>
  <c r="AT181" i="5" s="1"/>
  <c r="S115" i="4"/>
  <c r="AU181" i="5" s="1"/>
  <c r="T115" i="4"/>
  <c r="AV181" i="5" s="1"/>
  <c r="U115" i="4"/>
  <c r="AW181" i="5" s="1"/>
  <c r="V115" i="4"/>
  <c r="AX181" i="5" s="1"/>
  <c r="W115" i="4"/>
  <c r="AY181" i="5" s="1"/>
  <c r="G116" i="4"/>
  <c r="BF181" i="5" s="1"/>
  <c r="H116" i="4"/>
  <c r="BG181" i="5" s="1"/>
  <c r="I116" i="4"/>
  <c r="BH181" i="5" s="1"/>
  <c r="J116" i="4"/>
  <c r="BI181" i="5" s="1"/>
  <c r="K116" i="4"/>
  <c r="BJ181" i="5" s="1"/>
  <c r="L116" i="4"/>
  <c r="BK181" i="5" s="1"/>
  <c r="M116" i="4"/>
  <c r="BL181" i="5" s="1"/>
  <c r="N116" i="4"/>
  <c r="BM181" i="5" s="1"/>
  <c r="O116" i="4"/>
  <c r="BN181" i="5" s="1"/>
  <c r="P116" i="4"/>
  <c r="BO181" i="5" s="1"/>
  <c r="Q116" i="4"/>
  <c r="BP181" i="5" s="1"/>
  <c r="R116" i="4"/>
  <c r="BQ181" i="5" s="1"/>
  <c r="S116" i="4"/>
  <c r="BR181" i="5" s="1"/>
  <c r="T116" i="4"/>
  <c r="BS181" i="5" s="1"/>
  <c r="U116" i="4"/>
  <c r="BT181" i="5" s="1"/>
  <c r="V116" i="4"/>
  <c r="BU181" i="5" s="1"/>
  <c r="W116" i="4"/>
  <c r="BV181" i="5" s="1"/>
  <c r="G117" i="4"/>
  <c r="CC181" i="5" s="1"/>
  <c r="H117" i="4"/>
  <c r="CD181" i="5" s="1"/>
  <c r="I117" i="4"/>
  <c r="CE181" i="5" s="1"/>
  <c r="J117" i="4"/>
  <c r="CF181" i="5" s="1"/>
  <c r="K117" i="4"/>
  <c r="CG181" i="5" s="1"/>
  <c r="L117" i="4"/>
  <c r="CH181" i="5" s="1"/>
  <c r="M117" i="4"/>
  <c r="CI181" i="5" s="1"/>
  <c r="N117" i="4"/>
  <c r="CJ181" i="5" s="1"/>
  <c r="O117" i="4"/>
  <c r="CK181" i="5" s="1"/>
  <c r="P117" i="4"/>
  <c r="CL181" i="5" s="1"/>
  <c r="Q117" i="4"/>
  <c r="CM181" i="5" s="1"/>
  <c r="R117" i="4"/>
  <c r="CN181" i="5" s="1"/>
  <c r="S117" i="4"/>
  <c r="CO181" i="5" s="1"/>
  <c r="T117" i="4"/>
  <c r="CP181" i="5" s="1"/>
  <c r="U117" i="4"/>
  <c r="CQ181" i="5" s="1"/>
  <c r="V117" i="4"/>
  <c r="CR181" i="5" s="1"/>
  <c r="W117" i="4"/>
  <c r="CS181" i="5" s="1"/>
  <c r="G118" i="4"/>
  <c r="CZ181" i="5" s="1"/>
  <c r="H118" i="4"/>
  <c r="DA181" i="5" s="1"/>
  <c r="I118" i="4"/>
  <c r="DB181" i="5" s="1"/>
  <c r="J118" i="4"/>
  <c r="DC181" i="5" s="1"/>
  <c r="K118" i="4"/>
  <c r="DD181" i="5" s="1"/>
  <c r="L118" i="4"/>
  <c r="DE181" i="5" s="1"/>
  <c r="M118" i="4"/>
  <c r="DF181" i="5" s="1"/>
  <c r="N118" i="4"/>
  <c r="DG181" i="5" s="1"/>
  <c r="O118" i="4"/>
  <c r="DH181" i="5" s="1"/>
  <c r="P118" i="4"/>
  <c r="DI181" i="5" s="1"/>
  <c r="Q118" i="4"/>
  <c r="DJ181" i="5" s="1"/>
  <c r="R118" i="4"/>
  <c r="DK181" i="5" s="1"/>
  <c r="S118" i="4"/>
  <c r="DL181" i="5" s="1"/>
  <c r="T118" i="4"/>
  <c r="DM181" i="5" s="1"/>
  <c r="U118" i="4"/>
  <c r="DN181" i="5" s="1"/>
  <c r="V118" i="4"/>
  <c r="DO181" i="5" s="1"/>
  <c r="W118" i="4"/>
  <c r="DP181" i="5" s="1"/>
  <c r="G119" i="4"/>
  <c r="DW181" i="5" s="1"/>
  <c r="H119" i="4"/>
  <c r="DX181" i="5" s="1"/>
  <c r="I119" i="4"/>
  <c r="DY181" i="5" s="1"/>
  <c r="J119" i="4"/>
  <c r="DZ181" i="5" s="1"/>
  <c r="K119" i="4"/>
  <c r="EA181" i="5" s="1"/>
  <c r="L119" i="4"/>
  <c r="EB181" i="5" s="1"/>
  <c r="M119" i="4"/>
  <c r="EC181" i="5" s="1"/>
  <c r="N119" i="4"/>
  <c r="ED181" i="5" s="1"/>
  <c r="O119" i="4"/>
  <c r="EE181" i="5" s="1"/>
  <c r="P119" i="4"/>
  <c r="EF181" i="5" s="1"/>
  <c r="Q119" i="4"/>
  <c r="EG181" i="5" s="1"/>
  <c r="R119" i="4"/>
  <c r="EH181" i="5" s="1"/>
  <c r="S119" i="4"/>
  <c r="EI181" i="5" s="1"/>
  <c r="T119" i="4"/>
  <c r="EJ181" i="5" s="1"/>
  <c r="U119" i="4"/>
  <c r="EK181" i="5" s="1"/>
  <c r="V119" i="4"/>
  <c r="EL181" i="5" s="1"/>
  <c r="W119" i="4"/>
  <c r="EM181" i="5" s="1"/>
  <c r="G120" i="4"/>
  <c r="ET181" i="5" s="1"/>
  <c r="H120" i="4"/>
  <c r="EU181" i="5" s="1"/>
  <c r="I120" i="4"/>
  <c r="EV181" i="5" s="1"/>
  <c r="J120" i="4"/>
  <c r="EW181" i="5" s="1"/>
  <c r="K120" i="4"/>
  <c r="EX181" i="5" s="1"/>
  <c r="L120" i="4"/>
  <c r="EY181" i="5" s="1"/>
  <c r="M120" i="4"/>
  <c r="EZ181" i="5" s="1"/>
  <c r="N120" i="4"/>
  <c r="FA181" i="5" s="1"/>
  <c r="O120" i="4"/>
  <c r="FB181" i="5" s="1"/>
  <c r="P120" i="4"/>
  <c r="FC181" i="5" s="1"/>
  <c r="Q120" i="4"/>
  <c r="FD181" i="5" s="1"/>
  <c r="R120" i="4"/>
  <c r="FE181" i="5" s="1"/>
  <c r="S120" i="4"/>
  <c r="FF181" i="5" s="1"/>
  <c r="T120" i="4"/>
  <c r="FG181" i="5" s="1"/>
  <c r="U120" i="4"/>
  <c r="FH181" i="5" s="1"/>
  <c r="V120" i="4"/>
  <c r="FI181" i="5" s="1"/>
  <c r="W120" i="4"/>
  <c r="FJ181" i="5" s="1"/>
  <c r="G121" i="4"/>
  <c r="FQ181" i="5" s="1"/>
  <c r="H121" i="4"/>
  <c r="FR181" i="5" s="1"/>
  <c r="I121" i="4"/>
  <c r="FS181" i="5" s="1"/>
  <c r="J121" i="4"/>
  <c r="FT181" i="5" s="1"/>
  <c r="K121" i="4"/>
  <c r="FU181" i="5" s="1"/>
  <c r="L121" i="4"/>
  <c r="FV181" i="5" s="1"/>
  <c r="M121" i="4"/>
  <c r="FW181" i="5" s="1"/>
  <c r="N121" i="4"/>
  <c r="FX181" i="5" s="1"/>
  <c r="O121" i="4"/>
  <c r="FY181" i="5" s="1"/>
  <c r="P121" i="4"/>
  <c r="FZ181" i="5" s="1"/>
  <c r="Q121" i="4"/>
  <c r="GA181" i="5" s="1"/>
  <c r="R121" i="4"/>
  <c r="GB181" i="5" s="1"/>
  <c r="S121" i="4"/>
  <c r="GC181" i="5" s="1"/>
  <c r="T121" i="4"/>
  <c r="GD181" i="5" s="1"/>
  <c r="U121" i="4"/>
  <c r="GE181" i="5" s="1"/>
  <c r="V121" i="4"/>
  <c r="GF181" i="5" s="1"/>
  <c r="W121" i="4"/>
  <c r="GG181" i="5" s="1"/>
  <c r="G122" i="4"/>
  <c r="GN181" i="5" s="1"/>
  <c r="H122" i="4"/>
  <c r="GO181" i="5" s="1"/>
  <c r="I122" i="4"/>
  <c r="GP181" i="5" s="1"/>
  <c r="J122" i="4"/>
  <c r="GQ181" i="5" s="1"/>
  <c r="K122" i="4"/>
  <c r="GR181" i="5" s="1"/>
  <c r="L122" i="4"/>
  <c r="GS181" i="5" s="1"/>
  <c r="M122" i="4"/>
  <c r="GT181" i="5" s="1"/>
  <c r="N122" i="4"/>
  <c r="GU181" i="5" s="1"/>
  <c r="O122" i="4"/>
  <c r="GV181" i="5" s="1"/>
  <c r="P122" i="4"/>
  <c r="GW181" i="5" s="1"/>
  <c r="Q122" i="4"/>
  <c r="GX181" i="5" s="1"/>
  <c r="R122" i="4"/>
  <c r="GY181" i="5" s="1"/>
  <c r="S122" i="4"/>
  <c r="GZ181" i="5" s="1"/>
  <c r="T122" i="4"/>
  <c r="HA181" i="5" s="1"/>
  <c r="U122" i="4"/>
  <c r="HB181" i="5" s="1"/>
  <c r="V122" i="4"/>
  <c r="HC181" i="5" s="1"/>
  <c r="W122" i="4"/>
  <c r="HD181" i="5" s="1"/>
  <c r="G123" i="4"/>
  <c r="HK181" i="5" s="1"/>
  <c r="H123" i="4"/>
  <c r="HL181" i="5" s="1"/>
  <c r="I123" i="4"/>
  <c r="HM181" i="5" s="1"/>
  <c r="J123" i="4"/>
  <c r="HN181" i="5" s="1"/>
  <c r="K123" i="4"/>
  <c r="HO181" i="5" s="1"/>
  <c r="L123" i="4"/>
  <c r="HP181" i="5" s="1"/>
  <c r="M123" i="4"/>
  <c r="HQ181" i="5" s="1"/>
  <c r="N123" i="4"/>
  <c r="HR181" i="5" s="1"/>
  <c r="O123" i="4"/>
  <c r="HS181" i="5" s="1"/>
  <c r="P123" i="4"/>
  <c r="HT181" i="5" s="1"/>
  <c r="Q123" i="4"/>
  <c r="HU181" i="5" s="1"/>
  <c r="R123" i="4"/>
  <c r="HV181" i="5" s="1"/>
  <c r="S123" i="4"/>
  <c r="HW181" i="5" s="1"/>
  <c r="T123" i="4"/>
  <c r="HX181" i="5" s="1"/>
  <c r="U123" i="4"/>
  <c r="HY181" i="5" s="1"/>
  <c r="V123" i="4"/>
  <c r="HZ181" i="5" s="1"/>
  <c r="W123" i="4"/>
  <c r="IA181" i="5" s="1"/>
  <c r="G124" i="4"/>
  <c r="IH181" i="5" s="1"/>
  <c r="H124" i="4"/>
  <c r="II181" i="5" s="1"/>
  <c r="I124" i="4"/>
  <c r="IJ181" i="5" s="1"/>
  <c r="J124" i="4"/>
  <c r="IK181" i="5" s="1"/>
  <c r="K124" i="4"/>
  <c r="IL181" i="5" s="1"/>
  <c r="L124" i="4"/>
  <c r="IM181" i="5" s="1"/>
  <c r="M124" i="4"/>
  <c r="IN181" i="5" s="1"/>
  <c r="N124" i="4"/>
  <c r="IO181" i="5" s="1"/>
  <c r="O124" i="4"/>
  <c r="IP181" i="5" s="1"/>
  <c r="P124" i="4"/>
  <c r="IQ181" i="5" s="1"/>
  <c r="Q124" i="4"/>
  <c r="IR181" i="5" s="1"/>
  <c r="R124" i="4"/>
  <c r="IS181" i="5" s="1"/>
  <c r="S124" i="4"/>
  <c r="IT181" i="5" s="1"/>
  <c r="T124" i="4"/>
  <c r="IU181" i="5" s="1"/>
  <c r="U124" i="4"/>
  <c r="IV181" i="5" s="1"/>
  <c r="V124" i="4"/>
  <c r="F182" i="5" s="1"/>
  <c r="W124" i="4"/>
  <c r="G182" i="5" s="1"/>
  <c r="G125" i="4"/>
  <c r="N182" i="5" s="1"/>
  <c r="H125" i="4"/>
  <c r="O182" i="5" s="1"/>
  <c r="I125" i="4"/>
  <c r="P182" i="5" s="1"/>
  <c r="J125" i="4"/>
  <c r="Q182" i="5" s="1"/>
  <c r="K125" i="4"/>
  <c r="R182" i="5" s="1"/>
  <c r="L125" i="4"/>
  <c r="S182" i="5" s="1"/>
  <c r="M125" i="4"/>
  <c r="T182" i="5" s="1"/>
  <c r="N125" i="4"/>
  <c r="U182" i="5" s="1"/>
  <c r="O125" i="4"/>
  <c r="V182" i="5" s="1"/>
  <c r="P125" i="4"/>
  <c r="W182" i="5" s="1"/>
  <c r="Q125" i="4"/>
  <c r="X182" i="5" s="1"/>
  <c r="R125" i="4"/>
  <c r="Y182" i="5" s="1"/>
  <c r="S125" i="4"/>
  <c r="Z182" i="5" s="1"/>
  <c r="T125" i="4"/>
  <c r="AA182" i="5" s="1"/>
  <c r="U125" i="4"/>
  <c r="AB182" i="5" s="1"/>
  <c r="V125" i="4"/>
  <c r="AC182" i="5" s="1"/>
  <c r="W125" i="4"/>
  <c r="AD182" i="5" s="1"/>
  <c r="G126" i="4"/>
  <c r="AK182" i="5" s="1"/>
  <c r="H126" i="4"/>
  <c r="AL182" i="5" s="1"/>
  <c r="I126" i="4"/>
  <c r="AM182" i="5" s="1"/>
  <c r="J126" i="4"/>
  <c r="AN182" i="5" s="1"/>
  <c r="K126" i="4"/>
  <c r="AO182" i="5" s="1"/>
  <c r="L126" i="4"/>
  <c r="AP182" i="5" s="1"/>
  <c r="M126" i="4"/>
  <c r="AQ182" i="5" s="1"/>
  <c r="N126" i="4"/>
  <c r="AR182" i="5" s="1"/>
  <c r="O126" i="4"/>
  <c r="AS182" i="5" s="1"/>
  <c r="P126" i="4"/>
  <c r="AT182" i="5" s="1"/>
  <c r="Q126" i="4"/>
  <c r="AU182" i="5" s="1"/>
  <c r="R126" i="4"/>
  <c r="AV182" i="5" s="1"/>
  <c r="S126" i="4"/>
  <c r="AW182" i="5" s="1"/>
  <c r="T126" i="4"/>
  <c r="AX182" i="5" s="1"/>
  <c r="U126" i="4"/>
  <c r="AY182" i="5" s="1"/>
  <c r="V126" i="4"/>
  <c r="AZ182" i="5" s="1"/>
  <c r="W126" i="4"/>
  <c r="BA182" i="5" s="1"/>
  <c r="G127" i="4"/>
  <c r="BH182" i="5" s="1"/>
  <c r="H127" i="4"/>
  <c r="BI182" i="5" s="1"/>
  <c r="I127" i="4"/>
  <c r="BJ182" i="5" s="1"/>
  <c r="J127" i="4"/>
  <c r="BK182" i="5" s="1"/>
  <c r="K127" i="4"/>
  <c r="BL182" i="5" s="1"/>
  <c r="L127" i="4"/>
  <c r="BM182" i="5" s="1"/>
  <c r="M127" i="4"/>
  <c r="BN182" i="5" s="1"/>
  <c r="N127" i="4"/>
  <c r="BO182" i="5" s="1"/>
  <c r="O127" i="4"/>
  <c r="BP182" i="5" s="1"/>
  <c r="P127" i="4"/>
  <c r="BQ182" i="5" s="1"/>
  <c r="Q127" i="4"/>
  <c r="BR182" i="5" s="1"/>
  <c r="R127" i="4"/>
  <c r="BS182" i="5" s="1"/>
  <c r="S127" i="4"/>
  <c r="BT182" i="5" s="1"/>
  <c r="T127" i="4"/>
  <c r="BU182" i="5" s="1"/>
  <c r="U127" i="4"/>
  <c r="BV182" i="5" s="1"/>
  <c r="V127" i="4"/>
  <c r="BW182" i="5" s="1"/>
  <c r="W127" i="4"/>
  <c r="BX182" i="5" s="1"/>
  <c r="G128" i="4"/>
  <c r="CE182" i="5" s="1"/>
  <c r="H128" i="4"/>
  <c r="CF182" i="5" s="1"/>
  <c r="I128" i="4"/>
  <c r="CG182" i="5" s="1"/>
  <c r="J128" i="4"/>
  <c r="CH182" i="5" s="1"/>
  <c r="K128" i="4"/>
  <c r="CI182" i="5" s="1"/>
  <c r="L128" i="4"/>
  <c r="CJ182" i="5" s="1"/>
  <c r="M128" i="4"/>
  <c r="CK182" i="5" s="1"/>
  <c r="N128" i="4"/>
  <c r="CL182" i="5" s="1"/>
  <c r="O128" i="4"/>
  <c r="CM182" i="5" s="1"/>
  <c r="P128" i="4"/>
  <c r="CN182" i="5" s="1"/>
  <c r="Q128" i="4"/>
  <c r="CO182" i="5" s="1"/>
  <c r="R128" i="4"/>
  <c r="CP182" i="5" s="1"/>
  <c r="S128" i="4"/>
  <c r="CQ182" i="5" s="1"/>
  <c r="T128" i="4"/>
  <c r="CR182" i="5" s="1"/>
  <c r="U128" i="4"/>
  <c r="CS182" i="5" s="1"/>
  <c r="V128" i="4"/>
  <c r="CT182" i="5" s="1"/>
  <c r="W128" i="4"/>
  <c r="CU182" i="5" s="1"/>
  <c r="G129" i="4"/>
  <c r="DB182" i="5" s="1"/>
  <c r="H129" i="4"/>
  <c r="DC182" i="5" s="1"/>
  <c r="I129" i="4"/>
  <c r="DD182" i="5" s="1"/>
  <c r="J129" i="4"/>
  <c r="DE182" i="5" s="1"/>
  <c r="K129" i="4"/>
  <c r="DF182" i="5" s="1"/>
  <c r="L129" i="4"/>
  <c r="DG182" i="5" s="1"/>
  <c r="M129" i="4"/>
  <c r="DH182" i="5" s="1"/>
  <c r="N129" i="4"/>
  <c r="DI182" i="5" s="1"/>
  <c r="O129" i="4"/>
  <c r="DJ182" i="5" s="1"/>
  <c r="P129" i="4"/>
  <c r="DK182" i="5" s="1"/>
  <c r="Q129" i="4"/>
  <c r="DL182" i="5" s="1"/>
  <c r="R129" i="4"/>
  <c r="DM182" i="5" s="1"/>
  <c r="S129" i="4"/>
  <c r="DN182" i="5" s="1"/>
  <c r="T129" i="4"/>
  <c r="DO182" i="5" s="1"/>
  <c r="U129" i="4"/>
  <c r="DP182" i="5" s="1"/>
  <c r="V129" i="4"/>
  <c r="DQ182" i="5" s="1"/>
  <c r="W129" i="4"/>
  <c r="DR182" i="5" s="1"/>
  <c r="G130" i="4"/>
  <c r="DY182" i="5" s="1"/>
  <c r="H130" i="4"/>
  <c r="DZ182" i="5" s="1"/>
  <c r="I130" i="4"/>
  <c r="EA182" i="5" s="1"/>
  <c r="J130" i="4"/>
  <c r="EB182" i="5" s="1"/>
  <c r="K130" i="4"/>
  <c r="EC182" i="5" s="1"/>
  <c r="L130" i="4"/>
  <c r="ED182" i="5" s="1"/>
  <c r="M130" i="4"/>
  <c r="EE182" i="5" s="1"/>
  <c r="N130" i="4"/>
  <c r="EF182" i="5" s="1"/>
  <c r="O130" i="4"/>
  <c r="EG182" i="5" s="1"/>
  <c r="P130" i="4"/>
  <c r="EH182" i="5" s="1"/>
  <c r="Q130" i="4"/>
  <c r="EI182" i="5" s="1"/>
  <c r="R130" i="4"/>
  <c r="EJ182" i="5" s="1"/>
  <c r="S130" i="4"/>
  <c r="EK182" i="5" s="1"/>
  <c r="T130" i="4"/>
  <c r="EL182" i="5" s="1"/>
  <c r="U130" i="4"/>
  <c r="EM182" i="5" s="1"/>
  <c r="V130" i="4"/>
  <c r="EN182" i="5" s="1"/>
  <c r="W130" i="4"/>
  <c r="EO182" i="5" s="1"/>
  <c r="G131" i="4"/>
  <c r="EV182" i="5" s="1"/>
  <c r="H131" i="4"/>
  <c r="EW182" i="5" s="1"/>
  <c r="I131" i="4"/>
  <c r="EX182" i="5" s="1"/>
  <c r="J131" i="4"/>
  <c r="EY182" i="5" s="1"/>
  <c r="K131" i="4"/>
  <c r="EZ182" i="5" s="1"/>
  <c r="L131" i="4"/>
  <c r="FA182" i="5" s="1"/>
  <c r="M131" i="4"/>
  <c r="FB182" i="5" s="1"/>
  <c r="N131" i="4"/>
  <c r="FC182" i="5" s="1"/>
  <c r="O131" i="4"/>
  <c r="FD182" i="5" s="1"/>
  <c r="P131" i="4"/>
  <c r="FE182" i="5" s="1"/>
  <c r="Q131" i="4"/>
  <c r="FF182" i="5" s="1"/>
  <c r="R131" i="4"/>
  <c r="FG182" i="5" s="1"/>
  <c r="S131" i="4"/>
  <c r="FH182" i="5" s="1"/>
  <c r="T131" i="4"/>
  <c r="FI182" i="5" s="1"/>
  <c r="U131" i="4"/>
  <c r="FJ182" i="5" s="1"/>
  <c r="V131" i="4"/>
  <c r="FK182" i="5" s="1"/>
  <c r="W131" i="4"/>
  <c r="FL182" i="5" s="1"/>
  <c r="G132" i="4"/>
  <c r="FS182" i="5" s="1"/>
  <c r="H132" i="4"/>
  <c r="FT182" i="5" s="1"/>
  <c r="I132" i="4"/>
  <c r="FU182" i="5" s="1"/>
  <c r="J132" i="4"/>
  <c r="FV182" i="5" s="1"/>
  <c r="K132" i="4"/>
  <c r="FW182" i="5" s="1"/>
  <c r="L132" i="4"/>
  <c r="FX182" i="5" s="1"/>
  <c r="M132" i="4"/>
  <c r="FY182" i="5" s="1"/>
  <c r="N132" i="4"/>
  <c r="FZ182" i="5" s="1"/>
  <c r="O132" i="4"/>
  <c r="GA182" i="5" s="1"/>
  <c r="P132" i="4"/>
  <c r="GB182" i="5" s="1"/>
  <c r="Q132" i="4"/>
  <c r="GC182" i="5" s="1"/>
  <c r="R132" i="4"/>
  <c r="GD182" i="5" s="1"/>
  <c r="S132" i="4"/>
  <c r="GE182" i="5" s="1"/>
  <c r="T132" i="4"/>
  <c r="GF182" i="5" s="1"/>
  <c r="U132" i="4"/>
  <c r="GG182" i="5" s="1"/>
  <c r="V132" i="4"/>
  <c r="GH182" i="5" s="1"/>
  <c r="W132" i="4"/>
  <c r="GI182" i="5" s="1"/>
  <c r="G133" i="4"/>
  <c r="GP182" i="5" s="1"/>
  <c r="H133" i="4"/>
  <c r="GQ182" i="5" s="1"/>
  <c r="I133" i="4"/>
  <c r="GR182" i="5" s="1"/>
  <c r="J133" i="4"/>
  <c r="GS182" i="5" s="1"/>
  <c r="K133" i="4"/>
  <c r="GT182" i="5" s="1"/>
  <c r="L133" i="4"/>
  <c r="GU182" i="5" s="1"/>
  <c r="M133" i="4"/>
  <c r="GV182" i="5" s="1"/>
  <c r="N133" i="4"/>
  <c r="GW182" i="5" s="1"/>
  <c r="O133" i="4"/>
  <c r="GX182" i="5" s="1"/>
  <c r="P133" i="4"/>
  <c r="GY182" i="5" s="1"/>
  <c r="Q133" i="4"/>
  <c r="GZ182" i="5" s="1"/>
  <c r="R133" i="4"/>
  <c r="HA182" i="5" s="1"/>
  <c r="S133" i="4"/>
  <c r="HB182" i="5" s="1"/>
  <c r="T133" i="4"/>
  <c r="HC182" i="5" s="1"/>
  <c r="U133" i="4"/>
  <c r="HD182" i="5" s="1"/>
  <c r="V133" i="4"/>
  <c r="HE182" i="5" s="1"/>
  <c r="W133" i="4"/>
  <c r="HF182" i="5" s="1"/>
  <c r="G134" i="4"/>
  <c r="HM182" i="5" s="1"/>
  <c r="H134" i="4"/>
  <c r="HN182" i="5" s="1"/>
  <c r="I134" i="4"/>
  <c r="HO182" i="5" s="1"/>
  <c r="J134" i="4"/>
  <c r="HP182" i="5" s="1"/>
  <c r="K134" i="4"/>
  <c r="HQ182" i="5" s="1"/>
  <c r="L134" i="4"/>
  <c r="HR182" i="5" s="1"/>
  <c r="M134" i="4"/>
  <c r="HS182" i="5" s="1"/>
  <c r="N134" i="4"/>
  <c r="HT182" i="5" s="1"/>
  <c r="O134" i="4"/>
  <c r="HU182" i="5" s="1"/>
  <c r="P134" i="4"/>
  <c r="HV182" i="5" s="1"/>
  <c r="Q134" i="4"/>
  <c r="HW182" i="5" s="1"/>
  <c r="R134" i="4"/>
  <c r="HX182" i="5" s="1"/>
  <c r="S134" i="4"/>
  <c r="HY182" i="5" s="1"/>
  <c r="T134" i="4"/>
  <c r="HZ182" i="5" s="1"/>
  <c r="U134" i="4"/>
  <c r="IA182" i="5" s="1"/>
  <c r="V134" i="4"/>
  <c r="IB182" i="5" s="1"/>
  <c r="W134" i="4"/>
  <c r="IC182" i="5" s="1"/>
  <c r="G135" i="4"/>
  <c r="IJ182" i="5" s="1"/>
  <c r="H135" i="4"/>
  <c r="IK182" i="5" s="1"/>
  <c r="I135" i="4"/>
  <c r="IL182" i="5" s="1"/>
  <c r="J135" i="4"/>
  <c r="IM182" i="5" s="1"/>
  <c r="K135" i="4"/>
  <c r="IN182" i="5" s="1"/>
  <c r="L135" i="4"/>
  <c r="IO182" i="5" s="1"/>
  <c r="M135" i="4"/>
  <c r="IP182" i="5" s="1"/>
  <c r="N135" i="4"/>
  <c r="IQ182" i="5" s="1"/>
  <c r="O135" i="4"/>
  <c r="IR182" i="5" s="1"/>
  <c r="P135" i="4"/>
  <c r="IS182" i="5" s="1"/>
  <c r="Q135" i="4"/>
  <c r="IT182" i="5" s="1"/>
  <c r="R135" i="4"/>
  <c r="IU182" i="5" s="1"/>
  <c r="S135" i="4"/>
  <c r="IV182" i="5" s="1"/>
  <c r="T135" i="4"/>
  <c r="F183" i="5" s="1"/>
  <c r="U135" i="4"/>
  <c r="G183" i="5" s="1"/>
  <c r="V135" i="4"/>
  <c r="H183" i="5" s="1"/>
  <c r="W135" i="4"/>
  <c r="I183" i="5" s="1"/>
  <c r="G136" i="4"/>
  <c r="P183" i="5" s="1"/>
  <c r="H136" i="4"/>
  <c r="Q183" i="5" s="1"/>
  <c r="I136" i="4"/>
  <c r="R183" i="5" s="1"/>
  <c r="J136" i="4"/>
  <c r="S183" i="5" s="1"/>
  <c r="K136" i="4"/>
  <c r="T183" i="5" s="1"/>
  <c r="L136" i="4"/>
  <c r="U183" i="5" s="1"/>
  <c r="M136" i="4"/>
  <c r="V183" i="5" s="1"/>
  <c r="N136" i="4"/>
  <c r="W183" i="5" s="1"/>
  <c r="O136" i="4"/>
  <c r="X183" i="5" s="1"/>
  <c r="P136" i="4"/>
  <c r="Y183" i="5" s="1"/>
  <c r="Q136" i="4"/>
  <c r="Z183" i="5" s="1"/>
  <c r="R136" i="4"/>
  <c r="AA183" i="5" s="1"/>
  <c r="S136" i="4"/>
  <c r="AB183" i="5" s="1"/>
  <c r="T136" i="4"/>
  <c r="AC183" i="5" s="1"/>
  <c r="U136" i="4"/>
  <c r="AD183" i="5" s="1"/>
  <c r="V136" i="4"/>
  <c r="AE183" i="5" s="1"/>
  <c r="W136" i="4"/>
  <c r="AF183" i="5" s="1"/>
  <c r="G137" i="4"/>
  <c r="AM183" i="5" s="1"/>
  <c r="H137" i="4"/>
  <c r="AN183" i="5" s="1"/>
  <c r="I137" i="4"/>
  <c r="AO183" i="5" s="1"/>
  <c r="J137" i="4"/>
  <c r="AP183" i="5" s="1"/>
  <c r="K137" i="4"/>
  <c r="AQ183" i="5" s="1"/>
  <c r="L137" i="4"/>
  <c r="AR183" i="5" s="1"/>
  <c r="M137" i="4"/>
  <c r="AS183" i="5" s="1"/>
  <c r="N137" i="4"/>
  <c r="AT183" i="5" s="1"/>
  <c r="O137" i="4"/>
  <c r="AU183" i="5" s="1"/>
  <c r="P137" i="4"/>
  <c r="AV183" i="5" s="1"/>
  <c r="Q137" i="4"/>
  <c r="AW183" i="5" s="1"/>
  <c r="R137" i="4"/>
  <c r="AX183" i="5" s="1"/>
  <c r="S137" i="4"/>
  <c r="AY183" i="5" s="1"/>
  <c r="T137" i="4"/>
  <c r="AZ183" i="5" s="1"/>
  <c r="U137" i="4"/>
  <c r="BA183" i="5" s="1"/>
  <c r="V137" i="4"/>
  <c r="BB183" i="5" s="1"/>
  <c r="W137" i="4"/>
  <c r="BC183" i="5" s="1"/>
  <c r="G138" i="4"/>
  <c r="BJ183" i="5" s="1"/>
  <c r="H138" i="4"/>
  <c r="BK183" i="5" s="1"/>
  <c r="I138" i="4"/>
  <c r="BL183" i="5" s="1"/>
  <c r="J138" i="4"/>
  <c r="BM183" i="5" s="1"/>
  <c r="K138" i="4"/>
  <c r="BN183" i="5" s="1"/>
  <c r="L138" i="4"/>
  <c r="BO183" i="5" s="1"/>
  <c r="M138" i="4"/>
  <c r="BP183" i="5" s="1"/>
  <c r="N138" i="4"/>
  <c r="BQ183" i="5" s="1"/>
  <c r="O138" i="4"/>
  <c r="BR183" i="5" s="1"/>
  <c r="P138" i="4"/>
  <c r="BS183" i="5" s="1"/>
  <c r="Q138" i="4"/>
  <c r="BT183" i="5" s="1"/>
  <c r="R138" i="4"/>
  <c r="BU183" i="5" s="1"/>
  <c r="S138" i="4"/>
  <c r="BV183" i="5" s="1"/>
  <c r="T138" i="4"/>
  <c r="BW183" i="5" s="1"/>
  <c r="U138" i="4"/>
  <c r="BX183" i="5" s="1"/>
  <c r="V138" i="4"/>
  <c r="BY183" i="5" s="1"/>
  <c r="W138" i="4"/>
  <c r="BZ183" i="5" s="1"/>
  <c r="G139" i="4"/>
  <c r="CG183" i="5" s="1"/>
  <c r="H139" i="4"/>
  <c r="CH183" i="5" s="1"/>
  <c r="I139" i="4"/>
  <c r="CI183" i="5" s="1"/>
  <c r="J139" i="4"/>
  <c r="CJ183" i="5" s="1"/>
  <c r="K139" i="4"/>
  <c r="CK183" i="5" s="1"/>
  <c r="L139" i="4"/>
  <c r="CL183" i="5" s="1"/>
  <c r="M139" i="4"/>
  <c r="CM183" i="5" s="1"/>
  <c r="N139" i="4"/>
  <c r="CN183" i="5" s="1"/>
  <c r="O139" i="4"/>
  <c r="CO183" i="5" s="1"/>
  <c r="P139" i="4"/>
  <c r="CP183" i="5" s="1"/>
  <c r="Q139" i="4"/>
  <c r="CQ183" i="5" s="1"/>
  <c r="R139" i="4"/>
  <c r="CR183" i="5" s="1"/>
  <c r="S139" i="4"/>
  <c r="CS183" i="5" s="1"/>
  <c r="T139" i="4"/>
  <c r="CT183" i="5" s="1"/>
  <c r="U139" i="4"/>
  <c r="CU183" i="5" s="1"/>
  <c r="V139" i="4"/>
  <c r="CV183" i="5" s="1"/>
  <c r="W139" i="4"/>
  <c r="CW183" i="5" s="1"/>
  <c r="G140" i="4"/>
  <c r="DD183" i="5" s="1"/>
  <c r="H140" i="4"/>
  <c r="DE183" i="5" s="1"/>
  <c r="I140" i="4"/>
  <c r="DF183" i="5" s="1"/>
  <c r="J140" i="4"/>
  <c r="DG183" i="5" s="1"/>
  <c r="K140" i="4"/>
  <c r="DH183" i="5" s="1"/>
  <c r="L140" i="4"/>
  <c r="DI183" i="5" s="1"/>
  <c r="M140" i="4"/>
  <c r="DJ183" i="5" s="1"/>
  <c r="N140" i="4"/>
  <c r="DK183" i="5" s="1"/>
  <c r="O140" i="4"/>
  <c r="DL183" i="5" s="1"/>
  <c r="P140" i="4"/>
  <c r="DM183" i="5" s="1"/>
  <c r="Q140" i="4"/>
  <c r="DN183" i="5" s="1"/>
  <c r="R140" i="4"/>
  <c r="DO183" i="5" s="1"/>
  <c r="S140" i="4"/>
  <c r="DP183" i="5" s="1"/>
  <c r="T140" i="4"/>
  <c r="DQ183" i="5" s="1"/>
  <c r="U140" i="4"/>
  <c r="DR183" i="5" s="1"/>
  <c r="V140" i="4"/>
  <c r="DS183" i="5" s="1"/>
  <c r="W140" i="4"/>
  <c r="DT183" i="5" s="1"/>
  <c r="G141" i="4"/>
  <c r="EA183" i="5" s="1"/>
  <c r="H141" i="4"/>
  <c r="EB183" i="5" s="1"/>
  <c r="I141" i="4"/>
  <c r="EC183" i="5" s="1"/>
  <c r="J141" i="4"/>
  <c r="ED183" i="5" s="1"/>
  <c r="K141" i="4"/>
  <c r="EE183" i="5" s="1"/>
  <c r="L141" i="4"/>
  <c r="EF183" i="5" s="1"/>
  <c r="M141" i="4"/>
  <c r="EG183" i="5" s="1"/>
  <c r="N141" i="4"/>
  <c r="EH183" i="5" s="1"/>
  <c r="O141" i="4"/>
  <c r="EI183" i="5" s="1"/>
  <c r="P141" i="4"/>
  <c r="EJ183" i="5" s="1"/>
  <c r="Q141" i="4"/>
  <c r="EK183" i="5" s="1"/>
  <c r="R141" i="4"/>
  <c r="EL183" i="5" s="1"/>
  <c r="S141" i="4"/>
  <c r="EM183" i="5" s="1"/>
  <c r="T141" i="4"/>
  <c r="EN183" i="5" s="1"/>
  <c r="U141" i="4"/>
  <c r="EO183" i="5" s="1"/>
  <c r="V141" i="4"/>
  <c r="EP183" i="5" s="1"/>
  <c r="W141" i="4"/>
  <c r="EQ183" i="5" s="1"/>
  <c r="G142" i="4"/>
  <c r="EX183" i="5" s="1"/>
  <c r="H142" i="4"/>
  <c r="EY183" i="5" s="1"/>
  <c r="I142" i="4"/>
  <c r="EZ183" i="5" s="1"/>
  <c r="J142" i="4"/>
  <c r="FA183" i="5" s="1"/>
  <c r="K142" i="4"/>
  <c r="FB183" i="5" s="1"/>
  <c r="L142" i="4"/>
  <c r="FC183" i="5" s="1"/>
  <c r="M142" i="4"/>
  <c r="FD183" i="5" s="1"/>
  <c r="N142" i="4"/>
  <c r="FE183" i="5" s="1"/>
  <c r="O142" i="4"/>
  <c r="FF183" i="5" s="1"/>
  <c r="P142" i="4"/>
  <c r="FG183" i="5" s="1"/>
  <c r="Q142" i="4"/>
  <c r="FH183" i="5" s="1"/>
  <c r="R142" i="4"/>
  <c r="FI183" i="5" s="1"/>
  <c r="S142" i="4"/>
  <c r="FJ183" i="5" s="1"/>
  <c r="T142" i="4"/>
  <c r="FK183" i="5" s="1"/>
  <c r="U142" i="4"/>
  <c r="FL183" i="5" s="1"/>
  <c r="V142" i="4"/>
  <c r="FM183" i="5" s="1"/>
  <c r="W142" i="4"/>
  <c r="FN183" i="5" s="1"/>
  <c r="G143" i="4"/>
  <c r="FU183" i="5" s="1"/>
  <c r="H143" i="4"/>
  <c r="FV183" i="5" s="1"/>
  <c r="I143" i="4"/>
  <c r="FW183" i="5" s="1"/>
  <c r="J143" i="4"/>
  <c r="FX183" i="5" s="1"/>
  <c r="K143" i="4"/>
  <c r="FY183" i="5" s="1"/>
  <c r="L143" i="4"/>
  <c r="FZ183" i="5" s="1"/>
  <c r="M143" i="4"/>
  <c r="GA183" i="5" s="1"/>
  <c r="N143" i="4"/>
  <c r="GB183" i="5" s="1"/>
  <c r="O143" i="4"/>
  <c r="GC183" i="5" s="1"/>
  <c r="P143" i="4"/>
  <c r="GD183" i="5" s="1"/>
  <c r="Q143" i="4"/>
  <c r="GE183" i="5" s="1"/>
  <c r="R143" i="4"/>
  <c r="GF183" i="5" s="1"/>
  <c r="S143" i="4"/>
  <c r="GG183" i="5" s="1"/>
  <c r="T143" i="4"/>
  <c r="GH183" i="5" s="1"/>
  <c r="U143" i="4"/>
  <c r="GI183" i="5" s="1"/>
  <c r="V143" i="4"/>
  <c r="GJ183" i="5" s="1"/>
  <c r="W143" i="4"/>
  <c r="GK183" i="5" s="1"/>
  <c r="G144" i="4"/>
  <c r="GR183" i="5" s="1"/>
  <c r="H144" i="4"/>
  <c r="GS183" i="5" s="1"/>
  <c r="I144" i="4"/>
  <c r="GT183" i="5" s="1"/>
  <c r="J144" i="4"/>
  <c r="GU183" i="5" s="1"/>
  <c r="K144" i="4"/>
  <c r="GV183" i="5" s="1"/>
  <c r="L144" i="4"/>
  <c r="GW183" i="5" s="1"/>
  <c r="M144" i="4"/>
  <c r="GX183" i="5" s="1"/>
  <c r="N144" i="4"/>
  <c r="GY183" i="5" s="1"/>
  <c r="O144" i="4"/>
  <c r="GZ183" i="5" s="1"/>
  <c r="P144" i="4"/>
  <c r="HA183" i="5" s="1"/>
  <c r="Q144" i="4"/>
  <c r="HB183" i="5" s="1"/>
  <c r="R144" i="4"/>
  <c r="HC183" i="5" s="1"/>
  <c r="S144" i="4"/>
  <c r="HD183" i="5" s="1"/>
  <c r="T144" i="4"/>
  <c r="HE183" i="5" s="1"/>
  <c r="U144" i="4"/>
  <c r="HF183" i="5" s="1"/>
  <c r="V144" i="4"/>
  <c r="HG183" i="5" s="1"/>
  <c r="W144" i="4"/>
  <c r="HH183" i="5" s="1"/>
  <c r="G145" i="4"/>
  <c r="HO183" i="5" s="1"/>
  <c r="H145" i="4"/>
  <c r="HP183" i="5" s="1"/>
  <c r="I145" i="4"/>
  <c r="HQ183" i="5" s="1"/>
  <c r="J145" i="4"/>
  <c r="HR183" i="5" s="1"/>
  <c r="K145" i="4"/>
  <c r="HS183" i="5" s="1"/>
  <c r="L145" i="4"/>
  <c r="HT183" i="5" s="1"/>
  <c r="M145" i="4"/>
  <c r="HU183" i="5" s="1"/>
  <c r="N145" i="4"/>
  <c r="HV183" i="5" s="1"/>
  <c r="O145" i="4"/>
  <c r="HW183" i="5" s="1"/>
  <c r="P145" i="4"/>
  <c r="HX183" i="5" s="1"/>
  <c r="Q145" i="4"/>
  <c r="HY183" i="5" s="1"/>
  <c r="R145" i="4"/>
  <c r="HZ183" i="5" s="1"/>
  <c r="S145" i="4"/>
  <c r="IA183" i="5" s="1"/>
  <c r="T145" i="4"/>
  <c r="IB183" i="5" s="1"/>
  <c r="U145" i="4"/>
  <c r="IC183" i="5" s="1"/>
  <c r="V145" i="4"/>
  <c r="ID183" i="5" s="1"/>
  <c r="W145" i="4"/>
  <c r="IE183" i="5" s="1"/>
  <c r="G146" i="4"/>
  <c r="IL183" i="5" s="1"/>
  <c r="H146" i="4"/>
  <c r="IM183" i="5" s="1"/>
  <c r="I146" i="4"/>
  <c r="IN183" i="5" s="1"/>
  <c r="J146" i="4"/>
  <c r="IO183" i="5" s="1"/>
  <c r="K146" i="4"/>
  <c r="IP183" i="5" s="1"/>
  <c r="L146" i="4"/>
  <c r="IQ183" i="5" s="1"/>
  <c r="M146" i="4"/>
  <c r="IR183" i="5" s="1"/>
  <c r="N146" i="4"/>
  <c r="IS183" i="5" s="1"/>
  <c r="O146" i="4"/>
  <c r="IT183" i="5" s="1"/>
  <c r="P146" i="4"/>
  <c r="IU183" i="5" s="1"/>
  <c r="Q146" i="4"/>
  <c r="IV183" i="5" s="1"/>
  <c r="R146" i="4"/>
  <c r="F184" i="5" s="1"/>
  <c r="S146" i="4"/>
  <c r="G184" i="5" s="1"/>
  <c r="T146" i="4"/>
  <c r="H184" i="5" s="1"/>
  <c r="U146" i="4"/>
  <c r="I184" i="5" s="1"/>
  <c r="V146" i="4"/>
  <c r="J184" i="5" s="1"/>
  <c r="W146" i="4"/>
  <c r="K184" i="5" s="1"/>
  <c r="G147" i="4"/>
  <c r="R184" i="5" s="1"/>
  <c r="H147" i="4"/>
  <c r="S184" i="5" s="1"/>
  <c r="I147" i="4"/>
  <c r="T184" i="5" s="1"/>
  <c r="J147" i="4"/>
  <c r="U184" i="5" s="1"/>
  <c r="K147" i="4"/>
  <c r="V184" i="5" s="1"/>
  <c r="L147" i="4"/>
  <c r="W184" i="5" s="1"/>
  <c r="M147" i="4"/>
  <c r="X184" i="5" s="1"/>
  <c r="N147" i="4"/>
  <c r="Y184" i="5" s="1"/>
  <c r="O147" i="4"/>
  <c r="Z184" i="5" s="1"/>
  <c r="P147" i="4"/>
  <c r="AA184" i="5" s="1"/>
  <c r="Q147" i="4"/>
  <c r="AB184" i="5" s="1"/>
  <c r="R147" i="4"/>
  <c r="AC184" i="5" s="1"/>
  <c r="S147" i="4"/>
  <c r="AD184" i="5" s="1"/>
  <c r="T147" i="4"/>
  <c r="AE184" i="5" s="1"/>
  <c r="U147" i="4"/>
  <c r="AF184" i="5" s="1"/>
  <c r="V147" i="4"/>
  <c r="AG184" i="5" s="1"/>
  <c r="W147" i="4"/>
  <c r="AH184" i="5" s="1"/>
  <c r="G148" i="4"/>
  <c r="AO184" i="5" s="1"/>
  <c r="H148" i="4"/>
  <c r="AP184" i="5" s="1"/>
  <c r="I148" i="4"/>
  <c r="AQ184" i="5" s="1"/>
  <c r="J148" i="4"/>
  <c r="AR184" i="5" s="1"/>
  <c r="K148" i="4"/>
  <c r="AS184" i="5" s="1"/>
  <c r="L148" i="4"/>
  <c r="AT184" i="5" s="1"/>
  <c r="M148" i="4"/>
  <c r="AU184" i="5" s="1"/>
  <c r="N148" i="4"/>
  <c r="AV184" i="5" s="1"/>
  <c r="O148" i="4"/>
  <c r="AW184" i="5" s="1"/>
  <c r="P148" i="4"/>
  <c r="AX184" i="5" s="1"/>
  <c r="Q148" i="4"/>
  <c r="AY184" i="5" s="1"/>
  <c r="R148" i="4"/>
  <c r="AZ184" i="5" s="1"/>
  <c r="S148" i="4"/>
  <c r="BA184" i="5" s="1"/>
  <c r="T148" i="4"/>
  <c r="BB184" i="5" s="1"/>
  <c r="U148" i="4"/>
  <c r="BC184" i="5" s="1"/>
  <c r="V148" i="4"/>
  <c r="BD184" i="5" s="1"/>
  <c r="W148" i="4"/>
  <c r="BE184" i="5" s="1"/>
  <c r="G149" i="4"/>
  <c r="BL184" i="5" s="1"/>
  <c r="H149" i="4"/>
  <c r="BM184" i="5" s="1"/>
  <c r="I149" i="4"/>
  <c r="BN184" i="5" s="1"/>
  <c r="J149" i="4"/>
  <c r="BO184" i="5" s="1"/>
  <c r="K149" i="4"/>
  <c r="BP184" i="5" s="1"/>
  <c r="L149" i="4"/>
  <c r="BQ184" i="5" s="1"/>
  <c r="M149" i="4"/>
  <c r="BR184" i="5" s="1"/>
  <c r="N149" i="4"/>
  <c r="BS184" i="5" s="1"/>
  <c r="O149" i="4"/>
  <c r="BT184" i="5" s="1"/>
  <c r="P149" i="4"/>
  <c r="BU184" i="5" s="1"/>
  <c r="Q149" i="4"/>
  <c r="BV184" i="5" s="1"/>
  <c r="R149" i="4"/>
  <c r="BW184" i="5" s="1"/>
  <c r="S149" i="4"/>
  <c r="BX184" i="5" s="1"/>
  <c r="T149" i="4"/>
  <c r="BY184" i="5" s="1"/>
  <c r="U149" i="4"/>
  <c r="BZ184" i="5" s="1"/>
  <c r="V149" i="4"/>
  <c r="CA184" i="5" s="1"/>
  <c r="W149" i="4"/>
  <c r="CB184" i="5" s="1"/>
  <c r="G150" i="4"/>
  <c r="CI184" i="5" s="1"/>
  <c r="H150" i="4"/>
  <c r="CJ184" i="5" s="1"/>
  <c r="I150" i="4"/>
  <c r="CK184" i="5" s="1"/>
  <c r="J150" i="4"/>
  <c r="CL184" i="5" s="1"/>
  <c r="K150" i="4"/>
  <c r="CM184" i="5" s="1"/>
  <c r="L150" i="4"/>
  <c r="CN184" i="5" s="1"/>
  <c r="M150" i="4"/>
  <c r="CO184" i="5" s="1"/>
  <c r="N150" i="4"/>
  <c r="CP184" i="5" s="1"/>
  <c r="O150" i="4"/>
  <c r="CQ184" i="5" s="1"/>
  <c r="P150" i="4"/>
  <c r="CR184" i="5" s="1"/>
  <c r="Q150" i="4"/>
  <c r="CS184" i="5" s="1"/>
  <c r="R150" i="4"/>
  <c r="CT184" i="5" s="1"/>
  <c r="S150" i="4"/>
  <c r="CU184" i="5" s="1"/>
  <c r="T150" i="4"/>
  <c r="CV184" i="5" s="1"/>
  <c r="U150" i="4"/>
  <c r="CW184" i="5" s="1"/>
  <c r="V150" i="4"/>
  <c r="CX184" i="5" s="1"/>
  <c r="W150" i="4"/>
  <c r="CY184" i="5" s="1"/>
  <c r="G151" i="4"/>
  <c r="DF184" i="5" s="1"/>
  <c r="H151" i="4"/>
  <c r="DG184" i="5" s="1"/>
  <c r="I151" i="4"/>
  <c r="DH184" i="5" s="1"/>
  <c r="J151" i="4"/>
  <c r="DI184" i="5" s="1"/>
  <c r="K151" i="4"/>
  <c r="DJ184" i="5" s="1"/>
  <c r="L151" i="4"/>
  <c r="DK184" i="5" s="1"/>
  <c r="M151" i="4"/>
  <c r="DL184" i="5" s="1"/>
  <c r="N151" i="4"/>
  <c r="DM184" i="5" s="1"/>
  <c r="O151" i="4"/>
  <c r="DN184" i="5" s="1"/>
  <c r="P151" i="4"/>
  <c r="DO184" i="5" s="1"/>
  <c r="Q151" i="4"/>
  <c r="DP184" i="5" s="1"/>
  <c r="R151" i="4"/>
  <c r="DQ184" i="5" s="1"/>
  <c r="S151" i="4"/>
  <c r="DR184" i="5" s="1"/>
  <c r="T151" i="4"/>
  <c r="DS184" i="5" s="1"/>
  <c r="U151" i="4"/>
  <c r="DT184" i="5" s="1"/>
  <c r="V151" i="4"/>
  <c r="DU184" i="5" s="1"/>
  <c r="W151" i="4"/>
  <c r="DV184" i="5" s="1"/>
  <c r="G152" i="4"/>
  <c r="EC184" i="5" s="1"/>
  <c r="H152" i="4"/>
  <c r="ED184" i="5" s="1"/>
  <c r="I152" i="4"/>
  <c r="EE184" i="5" s="1"/>
  <c r="J152" i="4"/>
  <c r="EF184" i="5" s="1"/>
  <c r="K152" i="4"/>
  <c r="EG184" i="5" s="1"/>
  <c r="L152" i="4"/>
  <c r="EH184" i="5" s="1"/>
  <c r="M152" i="4"/>
  <c r="EI184" i="5" s="1"/>
  <c r="N152" i="4"/>
  <c r="EJ184" i="5" s="1"/>
  <c r="O152" i="4"/>
  <c r="EK184" i="5" s="1"/>
  <c r="P152" i="4"/>
  <c r="EL184" i="5" s="1"/>
  <c r="Q152" i="4"/>
  <c r="EM184" i="5" s="1"/>
  <c r="R152" i="4"/>
  <c r="EN184" i="5" s="1"/>
  <c r="S152" i="4"/>
  <c r="EO184" i="5" s="1"/>
  <c r="T152" i="4"/>
  <c r="EP184" i="5" s="1"/>
  <c r="U152" i="4"/>
  <c r="EQ184" i="5" s="1"/>
  <c r="V152" i="4"/>
  <c r="ER184" i="5" s="1"/>
  <c r="W152" i="4"/>
  <c r="ES184" i="5" s="1"/>
  <c r="G153" i="4"/>
  <c r="EZ184" i="5" s="1"/>
  <c r="H153" i="4"/>
  <c r="FA184" i="5" s="1"/>
  <c r="I153" i="4"/>
  <c r="FB184" i="5" s="1"/>
  <c r="J153" i="4"/>
  <c r="FC184" i="5" s="1"/>
  <c r="K153" i="4"/>
  <c r="FD184" i="5" s="1"/>
  <c r="L153" i="4"/>
  <c r="FE184" i="5" s="1"/>
  <c r="M153" i="4"/>
  <c r="FF184" i="5" s="1"/>
  <c r="N153" i="4"/>
  <c r="FG184" i="5" s="1"/>
  <c r="O153" i="4"/>
  <c r="FH184" i="5" s="1"/>
  <c r="P153" i="4"/>
  <c r="FI184" i="5" s="1"/>
  <c r="Q153" i="4"/>
  <c r="FJ184" i="5" s="1"/>
  <c r="R153" i="4"/>
  <c r="FK184" i="5" s="1"/>
  <c r="S153" i="4"/>
  <c r="FL184" i="5" s="1"/>
  <c r="T153" i="4"/>
  <c r="FM184" i="5" s="1"/>
  <c r="U153" i="4"/>
  <c r="FN184" i="5" s="1"/>
  <c r="V153" i="4"/>
  <c r="FO184" i="5" s="1"/>
  <c r="W153" i="4"/>
  <c r="FP184" i="5" s="1"/>
  <c r="G154" i="4"/>
  <c r="FW184" i="5" s="1"/>
  <c r="H154" i="4"/>
  <c r="FX184" i="5" s="1"/>
  <c r="I154" i="4"/>
  <c r="FY184" i="5" s="1"/>
  <c r="J154" i="4"/>
  <c r="FZ184" i="5" s="1"/>
  <c r="K154" i="4"/>
  <c r="GA184" i="5" s="1"/>
  <c r="L154" i="4"/>
  <c r="GB184" i="5" s="1"/>
  <c r="M154" i="4"/>
  <c r="GC184" i="5" s="1"/>
  <c r="N154" i="4"/>
  <c r="GD184" i="5" s="1"/>
  <c r="O154" i="4"/>
  <c r="GE184" i="5" s="1"/>
  <c r="P154" i="4"/>
  <c r="GF184" i="5" s="1"/>
  <c r="Q154" i="4"/>
  <c r="GG184" i="5" s="1"/>
  <c r="R154" i="4"/>
  <c r="GH184" i="5" s="1"/>
  <c r="S154" i="4"/>
  <c r="GI184" i="5" s="1"/>
  <c r="T154" i="4"/>
  <c r="GJ184" i="5" s="1"/>
  <c r="U154" i="4"/>
  <c r="GK184" i="5" s="1"/>
  <c r="V154" i="4"/>
  <c r="GL184" i="5" s="1"/>
  <c r="W154" i="4"/>
  <c r="GM184" i="5" s="1"/>
  <c r="G155" i="4"/>
  <c r="GT184" i="5" s="1"/>
  <c r="H155" i="4"/>
  <c r="GU184" i="5" s="1"/>
  <c r="I155" i="4"/>
  <c r="GV184" i="5" s="1"/>
  <c r="J155" i="4"/>
  <c r="GW184" i="5" s="1"/>
  <c r="K155" i="4"/>
  <c r="GX184" i="5" s="1"/>
  <c r="L155" i="4"/>
  <c r="GY184" i="5" s="1"/>
  <c r="M155" i="4"/>
  <c r="GZ184" i="5" s="1"/>
  <c r="N155" i="4"/>
  <c r="HA184" i="5" s="1"/>
  <c r="O155" i="4"/>
  <c r="HB184" i="5" s="1"/>
  <c r="P155" i="4"/>
  <c r="HC184" i="5" s="1"/>
  <c r="Q155" i="4"/>
  <c r="HD184" i="5" s="1"/>
  <c r="R155" i="4"/>
  <c r="HE184" i="5" s="1"/>
  <c r="S155" i="4"/>
  <c r="HF184" i="5" s="1"/>
  <c r="T155" i="4"/>
  <c r="HG184" i="5" s="1"/>
  <c r="U155" i="4"/>
  <c r="HH184" i="5" s="1"/>
  <c r="V155" i="4"/>
  <c r="HI184" i="5" s="1"/>
  <c r="W155" i="4"/>
  <c r="HJ184" i="5" s="1"/>
  <c r="G156" i="4"/>
  <c r="HQ184" i="5" s="1"/>
  <c r="H156" i="4"/>
  <c r="HR184" i="5" s="1"/>
  <c r="I156" i="4"/>
  <c r="HS184" i="5" s="1"/>
  <c r="J156" i="4"/>
  <c r="HT184" i="5" s="1"/>
  <c r="K156" i="4"/>
  <c r="HU184" i="5" s="1"/>
  <c r="L156" i="4"/>
  <c r="HV184" i="5" s="1"/>
  <c r="M156" i="4"/>
  <c r="HW184" i="5" s="1"/>
  <c r="N156" i="4"/>
  <c r="HX184" i="5" s="1"/>
  <c r="O156" i="4"/>
  <c r="HY184" i="5" s="1"/>
  <c r="P156" i="4"/>
  <c r="HZ184" i="5" s="1"/>
  <c r="Q156" i="4"/>
  <c r="IA184" i="5" s="1"/>
  <c r="R156" i="4"/>
  <c r="IB184" i="5" s="1"/>
  <c r="S156" i="4"/>
  <c r="IC184" i="5" s="1"/>
  <c r="T156" i="4"/>
  <c r="ID184" i="5" s="1"/>
  <c r="U156" i="4"/>
  <c r="IE184" i="5" s="1"/>
  <c r="V156" i="4"/>
  <c r="IF184" i="5" s="1"/>
  <c r="W156" i="4"/>
  <c r="IG184" i="5" s="1"/>
  <c r="G157" i="4"/>
  <c r="IN184" i="5" s="1"/>
  <c r="H157" i="4"/>
  <c r="IO184" i="5" s="1"/>
  <c r="I157" i="4"/>
  <c r="IP184" i="5" s="1"/>
  <c r="J157" i="4"/>
  <c r="IQ184" i="5" s="1"/>
  <c r="K157" i="4"/>
  <c r="IR184" i="5" s="1"/>
  <c r="L157" i="4"/>
  <c r="IS184" i="5" s="1"/>
  <c r="M157" i="4"/>
  <c r="IT184" i="5" s="1"/>
  <c r="N157" i="4"/>
  <c r="IU184" i="5" s="1"/>
  <c r="O157" i="4"/>
  <c r="IV184" i="5" s="1"/>
  <c r="P157" i="4"/>
  <c r="F185" i="5" s="1"/>
  <c r="Q157" i="4"/>
  <c r="G185" i="5" s="1"/>
  <c r="R157" i="4"/>
  <c r="H185" i="5" s="1"/>
  <c r="S157" i="4"/>
  <c r="I185" i="5" s="1"/>
  <c r="T157" i="4"/>
  <c r="J185" i="5" s="1"/>
  <c r="U157" i="4"/>
  <c r="K185" i="5" s="1"/>
  <c r="V157" i="4"/>
  <c r="L185" i="5" s="1"/>
  <c r="W157" i="4"/>
  <c r="M185" i="5" s="1"/>
  <c r="G158" i="4"/>
  <c r="T185" i="5" s="1"/>
  <c r="H158" i="4"/>
  <c r="U185" i="5" s="1"/>
  <c r="I158" i="4"/>
  <c r="V185" i="5" s="1"/>
  <c r="J158" i="4"/>
  <c r="W185" i="5" s="1"/>
  <c r="K158" i="4"/>
  <c r="X185" i="5" s="1"/>
  <c r="L158" i="4"/>
  <c r="Y185" i="5" s="1"/>
  <c r="M158" i="4"/>
  <c r="Z185" i="5" s="1"/>
  <c r="N158" i="4"/>
  <c r="AA185" i="5" s="1"/>
  <c r="O158" i="4"/>
  <c r="AB185" i="5" s="1"/>
  <c r="P158" i="4"/>
  <c r="AC185" i="5" s="1"/>
  <c r="Q158" i="4"/>
  <c r="AD185" i="5" s="1"/>
  <c r="R158" i="4"/>
  <c r="AE185" i="5" s="1"/>
  <c r="S158" i="4"/>
  <c r="AF185" i="5" s="1"/>
  <c r="T158" i="4"/>
  <c r="AG185" i="5" s="1"/>
  <c r="U158" i="4"/>
  <c r="AH185" i="5" s="1"/>
  <c r="V158" i="4"/>
  <c r="AI185" i="5" s="1"/>
  <c r="W158" i="4"/>
  <c r="AJ185" i="5" s="1"/>
  <c r="G159" i="4"/>
  <c r="AQ185" i="5" s="1"/>
  <c r="H159" i="4"/>
  <c r="AR185" i="5" s="1"/>
  <c r="I159" i="4"/>
  <c r="AS185" i="5" s="1"/>
  <c r="J159" i="4"/>
  <c r="AT185" i="5" s="1"/>
  <c r="K159" i="4"/>
  <c r="AU185" i="5" s="1"/>
  <c r="L159" i="4"/>
  <c r="AV185" i="5" s="1"/>
  <c r="M159" i="4"/>
  <c r="AW185" i="5" s="1"/>
  <c r="N159" i="4"/>
  <c r="AX185" i="5" s="1"/>
  <c r="O159" i="4"/>
  <c r="AY185" i="5" s="1"/>
  <c r="P159" i="4"/>
  <c r="AZ185" i="5" s="1"/>
  <c r="Q159" i="4"/>
  <c r="BA185" i="5" s="1"/>
  <c r="R159" i="4"/>
  <c r="BB185" i="5" s="1"/>
  <c r="S159" i="4"/>
  <c r="BC185" i="5" s="1"/>
  <c r="T159" i="4"/>
  <c r="BD185" i="5" s="1"/>
  <c r="U159" i="4"/>
  <c r="BE185" i="5" s="1"/>
  <c r="V159" i="4"/>
  <c r="BF185" i="5" s="1"/>
  <c r="W159" i="4"/>
  <c r="BG185" i="5" s="1"/>
  <c r="G160" i="4"/>
  <c r="BN185" i="5" s="1"/>
  <c r="H160" i="4"/>
  <c r="BO185" i="5" s="1"/>
  <c r="I160" i="4"/>
  <c r="BP185" i="5" s="1"/>
  <c r="J160" i="4"/>
  <c r="BQ185" i="5" s="1"/>
  <c r="K160" i="4"/>
  <c r="BR185" i="5" s="1"/>
  <c r="L160" i="4"/>
  <c r="BS185" i="5" s="1"/>
  <c r="M160" i="4"/>
  <c r="BT185" i="5" s="1"/>
  <c r="N160" i="4"/>
  <c r="BU185" i="5" s="1"/>
  <c r="O160" i="4"/>
  <c r="BV185" i="5" s="1"/>
  <c r="P160" i="4"/>
  <c r="BW185" i="5" s="1"/>
  <c r="Q160" i="4"/>
  <c r="BX185" i="5" s="1"/>
  <c r="R160" i="4"/>
  <c r="BY185" i="5" s="1"/>
  <c r="S160" i="4"/>
  <c r="BZ185" i="5" s="1"/>
  <c r="T160" i="4"/>
  <c r="CA185" i="5" s="1"/>
  <c r="U160" i="4"/>
  <c r="CB185" i="5" s="1"/>
  <c r="V160" i="4"/>
  <c r="CC185" i="5" s="1"/>
  <c r="W160" i="4"/>
  <c r="CD185" i="5" s="1"/>
  <c r="G161" i="4"/>
  <c r="CK185" i="5" s="1"/>
  <c r="H161" i="4"/>
  <c r="CL185" i="5" s="1"/>
  <c r="I161" i="4"/>
  <c r="CM185" i="5" s="1"/>
  <c r="J161" i="4"/>
  <c r="CN185" i="5" s="1"/>
  <c r="K161" i="4"/>
  <c r="CO185" i="5" s="1"/>
  <c r="L161" i="4"/>
  <c r="CP185" i="5" s="1"/>
  <c r="M161" i="4"/>
  <c r="CQ185" i="5" s="1"/>
  <c r="N161" i="4"/>
  <c r="CR185" i="5" s="1"/>
  <c r="O161" i="4"/>
  <c r="CS185" i="5" s="1"/>
  <c r="P161" i="4"/>
  <c r="CT185" i="5" s="1"/>
  <c r="Q161" i="4"/>
  <c r="CU185" i="5" s="1"/>
  <c r="R161" i="4"/>
  <c r="CV185" i="5" s="1"/>
  <c r="S161" i="4"/>
  <c r="CW185" i="5" s="1"/>
  <c r="T161" i="4"/>
  <c r="CX185" i="5" s="1"/>
  <c r="U161" i="4"/>
  <c r="CY185" i="5" s="1"/>
  <c r="V161" i="4"/>
  <c r="CZ185" i="5" s="1"/>
  <c r="W161" i="4"/>
  <c r="DA185" i="5" s="1"/>
  <c r="G162" i="4"/>
  <c r="DH185" i="5" s="1"/>
  <c r="H162" i="4"/>
  <c r="DI185" i="5" s="1"/>
  <c r="I162" i="4"/>
  <c r="DJ185" i="5" s="1"/>
  <c r="J162" i="4"/>
  <c r="DK185" i="5" s="1"/>
  <c r="K162" i="4"/>
  <c r="DL185" i="5" s="1"/>
  <c r="L162" i="4"/>
  <c r="DM185" i="5" s="1"/>
  <c r="M162" i="4"/>
  <c r="DN185" i="5" s="1"/>
  <c r="N162" i="4"/>
  <c r="DO185" i="5" s="1"/>
  <c r="O162" i="4"/>
  <c r="DP185" i="5" s="1"/>
  <c r="P162" i="4"/>
  <c r="DQ185" i="5" s="1"/>
  <c r="Q162" i="4"/>
  <c r="DR185" i="5" s="1"/>
  <c r="R162" i="4"/>
  <c r="DS185" i="5" s="1"/>
  <c r="S162" i="4"/>
  <c r="DT185" i="5" s="1"/>
  <c r="T162" i="4"/>
  <c r="DU185" i="5" s="1"/>
  <c r="U162" i="4"/>
  <c r="DV185" i="5" s="1"/>
  <c r="V162" i="4"/>
  <c r="DW185" i="5" s="1"/>
  <c r="W162" i="4"/>
  <c r="DX185" i="5" s="1"/>
  <c r="G163" i="4"/>
  <c r="EE185" i="5" s="1"/>
  <c r="H163" i="4"/>
  <c r="EF185" i="5" s="1"/>
  <c r="I163" i="4"/>
  <c r="EG185" i="5" s="1"/>
  <c r="J163" i="4"/>
  <c r="EH185" i="5" s="1"/>
  <c r="K163" i="4"/>
  <c r="EI185" i="5" s="1"/>
  <c r="L163" i="4"/>
  <c r="EJ185" i="5" s="1"/>
  <c r="M163" i="4"/>
  <c r="EK185" i="5" s="1"/>
  <c r="N163" i="4"/>
  <c r="EL185" i="5" s="1"/>
  <c r="O163" i="4"/>
  <c r="EM185" i="5" s="1"/>
  <c r="P163" i="4"/>
  <c r="EN185" i="5" s="1"/>
  <c r="Q163" i="4"/>
  <c r="EO185" i="5" s="1"/>
  <c r="R163" i="4"/>
  <c r="EP185" i="5" s="1"/>
  <c r="S163" i="4"/>
  <c r="EQ185" i="5" s="1"/>
  <c r="T163" i="4"/>
  <c r="ER185" i="5" s="1"/>
  <c r="U163" i="4"/>
  <c r="ES185" i="5" s="1"/>
  <c r="V163" i="4"/>
  <c r="ET185" i="5" s="1"/>
  <c r="W163" i="4"/>
  <c r="EU185" i="5" s="1"/>
  <c r="G164" i="4"/>
  <c r="FB185" i="5" s="1"/>
  <c r="H164" i="4"/>
  <c r="FC185" i="5" s="1"/>
  <c r="I164" i="4"/>
  <c r="FD185" i="5" s="1"/>
  <c r="J164" i="4"/>
  <c r="FE185" i="5" s="1"/>
  <c r="K164" i="4"/>
  <c r="FF185" i="5" s="1"/>
  <c r="L164" i="4"/>
  <c r="FG185" i="5" s="1"/>
  <c r="M164" i="4"/>
  <c r="FH185" i="5" s="1"/>
  <c r="N164" i="4"/>
  <c r="FI185" i="5" s="1"/>
  <c r="O164" i="4"/>
  <c r="FJ185" i="5" s="1"/>
  <c r="P164" i="4"/>
  <c r="FK185" i="5" s="1"/>
  <c r="Q164" i="4"/>
  <c r="FL185" i="5" s="1"/>
  <c r="R164" i="4"/>
  <c r="FM185" i="5" s="1"/>
  <c r="S164" i="4"/>
  <c r="FN185" i="5" s="1"/>
  <c r="T164" i="4"/>
  <c r="FO185" i="5" s="1"/>
  <c r="U164" i="4"/>
  <c r="FP185" i="5" s="1"/>
  <c r="V164" i="4"/>
  <c r="FQ185" i="5" s="1"/>
  <c r="W164" i="4"/>
  <c r="FR185" i="5" s="1"/>
  <c r="G165" i="4"/>
  <c r="FY185" i="5" s="1"/>
  <c r="H165" i="4"/>
  <c r="FZ185" i="5" s="1"/>
  <c r="I165" i="4"/>
  <c r="GA185" i="5" s="1"/>
  <c r="J165" i="4"/>
  <c r="GB185" i="5" s="1"/>
  <c r="K165" i="4"/>
  <c r="GC185" i="5" s="1"/>
  <c r="L165" i="4"/>
  <c r="GD185" i="5" s="1"/>
  <c r="M165" i="4"/>
  <c r="GE185" i="5" s="1"/>
  <c r="N165" i="4"/>
  <c r="GF185" i="5" s="1"/>
  <c r="O165" i="4"/>
  <c r="GG185" i="5" s="1"/>
  <c r="P165" i="4"/>
  <c r="GH185" i="5" s="1"/>
  <c r="Q165" i="4"/>
  <c r="GI185" i="5" s="1"/>
  <c r="R165" i="4"/>
  <c r="GJ185" i="5" s="1"/>
  <c r="S165" i="4"/>
  <c r="GK185" i="5" s="1"/>
  <c r="T165" i="4"/>
  <c r="GL185" i="5" s="1"/>
  <c r="U165" i="4"/>
  <c r="GM185" i="5" s="1"/>
  <c r="V165" i="4"/>
  <c r="GN185" i="5" s="1"/>
  <c r="W165" i="4"/>
  <c r="GO185" i="5" s="1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G167" i="4"/>
  <c r="HS185" i="5" s="1"/>
  <c r="H167" i="4"/>
  <c r="HT185" i="5" s="1"/>
  <c r="I167" i="4"/>
  <c r="HU185" i="5" s="1"/>
  <c r="J167" i="4"/>
  <c r="HV185" i="5" s="1"/>
  <c r="K167" i="4"/>
  <c r="HW185" i="5" s="1"/>
  <c r="L167" i="4"/>
  <c r="HX185" i="5" s="1"/>
  <c r="M167" i="4"/>
  <c r="HY185" i="5" s="1"/>
  <c r="N167" i="4"/>
  <c r="HZ185" i="5" s="1"/>
  <c r="O167" i="4"/>
  <c r="IA185" i="5" s="1"/>
  <c r="P167" i="4"/>
  <c r="IB185" i="5" s="1"/>
  <c r="Q167" i="4"/>
  <c r="IC185" i="5" s="1"/>
  <c r="R167" i="4"/>
  <c r="ID185" i="5" s="1"/>
  <c r="S167" i="4"/>
  <c r="IE185" i="5" s="1"/>
  <c r="T167" i="4"/>
  <c r="IF185" i="5" s="1"/>
  <c r="U167" i="4"/>
  <c r="IG185" i="5" s="1"/>
  <c r="V167" i="4"/>
  <c r="IH185" i="5" s="1"/>
  <c r="W167" i="4"/>
  <c r="II185" i="5" s="1"/>
  <c r="G168" i="4"/>
  <c r="IP185" i="5" s="1"/>
  <c r="H168" i="4"/>
  <c r="IQ185" i="5" s="1"/>
  <c r="I168" i="4"/>
  <c r="IR185" i="5" s="1"/>
  <c r="J168" i="4"/>
  <c r="IS185" i="5" s="1"/>
  <c r="K168" i="4"/>
  <c r="IT185" i="5" s="1"/>
  <c r="L168" i="4"/>
  <c r="IU185" i="5" s="1"/>
  <c r="M168" i="4"/>
  <c r="IV185" i="5" s="1"/>
  <c r="N168" i="4"/>
  <c r="F186" i="5" s="1"/>
  <c r="O168" i="4"/>
  <c r="G186" i="5" s="1"/>
  <c r="P168" i="4"/>
  <c r="H186" i="5" s="1"/>
  <c r="Q168" i="4"/>
  <c r="I186" i="5" s="1"/>
  <c r="R168" i="4"/>
  <c r="J186" i="5" s="1"/>
  <c r="S168" i="4"/>
  <c r="K186" i="5" s="1"/>
  <c r="T168" i="4"/>
  <c r="L186" i="5" s="1"/>
  <c r="U168" i="4"/>
  <c r="M186" i="5" s="1"/>
  <c r="V168" i="4"/>
  <c r="N186" i="5" s="1"/>
  <c r="W168" i="4"/>
  <c r="O186" i="5" s="1"/>
  <c r="G169" i="4"/>
  <c r="V186" i="5" s="1"/>
  <c r="H169" i="4"/>
  <c r="W186" i="5" s="1"/>
  <c r="I169" i="4"/>
  <c r="X186" i="5" s="1"/>
  <c r="J169" i="4"/>
  <c r="Y186" i="5" s="1"/>
  <c r="K169" i="4"/>
  <c r="Z186" i="5" s="1"/>
  <c r="L169" i="4"/>
  <c r="AA186" i="5" s="1"/>
  <c r="M169" i="4"/>
  <c r="AB186" i="5" s="1"/>
  <c r="N169" i="4"/>
  <c r="AC186" i="5" s="1"/>
  <c r="O169" i="4"/>
  <c r="AD186" i="5" s="1"/>
  <c r="P169" i="4"/>
  <c r="AE186" i="5" s="1"/>
  <c r="Q169" i="4"/>
  <c r="AF186" i="5" s="1"/>
  <c r="R169" i="4"/>
  <c r="AG186" i="5" s="1"/>
  <c r="S169" i="4"/>
  <c r="AH186" i="5" s="1"/>
  <c r="T169" i="4"/>
  <c r="AI186" i="5" s="1"/>
  <c r="U169" i="4"/>
  <c r="AJ186" i="5" s="1"/>
  <c r="V169" i="4"/>
  <c r="AK186" i="5" s="1"/>
  <c r="W169" i="4"/>
  <c r="AL186" i="5" s="1"/>
  <c r="G170" i="4"/>
  <c r="AS186" i="5" s="1"/>
  <c r="H170" i="4"/>
  <c r="AT186" i="5" s="1"/>
  <c r="I170" i="4"/>
  <c r="AU186" i="5" s="1"/>
  <c r="J170" i="4"/>
  <c r="AV186" i="5" s="1"/>
  <c r="K170" i="4"/>
  <c r="AW186" i="5" s="1"/>
  <c r="L170" i="4"/>
  <c r="AX186" i="5" s="1"/>
  <c r="M170" i="4"/>
  <c r="AY186" i="5" s="1"/>
  <c r="N170" i="4"/>
  <c r="AZ186" i="5" s="1"/>
  <c r="O170" i="4"/>
  <c r="BA186" i="5" s="1"/>
  <c r="P170" i="4"/>
  <c r="BB186" i="5" s="1"/>
  <c r="Q170" i="4"/>
  <c r="BC186" i="5" s="1"/>
  <c r="R170" i="4"/>
  <c r="BD186" i="5" s="1"/>
  <c r="S170" i="4"/>
  <c r="BE186" i="5" s="1"/>
  <c r="T170" i="4"/>
  <c r="BF186" i="5" s="1"/>
  <c r="U170" i="4"/>
  <c r="BG186" i="5" s="1"/>
  <c r="V170" i="4"/>
  <c r="BH186" i="5" s="1"/>
  <c r="W170" i="4"/>
  <c r="BI186" i="5" s="1"/>
  <c r="G171" i="4"/>
  <c r="BP186" i="5" s="1"/>
  <c r="H171" i="4"/>
  <c r="BQ186" i="5" s="1"/>
  <c r="I171" i="4"/>
  <c r="BR186" i="5" s="1"/>
  <c r="J171" i="4"/>
  <c r="BS186" i="5" s="1"/>
  <c r="K171" i="4"/>
  <c r="BT186" i="5" s="1"/>
  <c r="L171" i="4"/>
  <c r="BU186" i="5" s="1"/>
  <c r="M171" i="4"/>
  <c r="BV186" i="5" s="1"/>
  <c r="N171" i="4"/>
  <c r="BW186" i="5" s="1"/>
  <c r="O171" i="4"/>
  <c r="BX186" i="5" s="1"/>
  <c r="P171" i="4"/>
  <c r="BY186" i="5" s="1"/>
  <c r="Q171" i="4"/>
  <c r="BZ186" i="5" s="1"/>
  <c r="R171" i="4"/>
  <c r="CA186" i="5" s="1"/>
  <c r="S171" i="4"/>
  <c r="CB186" i="5" s="1"/>
  <c r="T171" i="4"/>
  <c r="CC186" i="5" s="1"/>
  <c r="U171" i="4"/>
  <c r="CD186" i="5" s="1"/>
  <c r="V171" i="4"/>
  <c r="CE186" i="5" s="1"/>
  <c r="W171" i="4"/>
  <c r="CF186" i="5" s="1"/>
  <c r="G172" i="4"/>
  <c r="CM186" i="5" s="1"/>
  <c r="H172" i="4"/>
  <c r="CN186" i="5" s="1"/>
  <c r="I172" i="4"/>
  <c r="CO186" i="5" s="1"/>
  <c r="J172" i="4"/>
  <c r="CP186" i="5" s="1"/>
  <c r="K172" i="4"/>
  <c r="CQ186" i="5" s="1"/>
  <c r="L172" i="4"/>
  <c r="CR186" i="5" s="1"/>
  <c r="M172" i="4"/>
  <c r="CS186" i="5" s="1"/>
  <c r="N172" i="4"/>
  <c r="CT186" i="5" s="1"/>
  <c r="O172" i="4"/>
  <c r="CU186" i="5" s="1"/>
  <c r="P172" i="4"/>
  <c r="CV186" i="5" s="1"/>
  <c r="Q172" i="4"/>
  <c r="CW186" i="5" s="1"/>
  <c r="R172" i="4"/>
  <c r="CX186" i="5" s="1"/>
  <c r="S172" i="4"/>
  <c r="CY186" i="5" s="1"/>
  <c r="T172" i="4"/>
  <c r="CZ186" i="5" s="1"/>
  <c r="U172" i="4"/>
  <c r="DA186" i="5" s="1"/>
  <c r="V172" i="4"/>
  <c r="DB186" i="5" s="1"/>
  <c r="W172" i="4"/>
  <c r="DC186" i="5" s="1"/>
  <c r="G173" i="4"/>
  <c r="DJ186" i="5" s="1"/>
  <c r="H173" i="4"/>
  <c r="DK186" i="5" s="1"/>
  <c r="I173" i="4"/>
  <c r="DL186" i="5" s="1"/>
  <c r="J173" i="4"/>
  <c r="DM186" i="5" s="1"/>
  <c r="K173" i="4"/>
  <c r="DN186" i="5" s="1"/>
  <c r="L173" i="4"/>
  <c r="DO186" i="5" s="1"/>
  <c r="M173" i="4"/>
  <c r="DP186" i="5" s="1"/>
  <c r="N173" i="4"/>
  <c r="DQ186" i="5" s="1"/>
  <c r="O173" i="4"/>
  <c r="DR186" i="5" s="1"/>
  <c r="P173" i="4"/>
  <c r="DS186" i="5" s="1"/>
  <c r="Q173" i="4"/>
  <c r="DT186" i="5" s="1"/>
  <c r="R173" i="4"/>
  <c r="DU186" i="5" s="1"/>
  <c r="S173" i="4"/>
  <c r="DV186" i="5" s="1"/>
  <c r="T173" i="4"/>
  <c r="DW186" i="5" s="1"/>
  <c r="U173" i="4"/>
  <c r="DX186" i="5" s="1"/>
  <c r="V173" i="4"/>
  <c r="DY186" i="5" s="1"/>
  <c r="W173" i="4"/>
  <c r="DZ186" i="5" s="1"/>
  <c r="G174" i="4"/>
  <c r="EG186" i="5" s="1"/>
  <c r="H174" i="4"/>
  <c r="EH186" i="5" s="1"/>
  <c r="I174" i="4"/>
  <c r="EI186" i="5" s="1"/>
  <c r="J174" i="4"/>
  <c r="EJ186" i="5" s="1"/>
  <c r="K174" i="4"/>
  <c r="EK186" i="5" s="1"/>
  <c r="L174" i="4"/>
  <c r="EL186" i="5" s="1"/>
  <c r="M174" i="4"/>
  <c r="EM186" i="5" s="1"/>
  <c r="N174" i="4"/>
  <c r="EN186" i="5" s="1"/>
  <c r="O174" i="4"/>
  <c r="EO186" i="5" s="1"/>
  <c r="P174" i="4"/>
  <c r="EP186" i="5" s="1"/>
  <c r="Q174" i="4"/>
  <c r="EQ186" i="5" s="1"/>
  <c r="R174" i="4"/>
  <c r="ER186" i="5" s="1"/>
  <c r="S174" i="4"/>
  <c r="ES186" i="5" s="1"/>
  <c r="T174" i="4"/>
  <c r="ET186" i="5" s="1"/>
  <c r="U174" i="4"/>
  <c r="EU186" i="5" s="1"/>
  <c r="V174" i="4"/>
  <c r="EV186" i="5" s="1"/>
  <c r="W174" i="4"/>
  <c r="EW186" i="5" s="1"/>
  <c r="G175" i="4"/>
  <c r="FD186" i="5" s="1"/>
  <c r="H175" i="4"/>
  <c r="FE186" i="5" s="1"/>
  <c r="I175" i="4"/>
  <c r="FF186" i="5" s="1"/>
  <c r="J175" i="4"/>
  <c r="FG186" i="5" s="1"/>
  <c r="K175" i="4"/>
  <c r="FH186" i="5" s="1"/>
  <c r="L175" i="4"/>
  <c r="FI186" i="5" s="1"/>
  <c r="M175" i="4"/>
  <c r="FJ186" i="5" s="1"/>
  <c r="N175" i="4"/>
  <c r="FK186" i="5" s="1"/>
  <c r="O175" i="4"/>
  <c r="FL186" i="5" s="1"/>
  <c r="P175" i="4"/>
  <c r="FM186" i="5" s="1"/>
  <c r="Q175" i="4"/>
  <c r="FN186" i="5" s="1"/>
  <c r="R175" i="4"/>
  <c r="FO186" i="5" s="1"/>
  <c r="S175" i="4"/>
  <c r="FP186" i="5" s="1"/>
  <c r="T175" i="4"/>
  <c r="FQ186" i="5" s="1"/>
  <c r="U175" i="4"/>
  <c r="FR186" i="5" s="1"/>
  <c r="V175" i="4"/>
  <c r="FS186" i="5" s="1"/>
  <c r="W175" i="4"/>
  <c r="FT186" i="5" s="1"/>
  <c r="G176" i="4"/>
  <c r="GA186" i="5" s="1"/>
  <c r="H176" i="4"/>
  <c r="GB186" i="5" s="1"/>
  <c r="I176" i="4"/>
  <c r="GC186" i="5" s="1"/>
  <c r="J176" i="4"/>
  <c r="GD186" i="5" s="1"/>
  <c r="K176" i="4"/>
  <c r="GE186" i="5" s="1"/>
  <c r="L176" i="4"/>
  <c r="GF186" i="5" s="1"/>
  <c r="M176" i="4"/>
  <c r="GG186" i="5" s="1"/>
  <c r="N176" i="4"/>
  <c r="GH186" i="5" s="1"/>
  <c r="O176" i="4"/>
  <c r="GI186" i="5" s="1"/>
  <c r="P176" i="4"/>
  <c r="GJ186" i="5" s="1"/>
  <c r="Q176" i="4"/>
  <c r="GK186" i="5" s="1"/>
  <c r="R176" i="4"/>
  <c r="GL186" i="5" s="1"/>
  <c r="S176" i="4"/>
  <c r="GM186" i="5" s="1"/>
  <c r="T176" i="4"/>
  <c r="GN186" i="5" s="1"/>
  <c r="U176" i="4"/>
  <c r="GO186" i="5" s="1"/>
  <c r="V176" i="4"/>
  <c r="GP186" i="5" s="1"/>
  <c r="W176" i="4"/>
  <c r="GQ186" i="5" s="1"/>
  <c r="G177" i="4"/>
  <c r="GX186" i="5" s="1"/>
  <c r="H177" i="4"/>
  <c r="GY186" i="5" s="1"/>
  <c r="I177" i="4"/>
  <c r="GZ186" i="5" s="1"/>
  <c r="J177" i="4"/>
  <c r="HA186" i="5" s="1"/>
  <c r="K177" i="4"/>
  <c r="HB186" i="5" s="1"/>
  <c r="L177" i="4"/>
  <c r="HC186" i="5" s="1"/>
  <c r="M177" i="4"/>
  <c r="HD186" i="5" s="1"/>
  <c r="N177" i="4"/>
  <c r="HE186" i="5" s="1"/>
  <c r="O177" i="4"/>
  <c r="HF186" i="5" s="1"/>
  <c r="P177" i="4"/>
  <c r="HG186" i="5" s="1"/>
  <c r="Q177" i="4"/>
  <c r="HH186" i="5" s="1"/>
  <c r="R177" i="4"/>
  <c r="HI186" i="5" s="1"/>
  <c r="S177" i="4"/>
  <c r="HJ186" i="5" s="1"/>
  <c r="T177" i="4"/>
  <c r="HK186" i="5" s="1"/>
  <c r="U177" i="4"/>
  <c r="HL186" i="5" s="1"/>
  <c r="V177" i="4"/>
  <c r="HM186" i="5" s="1"/>
  <c r="W177" i="4"/>
  <c r="HN186" i="5" s="1"/>
  <c r="G178" i="4"/>
  <c r="HU186" i="5" s="1"/>
  <c r="H178" i="4"/>
  <c r="HV186" i="5" s="1"/>
  <c r="I178" i="4"/>
  <c r="HW186" i="5" s="1"/>
  <c r="J178" i="4"/>
  <c r="HX186" i="5" s="1"/>
  <c r="K178" i="4"/>
  <c r="HY186" i="5" s="1"/>
  <c r="L178" i="4"/>
  <c r="HZ186" i="5" s="1"/>
  <c r="M178" i="4"/>
  <c r="IA186" i="5" s="1"/>
  <c r="N178" i="4"/>
  <c r="IB186" i="5" s="1"/>
  <c r="O178" i="4"/>
  <c r="IC186" i="5" s="1"/>
  <c r="P178" i="4"/>
  <c r="ID186" i="5" s="1"/>
  <c r="Q178" i="4"/>
  <c r="IE186" i="5" s="1"/>
  <c r="R178" i="4"/>
  <c r="IF186" i="5" s="1"/>
  <c r="S178" i="4"/>
  <c r="IG186" i="5" s="1"/>
  <c r="T178" i="4"/>
  <c r="IH186" i="5" s="1"/>
  <c r="U178" i="4"/>
  <c r="II186" i="5" s="1"/>
  <c r="V178" i="4"/>
  <c r="IJ186" i="5" s="1"/>
  <c r="W178" i="4"/>
  <c r="IK186" i="5" s="1"/>
  <c r="G179" i="4"/>
  <c r="IR186" i="5" s="1"/>
  <c r="H179" i="4"/>
  <c r="IS186" i="5" s="1"/>
  <c r="I179" i="4"/>
  <c r="IT186" i="5" s="1"/>
  <c r="J179" i="4"/>
  <c r="IU186" i="5" s="1"/>
  <c r="K179" i="4"/>
  <c r="IV186" i="5" s="1"/>
  <c r="L179" i="4"/>
  <c r="F187" i="5" s="1"/>
  <c r="M179" i="4"/>
  <c r="G187" i="5" s="1"/>
  <c r="N179" i="4"/>
  <c r="H187" i="5" s="1"/>
  <c r="O179" i="4"/>
  <c r="I187" i="5" s="1"/>
  <c r="P179" i="4"/>
  <c r="J187" i="5" s="1"/>
  <c r="Q179" i="4"/>
  <c r="K187" i="5" s="1"/>
  <c r="R179" i="4"/>
  <c r="L187" i="5" s="1"/>
  <c r="S179" i="4"/>
  <c r="M187" i="5" s="1"/>
  <c r="T179" i="4"/>
  <c r="N187" i="5" s="1"/>
  <c r="U179" i="4"/>
  <c r="O187" i="5" s="1"/>
  <c r="V179" i="4"/>
  <c r="P187" i="5" s="1"/>
  <c r="W179" i="4"/>
  <c r="Q187" i="5" s="1"/>
  <c r="G180" i="4"/>
  <c r="X187" i="5" s="1"/>
  <c r="H180" i="4"/>
  <c r="Y187" i="5" s="1"/>
  <c r="I180" i="4"/>
  <c r="Z187" i="5" s="1"/>
  <c r="J180" i="4"/>
  <c r="AA187" i="5" s="1"/>
  <c r="K180" i="4"/>
  <c r="AB187" i="5" s="1"/>
  <c r="L180" i="4"/>
  <c r="AC187" i="5" s="1"/>
  <c r="M180" i="4"/>
  <c r="AD187" i="5" s="1"/>
  <c r="N180" i="4"/>
  <c r="AE187" i="5" s="1"/>
  <c r="O180" i="4"/>
  <c r="AF187" i="5" s="1"/>
  <c r="P180" i="4"/>
  <c r="AG187" i="5" s="1"/>
  <c r="Q180" i="4"/>
  <c r="AH187" i="5" s="1"/>
  <c r="R180" i="4"/>
  <c r="AI187" i="5" s="1"/>
  <c r="S180" i="4"/>
  <c r="AJ187" i="5" s="1"/>
  <c r="T180" i="4"/>
  <c r="AK187" i="5" s="1"/>
  <c r="U180" i="4"/>
  <c r="AL187" i="5" s="1"/>
  <c r="V180" i="4"/>
  <c r="AM187" i="5" s="1"/>
  <c r="W180" i="4"/>
  <c r="AN187" i="5" s="1"/>
  <c r="G181" i="4"/>
  <c r="AU187" i="5" s="1"/>
  <c r="H181" i="4"/>
  <c r="AV187" i="5" s="1"/>
  <c r="I181" i="4"/>
  <c r="AW187" i="5" s="1"/>
  <c r="J181" i="4"/>
  <c r="AX187" i="5" s="1"/>
  <c r="K181" i="4"/>
  <c r="AY187" i="5" s="1"/>
  <c r="L181" i="4"/>
  <c r="AZ187" i="5" s="1"/>
  <c r="M181" i="4"/>
  <c r="BA187" i="5" s="1"/>
  <c r="N181" i="4"/>
  <c r="BB187" i="5" s="1"/>
  <c r="O181" i="4"/>
  <c r="BC187" i="5" s="1"/>
  <c r="P181" i="4"/>
  <c r="BD187" i="5" s="1"/>
  <c r="Q181" i="4"/>
  <c r="BE187" i="5" s="1"/>
  <c r="R181" i="4"/>
  <c r="BF187" i="5" s="1"/>
  <c r="S181" i="4"/>
  <c r="BG187" i="5" s="1"/>
  <c r="T181" i="4"/>
  <c r="BH187" i="5" s="1"/>
  <c r="U181" i="4"/>
  <c r="BI187" i="5" s="1"/>
  <c r="V181" i="4"/>
  <c r="BJ187" i="5" s="1"/>
  <c r="W181" i="4"/>
  <c r="BK187" i="5" s="1"/>
  <c r="G182" i="4"/>
  <c r="BR187" i="5" s="1"/>
  <c r="H182" i="4"/>
  <c r="BS187" i="5" s="1"/>
  <c r="I182" i="4"/>
  <c r="BT187" i="5" s="1"/>
  <c r="J182" i="4"/>
  <c r="BU187" i="5" s="1"/>
  <c r="K182" i="4"/>
  <c r="BV187" i="5" s="1"/>
  <c r="L182" i="4"/>
  <c r="BW187" i="5" s="1"/>
  <c r="M182" i="4"/>
  <c r="BX187" i="5" s="1"/>
  <c r="N182" i="4"/>
  <c r="BY187" i="5" s="1"/>
  <c r="O182" i="4"/>
  <c r="BZ187" i="5" s="1"/>
  <c r="P182" i="4"/>
  <c r="CA187" i="5" s="1"/>
  <c r="Q182" i="4"/>
  <c r="CB187" i="5" s="1"/>
  <c r="R182" i="4"/>
  <c r="CC187" i="5" s="1"/>
  <c r="S182" i="4"/>
  <c r="CD187" i="5" s="1"/>
  <c r="T182" i="4"/>
  <c r="CE187" i="5" s="1"/>
  <c r="U182" i="4"/>
  <c r="CF187" i="5" s="1"/>
  <c r="V182" i="4"/>
  <c r="CG187" i="5" s="1"/>
  <c r="W182" i="4"/>
  <c r="CH187" i="5" s="1"/>
  <c r="G183" i="4"/>
  <c r="CO187" i="5" s="1"/>
  <c r="H183" i="4"/>
  <c r="CP187" i="5" s="1"/>
  <c r="I183" i="4"/>
  <c r="CQ187" i="5" s="1"/>
  <c r="J183" i="4"/>
  <c r="CR187" i="5" s="1"/>
  <c r="K183" i="4"/>
  <c r="CS187" i="5" s="1"/>
  <c r="L183" i="4"/>
  <c r="CT187" i="5" s="1"/>
  <c r="M183" i="4"/>
  <c r="CU187" i="5" s="1"/>
  <c r="N183" i="4"/>
  <c r="CV187" i="5" s="1"/>
  <c r="O183" i="4"/>
  <c r="CW187" i="5" s="1"/>
  <c r="P183" i="4"/>
  <c r="CX187" i="5" s="1"/>
  <c r="Q183" i="4"/>
  <c r="CY187" i="5" s="1"/>
  <c r="R183" i="4"/>
  <c r="CZ187" i="5" s="1"/>
  <c r="S183" i="4"/>
  <c r="DA187" i="5" s="1"/>
  <c r="T183" i="4"/>
  <c r="DB187" i="5" s="1"/>
  <c r="U183" i="4"/>
  <c r="DC187" i="5" s="1"/>
  <c r="V183" i="4"/>
  <c r="DD187" i="5" s="1"/>
  <c r="W183" i="4"/>
  <c r="DE187" i="5" s="1"/>
  <c r="G184" i="4"/>
  <c r="DL187" i="5" s="1"/>
  <c r="H184" i="4"/>
  <c r="DM187" i="5" s="1"/>
  <c r="I184" i="4"/>
  <c r="DN187" i="5" s="1"/>
  <c r="J184" i="4"/>
  <c r="DO187" i="5" s="1"/>
  <c r="K184" i="4"/>
  <c r="DP187" i="5" s="1"/>
  <c r="L184" i="4"/>
  <c r="DQ187" i="5" s="1"/>
  <c r="M184" i="4"/>
  <c r="DR187" i="5" s="1"/>
  <c r="N184" i="4"/>
  <c r="DS187" i="5" s="1"/>
  <c r="O184" i="4"/>
  <c r="DT187" i="5" s="1"/>
  <c r="P184" i="4"/>
  <c r="DU187" i="5" s="1"/>
  <c r="Q184" i="4"/>
  <c r="DV187" i="5" s="1"/>
  <c r="R184" i="4"/>
  <c r="DW187" i="5" s="1"/>
  <c r="S184" i="4"/>
  <c r="DX187" i="5" s="1"/>
  <c r="T184" i="4"/>
  <c r="DY187" i="5" s="1"/>
  <c r="U184" i="4"/>
  <c r="DZ187" i="5" s="1"/>
  <c r="V184" i="4"/>
  <c r="EA187" i="5" s="1"/>
  <c r="W184" i="4"/>
  <c r="EB187" i="5" s="1"/>
  <c r="G185" i="4"/>
  <c r="EI187" i="5" s="1"/>
  <c r="H185" i="4"/>
  <c r="EJ187" i="5" s="1"/>
  <c r="I185" i="4"/>
  <c r="EK187" i="5" s="1"/>
  <c r="J185" i="4"/>
  <c r="EL187" i="5" s="1"/>
  <c r="K185" i="4"/>
  <c r="EM187" i="5" s="1"/>
  <c r="L185" i="4"/>
  <c r="EN187" i="5" s="1"/>
  <c r="M185" i="4"/>
  <c r="EO187" i="5" s="1"/>
  <c r="N185" i="4"/>
  <c r="EP187" i="5" s="1"/>
  <c r="O185" i="4"/>
  <c r="EQ187" i="5" s="1"/>
  <c r="P185" i="4"/>
  <c r="ER187" i="5" s="1"/>
  <c r="Q185" i="4"/>
  <c r="ES187" i="5" s="1"/>
  <c r="R185" i="4"/>
  <c r="ET187" i="5" s="1"/>
  <c r="S185" i="4"/>
  <c r="EU187" i="5" s="1"/>
  <c r="T185" i="4"/>
  <c r="EV187" i="5" s="1"/>
  <c r="U185" i="4"/>
  <c r="EW187" i="5" s="1"/>
  <c r="V185" i="4"/>
  <c r="EX187" i="5" s="1"/>
  <c r="W185" i="4"/>
  <c r="EY187" i="5" s="1"/>
  <c r="G186" i="4"/>
  <c r="FF187" i="5" s="1"/>
  <c r="H186" i="4"/>
  <c r="FG187" i="5" s="1"/>
  <c r="I186" i="4"/>
  <c r="FH187" i="5" s="1"/>
  <c r="J186" i="4"/>
  <c r="FI187" i="5" s="1"/>
  <c r="K186" i="4"/>
  <c r="FJ187" i="5" s="1"/>
  <c r="L186" i="4"/>
  <c r="FK187" i="5" s="1"/>
  <c r="M186" i="4"/>
  <c r="FL187" i="5" s="1"/>
  <c r="N186" i="4"/>
  <c r="FM187" i="5" s="1"/>
  <c r="O186" i="4"/>
  <c r="FN187" i="5" s="1"/>
  <c r="P186" i="4"/>
  <c r="FO187" i="5" s="1"/>
  <c r="Q186" i="4"/>
  <c r="FP187" i="5" s="1"/>
  <c r="R186" i="4"/>
  <c r="FQ187" i="5" s="1"/>
  <c r="S186" i="4"/>
  <c r="FR187" i="5" s="1"/>
  <c r="T186" i="4"/>
  <c r="FS187" i="5" s="1"/>
  <c r="U186" i="4"/>
  <c r="FT187" i="5" s="1"/>
  <c r="V186" i="4"/>
  <c r="FU187" i="5" s="1"/>
  <c r="W186" i="4"/>
  <c r="FV187" i="5" s="1"/>
  <c r="G187" i="4"/>
  <c r="GC187" i="5" s="1"/>
  <c r="H187" i="4"/>
  <c r="GD187" i="5" s="1"/>
  <c r="I187" i="4"/>
  <c r="GE187" i="5" s="1"/>
  <c r="J187" i="4"/>
  <c r="GF187" i="5" s="1"/>
  <c r="K187" i="4"/>
  <c r="GG187" i="5" s="1"/>
  <c r="L187" i="4"/>
  <c r="GH187" i="5" s="1"/>
  <c r="M187" i="4"/>
  <c r="GI187" i="5" s="1"/>
  <c r="N187" i="4"/>
  <c r="GJ187" i="5" s="1"/>
  <c r="O187" i="4"/>
  <c r="GK187" i="5" s="1"/>
  <c r="P187" i="4"/>
  <c r="GL187" i="5" s="1"/>
  <c r="Q187" i="4"/>
  <c r="GM187" i="5" s="1"/>
  <c r="R187" i="4"/>
  <c r="GN187" i="5" s="1"/>
  <c r="S187" i="4"/>
  <c r="GO187" i="5" s="1"/>
  <c r="T187" i="4"/>
  <c r="GP187" i="5" s="1"/>
  <c r="U187" i="4"/>
  <c r="GQ187" i="5" s="1"/>
  <c r="V187" i="4"/>
  <c r="GR187" i="5" s="1"/>
  <c r="W187" i="4"/>
  <c r="GS187" i="5" s="1"/>
  <c r="G188" i="4"/>
  <c r="GZ187" i="5" s="1"/>
  <c r="H188" i="4"/>
  <c r="HA187" i="5" s="1"/>
  <c r="I188" i="4"/>
  <c r="HB187" i="5" s="1"/>
  <c r="J188" i="4"/>
  <c r="HC187" i="5" s="1"/>
  <c r="K188" i="4"/>
  <c r="HD187" i="5" s="1"/>
  <c r="L188" i="4"/>
  <c r="HE187" i="5" s="1"/>
  <c r="M188" i="4"/>
  <c r="HF187" i="5" s="1"/>
  <c r="N188" i="4"/>
  <c r="HG187" i="5" s="1"/>
  <c r="O188" i="4"/>
  <c r="HH187" i="5" s="1"/>
  <c r="P188" i="4"/>
  <c r="HI187" i="5" s="1"/>
  <c r="Q188" i="4"/>
  <c r="HJ187" i="5" s="1"/>
  <c r="R188" i="4"/>
  <c r="HK187" i="5" s="1"/>
  <c r="S188" i="4"/>
  <c r="HL187" i="5" s="1"/>
  <c r="T188" i="4"/>
  <c r="HM187" i="5" s="1"/>
  <c r="U188" i="4"/>
  <c r="HN187" i="5" s="1"/>
  <c r="V188" i="4"/>
  <c r="HO187" i="5" s="1"/>
  <c r="W188" i="4"/>
  <c r="HP187" i="5" s="1"/>
  <c r="G189" i="4"/>
  <c r="HW187" i="5" s="1"/>
  <c r="H189" i="4"/>
  <c r="HX187" i="5" s="1"/>
  <c r="I189" i="4"/>
  <c r="HY187" i="5" s="1"/>
  <c r="J189" i="4"/>
  <c r="HZ187" i="5" s="1"/>
  <c r="K189" i="4"/>
  <c r="IA187" i="5" s="1"/>
  <c r="L189" i="4"/>
  <c r="IB187" i="5" s="1"/>
  <c r="M189" i="4"/>
  <c r="IC187" i="5" s="1"/>
  <c r="N189" i="4"/>
  <c r="ID187" i="5" s="1"/>
  <c r="O189" i="4"/>
  <c r="IE187" i="5" s="1"/>
  <c r="P189" i="4"/>
  <c r="IF187" i="5" s="1"/>
  <c r="Q189" i="4"/>
  <c r="IG187" i="5" s="1"/>
  <c r="R189" i="4"/>
  <c r="IH187" i="5" s="1"/>
  <c r="S189" i="4"/>
  <c r="II187" i="5" s="1"/>
  <c r="T189" i="4"/>
  <c r="IJ187" i="5" s="1"/>
  <c r="U189" i="4"/>
  <c r="IK187" i="5" s="1"/>
  <c r="V189" i="4"/>
  <c r="IL187" i="5" s="1"/>
  <c r="W189" i="4"/>
  <c r="IM187" i="5" s="1"/>
  <c r="G190" i="4"/>
  <c r="IT187" i="5" s="1"/>
  <c r="H190" i="4"/>
  <c r="IU187" i="5" s="1"/>
  <c r="I190" i="4"/>
  <c r="IV187" i="5" s="1"/>
  <c r="J190" i="4"/>
  <c r="F188" i="5" s="1"/>
  <c r="K190" i="4"/>
  <c r="G188" i="5" s="1"/>
  <c r="L190" i="4"/>
  <c r="H188" i="5" s="1"/>
  <c r="M190" i="4"/>
  <c r="I188" i="5" s="1"/>
  <c r="N190" i="4"/>
  <c r="J188" i="5" s="1"/>
  <c r="O190" i="4"/>
  <c r="K188" i="5" s="1"/>
  <c r="P190" i="4"/>
  <c r="L188" i="5" s="1"/>
  <c r="Q190" i="4"/>
  <c r="M188" i="5" s="1"/>
  <c r="R190" i="4"/>
  <c r="N188" i="5" s="1"/>
  <c r="S190" i="4"/>
  <c r="O188" i="5" s="1"/>
  <c r="T190" i="4"/>
  <c r="P188" i="5" s="1"/>
  <c r="U190" i="4"/>
  <c r="Q188" i="5" s="1"/>
  <c r="V190" i="4"/>
  <c r="R188" i="5" s="1"/>
  <c r="W190" i="4"/>
  <c r="S188" i="5" s="1"/>
  <c r="G191" i="4"/>
  <c r="Z188" i="5" s="1"/>
  <c r="H191" i="4"/>
  <c r="AA188" i="5" s="1"/>
  <c r="I191" i="4"/>
  <c r="AB188" i="5" s="1"/>
  <c r="J191" i="4"/>
  <c r="AC188" i="5" s="1"/>
  <c r="K191" i="4"/>
  <c r="AD188" i="5" s="1"/>
  <c r="L191" i="4"/>
  <c r="AE188" i="5" s="1"/>
  <c r="M191" i="4"/>
  <c r="AF188" i="5" s="1"/>
  <c r="N191" i="4"/>
  <c r="AG188" i="5" s="1"/>
  <c r="O191" i="4"/>
  <c r="AH188" i="5" s="1"/>
  <c r="P191" i="4"/>
  <c r="AI188" i="5" s="1"/>
  <c r="Q191" i="4"/>
  <c r="AJ188" i="5" s="1"/>
  <c r="R191" i="4"/>
  <c r="AK188" i="5" s="1"/>
  <c r="S191" i="4"/>
  <c r="AL188" i="5" s="1"/>
  <c r="T191" i="4"/>
  <c r="AM188" i="5" s="1"/>
  <c r="U191" i="4"/>
  <c r="AN188" i="5" s="1"/>
  <c r="V191" i="4"/>
  <c r="AO188" i="5" s="1"/>
  <c r="W191" i="4"/>
  <c r="AP188" i="5" s="1"/>
  <c r="G192" i="4"/>
  <c r="AW188" i="5" s="1"/>
  <c r="H192" i="4"/>
  <c r="AX188" i="5" s="1"/>
  <c r="I192" i="4"/>
  <c r="AY188" i="5" s="1"/>
  <c r="J192" i="4"/>
  <c r="AZ188" i="5" s="1"/>
  <c r="K192" i="4"/>
  <c r="BA188" i="5" s="1"/>
  <c r="L192" i="4"/>
  <c r="BB188" i="5" s="1"/>
  <c r="M192" i="4"/>
  <c r="BC188" i="5" s="1"/>
  <c r="N192" i="4"/>
  <c r="BD188" i="5" s="1"/>
  <c r="O192" i="4"/>
  <c r="BE188" i="5" s="1"/>
  <c r="P192" i="4"/>
  <c r="BF188" i="5" s="1"/>
  <c r="Q192" i="4"/>
  <c r="BG188" i="5" s="1"/>
  <c r="R192" i="4"/>
  <c r="BH188" i="5" s="1"/>
  <c r="S192" i="4"/>
  <c r="BI188" i="5" s="1"/>
  <c r="T192" i="4"/>
  <c r="BJ188" i="5" s="1"/>
  <c r="U192" i="4"/>
  <c r="BK188" i="5" s="1"/>
  <c r="V192" i="4"/>
  <c r="BL188" i="5" s="1"/>
  <c r="W192" i="4"/>
  <c r="BM188" i="5" s="1"/>
  <c r="G193" i="4"/>
  <c r="BT188" i="5" s="1"/>
  <c r="H193" i="4"/>
  <c r="BU188" i="5" s="1"/>
  <c r="I193" i="4"/>
  <c r="BV188" i="5" s="1"/>
  <c r="J193" i="4"/>
  <c r="BW188" i="5" s="1"/>
  <c r="K193" i="4"/>
  <c r="BX188" i="5" s="1"/>
  <c r="L193" i="4"/>
  <c r="BY188" i="5" s="1"/>
  <c r="M193" i="4"/>
  <c r="BZ188" i="5" s="1"/>
  <c r="N193" i="4"/>
  <c r="CA188" i="5" s="1"/>
  <c r="O193" i="4"/>
  <c r="CB188" i="5" s="1"/>
  <c r="P193" i="4"/>
  <c r="CC188" i="5" s="1"/>
  <c r="Q193" i="4"/>
  <c r="CD188" i="5" s="1"/>
  <c r="R193" i="4"/>
  <c r="CE188" i="5" s="1"/>
  <c r="S193" i="4"/>
  <c r="CF188" i="5" s="1"/>
  <c r="T193" i="4"/>
  <c r="CG188" i="5" s="1"/>
  <c r="U193" i="4"/>
  <c r="CH188" i="5" s="1"/>
  <c r="V193" i="4"/>
  <c r="CI188" i="5" s="1"/>
  <c r="W193" i="4"/>
  <c r="CJ188" i="5" s="1"/>
  <c r="G194" i="4"/>
  <c r="CQ188" i="5" s="1"/>
  <c r="H194" i="4"/>
  <c r="CR188" i="5" s="1"/>
  <c r="I194" i="4"/>
  <c r="CS188" i="5" s="1"/>
  <c r="J194" i="4"/>
  <c r="CT188" i="5" s="1"/>
  <c r="K194" i="4"/>
  <c r="CU188" i="5" s="1"/>
  <c r="L194" i="4"/>
  <c r="CV188" i="5" s="1"/>
  <c r="M194" i="4"/>
  <c r="CW188" i="5" s="1"/>
  <c r="N194" i="4"/>
  <c r="CX188" i="5" s="1"/>
  <c r="O194" i="4"/>
  <c r="CY188" i="5" s="1"/>
  <c r="P194" i="4"/>
  <c r="CZ188" i="5" s="1"/>
  <c r="Q194" i="4"/>
  <c r="DA188" i="5" s="1"/>
  <c r="R194" i="4"/>
  <c r="DB188" i="5" s="1"/>
  <c r="S194" i="4"/>
  <c r="DC188" i="5" s="1"/>
  <c r="T194" i="4"/>
  <c r="DD188" i="5" s="1"/>
  <c r="U194" i="4"/>
  <c r="DE188" i="5" s="1"/>
  <c r="V194" i="4"/>
  <c r="DF188" i="5" s="1"/>
  <c r="W194" i="4"/>
  <c r="DG188" i="5" s="1"/>
  <c r="G195" i="4"/>
  <c r="DN188" i="5" s="1"/>
  <c r="H195" i="4"/>
  <c r="DO188" i="5" s="1"/>
  <c r="I195" i="4"/>
  <c r="DP188" i="5" s="1"/>
  <c r="J195" i="4"/>
  <c r="DQ188" i="5" s="1"/>
  <c r="K195" i="4"/>
  <c r="DR188" i="5" s="1"/>
  <c r="L195" i="4"/>
  <c r="DS188" i="5" s="1"/>
  <c r="M195" i="4"/>
  <c r="DT188" i="5" s="1"/>
  <c r="N195" i="4"/>
  <c r="DU188" i="5" s="1"/>
  <c r="O195" i="4"/>
  <c r="DV188" i="5" s="1"/>
  <c r="P195" i="4"/>
  <c r="DW188" i="5" s="1"/>
  <c r="Q195" i="4"/>
  <c r="DX188" i="5" s="1"/>
  <c r="R195" i="4"/>
  <c r="DY188" i="5" s="1"/>
  <c r="S195" i="4"/>
  <c r="DZ188" i="5" s="1"/>
  <c r="T195" i="4"/>
  <c r="EA188" i="5" s="1"/>
  <c r="U195" i="4"/>
  <c r="EB188" i="5" s="1"/>
  <c r="V195" i="4"/>
  <c r="EC188" i="5" s="1"/>
  <c r="W195" i="4"/>
  <c r="ED188" i="5" s="1"/>
  <c r="G196" i="4"/>
  <c r="EK188" i="5" s="1"/>
  <c r="H196" i="4"/>
  <c r="EL188" i="5" s="1"/>
  <c r="I196" i="4"/>
  <c r="EM188" i="5" s="1"/>
  <c r="J196" i="4"/>
  <c r="EN188" i="5" s="1"/>
  <c r="K196" i="4"/>
  <c r="EO188" i="5" s="1"/>
  <c r="L196" i="4"/>
  <c r="EP188" i="5" s="1"/>
  <c r="M196" i="4"/>
  <c r="EQ188" i="5" s="1"/>
  <c r="N196" i="4"/>
  <c r="ER188" i="5" s="1"/>
  <c r="O196" i="4"/>
  <c r="ES188" i="5" s="1"/>
  <c r="P196" i="4"/>
  <c r="ET188" i="5" s="1"/>
  <c r="Q196" i="4"/>
  <c r="EU188" i="5" s="1"/>
  <c r="R196" i="4"/>
  <c r="EV188" i="5" s="1"/>
  <c r="S196" i="4"/>
  <c r="EW188" i="5" s="1"/>
  <c r="T196" i="4"/>
  <c r="EX188" i="5" s="1"/>
  <c r="U196" i="4"/>
  <c r="EY188" i="5" s="1"/>
  <c r="V196" i="4"/>
  <c r="EZ188" i="5" s="1"/>
  <c r="W196" i="4"/>
  <c r="FA188" i="5" s="1"/>
  <c r="G197" i="4"/>
  <c r="FH188" i="5" s="1"/>
  <c r="H197" i="4"/>
  <c r="FI188" i="5" s="1"/>
  <c r="I197" i="4"/>
  <c r="FJ188" i="5" s="1"/>
  <c r="J197" i="4"/>
  <c r="FK188" i="5" s="1"/>
  <c r="K197" i="4"/>
  <c r="FL188" i="5" s="1"/>
  <c r="L197" i="4"/>
  <c r="FM188" i="5" s="1"/>
  <c r="M197" i="4"/>
  <c r="FN188" i="5" s="1"/>
  <c r="N197" i="4"/>
  <c r="FO188" i="5" s="1"/>
  <c r="O197" i="4"/>
  <c r="FP188" i="5" s="1"/>
  <c r="P197" i="4"/>
  <c r="FQ188" i="5" s="1"/>
  <c r="Q197" i="4"/>
  <c r="FR188" i="5" s="1"/>
  <c r="R197" i="4"/>
  <c r="FS188" i="5" s="1"/>
  <c r="S197" i="4"/>
  <c r="FT188" i="5" s="1"/>
  <c r="T197" i="4"/>
  <c r="FU188" i="5" s="1"/>
  <c r="U197" i="4"/>
  <c r="FV188" i="5" s="1"/>
  <c r="V197" i="4"/>
  <c r="FW188" i="5" s="1"/>
  <c r="W197" i="4"/>
  <c r="FX188" i="5" s="1"/>
  <c r="G198" i="4"/>
  <c r="GE188" i="5" s="1"/>
  <c r="H198" i="4"/>
  <c r="GF188" i="5" s="1"/>
  <c r="I198" i="4"/>
  <c r="GG188" i="5" s="1"/>
  <c r="J198" i="4"/>
  <c r="GH188" i="5" s="1"/>
  <c r="K198" i="4"/>
  <c r="GI188" i="5" s="1"/>
  <c r="L198" i="4"/>
  <c r="GJ188" i="5" s="1"/>
  <c r="M198" i="4"/>
  <c r="GK188" i="5" s="1"/>
  <c r="N198" i="4"/>
  <c r="GL188" i="5" s="1"/>
  <c r="O198" i="4"/>
  <c r="GM188" i="5" s="1"/>
  <c r="P198" i="4"/>
  <c r="GN188" i="5" s="1"/>
  <c r="Q198" i="4"/>
  <c r="GO188" i="5" s="1"/>
  <c r="R198" i="4"/>
  <c r="GP188" i="5" s="1"/>
  <c r="S198" i="4"/>
  <c r="GQ188" i="5" s="1"/>
  <c r="T198" i="4"/>
  <c r="GR188" i="5" s="1"/>
  <c r="U198" i="4"/>
  <c r="GS188" i="5" s="1"/>
  <c r="V198" i="4"/>
  <c r="GT188" i="5" s="1"/>
  <c r="W198" i="4"/>
  <c r="GU188" i="5" s="1"/>
  <c r="G199" i="4"/>
  <c r="HB188" i="5" s="1"/>
  <c r="H199" i="4"/>
  <c r="HC188" i="5" s="1"/>
  <c r="I199" i="4"/>
  <c r="HD188" i="5" s="1"/>
  <c r="J199" i="4"/>
  <c r="HE188" i="5" s="1"/>
  <c r="K199" i="4"/>
  <c r="HF188" i="5" s="1"/>
  <c r="L199" i="4"/>
  <c r="HG188" i="5" s="1"/>
  <c r="M199" i="4"/>
  <c r="HH188" i="5" s="1"/>
  <c r="N199" i="4"/>
  <c r="HI188" i="5" s="1"/>
  <c r="O199" i="4"/>
  <c r="HJ188" i="5" s="1"/>
  <c r="P199" i="4"/>
  <c r="HK188" i="5" s="1"/>
  <c r="Q199" i="4"/>
  <c r="HL188" i="5" s="1"/>
  <c r="R199" i="4"/>
  <c r="HM188" i="5" s="1"/>
  <c r="S199" i="4"/>
  <c r="HN188" i="5" s="1"/>
  <c r="T199" i="4"/>
  <c r="HO188" i="5" s="1"/>
  <c r="U199" i="4"/>
  <c r="HP188" i="5" s="1"/>
  <c r="V199" i="4"/>
  <c r="HQ188" i="5" s="1"/>
  <c r="W199" i="4"/>
  <c r="HR188" i="5" s="1"/>
  <c r="G200" i="4"/>
  <c r="HY188" i="5" s="1"/>
  <c r="H200" i="4"/>
  <c r="HZ188" i="5" s="1"/>
  <c r="I200" i="4"/>
  <c r="IA188" i="5" s="1"/>
  <c r="J200" i="4"/>
  <c r="IB188" i="5" s="1"/>
  <c r="K200" i="4"/>
  <c r="IC188" i="5" s="1"/>
  <c r="L200" i="4"/>
  <c r="ID188" i="5" s="1"/>
  <c r="M200" i="4"/>
  <c r="IE188" i="5" s="1"/>
  <c r="N200" i="4"/>
  <c r="IF188" i="5" s="1"/>
  <c r="O200" i="4"/>
  <c r="IG188" i="5" s="1"/>
  <c r="P200" i="4"/>
  <c r="IH188" i="5" s="1"/>
  <c r="Q200" i="4"/>
  <c r="II188" i="5" s="1"/>
  <c r="R200" i="4"/>
  <c r="IJ188" i="5" s="1"/>
  <c r="S200" i="4"/>
  <c r="IK188" i="5" s="1"/>
  <c r="T200" i="4"/>
  <c r="IL188" i="5" s="1"/>
  <c r="U200" i="4"/>
  <c r="IM188" i="5" s="1"/>
  <c r="V200" i="4"/>
  <c r="IN188" i="5" s="1"/>
  <c r="W200" i="4"/>
  <c r="IO188" i="5" s="1"/>
  <c r="G201" i="4"/>
  <c r="IV188" i="5" s="1"/>
  <c r="H201" i="4"/>
  <c r="F189" i="5" s="1"/>
  <c r="I201" i="4"/>
  <c r="G189" i="5" s="1"/>
  <c r="J201" i="4"/>
  <c r="H189" i="5" s="1"/>
  <c r="K201" i="4"/>
  <c r="I189" i="5" s="1"/>
  <c r="L201" i="4"/>
  <c r="J189" i="5" s="1"/>
  <c r="M201" i="4"/>
  <c r="K189" i="5" s="1"/>
  <c r="N201" i="4"/>
  <c r="L189" i="5" s="1"/>
  <c r="O201" i="4"/>
  <c r="M189" i="5" s="1"/>
  <c r="P201" i="4"/>
  <c r="N189" i="5" s="1"/>
  <c r="Q201" i="4"/>
  <c r="O189" i="5" s="1"/>
  <c r="R201" i="4"/>
  <c r="P189" i="5" s="1"/>
  <c r="S201" i="4"/>
  <c r="Q189" i="5" s="1"/>
  <c r="T201" i="4"/>
  <c r="R189" i="5" s="1"/>
  <c r="U201" i="4"/>
  <c r="S189" i="5" s="1"/>
  <c r="V201" i="4"/>
  <c r="T189" i="5" s="1"/>
  <c r="W201" i="4"/>
  <c r="U189" i="5" s="1"/>
  <c r="G202" i="4"/>
  <c r="AB189" i="5" s="1"/>
  <c r="H202" i="4"/>
  <c r="AC189" i="5" s="1"/>
  <c r="I202" i="4"/>
  <c r="AD189" i="5" s="1"/>
  <c r="J202" i="4"/>
  <c r="AE189" i="5" s="1"/>
  <c r="K202" i="4"/>
  <c r="AF189" i="5" s="1"/>
  <c r="L202" i="4"/>
  <c r="AG189" i="5" s="1"/>
  <c r="M202" i="4"/>
  <c r="AH189" i="5" s="1"/>
  <c r="N202" i="4"/>
  <c r="AI189" i="5" s="1"/>
  <c r="O202" i="4"/>
  <c r="AJ189" i="5" s="1"/>
  <c r="P202" i="4"/>
  <c r="AK189" i="5" s="1"/>
  <c r="Q202" i="4"/>
  <c r="AL189" i="5" s="1"/>
  <c r="R202" i="4"/>
  <c r="AM189" i="5" s="1"/>
  <c r="S202" i="4"/>
  <c r="AN189" i="5" s="1"/>
  <c r="T202" i="4"/>
  <c r="AO189" i="5" s="1"/>
  <c r="U202" i="4"/>
  <c r="AP189" i="5" s="1"/>
  <c r="V202" i="4"/>
  <c r="AQ189" i="5" s="1"/>
  <c r="W202" i="4"/>
  <c r="AR189" i="5" s="1"/>
  <c r="G203" i="4"/>
  <c r="AY189" i="5" s="1"/>
  <c r="H203" i="4"/>
  <c r="AZ189" i="5" s="1"/>
  <c r="I203" i="4"/>
  <c r="BA189" i="5" s="1"/>
  <c r="J203" i="4"/>
  <c r="BB189" i="5" s="1"/>
  <c r="K203" i="4"/>
  <c r="BC189" i="5" s="1"/>
  <c r="L203" i="4"/>
  <c r="BD189" i="5" s="1"/>
  <c r="M203" i="4"/>
  <c r="BE189" i="5" s="1"/>
  <c r="N203" i="4"/>
  <c r="BF189" i="5" s="1"/>
  <c r="O203" i="4"/>
  <c r="BG189" i="5" s="1"/>
  <c r="P203" i="4"/>
  <c r="BH189" i="5" s="1"/>
  <c r="Q203" i="4"/>
  <c r="BI189" i="5" s="1"/>
  <c r="R203" i="4"/>
  <c r="BJ189" i="5" s="1"/>
  <c r="S203" i="4"/>
  <c r="BK189" i="5" s="1"/>
  <c r="T203" i="4"/>
  <c r="BL189" i="5" s="1"/>
  <c r="U203" i="4"/>
  <c r="BM189" i="5" s="1"/>
  <c r="V203" i="4"/>
  <c r="BN189" i="5" s="1"/>
  <c r="W203" i="4"/>
  <c r="BO189" i="5" s="1"/>
  <c r="G204" i="4"/>
  <c r="BV189" i="5" s="1"/>
  <c r="H204" i="4"/>
  <c r="BW189" i="5" s="1"/>
  <c r="I204" i="4"/>
  <c r="BX189" i="5" s="1"/>
  <c r="J204" i="4"/>
  <c r="BY189" i="5" s="1"/>
  <c r="K204" i="4"/>
  <c r="BZ189" i="5" s="1"/>
  <c r="L204" i="4"/>
  <c r="CA189" i="5" s="1"/>
  <c r="M204" i="4"/>
  <c r="CB189" i="5" s="1"/>
  <c r="N204" i="4"/>
  <c r="CC189" i="5" s="1"/>
  <c r="O204" i="4"/>
  <c r="CD189" i="5" s="1"/>
  <c r="P204" i="4"/>
  <c r="CE189" i="5" s="1"/>
  <c r="Q204" i="4"/>
  <c r="CF189" i="5" s="1"/>
  <c r="R204" i="4"/>
  <c r="CG189" i="5" s="1"/>
  <c r="S204" i="4"/>
  <c r="CH189" i="5" s="1"/>
  <c r="T204" i="4"/>
  <c r="CI189" i="5" s="1"/>
  <c r="U204" i="4"/>
  <c r="CJ189" i="5" s="1"/>
  <c r="V204" i="4"/>
  <c r="CK189" i="5" s="1"/>
  <c r="W204" i="4"/>
  <c r="CL189" i="5" s="1"/>
  <c r="G205" i="4"/>
  <c r="CS189" i="5" s="1"/>
  <c r="H205" i="4"/>
  <c r="CT189" i="5" s="1"/>
  <c r="I205" i="4"/>
  <c r="CU189" i="5" s="1"/>
  <c r="J205" i="4"/>
  <c r="CV189" i="5" s="1"/>
  <c r="K205" i="4"/>
  <c r="CW189" i="5" s="1"/>
  <c r="L205" i="4"/>
  <c r="CX189" i="5" s="1"/>
  <c r="M205" i="4"/>
  <c r="CY189" i="5" s="1"/>
  <c r="N205" i="4"/>
  <c r="CZ189" i="5" s="1"/>
  <c r="O205" i="4"/>
  <c r="DA189" i="5" s="1"/>
  <c r="P205" i="4"/>
  <c r="DB189" i="5" s="1"/>
  <c r="Q205" i="4"/>
  <c r="DC189" i="5" s="1"/>
  <c r="R205" i="4"/>
  <c r="DD189" i="5" s="1"/>
  <c r="S205" i="4"/>
  <c r="DE189" i="5" s="1"/>
  <c r="T205" i="4"/>
  <c r="DF189" i="5" s="1"/>
  <c r="U205" i="4"/>
  <c r="DG189" i="5" s="1"/>
  <c r="V205" i="4"/>
  <c r="DH189" i="5" s="1"/>
  <c r="W205" i="4"/>
  <c r="DI189" i="5" s="1"/>
  <c r="G206" i="4"/>
  <c r="DP189" i="5" s="1"/>
  <c r="H206" i="4"/>
  <c r="DQ189" i="5" s="1"/>
  <c r="I206" i="4"/>
  <c r="DR189" i="5" s="1"/>
  <c r="J206" i="4"/>
  <c r="DS189" i="5" s="1"/>
  <c r="K206" i="4"/>
  <c r="DT189" i="5" s="1"/>
  <c r="L206" i="4"/>
  <c r="DU189" i="5" s="1"/>
  <c r="M206" i="4"/>
  <c r="DV189" i="5" s="1"/>
  <c r="N206" i="4"/>
  <c r="DW189" i="5" s="1"/>
  <c r="O206" i="4"/>
  <c r="DX189" i="5" s="1"/>
  <c r="P206" i="4"/>
  <c r="DY189" i="5" s="1"/>
  <c r="Q206" i="4"/>
  <c r="DZ189" i="5" s="1"/>
  <c r="R206" i="4"/>
  <c r="EA189" i="5" s="1"/>
  <c r="S206" i="4"/>
  <c r="EB189" i="5" s="1"/>
  <c r="T206" i="4"/>
  <c r="EC189" i="5" s="1"/>
  <c r="U206" i="4"/>
  <c r="ED189" i="5" s="1"/>
  <c r="V206" i="4"/>
  <c r="EE189" i="5" s="1"/>
  <c r="W206" i="4"/>
  <c r="EF189" i="5" s="1"/>
  <c r="G207" i="4"/>
  <c r="EM189" i="5" s="1"/>
  <c r="H207" i="4"/>
  <c r="EN189" i="5" s="1"/>
  <c r="I207" i="4"/>
  <c r="EO189" i="5" s="1"/>
  <c r="J207" i="4"/>
  <c r="EP189" i="5" s="1"/>
  <c r="K207" i="4"/>
  <c r="EQ189" i="5" s="1"/>
  <c r="L207" i="4"/>
  <c r="ER189" i="5" s="1"/>
  <c r="M207" i="4"/>
  <c r="ES189" i="5" s="1"/>
  <c r="N207" i="4"/>
  <c r="ET189" i="5" s="1"/>
  <c r="O207" i="4"/>
  <c r="EU189" i="5" s="1"/>
  <c r="P207" i="4"/>
  <c r="EV189" i="5" s="1"/>
  <c r="Q207" i="4"/>
  <c r="EW189" i="5" s="1"/>
  <c r="R207" i="4"/>
  <c r="EX189" i="5" s="1"/>
  <c r="S207" i="4"/>
  <c r="EY189" i="5" s="1"/>
  <c r="T207" i="4"/>
  <c r="EZ189" i="5" s="1"/>
  <c r="U207" i="4"/>
  <c r="FA189" i="5" s="1"/>
  <c r="V207" i="4"/>
  <c r="FB189" i="5" s="1"/>
  <c r="W207" i="4"/>
  <c r="FC189" i="5" s="1"/>
  <c r="G208" i="4"/>
  <c r="FJ189" i="5" s="1"/>
  <c r="H208" i="4"/>
  <c r="FK189" i="5" s="1"/>
  <c r="I208" i="4"/>
  <c r="FL189" i="5" s="1"/>
  <c r="J208" i="4"/>
  <c r="FM189" i="5" s="1"/>
  <c r="K208" i="4"/>
  <c r="FN189" i="5" s="1"/>
  <c r="L208" i="4"/>
  <c r="FO189" i="5" s="1"/>
  <c r="M208" i="4"/>
  <c r="FP189" i="5" s="1"/>
  <c r="N208" i="4"/>
  <c r="FQ189" i="5" s="1"/>
  <c r="O208" i="4"/>
  <c r="FR189" i="5" s="1"/>
  <c r="P208" i="4"/>
  <c r="FS189" i="5" s="1"/>
  <c r="Q208" i="4"/>
  <c r="FT189" i="5" s="1"/>
  <c r="R208" i="4"/>
  <c r="FU189" i="5" s="1"/>
  <c r="S208" i="4"/>
  <c r="FV189" i="5" s="1"/>
  <c r="T208" i="4"/>
  <c r="FW189" i="5" s="1"/>
  <c r="U208" i="4"/>
  <c r="FX189" i="5" s="1"/>
  <c r="V208" i="4"/>
  <c r="FY189" i="5" s="1"/>
  <c r="W208" i="4"/>
  <c r="FZ189" i="5" s="1"/>
  <c r="G209" i="4"/>
  <c r="GG189" i="5" s="1"/>
  <c r="H209" i="4"/>
  <c r="GH189" i="5" s="1"/>
  <c r="I209" i="4"/>
  <c r="GI189" i="5" s="1"/>
  <c r="J209" i="4"/>
  <c r="GJ189" i="5" s="1"/>
  <c r="K209" i="4"/>
  <c r="GK189" i="5" s="1"/>
  <c r="L209" i="4"/>
  <c r="GL189" i="5" s="1"/>
  <c r="M209" i="4"/>
  <c r="GM189" i="5" s="1"/>
  <c r="N209" i="4"/>
  <c r="GN189" i="5" s="1"/>
  <c r="O209" i="4"/>
  <c r="GO189" i="5" s="1"/>
  <c r="P209" i="4"/>
  <c r="GP189" i="5" s="1"/>
  <c r="Q209" i="4"/>
  <c r="GQ189" i="5" s="1"/>
  <c r="R209" i="4"/>
  <c r="GR189" i="5" s="1"/>
  <c r="S209" i="4"/>
  <c r="GS189" i="5" s="1"/>
  <c r="T209" i="4"/>
  <c r="GT189" i="5" s="1"/>
  <c r="U209" i="4"/>
  <c r="GU189" i="5" s="1"/>
  <c r="V209" i="4"/>
  <c r="GV189" i="5" s="1"/>
  <c r="W209" i="4"/>
  <c r="GW189" i="5" s="1"/>
  <c r="G210" i="4"/>
  <c r="HD189" i="5" s="1"/>
  <c r="H210" i="4"/>
  <c r="HE189" i="5" s="1"/>
  <c r="I210" i="4"/>
  <c r="HF189" i="5" s="1"/>
  <c r="J210" i="4"/>
  <c r="HG189" i="5" s="1"/>
  <c r="K210" i="4"/>
  <c r="HH189" i="5" s="1"/>
  <c r="L210" i="4"/>
  <c r="HI189" i="5" s="1"/>
  <c r="M210" i="4"/>
  <c r="HJ189" i="5" s="1"/>
  <c r="N210" i="4"/>
  <c r="HK189" i="5" s="1"/>
  <c r="O210" i="4"/>
  <c r="HL189" i="5" s="1"/>
  <c r="P210" i="4"/>
  <c r="HM189" i="5" s="1"/>
  <c r="Q210" i="4"/>
  <c r="HN189" i="5" s="1"/>
  <c r="R210" i="4"/>
  <c r="HO189" i="5" s="1"/>
  <c r="S210" i="4"/>
  <c r="HP189" i="5" s="1"/>
  <c r="T210" i="4"/>
  <c r="HQ189" i="5" s="1"/>
  <c r="U210" i="4"/>
  <c r="HR189" i="5" s="1"/>
  <c r="V210" i="4"/>
  <c r="HS189" i="5" s="1"/>
  <c r="W210" i="4"/>
  <c r="HT189" i="5" s="1"/>
  <c r="G211" i="4"/>
  <c r="IA189" i="5" s="1"/>
  <c r="H211" i="4"/>
  <c r="IB189" i="5" s="1"/>
  <c r="I211" i="4"/>
  <c r="IC189" i="5" s="1"/>
  <c r="J211" i="4"/>
  <c r="ID189" i="5" s="1"/>
  <c r="K211" i="4"/>
  <c r="IE189" i="5" s="1"/>
  <c r="L211" i="4"/>
  <c r="IF189" i="5" s="1"/>
  <c r="M211" i="4"/>
  <c r="IG189" i="5" s="1"/>
  <c r="N211" i="4"/>
  <c r="IH189" i="5" s="1"/>
  <c r="O211" i="4"/>
  <c r="II189" i="5" s="1"/>
  <c r="P211" i="4"/>
  <c r="IJ189" i="5" s="1"/>
  <c r="Q211" i="4"/>
  <c r="IK189" i="5" s="1"/>
  <c r="R211" i="4"/>
  <c r="IL189" i="5" s="1"/>
  <c r="S211" i="4"/>
  <c r="IM189" i="5" s="1"/>
  <c r="T211" i="4"/>
  <c r="IN189" i="5" s="1"/>
  <c r="U211" i="4"/>
  <c r="IO189" i="5" s="1"/>
  <c r="V211" i="4"/>
  <c r="IP189" i="5" s="1"/>
  <c r="W211" i="4"/>
  <c r="IQ189" i="5" s="1"/>
  <c r="G212" i="4"/>
  <c r="G190" i="5" s="1"/>
  <c r="H212" i="4"/>
  <c r="H190" i="5" s="1"/>
  <c r="I212" i="4"/>
  <c r="I190" i="5" s="1"/>
  <c r="J212" i="4"/>
  <c r="J190" i="5" s="1"/>
  <c r="K212" i="4"/>
  <c r="K190" i="5" s="1"/>
  <c r="L212" i="4"/>
  <c r="L190" i="5" s="1"/>
  <c r="M212" i="4"/>
  <c r="M190" i="5" s="1"/>
  <c r="N212" i="4"/>
  <c r="N190" i="5" s="1"/>
  <c r="O212" i="4"/>
  <c r="O190" i="5" s="1"/>
  <c r="P212" i="4"/>
  <c r="P190" i="5" s="1"/>
  <c r="Q212" i="4"/>
  <c r="Q190" i="5" s="1"/>
  <c r="R212" i="4"/>
  <c r="R190" i="5" s="1"/>
  <c r="S212" i="4"/>
  <c r="S190" i="5" s="1"/>
  <c r="T212" i="4"/>
  <c r="T190" i="5" s="1"/>
  <c r="U212" i="4"/>
  <c r="U190" i="5" s="1"/>
  <c r="V212" i="4"/>
  <c r="V190" i="5" s="1"/>
  <c r="W212" i="4"/>
  <c r="W190" i="5" s="1"/>
  <c r="G213" i="4"/>
  <c r="AD190" i="5" s="1"/>
  <c r="H213" i="4"/>
  <c r="AE190" i="5" s="1"/>
  <c r="I213" i="4"/>
  <c r="AF190" i="5" s="1"/>
  <c r="J213" i="4"/>
  <c r="AG190" i="5" s="1"/>
  <c r="K213" i="4"/>
  <c r="AH190" i="5" s="1"/>
  <c r="L213" i="4"/>
  <c r="AI190" i="5" s="1"/>
  <c r="M213" i="4"/>
  <c r="AJ190" i="5" s="1"/>
  <c r="N213" i="4"/>
  <c r="AK190" i="5" s="1"/>
  <c r="O213" i="4"/>
  <c r="AL190" i="5" s="1"/>
  <c r="P213" i="4"/>
  <c r="AM190" i="5" s="1"/>
  <c r="Q213" i="4"/>
  <c r="AN190" i="5" s="1"/>
  <c r="R213" i="4"/>
  <c r="AO190" i="5" s="1"/>
  <c r="S213" i="4"/>
  <c r="AP190" i="5" s="1"/>
  <c r="T213" i="4"/>
  <c r="AQ190" i="5" s="1"/>
  <c r="U213" i="4"/>
  <c r="AR190" i="5" s="1"/>
  <c r="V213" i="4"/>
  <c r="AS190" i="5" s="1"/>
  <c r="W213" i="4"/>
  <c r="AT190" i="5" s="1"/>
  <c r="G214" i="4"/>
  <c r="BA190" i="5" s="1"/>
  <c r="H214" i="4"/>
  <c r="BB190" i="5" s="1"/>
  <c r="I214" i="4"/>
  <c r="BC190" i="5" s="1"/>
  <c r="J214" i="4"/>
  <c r="BD190" i="5" s="1"/>
  <c r="K214" i="4"/>
  <c r="BE190" i="5" s="1"/>
  <c r="L214" i="4"/>
  <c r="BF190" i="5" s="1"/>
  <c r="M214" i="4"/>
  <c r="BG190" i="5" s="1"/>
  <c r="N214" i="4"/>
  <c r="BH190" i="5" s="1"/>
  <c r="O214" i="4"/>
  <c r="BI190" i="5" s="1"/>
  <c r="P214" i="4"/>
  <c r="BJ190" i="5" s="1"/>
  <c r="Q214" i="4"/>
  <c r="BK190" i="5" s="1"/>
  <c r="R214" i="4"/>
  <c r="BL190" i="5" s="1"/>
  <c r="S214" i="4"/>
  <c r="BM190" i="5" s="1"/>
  <c r="T214" i="4"/>
  <c r="BN190" i="5" s="1"/>
  <c r="U214" i="4"/>
  <c r="BO190" i="5" s="1"/>
  <c r="V214" i="4"/>
  <c r="BP190" i="5" s="1"/>
  <c r="W214" i="4"/>
  <c r="BQ190" i="5" s="1"/>
  <c r="G215" i="4"/>
  <c r="BX190" i="5" s="1"/>
  <c r="H215" i="4"/>
  <c r="BY190" i="5" s="1"/>
  <c r="I215" i="4"/>
  <c r="BZ190" i="5" s="1"/>
  <c r="J215" i="4"/>
  <c r="CA190" i="5" s="1"/>
  <c r="K215" i="4"/>
  <c r="CB190" i="5" s="1"/>
  <c r="L215" i="4"/>
  <c r="CC190" i="5" s="1"/>
  <c r="M215" i="4"/>
  <c r="CD190" i="5" s="1"/>
  <c r="N215" i="4"/>
  <c r="CE190" i="5" s="1"/>
  <c r="O215" i="4"/>
  <c r="CF190" i="5" s="1"/>
  <c r="P215" i="4"/>
  <c r="CG190" i="5" s="1"/>
  <c r="Q215" i="4"/>
  <c r="CH190" i="5" s="1"/>
  <c r="R215" i="4"/>
  <c r="CI190" i="5" s="1"/>
  <c r="S215" i="4"/>
  <c r="CJ190" i="5" s="1"/>
  <c r="T215" i="4"/>
  <c r="CK190" i="5" s="1"/>
  <c r="U215" i="4"/>
  <c r="CL190" i="5" s="1"/>
  <c r="V215" i="4"/>
  <c r="CM190" i="5" s="1"/>
  <c r="W215" i="4"/>
  <c r="CN190" i="5" s="1"/>
  <c r="G216" i="4"/>
  <c r="CU190" i="5" s="1"/>
  <c r="H216" i="4"/>
  <c r="CV190" i="5" s="1"/>
  <c r="I216" i="4"/>
  <c r="CW190" i="5" s="1"/>
  <c r="J216" i="4"/>
  <c r="CX190" i="5" s="1"/>
  <c r="K216" i="4"/>
  <c r="CY190" i="5" s="1"/>
  <c r="L216" i="4"/>
  <c r="CZ190" i="5" s="1"/>
  <c r="M216" i="4"/>
  <c r="DA190" i="5" s="1"/>
  <c r="N216" i="4"/>
  <c r="DB190" i="5" s="1"/>
  <c r="O216" i="4"/>
  <c r="DC190" i="5" s="1"/>
  <c r="P216" i="4"/>
  <c r="DD190" i="5" s="1"/>
  <c r="Q216" i="4"/>
  <c r="DE190" i="5" s="1"/>
  <c r="R216" i="4"/>
  <c r="DF190" i="5" s="1"/>
  <c r="S216" i="4"/>
  <c r="DG190" i="5" s="1"/>
  <c r="T216" i="4"/>
  <c r="DH190" i="5" s="1"/>
  <c r="U216" i="4"/>
  <c r="DI190" i="5" s="1"/>
  <c r="V216" i="4"/>
  <c r="DJ190" i="5" s="1"/>
  <c r="W216" i="4"/>
  <c r="DK190" i="5" s="1"/>
  <c r="G217" i="4"/>
  <c r="DR190" i="5" s="1"/>
  <c r="H217" i="4"/>
  <c r="DS190" i="5" s="1"/>
  <c r="I217" i="4"/>
  <c r="DT190" i="5" s="1"/>
  <c r="J217" i="4"/>
  <c r="DU190" i="5" s="1"/>
  <c r="K217" i="4"/>
  <c r="DV190" i="5" s="1"/>
  <c r="L217" i="4"/>
  <c r="DW190" i="5" s="1"/>
  <c r="M217" i="4"/>
  <c r="DX190" i="5" s="1"/>
  <c r="N217" i="4"/>
  <c r="DY190" i="5" s="1"/>
  <c r="O217" i="4"/>
  <c r="DZ190" i="5" s="1"/>
  <c r="P217" i="4"/>
  <c r="EA190" i="5" s="1"/>
  <c r="Q217" i="4"/>
  <c r="EB190" i="5" s="1"/>
  <c r="R217" i="4"/>
  <c r="EC190" i="5" s="1"/>
  <c r="S217" i="4"/>
  <c r="ED190" i="5" s="1"/>
  <c r="T217" i="4"/>
  <c r="EE190" i="5" s="1"/>
  <c r="U217" i="4"/>
  <c r="EF190" i="5" s="1"/>
  <c r="V217" i="4"/>
  <c r="EG190" i="5" s="1"/>
  <c r="W217" i="4"/>
  <c r="EH190" i="5" s="1"/>
  <c r="G218" i="4"/>
  <c r="EO190" i="5" s="1"/>
  <c r="H218" i="4"/>
  <c r="EP190" i="5" s="1"/>
  <c r="I218" i="4"/>
  <c r="EQ190" i="5" s="1"/>
  <c r="J218" i="4"/>
  <c r="ER190" i="5" s="1"/>
  <c r="K218" i="4"/>
  <c r="ES190" i="5" s="1"/>
  <c r="L218" i="4"/>
  <c r="ET190" i="5" s="1"/>
  <c r="M218" i="4"/>
  <c r="EU190" i="5" s="1"/>
  <c r="N218" i="4"/>
  <c r="EV190" i="5" s="1"/>
  <c r="O218" i="4"/>
  <c r="EW190" i="5" s="1"/>
  <c r="P218" i="4"/>
  <c r="EX190" i="5" s="1"/>
  <c r="Q218" i="4"/>
  <c r="EY190" i="5" s="1"/>
  <c r="R218" i="4"/>
  <c r="EZ190" i="5" s="1"/>
  <c r="S218" i="4"/>
  <c r="FA190" i="5" s="1"/>
  <c r="T218" i="4"/>
  <c r="FB190" i="5" s="1"/>
  <c r="U218" i="4"/>
  <c r="FC190" i="5" s="1"/>
  <c r="V218" i="4"/>
  <c r="FD190" i="5" s="1"/>
  <c r="W218" i="4"/>
  <c r="FE190" i="5" s="1"/>
  <c r="G219" i="4"/>
  <c r="FL190" i="5" s="1"/>
  <c r="H219" i="4"/>
  <c r="FM190" i="5" s="1"/>
  <c r="I219" i="4"/>
  <c r="FN190" i="5" s="1"/>
  <c r="J219" i="4"/>
  <c r="FO190" i="5" s="1"/>
  <c r="K219" i="4"/>
  <c r="FP190" i="5" s="1"/>
  <c r="L219" i="4"/>
  <c r="FQ190" i="5" s="1"/>
  <c r="M219" i="4"/>
  <c r="FR190" i="5" s="1"/>
  <c r="N219" i="4"/>
  <c r="FS190" i="5" s="1"/>
  <c r="O219" i="4"/>
  <c r="FT190" i="5" s="1"/>
  <c r="P219" i="4"/>
  <c r="FU190" i="5" s="1"/>
  <c r="Q219" i="4"/>
  <c r="FV190" i="5" s="1"/>
  <c r="R219" i="4"/>
  <c r="FW190" i="5" s="1"/>
  <c r="S219" i="4"/>
  <c r="FX190" i="5" s="1"/>
  <c r="T219" i="4"/>
  <c r="FY190" i="5" s="1"/>
  <c r="U219" i="4"/>
  <c r="FZ190" i="5" s="1"/>
  <c r="V219" i="4"/>
  <c r="GA190" i="5" s="1"/>
  <c r="W219" i="4"/>
  <c r="GB190" i="5" s="1"/>
  <c r="G220" i="4"/>
  <c r="GI190" i="5" s="1"/>
  <c r="H220" i="4"/>
  <c r="GJ190" i="5" s="1"/>
  <c r="I220" i="4"/>
  <c r="GK190" i="5" s="1"/>
  <c r="J220" i="4"/>
  <c r="GL190" i="5" s="1"/>
  <c r="K220" i="4"/>
  <c r="GM190" i="5" s="1"/>
  <c r="L220" i="4"/>
  <c r="GN190" i="5" s="1"/>
  <c r="M220" i="4"/>
  <c r="GO190" i="5" s="1"/>
  <c r="N220" i="4"/>
  <c r="GP190" i="5" s="1"/>
  <c r="O220" i="4"/>
  <c r="GQ190" i="5" s="1"/>
  <c r="P220" i="4"/>
  <c r="GR190" i="5" s="1"/>
  <c r="Q220" i="4"/>
  <c r="GS190" i="5" s="1"/>
  <c r="R220" i="4"/>
  <c r="GT190" i="5" s="1"/>
  <c r="S220" i="4"/>
  <c r="GU190" i="5" s="1"/>
  <c r="T220" i="4"/>
  <c r="GV190" i="5" s="1"/>
  <c r="U220" i="4"/>
  <c r="GW190" i="5" s="1"/>
  <c r="V220" i="4"/>
  <c r="GX190" i="5" s="1"/>
  <c r="W220" i="4"/>
  <c r="GY190" i="5" s="1"/>
  <c r="G221" i="4"/>
  <c r="HF190" i="5" s="1"/>
  <c r="H221" i="4"/>
  <c r="HG190" i="5" s="1"/>
  <c r="I221" i="4"/>
  <c r="HH190" i="5" s="1"/>
  <c r="J221" i="4"/>
  <c r="HI190" i="5" s="1"/>
  <c r="K221" i="4"/>
  <c r="HJ190" i="5" s="1"/>
  <c r="L221" i="4"/>
  <c r="HK190" i="5" s="1"/>
  <c r="M221" i="4"/>
  <c r="HL190" i="5" s="1"/>
  <c r="N221" i="4"/>
  <c r="HM190" i="5" s="1"/>
  <c r="O221" i="4"/>
  <c r="HN190" i="5" s="1"/>
  <c r="P221" i="4"/>
  <c r="HO190" i="5" s="1"/>
  <c r="Q221" i="4"/>
  <c r="HP190" i="5" s="1"/>
  <c r="R221" i="4"/>
  <c r="HQ190" i="5" s="1"/>
  <c r="S221" i="4"/>
  <c r="HR190" i="5" s="1"/>
  <c r="T221" i="4"/>
  <c r="HS190" i="5" s="1"/>
  <c r="U221" i="4"/>
  <c r="HT190" i="5" s="1"/>
  <c r="V221" i="4"/>
  <c r="HU190" i="5" s="1"/>
  <c r="W221" i="4"/>
  <c r="HV190" i="5" s="1"/>
  <c r="G222" i="4"/>
  <c r="IC190" i="5" s="1"/>
  <c r="H222" i="4"/>
  <c r="ID190" i="5" s="1"/>
  <c r="I222" i="4"/>
  <c r="IE190" i="5" s="1"/>
  <c r="J222" i="4"/>
  <c r="IF190" i="5" s="1"/>
  <c r="K222" i="4"/>
  <c r="IG190" i="5" s="1"/>
  <c r="L222" i="4"/>
  <c r="IH190" i="5" s="1"/>
  <c r="M222" i="4"/>
  <c r="II190" i="5" s="1"/>
  <c r="N222" i="4"/>
  <c r="IJ190" i="5" s="1"/>
  <c r="O222" i="4"/>
  <c r="IK190" i="5" s="1"/>
  <c r="P222" i="4"/>
  <c r="IL190" i="5" s="1"/>
  <c r="Q222" i="4"/>
  <c r="IM190" i="5" s="1"/>
  <c r="R222" i="4"/>
  <c r="IN190" i="5" s="1"/>
  <c r="S222" i="4"/>
  <c r="IO190" i="5" s="1"/>
  <c r="T222" i="4"/>
  <c r="IP190" i="5" s="1"/>
  <c r="U222" i="4"/>
  <c r="IQ190" i="5" s="1"/>
  <c r="V222" i="4"/>
  <c r="IR190" i="5" s="1"/>
  <c r="W222" i="4"/>
  <c r="IS190" i="5" s="1"/>
  <c r="G223" i="4"/>
  <c r="I191" i="5" s="1"/>
  <c r="H223" i="4"/>
  <c r="J191" i="5" s="1"/>
  <c r="I223" i="4"/>
  <c r="K191" i="5" s="1"/>
  <c r="J223" i="4"/>
  <c r="L191" i="5" s="1"/>
  <c r="K223" i="4"/>
  <c r="M191" i="5" s="1"/>
  <c r="L223" i="4"/>
  <c r="N191" i="5" s="1"/>
  <c r="M223" i="4"/>
  <c r="O191" i="5" s="1"/>
  <c r="N223" i="4"/>
  <c r="P191" i="5" s="1"/>
  <c r="O223" i="4"/>
  <c r="Q191" i="5" s="1"/>
  <c r="P223" i="4"/>
  <c r="R191" i="5" s="1"/>
  <c r="Q223" i="4"/>
  <c r="S191" i="5" s="1"/>
  <c r="R223" i="4"/>
  <c r="T191" i="5" s="1"/>
  <c r="S223" i="4"/>
  <c r="U191" i="5" s="1"/>
  <c r="T223" i="4"/>
  <c r="V191" i="5" s="1"/>
  <c r="U223" i="4"/>
  <c r="W191" i="5" s="1"/>
  <c r="V223" i="4"/>
  <c r="X191" i="5" s="1"/>
  <c r="W223" i="4"/>
  <c r="Y191" i="5" s="1"/>
  <c r="G224" i="4"/>
  <c r="AF191" i="5" s="1"/>
  <c r="H224" i="4"/>
  <c r="AG191" i="5" s="1"/>
  <c r="I224" i="4"/>
  <c r="AH191" i="5" s="1"/>
  <c r="J224" i="4"/>
  <c r="AI191" i="5" s="1"/>
  <c r="K224" i="4"/>
  <c r="AJ191" i="5" s="1"/>
  <c r="L224" i="4"/>
  <c r="AK191" i="5" s="1"/>
  <c r="M224" i="4"/>
  <c r="AL191" i="5" s="1"/>
  <c r="N224" i="4"/>
  <c r="AM191" i="5" s="1"/>
  <c r="O224" i="4"/>
  <c r="AN191" i="5" s="1"/>
  <c r="P224" i="4"/>
  <c r="AO191" i="5" s="1"/>
  <c r="Q224" i="4"/>
  <c r="AP191" i="5" s="1"/>
  <c r="R224" i="4"/>
  <c r="AQ191" i="5" s="1"/>
  <c r="S224" i="4"/>
  <c r="AR191" i="5" s="1"/>
  <c r="T224" i="4"/>
  <c r="AS191" i="5" s="1"/>
  <c r="U224" i="4"/>
  <c r="AT191" i="5" s="1"/>
  <c r="V224" i="4"/>
  <c r="AU191" i="5" s="1"/>
  <c r="W224" i="4"/>
  <c r="AV191" i="5" s="1"/>
  <c r="G225" i="4"/>
  <c r="BC191" i="5" s="1"/>
  <c r="H225" i="4"/>
  <c r="BD191" i="5" s="1"/>
  <c r="I225" i="4"/>
  <c r="BE191" i="5" s="1"/>
  <c r="J225" i="4"/>
  <c r="BF191" i="5" s="1"/>
  <c r="K225" i="4"/>
  <c r="BG191" i="5" s="1"/>
  <c r="L225" i="4"/>
  <c r="BH191" i="5" s="1"/>
  <c r="M225" i="4"/>
  <c r="BI191" i="5" s="1"/>
  <c r="N225" i="4"/>
  <c r="BJ191" i="5" s="1"/>
  <c r="O225" i="4"/>
  <c r="BK191" i="5" s="1"/>
  <c r="P225" i="4"/>
  <c r="BL191" i="5" s="1"/>
  <c r="Q225" i="4"/>
  <c r="BM191" i="5" s="1"/>
  <c r="R225" i="4"/>
  <c r="BN191" i="5" s="1"/>
  <c r="S225" i="4"/>
  <c r="BO191" i="5" s="1"/>
  <c r="T225" i="4"/>
  <c r="BP191" i="5" s="1"/>
  <c r="U225" i="4"/>
  <c r="BQ191" i="5" s="1"/>
  <c r="V225" i="4"/>
  <c r="BR191" i="5" s="1"/>
  <c r="W225" i="4"/>
  <c r="BS191" i="5" s="1"/>
  <c r="G226" i="4"/>
  <c r="BZ191" i="5" s="1"/>
  <c r="H226" i="4"/>
  <c r="CA191" i="5" s="1"/>
  <c r="I226" i="4"/>
  <c r="CB191" i="5" s="1"/>
  <c r="J226" i="4"/>
  <c r="CC191" i="5" s="1"/>
  <c r="K226" i="4"/>
  <c r="CD191" i="5" s="1"/>
  <c r="L226" i="4"/>
  <c r="CE191" i="5" s="1"/>
  <c r="M226" i="4"/>
  <c r="CF191" i="5" s="1"/>
  <c r="N226" i="4"/>
  <c r="CG191" i="5" s="1"/>
  <c r="O226" i="4"/>
  <c r="CH191" i="5" s="1"/>
  <c r="P226" i="4"/>
  <c r="CI191" i="5" s="1"/>
  <c r="Q226" i="4"/>
  <c r="CJ191" i="5" s="1"/>
  <c r="R226" i="4"/>
  <c r="CK191" i="5" s="1"/>
  <c r="S226" i="4"/>
  <c r="CL191" i="5" s="1"/>
  <c r="T226" i="4"/>
  <c r="CM191" i="5" s="1"/>
  <c r="U226" i="4"/>
  <c r="CN191" i="5" s="1"/>
  <c r="V226" i="4"/>
  <c r="CO191" i="5" s="1"/>
  <c r="W226" i="4"/>
  <c r="CP191" i="5" s="1"/>
  <c r="G227" i="4"/>
  <c r="CW191" i="5" s="1"/>
  <c r="H227" i="4"/>
  <c r="CX191" i="5" s="1"/>
  <c r="I227" i="4"/>
  <c r="CY191" i="5" s="1"/>
  <c r="J227" i="4"/>
  <c r="CZ191" i="5" s="1"/>
  <c r="K227" i="4"/>
  <c r="DA191" i="5" s="1"/>
  <c r="L227" i="4"/>
  <c r="DB191" i="5" s="1"/>
  <c r="M227" i="4"/>
  <c r="DC191" i="5" s="1"/>
  <c r="N227" i="4"/>
  <c r="DD191" i="5" s="1"/>
  <c r="O227" i="4"/>
  <c r="DE191" i="5" s="1"/>
  <c r="P227" i="4"/>
  <c r="DF191" i="5" s="1"/>
  <c r="Q227" i="4"/>
  <c r="DG191" i="5" s="1"/>
  <c r="R227" i="4"/>
  <c r="DH191" i="5" s="1"/>
  <c r="S227" i="4"/>
  <c r="DI191" i="5" s="1"/>
  <c r="T227" i="4"/>
  <c r="DJ191" i="5" s="1"/>
  <c r="U227" i="4"/>
  <c r="DK191" i="5" s="1"/>
  <c r="V227" i="4"/>
  <c r="DL191" i="5" s="1"/>
  <c r="W227" i="4"/>
  <c r="DM191" i="5" s="1"/>
  <c r="G228" i="4"/>
  <c r="DT191" i="5" s="1"/>
  <c r="H228" i="4"/>
  <c r="DU191" i="5" s="1"/>
  <c r="I228" i="4"/>
  <c r="DV191" i="5" s="1"/>
  <c r="J228" i="4"/>
  <c r="DW191" i="5" s="1"/>
  <c r="K228" i="4"/>
  <c r="DX191" i="5" s="1"/>
  <c r="L228" i="4"/>
  <c r="DY191" i="5" s="1"/>
  <c r="M228" i="4"/>
  <c r="DZ191" i="5" s="1"/>
  <c r="N228" i="4"/>
  <c r="EA191" i="5" s="1"/>
  <c r="O228" i="4"/>
  <c r="EB191" i="5" s="1"/>
  <c r="P228" i="4"/>
  <c r="EC191" i="5" s="1"/>
  <c r="Q228" i="4"/>
  <c r="ED191" i="5" s="1"/>
  <c r="R228" i="4"/>
  <c r="EE191" i="5" s="1"/>
  <c r="S228" i="4"/>
  <c r="EF191" i="5" s="1"/>
  <c r="T228" i="4"/>
  <c r="EG191" i="5" s="1"/>
  <c r="U228" i="4"/>
  <c r="EH191" i="5" s="1"/>
  <c r="V228" i="4"/>
  <c r="EI191" i="5" s="1"/>
  <c r="W228" i="4"/>
  <c r="EJ191" i="5" s="1"/>
  <c r="G229" i="4"/>
  <c r="EQ191" i="5" s="1"/>
  <c r="H229" i="4"/>
  <c r="ER191" i="5" s="1"/>
  <c r="I229" i="4"/>
  <c r="ES191" i="5" s="1"/>
  <c r="J229" i="4"/>
  <c r="ET191" i="5" s="1"/>
  <c r="K229" i="4"/>
  <c r="EU191" i="5" s="1"/>
  <c r="L229" i="4"/>
  <c r="EV191" i="5" s="1"/>
  <c r="M229" i="4"/>
  <c r="EW191" i="5" s="1"/>
  <c r="N229" i="4"/>
  <c r="EX191" i="5" s="1"/>
  <c r="O229" i="4"/>
  <c r="EY191" i="5" s="1"/>
  <c r="P229" i="4"/>
  <c r="EZ191" i="5" s="1"/>
  <c r="Q229" i="4"/>
  <c r="FA191" i="5" s="1"/>
  <c r="R229" i="4"/>
  <c r="FB191" i="5" s="1"/>
  <c r="S229" i="4"/>
  <c r="FC191" i="5" s="1"/>
  <c r="T229" i="4"/>
  <c r="FD191" i="5" s="1"/>
  <c r="U229" i="4"/>
  <c r="FE191" i="5" s="1"/>
  <c r="V229" i="4"/>
  <c r="FF191" i="5" s="1"/>
  <c r="W229" i="4"/>
  <c r="FG191" i="5" s="1"/>
  <c r="G230" i="4"/>
  <c r="FN191" i="5" s="1"/>
  <c r="H230" i="4"/>
  <c r="FO191" i="5" s="1"/>
  <c r="I230" i="4"/>
  <c r="FP191" i="5" s="1"/>
  <c r="J230" i="4"/>
  <c r="FQ191" i="5" s="1"/>
  <c r="K230" i="4"/>
  <c r="FR191" i="5" s="1"/>
  <c r="L230" i="4"/>
  <c r="FS191" i="5" s="1"/>
  <c r="M230" i="4"/>
  <c r="FT191" i="5" s="1"/>
  <c r="N230" i="4"/>
  <c r="FU191" i="5" s="1"/>
  <c r="O230" i="4"/>
  <c r="FV191" i="5" s="1"/>
  <c r="P230" i="4"/>
  <c r="FW191" i="5" s="1"/>
  <c r="Q230" i="4"/>
  <c r="FX191" i="5" s="1"/>
  <c r="R230" i="4"/>
  <c r="FY191" i="5" s="1"/>
  <c r="S230" i="4"/>
  <c r="FZ191" i="5" s="1"/>
  <c r="T230" i="4"/>
  <c r="GA191" i="5" s="1"/>
  <c r="U230" i="4"/>
  <c r="GB191" i="5" s="1"/>
  <c r="V230" i="4"/>
  <c r="GC191" i="5" s="1"/>
  <c r="W230" i="4"/>
  <c r="GD191" i="5" s="1"/>
  <c r="G231" i="4"/>
  <c r="GK191" i="5" s="1"/>
  <c r="H231" i="4"/>
  <c r="GL191" i="5" s="1"/>
  <c r="I231" i="4"/>
  <c r="GM191" i="5" s="1"/>
  <c r="J231" i="4"/>
  <c r="GN191" i="5" s="1"/>
  <c r="K231" i="4"/>
  <c r="GO191" i="5" s="1"/>
  <c r="L231" i="4"/>
  <c r="GP191" i="5" s="1"/>
  <c r="M231" i="4"/>
  <c r="GQ191" i="5" s="1"/>
  <c r="N231" i="4"/>
  <c r="GR191" i="5" s="1"/>
  <c r="O231" i="4"/>
  <c r="GS191" i="5" s="1"/>
  <c r="P231" i="4"/>
  <c r="GT191" i="5" s="1"/>
  <c r="Q231" i="4"/>
  <c r="GU191" i="5" s="1"/>
  <c r="R231" i="4"/>
  <c r="GV191" i="5" s="1"/>
  <c r="S231" i="4"/>
  <c r="GW191" i="5" s="1"/>
  <c r="T231" i="4"/>
  <c r="GX191" i="5" s="1"/>
  <c r="U231" i="4"/>
  <c r="GY191" i="5" s="1"/>
  <c r="V231" i="4"/>
  <c r="GZ191" i="5" s="1"/>
  <c r="W231" i="4"/>
  <c r="HA191" i="5" s="1"/>
  <c r="G232" i="4"/>
  <c r="HH191" i="5" s="1"/>
  <c r="H232" i="4"/>
  <c r="HI191" i="5" s="1"/>
  <c r="I232" i="4"/>
  <c r="HJ191" i="5" s="1"/>
  <c r="J232" i="4"/>
  <c r="HK191" i="5" s="1"/>
  <c r="K232" i="4"/>
  <c r="HL191" i="5" s="1"/>
  <c r="L232" i="4"/>
  <c r="HM191" i="5" s="1"/>
  <c r="M232" i="4"/>
  <c r="HN191" i="5" s="1"/>
  <c r="N232" i="4"/>
  <c r="HO191" i="5" s="1"/>
  <c r="O232" i="4"/>
  <c r="HP191" i="5" s="1"/>
  <c r="P232" i="4"/>
  <c r="HQ191" i="5" s="1"/>
  <c r="Q232" i="4"/>
  <c r="HR191" i="5" s="1"/>
  <c r="R232" i="4"/>
  <c r="HS191" i="5" s="1"/>
  <c r="S232" i="4"/>
  <c r="HT191" i="5" s="1"/>
  <c r="T232" i="4"/>
  <c r="HU191" i="5" s="1"/>
  <c r="U232" i="4"/>
  <c r="HV191" i="5" s="1"/>
  <c r="V232" i="4"/>
  <c r="HW191" i="5" s="1"/>
  <c r="W232" i="4"/>
  <c r="HX191" i="5" s="1"/>
  <c r="G233" i="4"/>
  <c r="IE191" i="5" s="1"/>
  <c r="H233" i="4"/>
  <c r="IF191" i="5" s="1"/>
  <c r="I233" i="4"/>
  <c r="IG191" i="5" s="1"/>
  <c r="J233" i="4"/>
  <c r="IH191" i="5" s="1"/>
  <c r="K233" i="4"/>
  <c r="II191" i="5" s="1"/>
  <c r="L233" i="4"/>
  <c r="IJ191" i="5" s="1"/>
  <c r="M233" i="4"/>
  <c r="IK191" i="5" s="1"/>
  <c r="N233" i="4"/>
  <c r="IL191" i="5" s="1"/>
  <c r="O233" i="4"/>
  <c r="IM191" i="5" s="1"/>
  <c r="P233" i="4"/>
  <c r="IN191" i="5" s="1"/>
  <c r="Q233" i="4"/>
  <c r="IO191" i="5" s="1"/>
  <c r="R233" i="4"/>
  <c r="IP191" i="5" s="1"/>
  <c r="S233" i="4"/>
  <c r="IQ191" i="5" s="1"/>
  <c r="T233" i="4"/>
  <c r="IR191" i="5" s="1"/>
  <c r="U233" i="4"/>
  <c r="IS191" i="5" s="1"/>
  <c r="V233" i="4"/>
  <c r="IT191" i="5" s="1"/>
  <c r="W233" i="4"/>
  <c r="IU191" i="5" s="1"/>
  <c r="G234" i="4"/>
  <c r="K192" i="5" s="1"/>
  <c r="H234" i="4"/>
  <c r="L192" i="5" s="1"/>
  <c r="I234" i="4"/>
  <c r="M192" i="5" s="1"/>
  <c r="J234" i="4"/>
  <c r="N192" i="5" s="1"/>
  <c r="K234" i="4"/>
  <c r="O192" i="5" s="1"/>
  <c r="L234" i="4"/>
  <c r="P192" i="5" s="1"/>
  <c r="M234" i="4"/>
  <c r="Q192" i="5" s="1"/>
  <c r="N234" i="4"/>
  <c r="R192" i="5" s="1"/>
  <c r="O234" i="4"/>
  <c r="S192" i="5" s="1"/>
  <c r="P234" i="4"/>
  <c r="T192" i="5" s="1"/>
  <c r="Q234" i="4"/>
  <c r="U192" i="5" s="1"/>
  <c r="R234" i="4"/>
  <c r="V192" i="5" s="1"/>
  <c r="S234" i="4"/>
  <c r="W192" i="5" s="1"/>
  <c r="T234" i="4"/>
  <c r="X192" i="5" s="1"/>
  <c r="U234" i="4"/>
  <c r="Y192" i="5" s="1"/>
  <c r="V234" i="4"/>
  <c r="Z192" i="5" s="1"/>
  <c r="W234" i="4"/>
  <c r="AA192" i="5" s="1"/>
  <c r="G235" i="4"/>
  <c r="AH192" i="5" s="1"/>
  <c r="H235" i="4"/>
  <c r="AI192" i="5" s="1"/>
  <c r="I235" i="4"/>
  <c r="AJ192" i="5" s="1"/>
  <c r="J235" i="4"/>
  <c r="AK192" i="5" s="1"/>
  <c r="K235" i="4"/>
  <c r="AL192" i="5" s="1"/>
  <c r="L235" i="4"/>
  <c r="AM192" i="5" s="1"/>
  <c r="M235" i="4"/>
  <c r="AN192" i="5" s="1"/>
  <c r="N235" i="4"/>
  <c r="AO192" i="5" s="1"/>
  <c r="O235" i="4"/>
  <c r="AP192" i="5" s="1"/>
  <c r="P235" i="4"/>
  <c r="AQ192" i="5" s="1"/>
  <c r="Q235" i="4"/>
  <c r="AR192" i="5" s="1"/>
  <c r="R235" i="4"/>
  <c r="AS192" i="5" s="1"/>
  <c r="S235" i="4"/>
  <c r="AT192" i="5" s="1"/>
  <c r="T235" i="4"/>
  <c r="AU192" i="5" s="1"/>
  <c r="U235" i="4"/>
  <c r="AV192" i="5" s="1"/>
  <c r="V235" i="4"/>
  <c r="AW192" i="5" s="1"/>
  <c r="W235" i="4"/>
  <c r="AX192" i="5" s="1"/>
  <c r="G236" i="4"/>
  <c r="BE192" i="5" s="1"/>
  <c r="H236" i="4"/>
  <c r="BF192" i="5" s="1"/>
  <c r="I236" i="4"/>
  <c r="BG192" i="5" s="1"/>
  <c r="J236" i="4"/>
  <c r="BH192" i="5" s="1"/>
  <c r="K236" i="4"/>
  <c r="BI192" i="5" s="1"/>
  <c r="L236" i="4"/>
  <c r="BJ192" i="5" s="1"/>
  <c r="M236" i="4"/>
  <c r="BK192" i="5" s="1"/>
  <c r="N236" i="4"/>
  <c r="BL192" i="5" s="1"/>
  <c r="O236" i="4"/>
  <c r="BM192" i="5" s="1"/>
  <c r="P236" i="4"/>
  <c r="BN192" i="5" s="1"/>
  <c r="Q236" i="4"/>
  <c r="BO192" i="5" s="1"/>
  <c r="R236" i="4"/>
  <c r="BP192" i="5" s="1"/>
  <c r="S236" i="4"/>
  <c r="BQ192" i="5" s="1"/>
  <c r="T236" i="4"/>
  <c r="BR192" i="5" s="1"/>
  <c r="U236" i="4"/>
  <c r="BS192" i="5" s="1"/>
  <c r="V236" i="4"/>
  <c r="BT192" i="5" s="1"/>
  <c r="W236" i="4"/>
  <c r="BU192" i="5" s="1"/>
  <c r="G237" i="4"/>
  <c r="CB192" i="5" s="1"/>
  <c r="H237" i="4"/>
  <c r="CC192" i="5" s="1"/>
  <c r="I237" i="4"/>
  <c r="CD192" i="5" s="1"/>
  <c r="J237" i="4"/>
  <c r="CE192" i="5" s="1"/>
  <c r="K237" i="4"/>
  <c r="CF192" i="5" s="1"/>
  <c r="L237" i="4"/>
  <c r="CG192" i="5" s="1"/>
  <c r="M237" i="4"/>
  <c r="CH192" i="5" s="1"/>
  <c r="N237" i="4"/>
  <c r="CI192" i="5" s="1"/>
  <c r="O237" i="4"/>
  <c r="CJ192" i="5" s="1"/>
  <c r="P237" i="4"/>
  <c r="CK192" i="5" s="1"/>
  <c r="Q237" i="4"/>
  <c r="CL192" i="5" s="1"/>
  <c r="R237" i="4"/>
  <c r="CM192" i="5" s="1"/>
  <c r="S237" i="4"/>
  <c r="CN192" i="5" s="1"/>
  <c r="T237" i="4"/>
  <c r="CO192" i="5" s="1"/>
  <c r="U237" i="4"/>
  <c r="CP192" i="5" s="1"/>
  <c r="V237" i="4"/>
  <c r="CQ192" i="5" s="1"/>
  <c r="W237" i="4"/>
  <c r="CR192" i="5" s="1"/>
  <c r="G238" i="4"/>
  <c r="CY192" i="5" s="1"/>
  <c r="H238" i="4"/>
  <c r="CZ192" i="5" s="1"/>
  <c r="I238" i="4"/>
  <c r="DA192" i="5" s="1"/>
  <c r="J238" i="4"/>
  <c r="DB192" i="5" s="1"/>
  <c r="K238" i="4"/>
  <c r="DC192" i="5" s="1"/>
  <c r="L238" i="4"/>
  <c r="DD192" i="5" s="1"/>
  <c r="M238" i="4"/>
  <c r="DE192" i="5" s="1"/>
  <c r="N238" i="4"/>
  <c r="DF192" i="5" s="1"/>
  <c r="O238" i="4"/>
  <c r="DG192" i="5" s="1"/>
  <c r="P238" i="4"/>
  <c r="DH192" i="5" s="1"/>
  <c r="Q238" i="4"/>
  <c r="DI192" i="5" s="1"/>
  <c r="R238" i="4"/>
  <c r="DJ192" i="5" s="1"/>
  <c r="S238" i="4"/>
  <c r="DK192" i="5" s="1"/>
  <c r="T238" i="4"/>
  <c r="DL192" i="5" s="1"/>
  <c r="U238" i="4"/>
  <c r="DM192" i="5" s="1"/>
  <c r="V238" i="4"/>
  <c r="DN192" i="5" s="1"/>
  <c r="W238" i="4"/>
  <c r="DO192" i="5" s="1"/>
  <c r="G239" i="4"/>
  <c r="DV192" i="5" s="1"/>
  <c r="H239" i="4"/>
  <c r="DW192" i="5" s="1"/>
  <c r="I239" i="4"/>
  <c r="DX192" i="5" s="1"/>
  <c r="J239" i="4"/>
  <c r="DY192" i="5" s="1"/>
  <c r="K239" i="4"/>
  <c r="DZ192" i="5" s="1"/>
  <c r="L239" i="4"/>
  <c r="EA192" i="5" s="1"/>
  <c r="M239" i="4"/>
  <c r="EB192" i="5" s="1"/>
  <c r="N239" i="4"/>
  <c r="EC192" i="5" s="1"/>
  <c r="O239" i="4"/>
  <c r="ED192" i="5" s="1"/>
  <c r="P239" i="4"/>
  <c r="EE192" i="5" s="1"/>
  <c r="Q239" i="4"/>
  <c r="EF192" i="5" s="1"/>
  <c r="R239" i="4"/>
  <c r="EG192" i="5" s="1"/>
  <c r="S239" i="4"/>
  <c r="EH192" i="5" s="1"/>
  <c r="T239" i="4"/>
  <c r="EI192" i="5" s="1"/>
  <c r="U239" i="4"/>
  <c r="EJ192" i="5" s="1"/>
  <c r="V239" i="4"/>
  <c r="EK192" i="5" s="1"/>
  <c r="W239" i="4"/>
  <c r="EL192" i="5" s="1"/>
  <c r="G240" i="4"/>
  <c r="H240" i="4"/>
  <c r="ET192" i="5" s="1"/>
  <c r="I240" i="4"/>
  <c r="EU192" i="5" s="1"/>
  <c r="J240" i="4"/>
  <c r="EV192" i="5" s="1"/>
  <c r="K240" i="4"/>
  <c r="EW192" i="5" s="1"/>
  <c r="L240" i="4"/>
  <c r="EX192" i="5" s="1"/>
  <c r="M240" i="4"/>
  <c r="EY192" i="5" s="1"/>
  <c r="N240" i="4"/>
  <c r="EZ192" i="5" s="1"/>
  <c r="O240" i="4"/>
  <c r="FA192" i="5" s="1"/>
  <c r="P240" i="4"/>
  <c r="FB192" i="5" s="1"/>
  <c r="Q240" i="4"/>
  <c r="FC192" i="5" s="1"/>
  <c r="R240" i="4"/>
  <c r="FD192" i="5" s="1"/>
  <c r="S240" i="4"/>
  <c r="FE192" i="5" s="1"/>
  <c r="T240" i="4"/>
  <c r="FF192" i="5" s="1"/>
  <c r="U240" i="4"/>
  <c r="FG192" i="5" s="1"/>
  <c r="V240" i="4"/>
  <c r="FH192" i="5" s="1"/>
  <c r="W240" i="4"/>
  <c r="FI192" i="5" s="1"/>
  <c r="G241" i="4"/>
  <c r="FP192" i="5" s="1"/>
  <c r="H241" i="4"/>
  <c r="I241" i="4"/>
  <c r="FR192" i="5" s="1"/>
  <c r="J241" i="4"/>
  <c r="FS192" i="5" s="1"/>
  <c r="K241" i="4"/>
  <c r="FT192" i="5" s="1"/>
  <c r="L241" i="4"/>
  <c r="FU192" i="5" s="1"/>
  <c r="M241" i="4"/>
  <c r="FV192" i="5" s="1"/>
  <c r="N241" i="4"/>
  <c r="FW192" i="5" s="1"/>
  <c r="O241" i="4"/>
  <c r="FX192" i="5" s="1"/>
  <c r="P241" i="4"/>
  <c r="FY192" i="5" s="1"/>
  <c r="Q241" i="4"/>
  <c r="FZ192" i="5" s="1"/>
  <c r="R241" i="4"/>
  <c r="GA192" i="5" s="1"/>
  <c r="S241" i="4"/>
  <c r="GB192" i="5" s="1"/>
  <c r="T241" i="4"/>
  <c r="GC192" i="5" s="1"/>
  <c r="U241" i="4"/>
  <c r="GD192" i="5" s="1"/>
  <c r="V241" i="4"/>
  <c r="GE192" i="5" s="1"/>
  <c r="W241" i="4"/>
  <c r="GF192" i="5" s="1"/>
  <c r="G242" i="4"/>
  <c r="GM192" i="5" s="1"/>
  <c r="H242" i="4"/>
  <c r="GN192" i="5" s="1"/>
  <c r="I242" i="4"/>
  <c r="J242" i="4"/>
  <c r="GP192" i="5" s="1"/>
  <c r="K242" i="4"/>
  <c r="GQ192" i="5" s="1"/>
  <c r="L242" i="4"/>
  <c r="GR192" i="5" s="1"/>
  <c r="M242" i="4"/>
  <c r="GS192" i="5" s="1"/>
  <c r="N242" i="4"/>
  <c r="GT192" i="5" s="1"/>
  <c r="O242" i="4"/>
  <c r="GU192" i="5" s="1"/>
  <c r="P242" i="4"/>
  <c r="GV192" i="5" s="1"/>
  <c r="Q242" i="4"/>
  <c r="GW192" i="5" s="1"/>
  <c r="R242" i="4"/>
  <c r="GX192" i="5" s="1"/>
  <c r="S242" i="4"/>
  <c r="GY192" i="5" s="1"/>
  <c r="T242" i="4"/>
  <c r="GZ192" i="5" s="1"/>
  <c r="U242" i="4"/>
  <c r="HA192" i="5" s="1"/>
  <c r="V242" i="4"/>
  <c r="HB192" i="5" s="1"/>
  <c r="W242" i="4"/>
  <c r="HC192" i="5" s="1"/>
  <c r="G243" i="4"/>
  <c r="HJ192" i="5" s="1"/>
  <c r="H243" i="4"/>
  <c r="HK192" i="5" s="1"/>
  <c r="I243" i="4"/>
  <c r="HL192" i="5" s="1"/>
  <c r="J243" i="4"/>
  <c r="K243" i="4"/>
  <c r="HN192" i="5" s="1"/>
  <c r="L243" i="4"/>
  <c r="HO192" i="5" s="1"/>
  <c r="M243" i="4"/>
  <c r="HP192" i="5" s="1"/>
  <c r="N243" i="4"/>
  <c r="HQ192" i="5" s="1"/>
  <c r="O243" i="4"/>
  <c r="HR192" i="5" s="1"/>
  <c r="P243" i="4"/>
  <c r="HS192" i="5" s="1"/>
  <c r="Q243" i="4"/>
  <c r="HT192" i="5" s="1"/>
  <c r="R243" i="4"/>
  <c r="HU192" i="5" s="1"/>
  <c r="S243" i="4"/>
  <c r="HV192" i="5" s="1"/>
  <c r="T243" i="4"/>
  <c r="HW192" i="5" s="1"/>
  <c r="U243" i="4"/>
  <c r="HX192" i="5" s="1"/>
  <c r="V243" i="4"/>
  <c r="HY192" i="5" s="1"/>
  <c r="W243" i="4"/>
  <c r="HZ192" i="5" s="1"/>
  <c r="G244" i="4"/>
  <c r="IG192" i="5" s="1"/>
  <c r="H244" i="4"/>
  <c r="IH192" i="5" s="1"/>
  <c r="I244" i="4"/>
  <c r="II192" i="5" s="1"/>
  <c r="J244" i="4"/>
  <c r="IJ192" i="5" s="1"/>
  <c r="K244" i="4"/>
  <c r="L244" i="4"/>
  <c r="IL192" i="5" s="1"/>
  <c r="M244" i="4"/>
  <c r="IM192" i="5" s="1"/>
  <c r="N244" i="4"/>
  <c r="IN192" i="5" s="1"/>
  <c r="O244" i="4"/>
  <c r="IO192" i="5" s="1"/>
  <c r="P244" i="4"/>
  <c r="IP192" i="5" s="1"/>
  <c r="Q244" i="4"/>
  <c r="IQ192" i="5" s="1"/>
  <c r="R244" i="4"/>
  <c r="IR192" i="5" s="1"/>
  <c r="S244" i="4"/>
  <c r="IS192" i="5" s="1"/>
  <c r="T244" i="4"/>
  <c r="IT192" i="5" s="1"/>
  <c r="U244" i="4"/>
  <c r="IU192" i="5" s="1"/>
  <c r="V244" i="4"/>
  <c r="IV192" i="5" s="1"/>
  <c r="W244" i="4"/>
  <c r="F193" i="5" s="1"/>
  <c r="G245" i="4"/>
  <c r="M193" i="5" s="1"/>
  <c r="H245" i="4"/>
  <c r="N193" i="5" s="1"/>
  <c r="I245" i="4"/>
  <c r="O193" i="5" s="1"/>
  <c r="J245" i="4"/>
  <c r="P193" i="5" s="1"/>
  <c r="K245" i="4"/>
  <c r="Q193" i="5" s="1"/>
  <c r="L245" i="4"/>
  <c r="M245" i="4"/>
  <c r="S193" i="5" s="1"/>
  <c r="N245" i="4"/>
  <c r="T193" i="5" s="1"/>
  <c r="O245" i="4"/>
  <c r="U193" i="5" s="1"/>
  <c r="P245" i="4"/>
  <c r="V193" i="5" s="1"/>
  <c r="Q245" i="4"/>
  <c r="W193" i="5" s="1"/>
  <c r="R245" i="4"/>
  <c r="X193" i="5" s="1"/>
  <c r="S245" i="4"/>
  <c r="Y193" i="5" s="1"/>
  <c r="T245" i="4"/>
  <c r="Z193" i="5" s="1"/>
  <c r="U245" i="4"/>
  <c r="AA193" i="5" s="1"/>
  <c r="V245" i="4"/>
  <c r="AB193" i="5" s="1"/>
  <c r="W245" i="4"/>
  <c r="AC193" i="5" s="1"/>
  <c r="G246" i="4"/>
  <c r="AJ193" i="5" s="1"/>
  <c r="H246" i="4"/>
  <c r="AK193" i="5" s="1"/>
  <c r="I246" i="4"/>
  <c r="AL193" i="5" s="1"/>
  <c r="J246" i="4"/>
  <c r="AM193" i="5" s="1"/>
  <c r="K246" i="4"/>
  <c r="AN193" i="5" s="1"/>
  <c r="L246" i="4"/>
  <c r="AO193" i="5" s="1"/>
  <c r="M246" i="4"/>
  <c r="N246" i="4"/>
  <c r="AQ193" i="5" s="1"/>
  <c r="O246" i="4"/>
  <c r="AR193" i="5" s="1"/>
  <c r="P246" i="4"/>
  <c r="AS193" i="5" s="1"/>
  <c r="Q246" i="4"/>
  <c r="AT193" i="5" s="1"/>
  <c r="R246" i="4"/>
  <c r="AU193" i="5" s="1"/>
  <c r="S246" i="4"/>
  <c r="AV193" i="5" s="1"/>
  <c r="T246" i="4"/>
  <c r="AW193" i="5" s="1"/>
  <c r="U246" i="4"/>
  <c r="AX193" i="5" s="1"/>
  <c r="V246" i="4"/>
  <c r="AY193" i="5" s="1"/>
  <c r="W246" i="4"/>
  <c r="AZ193" i="5" s="1"/>
  <c r="G247" i="4"/>
  <c r="BG193" i="5" s="1"/>
  <c r="H247" i="4"/>
  <c r="BH193" i="5" s="1"/>
  <c r="I247" i="4"/>
  <c r="BI193" i="5" s="1"/>
  <c r="J247" i="4"/>
  <c r="BJ193" i="5" s="1"/>
  <c r="K247" i="4"/>
  <c r="BK193" i="5" s="1"/>
  <c r="L247" i="4"/>
  <c r="BL193" i="5" s="1"/>
  <c r="M247" i="4"/>
  <c r="BM193" i="5" s="1"/>
  <c r="N247" i="4"/>
  <c r="O247" i="4"/>
  <c r="BO193" i="5" s="1"/>
  <c r="P247" i="4"/>
  <c r="BP193" i="5" s="1"/>
  <c r="Q247" i="4"/>
  <c r="BQ193" i="5" s="1"/>
  <c r="R247" i="4"/>
  <c r="BR193" i="5" s="1"/>
  <c r="S247" i="4"/>
  <c r="BS193" i="5" s="1"/>
  <c r="T247" i="4"/>
  <c r="BT193" i="5" s="1"/>
  <c r="U247" i="4"/>
  <c r="BU193" i="5" s="1"/>
  <c r="V247" i="4"/>
  <c r="BV193" i="5" s="1"/>
  <c r="W247" i="4"/>
  <c r="BW193" i="5" s="1"/>
  <c r="G248" i="4"/>
  <c r="CD193" i="5" s="1"/>
  <c r="H248" i="4"/>
  <c r="CE193" i="5" s="1"/>
  <c r="I248" i="4"/>
  <c r="CF193" i="5" s="1"/>
  <c r="J248" i="4"/>
  <c r="CG193" i="5" s="1"/>
  <c r="K248" i="4"/>
  <c r="CH193" i="5" s="1"/>
  <c r="L248" i="4"/>
  <c r="CI193" i="5" s="1"/>
  <c r="M248" i="4"/>
  <c r="CJ193" i="5" s="1"/>
  <c r="N248" i="4"/>
  <c r="CK193" i="5" s="1"/>
  <c r="O248" i="4"/>
  <c r="P248" i="4"/>
  <c r="CM193" i="5" s="1"/>
  <c r="Q248" i="4"/>
  <c r="CN193" i="5" s="1"/>
  <c r="R248" i="4"/>
  <c r="CO193" i="5" s="1"/>
  <c r="S248" i="4"/>
  <c r="CP193" i="5" s="1"/>
  <c r="T248" i="4"/>
  <c r="CQ193" i="5" s="1"/>
  <c r="U248" i="4"/>
  <c r="CR193" i="5" s="1"/>
  <c r="V248" i="4"/>
  <c r="CS193" i="5" s="1"/>
  <c r="W248" i="4"/>
  <c r="CT193" i="5" s="1"/>
  <c r="G249" i="4"/>
  <c r="DA193" i="5" s="1"/>
  <c r="H249" i="4"/>
  <c r="DB193" i="5" s="1"/>
  <c r="I249" i="4"/>
  <c r="DC193" i="5" s="1"/>
  <c r="J249" i="4"/>
  <c r="DD193" i="5" s="1"/>
  <c r="K249" i="4"/>
  <c r="DE193" i="5" s="1"/>
  <c r="L249" i="4"/>
  <c r="DF193" i="5" s="1"/>
  <c r="M249" i="4"/>
  <c r="DG193" i="5" s="1"/>
  <c r="N249" i="4"/>
  <c r="DH193" i="5" s="1"/>
  <c r="O249" i="4"/>
  <c r="DI193" i="5" s="1"/>
  <c r="P249" i="4"/>
  <c r="Q249" i="4"/>
  <c r="DK193" i="5" s="1"/>
  <c r="R249" i="4"/>
  <c r="DL193" i="5" s="1"/>
  <c r="S249" i="4"/>
  <c r="DM193" i="5" s="1"/>
  <c r="T249" i="4"/>
  <c r="DN193" i="5" s="1"/>
  <c r="U249" i="4"/>
  <c r="DO193" i="5" s="1"/>
  <c r="V249" i="4"/>
  <c r="DP193" i="5" s="1"/>
  <c r="W249" i="4"/>
  <c r="DQ193" i="5" s="1"/>
  <c r="G250" i="4"/>
  <c r="DX193" i="5" s="1"/>
  <c r="H250" i="4"/>
  <c r="DY193" i="5" s="1"/>
  <c r="I250" i="4"/>
  <c r="DZ193" i="5" s="1"/>
  <c r="J250" i="4"/>
  <c r="EA193" i="5" s="1"/>
  <c r="K250" i="4"/>
  <c r="EB193" i="5" s="1"/>
  <c r="L250" i="4"/>
  <c r="EC193" i="5" s="1"/>
  <c r="M250" i="4"/>
  <c r="ED193" i="5" s="1"/>
  <c r="N250" i="4"/>
  <c r="EE193" i="5" s="1"/>
  <c r="O250" i="4"/>
  <c r="EF193" i="5" s="1"/>
  <c r="P250" i="4"/>
  <c r="EG193" i="5" s="1"/>
  <c r="Q250" i="4"/>
  <c r="R250" i="4"/>
  <c r="EI193" i="5" s="1"/>
  <c r="S250" i="4"/>
  <c r="EJ193" i="5" s="1"/>
  <c r="T250" i="4"/>
  <c r="EK193" i="5" s="1"/>
  <c r="U250" i="4"/>
  <c r="EL193" i="5" s="1"/>
  <c r="V250" i="4"/>
  <c r="EM193" i="5" s="1"/>
  <c r="W250" i="4"/>
  <c r="EN193" i="5" s="1"/>
  <c r="G251" i="4"/>
  <c r="EU193" i="5" s="1"/>
  <c r="H251" i="4"/>
  <c r="EV193" i="5" s="1"/>
  <c r="I251" i="4"/>
  <c r="EW193" i="5" s="1"/>
  <c r="J251" i="4"/>
  <c r="EX193" i="5" s="1"/>
  <c r="K251" i="4"/>
  <c r="EY193" i="5" s="1"/>
  <c r="L251" i="4"/>
  <c r="EZ193" i="5" s="1"/>
  <c r="M251" i="4"/>
  <c r="FA193" i="5" s="1"/>
  <c r="N251" i="4"/>
  <c r="FB193" i="5" s="1"/>
  <c r="O251" i="4"/>
  <c r="FC193" i="5" s="1"/>
  <c r="P251" i="4"/>
  <c r="FD193" i="5" s="1"/>
  <c r="Q251" i="4"/>
  <c r="FE193" i="5" s="1"/>
  <c r="R251" i="4"/>
  <c r="S251" i="4"/>
  <c r="FG193" i="5" s="1"/>
  <c r="T251" i="4"/>
  <c r="FH193" i="5" s="1"/>
  <c r="U251" i="4"/>
  <c r="FI193" i="5" s="1"/>
  <c r="V251" i="4"/>
  <c r="FJ193" i="5" s="1"/>
  <c r="W251" i="4"/>
  <c r="FK193" i="5" s="1"/>
  <c r="G252" i="4"/>
  <c r="FR193" i="5" s="1"/>
  <c r="H252" i="4"/>
  <c r="FS193" i="5" s="1"/>
  <c r="I252" i="4"/>
  <c r="FT193" i="5" s="1"/>
  <c r="J252" i="4"/>
  <c r="FU193" i="5" s="1"/>
  <c r="K252" i="4"/>
  <c r="FV193" i="5" s="1"/>
  <c r="L252" i="4"/>
  <c r="FW193" i="5" s="1"/>
  <c r="M252" i="4"/>
  <c r="FX193" i="5" s="1"/>
  <c r="N252" i="4"/>
  <c r="FY193" i="5" s="1"/>
  <c r="O252" i="4"/>
  <c r="FZ193" i="5" s="1"/>
  <c r="P252" i="4"/>
  <c r="GA193" i="5" s="1"/>
  <c r="Q252" i="4"/>
  <c r="GB193" i="5" s="1"/>
  <c r="R252" i="4"/>
  <c r="GC193" i="5" s="1"/>
  <c r="S252" i="4"/>
  <c r="T252" i="4"/>
  <c r="GE193" i="5" s="1"/>
  <c r="U252" i="4"/>
  <c r="GF193" i="5" s="1"/>
  <c r="V252" i="4"/>
  <c r="GG193" i="5" s="1"/>
  <c r="W252" i="4"/>
  <c r="GH193" i="5" s="1"/>
  <c r="G253" i="4"/>
  <c r="GO193" i="5" s="1"/>
  <c r="H253" i="4"/>
  <c r="GP193" i="5" s="1"/>
  <c r="I253" i="4"/>
  <c r="GQ193" i="5" s="1"/>
  <c r="J253" i="4"/>
  <c r="GR193" i="5" s="1"/>
  <c r="K253" i="4"/>
  <c r="GS193" i="5" s="1"/>
  <c r="L253" i="4"/>
  <c r="GT193" i="5" s="1"/>
  <c r="M253" i="4"/>
  <c r="GU193" i="5" s="1"/>
  <c r="N253" i="4"/>
  <c r="GV193" i="5" s="1"/>
  <c r="O253" i="4"/>
  <c r="GW193" i="5" s="1"/>
  <c r="P253" i="4"/>
  <c r="GX193" i="5" s="1"/>
  <c r="Q253" i="4"/>
  <c r="GY193" i="5" s="1"/>
  <c r="R253" i="4"/>
  <c r="GZ193" i="5" s="1"/>
  <c r="S253" i="4"/>
  <c r="HA193" i="5" s="1"/>
  <c r="T253" i="4"/>
  <c r="U253" i="4"/>
  <c r="HC193" i="5" s="1"/>
  <c r="V253" i="4"/>
  <c r="HD193" i="5" s="1"/>
  <c r="W253" i="4"/>
  <c r="HE193" i="5" s="1"/>
  <c r="G254" i="4"/>
  <c r="HL193" i="5" s="1"/>
  <c r="H254" i="4"/>
  <c r="HM193" i="5" s="1"/>
  <c r="I254" i="4"/>
  <c r="HN193" i="5" s="1"/>
  <c r="J254" i="4"/>
  <c r="HO193" i="5" s="1"/>
  <c r="K254" i="4"/>
  <c r="HP193" i="5" s="1"/>
  <c r="L254" i="4"/>
  <c r="HQ193" i="5" s="1"/>
  <c r="M254" i="4"/>
  <c r="HR193" i="5" s="1"/>
  <c r="N254" i="4"/>
  <c r="HS193" i="5" s="1"/>
  <c r="O254" i="4"/>
  <c r="HT193" i="5" s="1"/>
  <c r="P254" i="4"/>
  <c r="HU193" i="5" s="1"/>
  <c r="Q254" i="4"/>
  <c r="HV193" i="5" s="1"/>
  <c r="R254" i="4"/>
  <c r="HW193" i="5" s="1"/>
  <c r="S254" i="4"/>
  <c r="HX193" i="5" s="1"/>
  <c r="T254" i="4"/>
  <c r="HY193" i="5" s="1"/>
  <c r="U254" i="4"/>
  <c r="V254" i="4"/>
  <c r="IA193" i="5" s="1"/>
  <c r="W254" i="4"/>
  <c r="IB193" i="5" s="1"/>
  <c r="G255" i="4"/>
  <c r="II193" i="5" s="1"/>
  <c r="H255" i="4"/>
  <c r="IJ193" i="5" s="1"/>
  <c r="I255" i="4"/>
  <c r="IK193" i="5" s="1"/>
  <c r="J255" i="4"/>
  <c r="IL193" i="5" s="1"/>
  <c r="K255" i="4"/>
  <c r="IM193" i="5" s="1"/>
  <c r="L255" i="4"/>
  <c r="IN193" i="5" s="1"/>
  <c r="M255" i="4"/>
  <c r="IO193" i="5" s="1"/>
  <c r="N255" i="4"/>
  <c r="IP193" i="5" s="1"/>
  <c r="O255" i="4"/>
  <c r="IQ193" i="5" s="1"/>
  <c r="P255" i="4"/>
  <c r="IR193" i="5" s="1"/>
  <c r="Q255" i="4"/>
  <c r="IS193" i="5" s="1"/>
  <c r="R255" i="4"/>
  <c r="IT193" i="5" s="1"/>
  <c r="S255" i="4"/>
  <c r="IU193" i="5" s="1"/>
  <c r="T255" i="4"/>
  <c r="IV193" i="5" s="1"/>
  <c r="U255" i="4"/>
  <c r="F194" i="5" s="1"/>
  <c r="V255" i="4"/>
  <c r="W255" i="4"/>
  <c r="H194" i="5" s="1"/>
  <c r="G256" i="4"/>
  <c r="O194" i="5" s="1"/>
  <c r="H256" i="4"/>
  <c r="P194" i="5" s="1"/>
  <c r="I256" i="4"/>
  <c r="Q194" i="5" s="1"/>
  <c r="J256" i="4"/>
  <c r="R194" i="5" s="1"/>
  <c r="K256" i="4"/>
  <c r="S194" i="5" s="1"/>
  <c r="L256" i="4"/>
  <c r="T194" i="5" s="1"/>
  <c r="M256" i="4"/>
  <c r="U194" i="5" s="1"/>
  <c r="N256" i="4"/>
  <c r="V194" i="5" s="1"/>
  <c r="O256" i="4"/>
  <c r="W194" i="5" s="1"/>
  <c r="P256" i="4"/>
  <c r="X194" i="5" s="1"/>
  <c r="Q256" i="4"/>
  <c r="Y194" i="5" s="1"/>
  <c r="R256" i="4"/>
  <c r="Z194" i="5" s="1"/>
  <c r="S256" i="4"/>
  <c r="AA194" i="5" s="1"/>
  <c r="T256" i="4"/>
  <c r="AB194" i="5" s="1"/>
  <c r="U256" i="4"/>
  <c r="AC194" i="5" s="1"/>
  <c r="V256" i="4"/>
  <c r="AD194" i="5" s="1"/>
  <c r="W256" i="4"/>
  <c r="G257" i="4"/>
  <c r="AL194" i="5" s="1"/>
  <c r="H257" i="4"/>
  <c r="AM194" i="5" s="1"/>
  <c r="I257" i="4"/>
  <c r="AN194" i="5" s="1"/>
  <c r="J257" i="4"/>
  <c r="AO194" i="5" s="1"/>
  <c r="K257" i="4"/>
  <c r="AP194" i="5" s="1"/>
  <c r="L257" i="4"/>
  <c r="AQ194" i="5" s="1"/>
  <c r="M257" i="4"/>
  <c r="AR194" i="5" s="1"/>
  <c r="N257" i="4"/>
  <c r="AS194" i="5" s="1"/>
  <c r="O257" i="4"/>
  <c r="AT194" i="5" s="1"/>
  <c r="P257" i="4"/>
  <c r="AU194" i="5" s="1"/>
  <c r="Q257" i="4"/>
  <c r="AV194" i="5" s="1"/>
  <c r="R257" i="4"/>
  <c r="AW194" i="5" s="1"/>
  <c r="S257" i="4"/>
  <c r="AX194" i="5" s="1"/>
  <c r="T257" i="4"/>
  <c r="AY194" i="5" s="1"/>
  <c r="U257" i="4"/>
  <c r="AZ194" i="5" s="1"/>
  <c r="V257" i="4"/>
  <c r="BA194" i="5" s="1"/>
  <c r="W257" i="4"/>
  <c r="BB194" i="5" s="1"/>
  <c r="G258" i="4"/>
  <c r="BI194" i="5" s="1"/>
  <c r="H258" i="4"/>
  <c r="BJ194" i="5" s="1"/>
  <c r="I258" i="4"/>
  <c r="BK194" i="5" s="1"/>
  <c r="J258" i="4"/>
  <c r="BL194" i="5" s="1"/>
  <c r="K258" i="4"/>
  <c r="BM194" i="5" s="1"/>
  <c r="L258" i="4"/>
  <c r="BN194" i="5" s="1"/>
  <c r="M258" i="4"/>
  <c r="BO194" i="5" s="1"/>
  <c r="N258" i="4"/>
  <c r="BP194" i="5" s="1"/>
  <c r="O258" i="4"/>
  <c r="BQ194" i="5" s="1"/>
  <c r="P258" i="4"/>
  <c r="BR194" i="5" s="1"/>
  <c r="Q258" i="4"/>
  <c r="BS194" i="5" s="1"/>
  <c r="R258" i="4"/>
  <c r="BT194" i="5" s="1"/>
  <c r="S258" i="4"/>
  <c r="BU194" i="5" s="1"/>
  <c r="T258" i="4"/>
  <c r="BV194" i="5" s="1"/>
  <c r="U258" i="4"/>
  <c r="BW194" i="5" s="1"/>
  <c r="V258" i="4"/>
  <c r="BX194" i="5" s="1"/>
  <c r="W258" i="4"/>
  <c r="BY194" i="5" s="1"/>
  <c r="G259" i="4"/>
  <c r="CF194" i="5" s="1"/>
  <c r="H259" i="4"/>
  <c r="CG194" i="5" s="1"/>
  <c r="I259" i="4"/>
  <c r="CH194" i="5" s="1"/>
  <c r="J259" i="4"/>
  <c r="CI194" i="5" s="1"/>
  <c r="K259" i="4"/>
  <c r="CJ194" i="5" s="1"/>
  <c r="L259" i="4"/>
  <c r="CK194" i="5" s="1"/>
  <c r="M259" i="4"/>
  <c r="CL194" i="5" s="1"/>
  <c r="N259" i="4"/>
  <c r="CM194" i="5" s="1"/>
  <c r="O259" i="4"/>
  <c r="CN194" i="5" s="1"/>
  <c r="P259" i="4"/>
  <c r="CO194" i="5" s="1"/>
  <c r="Q259" i="4"/>
  <c r="CP194" i="5" s="1"/>
  <c r="R259" i="4"/>
  <c r="CQ194" i="5" s="1"/>
  <c r="S259" i="4"/>
  <c r="CR194" i="5" s="1"/>
  <c r="T259" i="4"/>
  <c r="CS194" i="5" s="1"/>
  <c r="U259" i="4"/>
  <c r="CT194" i="5" s="1"/>
  <c r="V259" i="4"/>
  <c r="CU194" i="5" s="1"/>
  <c r="W259" i="4"/>
  <c r="CV194" i="5" s="1"/>
  <c r="G260" i="4"/>
  <c r="DC194" i="5" s="1"/>
  <c r="H260" i="4"/>
  <c r="DD194" i="5" s="1"/>
  <c r="I260" i="4"/>
  <c r="DE194" i="5" s="1"/>
  <c r="J260" i="4"/>
  <c r="DF194" i="5" s="1"/>
  <c r="K260" i="4"/>
  <c r="DG194" i="5" s="1"/>
  <c r="L260" i="4"/>
  <c r="DH194" i="5" s="1"/>
  <c r="M260" i="4"/>
  <c r="DI194" i="5" s="1"/>
  <c r="N260" i="4"/>
  <c r="DJ194" i="5" s="1"/>
  <c r="O260" i="4"/>
  <c r="DK194" i="5" s="1"/>
  <c r="P260" i="4"/>
  <c r="DL194" i="5" s="1"/>
  <c r="Q260" i="4"/>
  <c r="DM194" i="5" s="1"/>
  <c r="R260" i="4"/>
  <c r="DN194" i="5" s="1"/>
  <c r="S260" i="4"/>
  <c r="DO194" i="5" s="1"/>
  <c r="T260" i="4"/>
  <c r="DP194" i="5" s="1"/>
  <c r="U260" i="4"/>
  <c r="DQ194" i="5" s="1"/>
  <c r="V260" i="4"/>
  <c r="DR194" i="5" s="1"/>
  <c r="W260" i="4"/>
  <c r="DS194" i="5" s="1"/>
  <c r="G261" i="4"/>
  <c r="DZ194" i="5" s="1"/>
  <c r="H261" i="4"/>
  <c r="EA194" i="5" s="1"/>
  <c r="I261" i="4"/>
  <c r="EB194" i="5" s="1"/>
  <c r="J261" i="4"/>
  <c r="EC194" i="5" s="1"/>
  <c r="K261" i="4"/>
  <c r="ED194" i="5" s="1"/>
  <c r="L261" i="4"/>
  <c r="EE194" i="5" s="1"/>
  <c r="M261" i="4"/>
  <c r="EF194" i="5" s="1"/>
  <c r="N261" i="4"/>
  <c r="EG194" i="5" s="1"/>
  <c r="O261" i="4"/>
  <c r="EH194" i="5" s="1"/>
  <c r="P261" i="4"/>
  <c r="EI194" i="5" s="1"/>
  <c r="Q261" i="4"/>
  <c r="EJ194" i="5" s="1"/>
  <c r="R261" i="4"/>
  <c r="EK194" i="5" s="1"/>
  <c r="S261" i="4"/>
  <c r="EL194" i="5" s="1"/>
  <c r="T261" i="4"/>
  <c r="EM194" i="5" s="1"/>
  <c r="U261" i="4"/>
  <c r="EN194" i="5" s="1"/>
  <c r="V261" i="4"/>
  <c r="EO194" i="5" s="1"/>
  <c r="W261" i="4"/>
  <c r="EP194" i="5" s="1"/>
  <c r="G262" i="4"/>
  <c r="EW194" i="5" s="1"/>
  <c r="H262" i="4"/>
  <c r="EX194" i="5" s="1"/>
  <c r="I262" i="4"/>
  <c r="EY194" i="5" s="1"/>
  <c r="J262" i="4"/>
  <c r="EZ194" i="5" s="1"/>
  <c r="K262" i="4"/>
  <c r="FA194" i="5" s="1"/>
  <c r="L262" i="4"/>
  <c r="FB194" i="5" s="1"/>
  <c r="M262" i="4"/>
  <c r="FC194" i="5" s="1"/>
  <c r="N262" i="4"/>
  <c r="FD194" i="5" s="1"/>
  <c r="O262" i="4"/>
  <c r="FE194" i="5" s="1"/>
  <c r="P262" i="4"/>
  <c r="FF194" i="5" s="1"/>
  <c r="Q262" i="4"/>
  <c r="FG194" i="5" s="1"/>
  <c r="R262" i="4"/>
  <c r="FH194" i="5" s="1"/>
  <c r="S262" i="4"/>
  <c r="FI194" i="5" s="1"/>
  <c r="T262" i="4"/>
  <c r="FJ194" i="5" s="1"/>
  <c r="U262" i="4"/>
  <c r="FK194" i="5" s="1"/>
  <c r="V262" i="4"/>
  <c r="FL194" i="5" s="1"/>
  <c r="W262" i="4"/>
  <c r="FM194" i="5" s="1"/>
  <c r="G263" i="4"/>
  <c r="FT194" i="5" s="1"/>
  <c r="H263" i="4"/>
  <c r="FU194" i="5" s="1"/>
  <c r="I263" i="4"/>
  <c r="FV194" i="5" s="1"/>
  <c r="J263" i="4"/>
  <c r="FW194" i="5" s="1"/>
  <c r="K263" i="4"/>
  <c r="FX194" i="5" s="1"/>
  <c r="L263" i="4"/>
  <c r="FY194" i="5" s="1"/>
  <c r="M263" i="4"/>
  <c r="FZ194" i="5" s="1"/>
  <c r="N263" i="4"/>
  <c r="GA194" i="5" s="1"/>
  <c r="O263" i="4"/>
  <c r="GB194" i="5" s="1"/>
  <c r="P263" i="4"/>
  <c r="GC194" i="5" s="1"/>
  <c r="Q263" i="4"/>
  <c r="GD194" i="5" s="1"/>
  <c r="R263" i="4"/>
  <c r="GE194" i="5" s="1"/>
  <c r="S263" i="4"/>
  <c r="GF194" i="5" s="1"/>
  <c r="T263" i="4"/>
  <c r="GG194" i="5" s="1"/>
  <c r="U263" i="4"/>
  <c r="GH194" i="5" s="1"/>
  <c r="V263" i="4"/>
  <c r="GI194" i="5" s="1"/>
  <c r="W263" i="4"/>
  <c r="GJ194" i="5" s="1"/>
  <c r="G264" i="4"/>
  <c r="GQ194" i="5" s="1"/>
  <c r="H264" i="4"/>
  <c r="GR194" i="5" s="1"/>
  <c r="I264" i="4"/>
  <c r="GS194" i="5" s="1"/>
  <c r="J264" i="4"/>
  <c r="GT194" i="5" s="1"/>
  <c r="K264" i="4"/>
  <c r="GU194" i="5" s="1"/>
  <c r="L264" i="4"/>
  <c r="GV194" i="5" s="1"/>
  <c r="M264" i="4"/>
  <c r="GW194" i="5" s="1"/>
  <c r="N264" i="4"/>
  <c r="GX194" i="5" s="1"/>
  <c r="O264" i="4"/>
  <c r="GY194" i="5" s="1"/>
  <c r="P264" i="4"/>
  <c r="GZ194" i="5" s="1"/>
  <c r="Q264" i="4"/>
  <c r="HA194" i="5" s="1"/>
  <c r="R264" i="4"/>
  <c r="HB194" i="5" s="1"/>
  <c r="S264" i="4"/>
  <c r="HC194" i="5" s="1"/>
  <c r="T264" i="4"/>
  <c r="HD194" i="5" s="1"/>
  <c r="U264" i="4"/>
  <c r="HE194" i="5" s="1"/>
  <c r="V264" i="4"/>
  <c r="HF194" i="5" s="1"/>
  <c r="W264" i="4"/>
  <c r="HG194" i="5" s="1"/>
  <c r="G265" i="4"/>
  <c r="HN194" i="5" s="1"/>
  <c r="H265" i="4"/>
  <c r="HO194" i="5" s="1"/>
  <c r="I265" i="4"/>
  <c r="HP194" i="5" s="1"/>
  <c r="J265" i="4"/>
  <c r="HQ194" i="5" s="1"/>
  <c r="K265" i="4"/>
  <c r="HR194" i="5" s="1"/>
  <c r="L265" i="4"/>
  <c r="HS194" i="5" s="1"/>
  <c r="M265" i="4"/>
  <c r="HT194" i="5" s="1"/>
  <c r="N265" i="4"/>
  <c r="HU194" i="5" s="1"/>
  <c r="O265" i="4"/>
  <c r="HV194" i="5" s="1"/>
  <c r="P265" i="4"/>
  <c r="HW194" i="5" s="1"/>
  <c r="Q265" i="4"/>
  <c r="HX194" i="5" s="1"/>
  <c r="R265" i="4"/>
  <c r="HY194" i="5" s="1"/>
  <c r="S265" i="4"/>
  <c r="HZ194" i="5" s="1"/>
  <c r="T265" i="4"/>
  <c r="IA194" i="5" s="1"/>
  <c r="U265" i="4"/>
  <c r="IB194" i="5" s="1"/>
  <c r="V265" i="4"/>
  <c r="IC194" i="5" s="1"/>
  <c r="W265" i="4"/>
  <c r="ID194" i="5" s="1"/>
  <c r="G266" i="4"/>
  <c r="IK194" i="5" s="1"/>
  <c r="H266" i="4"/>
  <c r="IL194" i="5" s="1"/>
  <c r="I266" i="4"/>
  <c r="IM194" i="5" s="1"/>
  <c r="J266" i="4"/>
  <c r="IN194" i="5" s="1"/>
  <c r="K266" i="4"/>
  <c r="IO194" i="5" s="1"/>
  <c r="L266" i="4"/>
  <c r="IP194" i="5" s="1"/>
  <c r="M266" i="4"/>
  <c r="IQ194" i="5" s="1"/>
  <c r="N266" i="4"/>
  <c r="IR194" i="5" s="1"/>
  <c r="O266" i="4"/>
  <c r="IS194" i="5" s="1"/>
  <c r="P266" i="4"/>
  <c r="IT194" i="5" s="1"/>
  <c r="Q266" i="4"/>
  <c r="IU194" i="5" s="1"/>
  <c r="R266" i="4"/>
  <c r="IV194" i="5" s="1"/>
  <c r="S266" i="4"/>
  <c r="F195" i="5" s="1"/>
  <c r="T266" i="4"/>
  <c r="G195" i="5" s="1"/>
  <c r="U266" i="4"/>
  <c r="H195" i="5" s="1"/>
  <c r="V266" i="4"/>
  <c r="I195" i="5" s="1"/>
  <c r="W266" i="4"/>
  <c r="J195" i="5" s="1"/>
  <c r="G267" i="4"/>
  <c r="Q195" i="5" s="1"/>
  <c r="H267" i="4"/>
  <c r="R195" i="5" s="1"/>
  <c r="I267" i="4"/>
  <c r="S195" i="5" s="1"/>
  <c r="J267" i="4"/>
  <c r="T195" i="5" s="1"/>
  <c r="K267" i="4"/>
  <c r="U195" i="5" s="1"/>
  <c r="L267" i="4"/>
  <c r="V195" i="5" s="1"/>
  <c r="M267" i="4"/>
  <c r="W195" i="5" s="1"/>
  <c r="N267" i="4"/>
  <c r="X195" i="5" s="1"/>
  <c r="O267" i="4"/>
  <c r="Y195" i="5" s="1"/>
  <c r="P267" i="4"/>
  <c r="Z195" i="5" s="1"/>
  <c r="Q267" i="4"/>
  <c r="AA195" i="5" s="1"/>
  <c r="R267" i="4"/>
  <c r="AB195" i="5" s="1"/>
  <c r="S267" i="4"/>
  <c r="AC195" i="5" s="1"/>
  <c r="T267" i="4"/>
  <c r="AD195" i="5" s="1"/>
  <c r="U267" i="4"/>
  <c r="AE195" i="5" s="1"/>
  <c r="V267" i="4"/>
  <c r="AF195" i="5" s="1"/>
  <c r="W267" i="4"/>
  <c r="AG195" i="5" s="1"/>
  <c r="G268" i="4"/>
  <c r="AN195" i="5" s="1"/>
  <c r="H268" i="4"/>
  <c r="AO195" i="5" s="1"/>
  <c r="I268" i="4"/>
  <c r="AP195" i="5" s="1"/>
  <c r="J268" i="4"/>
  <c r="AQ195" i="5" s="1"/>
  <c r="K268" i="4"/>
  <c r="AR195" i="5" s="1"/>
  <c r="L268" i="4"/>
  <c r="AS195" i="5" s="1"/>
  <c r="M268" i="4"/>
  <c r="AT195" i="5" s="1"/>
  <c r="N268" i="4"/>
  <c r="AU195" i="5" s="1"/>
  <c r="O268" i="4"/>
  <c r="AV195" i="5" s="1"/>
  <c r="P268" i="4"/>
  <c r="AW195" i="5" s="1"/>
  <c r="Q268" i="4"/>
  <c r="AX195" i="5" s="1"/>
  <c r="R268" i="4"/>
  <c r="AY195" i="5" s="1"/>
  <c r="S268" i="4"/>
  <c r="AZ195" i="5" s="1"/>
  <c r="T268" i="4"/>
  <c r="BA195" i="5" s="1"/>
  <c r="U268" i="4"/>
  <c r="BB195" i="5" s="1"/>
  <c r="V268" i="4"/>
  <c r="BC195" i="5" s="1"/>
  <c r="W268" i="4"/>
  <c r="BD195" i="5" s="1"/>
  <c r="G269" i="4"/>
  <c r="BK195" i="5" s="1"/>
  <c r="H269" i="4"/>
  <c r="BL195" i="5" s="1"/>
  <c r="I269" i="4"/>
  <c r="BM195" i="5" s="1"/>
  <c r="J269" i="4"/>
  <c r="BN195" i="5" s="1"/>
  <c r="K269" i="4"/>
  <c r="BO195" i="5" s="1"/>
  <c r="L269" i="4"/>
  <c r="BP195" i="5" s="1"/>
  <c r="M269" i="4"/>
  <c r="BQ195" i="5" s="1"/>
  <c r="N269" i="4"/>
  <c r="BR195" i="5" s="1"/>
  <c r="O269" i="4"/>
  <c r="BS195" i="5" s="1"/>
  <c r="P269" i="4"/>
  <c r="BT195" i="5" s="1"/>
  <c r="Q269" i="4"/>
  <c r="BU195" i="5" s="1"/>
  <c r="R269" i="4"/>
  <c r="BV195" i="5" s="1"/>
  <c r="S269" i="4"/>
  <c r="BW195" i="5" s="1"/>
  <c r="T269" i="4"/>
  <c r="BX195" i="5" s="1"/>
  <c r="U269" i="4"/>
  <c r="BY195" i="5" s="1"/>
  <c r="V269" i="4"/>
  <c r="BZ195" i="5" s="1"/>
  <c r="W269" i="4"/>
  <c r="CA195" i="5" s="1"/>
  <c r="G270" i="4"/>
  <c r="CH195" i="5" s="1"/>
  <c r="H270" i="4"/>
  <c r="CI195" i="5" s="1"/>
  <c r="I270" i="4"/>
  <c r="CJ195" i="5" s="1"/>
  <c r="J270" i="4"/>
  <c r="CK195" i="5" s="1"/>
  <c r="K270" i="4"/>
  <c r="CL195" i="5" s="1"/>
  <c r="L270" i="4"/>
  <c r="CM195" i="5" s="1"/>
  <c r="M270" i="4"/>
  <c r="CN195" i="5" s="1"/>
  <c r="N270" i="4"/>
  <c r="CO195" i="5" s="1"/>
  <c r="O270" i="4"/>
  <c r="CP195" i="5" s="1"/>
  <c r="P270" i="4"/>
  <c r="CQ195" i="5" s="1"/>
  <c r="Q270" i="4"/>
  <c r="CR195" i="5" s="1"/>
  <c r="R270" i="4"/>
  <c r="CS195" i="5" s="1"/>
  <c r="S270" i="4"/>
  <c r="CT195" i="5" s="1"/>
  <c r="T270" i="4"/>
  <c r="CU195" i="5" s="1"/>
  <c r="U270" i="4"/>
  <c r="CV195" i="5" s="1"/>
  <c r="V270" i="4"/>
  <c r="CW195" i="5" s="1"/>
  <c r="W270" i="4"/>
  <c r="CX195" i="5" s="1"/>
  <c r="G271" i="4"/>
  <c r="DE195" i="5" s="1"/>
  <c r="H271" i="4"/>
  <c r="DF195" i="5" s="1"/>
  <c r="I271" i="4"/>
  <c r="DG195" i="5" s="1"/>
  <c r="J271" i="4"/>
  <c r="DH195" i="5" s="1"/>
  <c r="K271" i="4"/>
  <c r="DI195" i="5" s="1"/>
  <c r="L271" i="4"/>
  <c r="DJ195" i="5" s="1"/>
  <c r="M271" i="4"/>
  <c r="DK195" i="5" s="1"/>
  <c r="N271" i="4"/>
  <c r="DL195" i="5" s="1"/>
  <c r="O271" i="4"/>
  <c r="DM195" i="5" s="1"/>
  <c r="P271" i="4"/>
  <c r="DN195" i="5" s="1"/>
  <c r="Q271" i="4"/>
  <c r="DO195" i="5" s="1"/>
  <c r="R271" i="4"/>
  <c r="DP195" i="5" s="1"/>
  <c r="S271" i="4"/>
  <c r="DQ195" i="5" s="1"/>
  <c r="T271" i="4"/>
  <c r="DR195" i="5" s="1"/>
  <c r="U271" i="4"/>
  <c r="DS195" i="5" s="1"/>
  <c r="V271" i="4"/>
  <c r="DT195" i="5" s="1"/>
  <c r="W271" i="4"/>
  <c r="DU195" i="5" s="1"/>
  <c r="G272" i="4"/>
  <c r="EB195" i="5" s="1"/>
  <c r="H272" i="4"/>
  <c r="EC195" i="5" s="1"/>
  <c r="I272" i="4"/>
  <c r="ED195" i="5" s="1"/>
  <c r="J272" i="4"/>
  <c r="EE195" i="5" s="1"/>
  <c r="K272" i="4"/>
  <c r="EF195" i="5" s="1"/>
  <c r="L272" i="4"/>
  <c r="EG195" i="5" s="1"/>
  <c r="M272" i="4"/>
  <c r="EH195" i="5" s="1"/>
  <c r="N272" i="4"/>
  <c r="EI195" i="5" s="1"/>
  <c r="O272" i="4"/>
  <c r="EJ195" i="5" s="1"/>
  <c r="P272" i="4"/>
  <c r="EK195" i="5" s="1"/>
  <c r="Q272" i="4"/>
  <c r="EL195" i="5" s="1"/>
  <c r="R272" i="4"/>
  <c r="EM195" i="5" s="1"/>
  <c r="S272" i="4"/>
  <c r="EN195" i="5" s="1"/>
  <c r="T272" i="4"/>
  <c r="EO195" i="5" s="1"/>
  <c r="U272" i="4"/>
  <c r="EP195" i="5" s="1"/>
  <c r="V272" i="4"/>
  <c r="EQ195" i="5" s="1"/>
  <c r="W272" i="4"/>
  <c r="ER195" i="5" s="1"/>
  <c r="G273" i="4"/>
  <c r="EY195" i="5" s="1"/>
  <c r="H273" i="4"/>
  <c r="EZ195" i="5" s="1"/>
  <c r="I273" i="4"/>
  <c r="FA195" i="5" s="1"/>
  <c r="J273" i="4"/>
  <c r="FB195" i="5" s="1"/>
  <c r="K273" i="4"/>
  <c r="FC195" i="5" s="1"/>
  <c r="L273" i="4"/>
  <c r="FD195" i="5" s="1"/>
  <c r="M273" i="4"/>
  <c r="FE195" i="5" s="1"/>
  <c r="N273" i="4"/>
  <c r="FF195" i="5" s="1"/>
  <c r="O273" i="4"/>
  <c r="FG195" i="5" s="1"/>
  <c r="P273" i="4"/>
  <c r="FH195" i="5" s="1"/>
  <c r="Q273" i="4"/>
  <c r="FI195" i="5" s="1"/>
  <c r="R273" i="4"/>
  <c r="FJ195" i="5" s="1"/>
  <c r="S273" i="4"/>
  <c r="FK195" i="5" s="1"/>
  <c r="T273" i="4"/>
  <c r="FL195" i="5" s="1"/>
  <c r="U273" i="4"/>
  <c r="FM195" i="5" s="1"/>
  <c r="V273" i="4"/>
  <c r="FN195" i="5" s="1"/>
  <c r="W273" i="4"/>
  <c r="FO195" i="5" s="1"/>
  <c r="G274" i="4"/>
  <c r="FV195" i="5" s="1"/>
  <c r="H274" i="4"/>
  <c r="FW195" i="5" s="1"/>
  <c r="I274" i="4"/>
  <c r="FX195" i="5" s="1"/>
  <c r="J274" i="4"/>
  <c r="FY195" i="5" s="1"/>
  <c r="K274" i="4"/>
  <c r="FZ195" i="5" s="1"/>
  <c r="L274" i="4"/>
  <c r="GA195" i="5" s="1"/>
  <c r="M274" i="4"/>
  <c r="GB195" i="5" s="1"/>
  <c r="N274" i="4"/>
  <c r="GC195" i="5" s="1"/>
  <c r="O274" i="4"/>
  <c r="GD195" i="5" s="1"/>
  <c r="P274" i="4"/>
  <c r="GE195" i="5" s="1"/>
  <c r="Q274" i="4"/>
  <c r="GF195" i="5" s="1"/>
  <c r="R274" i="4"/>
  <c r="GG195" i="5" s="1"/>
  <c r="S274" i="4"/>
  <c r="GH195" i="5" s="1"/>
  <c r="T274" i="4"/>
  <c r="GI195" i="5" s="1"/>
  <c r="U274" i="4"/>
  <c r="GJ195" i="5" s="1"/>
  <c r="V274" i="4"/>
  <c r="GK195" i="5" s="1"/>
  <c r="W274" i="4"/>
  <c r="GL195" i="5" s="1"/>
  <c r="G275" i="4"/>
  <c r="GS195" i="5" s="1"/>
  <c r="H275" i="4"/>
  <c r="GT195" i="5" s="1"/>
  <c r="I275" i="4"/>
  <c r="GU195" i="5" s="1"/>
  <c r="J275" i="4"/>
  <c r="GV195" i="5" s="1"/>
  <c r="K275" i="4"/>
  <c r="GW195" i="5" s="1"/>
  <c r="L275" i="4"/>
  <c r="GX195" i="5" s="1"/>
  <c r="M275" i="4"/>
  <c r="GY195" i="5" s="1"/>
  <c r="N275" i="4"/>
  <c r="GZ195" i="5" s="1"/>
  <c r="O275" i="4"/>
  <c r="HA195" i="5" s="1"/>
  <c r="P275" i="4"/>
  <c r="HB195" i="5" s="1"/>
  <c r="Q275" i="4"/>
  <c r="HC195" i="5" s="1"/>
  <c r="R275" i="4"/>
  <c r="HD195" i="5" s="1"/>
  <c r="S275" i="4"/>
  <c r="HE195" i="5" s="1"/>
  <c r="T275" i="4"/>
  <c r="HF195" i="5" s="1"/>
  <c r="U275" i="4"/>
  <c r="HG195" i="5" s="1"/>
  <c r="V275" i="4"/>
  <c r="HH195" i="5" s="1"/>
  <c r="W275" i="4"/>
  <c r="HI195" i="5" s="1"/>
  <c r="G276" i="4"/>
  <c r="HP195" i="5" s="1"/>
  <c r="H276" i="4"/>
  <c r="HQ195" i="5" s="1"/>
  <c r="I276" i="4"/>
  <c r="HR195" i="5" s="1"/>
  <c r="J276" i="4"/>
  <c r="HS195" i="5" s="1"/>
  <c r="K276" i="4"/>
  <c r="HT195" i="5" s="1"/>
  <c r="L276" i="4"/>
  <c r="HU195" i="5" s="1"/>
  <c r="M276" i="4"/>
  <c r="HV195" i="5" s="1"/>
  <c r="N276" i="4"/>
  <c r="HW195" i="5" s="1"/>
  <c r="O276" i="4"/>
  <c r="HX195" i="5" s="1"/>
  <c r="P276" i="4"/>
  <c r="HY195" i="5" s="1"/>
  <c r="Q276" i="4"/>
  <c r="HZ195" i="5" s="1"/>
  <c r="R276" i="4"/>
  <c r="IA195" i="5" s="1"/>
  <c r="S276" i="4"/>
  <c r="IB195" i="5" s="1"/>
  <c r="T276" i="4"/>
  <c r="IC195" i="5" s="1"/>
  <c r="U276" i="4"/>
  <c r="ID195" i="5" s="1"/>
  <c r="V276" i="4"/>
  <c r="IE195" i="5" s="1"/>
  <c r="W276" i="4"/>
  <c r="IF195" i="5" s="1"/>
  <c r="G277" i="4"/>
  <c r="IM195" i="5" s="1"/>
  <c r="H277" i="4"/>
  <c r="IN195" i="5" s="1"/>
  <c r="I277" i="4"/>
  <c r="IO195" i="5" s="1"/>
  <c r="J277" i="4"/>
  <c r="IP195" i="5" s="1"/>
  <c r="K277" i="4"/>
  <c r="IQ195" i="5" s="1"/>
  <c r="L277" i="4"/>
  <c r="IR195" i="5" s="1"/>
  <c r="M277" i="4"/>
  <c r="IS195" i="5" s="1"/>
  <c r="N277" i="4"/>
  <c r="IT195" i="5" s="1"/>
  <c r="O277" i="4"/>
  <c r="IU195" i="5" s="1"/>
  <c r="P277" i="4"/>
  <c r="IV195" i="5" s="1"/>
  <c r="Q277" i="4"/>
  <c r="F196" i="5" s="1"/>
  <c r="R277" i="4"/>
  <c r="G196" i="5" s="1"/>
  <c r="S277" i="4"/>
  <c r="H196" i="5" s="1"/>
  <c r="T277" i="4"/>
  <c r="I196" i="5" s="1"/>
  <c r="U277" i="4"/>
  <c r="J196" i="5" s="1"/>
  <c r="V277" i="4"/>
  <c r="K196" i="5" s="1"/>
  <c r="W277" i="4"/>
  <c r="L196" i="5" s="1"/>
  <c r="G278" i="4"/>
  <c r="S196" i="5" s="1"/>
  <c r="H278" i="4"/>
  <c r="T196" i="5" s="1"/>
  <c r="I278" i="4"/>
  <c r="U196" i="5" s="1"/>
  <c r="J278" i="4"/>
  <c r="V196" i="5" s="1"/>
  <c r="K278" i="4"/>
  <c r="W196" i="5" s="1"/>
  <c r="L278" i="4"/>
  <c r="X196" i="5" s="1"/>
  <c r="M278" i="4"/>
  <c r="Y196" i="5" s="1"/>
  <c r="N278" i="4"/>
  <c r="Z196" i="5" s="1"/>
  <c r="O278" i="4"/>
  <c r="AA196" i="5" s="1"/>
  <c r="P278" i="4"/>
  <c r="AB196" i="5" s="1"/>
  <c r="Q278" i="4"/>
  <c r="AC196" i="5" s="1"/>
  <c r="R278" i="4"/>
  <c r="AD196" i="5" s="1"/>
  <c r="S278" i="4"/>
  <c r="AE196" i="5" s="1"/>
  <c r="T278" i="4"/>
  <c r="AF196" i="5" s="1"/>
  <c r="U278" i="4"/>
  <c r="AG196" i="5" s="1"/>
  <c r="V278" i="4"/>
  <c r="AH196" i="5" s="1"/>
  <c r="W278" i="4"/>
  <c r="AI196" i="5" s="1"/>
  <c r="G279" i="4"/>
  <c r="AP196" i="5" s="1"/>
  <c r="H279" i="4"/>
  <c r="AQ196" i="5" s="1"/>
  <c r="I279" i="4"/>
  <c r="AR196" i="5" s="1"/>
  <c r="J279" i="4"/>
  <c r="AS196" i="5" s="1"/>
  <c r="K279" i="4"/>
  <c r="AT196" i="5" s="1"/>
  <c r="L279" i="4"/>
  <c r="AU196" i="5" s="1"/>
  <c r="M279" i="4"/>
  <c r="AV196" i="5" s="1"/>
  <c r="N279" i="4"/>
  <c r="AW196" i="5" s="1"/>
  <c r="O279" i="4"/>
  <c r="AX196" i="5" s="1"/>
  <c r="P279" i="4"/>
  <c r="AY196" i="5" s="1"/>
  <c r="Q279" i="4"/>
  <c r="AZ196" i="5" s="1"/>
  <c r="R279" i="4"/>
  <c r="BA196" i="5" s="1"/>
  <c r="S279" i="4"/>
  <c r="BB196" i="5" s="1"/>
  <c r="T279" i="4"/>
  <c r="BC196" i="5" s="1"/>
  <c r="U279" i="4"/>
  <c r="BD196" i="5" s="1"/>
  <c r="V279" i="4"/>
  <c r="BE196" i="5" s="1"/>
  <c r="W279" i="4"/>
  <c r="BF196" i="5" s="1"/>
  <c r="G280" i="4"/>
  <c r="BM196" i="5" s="1"/>
  <c r="H280" i="4"/>
  <c r="BN196" i="5" s="1"/>
  <c r="I280" i="4"/>
  <c r="BO196" i="5" s="1"/>
  <c r="J280" i="4"/>
  <c r="BP196" i="5" s="1"/>
  <c r="K280" i="4"/>
  <c r="BQ196" i="5" s="1"/>
  <c r="L280" i="4"/>
  <c r="BR196" i="5" s="1"/>
  <c r="M280" i="4"/>
  <c r="BS196" i="5" s="1"/>
  <c r="N280" i="4"/>
  <c r="BT196" i="5" s="1"/>
  <c r="O280" i="4"/>
  <c r="BU196" i="5" s="1"/>
  <c r="P280" i="4"/>
  <c r="BV196" i="5" s="1"/>
  <c r="Q280" i="4"/>
  <c r="BW196" i="5" s="1"/>
  <c r="R280" i="4"/>
  <c r="BX196" i="5" s="1"/>
  <c r="S280" i="4"/>
  <c r="BY196" i="5" s="1"/>
  <c r="T280" i="4"/>
  <c r="BZ196" i="5" s="1"/>
  <c r="U280" i="4"/>
  <c r="CA196" i="5" s="1"/>
  <c r="V280" i="4"/>
  <c r="CB196" i="5" s="1"/>
  <c r="W280" i="4"/>
  <c r="CC196" i="5" s="1"/>
  <c r="G281" i="4"/>
  <c r="CJ196" i="5" s="1"/>
  <c r="H281" i="4"/>
  <c r="CK196" i="5" s="1"/>
  <c r="I281" i="4"/>
  <c r="CL196" i="5" s="1"/>
  <c r="J281" i="4"/>
  <c r="CM196" i="5" s="1"/>
  <c r="K281" i="4"/>
  <c r="CN196" i="5" s="1"/>
  <c r="L281" i="4"/>
  <c r="CO196" i="5" s="1"/>
  <c r="M281" i="4"/>
  <c r="CP196" i="5" s="1"/>
  <c r="N281" i="4"/>
  <c r="CQ196" i="5" s="1"/>
  <c r="O281" i="4"/>
  <c r="CR196" i="5" s="1"/>
  <c r="P281" i="4"/>
  <c r="CS196" i="5" s="1"/>
  <c r="Q281" i="4"/>
  <c r="CT196" i="5" s="1"/>
  <c r="R281" i="4"/>
  <c r="CU196" i="5" s="1"/>
  <c r="S281" i="4"/>
  <c r="CV196" i="5" s="1"/>
  <c r="T281" i="4"/>
  <c r="CW196" i="5" s="1"/>
  <c r="U281" i="4"/>
  <c r="CX196" i="5" s="1"/>
  <c r="V281" i="4"/>
  <c r="CY196" i="5" s="1"/>
  <c r="W281" i="4"/>
  <c r="CZ196" i="5" s="1"/>
  <c r="G282" i="4"/>
  <c r="DG196" i="5" s="1"/>
  <c r="H282" i="4"/>
  <c r="DH196" i="5" s="1"/>
  <c r="I282" i="4"/>
  <c r="DI196" i="5" s="1"/>
  <c r="J282" i="4"/>
  <c r="DJ196" i="5" s="1"/>
  <c r="K282" i="4"/>
  <c r="DK196" i="5" s="1"/>
  <c r="L282" i="4"/>
  <c r="DL196" i="5" s="1"/>
  <c r="M282" i="4"/>
  <c r="DM196" i="5" s="1"/>
  <c r="N282" i="4"/>
  <c r="DN196" i="5" s="1"/>
  <c r="O282" i="4"/>
  <c r="DO196" i="5" s="1"/>
  <c r="P282" i="4"/>
  <c r="DP196" i="5" s="1"/>
  <c r="Q282" i="4"/>
  <c r="DQ196" i="5" s="1"/>
  <c r="R282" i="4"/>
  <c r="DR196" i="5" s="1"/>
  <c r="S282" i="4"/>
  <c r="DS196" i="5" s="1"/>
  <c r="T282" i="4"/>
  <c r="DT196" i="5" s="1"/>
  <c r="U282" i="4"/>
  <c r="DU196" i="5" s="1"/>
  <c r="V282" i="4"/>
  <c r="DV196" i="5" s="1"/>
  <c r="W282" i="4"/>
  <c r="DW196" i="5" s="1"/>
  <c r="G283" i="4"/>
  <c r="ED196" i="5" s="1"/>
  <c r="H283" i="4"/>
  <c r="EE196" i="5" s="1"/>
  <c r="I283" i="4"/>
  <c r="EF196" i="5" s="1"/>
  <c r="J283" i="4"/>
  <c r="EG196" i="5" s="1"/>
  <c r="K283" i="4"/>
  <c r="EH196" i="5" s="1"/>
  <c r="L283" i="4"/>
  <c r="EI196" i="5" s="1"/>
  <c r="M283" i="4"/>
  <c r="EJ196" i="5" s="1"/>
  <c r="N283" i="4"/>
  <c r="EK196" i="5" s="1"/>
  <c r="O283" i="4"/>
  <c r="EL196" i="5" s="1"/>
  <c r="P283" i="4"/>
  <c r="EM196" i="5" s="1"/>
  <c r="Q283" i="4"/>
  <c r="EN196" i="5" s="1"/>
  <c r="R283" i="4"/>
  <c r="EO196" i="5" s="1"/>
  <c r="S283" i="4"/>
  <c r="EP196" i="5" s="1"/>
  <c r="T283" i="4"/>
  <c r="EQ196" i="5" s="1"/>
  <c r="U283" i="4"/>
  <c r="ER196" i="5" s="1"/>
  <c r="V283" i="4"/>
  <c r="ES196" i="5" s="1"/>
  <c r="W283" i="4"/>
  <c r="ET196" i="5" s="1"/>
  <c r="G284" i="4"/>
  <c r="FA196" i="5" s="1"/>
  <c r="H284" i="4"/>
  <c r="FB196" i="5" s="1"/>
  <c r="I284" i="4"/>
  <c r="FC196" i="5" s="1"/>
  <c r="J284" i="4"/>
  <c r="FD196" i="5" s="1"/>
  <c r="K284" i="4"/>
  <c r="FE196" i="5" s="1"/>
  <c r="L284" i="4"/>
  <c r="FF196" i="5" s="1"/>
  <c r="M284" i="4"/>
  <c r="FG196" i="5" s="1"/>
  <c r="N284" i="4"/>
  <c r="FH196" i="5" s="1"/>
  <c r="O284" i="4"/>
  <c r="FI196" i="5" s="1"/>
  <c r="P284" i="4"/>
  <c r="FJ196" i="5" s="1"/>
  <c r="Q284" i="4"/>
  <c r="FK196" i="5" s="1"/>
  <c r="R284" i="4"/>
  <c r="FL196" i="5" s="1"/>
  <c r="S284" i="4"/>
  <c r="FM196" i="5" s="1"/>
  <c r="T284" i="4"/>
  <c r="FN196" i="5" s="1"/>
  <c r="U284" i="4"/>
  <c r="FO196" i="5" s="1"/>
  <c r="V284" i="4"/>
  <c r="FP196" i="5" s="1"/>
  <c r="W284" i="4"/>
  <c r="FQ196" i="5" s="1"/>
  <c r="G285" i="4"/>
  <c r="FX196" i="5" s="1"/>
  <c r="H285" i="4"/>
  <c r="FY196" i="5" s="1"/>
  <c r="I285" i="4"/>
  <c r="FZ196" i="5" s="1"/>
  <c r="J285" i="4"/>
  <c r="GA196" i="5" s="1"/>
  <c r="K285" i="4"/>
  <c r="GB196" i="5" s="1"/>
  <c r="L285" i="4"/>
  <c r="GC196" i="5" s="1"/>
  <c r="M285" i="4"/>
  <c r="GD196" i="5" s="1"/>
  <c r="N285" i="4"/>
  <c r="GE196" i="5" s="1"/>
  <c r="O285" i="4"/>
  <c r="GF196" i="5" s="1"/>
  <c r="P285" i="4"/>
  <c r="GG196" i="5" s="1"/>
  <c r="Q285" i="4"/>
  <c r="GH196" i="5" s="1"/>
  <c r="R285" i="4"/>
  <c r="GI196" i="5" s="1"/>
  <c r="S285" i="4"/>
  <c r="GJ196" i="5" s="1"/>
  <c r="T285" i="4"/>
  <c r="GK196" i="5" s="1"/>
  <c r="U285" i="4"/>
  <c r="GL196" i="5" s="1"/>
  <c r="V285" i="4"/>
  <c r="GM196" i="5" s="1"/>
  <c r="W285" i="4"/>
  <c r="GN196" i="5" s="1"/>
  <c r="G286" i="4"/>
  <c r="GU196" i="5" s="1"/>
  <c r="H286" i="4"/>
  <c r="GV196" i="5" s="1"/>
  <c r="I286" i="4"/>
  <c r="GW196" i="5" s="1"/>
  <c r="J286" i="4"/>
  <c r="GX196" i="5" s="1"/>
  <c r="K286" i="4"/>
  <c r="GY196" i="5" s="1"/>
  <c r="L286" i="4"/>
  <c r="GZ196" i="5" s="1"/>
  <c r="M286" i="4"/>
  <c r="HA196" i="5" s="1"/>
  <c r="N286" i="4"/>
  <c r="HB196" i="5" s="1"/>
  <c r="O286" i="4"/>
  <c r="HC196" i="5" s="1"/>
  <c r="P286" i="4"/>
  <c r="HD196" i="5" s="1"/>
  <c r="Q286" i="4"/>
  <c r="HE196" i="5" s="1"/>
  <c r="R286" i="4"/>
  <c r="HF196" i="5" s="1"/>
  <c r="S286" i="4"/>
  <c r="HG196" i="5" s="1"/>
  <c r="T286" i="4"/>
  <c r="HH196" i="5" s="1"/>
  <c r="U286" i="4"/>
  <c r="HI196" i="5" s="1"/>
  <c r="V286" i="4"/>
  <c r="HJ196" i="5" s="1"/>
  <c r="W286" i="4"/>
  <c r="HK196" i="5" s="1"/>
  <c r="G287" i="4"/>
  <c r="HR196" i="5" s="1"/>
  <c r="H287" i="4"/>
  <c r="HS196" i="5" s="1"/>
  <c r="I287" i="4"/>
  <c r="HT196" i="5" s="1"/>
  <c r="J287" i="4"/>
  <c r="HU196" i="5" s="1"/>
  <c r="K287" i="4"/>
  <c r="HV196" i="5" s="1"/>
  <c r="L287" i="4"/>
  <c r="HW196" i="5" s="1"/>
  <c r="M287" i="4"/>
  <c r="HX196" i="5" s="1"/>
  <c r="N287" i="4"/>
  <c r="HY196" i="5" s="1"/>
  <c r="O287" i="4"/>
  <c r="HZ196" i="5" s="1"/>
  <c r="P287" i="4"/>
  <c r="IA196" i="5" s="1"/>
  <c r="Q287" i="4"/>
  <c r="IB196" i="5" s="1"/>
  <c r="R287" i="4"/>
  <c r="IC196" i="5" s="1"/>
  <c r="S287" i="4"/>
  <c r="ID196" i="5" s="1"/>
  <c r="T287" i="4"/>
  <c r="IE196" i="5" s="1"/>
  <c r="U287" i="4"/>
  <c r="IF196" i="5" s="1"/>
  <c r="V287" i="4"/>
  <c r="IG196" i="5" s="1"/>
  <c r="W287" i="4"/>
  <c r="IH196" i="5" s="1"/>
  <c r="G288" i="4"/>
  <c r="IO196" i="5" s="1"/>
  <c r="H288" i="4"/>
  <c r="IP196" i="5" s="1"/>
  <c r="I288" i="4"/>
  <c r="IQ196" i="5" s="1"/>
  <c r="J288" i="4"/>
  <c r="IR196" i="5" s="1"/>
  <c r="K288" i="4"/>
  <c r="IS196" i="5" s="1"/>
  <c r="L288" i="4"/>
  <c r="IT196" i="5" s="1"/>
  <c r="M288" i="4"/>
  <c r="IU196" i="5" s="1"/>
  <c r="N288" i="4"/>
  <c r="IV196" i="5" s="1"/>
  <c r="O288" i="4"/>
  <c r="F197" i="5" s="1"/>
  <c r="P288" i="4"/>
  <c r="G197" i="5" s="1"/>
  <c r="Q288" i="4"/>
  <c r="H197" i="5" s="1"/>
  <c r="R288" i="4"/>
  <c r="I197" i="5" s="1"/>
  <c r="S288" i="4"/>
  <c r="J197" i="5" s="1"/>
  <c r="T288" i="4"/>
  <c r="K197" i="5" s="1"/>
  <c r="U288" i="4"/>
  <c r="L197" i="5" s="1"/>
  <c r="V288" i="4"/>
  <c r="M197" i="5" s="1"/>
  <c r="W288" i="4"/>
  <c r="N197" i="5" s="1"/>
  <c r="G289" i="4"/>
  <c r="U197" i="5" s="1"/>
  <c r="H289" i="4"/>
  <c r="V197" i="5" s="1"/>
  <c r="I289" i="4"/>
  <c r="W197" i="5" s="1"/>
  <c r="J289" i="4"/>
  <c r="X197" i="5" s="1"/>
  <c r="K289" i="4"/>
  <c r="Y197" i="5" s="1"/>
  <c r="L289" i="4"/>
  <c r="Z197" i="5" s="1"/>
  <c r="M289" i="4"/>
  <c r="AA197" i="5" s="1"/>
  <c r="N289" i="4"/>
  <c r="AB197" i="5" s="1"/>
  <c r="O289" i="4"/>
  <c r="AC197" i="5" s="1"/>
  <c r="P289" i="4"/>
  <c r="AD197" i="5" s="1"/>
  <c r="Q289" i="4"/>
  <c r="AE197" i="5" s="1"/>
  <c r="R289" i="4"/>
  <c r="AF197" i="5" s="1"/>
  <c r="S289" i="4"/>
  <c r="AG197" i="5" s="1"/>
  <c r="T289" i="4"/>
  <c r="AH197" i="5" s="1"/>
  <c r="U289" i="4"/>
  <c r="AI197" i="5" s="1"/>
  <c r="V289" i="4"/>
  <c r="AJ197" i="5" s="1"/>
  <c r="W289" i="4"/>
  <c r="AK197" i="5" s="1"/>
  <c r="G290" i="4"/>
  <c r="AR197" i="5" s="1"/>
  <c r="H290" i="4"/>
  <c r="AS197" i="5" s="1"/>
  <c r="I290" i="4"/>
  <c r="AT197" i="5" s="1"/>
  <c r="J290" i="4"/>
  <c r="AU197" i="5" s="1"/>
  <c r="K290" i="4"/>
  <c r="AV197" i="5" s="1"/>
  <c r="L290" i="4"/>
  <c r="AW197" i="5" s="1"/>
  <c r="M290" i="4"/>
  <c r="AX197" i="5" s="1"/>
  <c r="N290" i="4"/>
  <c r="AY197" i="5" s="1"/>
  <c r="O290" i="4"/>
  <c r="AZ197" i="5" s="1"/>
  <c r="P290" i="4"/>
  <c r="BA197" i="5" s="1"/>
  <c r="Q290" i="4"/>
  <c r="BB197" i="5" s="1"/>
  <c r="R290" i="4"/>
  <c r="BC197" i="5" s="1"/>
  <c r="S290" i="4"/>
  <c r="BD197" i="5" s="1"/>
  <c r="T290" i="4"/>
  <c r="BE197" i="5" s="1"/>
  <c r="U290" i="4"/>
  <c r="BF197" i="5" s="1"/>
  <c r="V290" i="4"/>
  <c r="BG197" i="5" s="1"/>
  <c r="W290" i="4"/>
  <c r="BH197" i="5" s="1"/>
  <c r="G291" i="4"/>
  <c r="BO197" i="5" s="1"/>
  <c r="H291" i="4"/>
  <c r="BP197" i="5" s="1"/>
  <c r="I291" i="4"/>
  <c r="BQ197" i="5" s="1"/>
  <c r="J291" i="4"/>
  <c r="BR197" i="5" s="1"/>
  <c r="K291" i="4"/>
  <c r="BS197" i="5" s="1"/>
  <c r="L291" i="4"/>
  <c r="BT197" i="5" s="1"/>
  <c r="M291" i="4"/>
  <c r="BU197" i="5" s="1"/>
  <c r="N291" i="4"/>
  <c r="BV197" i="5" s="1"/>
  <c r="O291" i="4"/>
  <c r="BW197" i="5" s="1"/>
  <c r="P291" i="4"/>
  <c r="BX197" i="5" s="1"/>
  <c r="Q291" i="4"/>
  <c r="BY197" i="5" s="1"/>
  <c r="R291" i="4"/>
  <c r="BZ197" i="5" s="1"/>
  <c r="S291" i="4"/>
  <c r="CA197" i="5" s="1"/>
  <c r="T291" i="4"/>
  <c r="CB197" i="5" s="1"/>
  <c r="U291" i="4"/>
  <c r="CC197" i="5" s="1"/>
  <c r="V291" i="4"/>
  <c r="CD197" i="5" s="1"/>
  <c r="W291" i="4"/>
  <c r="CE197" i="5" s="1"/>
  <c r="G292" i="4"/>
  <c r="CL197" i="5" s="1"/>
  <c r="H292" i="4"/>
  <c r="CM197" i="5" s="1"/>
  <c r="I292" i="4"/>
  <c r="CN197" i="5" s="1"/>
  <c r="J292" i="4"/>
  <c r="CO197" i="5" s="1"/>
  <c r="K292" i="4"/>
  <c r="CP197" i="5" s="1"/>
  <c r="L292" i="4"/>
  <c r="CQ197" i="5" s="1"/>
  <c r="M292" i="4"/>
  <c r="CR197" i="5" s="1"/>
  <c r="N292" i="4"/>
  <c r="CS197" i="5" s="1"/>
  <c r="O292" i="4"/>
  <c r="CT197" i="5" s="1"/>
  <c r="P292" i="4"/>
  <c r="CU197" i="5" s="1"/>
  <c r="Q292" i="4"/>
  <c r="CV197" i="5" s="1"/>
  <c r="R292" i="4"/>
  <c r="CW197" i="5" s="1"/>
  <c r="S292" i="4"/>
  <c r="CX197" i="5" s="1"/>
  <c r="T292" i="4"/>
  <c r="CY197" i="5" s="1"/>
  <c r="U292" i="4"/>
  <c r="CZ197" i="5" s="1"/>
  <c r="V292" i="4"/>
  <c r="DA197" i="5" s="1"/>
  <c r="W292" i="4"/>
  <c r="DB197" i="5" s="1"/>
  <c r="G293" i="4"/>
  <c r="DI197" i="5" s="1"/>
  <c r="H293" i="4"/>
  <c r="DJ197" i="5" s="1"/>
  <c r="I293" i="4"/>
  <c r="DK197" i="5" s="1"/>
  <c r="J293" i="4"/>
  <c r="DL197" i="5" s="1"/>
  <c r="K293" i="4"/>
  <c r="DM197" i="5" s="1"/>
  <c r="L293" i="4"/>
  <c r="DN197" i="5" s="1"/>
  <c r="M293" i="4"/>
  <c r="DO197" i="5" s="1"/>
  <c r="N293" i="4"/>
  <c r="DP197" i="5" s="1"/>
  <c r="O293" i="4"/>
  <c r="DQ197" i="5" s="1"/>
  <c r="P293" i="4"/>
  <c r="DR197" i="5" s="1"/>
  <c r="Q293" i="4"/>
  <c r="DS197" i="5" s="1"/>
  <c r="R293" i="4"/>
  <c r="DT197" i="5" s="1"/>
  <c r="S293" i="4"/>
  <c r="DU197" i="5" s="1"/>
  <c r="T293" i="4"/>
  <c r="DV197" i="5" s="1"/>
  <c r="U293" i="4"/>
  <c r="DW197" i="5" s="1"/>
  <c r="V293" i="4"/>
  <c r="DX197" i="5" s="1"/>
  <c r="W293" i="4"/>
  <c r="DY197" i="5" s="1"/>
  <c r="G294" i="4"/>
  <c r="EF197" i="5" s="1"/>
  <c r="H294" i="4"/>
  <c r="EG197" i="5" s="1"/>
  <c r="I294" i="4"/>
  <c r="EH197" i="5" s="1"/>
  <c r="J294" i="4"/>
  <c r="EI197" i="5" s="1"/>
  <c r="K294" i="4"/>
  <c r="EJ197" i="5" s="1"/>
  <c r="L294" i="4"/>
  <c r="EK197" i="5" s="1"/>
  <c r="M294" i="4"/>
  <c r="EL197" i="5" s="1"/>
  <c r="N294" i="4"/>
  <c r="EM197" i="5" s="1"/>
  <c r="O294" i="4"/>
  <c r="EN197" i="5" s="1"/>
  <c r="P294" i="4"/>
  <c r="EO197" i="5" s="1"/>
  <c r="Q294" i="4"/>
  <c r="EP197" i="5" s="1"/>
  <c r="R294" i="4"/>
  <c r="EQ197" i="5" s="1"/>
  <c r="S294" i="4"/>
  <c r="ER197" i="5" s="1"/>
  <c r="T294" i="4"/>
  <c r="ES197" i="5" s="1"/>
  <c r="U294" i="4"/>
  <c r="ET197" i="5" s="1"/>
  <c r="V294" i="4"/>
  <c r="EU197" i="5" s="1"/>
  <c r="W294" i="4"/>
  <c r="EV197" i="5" s="1"/>
  <c r="G295" i="4"/>
  <c r="FC197" i="5" s="1"/>
  <c r="H295" i="4"/>
  <c r="FD197" i="5" s="1"/>
  <c r="I295" i="4"/>
  <c r="FE197" i="5" s="1"/>
  <c r="J295" i="4"/>
  <c r="FF197" i="5" s="1"/>
  <c r="K295" i="4"/>
  <c r="FG197" i="5" s="1"/>
  <c r="L295" i="4"/>
  <c r="FH197" i="5" s="1"/>
  <c r="M295" i="4"/>
  <c r="FI197" i="5" s="1"/>
  <c r="N295" i="4"/>
  <c r="FJ197" i="5" s="1"/>
  <c r="O295" i="4"/>
  <c r="FK197" i="5" s="1"/>
  <c r="P295" i="4"/>
  <c r="FL197" i="5" s="1"/>
  <c r="Q295" i="4"/>
  <c r="FM197" i="5" s="1"/>
  <c r="R295" i="4"/>
  <c r="FN197" i="5" s="1"/>
  <c r="S295" i="4"/>
  <c r="FO197" i="5" s="1"/>
  <c r="T295" i="4"/>
  <c r="FP197" i="5" s="1"/>
  <c r="U295" i="4"/>
  <c r="FQ197" i="5" s="1"/>
  <c r="V295" i="4"/>
  <c r="FR197" i="5" s="1"/>
  <c r="W295" i="4"/>
  <c r="FS197" i="5" s="1"/>
  <c r="G296" i="4"/>
  <c r="FZ197" i="5" s="1"/>
  <c r="H296" i="4"/>
  <c r="GA197" i="5" s="1"/>
  <c r="I296" i="4"/>
  <c r="GB197" i="5" s="1"/>
  <c r="J296" i="4"/>
  <c r="GC197" i="5" s="1"/>
  <c r="K296" i="4"/>
  <c r="GD197" i="5" s="1"/>
  <c r="L296" i="4"/>
  <c r="GE197" i="5" s="1"/>
  <c r="M296" i="4"/>
  <c r="GF197" i="5" s="1"/>
  <c r="N296" i="4"/>
  <c r="GG197" i="5" s="1"/>
  <c r="O296" i="4"/>
  <c r="GH197" i="5" s="1"/>
  <c r="P296" i="4"/>
  <c r="GI197" i="5" s="1"/>
  <c r="Q296" i="4"/>
  <c r="GJ197" i="5" s="1"/>
  <c r="R296" i="4"/>
  <c r="GK197" i="5" s="1"/>
  <c r="S296" i="4"/>
  <c r="GL197" i="5" s="1"/>
  <c r="T296" i="4"/>
  <c r="GM197" i="5" s="1"/>
  <c r="U296" i="4"/>
  <c r="GN197" i="5" s="1"/>
  <c r="V296" i="4"/>
  <c r="GO197" i="5" s="1"/>
  <c r="W296" i="4"/>
  <c r="GP197" i="5" s="1"/>
  <c r="G297" i="4"/>
  <c r="GW197" i="5" s="1"/>
  <c r="H297" i="4"/>
  <c r="GX197" i="5" s="1"/>
  <c r="I297" i="4"/>
  <c r="GY197" i="5" s="1"/>
  <c r="J297" i="4"/>
  <c r="GZ197" i="5" s="1"/>
  <c r="K297" i="4"/>
  <c r="HA197" i="5" s="1"/>
  <c r="L297" i="4"/>
  <c r="HB197" i="5" s="1"/>
  <c r="M297" i="4"/>
  <c r="HC197" i="5" s="1"/>
  <c r="N297" i="4"/>
  <c r="HD197" i="5" s="1"/>
  <c r="O297" i="4"/>
  <c r="HE197" i="5" s="1"/>
  <c r="P297" i="4"/>
  <c r="HF197" i="5" s="1"/>
  <c r="Q297" i="4"/>
  <c r="HG197" i="5" s="1"/>
  <c r="R297" i="4"/>
  <c r="HH197" i="5" s="1"/>
  <c r="S297" i="4"/>
  <c r="HI197" i="5" s="1"/>
  <c r="T297" i="4"/>
  <c r="HJ197" i="5" s="1"/>
  <c r="U297" i="4"/>
  <c r="HK197" i="5" s="1"/>
  <c r="V297" i="4"/>
  <c r="HL197" i="5" s="1"/>
  <c r="W297" i="4"/>
  <c r="HM197" i="5" s="1"/>
  <c r="G298" i="4"/>
  <c r="HT197" i="5" s="1"/>
  <c r="H298" i="4"/>
  <c r="HU197" i="5" s="1"/>
  <c r="I298" i="4"/>
  <c r="HV197" i="5" s="1"/>
  <c r="J298" i="4"/>
  <c r="HW197" i="5" s="1"/>
  <c r="K298" i="4"/>
  <c r="HX197" i="5" s="1"/>
  <c r="L298" i="4"/>
  <c r="HY197" i="5" s="1"/>
  <c r="M298" i="4"/>
  <c r="HZ197" i="5" s="1"/>
  <c r="N298" i="4"/>
  <c r="IA197" i="5" s="1"/>
  <c r="O298" i="4"/>
  <c r="IB197" i="5" s="1"/>
  <c r="P298" i="4"/>
  <c r="IC197" i="5" s="1"/>
  <c r="Q298" i="4"/>
  <c r="ID197" i="5" s="1"/>
  <c r="R298" i="4"/>
  <c r="IE197" i="5" s="1"/>
  <c r="S298" i="4"/>
  <c r="IF197" i="5" s="1"/>
  <c r="T298" i="4"/>
  <c r="IG197" i="5" s="1"/>
  <c r="U298" i="4"/>
  <c r="IH197" i="5" s="1"/>
  <c r="V298" i="4"/>
  <c r="II197" i="5" s="1"/>
  <c r="W298" i="4"/>
  <c r="IJ197" i="5" s="1"/>
  <c r="G299" i="4"/>
  <c r="IQ197" i="5" s="1"/>
  <c r="H299" i="4"/>
  <c r="IR197" i="5" s="1"/>
  <c r="I299" i="4"/>
  <c r="IS197" i="5" s="1"/>
  <c r="J299" i="4"/>
  <c r="IT197" i="5" s="1"/>
  <c r="K299" i="4"/>
  <c r="IU197" i="5" s="1"/>
  <c r="L299" i="4"/>
  <c r="IV197" i="5" s="1"/>
  <c r="M299" i="4"/>
  <c r="F198" i="5" s="1"/>
  <c r="N299" i="4"/>
  <c r="G198" i="5" s="1"/>
  <c r="O299" i="4"/>
  <c r="H198" i="5" s="1"/>
  <c r="P299" i="4"/>
  <c r="I198" i="5" s="1"/>
  <c r="Q299" i="4"/>
  <c r="J198" i="5" s="1"/>
  <c r="R299" i="4"/>
  <c r="K198" i="5" s="1"/>
  <c r="S299" i="4"/>
  <c r="L198" i="5" s="1"/>
  <c r="T299" i="4"/>
  <c r="M198" i="5" s="1"/>
  <c r="U299" i="4"/>
  <c r="N198" i="5" s="1"/>
  <c r="V299" i="4"/>
  <c r="O198" i="5" s="1"/>
  <c r="W299" i="4"/>
  <c r="P198" i="5" s="1"/>
  <c r="G300" i="4"/>
  <c r="W198" i="5" s="1"/>
  <c r="H300" i="4"/>
  <c r="X198" i="5" s="1"/>
  <c r="I300" i="4"/>
  <c r="Y198" i="5" s="1"/>
  <c r="J300" i="4"/>
  <c r="Z198" i="5" s="1"/>
  <c r="K300" i="4"/>
  <c r="AA198" i="5" s="1"/>
  <c r="L300" i="4"/>
  <c r="AB198" i="5" s="1"/>
  <c r="M300" i="4"/>
  <c r="AC198" i="5" s="1"/>
  <c r="N300" i="4"/>
  <c r="AD198" i="5" s="1"/>
  <c r="O300" i="4"/>
  <c r="AE198" i="5" s="1"/>
  <c r="P300" i="4"/>
  <c r="AF198" i="5" s="1"/>
  <c r="Q300" i="4"/>
  <c r="AG198" i="5" s="1"/>
  <c r="R300" i="4"/>
  <c r="AH198" i="5" s="1"/>
  <c r="S300" i="4"/>
  <c r="AI198" i="5" s="1"/>
  <c r="T300" i="4"/>
  <c r="AJ198" i="5" s="1"/>
  <c r="U300" i="4"/>
  <c r="AK198" i="5" s="1"/>
  <c r="V300" i="4"/>
  <c r="AL198" i="5" s="1"/>
  <c r="W300" i="4"/>
  <c r="AM198" i="5" s="1"/>
  <c r="G301" i="4"/>
  <c r="AT198" i="5" s="1"/>
  <c r="H301" i="4"/>
  <c r="AU198" i="5" s="1"/>
  <c r="I301" i="4"/>
  <c r="AV198" i="5" s="1"/>
  <c r="J301" i="4"/>
  <c r="AW198" i="5" s="1"/>
  <c r="K301" i="4"/>
  <c r="AX198" i="5" s="1"/>
  <c r="L301" i="4"/>
  <c r="AY198" i="5" s="1"/>
  <c r="M301" i="4"/>
  <c r="AZ198" i="5" s="1"/>
  <c r="N301" i="4"/>
  <c r="BA198" i="5" s="1"/>
  <c r="O301" i="4"/>
  <c r="BB198" i="5" s="1"/>
  <c r="P301" i="4"/>
  <c r="BC198" i="5" s="1"/>
  <c r="Q301" i="4"/>
  <c r="BD198" i="5" s="1"/>
  <c r="R301" i="4"/>
  <c r="BE198" i="5" s="1"/>
  <c r="S301" i="4"/>
  <c r="BF198" i="5" s="1"/>
  <c r="T301" i="4"/>
  <c r="BG198" i="5" s="1"/>
  <c r="U301" i="4"/>
  <c r="BH198" i="5" s="1"/>
  <c r="V301" i="4"/>
  <c r="BI198" i="5" s="1"/>
  <c r="W301" i="4"/>
  <c r="BJ198" i="5" s="1"/>
  <c r="G302" i="4"/>
  <c r="BQ198" i="5" s="1"/>
  <c r="H302" i="4"/>
  <c r="BR198" i="5" s="1"/>
  <c r="I302" i="4"/>
  <c r="BS198" i="5" s="1"/>
  <c r="J302" i="4"/>
  <c r="BT198" i="5" s="1"/>
  <c r="K302" i="4"/>
  <c r="BU198" i="5" s="1"/>
  <c r="L302" i="4"/>
  <c r="BV198" i="5" s="1"/>
  <c r="M302" i="4"/>
  <c r="BW198" i="5" s="1"/>
  <c r="N302" i="4"/>
  <c r="BX198" i="5" s="1"/>
  <c r="O302" i="4"/>
  <c r="BY198" i="5" s="1"/>
  <c r="P302" i="4"/>
  <c r="BZ198" i="5" s="1"/>
  <c r="Q302" i="4"/>
  <c r="CA198" i="5" s="1"/>
  <c r="R302" i="4"/>
  <c r="CB198" i="5" s="1"/>
  <c r="S302" i="4"/>
  <c r="CC198" i="5" s="1"/>
  <c r="T302" i="4"/>
  <c r="CD198" i="5" s="1"/>
  <c r="U302" i="4"/>
  <c r="CE198" i="5" s="1"/>
  <c r="V302" i="4"/>
  <c r="CF198" i="5" s="1"/>
  <c r="W302" i="4"/>
  <c r="CG198" i="5" s="1"/>
  <c r="G303" i="4"/>
  <c r="CN198" i="5" s="1"/>
  <c r="H303" i="4"/>
  <c r="CO198" i="5" s="1"/>
  <c r="I303" i="4"/>
  <c r="CP198" i="5" s="1"/>
  <c r="J303" i="4"/>
  <c r="CQ198" i="5" s="1"/>
  <c r="K303" i="4"/>
  <c r="CR198" i="5" s="1"/>
  <c r="L303" i="4"/>
  <c r="CS198" i="5" s="1"/>
  <c r="M303" i="4"/>
  <c r="CT198" i="5" s="1"/>
  <c r="N303" i="4"/>
  <c r="CU198" i="5" s="1"/>
  <c r="O303" i="4"/>
  <c r="CV198" i="5" s="1"/>
  <c r="P303" i="4"/>
  <c r="CW198" i="5" s="1"/>
  <c r="Q303" i="4"/>
  <c r="CX198" i="5" s="1"/>
  <c r="R303" i="4"/>
  <c r="CY198" i="5" s="1"/>
  <c r="S303" i="4"/>
  <c r="CZ198" i="5" s="1"/>
  <c r="T303" i="4"/>
  <c r="DA198" i="5" s="1"/>
  <c r="U303" i="4"/>
  <c r="DB198" i="5" s="1"/>
  <c r="V303" i="4"/>
  <c r="DC198" i="5" s="1"/>
  <c r="W303" i="4"/>
  <c r="DD198" i="5" s="1"/>
  <c r="G304" i="4"/>
  <c r="DK198" i="5" s="1"/>
  <c r="H304" i="4"/>
  <c r="DL198" i="5" s="1"/>
  <c r="I304" i="4"/>
  <c r="DM198" i="5" s="1"/>
  <c r="J304" i="4"/>
  <c r="DN198" i="5" s="1"/>
  <c r="K304" i="4"/>
  <c r="DO198" i="5" s="1"/>
  <c r="L304" i="4"/>
  <c r="DP198" i="5" s="1"/>
  <c r="M304" i="4"/>
  <c r="DQ198" i="5" s="1"/>
  <c r="N304" i="4"/>
  <c r="DR198" i="5" s="1"/>
  <c r="O304" i="4"/>
  <c r="DS198" i="5" s="1"/>
  <c r="P304" i="4"/>
  <c r="DT198" i="5" s="1"/>
  <c r="Q304" i="4"/>
  <c r="DU198" i="5" s="1"/>
  <c r="R304" i="4"/>
  <c r="DV198" i="5" s="1"/>
  <c r="S304" i="4"/>
  <c r="DW198" i="5" s="1"/>
  <c r="T304" i="4"/>
  <c r="DX198" i="5" s="1"/>
  <c r="U304" i="4"/>
  <c r="DY198" i="5" s="1"/>
  <c r="V304" i="4"/>
  <c r="DZ198" i="5" s="1"/>
  <c r="W304" i="4"/>
  <c r="EA198" i="5" s="1"/>
  <c r="G305" i="4"/>
  <c r="EH198" i="5" s="1"/>
  <c r="H305" i="4"/>
  <c r="EI198" i="5" s="1"/>
  <c r="I305" i="4"/>
  <c r="EJ198" i="5" s="1"/>
  <c r="J305" i="4"/>
  <c r="EK198" i="5" s="1"/>
  <c r="K305" i="4"/>
  <c r="EL198" i="5" s="1"/>
  <c r="L305" i="4"/>
  <c r="EM198" i="5" s="1"/>
  <c r="M305" i="4"/>
  <c r="EN198" i="5" s="1"/>
  <c r="N305" i="4"/>
  <c r="EO198" i="5" s="1"/>
  <c r="O305" i="4"/>
  <c r="EP198" i="5" s="1"/>
  <c r="P305" i="4"/>
  <c r="EQ198" i="5" s="1"/>
  <c r="Q305" i="4"/>
  <c r="ER198" i="5" s="1"/>
  <c r="R305" i="4"/>
  <c r="ES198" i="5" s="1"/>
  <c r="S305" i="4"/>
  <c r="ET198" i="5" s="1"/>
  <c r="T305" i="4"/>
  <c r="EU198" i="5" s="1"/>
  <c r="U305" i="4"/>
  <c r="EV198" i="5" s="1"/>
  <c r="V305" i="4"/>
  <c r="EW198" i="5" s="1"/>
  <c r="W305" i="4"/>
  <c r="EX198" i="5" s="1"/>
  <c r="G306" i="4"/>
  <c r="FE198" i="5" s="1"/>
  <c r="H306" i="4"/>
  <c r="FF198" i="5" s="1"/>
  <c r="I306" i="4"/>
  <c r="FG198" i="5" s="1"/>
  <c r="J306" i="4"/>
  <c r="FH198" i="5" s="1"/>
  <c r="K306" i="4"/>
  <c r="FI198" i="5" s="1"/>
  <c r="L306" i="4"/>
  <c r="FJ198" i="5" s="1"/>
  <c r="M306" i="4"/>
  <c r="FK198" i="5" s="1"/>
  <c r="N306" i="4"/>
  <c r="FL198" i="5" s="1"/>
  <c r="O306" i="4"/>
  <c r="FM198" i="5" s="1"/>
  <c r="P306" i="4"/>
  <c r="FN198" i="5" s="1"/>
  <c r="Q306" i="4"/>
  <c r="FO198" i="5" s="1"/>
  <c r="R306" i="4"/>
  <c r="FP198" i="5" s="1"/>
  <c r="S306" i="4"/>
  <c r="FQ198" i="5" s="1"/>
  <c r="T306" i="4"/>
  <c r="FR198" i="5" s="1"/>
  <c r="U306" i="4"/>
  <c r="FS198" i="5" s="1"/>
  <c r="V306" i="4"/>
  <c r="FT198" i="5" s="1"/>
  <c r="W306" i="4"/>
  <c r="FU198" i="5" s="1"/>
  <c r="G307" i="4"/>
  <c r="GB198" i="5" s="1"/>
  <c r="H307" i="4"/>
  <c r="GC198" i="5" s="1"/>
  <c r="I307" i="4"/>
  <c r="GD198" i="5" s="1"/>
  <c r="J307" i="4"/>
  <c r="GE198" i="5" s="1"/>
  <c r="K307" i="4"/>
  <c r="GF198" i="5" s="1"/>
  <c r="L307" i="4"/>
  <c r="GG198" i="5" s="1"/>
  <c r="M307" i="4"/>
  <c r="GH198" i="5" s="1"/>
  <c r="N307" i="4"/>
  <c r="GI198" i="5" s="1"/>
  <c r="O307" i="4"/>
  <c r="GJ198" i="5" s="1"/>
  <c r="P307" i="4"/>
  <c r="GK198" i="5" s="1"/>
  <c r="Q307" i="4"/>
  <c r="GL198" i="5" s="1"/>
  <c r="R307" i="4"/>
  <c r="GM198" i="5" s="1"/>
  <c r="S307" i="4"/>
  <c r="GN198" i="5" s="1"/>
  <c r="T307" i="4"/>
  <c r="GO198" i="5" s="1"/>
  <c r="U307" i="4"/>
  <c r="GP198" i="5" s="1"/>
  <c r="V307" i="4"/>
  <c r="GQ198" i="5" s="1"/>
  <c r="W307" i="4"/>
  <c r="GR198" i="5" s="1"/>
  <c r="G308" i="4"/>
  <c r="GY198" i="5" s="1"/>
  <c r="H308" i="4"/>
  <c r="GZ198" i="5" s="1"/>
  <c r="I308" i="4"/>
  <c r="HA198" i="5" s="1"/>
  <c r="J308" i="4"/>
  <c r="HB198" i="5" s="1"/>
  <c r="K308" i="4"/>
  <c r="HC198" i="5" s="1"/>
  <c r="L308" i="4"/>
  <c r="HD198" i="5" s="1"/>
  <c r="M308" i="4"/>
  <c r="HE198" i="5" s="1"/>
  <c r="N308" i="4"/>
  <c r="HF198" i="5" s="1"/>
  <c r="O308" i="4"/>
  <c r="HG198" i="5" s="1"/>
  <c r="P308" i="4"/>
  <c r="HH198" i="5" s="1"/>
  <c r="Q308" i="4"/>
  <c r="HI198" i="5" s="1"/>
  <c r="R308" i="4"/>
  <c r="HJ198" i="5" s="1"/>
  <c r="S308" i="4"/>
  <c r="HK198" i="5" s="1"/>
  <c r="T308" i="4"/>
  <c r="HL198" i="5" s="1"/>
  <c r="U308" i="4"/>
  <c r="HM198" i="5" s="1"/>
  <c r="V308" i="4"/>
  <c r="HN198" i="5" s="1"/>
  <c r="W308" i="4"/>
  <c r="HO198" i="5" s="1"/>
  <c r="G309" i="4"/>
  <c r="HV198" i="5" s="1"/>
  <c r="H309" i="4"/>
  <c r="HW198" i="5" s="1"/>
  <c r="I309" i="4"/>
  <c r="HX198" i="5" s="1"/>
  <c r="J309" i="4"/>
  <c r="HY198" i="5" s="1"/>
  <c r="K309" i="4"/>
  <c r="HZ198" i="5" s="1"/>
  <c r="L309" i="4"/>
  <c r="IA198" i="5" s="1"/>
  <c r="M309" i="4"/>
  <c r="IB198" i="5" s="1"/>
  <c r="N309" i="4"/>
  <c r="IC198" i="5" s="1"/>
  <c r="O309" i="4"/>
  <c r="ID198" i="5" s="1"/>
  <c r="P309" i="4"/>
  <c r="IE198" i="5" s="1"/>
  <c r="Q309" i="4"/>
  <c r="IF198" i="5" s="1"/>
  <c r="R309" i="4"/>
  <c r="IG198" i="5" s="1"/>
  <c r="S309" i="4"/>
  <c r="IH198" i="5" s="1"/>
  <c r="T309" i="4"/>
  <c r="II198" i="5" s="1"/>
  <c r="U309" i="4"/>
  <c r="IJ198" i="5" s="1"/>
  <c r="V309" i="4"/>
  <c r="IK198" i="5" s="1"/>
  <c r="W309" i="4"/>
  <c r="IL198" i="5" s="1"/>
  <c r="G310" i="4"/>
  <c r="IS198" i="5" s="1"/>
  <c r="H310" i="4"/>
  <c r="IT198" i="5" s="1"/>
  <c r="I310" i="4"/>
  <c r="IU198" i="5" s="1"/>
  <c r="J310" i="4"/>
  <c r="IV198" i="5" s="1"/>
  <c r="K310" i="4"/>
  <c r="F199" i="5" s="1"/>
  <c r="L310" i="4"/>
  <c r="G199" i="5" s="1"/>
  <c r="M310" i="4"/>
  <c r="H199" i="5" s="1"/>
  <c r="N310" i="4"/>
  <c r="I199" i="5" s="1"/>
  <c r="O310" i="4"/>
  <c r="J199" i="5" s="1"/>
  <c r="P310" i="4"/>
  <c r="K199" i="5" s="1"/>
  <c r="Q310" i="4"/>
  <c r="L199" i="5" s="1"/>
  <c r="R310" i="4"/>
  <c r="M199" i="5" s="1"/>
  <c r="S310" i="4"/>
  <c r="N199" i="5" s="1"/>
  <c r="T310" i="4"/>
  <c r="O199" i="5" s="1"/>
  <c r="U310" i="4"/>
  <c r="P199" i="5" s="1"/>
  <c r="V310" i="4"/>
  <c r="Q199" i="5" s="1"/>
  <c r="W310" i="4"/>
  <c r="R199" i="5" s="1"/>
  <c r="G311" i="4"/>
  <c r="Y199" i="5" s="1"/>
  <c r="H311" i="4"/>
  <c r="Z199" i="5" s="1"/>
  <c r="I311" i="4"/>
  <c r="AA199" i="5" s="1"/>
  <c r="J311" i="4"/>
  <c r="AB199" i="5" s="1"/>
  <c r="K311" i="4"/>
  <c r="AC199" i="5" s="1"/>
  <c r="L311" i="4"/>
  <c r="AD199" i="5" s="1"/>
  <c r="M311" i="4"/>
  <c r="AE199" i="5" s="1"/>
  <c r="N311" i="4"/>
  <c r="AF199" i="5" s="1"/>
  <c r="O311" i="4"/>
  <c r="AG199" i="5" s="1"/>
  <c r="P311" i="4"/>
  <c r="AH199" i="5" s="1"/>
  <c r="Q311" i="4"/>
  <c r="AI199" i="5" s="1"/>
  <c r="R311" i="4"/>
  <c r="AJ199" i="5" s="1"/>
  <c r="S311" i="4"/>
  <c r="AK199" i="5" s="1"/>
  <c r="T311" i="4"/>
  <c r="AL199" i="5" s="1"/>
  <c r="U311" i="4"/>
  <c r="AM199" i="5" s="1"/>
  <c r="V311" i="4"/>
  <c r="AN199" i="5" s="1"/>
  <c r="W311" i="4"/>
  <c r="AO199" i="5" s="1"/>
  <c r="G312" i="4"/>
  <c r="AV199" i="5" s="1"/>
  <c r="H312" i="4"/>
  <c r="AW199" i="5" s="1"/>
  <c r="I312" i="4"/>
  <c r="AX199" i="5" s="1"/>
  <c r="J312" i="4"/>
  <c r="AY199" i="5" s="1"/>
  <c r="K312" i="4"/>
  <c r="AZ199" i="5" s="1"/>
  <c r="L312" i="4"/>
  <c r="BA199" i="5" s="1"/>
  <c r="M312" i="4"/>
  <c r="BB199" i="5" s="1"/>
  <c r="N312" i="4"/>
  <c r="BC199" i="5" s="1"/>
  <c r="O312" i="4"/>
  <c r="BD199" i="5" s="1"/>
  <c r="P312" i="4"/>
  <c r="BE199" i="5" s="1"/>
  <c r="Q312" i="4"/>
  <c r="BF199" i="5" s="1"/>
  <c r="R312" i="4"/>
  <c r="BG199" i="5" s="1"/>
  <c r="S312" i="4"/>
  <c r="BH199" i="5" s="1"/>
  <c r="T312" i="4"/>
  <c r="BI199" i="5" s="1"/>
  <c r="U312" i="4"/>
  <c r="BJ199" i="5" s="1"/>
  <c r="V312" i="4"/>
  <c r="BK199" i="5" s="1"/>
  <c r="W312" i="4"/>
  <c r="BL199" i="5" s="1"/>
  <c r="G313" i="4"/>
  <c r="BS199" i="5" s="1"/>
  <c r="H313" i="4"/>
  <c r="BT199" i="5" s="1"/>
  <c r="I313" i="4"/>
  <c r="BU199" i="5" s="1"/>
  <c r="J313" i="4"/>
  <c r="BV199" i="5" s="1"/>
  <c r="K313" i="4"/>
  <c r="BW199" i="5" s="1"/>
  <c r="L313" i="4"/>
  <c r="BX199" i="5" s="1"/>
  <c r="M313" i="4"/>
  <c r="BY199" i="5" s="1"/>
  <c r="N313" i="4"/>
  <c r="BZ199" i="5" s="1"/>
  <c r="O313" i="4"/>
  <c r="CA199" i="5" s="1"/>
  <c r="P313" i="4"/>
  <c r="CB199" i="5" s="1"/>
  <c r="Q313" i="4"/>
  <c r="CC199" i="5" s="1"/>
  <c r="R313" i="4"/>
  <c r="CD199" i="5" s="1"/>
  <c r="S313" i="4"/>
  <c r="CE199" i="5" s="1"/>
  <c r="T313" i="4"/>
  <c r="CF199" i="5" s="1"/>
  <c r="U313" i="4"/>
  <c r="CG199" i="5" s="1"/>
  <c r="V313" i="4"/>
  <c r="CH199" i="5" s="1"/>
  <c r="W313" i="4"/>
  <c r="CI199" i="5" s="1"/>
  <c r="G314" i="4"/>
  <c r="CP199" i="5" s="1"/>
  <c r="H314" i="4"/>
  <c r="CQ199" i="5" s="1"/>
  <c r="I314" i="4"/>
  <c r="CR199" i="5" s="1"/>
  <c r="J314" i="4"/>
  <c r="CS199" i="5" s="1"/>
  <c r="K314" i="4"/>
  <c r="CT199" i="5" s="1"/>
  <c r="L314" i="4"/>
  <c r="CU199" i="5" s="1"/>
  <c r="M314" i="4"/>
  <c r="CV199" i="5" s="1"/>
  <c r="N314" i="4"/>
  <c r="CW199" i="5" s="1"/>
  <c r="O314" i="4"/>
  <c r="CX199" i="5" s="1"/>
  <c r="P314" i="4"/>
  <c r="CY199" i="5" s="1"/>
  <c r="Q314" i="4"/>
  <c r="CZ199" i="5" s="1"/>
  <c r="R314" i="4"/>
  <c r="DA199" i="5" s="1"/>
  <c r="S314" i="4"/>
  <c r="DB199" i="5" s="1"/>
  <c r="T314" i="4"/>
  <c r="DC199" i="5" s="1"/>
  <c r="U314" i="4"/>
  <c r="DD199" i="5" s="1"/>
  <c r="V314" i="4"/>
  <c r="DE199" i="5" s="1"/>
  <c r="W314" i="4"/>
  <c r="DF199" i="5" s="1"/>
  <c r="G315" i="4"/>
  <c r="DM199" i="5" s="1"/>
  <c r="H315" i="4"/>
  <c r="DN199" i="5" s="1"/>
  <c r="I315" i="4"/>
  <c r="DO199" i="5" s="1"/>
  <c r="J315" i="4"/>
  <c r="DP199" i="5" s="1"/>
  <c r="K315" i="4"/>
  <c r="DQ199" i="5" s="1"/>
  <c r="L315" i="4"/>
  <c r="DR199" i="5" s="1"/>
  <c r="M315" i="4"/>
  <c r="DS199" i="5" s="1"/>
  <c r="N315" i="4"/>
  <c r="DT199" i="5" s="1"/>
  <c r="O315" i="4"/>
  <c r="DU199" i="5" s="1"/>
  <c r="P315" i="4"/>
  <c r="DV199" i="5" s="1"/>
  <c r="Q315" i="4"/>
  <c r="DW199" i="5" s="1"/>
  <c r="R315" i="4"/>
  <c r="DX199" i="5" s="1"/>
  <c r="S315" i="4"/>
  <c r="DY199" i="5" s="1"/>
  <c r="T315" i="4"/>
  <c r="DZ199" i="5" s="1"/>
  <c r="U315" i="4"/>
  <c r="EA199" i="5" s="1"/>
  <c r="V315" i="4"/>
  <c r="EB199" i="5" s="1"/>
  <c r="W315" i="4"/>
  <c r="EC199" i="5" s="1"/>
  <c r="G316" i="4"/>
  <c r="EJ199" i="5" s="1"/>
  <c r="H316" i="4"/>
  <c r="EK199" i="5" s="1"/>
  <c r="I316" i="4"/>
  <c r="EL199" i="5" s="1"/>
  <c r="J316" i="4"/>
  <c r="EM199" i="5" s="1"/>
  <c r="K316" i="4"/>
  <c r="EN199" i="5" s="1"/>
  <c r="L316" i="4"/>
  <c r="EO199" i="5" s="1"/>
  <c r="M316" i="4"/>
  <c r="EP199" i="5" s="1"/>
  <c r="N316" i="4"/>
  <c r="EQ199" i="5" s="1"/>
  <c r="O316" i="4"/>
  <c r="ER199" i="5" s="1"/>
  <c r="P316" i="4"/>
  <c r="ES199" i="5" s="1"/>
  <c r="Q316" i="4"/>
  <c r="ET199" i="5" s="1"/>
  <c r="R316" i="4"/>
  <c r="EU199" i="5" s="1"/>
  <c r="S316" i="4"/>
  <c r="EV199" i="5" s="1"/>
  <c r="T316" i="4"/>
  <c r="EW199" i="5" s="1"/>
  <c r="U316" i="4"/>
  <c r="EX199" i="5" s="1"/>
  <c r="V316" i="4"/>
  <c r="EY199" i="5" s="1"/>
  <c r="W316" i="4"/>
  <c r="EZ199" i="5" s="1"/>
  <c r="G317" i="4"/>
  <c r="FG199" i="5" s="1"/>
  <c r="H317" i="4"/>
  <c r="FH199" i="5" s="1"/>
  <c r="I317" i="4"/>
  <c r="FI199" i="5" s="1"/>
  <c r="J317" i="4"/>
  <c r="FJ199" i="5" s="1"/>
  <c r="K317" i="4"/>
  <c r="FK199" i="5" s="1"/>
  <c r="L317" i="4"/>
  <c r="FL199" i="5" s="1"/>
  <c r="M317" i="4"/>
  <c r="FM199" i="5" s="1"/>
  <c r="N317" i="4"/>
  <c r="FN199" i="5" s="1"/>
  <c r="O317" i="4"/>
  <c r="FO199" i="5" s="1"/>
  <c r="P317" i="4"/>
  <c r="FP199" i="5" s="1"/>
  <c r="Q317" i="4"/>
  <c r="FQ199" i="5" s="1"/>
  <c r="R317" i="4"/>
  <c r="FR199" i="5" s="1"/>
  <c r="S317" i="4"/>
  <c r="FS199" i="5" s="1"/>
  <c r="T317" i="4"/>
  <c r="FT199" i="5" s="1"/>
  <c r="U317" i="4"/>
  <c r="FU199" i="5" s="1"/>
  <c r="V317" i="4"/>
  <c r="FV199" i="5" s="1"/>
  <c r="W317" i="4"/>
  <c r="FW199" i="5" s="1"/>
  <c r="G318" i="4"/>
  <c r="GD199" i="5" s="1"/>
  <c r="H318" i="4"/>
  <c r="GE199" i="5" s="1"/>
  <c r="I318" i="4"/>
  <c r="GF199" i="5" s="1"/>
  <c r="J318" i="4"/>
  <c r="GG199" i="5" s="1"/>
  <c r="K318" i="4"/>
  <c r="GH199" i="5" s="1"/>
  <c r="L318" i="4"/>
  <c r="GI199" i="5" s="1"/>
  <c r="M318" i="4"/>
  <c r="GJ199" i="5" s="1"/>
  <c r="N318" i="4"/>
  <c r="GK199" i="5" s="1"/>
  <c r="O318" i="4"/>
  <c r="GL199" i="5" s="1"/>
  <c r="P318" i="4"/>
  <c r="GM199" i="5" s="1"/>
  <c r="Q318" i="4"/>
  <c r="GN199" i="5" s="1"/>
  <c r="R318" i="4"/>
  <c r="GO199" i="5" s="1"/>
  <c r="S318" i="4"/>
  <c r="GP199" i="5" s="1"/>
  <c r="T318" i="4"/>
  <c r="GQ199" i="5" s="1"/>
  <c r="U318" i="4"/>
  <c r="GR199" i="5" s="1"/>
  <c r="V318" i="4"/>
  <c r="GS199" i="5" s="1"/>
  <c r="W318" i="4"/>
  <c r="GT199" i="5" s="1"/>
  <c r="G319" i="4"/>
  <c r="HA199" i="5" s="1"/>
  <c r="H319" i="4"/>
  <c r="HB199" i="5" s="1"/>
  <c r="I319" i="4"/>
  <c r="HC199" i="5" s="1"/>
  <c r="J319" i="4"/>
  <c r="HD199" i="5" s="1"/>
  <c r="K319" i="4"/>
  <c r="HE199" i="5" s="1"/>
  <c r="L319" i="4"/>
  <c r="HF199" i="5" s="1"/>
  <c r="M319" i="4"/>
  <c r="HG199" i="5" s="1"/>
  <c r="N319" i="4"/>
  <c r="HH199" i="5" s="1"/>
  <c r="O319" i="4"/>
  <c r="HI199" i="5" s="1"/>
  <c r="P319" i="4"/>
  <c r="HJ199" i="5" s="1"/>
  <c r="Q319" i="4"/>
  <c r="HK199" i="5" s="1"/>
  <c r="R319" i="4"/>
  <c r="HL199" i="5" s="1"/>
  <c r="S319" i="4"/>
  <c r="HM199" i="5" s="1"/>
  <c r="T319" i="4"/>
  <c r="HN199" i="5" s="1"/>
  <c r="U319" i="4"/>
  <c r="HO199" i="5" s="1"/>
  <c r="V319" i="4"/>
  <c r="HP199" i="5" s="1"/>
  <c r="W319" i="4"/>
  <c r="HQ199" i="5" s="1"/>
  <c r="G320" i="4"/>
  <c r="HX199" i="5" s="1"/>
  <c r="H320" i="4"/>
  <c r="HY199" i="5" s="1"/>
  <c r="I320" i="4"/>
  <c r="HZ199" i="5" s="1"/>
  <c r="J320" i="4"/>
  <c r="IA199" i="5" s="1"/>
  <c r="K320" i="4"/>
  <c r="IB199" i="5" s="1"/>
  <c r="L320" i="4"/>
  <c r="IC199" i="5" s="1"/>
  <c r="M320" i="4"/>
  <c r="ID199" i="5" s="1"/>
  <c r="N320" i="4"/>
  <c r="IE199" i="5" s="1"/>
  <c r="O320" i="4"/>
  <c r="IF199" i="5" s="1"/>
  <c r="P320" i="4"/>
  <c r="IG199" i="5" s="1"/>
  <c r="Q320" i="4"/>
  <c r="IH199" i="5" s="1"/>
  <c r="R320" i="4"/>
  <c r="II199" i="5" s="1"/>
  <c r="S320" i="4"/>
  <c r="IJ199" i="5" s="1"/>
  <c r="T320" i="4"/>
  <c r="IK199" i="5" s="1"/>
  <c r="U320" i="4"/>
  <c r="IL199" i="5" s="1"/>
  <c r="V320" i="4"/>
  <c r="IM199" i="5" s="1"/>
  <c r="W320" i="4"/>
  <c r="IN199" i="5" s="1"/>
  <c r="G321" i="4"/>
  <c r="IU199" i="5" s="1"/>
  <c r="H321" i="4"/>
  <c r="IV199" i="5" s="1"/>
  <c r="I321" i="4"/>
  <c r="F200" i="5" s="1"/>
  <c r="J321" i="4"/>
  <c r="G200" i="5" s="1"/>
  <c r="K321" i="4"/>
  <c r="H200" i="5" s="1"/>
  <c r="L321" i="4"/>
  <c r="I200" i="5" s="1"/>
  <c r="M321" i="4"/>
  <c r="J200" i="5" s="1"/>
  <c r="N321" i="4"/>
  <c r="K200" i="5" s="1"/>
  <c r="O321" i="4"/>
  <c r="L200" i="5" s="1"/>
  <c r="P321" i="4"/>
  <c r="M200" i="5" s="1"/>
  <c r="Q321" i="4"/>
  <c r="N200" i="5" s="1"/>
  <c r="R321" i="4"/>
  <c r="O200" i="5" s="1"/>
  <c r="S321" i="4"/>
  <c r="P200" i="5" s="1"/>
  <c r="T321" i="4"/>
  <c r="Q200" i="5" s="1"/>
  <c r="U321" i="4"/>
  <c r="R200" i="5" s="1"/>
  <c r="V321" i="4"/>
  <c r="S200" i="5" s="1"/>
  <c r="W321" i="4"/>
  <c r="T200" i="5" s="1"/>
  <c r="G322" i="4"/>
  <c r="AA200" i="5" s="1"/>
  <c r="H322" i="4"/>
  <c r="AB200" i="5" s="1"/>
  <c r="I322" i="4"/>
  <c r="AC200" i="5" s="1"/>
  <c r="J322" i="4"/>
  <c r="AD200" i="5" s="1"/>
  <c r="K322" i="4"/>
  <c r="AE200" i="5" s="1"/>
  <c r="L322" i="4"/>
  <c r="AF200" i="5" s="1"/>
  <c r="M322" i="4"/>
  <c r="AG200" i="5" s="1"/>
  <c r="N322" i="4"/>
  <c r="AH200" i="5" s="1"/>
  <c r="O322" i="4"/>
  <c r="AI200" i="5" s="1"/>
  <c r="P322" i="4"/>
  <c r="AJ200" i="5" s="1"/>
  <c r="Q322" i="4"/>
  <c r="AK200" i="5" s="1"/>
  <c r="R322" i="4"/>
  <c r="AL200" i="5" s="1"/>
  <c r="S322" i="4"/>
  <c r="AM200" i="5" s="1"/>
  <c r="T322" i="4"/>
  <c r="AN200" i="5" s="1"/>
  <c r="U322" i="4"/>
  <c r="AO200" i="5" s="1"/>
  <c r="V322" i="4"/>
  <c r="AP200" i="5" s="1"/>
  <c r="W322" i="4"/>
  <c r="AQ200" i="5" s="1"/>
  <c r="G323" i="4"/>
  <c r="AX200" i="5" s="1"/>
  <c r="H323" i="4"/>
  <c r="AY200" i="5" s="1"/>
  <c r="I323" i="4"/>
  <c r="AZ200" i="5" s="1"/>
  <c r="J323" i="4"/>
  <c r="BA200" i="5" s="1"/>
  <c r="K323" i="4"/>
  <c r="BB200" i="5" s="1"/>
  <c r="L323" i="4"/>
  <c r="BC200" i="5" s="1"/>
  <c r="M323" i="4"/>
  <c r="BD200" i="5" s="1"/>
  <c r="N323" i="4"/>
  <c r="BE200" i="5" s="1"/>
  <c r="O323" i="4"/>
  <c r="BF200" i="5" s="1"/>
  <c r="P323" i="4"/>
  <c r="BG200" i="5" s="1"/>
  <c r="Q323" i="4"/>
  <c r="BH200" i="5" s="1"/>
  <c r="R323" i="4"/>
  <c r="BI200" i="5" s="1"/>
  <c r="S323" i="4"/>
  <c r="BJ200" i="5" s="1"/>
  <c r="T323" i="4"/>
  <c r="BK200" i="5" s="1"/>
  <c r="U323" i="4"/>
  <c r="BL200" i="5" s="1"/>
  <c r="V323" i="4"/>
  <c r="BM200" i="5" s="1"/>
  <c r="W323" i="4"/>
  <c r="BN200" i="5" s="1"/>
  <c r="G324" i="4"/>
  <c r="BU200" i="5" s="1"/>
  <c r="H324" i="4"/>
  <c r="BV200" i="5" s="1"/>
  <c r="I324" i="4"/>
  <c r="BW200" i="5" s="1"/>
  <c r="J324" i="4"/>
  <c r="BX200" i="5" s="1"/>
  <c r="K324" i="4"/>
  <c r="BY200" i="5" s="1"/>
  <c r="L324" i="4"/>
  <c r="BZ200" i="5" s="1"/>
  <c r="M324" i="4"/>
  <c r="CA200" i="5" s="1"/>
  <c r="N324" i="4"/>
  <c r="CB200" i="5" s="1"/>
  <c r="O324" i="4"/>
  <c r="CC200" i="5" s="1"/>
  <c r="P324" i="4"/>
  <c r="CD200" i="5" s="1"/>
  <c r="Q324" i="4"/>
  <c r="CE200" i="5" s="1"/>
  <c r="R324" i="4"/>
  <c r="CF200" i="5" s="1"/>
  <c r="S324" i="4"/>
  <c r="CG200" i="5" s="1"/>
  <c r="T324" i="4"/>
  <c r="CH200" i="5" s="1"/>
  <c r="U324" i="4"/>
  <c r="CI200" i="5" s="1"/>
  <c r="V324" i="4"/>
  <c r="CJ200" i="5" s="1"/>
  <c r="W324" i="4"/>
  <c r="CK200" i="5" s="1"/>
  <c r="G325" i="4"/>
  <c r="CR200" i="5" s="1"/>
  <c r="H325" i="4"/>
  <c r="CS200" i="5" s="1"/>
  <c r="I325" i="4"/>
  <c r="CT200" i="5" s="1"/>
  <c r="J325" i="4"/>
  <c r="CU200" i="5" s="1"/>
  <c r="K325" i="4"/>
  <c r="CV200" i="5" s="1"/>
  <c r="L325" i="4"/>
  <c r="CW200" i="5" s="1"/>
  <c r="M325" i="4"/>
  <c r="CX200" i="5" s="1"/>
  <c r="N325" i="4"/>
  <c r="CY200" i="5" s="1"/>
  <c r="O325" i="4"/>
  <c r="CZ200" i="5" s="1"/>
  <c r="P325" i="4"/>
  <c r="DA200" i="5" s="1"/>
  <c r="Q325" i="4"/>
  <c r="DB200" i="5" s="1"/>
  <c r="R325" i="4"/>
  <c r="DC200" i="5" s="1"/>
  <c r="S325" i="4"/>
  <c r="DD200" i="5" s="1"/>
  <c r="T325" i="4"/>
  <c r="DE200" i="5" s="1"/>
  <c r="U325" i="4"/>
  <c r="DF200" i="5" s="1"/>
  <c r="V325" i="4"/>
  <c r="DG200" i="5" s="1"/>
  <c r="W325" i="4"/>
  <c r="DH200" i="5" s="1"/>
  <c r="G326" i="4"/>
  <c r="DO200" i="5" s="1"/>
  <c r="H326" i="4"/>
  <c r="DP200" i="5" s="1"/>
  <c r="I326" i="4"/>
  <c r="DQ200" i="5" s="1"/>
  <c r="J326" i="4"/>
  <c r="DR200" i="5" s="1"/>
  <c r="K326" i="4"/>
  <c r="DS200" i="5" s="1"/>
  <c r="L326" i="4"/>
  <c r="DT200" i="5" s="1"/>
  <c r="M326" i="4"/>
  <c r="DU200" i="5" s="1"/>
  <c r="N326" i="4"/>
  <c r="DV200" i="5" s="1"/>
  <c r="O326" i="4"/>
  <c r="DW200" i="5" s="1"/>
  <c r="P326" i="4"/>
  <c r="DX200" i="5" s="1"/>
  <c r="Q326" i="4"/>
  <c r="DY200" i="5" s="1"/>
  <c r="R326" i="4"/>
  <c r="DZ200" i="5" s="1"/>
  <c r="S326" i="4"/>
  <c r="EA200" i="5" s="1"/>
  <c r="T326" i="4"/>
  <c r="EB200" i="5" s="1"/>
  <c r="U326" i="4"/>
  <c r="EC200" i="5" s="1"/>
  <c r="V326" i="4"/>
  <c r="ED200" i="5" s="1"/>
  <c r="W326" i="4"/>
  <c r="EE200" i="5" s="1"/>
  <c r="G327" i="4"/>
  <c r="EL200" i="5" s="1"/>
  <c r="H327" i="4"/>
  <c r="EM200" i="5" s="1"/>
  <c r="I327" i="4"/>
  <c r="EN200" i="5" s="1"/>
  <c r="J327" i="4"/>
  <c r="EO200" i="5" s="1"/>
  <c r="K327" i="4"/>
  <c r="EP200" i="5" s="1"/>
  <c r="L327" i="4"/>
  <c r="EQ200" i="5" s="1"/>
  <c r="M327" i="4"/>
  <c r="ER200" i="5" s="1"/>
  <c r="N327" i="4"/>
  <c r="ES200" i="5" s="1"/>
  <c r="O327" i="4"/>
  <c r="ET200" i="5" s="1"/>
  <c r="P327" i="4"/>
  <c r="EU200" i="5" s="1"/>
  <c r="Q327" i="4"/>
  <c r="EV200" i="5" s="1"/>
  <c r="R327" i="4"/>
  <c r="EW200" i="5" s="1"/>
  <c r="S327" i="4"/>
  <c r="EX200" i="5" s="1"/>
  <c r="T327" i="4"/>
  <c r="EY200" i="5" s="1"/>
  <c r="U327" i="4"/>
  <c r="EZ200" i="5" s="1"/>
  <c r="V327" i="4"/>
  <c r="FA200" i="5" s="1"/>
  <c r="W327" i="4"/>
  <c r="FB200" i="5" s="1"/>
  <c r="G328" i="4"/>
  <c r="FI200" i="5" s="1"/>
  <c r="H328" i="4"/>
  <c r="FJ200" i="5" s="1"/>
  <c r="I328" i="4"/>
  <c r="FK200" i="5" s="1"/>
  <c r="J328" i="4"/>
  <c r="FL200" i="5" s="1"/>
  <c r="K328" i="4"/>
  <c r="FM200" i="5" s="1"/>
  <c r="L328" i="4"/>
  <c r="FN200" i="5" s="1"/>
  <c r="M328" i="4"/>
  <c r="FO200" i="5" s="1"/>
  <c r="N328" i="4"/>
  <c r="FP200" i="5" s="1"/>
  <c r="O328" i="4"/>
  <c r="FQ200" i="5" s="1"/>
  <c r="P328" i="4"/>
  <c r="FR200" i="5" s="1"/>
  <c r="Q328" i="4"/>
  <c r="FS200" i="5" s="1"/>
  <c r="R328" i="4"/>
  <c r="FT200" i="5" s="1"/>
  <c r="S328" i="4"/>
  <c r="FU200" i="5" s="1"/>
  <c r="T328" i="4"/>
  <c r="FV200" i="5" s="1"/>
  <c r="U328" i="4"/>
  <c r="FW200" i="5" s="1"/>
  <c r="V328" i="4"/>
  <c r="FX200" i="5" s="1"/>
  <c r="W328" i="4"/>
  <c r="FY200" i="5" s="1"/>
  <c r="G329" i="4"/>
  <c r="GF200" i="5" s="1"/>
  <c r="H329" i="4"/>
  <c r="GG200" i="5" s="1"/>
  <c r="I329" i="4"/>
  <c r="GH200" i="5" s="1"/>
  <c r="J329" i="4"/>
  <c r="GI200" i="5" s="1"/>
  <c r="K329" i="4"/>
  <c r="GJ200" i="5" s="1"/>
  <c r="L329" i="4"/>
  <c r="GK200" i="5" s="1"/>
  <c r="M329" i="4"/>
  <c r="GL200" i="5" s="1"/>
  <c r="N329" i="4"/>
  <c r="GM200" i="5" s="1"/>
  <c r="O329" i="4"/>
  <c r="GN200" i="5" s="1"/>
  <c r="P329" i="4"/>
  <c r="GO200" i="5" s="1"/>
  <c r="Q329" i="4"/>
  <c r="GP200" i="5" s="1"/>
  <c r="R329" i="4"/>
  <c r="GQ200" i="5" s="1"/>
  <c r="S329" i="4"/>
  <c r="GR200" i="5" s="1"/>
  <c r="T329" i="4"/>
  <c r="GS200" i="5" s="1"/>
  <c r="U329" i="4"/>
  <c r="GT200" i="5" s="1"/>
  <c r="V329" i="4"/>
  <c r="GU200" i="5" s="1"/>
  <c r="W329" i="4"/>
  <c r="GV200" i="5" s="1"/>
  <c r="G330" i="4"/>
  <c r="HC200" i="5" s="1"/>
  <c r="H330" i="4"/>
  <c r="HD200" i="5" s="1"/>
  <c r="I330" i="4"/>
  <c r="HE200" i="5" s="1"/>
  <c r="J330" i="4"/>
  <c r="HF200" i="5" s="1"/>
  <c r="K330" i="4"/>
  <c r="HG200" i="5" s="1"/>
  <c r="L330" i="4"/>
  <c r="HH200" i="5" s="1"/>
  <c r="M330" i="4"/>
  <c r="HI200" i="5" s="1"/>
  <c r="N330" i="4"/>
  <c r="HJ200" i="5" s="1"/>
  <c r="O330" i="4"/>
  <c r="HK200" i="5" s="1"/>
  <c r="P330" i="4"/>
  <c r="HL200" i="5" s="1"/>
  <c r="Q330" i="4"/>
  <c r="HM200" i="5" s="1"/>
  <c r="R330" i="4"/>
  <c r="HN200" i="5" s="1"/>
  <c r="S330" i="4"/>
  <c r="HO200" i="5" s="1"/>
  <c r="T330" i="4"/>
  <c r="HP200" i="5" s="1"/>
  <c r="U330" i="4"/>
  <c r="HQ200" i="5" s="1"/>
  <c r="V330" i="4"/>
  <c r="HR200" i="5" s="1"/>
  <c r="W330" i="4"/>
  <c r="HS200" i="5" s="1"/>
  <c r="G331" i="4"/>
  <c r="HZ200" i="5" s="1"/>
  <c r="H331" i="4"/>
  <c r="IA200" i="5" s="1"/>
  <c r="I331" i="4"/>
  <c r="IB200" i="5" s="1"/>
  <c r="J331" i="4"/>
  <c r="IC200" i="5" s="1"/>
  <c r="K331" i="4"/>
  <c r="ID200" i="5" s="1"/>
  <c r="L331" i="4"/>
  <c r="IE200" i="5" s="1"/>
  <c r="M331" i="4"/>
  <c r="IF200" i="5" s="1"/>
  <c r="N331" i="4"/>
  <c r="IG200" i="5" s="1"/>
  <c r="O331" i="4"/>
  <c r="IH200" i="5" s="1"/>
  <c r="P331" i="4"/>
  <c r="II200" i="5" s="1"/>
  <c r="Q331" i="4"/>
  <c r="IJ200" i="5" s="1"/>
  <c r="R331" i="4"/>
  <c r="IK200" i="5" s="1"/>
  <c r="S331" i="4"/>
  <c r="IL200" i="5" s="1"/>
  <c r="T331" i="4"/>
  <c r="IM200" i="5" s="1"/>
  <c r="U331" i="4"/>
  <c r="IN200" i="5" s="1"/>
  <c r="V331" i="4"/>
  <c r="IO200" i="5" s="1"/>
  <c r="W331" i="4"/>
  <c r="IP200" i="5" s="1"/>
  <c r="G332" i="4"/>
  <c r="F201" i="5" s="1"/>
  <c r="H332" i="4"/>
  <c r="G201" i="5" s="1"/>
  <c r="I332" i="4"/>
  <c r="H201" i="5" s="1"/>
  <c r="J332" i="4"/>
  <c r="I201" i="5" s="1"/>
  <c r="K332" i="4"/>
  <c r="J201" i="5" s="1"/>
  <c r="L332" i="4"/>
  <c r="K201" i="5" s="1"/>
  <c r="M332" i="4"/>
  <c r="L201" i="5" s="1"/>
  <c r="N332" i="4"/>
  <c r="M201" i="5" s="1"/>
  <c r="O332" i="4"/>
  <c r="N201" i="5" s="1"/>
  <c r="P332" i="4"/>
  <c r="O201" i="5" s="1"/>
  <c r="Q332" i="4"/>
  <c r="P201" i="5" s="1"/>
  <c r="R332" i="4"/>
  <c r="Q201" i="5" s="1"/>
  <c r="S332" i="4"/>
  <c r="R201" i="5" s="1"/>
  <c r="T332" i="4"/>
  <c r="S201" i="5" s="1"/>
  <c r="U332" i="4"/>
  <c r="T201" i="5" s="1"/>
  <c r="V332" i="4"/>
  <c r="U201" i="5" s="1"/>
  <c r="W332" i="4"/>
  <c r="V201" i="5" s="1"/>
  <c r="G333" i="4"/>
  <c r="AC201" i="5" s="1"/>
  <c r="H333" i="4"/>
  <c r="AD201" i="5" s="1"/>
  <c r="I333" i="4"/>
  <c r="AE201" i="5" s="1"/>
  <c r="J333" i="4"/>
  <c r="AF201" i="5" s="1"/>
  <c r="K333" i="4"/>
  <c r="AG201" i="5" s="1"/>
  <c r="L333" i="4"/>
  <c r="AH201" i="5" s="1"/>
  <c r="M333" i="4"/>
  <c r="AI201" i="5" s="1"/>
  <c r="N333" i="4"/>
  <c r="AJ201" i="5" s="1"/>
  <c r="O333" i="4"/>
  <c r="AK201" i="5" s="1"/>
  <c r="P333" i="4"/>
  <c r="AL201" i="5" s="1"/>
  <c r="Q333" i="4"/>
  <c r="AM201" i="5" s="1"/>
  <c r="R333" i="4"/>
  <c r="AN201" i="5" s="1"/>
  <c r="S333" i="4"/>
  <c r="AO201" i="5" s="1"/>
  <c r="T333" i="4"/>
  <c r="AP201" i="5" s="1"/>
  <c r="U333" i="4"/>
  <c r="AQ201" i="5" s="1"/>
  <c r="V333" i="4"/>
  <c r="AR201" i="5" s="1"/>
  <c r="W333" i="4"/>
  <c r="AS201" i="5" s="1"/>
  <c r="G334" i="4"/>
  <c r="AZ201" i="5" s="1"/>
  <c r="H334" i="4"/>
  <c r="BA201" i="5" s="1"/>
  <c r="I334" i="4"/>
  <c r="BB201" i="5" s="1"/>
  <c r="J334" i="4"/>
  <c r="BC201" i="5" s="1"/>
  <c r="K334" i="4"/>
  <c r="BD201" i="5" s="1"/>
  <c r="L334" i="4"/>
  <c r="BE201" i="5" s="1"/>
  <c r="M334" i="4"/>
  <c r="BF201" i="5" s="1"/>
  <c r="N334" i="4"/>
  <c r="BG201" i="5" s="1"/>
  <c r="O334" i="4"/>
  <c r="BH201" i="5" s="1"/>
  <c r="P334" i="4"/>
  <c r="BI201" i="5" s="1"/>
  <c r="Q334" i="4"/>
  <c r="BJ201" i="5" s="1"/>
  <c r="R334" i="4"/>
  <c r="BK201" i="5" s="1"/>
  <c r="S334" i="4"/>
  <c r="BL201" i="5" s="1"/>
  <c r="T334" i="4"/>
  <c r="BM201" i="5" s="1"/>
  <c r="U334" i="4"/>
  <c r="BN201" i="5" s="1"/>
  <c r="V334" i="4"/>
  <c r="BO201" i="5" s="1"/>
  <c r="W334" i="4"/>
  <c r="BP201" i="5" s="1"/>
  <c r="G335" i="4"/>
  <c r="BW201" i="5" s="1"/>
  <c r="H335" i="4"/>
  <c r="BX201" i="5" s="1"/>
  <c r="I335" i="4"/>
  <c r="BY201" i="5" s="1"/>
  <c r="J335" i="4"/>
  <c r="BZ201" i="5" s="1"/>
  <c r="K335" i="4"/>
  <c r="CA201" i="5" s="1"/>
  <c r="L335" i="4"/>
  <c r="CB201" i="5" s="1"/>
  <c r="M335" i="4"/>
  <c r="CC201" i="5" s="1"/>
  <c r="N335" i="4"/>
  <c r="CD201" i="5" s="1"/>
  <c r="O335" i="4"/>
  <c r="CE201" i="5" s="1"/>
  <c r="P335" i="4"/>
  <c r="CF201" i="5" s="1"/>
  <c r="Q335" i="4"/>
  <c r="CG201" i="5" s="1"/>
  <c r="R335" i="4"/>
  <c r="CH201" i="5" s="1"/>
  <c r="S335" i="4"/>
  <c r="CI201" i="5" s="1"/>
  <c r="T335" i="4"/>
  <c r="CJ201" i="5" s="1"/>
  <c r="U335" i="4"/>
  <c r="CK201" i="5" s="1"/>
  <c r="V335" i="4"/>
  <c r="CL201" i="5" s="1"/>
  <c r="W335" i="4"/>
  <c r="CM201" i="5" s="1"/>
  <c r="G336" i="4"/>
  <c r="CT201" i="5" s="1"/>
  <c r="H336" i="4"/>
  <c r="CU201" i="5" s="1"/>
  <c r="I336" i="4"/>
  <c r="CV201" i="5" s="1"/>
  <c r="J336" i="4"/>
  <c r="CW201" i="5" s="1"/>
  <c r="K336" i="4"/>
  <c r="CX201" i="5" s="1"/>
  <c r="L336" i="4"/>
  <c r="CY201" i="5" s="1"/>
  <c r="M336" i="4"/>
  <c r="CZ201" i="5" s="1"/>
  <c r="N336" i="4"/>
  <c r="DA201" i="5" s="1"/>
  <c r="O336" i="4"/>
  <c r="DB201" i="5" s="1"/>
  <c r="P336" i="4"/>
  <c r="DC201" i="5" s="1"/>
  <c r="Q336" i="4"/>
  <c r="DD201" i="5" s="1"/>
  <c r="R336" i="4"/>
  <c r="DE201" i="5" s="1"/>
  <c r="S336" i="4"/>
  <c r="DF201" i="5" s="1"/>
  <c r="T336" i="4"/>
  <c r="DG201" i="5" s="1"/>
  <c r="U336" i="4"/>
  <c r="DH201" i="5" s="1"/>
  <c r="V336" i="4"/>
  <c r="DI201" i="5" s="1"/>
  <c r="W336" i="4"/>
  <c r="DJ201" i="5" s="1"/>
  <c r="G337" i="4"/>
  <c r="DQ201" i="5" s="1"/>
  <c r="H337" i="4"/>
  <c r="DR201" i="5" s="1"/>
  <c r="I337" i="4"/>
  <c r="DS201" i="5" s="1"/>
  <c r="J337" i="4"/>
  <c r="DT201" i="5" s="1"/>
  <c r="K337" i="4"/>
  <c r="DU201" i="5" s="1"/>
  <c r="L337" i="4"/>
  <c r="DV201" i="5" s="1"/>
  <c r="M337" i="4"/>
  <c r="DW201" i="5" s="1"/>
  <c r="N337" i="4"/>
  <c r="DX201" i="5" s="1"/>
  <c r="O337" i="4"/>
  <c r="DY201" i="5" s="1"/>
  <c r="P337" i="4"/>
  <c r="DZ201" i="5" s="1"/>
  <c r="Q337" i="4"/>
  <c r="EA201" i="5" s="1"/>
  <c r="R337" i="4"/>
  <c r="EB201" i="5" s="1"/>
  <c r="S337" i="4"/>
  <c r="EC201" i="5" s="1"/>
  <c r="T337" i="4"/>
  <c r="ED201" i="5" s="1"/>
  <c r="U337" i="4"/>
  <c r="EE201" i="5" s="1"/>
  <c r="V337" i="4"/>
  <c r="EF201" i="5" s="1"/>
  <c r="W337" i="4"/>
  <c r="EG201" i="5" s="1"/>
  <c r="G338" i="4"/>
  <c r="EN201" i="5" s="1"/>
  <c r="H338" i="4"/>
  <c r="EO201" i="5" s="1"/>
  <c r="I338" i="4"/>
  <c r="EP201" i="5" s="1"/>
  <c r="J338" i="4"/>
  <c r="EQ201" i="5" s="1"/>
  <c r="K338" i="4"/>
  <c r="ER201" i="5" s="1"/>
  <c r="L338" i="4"/>
  <c r="ES201" i="5" s="1"/>
  <c r="M338" i="4"/>
  <c r="ET201" i="5" s="1"/>
  <c r="N338" i="4"/>
  <c r="EU201" i="5" s="1"/>
  <c r="O338" i="4"/>
  <c r="EV201" i="5" s="1"/>
  <c r="P338" i="4"/>
  <c r="EW201" i="5" s="1"/>
  <c r="Q338" i="4"/>
  <c r="EX201" i="5" s="1"/>
  <c r="R338" i="4"/>
  <c r="EY201" i="5" s="1"/>
  <c r="S338" i="4"/>
  <c r="EZ201" i="5" s="1"/>
  <c r="T338" i="4"/>
  <c r="FA201" i="5" s="1"/>
  <c r="U338" i="4"/>
  <c r="FB201" i="5" s="1"/>
  <c r="V338" i="4"/>
  <c r="FC201" i="5" s="1"/>
  <c r="W338" i="4"/>
  <c r="FD201" i="5" s="1"/>
  <c r="G339" i="4"/>
  <c r="FK201" i="5" s="1"/>
  <c r="H339" i="4"/>
  <c r="FL201" i="5" s="1"/>
  <c r="I339" i="4"/>
  <c r="FM201" i="5" s="1"/>
  <c r="J339" i="4"/>
  <c r="FN201" i="5" s="1"/>
  <c r="K339" i="4"/>
  <c r="FO201" i="5" s="1"/>
  <c r="L339" i="4"/>
  <c r="FP201" i="5" s="1"/>
  <c r="M339" i="4"/>
  <c r="FQ201" i="5" s="1"/>
  <c r="N339" i="4"/>
  <c r="FR201" i="5" s="1"/>
  <c r="O339" i="4"/>
  <c r="FS201" i="5" s="1"/>
  <c r="P339" i="4"/>
  <c r="FT201" i="5" s="1"/>
  <c r="Q339" i="4"/>
  <c r="FU201" i="5" s="1"/>
  <c r="R339" i="4"/>
  <c r="FV201" i="5" s="1"/>
  <c r="S339" i="4"/>
  <c r="FW201" i="5" s="1"/>
  <c r="T339" i="4"/>
  <c r="FX201" i="5" s="1"/>
  <c r="U339" i="4"/>
  <c r="FY201" i="5" s="1"/>
  <c r="V339" i="4"/>
  <c r="FZ201" i="5" s="1"/>
  <c r="W339" i="4"/>
  <c r="GA201" i="5" s="1"/>
  <c r="G340" i="4"/>
  <c r="GH201" i="5" s="1"/>
  <c r="H340" i="4"/>
  <c r="GI201" i="5" s="1"/>
  <c r="I340" i="4"/>
  <c r="GJ201" i="5" s="1"/>
  <c r="J340" i="4"/>
  <c r="GK201" i="5" s="1"/>
  <c r="K340" i="4"/>
  <c r="GL201" i="5" s="1"/>
  <c r="L340" i="4"/>
  <c r="GM201" i="5" s="1"/>
  <c r="M340" i="4"/>
  <c r="GN201" i="5" s="1"/>
  <c r="N340" i="4"/>
  <c r="GO201" i="5" s="1"/>
  <c r="O340" i="4"/>
  <c r="GP201" i="5" s="1"/>
  <c r="P340" i="4"/>
  <c r="GQ201" i="5" s="1"/>
  <c r="Q340" i="4"/>
  <c r="GR201" i="5" s="1"/>
  <c r="R340" i="4"/>
  <c r="GS201" i="5" s="1"/>
  <c r="S340" i="4"/>
  <c r="GT201" i="5" s="1"/>
  <c r="T340" i="4"/>
  <c r="GU201" i="5" s="1"/>
  <c r="U340" i="4"/>
  <c r="GV201" i="5" s="1"/>
  <c r="V340" i="4"/>
  <c r="GW201" i="5" s="1"/>
  <c r="W340" i="4"/>
  <c r="GX201" i="5" s="1"/>
  <c r="G341" i="4"/>
  <c r="HE201" i="5" s="1"/>
  <c r="H341" i="4"/>
  <c r="HF201" i="5" s="1"/>
  <c r="I341" i="4"/>
  <c r="HG201" i="5" s="1"/>
  <c r="J341" i="4"/>
  <c r="HH201" i="5" s="1"/>
  <c r="K341" i="4"/>
  <c r="HI201" i="5" s="1"/>
  <c r="L341" i="4"/>
  <c r="HJ201" i="5" s="1"/>
  <c r="M341" i="4"/>
  <c r="HK201" i="5" s="1"/>
  <c r="N341" i="4"/>
  <c r="HL201" i="5" s="1"/>
  <c r="O341" i="4"/>
  <c r="HM201" i="5" s="1"/>
  <c r="P341" i="4"/>
  <c r="HN201" i="5" s="1"/>
  <c r="Q341" i="4"/>
  <c r="HO201" i="5" s="1"/>
  <c r="R341" i="4"/>
  <c r="HP201" i="5" s="1"/>
  <c r="S341" i="4"/>
  <c r="HQ201" i="5" s="1"/>
  <c r="T341" i="4"/>
  <c r="HR201" i="5" s="1"/>
  <c r="U341" i="4"/>
  <c r="HS201" i="5" s="1"/>
  <c r="V341" i="4"/>
  <c r="HT201" i="5" s="1"/>
  <c r="W341" i="4"/>
  <c r="HU201" i="5" s="1"/>
  <c r="G342" i="4"/>
  <c r="IB201" i="5" s="1"/>
  <c r="H342" i="4"/>
  <c r="IC201" i="5" s="1"/>
  <c r="I342" i="4"/>
  <c r="ID201" i="5" s="1"/>
  <c r="J342" i="4"/>
  <c r="IE201" i="5" s="1"/>
  <c r="K342" i="4"/>
  <c r="IF201" i="5" s="1"/>
  <c r="L342" i="4"/>
  <c r="IG201" i="5" s="1"/>
  <c r="M342" i="4"/>
  <c r="IH201" i="5" s="1"/>
  <c r="N342" i="4"/>
  <c r="II201" i="5" s="1"/>
  <c r="O342" i="4"/>
  <c r="IJ201" i="5" s="1"/>
  <c r="P342" i="4"/>
  <c r="IK201" i="5" s="1"/>
  <c r="Q342" i="4"/>
  <c r="IL201" i="5" s="1"/>
  <c r="R342" i="4"/>
  <c r="IM201" i="5" s="1"/>
  <c r="S342" i="4"/>
  <c r="IN201" i="5" s="1"/>
  <c r="T342" i="4"/>
  <c r="IO201" i="5" s="1"/>
  <c r="U342" i="4"/>
  <c r="IP201" i="5" s="1"/>
  <c r="V342" i="4"/>
  <c r="IQ201" i="5" s="1"/>
  <c r="W342" i="4"/>
  <c r="IR201" i="5" s="1"/>
  <c r="G343" i="4"/>
  <c r="H202" i="5" s="1"/>
  <c r="H343" i="4"/>
  <c r="I202" i="5" s="1"/>
  <c r="I343" i="4"/>
  <c r="J202" i="5" s="1"/>
  <c r="J343" i="4"/>
  <c r="K202" i="5" s="1"/>
  <c r="K343" i="4"/>
  <c r="L202" i="5" s="1"/>
  <c r="L343" i="4"/>
  <c r="M202" i="5" s="1"/>
  <c r="M343" i="4"/>
  <c r="N202" i="5" s="1"/>
  <c r="N343" i="4"/>
  <c r="O202" i="5" s="1"/>
  <c r="O343" i="4"/>
  <c r="P202" i="5" s="1"/>
  <c r="P343" i="4"/>
  <c r="Q202" i="5" s="1"/>
  <c r="Q343" i="4"/>
  <c r="R202" i="5" s="1"/>
  <c r="R343" i="4"/>
  <c r="S202" i="5" s="1"/>
  <c r="S343" i="4"/>
  <c r="T202" i="5" s="1"/>
  <c r="T343" i="4"/>
  <c r="U202" i="5" s="1"/>
  <c r="U343" i="4"/>
  <c r="V202" i="5" s="1"/>
  <c r="V343" i="4"/>
  <c r="W202" i="5" s="1"/>
  <c r="W343" i="4"/>
  <c r="X202" i="5" s="1"/>
  <c r="G344" i="4"/>
  <c r="AE202" i="5" s="1"/>
  <c r="H344" i="4"/>
  <c r="AF202" i="5" s="1"/>
  <c r="I344" i="4"/>
  <c r="AG202" i="5" s="1"/>
  <c r="J344" i="4"/>
  <c r="AH202" i="5" s="1"/>
  <c r="K344" i="4"/>
  <c r="AI202" i="5" s="1"/>
  <c r="L344" i="4"/>
  <c r="AJ202" i="5" s="1"/>
  <c r="M344" i="4"/>
  <c r="AK202" i="5" s="1"/>
  <c r="N344" i="4"/>
  <c r="AL202" i="5" s="1"/>
  <c r="O344" i="4"/>
  <c r="AM202" i="5" s="1"/>
  <c r="P344" i="4"/>
  <c r="AN202" i="5" s="1"/>
  <c r="Q344" i="4"/>
  <c r="AO202" i="5" s="1"/>
  <c r="R344" i="4"/>
  <c r="AP202" i="5" s="1"/>
  <c r="S344" i="4"/>
  <c r="AQ202" i="5" s="1"/>
  <c r="T344" i="4"/>
  <c r="AR202" i="5" s="1"/>
  <c r="U344" i="4"/>
  <c r="AS202" i="5" s="1"/>
  <c r="V344" i="4"/>
  <c r="AT202" i="5" s="1"/>
  <c r="W344" i="4"/>
  <c r="AU202" i="5" s="1"/>
  <c r="G345" i="4"/>
  <c r="BB202" i="5" s="1"/>
  <c r="H345" i="4"/>
  <c r="BC202" i="5" s="1"/>
  <c r="I345" i="4"/>
  <c r="BD202" i="5" s="1"/>
  <c r="J345" i="4"/>
  <c r="BE202" i="5" s="1"/>
  <c r="K345" i="4"/>
  <c r="BF202" i="5" s="1"/>
  <c r="L345" i="4"/>
  <c r="BG202" i="5" s="1"/>
  <c r="M345" i="4"/>
  <c r="BH202" i="5" s="1"/>
  <c r="N345" i="4"/>
  <c r="BI202" i="5" s="1"/>
  <c r="O345" i="4"/>
  <c r="BJ202" i="5" s="1"/>
  <c r="P345" i="4"/>
  <c r="BK202" i="5" s="1"/>
  <c r="Q345" i="4"/>
  <c r="BL202" i="5" s="1"/>
  <c r="R345" i="4"/>
  <c r="BM202" i="5" s="1"/>
  <c r="S345" i="4"/>
  <c r="BN202" i="5" s="1"/>
  <c r="T345" i="4"/>
  <c r="BO202" i="5" s="1"/>
  <c r="U345" i="4"/>
  <c r="BP202" i="5" s="1"/>
  <c r="V345" i="4"/>
  <c r="BQ202" i="5" s="1"/>
  <c r="W345" i="4"/>
  <c r="BR202" i="5" s="1"/>
  <c r="G346" i="4"/>
  <c r="BY202" i="5" s="1"/>
  <c r="H346" i="4"/>
  <c r="BZ202" i="5" s="1"/>
  <c r="I346" i="4"/>
  <c r="CA202" i="5" s="1"/>
  <c r="J346" i="4"/>
  <c r="CB202" i="5" s="1"/>
  <c r="K346" i="4"/>
  <c r="CC202" i="5" s="1"/>
  <c r="L346" i="4"/>
  <c r="CD202" i="5" s="1"/>
  <c r="M346" i="4"/>
  <c r="CE202" i="5" s="1"/>
  <c r="N346" i="4"/>
  <c r="CF202" i="5" s="1"/>
  <c r="O346" i="4"/>
  <c r="CG202" i="5" s="1"/>
  <c r="P346" i="4"/>
  <c r="CH202" i="5" s="1"/>
  <c r="Q346" i="4"/>
  <c r="CI202" i="5" s="1"/>
  <c r="R346" i="4"/>
  <c r="CJ202" i="5" s="1"/>
  <c r="S346" i="4"/>
  <c r="CK202" i="5" s="1"/>
  <c r="T346" i="4"/>
  <c r="CL202" i="5" s="1"/>
  <c r="U346" i="4"/>
  <c r="CM202" i="5" s="1"/>
  <c r="V346" i="4"/>
  <c r="CN202" i="5" s="1"/>
  <c r="W346" i="4"/>
  <c r="CO202" i="5" s="1"/>
  <c r="G347" i="4"/>
  <c r="CV202" i="5" s="1"/>
  <c r="H347" i="4"/>
  <c r="CW202" i="5" s="1"/>
  <c r="I347" i="4"/>
  <c r="CX202" i="5" s="1"/>
  <c r="J347" i="4"/>
  <c r="CY202" i="5" s="1"/>
  <c r="K347" i="4"/>
  <c r="CZ202" i="5" s="1"/>
  <c r="L347" i="4"/>
  <c r="DA202" i="5" s="1"/>
  <c r="M347" i="4"/>
  <c r="DB202" i="5" s="1"/>
  <c r="N347" i="4"/>
  <c r="DC202" i="5" s="1"/>
  <c r="O347" i="4"/>
  <c r="DD202" i="5" s="1"/>
  <c r="P347" i="4"/>
  <c r="DE202" i="5" s="1"/>
  <c r="Q347" i="4"/>
  <c r="DF202" i="5" s="1"/>
  <c r="R347" i="4"/>
  <c r="DG202" i="5" s="1"/>
  <c r="S347" i="4"/>
  <c r="DH202" i="5" s="1"/>
  <c r="T347" i="4"/>
  <c r="DI202" i="5" s="1"/>
  <c r="U347" i="4"/>
  <c r="DJ202" i="5" s="1"/>
  <c r="V347" i="4"/>
  <c r="DK202" i="5" s="1"/>
  <c r="W347" i="4"/>
  <c r="DL202" i="5" s="1"/>
  <c r="G348" i="4"/>
  <c r="DS202" i="5" s="1"/>
  <c r="H348" i="4"/>
  <c r="DT202" i="5" s="1"/>
  <c r="I348" i="4"/>
  <c r="DU202" i="5" s="1"/>
  <c r="J348" i="4"/>
  <c r="DV202" i="5" s="1"/>
  <c r="K348" i="4"/>
  <c r="DW202" i="5" s="1"/>
  <c r="L348" i="4"/>
  <c r="DX202" i="5" s="1"/>
  <c r="M348" i="4"/>
  <c r="DY202" i="5" s="1"/>
  <c r="N348" i="4"/>
  <c r="DZ202" i="5" s="1"/>
  <c r="O348" i="4"/>
  <c r="EA202" i="5" s="1"/>
  <c r="P348" i="4"/>
  <c r="EB202" i="5" s="1"/>
  <c r="Q348" i="4"/>
  <c r="EC202" i="5" s="1"/>
  <c r="R348" i="4"/>
  <c r="ED202" i="5" s="1"/>
  <c r="S348" i="4"/>
  <c r="EE202" i="5" s="1"/>
  <c r="T348" i="4"/>
  <c r="EF202" i="5" s="1"/>
  <c r="U348" i="4"/>
  <c r="EG202" i="5" s="1"/>
  <c r="V348" i="4"/>
  <c r="EH202" i="5" s="1"/>
  <c r="W348" i="4"/>
  <c r="EI202" i="5" s="1"/>
  <c r="G349" i="4"/>
  <c r="EP202" i="5" s="1"/>
  <c r="H349" i="4"/>
  <c r="EQ202" i="5" s="1"/>
  <c r="I349" i="4"/>
  <c r="ER202" i="5" s="1"/>
  <c r="J349" i="4"/>
  <c r="ES202" i="5" s="1"/>
  <c r="K349" i="4"/>
  <c r="ET202" i="5" s="1"/>
  <c r="L349" i="4"/>
  <c r="EU202" i="5" s="1"/>
  <c r="M349" i="4"/>
  <c r="EV202" i="5" s="1"/>
  <c r="N349" i="4"/>
  <c r="EW202" i="5" s="1"/>
  <c r="O349" i="4"/>
  <c r="EX202" i="5" s="1"/>
  <c r="P349" i="4"/>
  <c r="EY202" i="5" s="1"/>
  <c r="Q349" i="4"/>
  <c r="EZ202" i="5" s="1"/>
  <c r="R349" i="4"/>
  <c r="FA202" i="5" s="1"/>
  <c r="S349" i="4"/>
  <c r="FB202" i="5" s="1"/>
  <c r="T349" i="4"/>
  <c r="FC202" i="5" s="1"/>
  <c r="U349" i="4"/>
  <c r="FD202" i="5" s="1"/>
  <c r="V349" i="4"/>
  <c r="FE202" i="5" s="1"/>
  <c r="W349" i="4"/>
  <c r="FF202" i="5" s="1"/>
  <c r="G350" i="4"/>
  <c r="FM202" i="5" s="1"/>
  <c r="H350" i="4"/>
  <c r="FN202" i="5" s="1"/>
  <c r="I350" i="4"/>
  <c r="FO202" i="5" s="1"/>
  <c r="J350" i="4"/>
  <c r="FP202" i="5" s="1"/>
  <c r="K350" i="4"/>
  <c r="FQ202" i="5" s="1"/>
  <c r="L350" i="4"/>
  <c r="FR202" i="5" s="1"/>
  <c r="M350" i="4"/>
  <c r="FS202" i="5" s="1"/>
  <c r="N350" i="4"/>
  <c r="FT202" i="5" s="1"/>
  <c r="O350" i="4"/>
  <c r="FU202" i="5" s="1"/>
  <c r="P350" i="4"/>
  <c r="FV202" i="5" s="1"/>
  <c r="Q350" i="4"/>
  <c r="FW202" i="5" s="1"/>
  <c r="R350" i="4"/>
  <c r="FX202" i="5" s="1"/>
  <c r="S350" i="4"/>
  <c r="FY202" i="5" s="1"/>
  <c r="T350" i="4"/>
  <c r="FZ202" i="5" s="1"/>
  <c r="U350" i="4"/>
  <c r="GA202" i="5" s="1"/>
  <c r="V350" i="4"/>
  <c r="GB202" i="5" s="1"/>
  <c r="W350" i="4"/>
  <c r="GC202" i="5" s="1"/>
  <c r="G351" i="4"/>
  <c r="GJ202" i="5" s="1"/>
  <c r="H351" i="4"/>
  <c r="GK202" i="5" s="1"/>
  <c r="I351" i="4"/>
  <c r="GL202" i="5" s="1"/>
  <c r="J351" i="4"/>
  <c r="GM202" i="5" s="1"/>
  <c r="K351" i="4"/>
  <c r="GN202" i="5" s="1"/>
  <c r="L351" i="4"/>
  <c r="GO202" i="5" s="1"/>
  <c r="M351" i="4"/>
  <c r="GP202" i="5" s="1"/>
  <c r="N351" i="4"/>
  <c r="GQ202" i="5" s="1"/>
  <c r="O351" i="4"/>
  <c r="GR202" i="5" s="1"/>
  <c r="P351" i="4"/>
  <c r="GS202" i="5" s="1"/>
  <c r="Q351" i="4"/>
  <c r="GT202" i="5" s="1"/>
  <c r="R351" i="4"/>
  <c r="GU202" i="5" s="1"/>
  <c r="S351" i="4"/>
  <c r="GV202" i="5" s="1"/>
  <c r="T351" i="4"/>
  <c r="GW202" i="5" s="1"/>
  <c r="U351" i="4"/>
  <c r="GX202" i="5" s="1"/>
  <c r="V351" i="4"/>
  <c r="GY202" i="5" s="1"/>
  <c r="W351" i="4"/>
  <c r="GZ202" i="5" s="1"/>
  <c r="G352" i="4"/>
  <c r="HG202" i="5" s="1"/>
  <c r="H352" i="4"/>
  <c r="HH202" i="5" s="1"/>
  <c r="I352" i="4"/>
  <c r="HI202" i="5" s="1"/>
  <c r="J352" i="4"/>
  <c r="HJ202" i="5" s="1"/>
  <c r="K352" i="4"/>
  <c r="HK202" i="5" s="1"/>
  <c r="L352" i="4"/>
  <c r="HL202" i="5" s="1"/>
  <c r="M352" i="4"/>
  <c r="HM202" i="5" s="1"/>
  <c r="N352" i="4"/>
  <c r="HN202" i="5" s="1"/>
  <c r="O352" i="4"/>
  <c r="HO202" i="5" s="1"/>
  <c r="P352" i="4"/>
  <c r="HP202" i="5" s="1"/>
  <c r="Q352" i="4"/>
  <c r="HQ202" i="5" s="1"/>
  <c r="R352" i="4"/>
  <c r="HR202" i="5" s="1"/>
  <c r="S352" i="4"/>
  <c r="HS202" i="5" s="1"/>
  <c r="T352" i="4"/>
  <c r="HT202" i="5" s="1"/>
  <c r="U352" i="4"/>
  <c r="HU202" i="5" s="1"/>
  <c r="V352" i="4"/>
  <c r="HV202" i="5" s="1"/>
  <c r="W352" i="4"/>
  <c r="HW202" i="5" s="1"/>
  <c r="G353" i="4"/>
  <c r="ID202" i="5" s="1"/>
  <c r="H353" i="4"/>
  <c r="IE202" i="5" s="1"/>
  <c r="I353" i="4"/>
  <c r="IF202" i="5" s="1"/>
  <c r="J353" i="4"/>
  <c r="IG202" i="5" s="1"/>
  <c r="K353" i="4"/>
  <c r="IH202" i="5" s="1"/>
  <c r="L353" i="4"/>
  <c r="II202" i="5" s="1"/>
  <c r="M353" i="4"/>
  <c r="IJ202" i="5" s="1"/>
  <c r="N353" i="4"/>
  <c r="IK202" i="5" s="1"/>
  <c r="O353" i="4"/>
  <c r="IL202" i="5" s="1"/>
  <c r="P353" i="4"/>
  <c r="IM202" i="5" s="1"/>
  <c r="Q353" i="4"/>
  <c r="IN202" i="5" s="1"/>
  <c r="R353" i="4"/>
  <c r="IO202" i="5" s="1"/>
  <c r="S353" i="4"/>
  <c r="IP202" i="5" s="1"/>
  <c r="T353" i="4"/>
  <c r="IQ202" i="5" s="1"/>
  <c r="U353" i="4"/>
  <c r="IR202" i="5" s="1"/>
  <c r="V353" i="4"/>
  <c r="IS202" i="5" s="1"/>
  <c r="W353" i="4"/>
  <c r="IT202" i="5" s="1"/>
  <c r="G354" i="4"/>
  <c r="J203" i="5" s="1"/>
  <c r="H354" i="4"/>
  <c r="K203" i="5" s="1"/>
  <c r="I354" i="4"/>
  <c r="L203" i="5" s="1"/>
  <c r="J354" i="4"/>
  <c r="M203" i="5" s="1"/>
  <c r="K354" i="4"/>
  <c r="N203" i="5" s="1"/>
  <c r="L354" i="4"/>
  <c r="O203" i="5" s="1"/>
  <c r="M354" i="4"/>
  <c r="P203" i="5" s="1"/>
  <c r="N354" i="4"/>
  <c r="Q203" i="5" s="1"/>
  <c r="O354" i="4"/>
  <c r="R203" i="5" s="1"/>
  <c r="P354" i="4"/>
  <c r="S203" i="5" s="1"/>
  <c r="Q354" i="4"/>
  <c r="T203" i="5" s="1"/>
  <c r="R354" i="4"/>
  <c r="U203" i="5" s="1"/>
  <c r="S354" i="4"/>
  <c r="V203" i="5" s="1"/>
  <c r="T354" i="4"/>
  <c r="W203" i="5" s="1"/>
  <c r="U354" i="4"/>
  <c r="X203" i="5" s="1"/>
  <c r="V354" i="4"/>
  <c r="Y203" i="5" s="1"/>
  <c r="W354" i="4"/>
  <c r="Z203" i="5" s="1"/>
  <c r="G355" i="4"/>
  <c r="AG203" i="5" s="1"/>
  <c r="H355" i="4"/>
  <c r="AH203" i="5" s="1"/>
  <c r="I355" i="4"/>
  <c r="AI203" i="5" s="1"/>
  <c r="J355" i="4"/>
  <c r="AJ203" i="5" s="1"/>
  <c r="K355" i="4"/>
  <c r="AK203" i="5" s="1"/>
  <c r="L355" i="4"/>
  <c r="AL203" i="5" s="1"/>
  <c r="M355" i="4"/>
  <c r="AM203" i="5" s="1"/>
  <c r="N355" i="4"/>
  <c r="AN203" i="5" s="1"/>
  <c r="O355" i="4"/>
  <c r="AO203" i="5" s="1"/>
  <c r="P355" i="4"/>
  <c r="AP203" i="5" s="1"/>
  <c r="Q355" i="4"/>
  <c r="AQ203" i="5" s="1"/>
  <c r="R355" i="4"/>
  <c r="AR203" i="5" s="1"/>
  <c r="S355" i="4"/>
  <c r="AS203" i="5" s="1"/>
  <c r="T355" i="4"/>
  <c r="AT203" i="5" s="1"/>
  <c r="U355" i="4"/>
  <c r="AU203" i="5" s="1"/>
  <c r="V355" i="4"/>
  <c r="AV203" i="5" s="1"/>
  <c r="W355" i="4"/>
  <c r="AW203" i="5" s="1"/>
  <c r="G356" i="4"/>
  <c r="BD203" i="5" s="1"/>
  <c r="H356" i="4"/>
  <c r="BE203" i="5" s="1"/>
  <c r="I356" i="4"/>
  <c r="BF203" i="5" s="1"/>
  <c r="J356" i="4"/>
  <c r="BG203" i="5" s="1"/>
  <c r="K356" i="4"/>
  <c r="BH203" i="5" s="1"/>
  <c r="L356" i="4"/>
  <c r="BI203" i="5" s="1"/>
  <c r="M356" i="4"/>
  <c r="BJ203" i="5" s="1"/>
  <c r="N356" i="4"/>
  <c r="BK203" i="5" s="1"/>
  <c r="O356" i="4"/>
  <c r="BL203" i="5" s="1"/>
  <c r="P356" i="4"/>
  <c r="BM203" i="5" s="1"/>
  <c r="Q356" i="4"/>
  <c r="BN203" i="5" s="1"/>
  <c r="R356" i="4"/>
  <c r="BO203" i="5" s="1"/>
  <c r="S356" i="4"/>
  <c r="BP203" i="5" s="1"/>
  <c r="T356" i="4"/>
  <c r="BQ203" i="5" s="1"/>
  <c r="U356" i="4"/>
  <c r="BR203" i="5" s="1"/>
  <c r="V356" i="4"/>
  <c r="BS203" i="5" s="1"/>
  <c r="W356" i="4"/>
  <c r="BT203" i="5" s="1"/>
  <c r="G357" i="4"/>
  <c r="CA203" i="5" s="1"/>
  <c r="H357" i="4"/>
  <c r="CB203" i="5" s="1"/>
  <c r="I357" i="4"/>
  <c r="CC203" i="5" s="1"/>
  <c r="J357" i="4"/>
  <c r="CD203" i="5" s="1"/>
  <c r="K357" i="4"/>
  <c r="CE203" i="5" s="1"/>
  <c r="L357" i="4"/>
  <c r="CF203" i="5" s="1"/>
  <c r="M357" i="4"/>
  <c r="CG203" i="5" s="1"/>
  <c r="N357" i="4"/>
  <c r="CH203" i="5" s="1"/>
  <c r="O357" i="4"/>
  <c r="CI203" i="5" s="1"/>
  <c r="P357" i="4"/>
  <c r="CJ203" i="5" s="1"/>
  <c r="Q357" i="4"/>
  <c r="CK203" i="5" s="1"/>
  <c r="R357" i="4"/>
  <c r="CL203" i="5" s="1"/>
  <c r="S357" i="4"/>
  <c r="CM203" i="5" s="1"/>
  <c r="T357" i="4"/>
  <c r="CN203" i="5" s="1"/>
  <c r="U357" i="4"/>
  <c r="CO203" i="5" s="1"/>
  <c r="V357" i="4"/>
  <c r="CP203" i="5" s="1"/>
  <c r="W357" i="4"/>
  <c r="CQ203" i="5" s="1"/>
  <c r="G358" i="4"/>
  <c r="CX203" i="5" s="1"/>
  <c r="H358" i="4"/>
  <c r="CY203" i="5" s="1"/>
  <c r="I358" i="4"/>
  <c r="CZ203" i="5" s="1"/>
  <c r="J358" i="4"/>
  <c r="DA203" i="5" s="1"/>
  <c r="K358" i="4"/>
  <c r="DB203" i="5" s="1"/>
  <c r="L358" i="4"/>
  <c r="DC203" i="5" s="1"/>
  <c r="M358" i="4"/>
  <c r="DD203" i="5" s="1"/>
  <c r="N358" i="4"/>
  <c r="DE203" i="5" s="1"/>
  <c r="O358" i="4"/>
  <c r="DF203" i="5" s="1"/>
  <c r="P358" i="4"/>
  <c r="DG203" i="5" s="1"/>
  <c r="Q358" i="4"/>
  <c r="DH203" i="5" s="1"/>
  <c r="R358" i="4"/>
  <c r="DI203" i="5" s="1"/>
  <c r="S358" i="4"/>
  <c r="DJ203" i="5" s="1"/>
  <c r="T358" i="4"/>
  <c r="DK203" i="5" s="1"/>
  <c r="U358" i="4"/>
  <c r="DL203" i="5" s="1"/>
  <c r="V358" i="4"/>
  <c r="DM203" i="5" s="1"/>
  <c r="W358" i="4"/>
  <c r="DN203" i="5" s="1"/>
  <c r="G359" i="4"/>
  <c r="DU203" i="5" s="1"/>
  <c r="H359" i="4"/>
  <c r="DV203" i="5" s="1"/>
  <c r="I359" i="4"/>
  <c r="DW203" i="5" s="1"/>
  <c r="J359" i="4"/>
  <c r="DX203" i="5" s="1"/>
  <c r="K359" i="4"/>
  <c r="DY203" i="5" s="1"/>
  <c r="L359" i="4"/>
  <c r="DZ203" i="5" s="1"/>
  <c r="M359" i="4"/>
  <c r="EA203" i="5" s="1"/>
  <c r="N359" i="4"/>
  <c r="EB203" i="5" s="1"/>
  <c r="O359" i="4"/>
  <c r="EC203" i="5" s="1"/>
  <c r="P359" i="4"/>
  <c r="ED203" i="5" s="1"/>
  <c r="Q359" i="4"/>
  <c r="EE203" i="5" s="1"/>
  <c r="R359" i="4"/>
  <c r="EF203" i="5" s="1"/>
  <c r="S359" i="4"/>
  <c r="EG203" i="5" s="1"/>
  <c r="T359" i="4"/>
  <c r="EH203" i="5" s="1"/>
  <c r="U359" i="4"/>
  <c r="EI203" i="5" s="1"/>
  <c r="V359" i="4"/>
  <c r="EJ203" i="5" s="1"/>
  <c r="W359" i="4"/>
  <c r="EK203" i="5" s="1"/>
  <c r="G360" i="4"/>
  <c r="ER203" i="5" s="1"/>
  <c r="H360" i="4"/>
  <c r="ES203" i="5" s="1"/>
  <c r="I360" i="4"/>
  <c r="ET203" i="5" s="1"/>
  <c r="J360" i="4"/>
  <c r="EU203" i="5" s="1"/>
  <c r="K360" i="4"/>
  <c r="EV203" i="5" s="1"/>
  <c r="L360" i="4"/>
  <c r="EW203" i="5" s="1"/>
  <c r="M360" i="4"/>
  <c r="EX203" i="5" s="1"/>
  <c r="N360" i="4"/>
  <c r="EY203" i="5" s="1"/>
  <c r="O360" i="4"/>
  <c r="EZ203" i="5" s="1"/>
  <c r="P360" i="4"/>
  <c r="FA203" i="5" s="1"/>
  <c r="Q360" i="4"/>
  <c r="FB203" i="5" s="1"/>
  <c r="R360" i="4"/>
  <c r="FC203" i="5" s="1"/>
  <c r="S360" i="4"/>
  <c r="FD203" i="5" s="1"/>
  <c r="T360" i="4"/>
  <c r="FE203" i="5" s="1"/>
  <c r="U360" i="4"/>
  <c r="FF203" i="5" s="1"/>
  <c r="V360" i="4"/>
  <c r="FG203" i="5" s="1"/>
  <c r="W360" i="4"/>
  <c r="FH203" i="5" s="1"/>
  <c r="G361" i="4"/>
  <c r="FO203" i="5" s="1"/>
  <c r="H361" i="4"/>
  <c r="FP203" i="5" s="1"/>
  <c r="I361" i="4"/>
  <c r="FQ203" i="5" s="1"/>
  <c r="J361" i="4"/>
  <c r="FR203" i="5" s="1"/>
  <c r="K361" i="4"/>
  <c r="FS203" i="5" s="1"/>
  <c r="L361" i="4"/>
  <c r="FT203" i="5" s="1"/>
  <c r="M361" i="4"/>
  <c r="FU203" i="5" s="1"/>
  <c r="N361" i="4"/>
  <c r="FV203" i="5" s="1"/>
  <c r="O361" i="4"/>
  <c r="FW203" i="5" s="1"/>
  <c r="P361" i="4"/>
  <c r="FX203" i="5" s="1"/>
  <c r="Q361" i="4"/>
  <c r="FY203" i="5" s="1"/>
  <c r="R361" i="4"/>
  <c r="FZ203" i="5" s="1"/>
  <c r="S361" i="4"/>
  <c r="GA203" i="5" s="1"/>
  <c r="T361" i="4"/>
  <c r="GB203" i="5" s="1"/>
  <c r="U361" i="4"/>
  <c r="GC203" i="5" s="1"/>
  <c r="V361" i="4"/>
  <c r="GD203" i="5" s="1"/>
  <c r="W361" i="4"/>
  <c r="GE203" i="5" s="1"/>
  <c r="G362" i="4"/>
  <c r="GL203" i="5" s="1"/>
  <c r="H362" i="4"/>
  <c r="GM203" i="5" s="1"/>
  <c r="I362" i="4"/>
  <c r="GN203" i="5" s="1"/>
  <c r="J362" i="4"/>
  <c r="GO203" i="5" s="1"/>
  <c r="K362" i="4"/>
  <c r="GP203" i="5" s="1"/>
  <c r="L362" i="4"/>
  <c r="GQ203" i="5" s="1"/>
  <c r="M362" i="4"/>
  <c r="GR203" i="5" s="1"/>
  <c r="N362" i="4"/>
  <c r="GS203" i="5" s="1"/>
  <c r="O362" i="4"/>
  <c r="GT203" i="5" s="1"/>
  <c r="P362" i="4"/>
  <c r="GU203" i="5" s="1"/>
  <c r="Q362" i="4"/>
  <c r="GV203" i="5" s="1"/>
  <c r="R362" i="4"/>
  <c r="GW203" i="5" s="1"/>
  <c r="S362" i="4"/>
  <c r="GX203" i="5" s="1"/>
  <c r="T362" i="4"/>
  <c r="GY203" i="5" s="1"/>
  <c r="U362" i="4"/>
  <c r="GZ203" i="5" s="1"/>
  <c r="V362" i="4"/>
  <c r="HA203" i="5" s="1"/>
  <c r="W362" i="4"/>
  <c r="HB203" i="5" s="1"/>
  <c r="G363" i="4"/>
  <c r="HI203" i="5" s="1"/>
  <c r="H363" i="4"/>
  <c r="HJ203" i="5" s="1"/>
  <c r="I363" i="4"/>
  <c r="HK203" i="5" s="1"/>
  <c r="J363" i="4"/>
  <c r="HL203" i="5" s="1"/>
  <c r="K363" i="4"/>
  <c r="HM203" i="5" s="1"/>
  <c r="L363" i="4"/>
  <c r="HN203" i="5" s="1"/>
  <c r="M363" i="4"/>
  <c r="HO203" i="5" s="1"/>
  <c r="N363" i="4"/>
  <c r="HP203" i="5" s="1"/>
  <c r="O363" i="4"/>
  <c r="HQ203" i="5" s="1"/>
  <c r="P363" i="4"/>
  <c r="HR203" i="5" s="1"/>
  <c r="Q363" i="4"/>
  <c r="HS203" i="5" s="1"/>
  <c r="R363" i="4"/>
  <c r="HT203" i="5" s="1"/>
  <c r="S363" i="4"/>
  <c r="HU203" i="5" s="1"/>
  <c r="T363" i="4"/>
  <c r="HV203" i="5" s="1"/>
  <c r="U363" i="4"/>
  <c r="HW203" i="5" s="1"/>
  <c r="V363" i="4"/>
  <c r="HX203" i="5" s="1"/>
  <c r="W363" i="4"/>
  <c r="HY203" i="5" s="1"/>
  <c r="G364" i="4"/>
  <c r="IF203" i="5" s="1"/>
  <c r="H364" i="4"/>
  <c r="IG203" i="5" s="1"/>
  <c r="I364" i="4"/>
  <c r="IH203" i="5" s="1"/>
  <c r="J364" i="4"/>
  <c r="II203" i="5" s="1"/>
  <c r="K364" i="4"/>
  <c r="IJ203" i="5" s="1"/>
  <c r="L364" i="4"/>
  <c r="IK203" i="5" s="1"/>
  <c r="M364" i="4"/>
  <c r="IL203" i="5" s="1"/>
  <c r="N364" i="4"/>
  <c r="IM203" i="5" s="1"/>
  <c r="O364" i="4"/>
  <c r="IN203" i="5" s="1"/>
  <c r="P364" i="4"/>
  <c r="IO203" i="5" s="1"/>
  <c r="Q364" i="4"/>
  <c r="IP203" i="5" s="1"/>
  <c r="R364" i="4"/>
  <c r="IQ203" i="5" s="1"/>
  <c r="S364" i="4"/>
  <c r="IR203" i="5" s="1"/>
  <c r="T364" i="4"/>
  <c r="IS203" i="5" s="1"/>
  <c r="U364" i="4"/>
  <c r="IT203" i="5" s="1"/>
  <c r="V364" i="4"/>
  <c r="IU203" i="5" s="1"/>
  <c r="W364" i="4"/>
  <c r="IV203" i="5" s="1"/>
  <c r="G365" i="4"/>
  <c r="L204" i="5" s="1"/>
  <c r="H365" i="4"/>
  <c r="M204" i="5" s="1"/>
  <c r="I365" i="4"/>
  <c r="N204" i="5" s="1"/>
  <c r="J365" i="4"/>
  <c r="O204" i="5" s="1"/>
  <c r="K365" i="4"/>
  <c r="P204" i="5" s="1"/>
  <c r="L365" i="4"/>
  <c r="Q204" i="5" s="1"/>
  <c r="M365" i="4"/>
  <c r="R204" i="5" s="1"/>
  <c r="N365" i="4"/>
  <c r="S204" i="5" s="1"/>
  <c r="O365" i="4"/>
  <c r="T204" i="5" s="1"/>
  <c r="P365" i="4"/>
  <c r="U204" i="5" s="1"/>
  <c r="Q365" i="4"/>
  <c r="V204" i="5" s="1"/>
  <c r="R365" i="4"/>
  <c r="W204" i="5" s="1"/>
  <c r="S365" i="4"/>
  <c r="X204" i="5" s="1"/>
  <c r="T365" i="4"/>
  <c r="Y204" i="5" s="1"/>
  <c r="U365" i="4"/>
  <c r="Z204" i="5" s="1"/>
  <c r="V365" i="4"/>
  <c r="AA204" i="5" s="1"/>
  <c r="W365" i="4"/>
  <c r="AB204" i="5" s="1"/>
  <c r="G366" i="4"/>
  <c r="AI204" i="5" s="1"/>
  <c r="H366" i="4"/>
  <c r="AJ204" i="5" s="1"/>
  <c r="I366" i="4"/>
  <c r="AK204" i="5" s="1"/>
  <c r="J366" i="4"/>
  <c r="AL204" i="5" s="1"/>
  <c r="K366" i="4"/>
  <c r="AM204" i="5" s="1"/>
  <c r="L366" i="4"/>
  <c r="AN204" i="5" s="1"/>
  <c r="M366" i="4"/>
  <c r="AO204" i="5" s="1"/>
  <c r="N366" i="4"/>
  <c r="AP204" i="5" s="1"/>
  <c r="O366" i="4"/>
  <c r="AQ204" i="5" s="1"/>
  <c r="P366" i="4"/>
  <c r="AR204" i="5" s="1"/>
  <c r="Q366" i="4"/>
  <c r="AS204" i="5" s="1"/>
  <c r="R366" i="4"/>
  <c r="AT204" i="5" s="1"/>
  <c r="S366" i="4"/>
  <c r="AU204" i="5" s="1"/>
  <c r="T366" i="4"/>
  <c r="AV204" i="5" s="1"/>
  <c r="U366" i="4"/>
  <c r="AW204" i="5" s="1"/>
  <c r="V366" i="4"/>
  <c r="AX204" i="5" s="1"/>
  <c r="W366" i="4"/>
  <c r="AY204" i="5" s="1"/>
  <c r="G367" i="4"/>
  <c r="BF204" i="5" s="1"/>
  <c r="H367" i="4"/>
  <c r="BG204" i="5" s="1"/>
  <c r="I367" i="4"/>
  <c r="BH204" i="5" s="1"/>
  <c r="J367" i="4"/>
  <c r="BI204" i="5" s="1"/>
  <c r="K367" i="4"/>
  <c r="BJ204" i="5" s="1"/>
  <c r="L367" i="4"/>
  <c r="BK204" i="5" s="1"/>
  <c r="M367" i="4"/>
  <c r="BL204" i="5" s="1"/>
  <c r="N367" i="4"/>
  <c r="BM204" i="5" s="1"/>
  <c r="O367" i="4"/>
  <c r="BN204" i="5" s="1"/>
  <c r="P367" i="4"/>
  <c r="BO204" i="5" s="1"/>
  <c r="Q367" i="4"/>
  <c r="BP204" i="5" s="1"/>
  <c r="R367" i="4"/>
  <c r="BQ204" i="5" s="1"/>
  <c r="S367" i="4"/>
  <c r="BR204" i="5" s="1"/>
  <c r="T367" i="4"/>
  <c r="BS204" i="5" s="1"/>
  <c r="U367" i="4"/>
  <c r="BT204" i="5" s="1"/>
  <c r="V367" i="4"/>
  <c r="BU204" i="5" s="1"/>
  <c r="W367" i="4"/>
  <c r="BV204" i="5" s="1"/>
  <c r="G368" i="4"/>
  <c r="CC204" i="5" s="1"/>
  <c r="H368" i="4"/>
  <c r="CD204" i="5" s="1"/>
  <c r="I368" i="4"/>
  <c r="CE204" i="5" s="1"/>
  <c r="J368" i="4"/>
  <c r="CF204" i="5" s="1"/>
  <c r="K368" i="4"/>
  <c r="CG204" i="5" s="1"/>
  <c r="L368" i="4"/>
  <c r="CH204" i="5" s="1"/>
  <c r="M368" i="4"/>
  <c r="CI204" i="5" s="1"/>
  <c r="N368" i="4"/>
  <c r="CJ204" i="5" s="1"/>
  <c r="O368" i="4"/>
  <c r="CK204" i="5" s="1"/>
  <c r="P368" i="4"/>
  <c r="CL204" i="5" s="1"/>
  <c r="Q368" i="4"/>
  <c r="CM204" i="5" s="1"/>
  <c r="R368" i="4"/>
  <c r="CN204" i="5" s="1"/>
  <c r="S368" i="4"/>
  <c r="CO204" i="5" s="1"/>
  <c r="T368" i="4"/>
  <c r="CP204" i="5" s="1"/>
  <c r="U368" i="4"/>
  <c r="CQ204" i="5" s="1"/>
  <c r="V368" i="4"/>
  <c r="CR204" i="5" s="1"/>
  <c r="W368" i="4"/>
  <c r="CS204" i="5" s="1"/>
  <c r="G369" i="4"/>
  <c r="CZ204" i="5" s="1"/>
  <c r="H369" i="4"/>
  <c r="DA204" i="5" s="1"/>
  <c r="I369" i="4"/>
  <c r="DB204" i="5" s="1"/>
  <c r="J369" i="4"/>
  <c r="DC204" i="5" s="1"/>
  <c r="K369" i="4"/>
  <c r="DD204" i="5" s="1"/>
  <c r="L369" i="4"/>
  <c r="DE204" i="5" s="1"/>
  <c r="M369" i="4"/>
  <c r="DF204" i="5" s="1"/>
  <c r="N369" i="4"/>
  <c r="DG204" i="5" s="1"/>
  <c r="O369" i="4"/>
  <c r="DH204" i="5" s="1"/>
  <c r="P369" i="4"/>
  <c r="DI204" i="5" s="1"/>
  <c r="Q369" i="4"/>
  <c r="DJ204" i="5" s="1"/>
  <c r="R369" i="4"/>
  <c r="DK204" i="5" s="1"/>
  <c r="S369" i="4"/>
  <c r="DL204" i="5" s="1"/>
  <c r="T369" i="4"/>
  <c r="DM204" i="5" s="1"/>
  <c r="U369" i="4"/>
  <c r="DN204" i="5" s="1"/>
  <c r="V369" i="4"/>
  <c r="DO204" i="5" s="1"/>
  <c r="W369" i="4"/>
  <c r="DP204" i="5" s="1"/>
  <c r="G370" i="4"/>
  <c r="DW204" i="5" s="1"/>
  <c r="H370" i="4"/>
  <c r="DX204" i="5" s="1"/>
  <c r="I370" i="4"/>
  <c r="DY204" i="5" s="1"/>
  <c r="J370" i="4"/>
  <c r="DZ204" i="5" s="1"/>
  <c r="K370" i="4"/>
  <c r="EA204" i="5" s="1"/>
  <c r="L370" i="4"/>
  <c r="EB204" i="5" s="1"/>
  <c r="M370" i="4"/>
  <c r="EC204" i="5" s="1"/>
  <c r="N370" i="4"/>
  <c r="ED204" i="5" s="1"/>
  <c r="O370" i="4"/>
  <c r="EE204" i="5" s="1"/>
  <c r="P370" i="4"/>
  <c r="EF204" i="5" s="1"/>
  <c r="Q370" i="4"/>
  <c r="EG204" i="5" s="1"/>
  <c r="R370" i="4"/>
  <c r="EH204" i="5" s="1"/>
  <c r="S370" i="4"/>
  <c r="EI204" i="5" s="1"/>
  <c r="T370" i="4"/>
  <c r="EJ204" i="5" s="1"/>
  <c r="U370" i="4"/>
  <c r="EK204" i="5" s="1"/>
  <c r="V370" i="4"/>
  <c r="EL204" i="5" s="1"/>
  <c r="W370" i="4"/>
  <c r="EM204" i="5" s="1"/>
  <c r="G371" i="4"/>
  <c r="ET204" i="5" s="1"/>
  <c r="H371" i="4"/>
  <c r="EU204" i="5" s="1"/>
  <c r="I371" i="4"/>
  <c r="EV204" i="5" s="1"/>
  <c r="J371" i="4"/>
  <c r="EW204" i="5" s="1"/>
  <c r="K371" i="4"/>
  <c r="EX204" i="5" s="1"/>
  <c r="L371" i="4"/>
  <c r="EY204" i="5" s="1"/>
  <c r="M371" i="4"/>
  <c r="EZ204" i="5" s="1"/>
  <c r="N371" i="4"/>
  <c r="FA204" i="5" s="1"/>
  <c r="O371" i="4"/>
  <c r="FB204" i="5" s="1"/>
  <c r="P371" i="4"/>
  <c r="FC204" i="5" s="1"/>
  <c r="Q371" i="4"/>
  <c r="FD204" i="5" s="1"/>
  <c r="R371" i="4"/>
  <c r="FE204" i="5" s="1"/>
  <c r="S371" i="4"/>
  <c r="FF204" i="5" s="1"/>
  <c r="T371" i="4"/>
  <c r="FG204" i="5" s="1"/>
  <c r="U371" i="4"/>
  <c r="FH204" i="5" s="1"/>
  <c r="V371" i="4"/>
  <c r="FI204" i="5" s="1"/>
  <c r="W371" i="4"/>
  <c r="FJ204" i="5" s="1"/>
  <c r="G372" i="4"/>
  <c r="FQ204" i="5" s="1"/>
  <c r="H372" i="4"/>
  <c r="FR204" i="5" s="1"/>
  <c r="I372" i="4"/>
  <c r="FS204" i="5" s="1"/>
  <c r="J372" i="4"/>
  <c r="FT204" i="5" s="1"/>
  <c r="K372" i="4"/>
  <c r="FU204" i="5" s="1"/>
  <c r="L372" i="4"/>
  <c r="FV204" i="5" s="1"/>
  <c r="M372" i="4"/>
  <c r="FW204" i="5" s="1"/>
  <c r="N372" i="4"/>
  <c r="FX204" i="5" s="1"/>
  <c r="O372" i="4"/>
  <c r="FY204" i="5" s="1"/>
  <c r="P372" i="4"/>
  <c r="FZ204" i="5" s="1"/>
  <c r="Q372" i="4"/>
  <c r="GA204" i="5" s="1"/>
  <c r="R372" i="4"/>
  <c r="GB204" i="5" s="1"/>
  <c r="S372" i="4"/>
  <c r="GC204" i="5" s="1"/>
  <c r="T372" i="4"/>
  <c r="GD204" i="5" s="1"/>
  <c r="U372" i="4"/>
  <c r="GE204" i="5" s="1"/>
  <c r="V372" i="4"/>
  <c r="GF204" i="5" s="1"/>
  <c r="W372" i="4"/>
  <c r="GG204" i="5" s="1"/>
  <c r="G373" i="4"/>
  <c r="GN204" i="5" s="1"/>
  <c r="H373" i="4"/>
  <c r="GO204" i="5" s="1"/>
  <c r="I373" i="4"/>
  <c r="GP204" i="5" s="1"/>
  <c r="J373" i="4"/>
  <c r="GQ204" i="5" s="1"/>
  <c r="K373" i="4"/>
  <c r="GR204" i="5" s="1"/>
  <c r="L373" i="4"/>
  <c r="GS204" i="5" s="1"/>
  <c r="M373" i="4"/>
  <c r="GT204" i="5" s="1"/>
  <c r="N373" i="4"/>
  <c r="GU204" i="5" s="1"/>
  <c r="O373" i="4"/>
  <c r="GV204" i="5" s="1"/>
  <c r="P373" i="4"/>
  <c r="GW204" i="5" s="1"/>
  <c r="Q373" i="4"/>
  <c r="GX204" i="5" s="1"/>
  <c r="R373" i="4"/>
  <c r="GY204" i="5" s="1"/>
  <c r="S373" i="4"/>
  <c r="GZ204" i="5" s="1"/>
  <c r="T373" i="4"/>
  <c r="HA204" i="5" s="1"/>
  <c r="U373" i="4"/>
  <c r="HB204" i="5" s="1"/>
  <c r="V373" i="4"/>
  <c r="HC204" i="5" s="1"/>
  <c r="W373" i="4"/>
  <c r="HD204" i="5" s="1"/>
  <c r="G374" i="4"/>
  <c r="HK204" i="5" s="1"/>
  <c r="H374" i="4"/>
  <c r="HL204" i="5" s="1"/>
  <c r="I374" i="4"/>
  <c r="HM204" i="5" s="1"/>
  <c r="J374" i="4"/>
  <c r="HN204" i="5" s="1"/>
  <c r="K374" i="4"/>
  <c r="HO204" i="5" s="1"/>
  <c r="L374" i="4"/>
  <c r="HP204" i="5" s="1"/>
  <c r="M374" i="4"/>
  <c r="HQ204" i="5" s="1"/>
  <c r="N374" i="4"/>
  <c r="HR204" i="5" s="1"/>
  <c r="O374" i="4"/>
  <c r="HS204" i="5" s="1"/>
  <c r="P374" i="4"/>
  <c r="HT204" i="5" s="1"/>
  <c r="Q374" i="4"/>
  <c r="HU204" i="5" s="1"/>
  <c r="R374" i="4"/>
  <c r="HV204" i="5" s="1"/>
  <c r="S374" i="4"/>
  <c r="HW204" i="5" s="1"/>
  <c r="T374" i="4"/>
  <c r="HX204" i="5" s="1"/>
  <c r="U374" i="4"/>
  <c r="HY204" i="5" s="1"/>
  <c r="V374" i="4"/>
  <c r="HZ204" i="5" s="1"/>
  <c r="W374" i="4"/>
  <c r="IA204" i="5" s="1"/>
  <c r="G375" i="4"/>
  <c r="IH204" i="5" s="1"/>
  <c r="H375" i="4"/>
  <c r="II204" i="5" s="1"/>
  <c r="I375" i="4"/>
  <c r="IJ204" i="5" s="1"/>
  <c r="J375" i="4"/>
  <c r="IK204" i="5" s="1"/>
  <c r="K375" i="4"/>
  <c r="IL204" i="5" s="1"/>
  <c r="L375" i="4"/>
  <c r="IM204" i="5" s="1"/>
  <c r="M375" i="4"/>
  <c r="IN204" i="5" s="1"/>
  <c r="N375" i="4"/>
  <c r="IO204" i="5" s="1"/>
  <c r="O375" i="4"/>
  <c r="IP204" i="5" s="1"/>
  <c r="P375" i="4"/>
  <c r="IQ204" i="5" s="1"/>
  <c r="Q375" i="4"/>
  <c r="IR204" i="5" s="1"/>
  <c r="R375" i="4"/>
  <c r="IS204" i="5" s="1"/>
  <c r="S375" i="4"/>
  <c r="IT204" i="5" s="1"/>
  <c r="T375" i="4"/>
  <c r="IU204" i="5" s="1"/>
  <c r="U375" i="4"/>
  <c r="IV204" i="5" s="1"/>
  <c r="V375" i="4"/>
  <c r="F205" i="5" s="1"/>
  <c r="W375" i="4"/>
  <c r="G205" i="5" s="1"/>
  <c r="G376" i="4"/>
  <c r="N205" i="5" s="1"/>
  <c r="H376" i="4"/>
  <c r="O205" i="5" s="1"/>
  <c r="I376" i="4"/>
  <c r="P205" i="5" s="1"/>
  <c r="J376" i="4"/>
  <c r="Q205" i="5" s="1"/>
  <c r="K376" i="4"/>
  <c r="R205" i="5" s="1"/>
  <c r="L376" i="4"/>
  <c r="S205" i="5" s="1"/>
  <c r="M376" i="4"/>
  <c r="T205" i="5" s="1"/>
  <c r="N376" i="4"/>
  <c r="U205" i="5" s="1"/>
  <c r="O376" i="4"/>
  <c r="V205" i="5" s="1"/>
  <c r="P376" i="4"/>
  <c r="W205" i="5" s="1"/>
  <c r="Q376" i="4"/>
  <c r="X205" i="5" s="1"/>
  <c r="R376" i="4"/>
  <c r="Y205" i="5" s="1"/>
  <c r="S376" i="4"/>
  <c r="Z205" i="5" s="1"/>
  <c r="T376" i="4"/>
  <c r="AA205" i="5" s="1"/>
  <c r="U376" i="4"/>
  <c r="AB205" i="5" s="1"/>
  <c r="V376" i="4"/>
  <c r="AC205" i="5" s="1"/>
  <c r="W376" i="4"/>
  <c r="AD205" i="5" s="1"/>
  <c r="G377" i="4"/>
  <c r="AK205" i="5" s="1"/>
  <c r="H377" i="4"/>
  <c r="AL205" i="5" s="1"/>
  <c r="I377" i="4"/>
  <c r="AM205" i="5" s="1"/>
  <c r="J377" i="4"/>
  <c r="AN205" i="5" s="1"/>
  <c r="K377" i="4"/>
  <c r="AO205" i="5" s="1"/>
  <c r="L377" i="4"/>
  <c r="AP205" i="5" s="1"/>
  <c r="M377" i="4"/>
  <c r="AQ205" i="5" s="1"/>
  <c r="N377" i="4"/>
  <c r="AR205" i="5" s="1"/>
  <c r="O377" i="4"/>
  <c r="AS205" i="5" s="1"/>
  <c r="P377" i="4"/>
  <c r="AT205" i="5" s="1"/>
  <c r="Q377" i="4"/>
  <c r="AU205" i="5" s="1"/>
  <c r="R377" i="4"/>
  <c r="AV205" i="5" s="1"/>
  <c r="S377" i="4"/>
  <c r="AW205" i="5" s="1"/>
  <c r="T377" i="4"/>
  <c r="AX205" i="5" s="1"/>
  <c r="U377" i="4"/>
  <c r="AY205" i="5" s="1"/>
  <c r="V377" i="4"/>
  <c r="AZ205" i="5" s="1"/>
  <c r="W377" i="4"/>
  <c r="BA205" i="5" s="1"/>
  <c r="G378" i="4"/>
  <c r="BH205" i="5" s="1"/>
  <c r="H378" i="4"/>
  <c r="BI205" i="5" s="1"/>
  <c r="I378" i="4"/>
  <c r="BJ205" i="5" s="1"/>
  <c r="J378" i="4"/>
  <c r="BK205" i="5" s="1"/>
  <c r="K378" i="4"/>
  <c r="BL205" i="5" s="1"/>
  <c r="L378" i="4"/>
  <c r="BM205" i="5" s="1"/>
  <c r="M378" i="4"/>
  <c r="BN205" i="5" s="1"/>
  <c r="N378" i="4"/>
  <c r="BO205" i="5" s="1"/>
  <c r="O378" i="4"/>
  <c r="BP205" i="5" s="1"/>
  <c r="P378" i="4"/>
  <c r="BQ205" i="5" s="1"/>
  <c r="Q378" i="4"/>
  <c r="BR205" i="5" s="1"/>
  <c r="R378" i="4"/>
  <c r="BS205" i="5" s="1"/>
  <c r="S378" i="4"/>
  <c r="BT205" i="5" s="1"/>
  <c r="T378" i="4"/>
  <c r="BU205" i="5" s="1"/>
  <c r="U378" i="4"/>
  <c r="BV205" i="5" s="1"/>
  <c r="V378" i="4"/>
  <c r="BW205" i="5" s="1"/>
  <c r="W378" i="4"/>
  <c r="BX205" i="5" s="1"/>
  <c r="G379" i="4"/>
  <c r="CE205" i="5" s="1"/>
  <c r="H379" i="4"/>
  <c r="CF205" i="5" s="1"/>
  <c r="I379" i="4"/>
  <c r="CG205" i="5" s="1"/>
  <c r="J379" i="4"/>
  <c r="CH205" i="5" s="1"/>
  <c r="K379" i="4"/>
  <c r="CI205" i="5" s="1"/>
  <c r="L379" i="4"/>
  <c r="CJ205" i="5" s="1"/>
  <c r="M379" i="4"/>
  <c r="CK205" i="5" s="1"/>
  <c r="N379" i="4"/>
  <c r="CL205" i="5" s="1"/>
  <c r="O379" i="4"/>
  <c r="CM205" i="5" s="1"/>
  <c r="P379" i="4"/>
  <c r="CN205" i="5" s="1"/>
  <c r="Q379" i="4"/>
  <c r="CO205" i="5" s="1"/>
  <c r="R379" i="4"/>
  <c r="CP205" i="5" s="1"/>
  <c r="S379" i="4"/>
  <c r="CQ205" i="5" s="1"/>
  <c r="T379" i="4"/>
  <c r="CR205" i="5" s="1"/>
  <c r="U379" i="4"/>
  <c r="CS205" i="5" s="1"/>
  <c r="V379" i="4"/>
  <c r="CT205" i="5" s="1"/>
  <c r="W379" i="4"/>
  <c r="CU205" i="5" s="1"/>
  <c r="G380" i="4"/>
  <c r="DB205" i="5" s="1"/>
  <c r="H380" i="4"/>
  <c r="DC205" i="5" s="1"/>
  <c r="I380" i="4"/>
  <c r="DD205" i="5" s="1"/>
  <c r="J380" i="4"/>
  <c r="DE205" i="5" s="1"/>
  <c r="K380" i="4"/>
  <c r="DF205" i="5" s="1"/>
  <c r="L380" i="4"/>
  <c r="DG205" i="5" s="1"/>
  <c r="M380" i="4"/>
  <c r="DH205" i="5" s="1"/>
  <c r="N380" i="4"/>
  <c r="DI205" i="5" s="1"/>
  <c r="O380" i="4"/>
  <c r="DJ205" i="5" s="1"/>
  <c r="P380" i="4"/>
  <c r="DK205" i="5" s="1"/>
  <c r="Q380" i="4"/>
  <c r="DL205" i="5" s="1"/>
  <c r="R380" i="4"/>
  <c r="DM205" i="5" s="1"/>
  <c r="S380" i="4"/>
  <c r="DN205" i="5" s="1"/>
  <c r="T380" i="4"/>
  <c r="DO205" i="5" s="1"/>
  <c r="U380" i="4"/>
  <c r="DP205" i="5" s="1"/>
  <c r="V380" i="4"/>
  <c r="DQ205" i="5" s="1"/>
  <c r="W380" i="4"/>
  <c r="DR205" i="5" s="1"/>
  <c r="G381" i="4"/>
  <c r="DY205" i="5" s="1"/>
  <c r="H381" i="4"/>
  <c r="DZ205" i="5" s="1"/>
  <c r="I381" i="4"/>
  <c r="EA205" i="5" s="1"/>
  <c r="J381" i="4"/>
  <c r="EB205" i="5" s="1"/>
  <c r="K381" i="4"/>
  <c r="EC205" i="5" s="1"/>
  <c r="L381" i="4"/>
  <c r="ED205" i="5" s="1"/>
  <c r="M381" i="4"/>
  <c r="EE205" i="5" s="1"/>
  <c r="N381" i="4"/>
  <c r="EF205" i="5" s="1"/>
  <c r="O381" i="4"/>
  <c r="EG205" i="5" s="1"/>
  <c r="P381" i="4"/>
  <c r="EH205" i="5" s="1"/>
  <c r="Q381" i="4"/>
  <c r="EI205" i="5" s="1"/>
  <c r="R381" i="4"/>
  <c r="EJ205" i="5" s="1"/>
  <c r="S381" i="4"/>
  <c r="EK205" i="5" s="1"/>
  <c r="T381" i="4"/>
  <c r="EL205" i="5" s="1"/>
  <c r="U381" i="4"/>
  <c r="EM205" i="5" s="1"/>
  <c r="V381" i="4"/>
  <c r="EN205" i="5" s="1"/>
  <c r="W381" i="4"/>
  <c r="EO205" i="5" s="1"/>
  <c r="G382" i="4"/>
  <c r="EV205" i="5" s="1"/>
  <c r="H382" i="4"/>
  <c r="EW205" i="5" s="1"/>
  <c r="I382" i="4"/>
  <c r="EX205" i="5" s="1"/>
  <c r="J382" i="4"/>
  <c r="EY205" i="5" s="1"/>
  <c r="K382" i="4"/>
  <c r="EZ205" i="5" s="1"/>
  <c r="L382" i="4"/>
  <c r="FA205" i="5" s="1"/>
  <c r="M382" i="4"/>
  <c r="FB205" i="5" s="1"/>
  <c r="N382" i="4"/>
  <c r="FC205" i="5" s="1"/>
  <c r="O382" i="4"/>
  <c r="FD205" i="5" s="1"/>
  <c r="P382" i="4"/>
  <c r="FE205" i="5" s="1"/>
  <c r="Q382" i="4"/>
  <c r="FF205" i="5" s="1"/>
  <c r="R382" i="4"/>
  <c r="FG205" i="5" s="1"/>
  <c r="S382" i="4"/>
  <c r="FH205" i="5" s="1"/>
  <c r="T382" i="4"/>
  <c r="FI205" i="5" s="1"/>
  <c r="U382" i="4"/>
  <c r="FJ205" i="5" s="1"/>
  <c r="V382" i="4"/>
  <c r="FK205" i="5" s="1"/>
  <c r="W382" i="4"/>
  <c r="FL205" i="5" s="1"/>
  <c r="G383" i="4"/>
  <c r="FS205" i="5" s="1"/>
  <c r="H383" i="4"/>
  <c r="FT205" i="5" s="1"/>
  <c r="I383" i="4"/>
  <c r="FU205" i="5" s="1"/>
  <c r="J383" i="4"/>
  <c r="FV205" i="5" s="1"/>
  <c r="K383" i="4"/>
  <c r="FW205" i="5" s="1"/>
  <c r="L383" i="4"/>
  <c r="FX205" i="5" s="1"/>
  <c r="M383" i="4"/>
  <c r="FY205" i="5" s="1"/>
  <c r="N383" i="4"/>
  <c r="FZ205" i="5" s="1"/>
  <c r="O383" i="4"/>
  <c r="GA205" i="5" s="1"/>
  <c r="P383" i="4"/>
  <c r="GB205" i="5" s="1"/>
  <c r="Q383" i="4"/>
  <c r="GC205" i="5" s="1"/>
  <c r="R383" i="4"/>
  <c r="GD205" i="5" s="1"/>
  <c r="S383" i="4"/>
  <c r="GE205" i="5" s="1"/>
  <c r="T383" i="4"/>
  <c r="GF205" i="5" s="1"/>
  <c r="U383" i="4"/>
  <c r="GG205" i="5" s="1"/>
  <c r="V383" i="4"/>
  <c r="GH205" i="5" s="1"/>
  <c r="W383" i="4"/>
  <c r="GI205" i="5" s="1"/>
  <c r="G384" i="4"/>
  <c r="GP205" i="5" s="1"/>
  <c r="H384" i="4"/>
  <c r="GQ205" i="5" s="1"/>
  <c r="I384" i="4"/>
  <c r="GR205" i="5" s="1"/>
  <c r="J384" i="4"/>
  <c r="GS205" i="5" s="1"/>
  <c r="K384" i="4"/>
  <c r="GT205" i="5" s="1"/>
  <c r="L384" i="4"/>
  <c r="GU205" i="5" s="1"/>
  <c r="M384" i="4"/>
  <c r="GV205" i="5" s="1"/>
  <c r="N384" i="4"/>
  <c r="GW205" i="5" s="1"/>
  <c r="O384" i="4"/>
  <c r="GX205" i="5" s="1"/>
  <c r="P384" i="4"/>
  <c r="GY205" i="5" s="1"/>
  <c r="Q384" i="4"/>
  <c r="GZ205" i="5" s="1"/>
  <c r="R384" i="4"/>
  <c r="HA205" i="5" s="1"/>
  <c r="S384" i="4"/>
  <c r="HB205" i="5" s="1"/>
  <c r="T384" i="4"/>
  <c r="HC205" i="5" s="1"/>
  <c r="U384" i="4"/>
  <c r="HD205" i="5" s="1"/>
  <c r="V384" i="4"/>
  <c r="HE205" i="5" s="1"/>
  <c r="W384" i="4"/>
  <c r="HF205" i="5" s="1"/>
  <c r="G385" i="4"/>
  <c r="HM205" i="5" s="1"/>
  <c r="H385" i="4"/>
  <c r="HN205" i="5" s="1"/>
  <c r="I385" i="4"/>
  <c r="HO205" i="5" s="1"/>
  <c r="J385" i="4"/>
  <c r="HP205" i="5" s="1"/>
  <c r="K385" i="4"/>
  <c r="HQ205" i="5" s="1"/>
  <c r="L385" i="4"/>
  <c r="HR205" i="5" s="1"/>
  <c r="M385" i="4"/>
  <c r="HS205" i="5" s="1"/>
  <c r="N385" i="4"/>
  <c r="HT205" i="5" s="1"/>
  <c r="O385" i="4"/>
  <c r="HU205" i="5" s="1"/>
  <c r="P385" i="4"/>
  <c r="HV205" i="5" s="1"/>
  <c r="Q385" i="4"/>
  <c r="HW205" i="5" s="1"/>
  <c r="R385" i="4"/>
  <c r="HX205" i="5" s="1"/>
  <c r="S385" i="4"/>
  <c r="HY205" i="5" s="1"/>
  <c r="T385" i="4"/>
  <c r="HZ205" i="5" s="1"/>
  <c r="U385" i="4"/>
  <c r="IA205" i="5" s="1"/>
  <c r="V385" i="4"/>
  <c r="IB205" i="5" s="1"/>
  <c r="W385" i="4"/>
  <c r="IC205" i="5" s="1"/>
  <c r="G386" i="4"/>
  <c r="IJ205" i="5" s="1"/>
  <c r="H386" i="4"/>
  <c r="IK205" i="5" s="1"/>
  <c r="I386" i="4"/>
  <c r="IL205" i="5" s="1"/>
  <c r="J386" i="4"/>
  <c r="IM205" i="5" s="1"/>
  <c r="K386" i="4"/>
  <c r="IN205" i="5" s="1"/>
  <c r="L386" i="4"/>
  <c r="IO205" i="5" s="1"/>
  <c r="M386" i="4"/>
  <c r="IP205" i="5" s="1"/>
  <c r="N386" i="4"/>
  <c r="IQ205" i="5" s="1"/>
  <c r="O386" i="4"/>
  <c r="IR205" i="5" s="1"/>
  <c r="P386" i="4"/>
  <c r="IS205" i="5" s="1"/>
  <c r="Q386" i="4"/>
  <c r="IT205" i="5" s="1"/>
  <c r="R386" i="4"/>
  <c r="IU205" i="5" s="1"/>
  <c r="S386" i="4"/>
  <c r="IV205" i="5" s="1"/>
  <c r="T386" i="4"/>
  <c r="F206" i="5" s="1"/>
  <c r="U386" i="4"/>
  <c r="G206" i="5" s="1"/>
  <c r="V386" i="4"/>
  <c r="H206" i="5" s="1"/>
  <c r="W386" i="4"/>
  <c r="I206" i="5" s="1"/>
  <c r="G387" i="4"/>
  <c r="P206" i="5" s="1"/>
  <c r="H387" i="4"/>
  <c r="Q206" i="5" s="1"/>
  <c r="I387" i="4"/>
  <c r="R206" i="5" s="1"/>
  <c r="J387" i="4"/>
  <c r="S206" i="5" s="1"/>
  <c r="K387" i="4"/>
  <c r="T206" i="5" s="1"/>
  <c r="L387" i="4"/>
  <c r="U206" i="5" s="1"/>
  <c r="M387" i="4"/>
  <c r="V206" i="5" s="1"/>
  <c r="N387" i="4"/>
  <c r="W206" i="5" s="1"/>
  <c r="O387" i="4"/>
  <c r="X206" i="5" s="1"/>
  <c r="P387" i="4"/>
  <c r="Y206" i="5" s="1"/>
  <c r="Q387" i="4"/>
  <c r="Z206" i="5" s="1"/>
  <c r="R387" i="4"/>
  <c r="AA206" i="5" s="1"/>
  <c r="S387" i="4"/>
  <c r="AB206" i="5" s="1"/>
  <c r="T387" i="4"/>
  <c r="AC206" i="5" s="1"/>
  <c r="U387" i="4"/>
  <c r="AD206" i="5" s="1"/>
  <c r="V387" i="4"/>
  <c r="AE206" i="5" s="1"/>
  <c r="W387" i="4"/>
  <c r="AF206" i="5" s="1"/>
  <c r="G388" i="4"/>
  <c r="AM206" i="5" s="1"/>
  <c r="H388" i="4"/>
  <c r="AN206" i="5" s="1"/>
  <c r="I388" i="4"/>
  <c r="AO206" i="5" s="1"/>
  <c r="J388" i="4"/>
  <c r="AP206" i="5" s="1"/>
  <c r="K388" i="4"/>
  <c r="AQ206" i="5" s="1"/>
  <c r="L388" i="4"/>
  <c r="AR206" i="5" s="1"/>
  <c r="M388" i="4"/>
  <c r="AS206" i="5" s="1"/>
  <c r="N388" i="4"/>
  <c r="AT206" i="5" s="1"/>
  <c r="O388" i="4"/>
  <c r="AU206" i="5" s="1"/>
  <c r="P388" i="4"/>
  <c r="AV206" i="5" s="1"/>
  <c r="Q388" i="4"/>
  <c r="AW206" i="5" s="1"/>
  <c r="R388" i="4"/>
  <c r="AX206" i="5" s="1"/>
  <c r="S388" i="4"/>
  <c r="AY206" i="5" s="1"/>
  <c r="T388" i="4"/>
  <c r="AZ206" i="5" s="1"/>
  <c r="U388" i="4"/>
  <c r="BA206" i="5" s="1"/>
  <c r="V388" i="4"/>
  <c r="BB206" i="5" s="1"/>
  <c r="W388" i="4"/>
  <c r="BC206" i="5" s="1"/>
  <c r="G389" i="4"/>
  <c r="BJ206" i="5" s="1"/>
  <c r="H389" i="4"/>
  <c r="BK206" i="5" s="1"/>
  <c r="I389" i="4"/>
  <c r="BL206" i="5" s="1"/>
  <c r="J389" i="4"/>
  <c r="BM206" i="5" s="1"/>
  <c r="K389" i="4"/>
  <c r="BN206" i="5" s="1"/>
  <c r="L389" i="4"/>
  <c r="BO206" i="5" s="1"/>
  <c r="M389" i="4"/>
  <c r="BP206" i="5" s="1"/>
  <c r="N389" i="4"/>
  <c r="BQ206" i="5" s="1"/>
  <c r="O389" i="4"/>
  <c r="BR206" i="5" s="1"/>
  <c r="P389" i="4"/>
  <c r="BS206" i="5" s="1"/>
  <c r="Q389" i="4"/>
  <c r="BT206" i="5" s="1"/>
  <c r="R389" i="4"/>
  <c r="BU206" i="5" s="1"/>
  <c r="S389" i="4"/>
  <c r="BV206" i="5" s="1"/>
  <c r="T389" i="4"/>
  <c r="BW206" i="5" s="1"/>
  <c r="U389" i="4"/>
  <c r="BX206" i="5" s="1"/>
  <c r="V389" i="4"/>
  <c r="BY206" i="5" s="1"/>
  <c r="W389" i="4"/>
  <c r="BZ206" i="5" s="1"/>
  <c r="G390" i="4"/>
  <c r="CG206" i="5" s="1"/>
  <c r="H390" i="4"/>
  <c r="CH206" i="5" s="1"/>
  <c r="I390" i="4"/>
  <c r="CI206" i="5" s="1"/>
  <c r="J390" i="4"/>
  <c r="CJ206" i="5" s="1"/>
  <c r="K390" i="4"/>
  <c r="CK206" i="5" s="1"/>
  <c r="L390" i="4"/>
  <c r="CL206" i="5" s="1"/>
  <c r="M390" i="4"/>
  <c r="CM206" i="5" s="1"/>
  <c r="N390" i="4"/>
  <c r="CN206" i="5" s="1"/>
  <c r="O390" i="4"/>
  <c r="CO206" i="5" s="1"/>
  <c r="P390" i="4"/>
  <c r="CP206" i="5" s="1"/>
  <c r="Q390" i="4"/>
  <c r="CQ206" i="5" s="1"/>
  <c r="R390" i="4"/>
  <c r="CR206" i="5" s="1"/>
  <c r="S390" i="4"/>
  <c r="CS206" i="5" s="1"/>
  <c r="T390" i="4"/>
  <c r="CT206" i="5" s="1"/>
  <c r="U390" i="4"/>
  <c r="CU206" i="5" s="1"/>
  <c r="V390" i="4"/>
  <c r="CV206" i="5" s="1"/>
  <c r="W390" i="4"/>
  <c r="CW206" i="5" s="1"/>
  <c r="G391" i="4"/>
  <c r="DD206" i="5" s="1"/>
  <c r="H391" i="4"/>
  <c r="DE206" i="5" s="1"/>
  <c r="I391" i="4"/>
  <c r="DF206" i="5" s="1"/>
  <c r="J391" i="4"/>
  <c r="DG206" i="5" s="1"/>
  <c r="K391" i="4"/>
  <c r="DH206" i="5" s="1"/>
  <c r="L391" i="4"/>
  <c r="DI206" i="5" s="1"/>
  <c r="M391" i="4"/>
  <c r="DJ206" i="5" s="1"/>
  <c r="N391" i="4"/>
  <c r="DK206" i="5" s="1"/>
  <c r="O391" i="4"/>
  <c r="DL206" i="5" s="1"/>
  <c r="P391" i="4"/>
  <c r="DM206" i="5" s="1"/>
  <c r="Q391" i="4"/>
  <c r="DN206" i="5" s="1"/>
  <c r="R391" i="4"/>
  <c r="DO206" i="5" s="1"/>
  <c r="S391" i="4"/>
  <c r="DP206" i="5" s="1"/>
  <c r="T391" i="4"/>
  <c r="DQ206" i="5" s="1"/>
  <c r="U391" i="4"/>
  <c r="DR206" i="5" s="1"/>
  <c r="V391" i="4"/>
  <c r="DS206" i="5" s="1"/>
  <c r="W391" i="4"/>
  <c r="DT206" i="5" s="1"/>
  <c r="G392" i="4"/>
  <c r="EA206" i="5" s="1"/>
  <c r="H392" i="4"/>
  <c r="EB206" i="5" s="1"/>
  <c r="I392" i="4"/>
  <c r="EC206" i="5" s="1"/>
  <c r="J392" i="4"/>
  <c r="ED206" i="5" s="1"/>
  <c r="K392" i="4"/>
  <c r="EE206" i="5" s="1"/>
  <c r="L392" i="4"/>
  <c r="EF206" i="5" s="1"/>
  <c r="M392" i="4"/>
  <c r="EG206" i="5" s="1"/>
  <c r="N392" i="4"/>
  <c r="EH206" i="5" s="1"/>
  <c r="O392" i="4"/>
  <c r="EI206" i="5" s="1"/>
  <c r="P392" i="4"/>
  <c r="EJ206" i="5" s="1"/>
  <c r="Q392" i="4"/>
  <c r="EK206" i="5" s="1"/>
  <c r="R392" i="4"/>
  <c r="EL206" i="5" s="1"/>
  <c r="S392" i="4"/>
  <c r="EM206" i="5" s="1"/>
  <c r="T392" i="4"/>
  <c r="EN206" i="5" s="1"/>
  <c r="U392" i="4"/>
  <c r="EO206" i="5" s="1"/>
  <c r="V392" i="4"/>
  <c r="EP206" i="5" s="1"/>
  <c r="W392" i="4"/>
  <c r="EQ206" i="5" s="1"/>
  <c r="G393" i="4"/>
  <c r="EX206" i="5" s="1"/>
  <c r="H393" i="4"/>
  <c r="EY206" i="5" s="1"/>
  <c r="I393" i="4"/>
  <c r="EZ206" i="5" s="1"/>
  <c r="J393" i="4"/>
  <c r="FA206" i="5" s="1"/>
  <c r="K393" i="4"/>
  <c r="FB206" i="5" s="1"/>
  <c r="L393" i="4"/>
  <c r="FC206" i="5" s="1"/>
  <c r="M393" i="4"/>
  <c r="FD206" i="5" s="1"/>
  <c r="N393" i="4"/>
  <c r="FE206" i="5" s="1"/>
  <c r="O393" i="4"/>
  <c r="FF206" i="5" s="1"/>
  <c r="P393" i="4"/>
  <c r="FG206" i="5" s="1"/>
  <c r="Q393" i="4"/>
  <c r="FH206" i="5" s="1"/>
  <c r="R393" i="4"/>
  <c r="FI206" i="5" s="1"/>
  <c r="S393" i="4"/>
  <c r="FJ206" i="5" s="1"/>
  <c r="T393" i="4"/>
  <c r="FK206" i="5" s="1"/>
  <c r="U393" i="4"/>
  <c r="FL206" i="5" s="1"/>
  <c r="V393" i="4"/>
  <c r="FM206" i="5" s="1"/>
  <c r="W393" i="4"/>
  <c r="FN206" i="5" s="1"/>
  <c r="G394" i="4"/>
  <c r="FU206" i="5" s="1"/>
  <c r="H394" i="4"/>
  <c r="FV206" i="5" s="1"/>
  <c r="I394" i="4"/>
  <c r="FW206" i="5" s="1"/>
  <c r="J394" i="4"/>
  <c r="FX206" i="5" s="1"/>
  <c r="K394" i="4"/>
  <c r="FY206" i="5" s="1"/>
  <c r="L394" i="4"/>
  <c r="FZ206" i="5" s="1"/>
  <c r="M394" i="4"/>
  <c r="GA206" i="5" s="1"/>
  <c r="N394" i="4"/>
  <c r="GB206" i="5" s="1"/>
  <c r="O394" i="4"/>
  <c r="GC206" i="5" s="1"/>
  <c r="P394" i="4"/>
  <c r="GD206" i="5" s="1"/>
  <c r="Q394" i="4"/>
  <c r="GE206" i="5" s="1"/>
  <c r="R394" i="4"/>
  <c r="GF206" i="5" s="1"/>
  <c r="S394" i="4"/>
  <c r="GG206" i="5" s="1"/>
  <c r="T394" i="4"/>
  <c r="GH206" i="5" s="1"/>
  <c r="U394" i="4"/>
  <c r="GI206" i="5" s="1"/>
  <c r="V394" i="4"/>
  <c r="GJ206" i="5" s="1"/>
  <c r="W394" i="4"/>
  <c r="GK206" i="5" s="1"/>
  <c r="G395" i="4"/>
  <c r="GR206" i="5" s="1"/>
  <c r="H395" i="4"/>
  <c r="GS206" i="5" s="1"/>
  <c r="I395" i="4"/>
  <c r="GT206" i="5" s="1"/>
  <c r="J395" i="4"/>
  <c r="GU206" i="5" s="1"/>
  <c r="K395" i="4"/>
  <c r="GV206" i="5" s="1"/>
  <c r="L395" i="4"/>
  <c r="GW206" i="5" s="1"/>
  <c r="M395" i="4"/>
  <c r="GX206" i="5" s="1"/>
  <c r="N395" i="4"/>
  <c r="GY206" i="5" s="1"/>
  <c r="O395" i="4"/>
  <c r="GZ206" i="5" s="1"/>
  <c r="P395" i="4"/>
  <c r="HA206" i="5" s="1"/>
  <c r="Q395" i="4"/>
  <c r="HB206" i="5" s="1"/>
  <c r="R395" i="4"/>
  <c r="HC206" i="5" s="1"/>
  <c r="S395" i="4"/>
  <c r="HD206" i="5" s="1"/>
  <c r="T395" i="4"/>
  <c r="HE206" i="5" s="1"/>
  <c r="U395" i="4"/>
  <c r="HF206" i="5" s="1"/>
  <c r="V395" i="4"/>
  <c r="HG206" i="5" s="1"/>
  <c r="W395" i="4"/>
  <c r="HH206" i="5" s="1"/>
  <c r="G396" i="4"/>
  <c r="HO206" i="5" s="1"/>
  <c r="H396" i="4"/>
  <c r="HP206" i="5" s="1"/>
  <c r="I396" i="4"/>
  <c r="HQ206" i="5" s="1"/>
  <c r="J396" i="4"/>
  <c r="HR206" i="5" s="1"/>
  <c r="K396" i="4"/>
  <c r="HS206" i="5" s="1"/>
  <c r="L396" i="4"/>
  <c r="HT206" i="5" s="1"/>
  <c r="M396" i="4"/>
  <c r="HU206" i="5" s="1"/>
  <c r="N396" i="4"/>
  <c r="HV206" i="5" s="1"/>
  <c r="O396" i="4"/>
  <c r="HW206" i="5" s="1"/>
  <c r="P396" i="4"/>
  <c r="HX206" i="5" s="1"/>
  <c r="Q396" i="4"/>
  <c r="HY206" i="5" s="1"/>
  <c r="R396" i="4"/>
  <c r="HZ206" i="5" s="1"/>
  <c r="S396" i="4"/>
  <c r="IA206" i="5" s="1"/>
  <c r="T396" i="4"/>
  <c r="IB206" i="5" s="1"/>
  <c r="U396" i="4"/>
  <c r="IC206" i="5" s="1"/>
  <c r="V396" i="4"/>
  <c r="ID206" i="5" s="1"/>
  <c r="W396" i="4"/>
  <c r="IE206" i="5" s="1"/>
  <c r="G397" i="4"/>
  <c r="IL206" i="5" s="1"/>
  <c r="H397" i="4"/>
  <c r="IM206" i="5" s="1"/>
  <c r="I397" i="4"/>
  <c r="IN206" i="5" s="1"/>
  <c r="J397" i="4"/>
  <c r="IO206" i="5" s="1"/>
  <c r="K397" i="4"/>
  <c r="IP206" i="5" s="1"/>
  <c r="L397" i="4"/>
  <c r="IQ206" i="5" s="1"/>
  <c r="M397" i="4"/>
  <c r="IR206" i="5" s="1"/>
  <c r="N397" i="4"/>
  <c r="IS206" i="5" s="1"/>
  <c r="O397" i="4"/>
  <c r="IT206" i="5" s="1"/>
  <c r="P397" i="4"/>
  <c r="IU206" i="5" s="1"/>
  <c r="Q397" i="4"/>
  <c r="IV206" i="5" s="1"/>
  <c r="R397" i="4"/>
  <c r="F207" i="5" s="1"/>
  <c r="S397" i="4"/>
  <c r="G207" i="5" s="1"/>
  <c r="T397" i="4"/>
  <c r="H207" i="5" s="1"/>
  <c r="U397" i="4"/>
  <c r="I207" i="5" s="1"/>
  <c r="V397" i="4"/>
  <c r="J207" i="5" s="1"/>
  <c r="W397" i="4"/>
  <c r="K207" i="5" s="1"/>
  <c r="G398" i="4"/>
  <c r="R207" i="5" s="1"/>
  <c r="H398" i="4"/>
  <c r="S207" i="5" s="1"/>
  <c r="I398" i="4"/>
  <c r="T207" i="5" s="1"/>
  <c r="J398" i="4"/>
  <c r="U207" i="5" s="1"/>
  <c r="K398" i="4"/>
  <c r="V207" i="5" s="1"/>
  <c r="L398" i="4"/>
  <c r="W207" i="5" s="1"/>
  <c r="M398" i="4"/>
  <c r="X207" i="5" s="1"/>
  <c r="N398" i="4"/>
  <c r="Y207" i="5" s="1"/>
  <c r="O398" i="4"/>
  <c r="Z207" i="5" s="1"/>
  <c r="P398" i="4"/>
  <c r="AA207" i="5" s="1"/>
  <c r="Q398" i="4"/>
  <c r="AB207" i="5" s="1"/>
  <c r="R398" i="4"/>
  <c r="AC207" i="5" s="1"/>
  <c r="S398" i="4"/>
  <c r="AD207" i="5" s="1"/>
  <c r="T398" i="4"/>
  <c r="AE207" i="5" s="1"/>
  <c r="U398" i="4"/>
  <c r="AF207" i="5" s="1"/>
  <c r="V398" i="4"/>
  <c r="AG207" i="5" s="1"/>
  <c r="W398" i="4"/>
  <c r="AH207" i="5" s="1"/>
  <c r="G399" i="4"/>
  <c r="AO207" i="5" s="1"/>
  <c r="H399" i="4"/>
  <c r="AP207" i="5" s="1"/>
  <c r="I399" i="4"/>
  <c r="AQ207" i="5" s="1"/>
  <c r="J399" i="4"/>
  <c r="AR207" i="5" s="1"/>
  <c r="K399" i="4"/>
  <c r="AS207" i="5" s="1"/>
  <c r="L399" i="4"/>
  <c r="AT207" i="5" s="1"/>
  <c r="M399" i="4"/>
  <c r="AU207" i="5" s="1"/>
  <c r="N399" i="4"/>
  <c r="AV207" i="5" s="1"/>
  <c r="O399" i="4"/>
  <c r="AW207" i="5" s="1"/>
  <c r="P399" i="4"/>
  <c r="AX207" i="5" s="1"/>
  <c r="Q399" i="4"/>
  <c r="AY207" i="5" s="1"/>
  <c r="R399" i="4"/>
  <c r="AZ207" i="5" s="1"/>
  <c r="S399" i="4"/>
  <c r="BA207" i="5" s="1"/>
  <c r="T399" i="4"/>
  <c r="BB207" i="5" s="1"/>
  <c r="U399" i="4"/>
  <c r="BC207" i="5" s="1"/>
  <c r="V399" i="4"/>
  <c r="BD207" i="5" s="1"/>
  <c r="W399" i="4"/>
  <c r="BE207" i="5" s="1"/>
  <c r="G400" i="4"/>
  <c r="BL207" i="5" s="1"/>
  <c r="H400" i="4"/>
  <c r="BM207" i="5" s="1"/>
  <c r="I400" i="4"/>
  <c r="BN207" i="5" s="1"/>
  <c r="J400" i="4"/>
  <c r="BO207" i="5" s="1"/>
  <c r="K400" i="4"/>
  <c r="BP207" i="5" s="1"/>
  <c r="L400" i="4"/>
  <c r="BQ207" i="5" s="1"/>
  <c r="M400" i="4"/>
  <c r="BR207" i="5" s="1"/>
  <c r="N400" i="4"/>
  <c r="BS207" i="5" s="1"/>
  <c r="O400" i="4"/>
  <c r="BT207" i="5" s="1"/>
  <c r="P400" i="4"/>
  <c r="BU207" i="5" s="1"/>
  <c r="Q400" i="4"/>
  <c r="BV207" i="5" s="1"/>
  <c r="R400" i="4"/>
  <c r="BW207" i="5" s="1"/>
  <c r="S400" i="4"/>
  <c r="BX207" i="5" s="1"/>
  <c r="T400" i="4"/>
  <c r="BY207" i="5" s="1"/>
  <c r="U400" i="4"/>
  <c r="BZ207" i="5" s="1"/>
  <c r="V400" i="4"/>
  <c r="CA207" i="5" s="1"/>
  <c r="W400" i="4"/>
  <c r="CB207" i="5" s="1"/>
  <c r="G401" i="4"/>
  <c r="CI207" i="5" s="1"/>
  <c r="H401" i="4"/>
  <c r="CJ207" i="5" s="1"/>
  <c r="I401" i="4"/>
  <c r="CK207" i="5" s="1"/>
  <c r="J401" i="4"/>
  <c r="CL207" i="5" s="1"/>
  <c r="K401" i="4"/>
  <c r="CM207" i="5" s="1"/>
  <c r="L401" i="4"/>
  <c r="CN207" i="5" s="1"/>
  <c r="M401" i="4"/>
  <c r="CO207" i="5" s="1"/>
  <c r="N401" i="4"/>
  <c r="CP207" i="5" s="1"/>
  <c r="O401" i="4"/>
  <c r="CQ207" i="5" s="1"/>
  <c r="P401" i="4"/>
  <c r="CR207" i="5" s="1"/>
  <c r="Q401" i="4"/>
  <c r="CS207" i="5" s="1"/>
  <c r="R401" i="4"/>
  <c r="CT207" i="5" s="1"/>
  <c r="S401" i="4"/>
  <c r="CU207" i="5" s="1"/>
  <c r="T401" i="4"/>
  <c r="CV207" i="5" s="1"/>
  <c r="U401" i="4"/>
  <c r="CW207" i="5" s="1"/>
  <c r="V401" i="4"/>
  <c r="CX207" i="5" s="1"/>
  <c r="W401" i="4"/>
  <c r="CY207" i="5" s="1"/>
  <c r="G402" i="4"/>
  <c r="DF207" i="5" s="1"/>
  <c r="H402" i="4"/>
  <c r="DG207" i="5" s="1"/>
  <c r="I402" i="4"/>
  <c r="DH207" i="5" s="1"/>
  <c r="J402" i="4"/>
  <c r="DI207" i="5" s="1"/>
  <c r="K402" i="4"/>
  <c r="DJ207" i="5" s="1"/>
  <c r="L402" i="4"/>
  <c r="DK207" i="5" s="1"/>
  <c r="M402" i="4"/>
  <c r="DL207" i="5" s="1"/>
  <c r="N402" i="4"/>
  <c r="DM207" i="5" s="1"/>
  <c r="O402" i="4"/>
  <c r="DN207" i="5" s="1"/>
  <c r="P402" i="4"/>
  <c r="DO207" i="5" s="1"/>
  <c r="Q402" i="4"/>
  <c r="DP207" i="5" s="1"/>
  <c r="R402" i="4"/>
  <c r="DQ207" i="5" s="1"/>
  <c r="S402" i="4"/>
  <c r="DR207" i="5" s="1"/>
  <c r="T402" i="4"/>
  <c r="DS207" i="5" s="1"/>
  <c r="U402" i="4"/>
  <c r="DT207" i="5" s="1"/>
  <c r="V402" i="4"/>
  <c r="DU207" i="5" s="1"/>
  <c r="W402" i="4"/>
  <c r="DV207" i="5" s="1"/>
  <c r="G403" i="4"/>
  <c r="EC207" i="5" s="1"/>
  <c r="H403" i="4"/>
  <c r="ED207" i="5" s="1"/>
  <c r="I403" i="4"/>
  <c r="EE207" i="5" s="1"/>
  <c r="J403" i="4"/>
  <c r="EF207" i="5" s="1"/>
  <c r="K403" i="4"/>
  <c r="EG207" i="5" s="1"/>
  <c r="L403" i="4"/>
  <c r="EH207" i="5" s="1"/>
  <c r="M403" i="4"/>
  <c r="EI207" i="5" s="1"/>
  <c r="N403" i="4"/>
  <c r="EJ207" i="5" s="1"/>
  <c r="O403" i="4"/>
  <c r="EK207" i="5" s="1"/>
  <c r="P403" i="4"/>
  <c r="EL207" i="5" s="1"/>
  <c r="Q403" i="4"/>
  <c r="EM207" i="5" s="1"/>
  <c r="R403" i="4"/>
  <c r="EN207" i="5" s="1"/>
  <c r="S403" i="4"/>
  <c r="EO207" i="5" s="1"/>
  <c r="T403" i="4"/>
  <c r="EP207" i="5" s="1"/>
  <c r="U403" i="4"/>
  <c r="EQ207" i="5" s="1"/>
  <c r="V403" i="4"/>
  <c r="ER207" i="5" s="1"/>
  <c r="W403" i="4"/>
  <c r="ES207" i="5" s="1"/>
  <c r="G404" i="4"/>
  <c r="EZ207" i="5" s="1"/>
  <c r="H404" i="4"/>
  <c r="FA207" i="5" s="1"/>
  <c r="I404" i="4"/>
  <c r="FB207" i="5" s="1"/>
  <c r="J404" i="4"/>
  <c r="FC207" i="5" s="1"/>
  <c r="K404" i="4"/>
  <c r="FD207" i="5" s="1"/>
  <c r="L404" i="4"/>
  <c r="FE207" i="5" s="1"/>
  <c r="M404" i="4"/>
  <c r="FF207" i="5" s="1"/>
  <c r="N404" i="4"/>
  <c r="FG207" i="5" s="1"/>
  <c r="O404" i="4"/>
  <c r="FH207" i="5" s="1"/>
  <c r="P404" i="4"/>
  <c r="FI207" i="5" s="1"/>
  <c r="Q404" i="4"/>
  <c r="FJ207" i="5" s="1"/>
  <c r="R404" i="4"/>
  <c r="FK207" i="5" s="1"/>
  <c r="S404" i="4"/>
  <c r="FL207" i="5" s="1"/>
  <c r="T404" i="4"/>
  <c r="FM207" i="5" s="1"/>
  <c r="U404" i="4"/>
  <c r="FN207" i="5" s="1"/>
  <c r="V404" i="4"/>
  <c r="FO207" i="5" s="1"/>
  <c r="W404" i="4"/>
  <c r="FP207" i="5" s="1"/>
  <c r="G405" i="4"/>
  <c r="FW207" i="5" s="1"/>
  <c r="H405" i="4"/>
  <c r="FX207" i="5" s="1"/>
  <c r="I405" i="4"/>
  <c r="FY207" i="5" s="1"/>
  <c r="J405" i="4"/>
  <c r="FZ207" i="5" s="1"/>
  <c r="K405" i="4"/>
  <c r="GA207" i="5" s="1"/>
  <c r="L405" i="4"/>
  <c r="GB207" i="5" s="1"/>
  <c r="M405" i="4"/>
  <c r="GC207" i="5" s="1"/>
  <c r="N405" i="4"/>
  <c r="GD207" i="5" s="1"/>
  <c r="O405" i="4"/>
  <c r="GE207" i="5" s="1"/>
  <c r="P405" i="4"/>
  <c r="GF207" i="5" s="1"/>
  <c r="Q405" i="4"/>
  <c r="GG207" i="5" s="1"/>
  <c r="R405" i="4"/>
  <c r="GH207" i="5" s="1"/>
  <c r="S405" i="4"/>
  <c r="GI207" i="5" s="1"/>
  <c r="T405" i="4"/>
  <c r="GJ207" i="5" s="1"/>
  <c r="U405" i="4"/>
  <c r="GK207" i="5" s="1"/>
  <c r="V405" i="4"/>
  <c r="GL207" i="5" s="1"/>
  <c r="W405" i="4"/>
  <c r="GM207" i="5" s="1"/>
  <c r="G406" i="4"/>
  <c r="GT207" i="5" s="1"/>
  <c r="H406" i="4"/>
  <c r="GU207" i="5" s="1"/>
  <c r="I406" i="4"/>
  <c r="GV207" i="5" s="1"/>
  <c r="J406" i="4"/>
  <c r="GW207" i="5" s="1"/>
  <c r="K406" i="4"/>
  <c r="GX207" i="5" s="1"/>
  <c r="L406" i="4"/>
  <c r="GY207" i="5" s="1"/>
  <c r="M406" i="4"/>
  <c r="GZ207" i="5" s="1"/>
  <c r="N406" i="4"/>
  <c r="HA207" i="5" s="1"/>
  <c r="O406" i="4"/>
  <c r="HB207" i="5" s="1"/>
  <c r="P406" i="4"/>
  <c r="HC207" i="5" s="1"/>
  <c r="Q406" i="4"/>
  <c r="HD207" i="5" s="1"/>
  <c r="R406" i="4"/>
  <c r="HE207" i="5" s="1"/>
  <c r="S406" i="4"/>
  <c r="HF207" i="5" s="1"/>
  <c r="T406" i="4"/>
  <c r="HG207" i="5" s="1"/>
  <c r="U406" i="4"/>
  <c r="HH207" i="5" s="1"/>
  <c r="V406" i="4"/>
  <c r="HI207" i="5" s="1"/>
  <c r="W406" i="4"/>
  <c r="HJ207" i="5" s="1"/>
  <c r="G407" i="4"/>
  <c r="HQ207" i="5" s="1"/>
  <c r="H407" i="4"/>
  <c r="HR207" i="5" s="1"/>
  <c r="I407" i="4"/>
  <c r="HS207" i="5" s="1"/>
  <c r="J407" i="4"/>
  <c r="HT207" i="5" s="1"/>
  <c r="K407" i="4"/>
  <c r="HU207" i="5" s="1"/>
  <c r="L407" i="4"/>
  <c r="HV207" i="5" s="1"/>
  <c r="M407" i="4"/>
  <c r="HW207" i="5" s="1"/>
  <c r="N407" i="4"/>
  <c r="HX207" i="5" s="1"/>
  <c r="O407" i="4"/>
  <c r="HY207" i="5" s="1"/>
  <c r="P407" i="4"/>
  <c r="HZ207" i="5" s="1"/>
  <c r="Q407" i="4"/>
  <c r="IA207" i="5" s="1"/>
  <c r="R407" i="4"/>
  <c r="IB207" i="5" s="1"/>
  <c r="S407" i="4"/>
  <c r="IC207" i="5" s="1"/>
  <c r="T407" i="4"/>
  <c r="ID207" i="5" s="1"/>
  <c r="U407" i="4"/>
  <c r="IE207" i="5" s="1"/>
  <c r="V407" i="4"/>
  <c r="IF207" i="5" s="1"/>
  <c r="W407" i="4"/>
  <c r="IG207" i="5" s="1"/>
  <c r="G408" i="4"/>
  <c r="IN207" i="5" s="1"/>
  <c r="H408" i="4"/>
  <c r="IO207" i="5" s="1"/>
  <c r="I408" i="4"/>
  <c r="IP207" i="5" s="1"/>
  <c r="J408" i="4"/>
  <c r="IQ207" i="5" s="1"/>
  <c r="K408" i="4"/>
  <c r="IR207" i="5" s="1"/>
  <c r="L408" i="4"/>
  <c r="IS207" i="5" s="1"/>
  <c r="M408" i="4"/>
  <c r="IT207" i="5" s="1"/>
  <c r="N408" i="4"/>
  <c r="IU207" i="5" s="1"/>
  <c r="O408" i="4"/>
  <c r="IV207" i="5" s="1"/>
  <c r="P408" i="4"/>
  <c r="F208" i="5" s="1"/>
  <c r="Q408" i="4"/>
  <c r="G208" i="5" s="1"/>
  <c r="R408" i="4"/>
  <c r="H208" i="5" s="1"/>
  <c r="S408" i="4"/>
  <c r="I208" i="5" s="1"/>
  <c r="T408" i="4"/>
  <c r="J208" i="5" s="1"/>
  <c r="U408" i="4"/>
  <c r="K208" i="5" s="1"/>
  <c r="V408" i="4"/>
  <c r="L208" i="5" s="1"/>
  <c r="W408" i="4"/>
  <c r="M208" i="5" s="1"/>
  <c r="G409" i="4"/>
  <c r="T208" i="5" s="1"/>
  <c r="H409" i="4"/>
  <c r="U208" i="5" s="1"/>
  <c r="I409" i="4"/>
  <c r="V208" i="5" s="1"/>
  <c r="J409" i="4"/>
  <c r="W208" i="5" s="1"/>
  <c r="K409" i="4"/>
  <c r="X208" i="5" s="1"/>
  <c r="L409" i="4"/>
  <c r="Y208" i="5" s="1"/>
  <c r="M409" i="4"/>
  <c r="Z208" i="5" s="1"/>
  <c r="N409" i="4"/>
  <c r="AA208" i="5" s="1"/>
  <c r="O409" i="4"/>
  <c r="AB208" i="5" s="1"/>
  <c r="P409" i="4"/>
  <c r="AC208" i="5" s="1"/>
  <c r="Q409" i="4"/>
  <c r="AD208" i="5" s="1"/>
  <c r="R409" i="4"/>
  <c r="AE208" i="5" s="1"/>
  <c r="S409" i="4"/>
  <c r="AF208" i="5" s="1"/>
  <c r="T409" i="4"/>
  <c r="AG208" i="5" s="1"/>
  <c r="U409" i="4"/>
  <c r="AH208" i="5" s="1"/>
  <c r="V409" i="4"/>
  <c r="AI208" i="5" s="1"/>
  <c r="W409" i="4"/>
  <c r="AJ208" i="5" s="1"/>
  <c r="G410" i="4"/>
  <c r="AQ208" i="5" s="1"/>
  <c r="H410" i="4"/>
  <c r="AR208" i="5" s="1"/>
  <c r="I410" i="4"/>
  <c r="AS208" i="5" s="1"/>
  <c r="J410" i="4"/>
  <c r="AT208" i="5" s="1"/>
  <c r="K410" i="4"/>
  <c r="AU208" i="5" s="1"/>
  <c r="L410" i="4"/>
  <c r="AV208" i="5" s="1"/>
  <c r="M410" i="4"/>
  <c r="AW208" i="5" s="1"/>
  <c r="N410" i="4"/>
  <c r="AX208" i="5" s="1"/>
  <c r="O410" i="4"/>
  <c r="AY208" i="5" s="1"/>
  <c r="P410" i="4"/>
  <c r="AZ208" i="5" s="1"/>
  <c r="Q410" i="4"/>
  <c r="BA208" i="5" s="1"/>
  <c r="R410" i="4"/>
  <c r="BB208" i="5" s="1"/>
  <c r="S410" i="4"/>
  <c r="BC208" i="5" s="1"/>
  <c r="T410" i="4"/>
  <c r="BD208" i="5" s="1"/>
  <c r="U410" i="4"/>
  <c r="BE208" i="5" s="1"/>
  <c r="V410" i="4"/>
  <c r="BF208" i="5" s="1"/>
  <c r="W410" i="4"/>
  <c r="BG208" i="5" s="1"/>
  <c r="G411" i="4"/>
  <c r="BN208" i="5" s="1"/>
  <c r="H411" i="4"/>
  <c r="BO208" i="5" s="1"/>
  <c r="I411" i="4"/>
  <c r="BP208" i="5" s="1"/>
  <c r="J411" i="4"/>
  <c r="BQ208" i="5" s="1"/>
  <c r="K411" i="4"/>
  <c r="BR208" i="5" s="1"/>
  <c r="L411" i="4"/>
  <c r="BS208" i="5" s="1"/>
  <c r="M411" i="4"/>
  <c r="BT208" i="5" s="1"/>
  <c r="N411" i="4"/>
  <c r="BU208" i="5" s="1"/>
  <c r="O411" i="4"/>
  <c r="BV208" i="5" s="1"/>
  <c r="P411" i="4"/>
  <c r="BW208" i="5" s="1"/>
  <c r="Q411" i="4"/>
  <c r="BX208" i="5" s="1"/>
  <c r="R411" i="4"/>
  <c r="BY208" i="5" s="1"/>
  <c r="S411" i="4"/>
  <c r="BZ208" i="5" s="1"/>
  <c r="T411" i="4"/>
  <c r="CA208" i="5" s="1"/>
  <c r="U411" i="4"/>
  <c r="CB208" i="5" s="1"/>
  <c r="V411" i="4"/>
  <c r="CC208" i="5" s="1"/>
  <c r="W411" i="4"/>
  <c r="CD208" i="5" s="1"/>
  <c r="G412" i="4"/>
  <c r="CK208" i="5" s="1"/>
  <c r="H412" i="4"/>
  <c r="CL208" i="5" s="1"/>
  <c r="I412" i="4"/>
  <c r="CM208" i="5" s="1"/>
  <c r="J412" i="4"/>
  <c r="CN208" i="5" s="1"/>
  <c r="K412" i="4"/>
  <c r="CO208" i="5" s="1"/>
  <c r="L412" i="4"/>
  <c r="CP208" i="5" s="1"/>
  <c r="M412" i="4"/>
  <c r="CQ208" i="5" s="1"/>
  <c r="N412" i="4"/>
  <c r="CR208" i="5" s="1"/>
  <c r="O412" i="4"/>
  <c r="CS208" i="5" s="1"/>
  <c r="P412" i="4"/>
  <c r="CT208" i="5" s="1"/>
  <c r="Q412" i="4"/>
  <c r="CU208" i="5" s="1"/>
  <c r="R412" i="4"/>
  <c r="CV208" i="5" s="1"/>
  <c r="S412" i="4"/>
  <c r="CW208" i="5" s="1"/>
  <c r="T412" i="4"/>
  <c r="CX208" i="5" s="1"/>
  <c r="U412" i="4"/>
  <c r="CY208" i="5" s="1"/>
  <c r="V412" i="4"/>
  <c r="CZ208" i="5" s="1"/>
  <c r="W412" i="4"/>
  <c r="DA208" i="5" s="1"/>
  <c r="G413" i="4"/>
  <c r="DH208" i="5" s="1"/>
  <c r="H413" i="4"/>
  <c r="DI208" i="5" s="1"/>
  <c r="I413" i="4"/>
  <c r="DJ208" i="5" s="1"/>
  <c r="J413" i="4"/>
  <c r="DK208" i="5" s="1"/>
  <c r="K413" i="4"/>
  <c r="DL208" i="5" s="1"/>
  <c r="L413" i="4"/>
  <c r="DM208" i="5" s="1"/>
  <c r="M413" i="4"/>
  <c r="DN208" i="5" s="1"/>
  <c r="N413" i="4"/>
  <c r="DO208" i="5" s="1"/>
  <c r="O413" i="4"/>
  <c r="DP208" i="5" s="1"/>
  <c r="P413" i="4"/>
  <c r="DQ208" i="5" s="1"/>
  <c r="Q413" i="4"/>
  <c r="DR208" i="5" s="1"/>
  <c r="R413" i="4"/>
  <c r="DS208" i="5" s="1"/>
  <c r="S413" i="4"/>
  <c r="DT208" i="5" s="1"/>
  <c r="T413" i="4"/>
  <c r="DU208" i="5" s="1"/>
  <c r="U413" i="4"/>
  <c r="DV208" i="5" s="1"/>
  <c r="V413" i="4"/>
  <c r="DW208" i="5" s="1"/>
  <c r="W413" i="4"/>
  <c r="DX208" i="5" s="1"/>
  <c r="G414" i="4"/>
  <c r="EE208" i="5" s="1"/>
  <c r="H414" i="4"/>
  <c r="EF208" i="5" s="1"/>
  <c r="I414" i="4"/>
  <c r="EG208" i="5" s="1"/>
  <c r="J414" i="4"/>
  <c r="EH208" i="5" s="1"/>
  <c r="K414" i="4"/>
  <c r="EI208" i="5" s="1"/>
  <c r="L414" i="4"/>
  <c r="EJ208" i="5" s="1"/>
  <c r="M414" i="4"/>
  <c r="EK208" i="5" s="1"/>
  <c r="N414" i="4"/>
  <c r="EL208" i="5" s="1"/>
  <c r="O414" i="4"/>
  <c r="EM208" i="5" s="1"/>
  <c r="P414" i="4"/>
  <c r="EN208" i="5" s="1"/>
  <c r="Q414" i="4"/>
  <c r="EO208" i="5" s="1"/>
  <c r="R414" i="4"/>
  <c r="EP208" i="5" s="1"/>
  <c r="S414" i="4"/>
  <c r="EQ208" i="5" s="1"/>
  <c r="T414" i="4"/>
  <c r="ER208" i="5" s="1"/>
  <c r="U414" i="4"/>
  <c r="ES208" i="5" s="1"/>
  <c r="V414" i="4"/>
  <c r="ET208" i="5" s="1"/>
  <c r="W414" i="4"/>
  <c r="EU208" i="5" s="1"/>
  <c r="G415" i="4"/>
  <c r="FB208" i="5" s="1"/>
  <c r="H415" i="4"/>
  <c r="FC208" i="5" s="1"/>
  <c r="I415" i="4"/>
  <c r="FD208" i="5" s="1"/>
  <c r="J415" i="4"/>
  <c r="FE208" i="5" s="1"/>
  <c r="K415" i="4"/>
  <c r="FF208" i="5" s="1"/>
  <c r="L415" i="4"/>
  <c r="FG208" i="5" s="1"/>
  <c r="M415" i="4"/>
  <c r="FH208" i="5" s="1"/>
  <c r="N415" i="4"/>
  <c r="FI208" i="5" s="1"/>
  <c r="O415" i="4"/>
  <c r="FJ208" i="5" s="1"/>
  <c r="P415" i="4"/>
  <c r="FK208" i="5" s="1"/>
  <c r="Q415" i="4"/>
  <c r="FL208" i="5" s="1"/>
  <c r="R415" i="4"/>
  <c r="FM208" i="5" s="1"/>
  <c r="S415" i="4"/>
  <c r="FN208" i="5" s="1"/>
  <c r="T415" i="4"/>
  <c r="FO208" i="5" s="1"/>
  <c r="U415" i="4"/>
  <c r="FP208" i="5" s="1"/>
  <c r="V415" i="4"/>
  <c r="FQ208" i="5" s="1"/>
  <c r="W415" i="4"/>
  <c r="FR208" i="5" s="1"/>
  <c r="G416" i="4"/>
  <c r="FY208" i="5" s="1"/>
  <c r="H416" i="4"/>
  <c r="FZ208" i="5" s="1"/>
  <c r="I416" i="4"/>
  <c r="GA208" i="5" s="1"/>
  <c r="J416" i="4"/>
  <c r="GB208" i="5" s="1"/>
  <c r="K416" i="4"/>
  <c r="GC208" i="5" s="1"/>
  <c r="L416" i="4"/>
  <c r="GD208" i="5" s="1"/>
  <c r="M416" i="4"/>
  <c r="GE208" i="5" s="1"/>
  <c r="N416" i="4"/>
  <c r="GF208" i="5" s="1"/>
  <c r="O416" i="4"/>
  <c r="GG208" i="5" s="1"/>
  <c r="P416" i="4"/>
  <c r="GH208" i="5" s="1"/>
  <c r="Q416" i="4"/>
  <c r="GI208" i="5" s="1"/>
  <c r="R416" i="4"/>
  <c r="GJ208" i="5" s="1"/>
  <c r="S416" i="4"/>
  <c r="GK208" i="5" s="1"/>
  <c r="T416" i="4"/>
  <c r="GL208" i="5" s="1"/>
  <c r="U416" i="4"/>
  <c r="GM208" i="5" s="1"/>
  <c r="V416" i="4"/>
  <c r="GN208" i="5" s="1"/>
  <c r="W416" i="4"/>
  <c r="GO208" i="5" s="1"/>
  <c r="G417" i="4"/>
  <c r="GV208" i="5" s="1"/>
  <c r="H417" i="4"/>
  <c r="GW208" i="5" s="1"/>
  <c r="I417" i="4"/>
  <c r="GX208" i="5" s="1"/>
  <c r="J417" i="4"/>
  <c r="GY208" i="5" s="1"/>
  <c r="K417" i="4"/>
  <c r="GZ208" i="5" s="1"/>
  <c r="L417" i="4"/>
  <c r="HA208" i="5" s="1"/>
  <c r="M417" i="4"/>
  <c r="HB208" i="5" s="1"/>
  <c r="N417" i="4"/>
  <c r="HC208" i="5" s="1"/>
  <c r="O417" i="4"/>
  <c r="HD208" i="5" s="1"/>
  <c r="P417" i="4"/>
  <c r="HE208" i="5" s="1"/>
  <c r="Q417" i="4"/>
  <c r="HF208" i="5" s="1"/>
  <c r="R417" i="4"/>
  <c r="HG208" i="5" s="1"/>
  <c r="S417" i="4"/>
  <c r="HH208" i="5" s="1"/>
  <c r="T417" i="4"/>
  <c r="HI208" i="5" s="1"/>
  <c r="U417" i="4"/>
  <c r="HJ208" i="5" s="1"/>
  <c r="V417" i="4"/>
  <c r="HK208" i="5" s="1"/>
  <c r="W417" i="4"/>
  <c r="HL208" i="5" s="1"/>
  <c r="G418" i="4"/>
  <c r="HS208" i="5" s="1"/>
  <c r="H418" i="4"/>
  <c r="HT208" i="5" s="1"/>
  <c r="I418" i="4"/>
  <c r="HU208" i="5" s="1"/>
  <c r="J418" i="4"/>
  <c r="HV208" i="5" s="1"/>
  <c r="K418" i="4"/>
  <c r="HW208" i="5" s="1"/>
  <c r="L418" i="4"/>
  <c r="HX208" i="5" s="1"/>
  <c r="M418" i="4"/>
  <c r="HY208" i="5" s="1"/>
  <c r="N418" i="4"/>
  <c r="HZ208" i="5" s="1"/>
  <c r="O418" i="4"/>
  <c r="IA208" i="5" s="1"/>
  <c r="P418" i="4"/>
  <c r="IB208" i="5" s="1"/>
  <c r="Q418" i="4"/>
  <c r="IC208" i="5" s="1"/>
  <c r="R418" i="4"/>
  <c r="ID208" i="5" s="1"/>
  <c r="S418" i="4"/>
  <c r="IE208" i="5" s="1"/>
  <c r="T418" i="4"/>
  <c r="IF208" i="5" s="1"/>
  <c r="U418" i="4"/>
  <c r="IG208" i="5" s="1"/>
  <c r="V418" i="4"/>
  <c r="IH208" i="5" s="1"/>
  <c r="W418" i="4"/>
  <c r="II208" i="5" s="1"/>
  <c r="G419" i="4"/>
  <c r="IP208" i="5" s="1"/>
  <c r="H419" i="4"/>
  <c r="IQ208" i="5" s="1"/>
  <c r="I419" i="4"/>
  <c r="IR208" i="5" s="1"/>
  <c r="J419" i="4"/>
  <c r="IS208" i="5" s="1"/>
  <c r="K419" i="4"/>
  <c r="IT208" i="5" s="1"/>
  <c r="L419" i="4"/>
  <c r="IU208" i="5" s="1"/>
  <c r="M419" i="4"/>
  <c r="IV208" i="5" s="1"/>
  <c r="N419" i="4"/>
  <c r="F209" i="5" s="1"/>
  <c r="O419" i="4"/>
  <c r="G209" i="5" s="1"/>
  <c r="P419" i="4"/>
  <c r="H209" i="5" s="1"/>
  <c r="Q419" i="4"/>
  <c r="I209" i="5" s="1"/>
  <c r="R419" i="4"/>
  <c r="J209" i="5" s="1"/>
  <c r="S419" i="4"/>
  <c r="K209" i="5" s="1"/>
  <c r="T419" i="4"/>
  <c r="L209" i="5" s="1"/>
  <c r="U419" i="4"/>
  <c r="M209" i="5" s="1"/>
  <c r="V419" i="4"/>
  <c r="N209" i="5" s="1"/>
  <c r="W419" i="4"/>
  <c r="O209" i="5" s="1"/>
  <c r="G420" i="4"/>
  <c r="V209" i="5" s="1"/>
  <c r="H420" i="4"/>
  <c r="W209" i="5" s="1"/>
  <c r="I420" i="4"/>
  <c r="X209" i="5" s="1"/>
  <c r="J420" i="4"/>
  <c r="Y209" i="5" s="1"/>
  <c r="K420" i="4"/>
  <c r="Z209" i="5" s="1"/>
  <c r="L420" i="4"/>
  <c r="AA209" i="5" s="1"/>
  <c r="M420" i="4"/>
  <c r="AB209" i="5" s="1"/>
  <c r="N420" i="4"/>
  <c r="AC209" i="5" s="1"/>
  <c r="O420" i="4"/>
  <c r="AD209" i="5" s="1"/>
  <c r="P420" i="4"/>
  <c r="AE209" i="5" s="1"/>
  <c r="Q420" i="4"/>
  <c r="AF209" i="5" s="1"/>
  <c r="R420" i="4"/>
  <c r="AG209" i="5" s="1"/>
  <c r="S420" i="4"/>
  <c r="AH209" i="5" s="1"/>
  <c r="T420" i="4"/>
  <c r="AI209" i="5" s="1"/>
  <c r="U420" i="4"/>
  <c r="AJ209" i="5" s="1"/>
  <c r="V420" i="4"/>
  <c r="AK209" i="5" s="1"/>
  <c r="W420" i="4"/>
  <c r="AL209" i="5" s="1"/>
  <c r="G421" i="4"/>
  <c r="AS209" i="5" s="1"/>
  <c r="H421" i="4"/>
  <c r="AT209" i="5" s="1"/>
  <c r="I421" i="4"/>
  <c r="AU209" i="5" s="1"/>
  <c r="J421" i="4"/>
  <c r="AV209" i="5" s="1"/>
  <c r="K421" i="4"/>
  <c r="AW209" i="5" s="1"/>
  <c r="L421" i="4"/>
  <c r="AX209" i="5" s="1"/>
  <c r="M421" i="4"/>
  <c r="AY209" i="5" s="1"/>
  <c r="N421" i="4"/>
  <c r="AZ209" i="5" s="1"/>
  <c r="O421" i="4"/>
  <c r="BA209" i="5" s="1"/>
  <c r="P421" i="4"/>
  <c r="BB209" i="5" s="1"/>
  <c r="Q421" i="4"/>
  <c r="BC209" i="5" s="1"/>
  <c r="R421" i="4"/>
  <c r="BD209" i="5" s="1"/>
  <c r="S421" i="4"/>
  <c r="BE209" i="5" s="1"/>
  <c r="T421" i="4"/>
  <c r="BF209" i="5" s="1"/>
  <c r="U421" i="4"/>
  <c r="BG209" i="5" s="1"/>
  <c r="V421" i="4"/>
  <c r="BH209" i="5" s="1"/>
  <c r="W421" i="4"/>
  <c r="BI209" i="5" s="1"/>
  <c r="G422" i="4"/>
  <c r="BP209" i="5" s="1"/>
  <c r="H422" i="4"/>
  <c r="BQ209" i="5" s="1"/>
  <c r="I422" i="4"/>
  <c r="BR209" i="5" s="1"/>
  <c r="J422" i="4"/>
  <c r="BS209" i="5" s="1"/>
  <c r="K422" i="4"/>
  <c r="BT209" i="5" s="1"/>
  <c r="L422" i="4"/>
  <c r="BU209" i="5" s="1"/>
  <c r="M422" i="4"/>
  <c r="BV209" i="5" s="1"/>
  <c r="N422" i="4"/>
  <c r="BW209" i="5" s="1"/>
  <c r="O422" i="4"/>
  <c r="BX209" i="5" s="1"/>
  <c r="P422" i="4"/>
  <c r="BY209" i="5" s="1"/>
  <c r="Q422" i="4"/>
  <c r="BZ209" i="5" s="1"/>
  <c r="R422" i="4"/>
  <c r="CA209" i="5" s="1"/>
  <c r="S422" i="4"/>
  <c r="CB209" i="5" s="1"/>
  <c r="T422" i="4"/>
  <c r="CC209" i="5" s="1"/>
  <c r="U422" i="4"/>
  <c r="CD209" i="5" s="1"/>
  <c r="V422" i="4"/>
  <c r="CE209" i="5" s="1"/>
  <c r="W422" i="4"/>
  <c r="CF209" i="5" s="1"/>
  <c r="G423" i="4"/>
  <c r="CM209" i="5" s="1"/>
  <c r="H423" i="4"/>
  <c r="CN209" i="5" s="1"/>
  <c r="I423" i="4"/>
  <c r="CO209" i="5" s="1"/>
  <c r="J423" i="4"/>
  <c r="CP209" i="5" s="1"/>
  <c r="K423" i="4"/>
  <c r="CQ209" i="5" s="1"/>
  <c r="L423" i="4"/>
  <c r="CR209" i="5" s="1"/>
  <c r="M423" i="4"/>
  <c r="CS209" i="5" s="1"/>
  <c r="N423" i="4"/>
  <c r="CT209" i="5" s="1"/>
  <c r="O423" i="4"/>
  <c r="CU209" i="5" s="1"/>
  <c r="P423" i="4"/>
  <c r="CV209" i="5" s="1"/>
  <c r="Q423" i="4"/>
  <c r="CW209" i="5" s="1"/>
  <c r="R423" i="4"/>
  <c r="CX209" i="5" s="1"/>
  <c r="S423" i="4"/>
  <c r="CY209" i="5" s="1"/>
  <c r="T423" i="4"/>
  <c r="CZ209" i="5" s="1"/>
  <c r="U423" i="4"/>
  <c r="DA209" i="5" s="1"/>
  <c r="V423" i="4"/>
  <c r="DB209" i="5" s="1"/>
  <c r="W423" i="4"/>
  <c r="DC209" i="5" s="1"/>
  <c r="G424" i="4"/>
  <c r="DJ209" i="5" s="1"/>
  <c r="H424" i="4"/>
  <c r="DK209" i="5" s="1"/>
  <c r="I424" i="4"/>
  <c r="DL209" i="5" s="1"/>
  <c r="J424" i="4"/>
  <c r="DM209" i="5" s="1"/>
  <c r="K424" i="4"/>
  <c r="DN209" i="5" s="1"/>
  <c r="L424" i="4"/>
  <c r="DO209" i="5" s="1"/>
  <c r="M424" i="4"/>
  <c r="DP209" i="5" s="1"/>
  <c r="N424" i="4"/>
  <c r="DQ209" i="5" s="1"/>
  <c r="O424" i="4"/>
  <c r="DR209" i="5" s="1"/>
  <c r="P424" i="4"/>
  <c r="DS209" i="5" s="1"/>
  <c r="Q424" i="4"/>
  <c r="DT209" i="5" s="1"/>
  <c r="R424" i="4"/>
  <c r="DU209" i="5" s="1"/>
  <c r="S424" i="4"/>
  <c r="DV209" i="5" s="1"/>
  <c r="T424" i="4"/>
  <c r="DW209" i="5" s="1"/>
  <c r="U424" i="4"/>
  <c r="DX209" i="5" s="1"/>
  <c r="V424" i="4"/>
  <c r="DY209" i="5" s="1"/>
  <c r="W424" i="4"/>
  <c r="DZ209" i="5" s="1"/>
  <c r="G425" i="4"/>
  <c r="EG209" i="5" s="1"/>
  <c r="H425" i="4"/>
  <c r="EH209" i="5" s="1"/>
  <c r="I425" i="4"/>
  <c r="EI209" i="5" s="1"/>
  <c r="J425" i="4"/>
  <c r="EJ209" i="5" s="1"/>
  <c r="K425" i="4"/>
  <c r="EK209" i="5" s="1"/>
  <c r="L425" i="4"/>
  <c r="EL209" i="5" s="1"/>
  <c r="M425" i="4"/>
  <c r="EM209" i="5" s="1"/>
  <c r="N425" i="4"/>
  <c r="EN209" i="5" s="1"/>
  <c r="O425" i="4"/>
  <c r="EO209" i="5" s="1"/>
  <c r="P425" i="4"/>
  <c r="EP209" i="5" s="1"/>
  <c r="Q425" i="4"/>
  <c r="EQ209" i="5" s="1"/>
  <c r="R425" i="4"/>
  <c r="ER209" i="5" s="1"/>
  <c r="S425" i="4"/>
  <c r="ES209" i="5" s="1"/>
  <c r="T425" i="4"/>
  <c r="ET209" i="5" s="1"/>
  <c r="U425" i="4"/>
  <c r="EU209" i="5" s="1"/>
  <c r="V425" i="4"/>
  <c r="EV209" i="5" s="1"/>
  <c r="W425" i="4"/>
  <c r="EW209" i="5" s="1"/>
  <c r="G426" i="4"/>
  <c r="FD209" i="5" s="1"/>
  <c r="H426" i="4"/>
  <c r="FE209" i="5" s="1"/>
  <c r="I426" i="4"/>
  <c r="FF209" i="5" s="1"/>
  <c r="J426" i="4"/>
  <c r="FG209" i="5" s="1"/>
  <c r="K426" i="4"/>
  <c r="FH209" i="5" s="1"/>
  <c r="L426" i="4"/>
  <c r="FI209" i="5" s="1"/>
  <c r="M426" i="4"/>
  <c r="FJ209" i="5" s="1"/>
  <c r="N426" i="4"/>
  <c r="FK209" i="5" s="1"/>
  <c r="O426" i="4"/>
  <c r="FL209" i="5" s="1"/>
  <c r="P426" i="4"/>
  <c r="FM209" i="5" s="1"/>
  <c r="Q426" i="4"/>
  <c r="FN209" i="5" s="1"/>
  <c r="R426" i="4"/>
  <c r="FO209" i="5" s="1"/>
  <c r="S426" i="4"/>
  <c r="FP209" i="5" s="1"/>
  <c r="T426" i="4"/>
  <c r="FQ209" i="5" s="1"/>
  <c r="U426" i="4"/>
  <c r="FR209" i="5" s="1"/>
  <c r="V426" i="4"/>
  <c r="FS209" i="5" s="1"/>
  <c r="W426" i="4"/>
  <c r="FT209" i="5" s="1"/>
  <c r="G427" i="4"/>
  <c r="GA209" i="5" s="1"/>
  <c r="H427" i="4"/>
  <c r="GB209" i="5" s="1"/>
  <c r="I427" i="4"/>
  <c r="GC209" i="5" s="1"/>
  <c r="J427" i="4"/>
  <c r="GD209" i="5" s="1"/>
  <c r="K427" i="4"/>
  <c r="GE209" i="5" s="1"/>
  <c r="L427" i="4"/>
  <c r="GF209" i="5" s="1"/>
  <c r="M427" i="4"/>
  <c r="GG209" i="5" s="1"/>
  <c r="N427" i="4"/>
  <c r="GH209" i="5" s="1"/>
  <c r="O427" i="4"/>
  <c r="GI209" i="5" s="1"/>
  <c r="P427" i="4"/>
  <c r="GJ209" i="5" s="1"/>
  <c r="Q427" i="4"/>
  <c r="GK209" i="5" s="1"/>
  <c r="R427" i="4"/>
  <c r="GL209" i="5" s="1"/>
  <c r="S427" i="4"/>
  <c r="GM209" i="5" s="1"/>
  <c r="T427" i="4"/>
  <c r="GN209" i="5" s="1"/>
  <c r="U427" i="4"/>
  <c r="GO209" i="5" s="1"/>
  <c r="V427" i="4"/>
  <c r="GP209" i="5" s="1"/>
  <c r="W427" i="4"/>
  <c r="GQ209" i="5" s="1"/>
  <c r="G428" i="4"/>
  <c r="GX209" i="5" s="1"/>
  <c r="H428" i="4"/>
  <c r="GY209" i="5" s="1"/>
  <c r="I428" i="4"/>
  <c r="GZ209" i="5" s="1"/>
  <c r="J428" i="4"/>
  <c r="HA209" i="5" s="1"/>
  <c r="K428" i="4"/>
  <c r="HB209" i="5" s="1"/>
  <c r="L428" i="4"/>
  <c r="HC209" i="5" s="1"/>
  <c r="M428" i="4"/>
  <c r="HD209" i="5" s="1"/>
  <c r="N428" i="4"/>
  <c r="HE209" i="5" s="1"/>
  <c r="O428" i="4"/>
  <c r="HF209" i="5" s="1"/>
  <c r="P428" i="4"/>
  <c r="HG209" i="5" s="1"/>
  <c r="Q428" i="4"/>
  <c r="HH209" i="5" s="1"/>
  <c r="R428" i="4"/>
  <c r="HI209" i="5" s="1"/>
  <c r="S428" i="4"/>
  <c r="HJ209" i="5" s="1"/>
  <c r="T428" i="4"/>
  <c r="HK209" i="5" s="1"/>
  <c r="U428" i="4"/>
  <c r="HL209" i="5" s="1"/>
  <c r="V428" i="4"/>
  <c r="HM209" i="5" s="1"/>
  <c r="W428" i="4"/>
  <c r="HN209" i="5" s="1"/>
  <c r="G429" i="4"/>
  <c r="HU209" i="5" s="1"/>
  <c r="H429" i="4"/>
  <c r="HV209" i="5" s="1"/>
  <c r="I429" i="4"/>
  <c r="HW209" i="5" s="1"/>
  <c r="J429" i="4"/>
  <c r="HX209" i="5" s="1"/>
  <c r="K429" i="4"/>
  <c r="HY209" i="5" s="1"/>
  <c r="L429" i="4"/>
  <c r="HZ209" i="5" s="1"/>
  <c r="M429" i="4"/>
  <c r="IA209" i="5" s="1"/>
  <c r="N429" i="4"/>
  <c r="IB209" i="5" s="1"/>
  <c r="O429" i="4"/>
  <c r="IC209" i="5" s="1"/>
  <c r="P429" i="4"/>
  <c r="ID209" i="5" s="1"/>
  <c r="Q429" i="4"/>
  <c r="IE209" i="5" s="1"/>
  <c r="R429" i="4"/>
  <c r="IF209" i="5" s="1"/>
  <c r="S429" i="4"/>
  <c r="IG209" i="5" s="1"/>
  <c r="T429" i="4"/>
  <c r="IH209" i="5" s="1"/>
  <c r="U429" i="4"/>
  <c r="II209" i="5" s="1"/>
  <c r="V429" i="4"/>
  <c r="IJ209" i="5" s="1"/>
  <c r="W429" i="4"/>
  <c r="IK209" i="5" s="1"/>
  <c r="G430" i="4"/>
  <c r="IR209" i="5" s="1"/>
  <c r="H430" i="4"/>
  <c r="IS209" i="5" s="1"/>
  <c r="I430" i="4"/>
  <c r="IT209" i="5" s="1"/>
  <c r="J430" i="4"/>
  <c r="IU209" i="5" s="1"/>
  <c r="K430" i="4"/>
  <c r="IV209" i="5" s="1"/>
  <c r="L430" i="4"/>
  <c r="F210" i="5" s="1"/>
  <c r="M430" i="4"/>
  <c r="G210" i="5" s="1"/>
  <c r="N430" i="4"/>
  <c r="H210" i="5" s="1"/>
  <c r="O430" i="4"/>
  <c r="I210" i="5" s="1"/>
  <c r="P430" i="4"/>
  <c r="J210" i="5" s="1"/>
  <c r="Q430" i="4"/>
  <c r="K210" i="5" s="1"/>
  <c r="R430" i="4"/>
  <c r="L210" i="5" s="1"/>
  <c r="S430" i="4"/>
  <c r="M210" i="5" s="1"/>
  <c r="T430" i="4"/>
  <c r="N210" i="5" s="1"/>
  <c r="U430" i="4"/>
  <c r="O210" i="5" s="1"/>
  <c r="V430" i="4"/>
  <c r="P210" i="5" s="1"/>
  <c r="W430" i="4"/>
  <c r="Q210" i="5" s="1"/>
  <c r="G431" i="4"/>
  <c r="X210" i="5" s="1"/>
  <c r="H431" i="4"/>
  <c r="Y210" i="5" s="1"/>
  <c r="I431" i="4"/>
  <c r="Z210" i="5" s="1"/>
  <c r="J431" i="4"/>
  <c r="AA210" i="5" s="1"/>
  <c r="K431" i="4"/>
  <c r="AB210" i="5" s="1"/>
  <c r="L431" i="4"/>
  <c r="AC210" i="5" s="1"/>
  <c r="M431" i="4"/>
  <c r="AD210" i="5" s="1"/>
  <c r="N431" i="4"/>
  <c r="AE210" i="5" s="1"/>
  <c r="O431" i="4"/>
  <c r="AF210" i="5" s="1"/>
  <c r="P431" i="4"/>
  <c r="AG210" i="5" s="1"/>
  <c r="Q431" i="4"/>
  <c r="AH210" i="5" s="1"/>
  <c r="R431" i="4"/>
  <c r="AI210" i="5" s="1"/>
  <c r="S431" i="4"/>
  <c r="AJ210" i="5" s="1"/>
  <c r="T431" i="4"/>
  <c r="AK210" i="5" s="1"/>
  <c r="U431" i="4"/>
  <c r="AL210" i="5" s="1"/>
  <c r="V431" i="4"/>
  <c r="AM210" i="5" s="1"/>
  <c r="W431" i="4"/>
  <c r="AN210" i="5" s="1"/>
  <c r="G432" i="4"/>
  <c r="AU210" i="5" s="1"/>
  <c r="H432" i="4"/>
  <c r="AV210" i="5" s="1"/>
  <c r="I432" i="4"/>
  <c r="AW210" i="5" s="1"/>
  <c r="J432" i="4"/>
  <c r="AX210" i="5" s="1"/>
  <c r="K432" i="4"/>
  <c r="AY210" i="5" s="1"/>
  <c r="L432" i="4"/>
  <c r="AZ210" i="5" s="1"/>
  <c r="M432" i="4"/>
  <c r="BA210" i="5" s="1"/>
  <c r="N432" i="4"/>
  <c r="BB210" i="5" s="1"/>
  <c r="O432" i="4"/>
  <c r="BC210" i="5" s="1"/>
  <c r="P432" i="4"/>
  <c r="BD210" i="5" s="1"/>
  <c r="Q432" i="4"/>
  <c r="BE210" i="5" s="1"/>
  <c r="R432" i="4"/>
  <c r="BF210" i="5" s="1"/>
  <c r="S432" i="4"/>
  <c r="BG210" i="5" s="1"/>
  <c r="T432" i="4"/>
  <c r="BH210" i="5" s="1"/>
  <c r="U432" i="4"/>
  <c r="BI210" i="5" s="1"/>
  <c r="V432" i="4"/>
  <c r="BJ210" i="5" s="1"/>
  <c r="W432" i="4"/>
  <c r="BK210" i="5" s="1"/>
  <c r="G433" i="4"/>
  <c r="BR210" i="5" s="1"/>
  <c r="H433" i="4"/>
  <c r="BS210" i="5" s="1"/>
  <c r="I433" i="4"/>
  <c r="BT210" i="5" s="1"/>
  <c r="J433" i="4"/>
  <c r="BU210" i="5" s="1"/>
  <c r="K433" i="4"/>
  <c r="BV210" i="5" s="1"/>
  <c r="L433" i="4"/>
  <c r="BW210" i="5" s="1"/>
  <c r="M433" i="4"/>
  <c r="BX210" i="5" s="1"/>
  <c r="N433" i="4"/>
  <c r="BY210" i="5" s="1"/>
  <c r="O433" i="4"/>
  <c r="BZ210" i="5" s="1"/>
  <c r="P433" i="4"/>
  <c r="CA210" i="5" s="1"/>
  <c r="Q433" i="4"/>
  <c r="CB210" i="5" s="1"/>
  <c r="R433" i="4"/>
  <c r="CC210" i="5" s="1"/>
  <c r="S433" i="4"/>
  <c r="CD210" i="5" s="1"/>
  <c r="T433" i="4"/>
  <c r="CE210" i="5" s="1"/>
  <c r="U433" i="4"/>
  <c r="CF210" i="5" s="1"/>
  <c r="V433" i="4"/>
  <c r="CG210" i="5" s="1"/>
  <c r="W433" i="4"/>
  <c r="CH210" i="5" s="1"/>
  <c r="G434" i="4"/>
  <c r="CO210" i="5" s="1"/>
  <c r="H434" i="4"/>
  <c r="CP210" i="5" s="1"/>
  <c r="I434" i="4"/>
  <c r="CQ210" i="5" s="1"/>
  <c r="J434" i="4"/>
  <c r="CR210" i="5" s="1"/>
  <c r="K434" i="4"/>
  <c r="CS210" i="5" s="1"/>
  <c r="L434" i="4"/>
  <c r="CT210" i="5" s="1"/>
  <c r="M434" i="4"/>
  <c r="CU210" i="5" s="1"/>
  <c r="N434" i="4"/>
  <c r="CV210" i="5" s="1"/>
  <c r="O434" i="4"/>
  <c r="CW210" i="5" s="1"/>
  <c r="P434" i="4"/>
  <c r="CX210" i="5" s="1"/>
  <c r="Q434" i="4"/>
  <c r="CY210" i="5" s="1"/>
  <c r="R434" i="4"/>
  <c r="CZ210" i="5" s="1"/>
  <c r="S434" i="4"/>
  <c r="DA210" i="5" s="1"/>
  <c r="T434" i="4"/>
  <c r="DB210" i="5" s="1"/>
  <c r="U434" i="4"/>
  <c r="DC210" i="5" s="1"/>
  <c r="V434" i="4"/>
  <c r="DD210" i="5" s="1"/>
  <c r="W434" i="4"/>
  <c r="DE210" i="5" s="1"/>
  <c r="G435" i="4"/>
  <c r="DL210" i="5" s="1"/>
  <c r="H435" i="4"/>
  <c r="DM210" i="5" s="1"/>
  <c r="I435" i="4"/>
  <c r="DN210" i="5" s="1"/>
  <c r="J435" i="4"/>
  <c r="DO210" i="5" s="1"/>
  <c r="K435" i="4"/>
  <c r="DP210" i="5" s="1"/>
  <c r="L435" i="4"/>
  <c r="DQ210" i="5" s="1"/>
  <c r="M435" i="4"/>
  <c r="DR210" i="5" s="1"/>
  <c r="N435" i="4"/>
  <c r="DS210" i="5" s="1"/>
  <c r="O435" i="4"/>
  <c r="DT210" i="5" s="1"/>
  <c r="P435" i="4"/>
  <c r="DU210" i="5" s="1"/>
  <c r="Q435" i="4"/>
  <c r="DV210" i="5" s="1"/>
  <c r="R435" i="4"/>
  <c r="DW210" i="5" s="1"/>
  <c r="S435" i="4"/>
  <c r="DX210" i="5" s="1"/>
  <c r="T435" i="4"/>
  <c r="DY210" i="5" s="1"/>
  <c r="U435" i="4"/>
  <c r="DZ210" i="5" s="1"/>
  <c r="V435" i="4"/>
  <c r="EA210" i="5" s="1"/>
  <c r="W435" i="4"/>
  <c r="EB210" i="5" s="1"/>
  <c r="G436" i="4"/>
  <c r="EI210" i="5" s="1"/>
  <c r="H436" i="4"/>
  <c r="EJ210" i="5" s="1"/>
  <c r="I436" i="4"/>
  <c r="EK210" i="5" s="1"/>
  <c r="J436" i="4"/>
  <c r="EL210" i="5" s="1"/>
  <c r="K436" i="4"/>
  <c r="EM210" i="5" s="1"/>
  <c r="L436" i="4"/>
  <c r="EN210" i="5" s="1"/>
  <c r="M436" i="4"/>
  <c r="EO210" i="5" s="1"/>
  <c r="N436" i="4"/>
  <c r="EP210" i="5" s="1"/>
  <c r="O436" i="4"/>
  <c r="EQ210" i="5" s="1"/>
  <c r="P436" i="4"/>
  <c r="ER210" i="5" s="1"/>
  <c r="Q436" i="4"/>
  <c r="ES210" i="5" s="1"/>
  <c r="R436" i="4"/>
  <c r="ET210" i="5" s="1"/>
  <c r="S436" i="4"/>
  <c r="EU210" i="5" s="1"/>
  <c r="T436" i="4"/>
  <c r="EV210" i="5" s="1"/>
  <c r="U436" i="4"/>
  <c r="EW210" i="5" s="1"/>
  <c r="V436" i="4"/>
  <c r="EX210" i="5" s="1"/>
  <c r="W436" i="4"/>
  <c r="EY210" i="5" s="1"/>
  <c r="G437" i="4"/>
  <c r="FF210" i="5" s="1"/>
  <c r="H437" i="4"/>
  <c r="FG210" i="5" s="1"/>
  <c r="I437" i="4"/>
  <c r="FH210" i="5" s="1"/>
  <c r="J437" i="4"/>
  <c r="FI210" i="5" s="1"/>
  <c r="K437" i="4"/>
  <c r="FJ210" i="5" s="1"/>
  <c r="L437" i="4"/>
  <c r="FK210" i="5" s="1"/>
  <c r="M437" i="4"/>
  <c r="FL210" i="5" s="1"/>
  <c r="N437" i="4"/>
  <c r="FM210" i="5" s="1"/>
  <c r="O437" i="4"/>
  <c r="FN210" i="5" s="1"/>
  <c r="P437" i="4"/>
  <c r="FO210" i="5" s="1"/>
  <c r="Q437" i="4"/>
  <c r="FP210" i="5" s="1"/>
  <c r="R437" i="4"/>
  <c r="FQ210" i="5" s="1"/>
  <c r="S437" i="4"/>
  <c r="FR210" i="5" s="1"/>
  <c r="T437" i="4"/>
  <c r="FS210" i="5" s="1"/>
  <c r="U437" i="4"/>
  <c r="FT210" i="5" s="1"/>
  <c r="V437" i="4"/>
  <c r="FU210" i="5" s="1"/>
  <c r="W437" i="4"/>
  <c r="FV210" i="5" s="1"/>
  <c r="G438" i="4"/>
  <c r="GC210" i="5" s="1"/>
  <c r="H438" i="4"/>
  <c r="GD210" i="5" s="1"/>
  <c r="I438" i="4"/>
  <c r="GE210" i="5" s="1"/>
  <c r="J438" i="4"/>
  <c r="GF210" i="5" s="1"/>
  <c r="K438" i="4"/>
  <c r="GG210" i="5" s="1"/>
  <c r="L438" i="4"/>
  <c r="GH210" i="5" s="1"/>
  <c r="M438" i="4"/>
  <c r="GI210" i="5" s="1"/>
  <c r="N438" i="4"/>
  <c r="GJ210" i="5" s="1"/>
  <c r="O438" i="4"/>
  <c r="GK210" i="5" s="1"/>
  <c r="P438" i="4"/>
  <c r="GL210" i="5" s="1"/>
  <c r="Q438" i="4"/>
  <c r="GM210" i="5" s="1"/>
  <c r="R438" i="4"/>
  <c r="GN210" i="5" s="1"/>
  <c r="S438" i="4"/>
  <c r="GO210" i="5" s="1"/>
  <c r="T438" i="4"/>
  <c r="GP210" i="5" s="1"/>
  <c r="U438" i="4"/>
  <c r="GQ210" i="5" s="1"/>
  <c r="V438" i="4"/>
  <c r="GR210" i="5" s="1"/>
  <c r="W438" i="4"/>
  <c r="GS210" i="5" s="1"/>
  <c r="G439" i="4"/>
  <c r="GZ210" i="5" s="1"/>
  <c r="H439" i="4"/>
  <c r="HA210" i="5" s="1"/>
  <c r="I439" i="4"/>
  <c r="HB210" i="5" s="1"/>
  <c r="J439" i="4"/>
  <c r="HC210" i="5" s="1"/>
  <c r="K439" i="4"/>
  <c r="HD210" i="5" s="1"/>
  <c r="L439" i="4"/>
  <c r="HE210" i="5" s="1"/>
  <c r="M439" i="4"/>
  <c r="HF210" i="5" s="1"/>
  <c r="N439" i="4"/>
  <c r="HG210" i="5" s="1"/>
  <c r="O439" i="4"/>
  <c r="HH210" i="5" s="1"/>
  <c r="P439" i="4"/>
  <c r="HI210" i="5" s="1"/>
  <c r="Q439" i="4"/>
  <c r="HJ210" i="5" s="1"/>
  <c r="R439" i="4"/>
  <c r="HK210" i="5" s="1"/>
  <c r="S439" i="4"/>
  <c r="HL210" i="5" s="1"/>
  <c r="T439" i="4"/>
  <c r="HM210" i="5" s="1"/>
  <c r="U439" i="4"/>
  <c r="HN210" i="5" s="1"/>
  <c r="V439" i="4"/>
  <c r="HO210" i="5" s="1"/>
  <c r="W439" i="4"/>
  <c r="HP210" i="5" s="1"/>
  <c r="G440" i="4"/>
  <c r="HW210" i="5" s="1"/>
  <c r="H440" i="4"/>
  <c r="HX210" i="5" s="1"/>
  <c r="I440" i="4"/>
  <c r="HY210" i="5" s="1"/>
  <c r="J440" i="4"/>
  <c r="HZ210" i="5" s="1"/>
  <c r="K440" i="4"/>
  <c r="IA210" i="5" s="1"/>
  <c r="L440" i="4"/>
  <c r="IB210" i="5" s="1"/>
  <c r="M440" i="4"/>
  <c r="IC210" i="5" s="1"/>
  <c r="N440" i="4"/>
  <c r="ID210" i="5" s="1"/>
  <c r="O440" i="4"/>
  <c r="IE210" i="5" s="1"/>
  <c r="P440" i="4"/>
  <c r="IF210" i="5" s="1"/>
  <c r="Q440" i="4"/>
  <c r="IG210" i="5" s="1"/>
  <c r="R440" i="4"/>
  <c r="IH210" i="5" s="1"/>
  <c r="S440" i="4"/>
  <c r="II210" i="5" s="1"/>
  <c r="T440" i="4"/>
  <c r="IJ210" i="5" s="1"/>
  <c r="U440" i="4"/>
  <c r="IK210" i="5" s="1"/>
  <c r="V440" i="4"/>
  <c r="IL210" i="5" s="1"/>
  <c r="W440" i="4"/>
  <c r="IM210" i="5" s="1"/>
  <c r="G441" i="4"/>
  <c r="IT210" i="5" s="1"/>
  <c r="H441" i="4"/>
  <c r="IU210" i="5" s="1"/>
  <c r="I441" i="4"/>
  <c r="IV210" i="5" s="1"/>
  <c r="J441" i="4"/>
  <c r="F211" i="5" s="1"/>
  <c r="K441" i="4"/>
  <c r="G211" i="5" s="1"/>
  <c r="L441" i="4"/>
  <c r="H211" i="5" s="1"/>
  <c r="M441" i="4"/>
  <c r="I211" i="5" s="1"/>
  <c r="N441" i="4"/>
  <c r="J211" i="5" s="1"/>
  <c r="O441" i="4"/>
  <c r="K211" i="5" s="1"/>
  <c r="P441" i="4"/>
  <c r="L211" i="5" s="1"/>
  <c r="Q441" i="4"/>
  <c r="M211" i="5" s="1"/>
  <c r="R441" i="4"/>
  <c r="N211" i="5" s="1"/>
  <c r="S441" i="4"/>
  <c r="O211" i="5" s="1"/>
  <c r="T441" i="4"/>
  <c r="P211" i="5" s="1"/>
  <c r="U441" i="4"/>
  <c r="Q211" i="5" s="1"/>
  <c r="V441" i="4"/>
  <c r="R211" i="5" s="1"/>
  <c r="W441" i="4"/>
  <c r="S211" i="5" s="1"/>
  <c r="G442" i="4"/>
  <c r="Z211" i="5" s="1"/>
  <c r="H442" i="4"/>
  <c r="AA211" i="5" s="1"/>
  <c r="I442" i="4"/>
  <c r="AB211" i="5" s="1"/>
  <c r="J442" i="4"/>
  <c r="AC211" i="5" s="1"/>
  <c r="K442" i="4"/>
  <c r="AD211" i="5" s="1"/>
  <c r="L442" i="4"/>
  <c r="AE211" i="5" s="1"/>
  <c r="M442" i="4"/>
  <c r="AF211" i="5" s="1"/>
  <c r="N442" i="4"/>
  <c r="AG211" i="5" s="1"/>
  <c r="O442" i="4"/>
  <c r="AH211" i="5" s="1"/>
  <c r="P442" i="4"/>
  <c r="AI211" i="5" s="1"/>
  <c r="Q442" i="4"/>
  <c r="AJ211" i="5" s="1"/>
  <c r="R442" i="4"/>
  <c r="AK211" i="5" s="1"/>
  <c r="S442" i="4"/>
  <c r="AL211" i="5" s="1"/>
  <c r="T442" i="4"/>
  <c r="AM211" i="5" s="1"/>
  <c r="U442" i="4"/>
  <c r="AN211" i="5" s="1"/>
  <c r="V442" i="4"/>
  <c r="AO211" i="5" s="1"/>
  <c r="W442" i="4"/>
  <c r="AP211" i="5" s="1"/>
  <c r="G443" i="4"/>
  <c r="AW211" i="5" s="1"/>
  <c r="H443" i="4"/>
  <c r="AX211" i="5" s="1"/>
  <c r="I443" i="4"/>
  <c r="AY211" i="5" s="1"/>
  <c r="J443" i="4"/>
  <c r="AZ211" i="5" s="1"/>
  <c r="K443" i="4"/>
  <c r="BA211" i="5" s="1"/>
  <c r="L443" i="4"/>
  <c r="BB211" i="5" s="1"/>
  <c r="M443" i="4"/>
  <c r="BC211" i="5" s="1"/>
  <c r="N443" i="4"/>
  <c r="BD211" i="5" s="1"/>
  <c r="O443" i="4"/>
  <c r="BE211" i="5" s="1"/>
  <c r="P443" i="4"/>
  <c r="BF211" i="5" s="1"/>
  <c r="Q443" i="4"/>
  <c r="BG211" i="5" s="1"/>
  <c r="R443" i="4"/>
  <c r="BH211" i="5" s="1"/>
  <c r="S443" i="4"/>
  <c r="BI211" i="5" s="1"/>
  <c r="T443" i="4"/>
  <c r="BJ211" i="5" s="1"/>
  <c r="U443" i="4"/>
  <c r="BK211" i="5" s="1"/>
  <c r="V443" i="4"/>
  <c r="BL211" i="5" s="1"/>
  <c r="W443" i="4"/>
  <c r="BM211" i="5" s="1"/>
  <c r="G444" i="4"/>
  <c r="BT211" i="5" s="1"/>
  <c r="H444" i="4"/>
  <c r="BU211" i="5" s="1"/>
  <c r="I444" i="4"/>
  <c r="BV211" i="5" s="1"/>
  <c r="J444" i="4"/>
  <c r="BW211" i="5" s="1"/>
  <c r="K444" i="4"/>
  <c r="BX211" i="5" s="1"/>
  <c r="L444" i="4"/>
  <c r="BY211" i="5" s="1"/>
  <c r="M444" i="4"/>
  <c r="BZ211" i="5" s="1"/>
  <c r="N444" i="4"/>
  <c r="CA211" i="5" s="1"/>
  <c r="O444" i="4"/>
  <c r="CB211" i="5" s="1"/>
  <c r="P444" i="4"/>
  <c r="CC211" i="5" s="1"/>
  <c r="Q444" i="4"/>
  <c r="CD211" i="5" s="1"/>
  <c r="R444" i="4"/>
  <c r="CE211" i="5" s="1"/>
  <c r="S444" i="4"/>
  <c r="CF211" i="5" s="1"/>
  <c r="T444" i="4"/>
  <c r="CG211" i="5" s="1"/>
  <c r="U444" i="4"/>
  <c r="CH211" i="5" s="1"/>
  <c r="V444" i="4"/>
  <c r="CI211" i="5" s="1"/>
  <c r="W444" i="4"/>
  <c r="CJ211" i="5" s="1"/>
  <c r="G445" i="4"/>
  <c r="CQ211" i="5" s="1"/>
  <c r="H445" i="4"/>
  <c r="CR211" i="5" s="1"/>
  <c r="I445" i="4"/>
  <c r="CS211" i="5" s="1"/>
  <c r="J445" i="4"/>
  <c r="CT211" i="5" s="1"/>
  <c r="K445" i="4"/>
  <c r="CU211" i="5" s="1"/>
  <c r="L445" i="4"/>
  <c r="CV211" i="5" s="1"/>
  <c r="M445" i="4"/>
  <c r="CW211" i="5" s="1"/>
  <c r="N445" i="4"/>
  <c r="CX211" i="5" s="1"/>
  <c r="O445" i="4"/>
  <c r="CY211" i="5" s="1"/>
  <c r="P445" i="4"/>
  <c r="CZ211" i="5" s="1"/>
  <c r="Q445" i="4"/>
  <c r="DA211" i="5" s="1"/>
  <c r="R445" i="4"/>
  <c r="DB211" i="5" s="1"/>
  <c r="S445" i="4"/>
  <c r="DC211" i="5" s="1"/>
  <c r="T445" i="4"/>
  <c r="DD211" i="5" s="1"/>
  <c r="U445" i="4"/>
  <c r="DE211" i="5" s="1"/>
  <c r="V445" i="4"/>
  <c r="DF211" i="5" s="1"/>
  <c r="W445" i="4"/>
  <c r="DG211" i="5" s="1"/>
  <c r="G446" i="4"/>
  <c r="DN211" i="5" s="1"/>
  <c r="H446" i="4"/>
  <c r="DO211" i="5" s="1"/>
  <c r="I446" i="4"/>
  <c r="DP211" i="5" s="1"/>
  <c r="J446" i="4"/>
  <c r="DQ211" i="5" s="1"/>
  <c r="K446" i="4"/>
  <c r="DR211" i="5" s="1"/>
  <c r="L446" i="4"/>
  <c r="DS211" i="5" s="1"/>
  <c r="M446" i="4"/>
  <c r="DT211" i="5" s="1"/>
  <c r="N446" i="4"/>
  <c r="DU211" i="5" s="1"/>
  <c r="O446" i="4"/>
  <c r="DV211" i="5" s="1"/>
  <c r="P446" i="4"/>
  <c r="DW211" i="5" s="1"/>
  <c r="Q446" i="4"/>
  <c r="DX211" i="5" s="1"/>
  <c r="R446" i="4"/>
  <c r="DY211" i="5" s="1"/>
  <c r="S446" i="4"/>
  <c r="DZ211" i="5" s="1"/>
  <c r="T446" i="4"/>
  <c r="EA211" i="5" s="1"/>
  <c r="U446" i="4"/>
  <c r="EB211" i="5" s="1"/>
  <c r="V446" i="4"/>
  <c r="EC211" i="5" s="1"/>
  <c r="W446" i="4"/>
  <c r="ED211" i="5" s="1"/>
  <c r="G447" i="4"/>
  <c r="EK211" i="5" s="1"/>
  <c r="H447" i="4"/>
  <c r="EL211" i="5" s="1"/>
  <c r="I447" i="4"/>
  <c r="EM211" i="5" s="1"/>
  <c r="J447" i="4"/>
  <c r="EN211" i="5" s="1"/>
  <c r="K447" i="4"/>
  <c r="EO211" i="5" s="1"/>
  <c r="L447" i="4"/>
  <c r="EP211" i="5" s="1"/>
  <c r="M447" i="4"/>
  <c r="EQ211" i="5" s="1"/>
  <c r="N447" i="4"/>
  <c r="ER211" i="5" s="1"/>
  <c r="O447" i="4"/>
  <c r="ES211" i="5" s="1"/>
  <c r="P447" i="4"/>
  <c r="ET211" i="5" s="1"/>
  <c r="Q447" i="4"/>
  <c r="EU211" i="5" s="1"/>
  <c r="R447" i="4"/>
  <c r="EV211" i="5" s="1"/>
  <c r="S447" i="4"/>
  <c r="EW211" i="5" s="1"/>
  <c r="T447" i="4"/>
  <c r="EX211" i="5" s="1"/>
  <c r="U447" i="4"/>
  <c r="EY211" i="5" s="1"/>
  <c r="V447" i="4"/>
  <c r="EZ211" i="5" s="1"/>
  <c r="W447" i="4"/>
  <c r="FA211" i="5" s="1"/>
  <c r="G448" i="4"/>
  <c r="FH211" i="5" s="1"/>
  <c r="H448" i="4"/>
  <c r="FI211" i="5" s="1"/>
  <c r="I448" i="4"/>
  <c r="FJ211" i="5" s="1"/>
  <c r="J448" i="4"/>
  <c r="FK211" i="5" s="1"/>
  <c r="K448" i="4"/>
  <c r="FL211" i="5" s="1"/>
  <c r="L448" i="4"/>
  <c r="FM211" i="5" s="1"/>
  <c r="M448" i="4"/>
  <c r="FN211" i="5" s="1"/>
  <c r="N448" i="4"/>
  <c r="FO211" i="5" s="1"/>
  <c r="O448" i="4"/>
  <c r="FP211" i="5" s="1"/>
  <c r="P448" i="4"/>
  <c r="FQ211" i="5" s="1"/>
  <c r="Q448" i="4"/>
  <c r="FR211" i="5" s="1"/>
  <c r="R448" i="4"/>
  <c r="FS211" i="5" s="1"/>
  <c r="S448" i="4"/>
  <c r="FT211" i="5" s="1"/>
  <c r="T448" i="4"/>
  <c r="FU211" i="5" s="1"/>
  <c r="U448" i="4"/>
  <c r="FV211" i="5" s="1"/>
  <c r="V448" i="4"/>
  <c r="FW211" i="5" s="1"/>
  <c r="W448" i="4"/>
  <c r="FX211" i="5" s="1"/>
  <c r="G449" i="4"/>
  <c r="GE211" i="5" s="1"/>
  <c r="H449" i="4"/>
  <c r="GF211" i="5" s="1"/>
  <c r="I449" i="4"/>
  <c r="GG211" i="5" s="1"/>
  <c r="J449" i="4"/>
  <c r="GH211" i="5" s="1"/>
  <c r="K449" i="4"/>
  <c r="GI211" i="5" s="1"/>
  <c r="L449" i="4"/>
  <c r="GJ211" i="5" s="1"/>
  <c r="M449" i="4"/>
  <c r="GK211" i="5" s="1"/>
  <c r="N449" i="4"/>
  <c r="GL211" i="5" s="1"/>
  <c r="O449" i="4"/>
  <c r="GM211" i="5" s="1"/>
  <c r="P449" i="4"/>
  <c r="GN211" i="5" s="1"/>
  <c r="Q449" i="4"/>
  <c r="GO211" i="5" s="1"/>
  <c r="R449" i="4"/>
  <c r="GP211" i="5" s="1"/>
  <c r="S449" i="4"/>
  <c r="GQ211" i="5" s="1"/>
  <c r="T449" i="4"/>
  <c r="GR211" i="5" s="1"/>
  <c r="U449" i="4"/>
  <c r="GS211" i="5" s="1"/>
  <c r="V449" i="4"/>
  <c r="GT211" i="5" s="1"/>
  <c r="W449" i="4"/>
  <c r="GU211" i="5" s="1"/>
  <c r="G450" i="4"/>
  <c r="HB211" i="5" s="1"/>
  <c r="H450" i="4"/>
  <c r="HC211" i="5" s="1"/>
  <c r="I450" i="4"/>
  <c r="HD211" i="5" s="1"/>
  <c r="J450" i="4"/>
  <c r="HE211" i="5" s="1"/>
  <c r="K450" i="4"/>
  <c r="HF211" i="5" s="1"/>
  <c r="L450" i="4"/>
  <c r="HG211" i="5" s="1"/>
  <c r="M450" i="4"/>
  <c r="HH211" i="5" s="1"/>
  <c r="N450" i="4"/>
  <c r="HI211" i="5" s="1"/>
  <c r="O450" i="4"/>
  <c r="HJ211" i="5" s="1"/>
  <c r="P450" i="4"/>
  <c r="HK211" i="5" s="1"/>
  <c r="Q450" i="4"/>
  <c r="HL211" i="5" s="1"/>
  <c r="R450" i="4"/>
  <c r="HM211" i="5" s="1"/>
  <c r="S450" i="4"/>
  <c r="HN211" i="5" s="1"/>
  <c r="T450" i="4"/>
  <c r="HO211" i="5" s="1"/>
  <c r="U450" i="4"/>
  <c r="HP211" i="5" s="1"/>
  <c r="V450" i="4"/>
  <c r="HQ211" i="5" s="1"/>
  <c r="W450" i="4"/>
  <c r="HR211" i="5" s="1"/>
  <c r="G451" i="4"/>
  <c r="HY211" i="5" s="1"/>
  <c r="H451" i="4"/>
  <c r="HZ211" i="5" s="1"/>
  <c r="I451" i="4"/>
  <c r="IA211" i="5" s="1"/>
  <c r="J451" i="4"/>
  <c r="IB211" i="5" s="1"/>
  <c r="K451" i="4"/>
  <c r="IC211" i="5" s="1"/>
  <c r="L451" i="4"/>
  <c r="ID211" i="5" s="1"/>
  <c r="M451" i="4"/>
  <c r="IE211" i="5" s="1"/>
  <c r="N451" i="4"/>
  <c r="IF211" i="5" s="1"/>
  <c r="O451" i="4"/>
  <c r="IG211" i="5" s="1"/>
  <c r="P451" i="4"/>
  <c r="IH211" i="5" s="1"/>
  <c r="Q451" i="4"/>
  <c r="II211" i="5" s="1"/>
  <c r="R451" i="4"/>
  <c r="IJ211" i="5" s="1"/>
  <c r="S451" i="4"/>
  <c r="IK211" i="5" s="1"/>
  <c r="T451" i="4"/>
  <c r="IL211" i="5" s="1"/>
  <c r="U451" i="4"/>
  <c r="IM211" i="5" s="1"/>
  <c r="V451" i="4"/>
  <c r="IN211" i="5" s="1"/>
  <c r="W451" i="4"/>
  <c r="IO211" i="5" s="1"/>
  <c r="G452" i="4"/>
  <c r="IV211" i="5" s="1"/>
  <c r="H452" i="4"/>
  <c r="F212" i="5" s="1"/>
  <c r="I452" i="4"/>
  <c r="G212" i="5" s="1"/>
  <c r="J452" i="4"/>
  <c r="H212" i="5" s="1"/>
  <c r="K452" i="4"/>
  <c r="I212" i="5" s="1"/>
  <c r="L452" i="4"/>
  <c r="J212" i="5" s="1"/>
  <c r="M452" i="4"/>
  <c r="K212" i="5" s="1"/>
  <c r="N452" i="4"/>
  <c r="L212" i="5" s="1"/>
  <c r="O452" i="4"/>
  <c r="M212" i="5" s="1"/>
  <c r="P452" i="4"/>
  <c r="N212" i="5" s="1"/>
  <c r="Q452" i="4"/>
  <c r="O212" i="5" s="1"/>
  <c r="R452" i="4"/>
  <c r="P212" i="5" s="1"/>
  <c r="S452" i="4"/>
  <c r="Q212" i="5" s="1"/>
  <c r="T452" i="4"/>
  <c r="R212" i="5" s="1"/>
  <c r="U452" i="4"/>
  <c r="S212" i="5" s="1"/>
  <c r="V452" i="4"/>
  <c r="T212" i="5" s="1"/>
  <c r="W452" i="4"/>
  <c r="U212" i="5" s="1"/>
  <c r="G453" i="4"/>
  <c r="AB212" i="5" s="1"/>
  <c r="H453" i="4"/>
  <c r="AC212" i="5" s="1"/>
  <c r="I453" i="4"/>
  <c r="AD212" i="5" s="1"/>
  <c r="J453" i="4"/>
  <c r="AE212" i="5" s="1"/>
  <c r="K453" i="4"/>
  <c r="AF212" i="5" s="1"/>
  <c r="L453" i="4"/>
  <c r="AG212" i="5" s="1"/>
  <c r="M453" i="4"/>
  <c r="AH212" i="5" s="1"/>
  <c r="N453" i="4"/>
  <c r="AI212" i="5" s="1"/>
  <c r="O453" i="4"/>
  <c r="AJ212" i="5" s="1"/>
  <c r="P453" i="4"/>
  <c r="AK212" i="5" s="1"/>
  <c r="Q453" i="4"/>
  <c r="AL212" i="5" s="1"/>
  <c r="R453" i="4"/>
  <c r="AM212" i="5" s="1"/>
  <c r="S453" i="4"/>
  <c r="AN212" i="5" s="1"/>
  <c r="T453" i="4"/>
  <c r="AO212" i="5" s="1"/>
  <c r="U453" i="4"/>
  <c r="AP212" i="5" s="1"/>
  <c r="V453" i="4"/>
  <c r="AQ212" i="5" s="1"/>
  <c r="W453" i="4"/>
  <c r="AR212" i="5" s="1"/>
  <c r="G454" i="4"/>
  <c r="AY212" i="5" s="1"/>
  <c r="H454" i="4"/>
  <c r="AZ212" i="5" s="1"/>
  <c r="I454" i="4"/>
  <c r="BA212" i="5" s="1"/>
  <c r="J454" i="4"/>
  <c r="BB212" i="5" s="1"/>
  <c r="K454" i="4"/>
  <c r="BC212" i="5" s="1"/>
  <c r="L454" i="4"/>
  <c r="BD212" i="5" s="1"/>
  <c r="M454" i="4"/>
  <c r="BE212" i="5" s="1"/>
  <c r="N454" i="4"/>
  <c r="BF212" i="5" s="1"/>
  <c r="O454" i="4"/>
  <c r="BG212" i="5" s="1"/>
  <c r="P454" i="4"/>
  <c r="BH212" i="5" s="1"/>
  <c r="Q454" i="4"/>
  <c r="BI212" i="5" s="1"/>
  <c r="R454" i="4"/>
  <c r="BJ212" i="5" s="1"/>
  <c r="S454" i="4"/>
  <c r="BK212" i="5" s="1"/>
  <c r="T454" i="4"/>
  <c r="BL212" i="5" s="1"/>
  <c r="U454" i="4"/>
  <c r="BM212" i="5" s="1"/>
  <c r="V454" i="4"/>
  <c r="BN212" i="5" s="1"/>
  <c r="W454" i="4"/>
  <c r="BO212" i="5" s="1"/>
  <c r="G455" i="4"/>
  <c r="BV212" i="5" s="1"/>
  <c r="H455" i="4"/>
  <c r="BW212" i="5" s="1"/>
  <c r="I455" i="4"/>
  <c r="BX212" i="5" s="1"/>
  <c r="J455" i="4"/>
  <c r="BY212" i="5" s="1"/>
  <c r="K455" i="4"/>
  <c r="BZ212" i="5" s="1"/>
  <c r="L455" i="4"/>
  <c r="CA212" i="5" s="1"/>
  <c r="M455" i="4"/>
  <c r="CB212" i="5" s="1"/>
  <c r="N455" i="4"/>
  <c r="CC212" i="5" s="1"/>
  <c r="O455" i="4"/>
  <c r="CD212" i="5" s="1"/>
  <c r="P455" i="4"/>
  <c r="CE212" i="5" s="1"/>
  <c r="Q455" i="4"/>
  <c r="CF212" i="5" s="1"/>
  <c r="R455" i="4"/>
  <c r="CG212" i="5" s="1"/>
  <c r="S455" i="4"/>
  <c r="CH212" i="5" s="1"/>
  <c r="T455" i="4"/>
  <c r="CI212" i="5" s="1"/>
  <c r="U455" i="4"/>
  <c r="CJ212" i="5" s="1"/>
  <c r="V455" i="4"/>
  <c r="CK212" i="5" s="1"/>
  <c r="W455" i="4"/>
  <c r="CL212" i="5" s="1"/>
  <c r="G456" i="4"/>
  <c r="CS212" i="5" s="1"/>
  <c r="H456" i="4"/>
  <c r="CT212" i="5" s="1"/>
  <c r="I456" i="4"/>
  <c r="CU212" i="5" s="1"/>
  <c r="J456" i="4"/>
  <c r="CV212" i="5" s="1"/>
  <c r="K456" i="4"/>
  <c r="CW212" i="5" s="1"/>
  <c r="L456" i="4"/>
  <c r="CX212" i="5" s="1"/>
  <c r="M456" i="4"/>
  <c r="CY212" i="5" s="1"/>
  <c r="N456" i="4"/>
  <c r="CZ212" i="5" s="1"/>
  <c r="O456" i="4"/>
  <c r="DA212" i="5" s="1"/>
  <c r="P456" i="4"/>
  <c r="DB212" i="5" s="1"/>
  <c r="Q456" i="4"/>
  <c r="DC212" i="5" s="1"/>
  <c r="R456" i="4"/>
  <c r="DD212" i="5" s="1"/>
  <c r="S456" i="4"/>
  <c r="DE212" i="5" s="1"/>
  <c r="T456" i="4"/>
  <c r="DF212" i="5" s="1"/>
  <c r="U456" i="4"/>
  <c r="DG212" i="5" s="1"/>
  <c r="V456" i="4"/>
  <c r="DH212" i="5" s="1"/>
  <c r="W456" i="4"/>
  <c r="DI212" i="5" s="1"/>
  <c r="G457" i="4"/>
  <c r="DP212" i="5" s="1"/>
  <c r="H457" i="4"/>
  <c r="DQ212" i="5" s="1"/>
  <c r="I457" i="4"/>
  <c r="DR212" i="5" s="1"/>
  <c r="J457" i="4"/>
  <c r="DS212" i="5" s="1"/>
  <c r="K457" i="4"/>
  <c r="DT212" i="5" s="1"/>
  <c r="L457" i="4"/>
  <c r="DU212" i="5" s="1"/>
  <c r="M457" i="4"/>
  <c r="DV212" i="5" s="1"/>
  <c r="N457" i="4"/>
  <c r="DW212" i="5" s="1"/>
  <c r="O457" i="4"/>
  <c r="DX212" i="5" s="1"/>
  <c r="P457" i="4"/>
  <c r="DY212" i="5" s="1"/>
  <c r="Q457" i="4"/>
  <c r="DZ212" i="5" s="1"/>
  <c r="R457" i="4"/>
  <c r="EA212" i="5" s="1"/>
  <c r="S457" i="4"/>
  <c r="EB212" i="5" s="1"/>
  <c r="T457" i="4"/>
  <c r="EC212" i="5" s="1"/>
  <c r="U457" i="4"/>
  <c r="ED212" i="5" s="1"/>
  <c r="V457" i="4"/>
  <c r="EE212" i="5" s="1"/>
  <c r="W457" i="4"/>
  <c r="EF212" i="5" s="1"/>
  <c r="G458" i="4"/>
  <c r="EM212" i="5" s="1"/>
  <c r="H458" i="4"/>
  <c r="EN212" i="5" s="1"/>
  <c r="I458" i="4"/>
  <c r="EO212" i="5" s="1"/>
  <c r="J458" i="4"/>
  <c r="EP212" i="5" s="1"/>
  <c r="K458" i="4"/>
  <c r="EQ212" i="5" s="1"/>
  <c r="L458" i="4"/>
  <c r="ER212" i="5" s="1"/>
  <c r="M458" i="4"/>
  <c r="ES212" i="5" s="1"/>
  <c r="N458" i="4"/>
  <c r="ET212" i="5" s="1"/>
  <c r="O458" i="4"/>
  <c r="EU212" i="5" s="1"/>
  <c r="P458" i="4"/>
  <c r="EV212" i="5" s="1"/>
  <c r="Q458" i="4"/>
  <c r="EW212" i="5" s="1"/>
  <c r="R458" i="4"/>
  <c r="EX212" i="5" s="1"/>
  <c r="S458" i="4"/>
  <c r="EY212" i="5" s="1"/>
  <c r="T458" i="4"/>
  <c r="EZ212" i="5" s="1"/>
  <c r="U458" i="4"/>
  <c r="FA212" i="5" s="1"/>
  <c r="V458" i="4"/>
  <c r="FB212" i="5" s="1"/>
  <c r="W458" i="4"/>
  <c r="FC212" i="5" s="1"/>
  <c r="G459" i="4"/>
  <c r="FJ212" i="5" s="1"/>
  <c r="H459" i="4"/>
  <c r="FK212" i="5" s="1"/>
  <c r="I459" i="4"/>
  <c r="FL212" i="5" s="1"/>
  <c r="J459" i="4"/>
  <c r="FM212" i="5" s="1"/>
  <c r="K459" i="4"/>
  <c r="FN212" i="5" s="1"/>
  <c r="L459" i="4"/>
  <c r="FO212" i="5" s="1"/>
  <c r="M459" i="4"/>
  <c r="FP212" i="5" s="1"/>
  <c r="N459" i="4"/>
  <c r="FQ212" i="5" s="1"/>
  <c r="O459" i="4"/>
  <c r="FR212" i="5" s="1"/>
  <c r="P459" i="4"/>
  <c r="FS212" i="5" s="1"/>
  <c r="Q459" i="4"/>
  <c r="FT212" i="5" s="1"/>
  <c r="R459" i="4"/>
  <c r="FU212" i="5" s="1"/>
  <c r="S459" i="4"/>
  <c r="FV212" i="5" s="1"/>
  <c r="T459" i="4"/>
  <c r="FW212" i="5" s="1"/>
  <c r="U459" i="4"/>
  <c r="FX212" i="5" s="1"/>
  <c r="V459" i="4"/>
  <c r="FY212" i="5" s="1"/>
  <c r="W459" i="4"/>
  <c r="FZ212" i="5" s="1"/>
  <c r="G460" i="4"/>
  <c r="GG212" i="5" s="1"/>
  <c r="H460" i="4"/>
  <c r="GH212" i="5" s="1"/>
  <c r="I460" i="4"/>
  <c r="GI212" i="5" s="1"/>
  <c r="J460" i="4"/>
  <c r="GJ212" i="5" s="1"/>
  <c r="K460" i="4"/>
  <c r="GK212" i="5" s="1"/>
  <c r="L460" i="4"/>
  <c r="GL212" i="5" s="1"/>
  <c r="M460" i="4"/>
  <c r="GM212" i="5" s="1"/>
  <c r="N460" i="4"/>
  <c r="GN212" i="5" s="1"/>
  <c r="O460" i="4"/>
  <c r="GO212" i="5" s="1"/>
  <c r="P460" i="4"/>
  <c r="GP212" i="5" s="1"/>
  <c r="Q460" i="4"/>
  <c r="GQ212" i="5" s="1"/>
  <c r="R460" i="4"/>
  <c r="GR212" i="5" s="1"/>
  <c r="S460" i="4"/>
  <c r="GS212" i="5" s="1"/>
  <c r="T460" i="4"/>
  <c r="GT212" i="5" s="1"/>
  <c r="U460" i="4"/>
  <c r="GU212" i="5" s="1"/>
  <c r="V460" i="4"/>
  <c r="GV212" i="5" s="1"/>
  <c r="W460" i="4"/>
  <c r="GW212" i="5" s="1"/>
  <c r="G461" i="4"/>
  <c r="HD212" i="5" s="1"/>
  <c r="H461" i="4"/>
  <c r="HE212" i="5" s="1"/>
  <c r="I461" i="4"/>
  <c r="HF212" i="5" s="1"/>
  <c r="J461" i="4"/>
  <c r="HG212" i="5" s="1"/>
  <c r="K461" i="4"/>
  <c r="HH212" i="5" s="1"/>
  <c r="L461" i="4"/>
  <c r="HI212" i="5" s="1"/>
  <c r="M461" i="4"/>
  <c r="HJ212" i="5" s="1"/>
  <c r="N461" i="4"/>
  <c r="HK212" i="5" s="1"/>
  <c r="O461" i="4"/>
  <c r="HL212" i="5" s="1"/>
  <c r="P461" i="4"/>
  <c r="HM212" i="5" s="1"/>
  <c r="Q461" i="4"/>
  <c r="HN212" i="5" s="1"/>
  <c r="R461" i="4"/>
  <c r="HO212" i="5" s="1"/>
  <c r="S461" i="4"/>
  <c r="HP212" i="5" s="1"/>
  <c r="T461" i="4"/>
  <c r="HQ212" i="5" s="1"/>
  <c r="U461" i="4"/>
  <c r="HR212" i="5" s="1"/>
  <c r="V461" i="4"/>
  <c r="HS212" i="5" s="1"/>
  <c r="W461" i="4"/>
  <c r="HT212" i="5" s="1"/>
  <c r="G462" i="4"/>
  <c r="IA212" i="5" s="1"/>
  <c r="H462" i="4"/>
  <c r="IB212" i="5" s="1"/>
  <c r="I462" i="4"/>
  <c r="IC212" i="5" s="1"/>
  <c r="J462" i="4"/>
  <c r="ID212" i="5" s="1"/>
  <c r="K462" i="4"/>
  <c r="IE212" i="5" s="1"/>
  <c r="L462" i="4"/>
  <c r="IF212" i="5" s="1"/>
  <c r="M462" i="4"/>
  <c r="IG212" i="5" s="1"/>
  <c r="N462" i="4"/>
  <c r="IH212" i="5" s="1"/>
  <c r="O462" i="4"/>
  <c r="II212" i="5" s="1"/>
  <c r="P462" i="4"/>
  <c r="IJ212" i="5" s="1"/>
  <c r="Q462" i="4"/>
  <c r="IK212" i="5" s="1"/>
  <c r="R462" i="4"/>
  <c r="IL212" i="5" s="1"/>
  <c r="S462" i="4"/>
  <c r="IM212" i="5" s="1"/>
  <c r="T462" i="4"/>
  <c r="IN212" i="5" s="1"/>
  <c r="U462" i="4"/>
  <c r="IO212" i="5" s="1"/>
  <c r="V462" i="4"/>
  <c r="IP212" i="5" s="1"/>
  <c r="W462" i="4"/>
  <c r="IQ212" i="5" s="1"/>
  <c r="G463" i="4"/>
  <c r="G213" i="5" s="1"/>
  <c r="H463" i="4"/>
  <c r="H213" i="5" s="1"/>
  <c r="I463" i="4"/>
  <c r="I213" i="5" s="1"/>
  <c r="J463" i="4"/>
  <c r="J213" i="5" s="1"/>
  <c r="K463" i="4"/>
  <c r="K213" i="5" s="1"/>
  <c r="L463" i="4"/>
  <c r="L213" i="5" s="1"/>
  <c r="M463" i="4"/>
  <c r="M213" i="5" s="1"/>
  <c r="N463" i="4"/>
  <c r="N213" i="5" s="1"/>
  <c r="O463" i="4"/>
  <c r="O213" i="5" s="1"/>
  <c r="P463" i="4"/>
  <c r="P213" i="5" s="1"/>
  <c r="Q463" i="4"/>
  <c r="Q213" i="5" s="1"/>
  <c r="R463" i="4"/>
  <c r="R213" i="5" s="1"/>
  <c r="S463" i="4"/>
  <c r="S213" i="5" s="1"/>
  <c r="T463" i="4"/>
  <c r="T213" i="5" s="1"/>
  <c r="U463" i="4"/>
  <c r="U213" i="5" s="1"/>
  <c r="V463" i="4"/>
  <c r="V213" i="5" s="1"/>
  <c r="W463" i="4"/>
  <c r="W213" i="5" s="1"/>
  <c r="G464" i="4"/>
  <c r="AD213" i="5" s="1"/>
  <c r="H464" i="4"/>
  <c r="AE213" i="5" s="1"/>
  <c r="I464" i="4"/>
  <c r="AF213" i="5" s="1"/>
  <c r="J464" i="4"/>
  <c r="AG213" i="5" s="1"/>
  <c r="K464" i="4"/>
  <c r="AH213" i="5" s="1"/>
  <c r="L464" i="4"/>
  <c r="AI213" i="5" s="1"/>
  <c r="M464" i="4"/>
  <c r="AJ213" i="5" s="1"/>
  <c r="N464" i="4"/>
  <c r="AK213" i="5" s="1"/>
  <c r="O464" i="4"/>
  <c r="AL213" i="5" s="1"/>
  <c r="P464" i="4"/>
  <c r="AM213" i="5" s="1"/>
  <c r="Q464" i="4"/>
  <c r="AN213" i="5" s="1"/>
  <c r="R464" i="4"/>
  <c r="AO213" i="5" s="1"/>
  <c r="S464" i="4"/>
  <c r="AP213" i="5" s="1"/>
  <c r="T464" i="4"/>
  <c r="AQ213" i="5" s="1"/>
  <c r="U464" i="4"/>
  <c r="AR213" i="5" s="1"/>
  <c r="V464" i="4"/>
  <c r="AS213" i="5" s="1"/>
  <c r="W464" i="4"/>
  <c r="AT213" i="5" s="1"/>
  <c r="G465" i="4"/>
  <c r="BA213" i="5" s="1"/>
  <c r="H465" i="4"/>
  <c r="BB213" i="5" s="1"/>
  <c r="I465" i="4"/>
  <c r="BC213" i="5" s="1"/>
  <c r="J465" i="4"/>
  <c r="BD213" i="5" s="1"/>
  <c r="K465" i="4"/>
  <c r="BE213" i="5" s="1"/>
  <c r="L465" i="4"/>
  <c r="BF213" i="5" s="1"/>
  <c r="M465" i="4"/>
  <c r="BG213" i="5" s="1"/>
  <c r="N465" i="4"/>
  <c r="BH213" i="5" s="1"/>
  <c r="O465" i="4"/>
  <c r="BI213" i="5" s="1"/>
  <c r="P465" i="4"/>
  <c r="BJ213" i="5" s="1"/>
  <c r="Q465" i="4"/>
  <c r="BK213" i="5" s="1"/>
  <c r="R465" i="4"/>
  <c r="BL213" i="5" s="1"/>
  <c r="S465" i="4"/>
  <c r="BM213" i="5" s="1"/>
  <c r="T465" i="4"/>
  <c r="BN213" i="5" s="1"/>
  <c r="U465" i="4"/>
  <c r="BO213" i="5" s="1"/>
  <c r="V465" i="4"/>
  <c r="BP213" i="5" s="1"/>
  <c r="W465" i="4"/>
  <c r="BQ213" i="5" s="1"/>
  <c r="G466" i="4"/>
  <c r="BX213" i="5" s="1"/>
  <c r="H466" i="4"/>
  <c r="BY213" i="5" s="1"/>
  <c r="I466" i="4"/>
  <c r="BZ213" i="5" s="1"/>
  <c r="J466" i="4"/>
  <c r="CA213" i="5" s="1"/>
  <c r="K466" i="4"/>
  <c r="CB213" i="5" s="1"/>
  <c r="L466" i="4"/>
  <c r="CC213" i="5" s="1"/>
  <c r="M466" i="4"/>
  <c r="CD213" i="5" s="1"/>
  <c r="N466" i="4"/>
  <c r="CE213" i="5" s="1"/>
  <c r="O466" i="4"/>
  <c r="CF213" i="5" s="1"/>
  <c r="P466" i="4"/>
  <c r="CG213" i="5" s="1"/>
  <c r="Q466" i="4"/>
  <c r="CH213" i="5" s="1"/>
  <c r="R466" i="4"/>
  <c r="CI213" i="5" s="1"/>
  <c r="S466" i="4"/>
  <c r="CJ213" i="5" s="1"/>
  <c r="T466" i="4"/>
  <c r="CK213" i="5" s="1"/>
  <c r="U466" i="4"/>
  <c r="CL213" i="5" s="1"/>
  <c r="V466" i="4"/>
  <c r="CM213" i="5" s="1"/>
  <c r="W466" i="4"/>
  <c r="CN213" i="5" s="1"/>
  <c r="G467" i="4"/>
  <c r="CU213" i="5" s="1"/>
  <c r="H467" i="4"/>
  <c r="CV213" i="5" s="1"/>
  <c r="I467" i="4"/>
  <c r="CW213" i="5" s="1"/>
  <c r="J467" i="4"/>
  <c r="CX213" i="5" s="1"/>
  <c r="K467" i="4"/>
  <c r="CY213" i="5" s="1"/>
  <c r="L467" i="4"/>
  <c r="CZ213" i="5" s="1"/>
  <c r="M467" i="4"/>
  <c r="DA213" i="5" s="1"/>
  <c r="N467" i="4"/>
  <c r="DB213" i="5" s="1"/>
  <c r="O467" i="4"/>
  <c r="DC213" i="5" s="1"/>
  <c r="P467" i="4"/>
  <c r="DD213" i="5" s="1"/>
  <c r="Q467" i="4"/>
  <c r="DE213" i="5" s="1"/>
  <c r="R467" i="4"/>
  <c r="DF213" i="5" s="1"/>
  <c r="S467" i="4"/>
  <c r="DG213" i="5" s="1"/>
  <c r="T467" i="4"/>
  <c r="DH213" i="5" s="1"/>
  <c r="U467" i="4"/>
  <c r="DI213" i="5" s="1"/>
  <c r="V467" i="4"/>
  <c r="DJ213" i="5" s="1"/>
  <c r="W467" i="4"/>
  <c r="DK213" i="5" s="1"/>
  <c r="G468" i="4"/>
  <c r="DR213" i="5" s="1"/>
  <c r="H468" i="4"/>
  <c r="DS213" i="5" s="1"/>
  <c r="I468" i="4"/>
  <c r="DT213" i="5" s="1"/>
  <c r="J468" i="4"/>
  <c r="DU213" i="5" s="1"/>
  <c r="K468" i="4"/>
  <c r="DV213" i="5" s="1"/>
  <c r="L468" i="4"/>
  <c r="DW213" i="5" s="1"/>
  <c r="M468" i="4"/>
  <c r="DX213" i="5" s="1"/>
  <c r="N468" i="4"/>
  <c r="DY213" i="5" s="1"/>
  <c r="O468" i="4"/>
  <c r="DZ213" i="5" s="1"/>
  <c r="P468" i="4"/>
  <c r="EA213" i="5" s="1"/>
  <c r="Q468" i="4"/>
  <c r="EB213" i="5" s="1"/>
  <c r="R468" i="4"/>
  <c r="EC213" i="5" s="1"/>
  <c r="S468" i="4"/>
  <c r="ED213" i="5" s="1"/>
  <c r="T468" i="4"/>
  <c r="EE213" i="5" s="1"/>
  <c r="U468" i="4"/>
  <c r="EF213" i="5" s="1"/>
  <c r="V468" i="4"/>
  <c r="EG213" i="5" s="1"/>
  <c r="W468" i="4"/>
  <c r="EH213" i="5" s="1"/>
  <c r="G469" i="4"/>
  <c r="EO213" i="5" s="1"/>
  <c r="H469" i="4"/>
  <c r="EP213" i="5" s="1"/>
  <c r="I469" i="4"/>
  <c r="EQ213" i="5" s="1"/>
  <c r="J469" i="4"/>
  <c r="ER213" i="5" s="1"/>
  <c r="K469" i="4"/>
  <c r="ES213" i="5" s="1"/>
  <c r="L469" i="4"/>
  <c r="ET213" i="5" s="1"/>
  <c r="M469" i="4"/>
  <c r="EU213" i="5" s="1"/>
  <c r="N469" i="4"/>
  <c r="EV213" i="5" s="1"/>
  <c r="O469" i="4"/>
  <c r="EW213" i="5" s="1"/>
  <c r="P469" i="4"/>
  <c r="EX213" i="5" s="1"/>
  <c r="Q469" i="4"/>
  <c r="EY213" i="5" s="1"/>
  <c r="R469" i="4"/>
  <c r="EZ213" i="5" s="1"/>
  <c r="S469" i="4"/>
  <c r="FA213" i="5" s="1"/>
  <c r="T469" i="4"/>
  <c r="FB213" i="5" s="1"/>
  <c r="U469" i="4"/>
  <c r="FC213" i="5" s="1"/>
  <c r="V469" i="4"/>
  <c r="FD213" i="5" s="1"/>
  <c r="W469" i="4"/>
  <c r="FE213" i="5" s="1"/>
  <c r="G470" i="4"/>
  <c r="FL213" i="5" s="1"/>
  <c r="H470" i="4"/>
  <c r="FM213" i="5" s="1"/>
  <c r="I470" i="4"/>
  <c r="FN213" i="5" s="1"/>
  <c r="J470" i="4"/>
  <c r="FO213" i="5" s="1"/>
  <c r="K470" i="4"/>
  <c r="FP213" i="5" s="1"/>
  <c r="L470" i="4"/>
  <c r="FQ213" i="5" s="1"/>
  <c r="M470" i="4"/>
  <c r="FR213" i="5" s="1"/>
  <c r="N470" i="4"/>
  <c r="FS213" i="5" s="1"/>
  <c r="O470" i="4"/>
  <c r="FT213" i="5" s="1"/>
  <c r="P470" i="4"/>
  <c r="FU213" i="5" s="1"/>
  <c r="Q470" i="4"/>
  <c r="FV213" i="5" s="1"/>
  <c r="R470" i="4"/>
  <c r="FW213" i="5" s="1"/>
  <c r="S470" i="4"/>
  <c r="FX213" i="5" s="1"/>
  <c r="T470" i="4"/>
  <c r="FY213" i="5" s="1"/>
  <c r="U470" i="4"/>
  <c r="FZ213" i="5" s="1"/>
  <c r="V470" i="4"/>
  <c r="GA213" i="5" s="1"/>
  <c r="W470" i="4"/>
  <c r="GB213" i="5" s="1"/>
  <c r="G471" i="4"/>
  <c r="GI213" i="5" s="1"/>
  <c r="H471" i="4"/>
  <c r="GJ213" i="5" s="1"/>
  <c r="I471" i="4"/>
  <c r="GK213" i="5" s="1"/>
  <c r="J471" i="4"/>
  <c r="GL213" i="5" s="1"/>
  <c r="K471" i="4"/>
  <c r="GM213" i="5" s="1"/>
  <c r="L471" i="4"/>
  <c r="GN213" i="5" s="1"/>
  <c r="M471" i="4"/>
  <c r="GO213" i="5" s="1"/>
  <c r="N471" i="4"/>
  <c r="GP213" i="5" s="1"/>
  <c r="O471" i="4"/>
  <c r="GQ213" i="5" s="1"/>
  <c r="P471" i="4"/>
  <c r="GR213" i="5" s="1"/>
  <c r="Q471" i="4"/>
  <c r="GS213" i="5" s="1"/>
  <c r="R471" i="4"/>
  <c r="GT213" i="5" s="1"/>
  <c r="S471" i="4"/>
  <c r="GU213" i="5" s="1"/>
  <c r="T471" i="4"/>
  <c r="GV213" i="5" s="1"/>
  <c r="U471" i="4"/>
  <c r="GW213" i="5" s="1"/>
  <c r="V471" i="4"/>
  <c r="GX213" i="5" s="1"/>
  <c r="W471" i="4"/>
  <c r="GY213" i="5" s="1"/>
  <c r="G472" i="4"/>
  <c r="HF213" i="5" s="1"/>
  <c r="H472" i="4"/>
  <c r="HG213" i="5" s="1"/>
  <c r="I472" i="4"/>
  <c r="HH213" i="5" s="1"/>
  <c r="J472" i="4"/>
  <c r="HI213" i="5" s="1"/>
  <c r="K472" i="4"/>
  <c r="HJ213" i="5" s="1"/>
  <c r="L472" i="4"/>
  <c r="HK213" i="5" s="1"/>
  <c r="M472" i="4"/>
  <c r="HL213" i="5" s="1"/>
  <c r="N472" i="4"/>
  <c r="HM213" i="5" s="1"/>
  <c r="O472" i="4"/>
  <c r="HN213" i="5" s="1"/>
  <c r="P472" i="4"/>
  <c r="HO213" i="5" s="1"/>
  <c r="Q472" i="4"/>
  <c r="HP213" i="5" s="1"/>
  <c r="R472" i="4"/>
  <c r="HQ213" i="5" s="1"/>
  <c r="S472" i="4"/>
  <c r="HR213" i="5" s="1"/>
  <c r="T472" i="4"/>
  <c r="HS213" i="5" s="1"/>
  <c r="U472" i="4"/>
  <c r="HT213" i="5" s="1"/>
  <c r="V472" i="4"/>
  <c r="HU213" i="5" s="1"/>
  <c r="W472" i="4"/>
  <c r="HV213" i="5" s="1"/>
  <c r="G473" i="4"/>
  <c r="IC213" i="5" s="1"/>
  <c r="H473" i="4"/>
  <c r="ID213" i="5" s="1"/>
  <c r="I473" i="4"/>
  <c r="IE213" i="5" s="1"/>
  <c r="J473" i="4"/>
  <c r="IF213" i="5" s="1"/>
  <c r="K473" i="4"/>
  <c r="IG213" i="5" s="1"/>
  <c r="L473" i="4"/>
  <c r="IH213" i="5" s="1"/>
  <c r="M473" i="4"/>
  <c r="II213" i="5" s="1"/>
  <c r="N473" i="4"/>
  <c r="IJ213" i="5" s="1"/>
  <c r="O473" i="4"/>
  <c r="IK213" i="5" s="1"/>
  <c r="P473" i="4"/>
  <c r="IL213" i="5" s="1"/>
  <c r="Q473" i="4"/>
  <c r="IM213" i="5" s="1"/>
  <c r="R473" i="4"/>
  <c r="IN213" i="5" s="1"/>
  <c r="S473" i="4"/>
  <c r="IO213" i="5" s="1"/>
  <c r="T473" i="4"/>
  <c r="IP213" i="5" s="1"/>
  <c r="U473" i="4"/>
  <c r="IQ213" i="5" s="1"/>
  <c r="V473" i="4"/>
  <c r="IR213" i="5" s="1"/>
  <c r="W473" i="4"/>
  <c r="IS213" i="5" s="1"/>
  <c r="G474" i="4"/>
  <c r="I214" i="5" s="1"/>
  <c r="H474" i="4"/>
  <c r="J214" i="5" s="1"/>
  <c r="I474" i="4"/>
  <c r="K214" i="5" s="1"/>
  <c r="J474" i="4"/>
  <c r="L214" i="5" s="1"/>
  <c r="K474" i="4"/>
  <c r="M214" i="5" s="1"/>
  <c r="L474" i="4"/>
  <c r="N214" i="5" s="1"/>
  <c r="M474" i="4"/>
  <c r="O214" i="5" s="1"/>
  <c r="N474" i="4"/>
  <c r="P214" i="5" s="1"/>
  <c r="O474" i="4"/>
  <c r="Q214" i="5" s="1"/>
  <c r="P474" i="4"/>
  <c r="R214" i="5" s="1"/>
  <c r="Q474" i="4"/>
  <c r="S214" i="5" s="1"/>
  <c r="R474" i="4"/>
  <c r="T214" i="5" s="1"/>
  <c r="S474" i="4"/>
  <c r="U214" i="5" s="1"/>
  <c r="T474" i="4"/>
  <c r="V214" i="5" s="1"/>
  <c r="U474" i="4"/>
  <c r="W214" i="5" s="1"/>
  <c r="V474" i="4"/>
  <c r="X214" i="5" s="1"/>
  <c r="W474" i="4"/>
  <c r="Y214" i="5" s="1"/>
  <c r="G475" i="4"/>
  <c r="AF214" i="5" s="1"/>
  <c r="H475" i="4"/>
  <c r="AG214" i="5" s="1"/>
  <c r="I475" i="4"/>
  <c r="AH214" i="5" s="1"/>
  <c r="J475" i="4"/>
  <c r="AI214" i="5" s="1"/>
  <c r="K475" i="4"/>
  <c r="AJ214" i="5" s="1"/>
  <c r="L475" i="4"/>
  <c r="AK214" i="5" s="1"/>
  <c r="M475" i="4"/>
  <c r="AL214" i="5" s="1"/>
  <c r="N475" i="4"/>
  <c r="AM214" i="5" s="1"/>
  <c r="O475" i="4"/>
  <c r="AN214" i="5" s="1"/>
  <c r="P475" i="4"/>
  <c r="AO214" i="5" s="1"/>
  <c r="Q475" i="4"/>
  <c r="AP214" i="5" s="1"/>
  <c r="R475" i="4"/>
  <c r="AQ214" i="5" s="1"/>
  <c r="S475" i="4"/>
  <c r="AR214" i="5" s="1"/>
  <c r="T475" i="4"/>
  <c r="AS214" i="5" s="1"/>
  <c r="U475" i="4"/>
  <c r="AT214" i="5" s="1"/>
  <c r="V475" i="4"/>
  <c r="AU214" i="5" s="1"/>
  <c r="W475" i="4"/>
  <c r="AV214" i="5" s="1"/>
  <c r="G476" i="4"/>
  <c r="BC214" i="5" s="1"/>
  <c r="H476" i="4"/>
  <c r="BD214" i="5" s="1"/>
  <c r="I476" i="4"/>
  <c r="BE214" i="5" s="1"/>
  <c r="J476" i="4"/>
  <c r="BF214" i="5" s="1"/>
  <c r="K476" i="4"/>
  <c r="BG214" i="5" s="1"/>
  <c r="L476" i="4"/>
  <c r="BH214" i="5" s="1"/>
  <c r="M476" i="4"/>
  <c r="BI214" i="5" s="1"/>
  <c r="N476" i="4"/>
  <c r="BJ214" i="5" s="1"/>
  <c r="O476" i="4"/>
  <c r="BK214" i="5" s="1"/>
  <c r="P476" i="4"/>
  <c r="BL214" i="5" s="1"/>
  <c r="Q476" i="4"/>
  <c r="BM214" i="5" s="1"/>
  <c r="R476" i="4"/>
  <c r="BN214" i="5" s="1"/>
  <c r="S476" i="4"/>
  <c r="BO214" i="5" s="1"/>
  <c r="T476" i="4"/>
  <c r="BP214" i="5" s="1"/>
  <c r="U476" i="4"/>
  <c r="BQ214" i="5" s="1"/>
  <c r="V476" i="4"/>
  <c r="BR214" i="5" s="1"/>
  <c r="W476" i="4"/>
  <c r="BS214" i="5" s="1"/>
  <c r="G477" i="4"/>
  <c r="BZ214" i="5" s="1"/>
  <c r="H477" i="4"/>
  <c r="CA214" i="5" s="1"/>
  <c r="I477" i="4"/>
  <c r="CB214" i="5" s="1"/>
  <c r="J477" i="4"/>
  <c r="CC214" i="5" s="1"/>
  <c r="K477" i="4"/>
  <c r="CD214" i="5" s="1"/>
  <c r="L477" i="4"/>
  <c r="CE214" i="5" s="1"/>
  <c r="M477" i="4"/>
  <c r="CF214" i="5" s="1"/>
  <c r="N477" i="4"/>
  <c r="CG214" i="5" s="1"/>
  <c r="O477" i="4"/>
  <c r="CH214" i="5" s="1"/>
  <c r="P477" i="4"/>
  <c r="CI214" i="5" s="1"/>
  <c r="Q477" i="4"/>
  <c r="CJ214" i="5" s="1"/>
  <c r="R477" i="4"/>
  <c r="CK214" i="5" s="1"/>
  <c r="S477" i="4"/>
  <c r="CL214" i="5" s="1"/>
  <c r="T477" i="4"/>
  <c r="CM214" i="5" s="1"/>
  <c r="U477" i="4"/>
  <c r="CN214" i="5" s="1"/>
  <c r="V477" i="4"/>
  <c r="CO214" i="5" s="1"/>
  <c r="W477" i="4"/>
  <c r="CP214" i="5" s="1"/>
  <c r="G478" i="4"/>
  <c r="CW214" i="5" s="1"/>
  <c r="H478" i="4"/>
  <c r="CX214" i="5" s="1"/>
  <c r="I478" i="4"/>
  <c r="CY214" i="5" s="1"/>
  <c r="J478" i="4"/>
  <c r="CZ214" i="5" s="1"/>
  <c r="K478" i="4"/>
  <c r="DA214" i="5" s="1"/>
  <c r="L478" i="4"/>
  <c r="DB214" i="5" s="1"/>
  <c r="M478" i="4"/>
  <c r="DC214" i="5" s="1"/>
  <c r="N478" i="4"/>
  <c r="DD214" i="5" s="1"/>
  <c r="O478" i="4"/>
  <c r="DE214" i="5" s="1"/>
  <c r="P478" i="4"/>
  <c r="DF214" i="5" s="1"/>
  <c r="Q478" i="4"/>
  <c r="DG214" i="5" s="1"/>
  <c r="R478" i="4"/>
  <c r="DH214" i="5" s="1"/>
  <c r="S478" i="4"/>
  <c r="DI214" i="5" s="1"/>
  <c r="T478" i="4"/>
  <c r="DJ214" i="5" s="1"/>
  <c r="U478" i="4"/>
  <c r="DK214" i="5" s="1"/>
  <c r="V478" i="4"/>
  <c r="DL214" i="5" s="1"/>
  <c r="W478" i="4"/>
  <c r="DM214" i="5" s="1"/>
  <c r="G479" i="4"/>
  <c r="DT214" i="5" s="1"/>
  <c r="H479" i="4"/>
  <c r="DU214" i="5" s="1"/>
  <c r="I479" i="4"/>
  <c r="DV214" i="5" s="1"/>
  <c r="J479" i="4"/>
  <c r="DW214" i="5" s="1"/>
  <c r="K479" i="4"/>
  <c r="DX214" i="5" s="1"/>
  <c r="L479" i="4"/>
  <c r="DY214" i="5" s="1"/>
  <c r="M479" i="4"/>
  <c r="DZ214" i="5" s="1"/>
  <c r="N479" i="4"/>
  <c r="EA214" i="5" s="1"/>
  <c r="O479" i="4"/>
  <c r="EB214" i="5" s="1"/>
  <c r="P479" i="4"/>
  <c r="EC214" i="5" s="1"/>
  <c r="Q479" i="4"/>
  <c r="ED214" i="5" s="1"/>
  <c r="R479" i="4"/>
  <c r="EE214" i="5" s="1"/>
  <c r="S479" i="4"/>
  <c r="EF214" i="5" s="1"/>
  <c r="T479" i="4"/>
  <c r="EG214" i="5" s="1"/>
  <c r="U479" i="4"/>
  <c r="EH214" i="5" s="1"/>
  <c r="V479" i="4"/>
  <c r="EI214" i="5" s="1"/>
  <c r="W479" i="4"/>
  <c r="EJ214" i="5" s="1"/>
  <c r="G480" i="4"/>
  <c r="EQ214" i="5" s="1"/>
  <c r="H480" i="4"/>
  <c r="ER214" i="5" s="1"/>
  <c r="I480" i="4"/>
  <c r="ES214" i="5" s="1"/>
  <c r="J480" i="4"/>
  <c r="ET214" i="5" s="1"/>
  <c r="K480" i="4"/>
  <c r="EU214" i="5" s="1"/>
  <c r="L480" i="4"/>
  <c r="EV214" i="5" s="1"/>
  <c r="M480" i="4"/>
  <c r="EW214" i="5" s="1"/>
  <c r="N480" i="4"/>
  <c r="EX214" i="5" s="1"/>
  <c r="O480" i="4"/>
  <c r="EY214" i="5" s="1"/>
  <c r="P480" i="4"/>
  <c r="EZ214" i="5" s="1"/>
  <c r="Q480" i="4"/>
  <c r="FA214" i="5" s="1"/>
  <c r="R480" i="4"/>
  <c r="FB214" i="5" s="1"/>
  <c r="S480" i="4"/>
  <c r="FC214" i="5" s="1"/>
  <c r="T480" i="4"/>
  <c r="FD214" i="5" s="1"/>
  <c r="U480" i="4"/>
  <c r="FE214" i="5" s="1"/>
  <c r="V480" i="4"/>
  <c r="FF214" i="5" s="1"/>
  <c r="W480" i="4"/>
  <c r="FG214" i="5" s="1"/>
  <c r="G481" i="4"/>
  <c r="FN214" i="5" s="1"/>
  <c r="H481" i="4"/>
  <c r="FO214" i="5" s="1"/>
  <c r="I481" i="4"/>
  <c r="FP214" i="5" s="1"/>
  <c r="J481" i="4"/>
  <c r="FQ214" i="5" s="1"/>
  <c r="K481" i="4"/>
  <c r="FR214" i="5" s="1"/>
  <c r="L481" i="4"/>
  <c r="FS214" i="5" s="1"/>
  <c r="M481" i="4"/>
  <c r="FT214" i="5" s="1"/>
  <c r="N481" i="4"/>
  <c r="FU214" i="5" s="1"/>
  <c r="O481" i="4"/>
  <c r="FV214" i="5" s="1"/>
  <c r="P481" i="4"/>
  <c r="FW214" i="5" s="1"/>
  <c r="Q481" i="4"/>
  <c r="FX214" i="5" s="1"/>
  <c r="R481" i="4"/>
  <c r="FY214" i="5" s="1"/>
  <c r="S481" i="4"/>
  <c r="FZ214" i="5" s="1"/>
  <c r="T481" i="4"/>
  <c r="GA214" i="5" s="1"/>
  <c r="U481" i="4"/>
  <c r="GB214" i="5" s="1"/>
  <c r="V481" i="4"/>
  <c r="GC214" i="5" s="1"/>
  <c r="W481" i="4"/>
  <c r="GD214" i="5" s="1"/>
  <c r="G482" i="4"/>
  <c r="GK214" i="5" s="1"/>
  <c r="H482" i="4"/>
  <c r="GL214" i="5" s="1"/>
  <c r="I482" i="4"/>
  <c r="GM214" i="5" s="1"/>
  <c r="J482" i="4"/>
  <c r="GN214" i="5" s="1"/>
  <c r="K482" i="4"/>
  <c r="GO214" i="5" s="1"/>
  <c r="L482" i="4"/>
  <c r="GP214" i="5" s="1"/>
  <c r="M482" i="4"/>
  <c r="GQ214" i="5" s="1"/>
  <c r="N482" i="4"/>
  <c r="GR214" i="5" s="1"/>
  <c r="O482" i="4"/>
  <c r="GS214" i="5" s="1"/>
  <c r="P482" i="4"/>
  <c r="GT214" i="5" s="1"/>
  <c r="Q482" i="4"/>
  <c r="GU214" i="5" s="1"/>
  <c r="R482" i="4"/>
  <c r="GV214" i="5" s="1"/>
  <c r="S482" i="4"/>
  <c r="GW214" i="5" s="1"/>
  <c r="T482" i="4"/>
  <c r="GX214" i="5" s="1"/>
  <c r="U482" i="4"/>
  <c r="GY214" i="5" s="1"/>
  <c r="V482" i="4"/>
  <c r="GZ214" i="5" s="1"/>
  <c r="W482" i="4"/>
  <c r="HA214" i="5" s="1"/>
  <c r="G483" i="4"/>
  <c r="HH214" i="5" s="1"/>
  <c r="H483" i="4"/>
  <c r="HI214" i="5" s="1"/>
  <c r="I483" i="4"/>
  <c r="HJ214" i="5" s="1"/>
  <c r="J483" i="4"/>
  <c r="HK214" i="5" s="1"/>
  <c r="K483" i="4"/>
  <c r="HL214" i="5" s="1"/>
  <c r="L483" i="4"/>
  <c r="HM214" i="5" s="1"/>
  <c r="M483" i="4"/>
  <c r="HN214" i="5" s="1"/>
  <c r="N483" i="4"/>
  <c r="HO214" i="5" s="1"/>
  <c r="O483" i="4"/>
  <c r="HP214" i="5" s="1"/>
  <c r="P483" i="4"/>
  <c r="HQ214" i="5" s="1"/>
  <c r="Q483" i="4"/>
  <c r="HR214" i="5" s="1"/>
  <c r="R483" i="4"/>
  <c r="HS214" i="5" s="1"/>
  <c r="S483" i="4"/>
  <c r="HT214" i="5" s="1"/>
  <c r="T483" i="4"/>
  <c r="HU214" i="5" s="1"/>
  <c r="U483" i="4"/>
  <c r="HV214" i="5" s="1"/>
  <c r="V483" i="4"/>
  <c r="HW214" i="5" s="1"/>
  <c r="W483" i="4"/>
  <c r="HX214" i="5" s="1"/>
  <c r="G484" i="4"/>
  <c r="IE214" i="5" s="1"/>
  <c r="H484" i="4"/>
  <c r="IF214" i="5" s="1"/>
  <c r="I484" i="4"/>
  <c r="IG214" i="5" s="1"/>
  <c r="J484" i="4"/>
  <c r="IH214" i="5" s="1"/>
  <c r="K484" i="4"/>
  <c r="II214" i="5" s="1"/>
  <c r="L484" i="4"/>
  <c r="IJ214" i="5" s="1"/>
  <c r="M484" i="4"/>
  <c r="IK214" i="5" s="1"/>
  <c r="N484" i="4"/>
  <c r="IL214" i="5" s="1"/>
  <c r="O484" i="4"/>
  <c r="IM214" i="5" s="1"/>
  <c r="P484" i="4"/>
  <c r="IN214" i="5" s="1"/>
  <c r="Q484" i="4"/>
  <c r="IO214" i="5" s="1"/>
  <c r="R484" i="4"/>
  <c r="IP214" i="5" s="1"/>
  <c r="S484" i="4"/>
  <c r="IQ214" i="5" s="1"/>
  <c r="T484" i="4"/>
  <c r="IR214" i="5" s="1"/>
  <c r="U484" i="4"/>
  <c r="IS214" i="5" s="1"/>
  <c r="V484" i="4"/>
  <c r="IT214" i="5" s="1"/>
  <c r="W484" i="4"/>
  <c r="IU214" i="5" s="1"/>
  <c r="G485" i="4"/>
  <c r="K215" i="5" s="1"/>
  <c r="H485" i="4"/>
  <c r="L215" i="5" s="1"/>
  <c r="I485" i="4"/>
  <c r="M215" i="5" s="1"/>
  <c r="J485" i="4"/>
  <c r="N215" i="5" s="1"/>
  <c r="K485" i="4"/>
  <c r="O215" i="5" s="1"/>
  <c r="L485" i="4"/>
  <c r="P215" i="5" s="1"/>
  <c r="M485" i="4"/>
  <c r="Q215" i="5" s="1"/>
  <c r="N485" i="4"/>
  <c r="R215" i="5" s="1"/>
  <c r="O485" i="4"/>
  <c r="S215" i="5" s="1"/>
  <c r="P485" i="4"/>
  <c r="T215" i="5" s="1"/>
  <c r="Q485" i="4"/>
  <c r="U215" i="5" s="1"/>
  <c r="R485" i="4"/>
  <c r="V215" i="5" s="1"/>
  <c r="S485" i="4"/>
  <c r="W215" i="5" s="1"/>
  <c r="T485" i="4"/>
  <c r="X215" i="5" s="1"/>
  <c r="U485" i="4"/>
  <c r="Y215" i="5" s="1"/>
  <c r="V485" i="4"/>
  <c r="Z215" i="5" s="1"/>
  <c r="W485" i="4"/>
  <c r="AA215" i="5" s="1"/>
  <c r="G486" i="4"/>
  <c r="AH215" i="5" s="1"/>
  <c r="H486" i="4"/>
  <c r="AI215" i="5" s="1"/>
  <c r="I486" i="4"/>
  <c r="AJ215" i="5" s="1"/>
  <c r="J486" i="4"/>
  <c r="AK215" i="5" s="1"/>
  <c r="K486" i="4"/>
  <c r="AL215" i="5" s="1"/>
  <c r="L486" i="4"/>
  <c r="AM215" i="5" s="1"/>
  <c r="M486" i="4"/>
  <c r="AN215" i="5" s="1"/>
  <c r="N486" i="4"/>
  <c r="AO215" i="5" s="1"/>
  <c r="O486" i="4"/>
  <c r="AP215" i="5" s="1"/>
  <c r="P486" i="4"/>
  <c r="AQ215" i="5" s="1"/>
  <c r="Q486" i="4"/>
  <c r="AR215" i="5" s="1"/>
  <c r="R486" i="4"/>
  <c r="AS215" i="5" s="1"/>
  <c r="S486" i="4"/>
  <c r="AT215" i="5" s="1"/>
  <c r="T486" i="4"/>
  <c r="AU215" i="5" s="1"/>
  <c r="U486" i="4"/>
  <c r="AV215" i="5" s="1"/>
  <c r="V486" i="4"/>
  <c r="AW215" i="5" s="1"/>
  <c r="W486" i="4"/>
  <c r="AX215" i="5" s="1"/>
  <c r="G487" i="4"/>
  <c r="BE215" i="5" s="1"/>
  <c r="H487" i="4"/>
  <c r="BF215" i="5" s="1"/>
  <c r="I487" i="4"/>
  <c r="BG215" i="5" s="1"/>
  <c r="J487" i="4"/>
  <c r="BH215" i="5" s="1"/>
  <c r="K487" i="4"/>
  <c r="BI215" i="5" s="1"/>
  <c r="L487" i="4"/>
  <c r="BJ215" i="5" s="1"/>
  <c r="M487" i="4"/>
  <c r="BK215" i="5" s="1"/>
  <c r="N487" i="4"/>
  <c r="BL215" i="5" s="1"/>
  <c r="O487" i="4"/>
  <c r="BM215" i="5" s="1"/>
  <c r="P487" i="4"/>
  <c r="BN215" i="5" s="1"/>
  <c r="Q487" i="4"/>
  <c r="BO215" i="5" s="1"/>
  <c r="R487" i="4"/>
  <c r="BP215" i="5" s="1"/>
  <c r="S487" i="4"/>
  <c r="BQ215" i="5" s="1"/>
  <c r="T487" i="4"/>
  <c r="BR215" i="5" s="1"/>
  <c r="U487" i="4"/>
  <c r="BS215" i="5" s="1"/>
  <c r="V487" i="4"/>
  <c r="BT215" i="5" s="1"/>
  <c r="W487" i="4"/>
  <c r="BU215" i="5" s="1"/>
  <c r="G488" i="4"/>
  <c r="CB215" i="5" s="1"/>
  <c r="H488" i="4"/>
  <c r="CC215" i="5" s="1"/>
  <c r="I488" i="4"/>
  <c r="CD215" i="5" s="1"/>
  <c r="J488" i="4"/>
  <c r="CE215" i="5" s="1"/>
  <c r="K488" i="4"/>
  <c r="CF215" i="5" s="1"/>
  <c r="L488" i="4"/>
  <c r="CG215" i="5" s="1"/>
  <c r="M488" i="4"/>
  <c r="CH215" i="5" s="1"/>
  <c r="N488" i="4"/>
  <c r="CI215" i="5" s="1"/>
  <c r="O488" i="4"/>
  <c r="CJ215" i="5" s="1"/>
  <c r="P488" i="4"/>
  <c r="CK215" i="5" s="1"/>
  <c r="Q488" i="4"/>
  <c r="CL215" i="5" s="1"/>
  <c r="R488" i="4"/>
  <c r="CM215" i="5" s="1"/>
  <c r="S488" i="4"/>
  <c r="CN215" i="5" s="1"/>
  <c r="T488" i="4"/>
  <c r="CO215" i="5" s="1"/>
  <c r="U488" i="4"/>
  <c r="CP215" i="5" s="1"/>
  <c r="V488" i="4"/>
  <c r="CQ215" i="5" s="1"/>
  <c r="W488" i="4"/>
  <c r="CR215" i="5" s="1"/>
  <c r="G489" i="4"/>
  <c r="CY215" i="5" s="1"/>
  <c r="H489" i="4"/>
  <c r="CZ215" i="5" s="1"/>
  <c r="I489" i="4"/>
  <c r="DA215" i="5" s="1"/>
  <c r="J489" i="4"/>
  <c r="DB215" i="5" s="1"/>
  <c r="K489" i="4"/>
  <c r="DC215" i="5" s="1"/>
  <c r="L489" i="4"/>
  <c r="DD215" i="5" s="1"/>
  <c r="M489" i="4"/>
  <c r="DE215" i="5" s="1"/>
  <c r="N489" i="4"/>
  <c r="DF215" i="5" s="1"/>
  <c r="O489" i="4"/>
  <c r="DG215" i="5" s="1"/>
  <c r="P489" i="4"/>
  <c r="DH215" i="5" s="1"/>
  <c r="Q489" i="4"/>
  <c r="DI215" i="5" s="1"/>
  <c r="R489" i="4"/>
  <c r="DJ215" i="5" s="1"/>
  <c r="S489" i="4"/>
  <c r="DK215" i="5" s="1"/>
  <c r="T489" i="4"/>
  <c r="DL215" i="5" s="1"/>
  <c r="U489" i="4"/>
  <c r="DM215" i="5" s="1"/>
  <c r="V489" i="4"/>
  <c r="DN215" i="5" s="1"/>
  <c r="W489" i="4"/>
  <c r="DO215" i="5" s="1"/>
  <c r="G490" i="4"/>
  <c r="DV215" i="5" s="1"/>
  <c r="H490" i="4"/>
  <c r="DW215" i="5" s="1"/>
  <c r="I490" i="4"/>
  <c r="DX215" i="5" s="1"/>
  <c r="J490" i="4"/>
  <c r="DY215" i="5" s="1"/>
  <c r="K490" i="4"/>
  <c r="DZ215" i="5" s="1"/>
  <c r="L490" i="4"/>
  <c r="EA215" i="5" s="1"/>
  <c r="M490" i="4"/>
  <c r="EB215" i="5" s="1"/>
  <c r="N490" i="4"/>
  <c r="EC215" i="5" s="1"/>
  <c r="O490" i="4"/>
  <c r="ED215" i="5" s="1"/>
  <c r="P490" i="4"/>
  <c r="EE215" i="5" s="1"/>
  <c r="Q490" i="4"/>
  <c r="EF215" i="5" s="1"/>
  <c r="R490" i="4"/>
  <c r="EG215" i="5" s="1"/>
  <c r="S490" i="4"/>
  <c r="EH215" i="5" s="1"/>
  <c r="T490" i="4"/>
  <c r="EI215" i="5" s="1"/>
  <c r="U490" i="4"/>
  <c r="EJ215" i="5" s="1"/>
  <c r="V490" i="4"/>
  <c r="EK215" i="5" s="1"/>
  <c r="W490" i="4"/>
  <c r="EL215" i="5" s="1"/>
  <c r="G491" i="4"/>
  <c r="H491" i="4"/>
  <c r="ET215" i="5" s="1"/>
  <c r="I491" i="4"/>
  <c r="EU215" i="5" s="1"/>
  <c r="J491" i="4"/>
  <c r="EV215" i="5" s="1"/>
  <c r="K491" i="4"/>
  <c r="EW215" i="5" s="1"/>
  <c r="L491" i="4"/>
  <c r="EX215" i="5" s="1"/>
  <c r="M491" i="4"/>
  <c r="EY215" i="5" s="1"/>
  <c r="N491" i="4"/>
  <c r="EZ215" i="5" s="1"/>
  <c r="O491" i="4"/>
  <c r="FA215" i="5" s="1"/>
  <c r="P491" i="4"/>
  <c r="FB215" i="5" s="1"/>
  <c r="Q491" i="4"/>
  <c r="FC215" i="5" s="1"/>
  <c r="R491" i="4"/>
  <c r="FD215" i="5" s="1"/>
  <c r="S491" i="4"/>
  <c r="FE215" i="5" s="1"/>
  <c r="T491" i="4"/>
  <c r="FF215" i="5" s="1"/>
  <c r="U491" i="4"/>
  <c r="FG215" i="5" s="1"/>
  <c r="V491" i="4"/>
  <c r="FH215" i="5" s="1"/>
  <c r="W491" i="4"/>
  <c r="FI215" i="5" s="1"/>
  <c r="G492" i="4"/>
  <c r="FP215" i="5" s="1"/>
  <c r="H492" i="4"/>
  <c r="I492" i="4"/>
  <c r="FR215" i="5" s="1"/>
  <c r="J492" i="4"/>
  <c r="FS215" i="5" s="1"/>
  <c r="K492" i="4"/>
  <c r="FT215" i="5" s="1"/>
  <c r="L492" i="4"/>
  <c r="FU215" i="5" s="1"/>
  <c r="M492" i="4"/>
  <c r="FV215" i="5" s="1"/>
  <c r="N492" i="4"/>
  <c r="FW215" i="5" s="1"/>
  <c r="O492" i="4"/>
  <c r="FX215" i="5" s="1"/>
  <c r="P492" i="4"/>
  <c r="FY215" i="5" s="1"/>
  <c r="Q492" i="4"/>
  <c r="FZ215" i="5" s="1"/>
  <c r="R492" i="4"/>
  <c r="GA215" i="5" s="1"/>
  <c r="S492" i="4"/>
  <c r="GB215" i="5" s="1"/>
  <c r="T492" i="4"/>
  <c r="GC215" i="5" s="1"/>
  <c r="U492" i="4"/>
  <c r="GD215" i="5" s="1"/>
  <c r="V492" i="4"/>
  <c r="GE215" i="5" s="1"/>
  <c r="W492" i="4"/>
  <c r="GF215" i="5" s="1"/>
  <c r="G493" i="4"/>
  <c r="GM215" i="5" s="1"/>
  <c r="H493" i="4"/>
  <c r="GN215" i="5" s="1"/>
  <c r="I493" i="4"/>
  <c r="J493" i="4"/>
  <c r="GP215" i="5" s="1"/>
  <c r="K493" i="4"/>
  <c r="GQ215" i="5" s="1"/>
  <c r="L493" i="4"/>
  <c r="GR215" i="5" s="1"/>
  <c r="M493" i="4"/>
  <c r="GS215" i="5" s="1"/>
  <c r="N493" i="4"/>
  <c r="GT215" i="5" s="1"/>
  <c r="O493" i="4"/>
  <c r="GU215" i="5" s="1"/>
  <c r="P493" i="4"/>
  <c r="GV215" i="5" s="1"/>
  <c r="Q493" i="4"/>
  <c r="GW215" i="5" s="1"/>
  <c r="R493" i="4"/>
  <c r="GX215" i="5" s="1"/>
  <c r="S493" i="4"/>
  <c r="GY215" i="5" s="1"/>
  <c r="T493" i="4"/>
  <c r="GZ215" i="5" s="1"/>
  <c r="U493" i="4"/>
  <c r="HA215" i="5" s="1"/>
  <c r="V493" i="4"/>
  <c r="HB215" i="5" s="1"/>
  <c r="W493" i="4"/>
  <c r="HC215" i="5" s="1"/>
  <c r="G494" i="4"/>
  <c r="HJ215" i="5" s="1"/>
  <c r="H494" i="4"/>
  <c r="HK215" i="5" s="1"/>
  <c r="I494" i="4"/>
  <c r="HL215" i="5" s="1"/>
  <c r="J494" i="4"/>
  <c r="K494" i="4"/>
  <c r="HN215" i="5" s="1"/>
  <c r="L494" i="4"/>
  <c r="HO215" i="5" s="1"/>
  <c r="M494" i="4"/>
  <c r="HP215" i="5" s="1"/>
  <c r="N494" i="4"/>
  <c r="HQ215" i="5" s="1"/>
  <c r="O494" i="4"/>
  <c r="HR215" i="5" s="1"/>
  <c r="P494" i="4"/>
  <c r="HS215" i="5" s="1"/>
  <c r="Q494" i="4"/>
  <c r="HT215" i="5" s="1"/>
  <c r="R494" i="4"/>
  <c r="HU215" i="5" s="1"/>
  <c r="S494" i="4"/>
  <c r="HV215" i="5" s="1"/>
  <c r="T494" i="4"/>
  <c r="HW215" i="5" s="1"/>
  <c r="U494" i="4"/>
  <c r="HX215" i="5" s="1"/>
  <c r="V494" i="4"/>
  <c r="HY215" i="5" s="1"/>
  <c r="W494" i="4"/>
  <c r="HZ215" i="5" s="1"/>
  <c r="G495" i="4"/>
  <c r="IG215" i="5" s="1"/>
  <c r="H495" i="4"/>
  <c r="IH215" i="5" s="1"/>
  <c r="I495" i="4"/>
  <c r="II215" i="5" s="1"/>
  <c r="J495" i="4"/>
  <c r="IJ215" i="5" s="1"/>
  <c r="K495" i="4"/>
  <c r="L495" i="4"/>
  <c r="IL215" i="5" s="1"/>
  <c r="M495" i="4"/>
  <c r="IM215" i="5" s="1"/>
  <c r="N495" i="4"/>
  <c r="IN215" i="5" s="1"/>
  <c r="O495" i="4"/>
  <c r="IO215" i="5" s="1"/>
  <c r="P495" i="4"/>
  <c r="IP215" i="5" s="1"/>
  <c r="Q495" i="4"/>
  <c r="IQ215" i="5" s="1"/>
  <c r="R495" i="4"/>
  <c r="IR215" i="5" s="1"/>
  <c r="S495" i="4"/>
  <c r="IS215" i="5" s="1"/>
  <c r="T495" i="4"/>
  <c r="IT215" i="5" s="1"/>
  <c r="U495" i="4"/>
  <c r="IU215" i="5" s="1"/>
  <c r="V495" i="4"/>
  <c r="IV215" i="5" s="1"/>
  <c r="W495" i="4"/>
  <c r="F216" i="5" s="1"/>
  <c r="G496" i="4"/>
  <c r="M216" i="5" s="1"/>
  <c r="H496" i="4"/>
  <c r="N216" i="5" s="1"/>
  <c r="I496" i="4"/>
  <c r="O216" i="5" s="1"/>
  <c r="J496" i="4"/>
  <c r="P216" i="5" s="1"/>
  <c r="K496" i="4"/>
  <c r="Q216" i="5" s="1"/>
  <c r="L496" i="4"/>
  <c r="M496" i="4"/>
  <c r="S216" i="5" s="1"/>
  <c r="N496" i="4"/>
  <c r="T216" i="5" s="1"/>
  <c r="O496" i="4"/>
  <c r="U216" i="5" s="1"/>
  <c r="P496" i="4"/>
  <c r="V216" i="5" s="1"/>
  <c r="Q496" i="4"/>
  <c r="W216" i="5" s="1"/>
  <c r="R496" i="4"/>
  <c r="X216" i="5" s="1"/>
  <c r="S496" i="4"/>
  <c r="Y216" i="5" s="1"/>
  <c r="T496" i="4"/>
  <c r="Z216" i="5" s="1"/>
  <c r="U496" i="4"/>
  <c r="AA216" i="5" s="1"/>
  <c r="V496" i="4"/>
  <c r="AB216" i="5" s="1"/>
  <c r="W496" i="4"/>
  <c r="AC216" i="5" s="1"/>
  <c r="G497" i="4"/>
  <c r="AJ216" i="5" s="1"/>
  <c r="H497" i="4"/>
  <c r="AK216" i="5" s="1"/>
  <c r="I497" i="4"/>
  <c r="AL216" i="5" s="1"/>
  <c r="J497" i="4"/>
  <c r="AM216" i="5" s="1"/>
  <c r="K497" i="4"/>
  <c r="AN216" i="5" s="1"/>
  <c r="L497" i="4"/>
  <c r="AO216" i="5" s="1"/>
  <c r="M497" i="4"/>
  <c r="N497" i="4"/>
  <c r="AQ216" i="5" s="1"/>
  <c r="O497" i="4"/>
  <c r="AR216" i="5" s="1"/>
  <c r="P497" i="4"/>
  <c r="AS216" i="5" s="1"/>
  <c r="Q497" i="4"/>
  <c r="AT216" i="5" s="1"/>
  <c r="R497" i="4"/>
  <c r="AU216" i="5" s="1"/>
  <c r="S497" i="4"/>
  <c r="AV216" i="5" s="1"/>
  <c r="T497" i="4"/>
  <c r="AW216" i="5" s="1"/>
  <c r="U497" i="4"/>
  <c r="AX216" i="5" s="1"/>
  <c r="V497" i="4"/>
  <c r="AY216" i="5" s="1"/>
  <c r="W497" i="4"/>
  <c r="AZ216" i="5" s="1"/>
  <c r="G498" i="4"/>
  <c r="BG216" i="5" s="1"/>
  <c r="H498" i="4"/>
  <c r="BH216" i="5" s="1"/>
  <c r="I498" i="4"/>
  <c r="BI216" i="5" s="1"/>
  <c r="J498" i="4"/>
  <c r="BJ216" i="5" s="1"/>
  <c r="K498" i="4"/>
  <c r="BK216" i="5" s="1"/>
  <c r="L498" i="4"/>
  <c r="BL216" i="5" s="1"/>
  <c r="M498" i="4"/>
  <c r="BM216" i="5" s="1"/>
  <c r="N498" i="4"/>
  <c r="O498" i="4"/>
  <c r="BO216" i="5" s="1"/>
  <c r="P498" i="4"/>
  <c r="BP216" i="5" s="1"/>
  <c r="Q498" i="4"/>
  <c r="BQ216" i="5" s="1"/>
  <c r="R498" i="4"/>
  <c r="BR216" i="5" s="1"/>
  <c r="S498" i="4"/>
  <c r="BS216" i="5" s="1"/>
  <c r="T498" i="4"/>
  <c r="BT216" i="5" s="1"/>
  <c r="U498" i="4"/>
  <c r="BU216" i="5" s="1"/>
  <c r="V498" i="4"/>
  <c r="BV216" i="5" s="1"/>
  <c r="W498" i="4"/>
  <c r="BW216" i="5" s="1"/>
  <c r="G499" i="4"/>
  <c r="CD216" i="5" s="1"/>
  <c r="H499" i="4"/>
  <c r="CE216" i="5" s="1"/>
  <c r="I499" i="4"/>
  <c r="CF216" i="5" s="1"/>
  <c r="J499" i="4"/>
  <c r="CG216" i="5" s="1"/>
  <c r="K499" i="4"/>
  <c r="CH216" i="5" s="1"/>
  <c r="L499" i="4"/>
  <c r="CI216" i="5" s="1"/>
  <c r="M499" i="4"/>
  <c r="CJ216" i="5" s="1"/>
  <c r="N499" i="4"/>
  <c r="CK216" i="5" s="1"/>
  <c r="O499" i="4"/>
  <c r="P499" i="4"/>
  <c r="CM216" i="5" s="1"/>
  <c r="Q499" i="4"/>
  <c r="CN216" i="5" s="1"/>
  <c r="R499" i="4"/>
  <c r="CO216" i="5" s="1"/>
  <c r="S499" i="4"/>
  <c r="CP216" i="5" s="1"/>
  <c r="T499" i="4"/>
  <c r="CQ216" i="5" s="1"/>
  <c r="U499" i="4"/>
  <c r="CR216" i="5" s="1"/>
  <c r="V499" i="4"/>
  <c r="CS216" i="5" s="1"/>
  <c r="W499" i="4"/>
  <c r="CT216" i="5" s="1"/>
  <c r="G500" i="4"/>
  <c r="DA216" i="5" s="1"/>
  <c r="H500" i="4"/>
  <c r="DB216" i="5" s="1"/>
  <c r="I500" i="4"/>
  <c r="DC216" i="5" s="1"/>
  <c r="J500" i="4"/>
  <c r="DD216" i="5" s="1"/>
  <c r="K500" i="4"/>
  <c r="DE216" i="5" s="1"/>
  <c r="L500" i="4"/>
  <c r="DF216" i="5" s="1"/>
  <c r="M500" i="4"/>
  <c r="DG216" i="5" s="1"/>
  <c r="N500" i="4"/>
  <c r="DH216" i="5" s="1"/>
  <c r="O500" i="4"/>
  <c r="DI216" i="5" s="1"/>
  <c r="P500" i="4"/>
  <c r="Q500" i="4"/>
  <c r="DK216" i="5" s="1"/>
  <c r="R500" i="4"/>
  <c r="DL216" i="5" s="1"/>
  <c r="S500" i="4"/>
  <c r="DM216" i="5" s="1"/>
  <c r="T500" i="4"/>
  <c r="DN216" i="5" s="1"/>
  <c r="U500" i="4"/>
  <c r="DO216" i="5" s="1"/>
  <c r="V500" i="4"/>
  <c r="DP216" i="5" s="1"/>
  <c r="W500" i="4"/>
  <c r="DQ216" i="5" s="1"/>
  <c r="G501" i="4"/>
  <c r="DX216" i="5" s="1"/>
  <c r="H501" i="4"/>
  <c r="DY216" i="5" s="1"/>
  <c r="I501" i="4"/>
  <c r="DZ216" i="5" s="1"/>
  <c r="J501" i="4"/>
  <c r="EA216" i="5" s="1"/>
  <c r="K501" i="4"/>
  <c r="EB216" i="5" s="1"/>
  <c r="L501" i="4"/>
  <c r="EC216" i="5" s="1"/>
  <c r="M501" i="4"/>
  <c r="ED216" i="5" s="1"/>
  <c r="N501" i="4"/>
  <c r="EE216" i="5" s="1"/>
  <c r="O501" i="4"/>
  <c r="EF216" i="5" s="1"/>
  <c r="P501" i="4"/>
  <c r="EG216" i="5" s="1"/>
  <c r="Q501" i="4"/>
  <c r="R501" i="4"/>
  <c r="EI216" i="5" s="1"/>
  <c r="S501" i="4"/>
  <c r="EJ216" i="5" s="1"/>
  <c r="T501" i="4"/>
  <c r="EK216" i="5" s="1"/>
  <c r="U501" i="4"/>
  <c r="EL216" i="5" s="1"/>
  <c r="V501" i="4"/>
  <c r="EM216" i="5" s="1"/>
  <c r="W501" i="4"/>
  <c r="EN216" i="5" s="1"/>
  <c r="G502" i="4"/>
  <c r="EU216" i="5" s="1"/>
  <c r="H502" i="4"/>
  <c r="EV216" i="5" s="1"/>
  <c r="I502" i="4"/>
  <c r="EW216" i="5" s="1"/>
  <c r="J502" i="4"/>
  <c r="EX216" i="5" s="1"/>
  <c r="K502" i="4"/>
  <c r="EY216" i="5" s="1"/>
  <c r="L502" i="4"/>
  <c r="EZ216" i="5" s="1"/>
  <c r="M502" i="4"/>
  <c r="FA216" i="5" s="1"/>
  <c r="N502" i="4"/>
  <c r="FB216" i="5" s="1"/>
  <c r="O502" i="4"/>
  <c r="FC216" i="5" s="1"/>
  <c r="P502" i="4"/>
  <c r="FD216" i="5" s="1"/>
  <c r="Q502" i="4"/>
  <c r="FE216" i="5" s="1"/>
  <c r="R502" i="4"/>
  <c r="S502" i="4"/>
  <c r="FG216" i="5" s="1"/>
  <c r="T502" i="4"/>
  <c r="FH216" i="5" s="1"/>
  <c r="U502" i="4"/>
  <c r="FI216" i="5" s="1"/>
  <c r="V502" i="4"/>
  <c r="FJ216" i="5" s="1"/>
  <c r="W502" i="4"/>
  <c r="FK216" i="5" s="1"/>
  <c r="G503" i="4"/>
  <c r="FR216" i="5" s="1"/>
  <c r="H503" i="4"/>
  <c r="FS216" i="5" s="1"/>
  <c r="I503" i="4"/>
  <c r="FT216" i="5" s="1"/>
  <c r="J503" i="4"/>
  <c r="FU216" i="5" s="1"/>
  <c r="K503" i="4"/>
  <c r="FV216" i="5" s="1"/>
  <c r="L503" i="4"/>
  <c r="FW216" i="5" s="1"/>
  <c r="M503" i="4"/>
  <c r="FX216" i="5" s="1"/>
  <c r="N503" i="4"/>
  <c r="FY216" i="5" s="1"/>
  <c r="O503" i="4"/>
  <c r="FZ216" i="5" s="1"/>
  <c r="P503" i="4"/>
  <c r="GA216" i="5" s="1"/>
  <c r="Q503" i="4"/>
  <c r="GB216" i="5" s="1"/>
  <c r="R503" i="4"/>
  <c r="GC216" i="5" s="1"/>
  <c r="S503" i="4"/>
  <c r="T503" i="4"/>
  <c r="GE216" i="5" s="1"/>
  <c r="U503" i="4"/>
  <c r="GF216" i="5" s="1"/>
  <c r="V503" i="4"/>
  <c r="GG216" i="5" s="1"/>
  <c r="W503" i="4"/>
  <c r="GH216" i="5" s="1"/>
  <c r="G504" i="4"/>
  <c r="GO216" i="5" s="1"/>
  <c r="H504" i="4"/>
  <c r="GP216" i="5" s="1"/>
  <c r="I504" i="4"/>
  <c r="GQ216" i="5" s="1"/>
  <c r="J504" i="4"/>
  <c r="GR216" i="5" s="1"/>
  <c r="K504" i="4"/>
  <c r="GS216" i="5" s="1"/>
  <c r="L504" i="4"/>
  <c r="GT216" i="5" s="1"/>
  <c r="M504" i="4"/>
  <c r="GU216" i="5" s="1"/>
  <c r="N504" i="4"/>
  <c r="GV216" i="5" s="1"/>
  <c r="O504" i="4"/>
  <c r="GW216" i="5" s="1"/>
  <c r="P504" i="4"/>
  <c r="GX216" i="5" s="1"/>
  <c r="Q504" i="4"/>
  <c r="GY216" i="5" s="1"/>
  <c r="R504" i="4"/>
  <c r="GZ216" i="5" s="1"/>
  <c r="S504" i="4"/>
  <c r="HA216" i="5" s="1"/>
  <c r="T504" i="4"/>
  <c r="U504" i="4"/>
  <c r="HC216" i="5" s="1"/>
  <c r="V504" i="4"/>
  <c r="HD216" i="5" s="1"/>
  <c r="W504" i="4"/>
  <c r="HE216" i="5" s="1"/>
  <c r="G505" i="4"/>
  <c r="HL216" i="5" s="1"/>
  <c r="H505" i="4"/>
  <c r="HM216" i="5" s="1"/>
  <c r="I505" i="4"/>
  <c r="HN216" i="5" s="1"/>
  <c r="J505" i="4"/>
  <c r="HO216" i="5" s="1"/>
  <c r="K505" i="4"/>
  <c r="HP216" i="5" s="1"/>
  <c r="L505" i="4"/>
  <c r="HQ216" i="5" s="1"/>
  <c r="M505" i="4"/>
  <c r="HR216" i="5" s="1"/>
  <c r="N505" i="4"/>
  <c r="HS216" i="5" s="1"/>
  <c r="O505" i="4"/>
  <c r="HT216" i="5" s="1"/>
  <c r="P505" i="4"/>
  <c r="HU216" i="5" s="1"/>
  <c r="Q505" i="4"/>
  <c r="HV216" i="5" s="1"/>
  <c r="R505" i="4"/>
  <c r="HW216" i="5" s="1"/>
  <c r="S505" i="4"/>
  <c r="HX216" i="5" s="1"/>
  <c r="T505" i="4"/>
  <c r="HY216" i="5" s="1"/>
  <c r="U505" i="4"/>
  <c r="V505" i="4"/>
  <c r="IA216" i="5" s="1"/>
  <c r="W505" i="4"/>
  <c r="IB216" i="5" s="1"/>
  <c r="G506" i="4"/>
  <c r="II216" i="5" s="1"/>
  <c r="H506" i="4"/>
  <c r="IJ216" i="5" s="1"/>
  <c r="I506" i="4"/>
  <c r="IK216" i="5" s="1"/>
  <c r="J506" i="4"/>
  <c r="IL216" i="5" s="1"/>
  <c r="K506" i="4"/>
  <c r="IM216" i="5" s="1"/>
  <c r="L506" i="4"/>
  <c r="IN216" i="5" s="1"/>
  <c r="M506" i="4"/>
  <c r="IO216" i="5" s="1"/>
  <c r="N506" i="4"/>
  <c r="IP216" i="5" s="1"/>
  <c r="O506" i="4"/>
  <c r="IQ216" i="5" s="1"/>
  <c r="P506" i="4"/>
  <c r="IR216" i="5" s="1"/>
  <c r="Q506" i="4"/>
  <c r="IS216" i="5" s="1"/>
  <c r="R506" i="4"/>
  <c r="IT216" i="5" s="1"/>
  <c r="S506" i="4"/>
  <c r="IU216" i="5" s="1"/>
  <c r="T506" i="4"/>
  <c r="IV216" i="5" s="1"/>
  <c r="U506" i="4"/>
  <c r="F217" i="5" s="1"/>
  <c r="V506" i="4"/>
  <c r="W506" i="4"/>
  <c r="H217" i="5" s="1"/>
  <c r="G507" i="4"/>
  <c r="O217" i="5" s="1"/>
  <c r="H507" i="4"/>
  <c r="P217" i="5" s="1"/>
  <c r="I507" i="4"/>
  <c r="Q217" i="5" s="1"/>
  <c r="J507" i="4"/>
  <c r="R217" i="5" s="1"/>
  <c r="K507" i="4"/>
  <c r="S217" i="5" s="1"/>
  <c r="L507" i="4"/>
  <c r="T217" i="5" s="1"/>
  <c r="M507" i="4"/>
  <c r="U217" i="5" s="1"/>
  <c r="N507" i="4"/>
  <c r="V217" i="5" s="1"/>
  <c r="O507" i="4"/>
  <c r="W217" i="5" s="1"/>
  <c r="P507" i="4"/>
  <c r="X217" i="5" s="1"/>
  <c r="Q507" i="4"/>
  <c r="Y217" i="5" s="1"/>
  <c r="R507" i="4"/>
  <c r="Z217" i="5" s="1"/>
  <c r="S507" i="4"/>
  <c r="AA217" i="5" s="1"/>
  <c r="T507" i="4"/>
  <c r="AB217" i="5" s="1"/>
  <c r="U507" i="4"/>
  <c r="AC217" i="5" s="1"/>
  <c r="V507" i="4"/>
  <c r="AD217" i="5" s="1"/>
  <c r="W507" i="4"/>
  <c r="G508" i="4"/>
  <c r="AL217" i="5" s="1"/>
  <c r="H508" i="4"/>
  <c r="AM217" i="5" s="1"/>
  <c r="I508" i="4"/>
  <c r="AN217" i="5" s="1"/>
  <c r="J508" i="4"/>
  <c r="AO217" i="5" s="1"/>
  <c r="K508" i="4"/>
  <c r="AP217" i="5" s="1"/>
  <c r="L508" i="4"/>
  <c r="AQ217" i="5" s="1"/>
  <c r="M508" i="4"/>
  <c r="AR217" i="5" s="1"/>
  <c r="N508" i="4"/>
  <c r="AS217" i="5" s="1"/>
  <c r="O508" i="4"/>
  <c r="AT217" i="5" s="1"/>
  <c r="P508" i="4"/>
  <c r="AU217" i="5" s="1"/>
  <c r="Q508" i="4"/>
  <c r="AV217" i="5" s="1"/>
  <c r="R508" i="4"/>
  <c r="AW217" i="5" s="1"/>
  <c r="S508" i="4"/>
  <c r="AX217" i="5" s="1"/>
  <c r="T508" i="4"/>
  <c r="AY217" i="5" s="1"/>
  <c r="U508" i="4"/>
  <c r="AZ217" i="5" s="1"/>
  <c r="V508" i="4"/>
  <c r="BA217" i="5" s="1"/>
  <c r="W508" i="4"/>
  <c r="BB217" i="5" s="1"/>
  <c r="G509" i="4"/>
  <c r="BI217" i="5" s="1"/>
  <c r="H509" i="4"/>
  <c r="BJ217" i="5" s="1"/>
  <c r="I509" i="4"/>
  <c r="BK217" i="5" s="1"/>
  <c r="J509" i="4"/>
  <c r="BL217" i="5" s="1"/>
  <c r="K509" i="4"/>
  <c r="BM217" i="5" s="1"/>
  <c r="L509" i="4"/>
  <c r="BN217" i="5" s="1"/>
  <c r="M509" i="4"/>
  <c r="BO217" i="5" s="1"/>
  <c r="N509" i="4"/>
  <c r="BP217" i="5" s="1"/>
  <c r="O509" i="4"/>
  <c r="BQ217" i="5" s="1"/>
  <c r="P509" i="4"/>
  <c r="BR217" i="5" s="1"/>
  <c r="Q509" i="4"/>
  <c r="BS217" i="5" s="1"/>
  <c r="R509" i="4"/>
  <c r="BT217" i="5" s="1"/>
  <c r="S509" i="4"/>
  <c r="BU217" i="5" s="1"/>
  <c r="T509" i="4"/>
  <c r="BV217" i="5" s="1"/>
  <c r="U509" i="4"/>
  <c r="BW217" i="5" s="1"/>
  <c r="V509" i="4"/>
  <c r="BX217" i="5" s="1"/>
  <c r="W509" i="4"/>
  <c r="BY217" i="5" s="1"/>
  <c r="G510" i="4"/>
  <c r="CF217" i="5" s="1"/>
  <c r="H510" i="4"/>
  <c r="CG217" i="5" s="1"/>
  <c r="I510" i="4"/>
  <c r="CH217" i="5" s="1"/>
  <c r="J510" i="4"/>
  <c r="CI217" i="5" s="1"/>
  <c r="K510" i="4"/>
  <c r="CJ217" i="5" s="1"/>
  <c r="L510" i="4"/>
  <c r="CK217" i="5" s="1"/>
  <c r="M510" i="4"/>
  <c r="CL217" i="5" s="1"/>
  <c r="N510" i="4"/>
  <c r="CM217" i="5" s="1"/>
  <c r="O510" i="4"/>
  <c r="CN217" i="5" s="1"/>
  <c r="P510" i="4"/>
  <c r="CO217" i="5" s="1"/>
  <c r="Q510" i="4"/>
  <c r="CP217" i="5" s="1"/>
  <c r="R510" i="4"/>
  <c r="CQ217" i="5" s="1"/>
  <c r="S510" i="4"/>
  <c r="CR217" i="5" s="1"/>
  <c r="T510" i="4"/>
  <c r="CS217" i="5" s="1"/>
  <c r="U510" i="4"/>
  <c r="CT217" i="5" s="1"/>
  <c r="V510" i="4"/>
  <c r="CU217" i="5" s="1"/>
  <c r="W510" i="4"/>
  <c r="CV217" i="5" s="1"/>
  <c r="G511" i="4"/>
  <c r="DC217" i="5" s="1"/>
  <c r="H511" i="4"/>
  <c r="DD217" i="5" s="1"/>
  <c r="I511" i="4"/>
  <c r="DE217" i="5" s="1"/>
  <c r="J511" i="4"/>
  <c r="DF217" i="5" s="1"/>
  <c r="K511" i="4"/>
  <c r="DG217" i="5" s="1"/>
  <c r="L511" i="4"/>
  <c r="DH217" i="5" s="1"/>
  <c r="M511" i="4"/>
  <c r="DI217" i="5" s="1"/>
  <c r="N511" i="4"/>
  <c r="DJ217" i="5" s="1"/>
  <c r="O511" i="4"/>
  <c r="DK217" i="5" s="1"/>
  <c r="P511" i="4"/>
  <c r="DL217" i="5" s="1"/>
  <c r="Q511" i="4"/>
  <c r="DM217" i="5" s="1"/>
  <c r="R511" i="4"/>
  <c r="DN217" i="5" s="1"/>
  <c r="S511" i="4"/>
  <c r="DO217" i="5" s="1"/>
  <c r="T511" i="4"/>
  <c r="DP217" i="5" s="1"/>
  <c r="U511" i="4"/>
  <c r="DQ217" i="5" s="1"/>
  <c r="V511" i="4"/>
  <c r="DR217" i="5" s="1"/>
  <c r="W511" i="4"/>
  <c r="DS217" i="5" s="1"/>
  <c r="G512" i="4"/>
  <c r="DZ217" i="5" s="1"/>
  <c r="H512" i="4"/>
  <c r="EA217" i="5" s="1"/>
  <c r="I512" i="4"/>
  <c r="EB217" i="5" s="1"/>
  <c r="J512" i="4"/>
  <c r="EC217" i="5" s="1"/>
  <c r="K512" i="4"/>
  <c r="ED217" i="5" s="1"/>
  <c r="L512" i="4"/>
  <c r="EE217" i="5" s="1"/>
  <c r="M512" i="4"/>
  <c r="EF217" i="5" s="1"/>
  <c r="N512" i="4"/>
  <c r="EG217" i="5" s="1"/>
  <c r="O512" i="4"/>
  <c r="EH217" i="5" s="1"/>
  <c r="P512" i="4"/>
  <c r="EI217" i="5" s="1"/>
  <c r="Q512" i="4"/>
  <c r="EJ217" i="5" s="1"/>
  <c r="R512" i="4"/>
  <c r="EK217" i="5" s="1"/>
  <c r="S512" i="4"/>
  <c r="EL217" i="5" s="1"/>
  <c r="T512" i="4"/>
  <c r="EM217" i="5" s="1"/>
  <c r="U512" i="4"/>
  <c r="EN217" i="5" s="1"/>
  <c r="V512" i="4"/>
  <c r="EO217" i="5" s="1"/>
  <c r="W512" i="4"/>
  <c r="EP217" i="5" s="1"/>
  <c r="G513" i="4"/>
  <c r="EW217" i="5" s="1"/>
  <c r="H513" i="4"/>
  <c r="EX217" i="5" s="1"/>
  <c r="I513" i="4"/>
  <c r="EY217" i="5" s="1"/>
  <c r="J513" i="4"/>
  <c r="EZ217" i="5" s="1"/>
  <c r="K513" i="4"/>
  <c r="FA217" i="5" s="1"/>
  <c r="L513" i="4"/>
  <c r="FB217" i="5" s="1"/>
  <c r="M513" i="4"/>
  <c r="FC217" i="5" s="1"/>
  <c r="N513" i="4"/>
  <c r="FD217" i="5" s="1"/>
  <c r="O513" i="4"/>
  <c r="FE217" i="5" s="1"/>
  <c r="P513" i="4"/>
  <c r="FF217" i="5" s="1"/>
  <c r="Q513" i="4"/>
  <c r="FG217" i="5" s="1"/>
  <c r="R513" i="4"/>
  <c r="FH217" i="5" s="1"/>
  <c r="S513" i="4"/>
  <c r="FI217" i="5" s="1"/>
  <c r="T513" i="4"/>
  <c r="FJ217" i="5" s="1"/>
  <c r="U513" i="4"/>
  <c r="FK217" i="5" s="1"/>
  <c r="V513" i="4"/>
  <c r="FL217" i="5" s="1"/>
  <c r="W513" i="4"/>
  <c r="FM217" i="5" s="1"/>
  <c r="G514" i="4"/>
  <c r="FT217" i="5" s="1"/>
  <c r="H514" i="4"/>
  <c r="FU217" i="5" s="1"/>
  <c r="I514" i="4"/>
  <c r="FV217" i="5" s="1"/>
  <c r="J514" i="4"/>
  <c r="FW217" i="5" s="1"/>
  <c r="K514" i="4"/>
  <c r="FX217" i="5" s="1"/>
  <c r="L514" i="4"/>
  <c r="FY217" i="5" s="1"/>
  <c r="M514" i="4"/>
  <c r="FZ217" i="5" s="1"/>
  <c r="N514" i="4"/>
  <c r="GA217" i="5" s="1"/>
  <c r="O514" i="4"/>
  <c r="GB217" i="5" s="1"/>
  <c r="P514" i="4"/>
  <c r="GC217" i="5" s="1"/>
  <c r="Q514" i="4"/>
  <c r="GD217" i="5" s="1"/>
  <c r="R514" i="4"/>
  <c r="GE217" i="5" s="1"/>
  <c r="S514" i="4"/>
  <c r="GF217" i="5" s="1"/>
  <c r="T514" i="4"/>
  <c r="GG217" i="5" s="1"/>
  <c r="U514" i="4"/>
  <c r="GH217" i="5" s="1"/>
  <c r="V514" i="4"/>
  <c r="GI217" i="5" s="1"/>
  <c r="W514" i="4"/>
  <c r="GJ217" i="5" s="1"/>
  <c r="G515" i="4"/>
  <c r="GQ217" i="5" s="1"/>
  <c r="H515" i="4"/>
  <c r="GR217" i="5" s="1"/>
  <c r="I515" i="4"/>
  <c r="GS217" i="5" s="1"/>
  <c r="J515" i="4"/>
  <c r="GT217" i="5" s="1"/>
  <c r="K515" i="4"/>
  <c r="GU217" i="5" s="1"/>
  <c r="L515" i="4"/>
  <c r="GV217" i="5" s="1"/>
  <c r="M515" i="4"/>
  <c r="GW217" i="5" s="1"/>
  <c r="N515" i="4"/>
  <c r="GX217" i="5" s="1"/>
  <c r="O515" i="4"/>
  <c r="GY217" i="5" s="1"/>
  <c r="P515" i="4"/>
  <c r="GZ217" i="5" s="1"/>
  <c r="Q515" i="4"/>
  <c r="HA217" i="5" s="1"/>
  <c r="R515" i="4"/>
  <c r="HB217" i="5" s="1"/>
  <c r="S515" i="4"/>
  <c r="HC217" i="5" s="1"/>
  <c r="T515" i="4"/>
  <c r="HD217" i="5" s="1"/>
  <c r="U515" i="4"/>
  <c r="HE217" i="5" s="1"/>
  <c r="V515" i="4"/>
  <c r="HF217" i="5" s="1"/>
  <c r="W515" i="4"/>
  <c r="HG217" i="5" s="1"/>
  <c r="G516" i="4"/>
  <c r="HN217" i="5" s="1"/>
  <c r="H516" i="4"/>
  <c r="HO217" i="5" s="1"/>
  <c r="I516" i="4"/>
  <c r="HP217" i="5" s="1"/>
  <c r="J516" i="4"/>
  <c r="HQ217" i="5" s="1"/>
  <c r="K516" i="4"/>
  <c r="HR217" i="5" s="1"/>
  <c r="L516" i="4"/>
  <c r="HS217" i="5" s="1"/>
  <c r="M516" i="4"/>
  <c r="HT217" i="5" s="1"/>
  <c r="N516" i="4"/>
  <c r="HU217" i="5" s="1"/>
  <c r="O516" i="4"/>
  <c r="HV217" i="5" s="1"/>
  <c r="P516" i="4"/>
  <c r="HW217" i="5" s="1"/>
  <c r="Q516" i="4"/>
  <c r="HX217" i="5" s="1"/>
  <c r="R516" i="4"/>
  <c r="HY217" i="5" s="1"/>
  <c r="S516" i="4"/>
  <c r="HZ217" i="5" s="1"/>
  <c r="T516" i="4"/>
  <c r="IA217" i="5" s="1"/>
  <c r="U516" i="4"/>
  <c r="IB217" i="5" s="1"/>
  <c r="V516" i="4"/>
  <c r="IC217" i="5" s="1"/>
  <c r="W516" i="4"/>
  <c r="ID217" i="5" s="1"/>
  <c r="G517" i="4"/>
  <c r="IK217" i="5" s="1"/>
  <c r="H517" i="4"/>
  <c r="IL217" i="5" s="1"/>
  <c r="I517" i="4"/>
  <c r="IM217" i="5" s="1"/>
  <c r="J517" i="4"/>
  <c r="IN217" i="5" s="1"/>
  <c r="K517" i="4"/>
  <c r="IO217" i="5" s="1"/>
  <c r="L517" i="4"/>
  <c r="IP217" i="5" s="1"/>
  <c r="M517" i="4"/>
  <c r="IQ217" i="5" s="1"/>
  <c r="N517" i="4"/>
  <c r="IR217" i="5" s="1"/>
  <c r="O517" i="4"/>
  <c r="IS217" i="5" s="1"/>
  <c r="P517" i="4"/>
  <c r="IT217" i="5" s="1"/>
  <c r="Q517" i="4"/>
  <c r="IU217" i="5" s="1"/>
  <c r="R517" i="4"/>
  <c r="IV217" i="5" s="1"/>
  <c r="S517" i="4"/>
  <c r="F218" i="5" s="1"/>
  <c r="T517" i="4"/>
  <c r="G218" i="5" s="1"/>
  <c r="U517" i="4"/>
  <c r="H218" i="5" s="1"/>
  <c r="V517" i="4"/>
  <c r="I218" i="5" s="1"/>
  <c r="W517" i="4"/>
  <c r="J218" i="5" s="1"/>
  <c r="G518" i="4"/>
  <c r="Q218" i="5" s="1"/>
  <c r="H518" i="4"/>
  <c r="R218" i="5" s="1"/>
  <c r="I518" i="4"/>
  <c r="S218" i="5" s="1"/>
  <c r="J518" i="4"/>
  <c r="T218" i="5" s="1"/>
  <c r="K518" i="4"/>
  <c r="U218" i="5" s="1"/>
  <c r="L518" i="4"/>
  <c r="V218" i="5" s="1"/>
  <c r="M518" i="4"/>
  <c r="W218" i="5" s="1"/>
  <c r="N518" i="4"/>
  <c r="X218" i="5" s="1"/>
  <c r="O518" i="4"/>
  <c r="Y218" i="5" s="1"/>
  <c r="P518" i="4"/>
  <c r="Z218" i="5" s="1"/>
  <c r="Q518" i="4"/>
  <c r="AA218" i="5" s="1"/>
  <c r="R518" i="4"/>
  <c r="AB218" i="5" s="1"/>
  <c r="S518" i="4"/>
  <c r="AC218" i="5" s="1"/>
  <c r="T518" i="4"/>
  <c r="AD218" i="5" s="1"/>
  <c r="U518" i="4"/>
  <c r="AE218" i="5" s="1"/>
  <c r="V518" i="4"/>
  <c r="AF218" i="5" s="1"/>
  <c r="W518" i="4"/>
  <c r="AG218" i="5" s="1"/>
  <c r="G519" i="4"/>
  <c r="AN218" i="5" s="1"/>
  <c r="H519" i="4"/>
  <c r="AO218" i="5" s="1"/>
  <c r="I519" i="4"/>
  <c r="AP218" i="5" s="1"/>
  <c r="J519" i="4"/>
  <c r="AQ218" i="5" s="1"/>
  <c r="K519" i="4"/>
  <c r="AR218" i="5" s="1"/>
  <c r="L519" i="4"/>
  <c r="AS218" i="5" s="1"/>
  <c r="M519" i="4"/>
  <c r="AT218" i="5" s="1"/>
  <c r="N519" i="4"/>
  <c r="AU218" i="5" s="1"/>
  <c r="O519" i="4"/>
  <c r="AV218" i="5" s="1"/>
  <c r="P519" i="4"/>
  <c r="AW218" i="5" s="1"/>
  <c r="Q519" i="4"/>
  <c r="AX218" i="5" s="1"/>
  <c r="R519" i="4"/>
  <c r="AY218" i="5" s="1"/>
  <c r="S519" i="4"/>
  <c r="AZ218" i="5" s="1"/>
  <c r="T519" i="4"/>
  <c r="BA218" i="5" s="1"/>
  <c r="U519" i="4"/>
  <c r="BB218" i="5" s="1"/>
  <c r="V519" i="4"/>
  <c r="BC218" i="5" s="1"/>
  <c r="W519" i="4"/>
  <c r="BD218" i="5" s="1"/>
  <c r="G520" i="4"/>
  <c r="BK218" i="5" s="1"/>
  <c r="H520" i="4"/>
  <c r="BL218" i="5" s="1"/>
  <c r="I520" i="4"/>
  <c r="BM218" i="5" s="1"/>
  <c r="J520" i="4"/>
  <c r="BN218" i="5" s="1"/>
  <c r="K520" i="4"/>
  <c r="BO218" i="5" s="1"/>
  <c r="L520" i="4"/>
  <c r="BP218" i="5" s="1"/>
  <c r="M520" i="4"/>
  <c r="BQ218" i="5" s="1"/>
  <c r="N520" i="4"/>
  <c r="BR218" i="5" s="1"/>
  <c r="O520" i="4"/>
  <c r="BS218" i="5" s="1"/>
  <c r="P520" i="4"/>
  <c r="BT218" i="5" s="1"/>
  <c r="Q520" i="4"/>
  <c r="BU218" i="5" s="1"/>
  <c r="R520" i="4"/>
  <c r="BV218" i="5" s="1"/>
  <c r="S520" i="4"/>
  <c r="BW218" i="5" s="1"/>
  <c r="T520" i="4"/>
  <c r="BX218" i="5" s="1"/>
  <c r="U520" i="4"/>
  <c r="BY218" i="5" s="1"/>
  <c r="V520" i="4"/>
  <c r="BZ218" i="5" s="1"/>
  <c r="W520" i="4"/>
  <c r="CA218" i="5" s="1"/>
  <c r="G521" i="4"/>
  <c r="CH218" i="5" s="1"/>
  <c r="H521" i="4"/>
  <c r="CI218" i="5" s="1"/>
  <c r="I521" i="4"/>
  <c r="CJ218" i="5" s="1"/>
  <c r="J521" i="4"/>
  <c r="CK218" i="5" s="1"/>
  <c r="K521" i="4"/>
  <c r="CL218" i="5" s="1"/>
  <c r="L521" i="4"/>
  <c r="CM218" i="5" s="1"/>
  <c r="M521" i="4"/>
  <c r="CN218" i="5" s="1"/>
  <c r="N521" i="4"/>
  <c r="CO218" i="5" s="1"/>
  <c r="O521" i="4"/>
  <c r="CP218" i="5" s="1"/>
  <c r="P521" i="4"/>
  <c r="CQ218" i="5" s="1"/>
  <c r="Q521" i="4"/>
  <c r="CR218" i="5" s="1"/>
  <c r="R521" i="4"/>
  <c r="CS218" i="5" s="1"/>
  <c r="S521" i="4"/>
  <c r="CT218" i="5" s="1"/>
  <c r="T521" i="4"/>
  <c r="CU218" i="5" s="1"/>
  <c r="U521" i="4"/>
  <c r="CV218" i="5" s="1"/>
  <c r="V521" i="4"/>
  <c r="CW218" i="5" s="1"/>
  <c r="W521" i="4"/>
  <c r="CX218" i="5" s="1"/>
  <c r="G522" i="4"/>
  <c r="DE218" i="5" s="1"/>
  <c r="H522" i="4"/>
  <c r="DF218" i="5" s="1"/>
  <c r="I522" i="4"/>
  <c r="DG218" i="5" s="1"/>
  <c r="J522" i="4"/>
  <c r="DH218" i="5" s="1"/>
  <c r="K522" i="4"/>
  <c r="DI218" i="5" s="1"/>
  <c r="L522" i="4"/>
  <c r="DJ218" i="5" s="1"/>
  <c r="M522" i="4"/>
  <c r="DK218" i="5" s="1"/>
  <c r="N522" i="4"/>
  <c r="DL218" i="5" s="1"/>
  <c r="O522" i="4"/>
  <c r="DM218" i="5" s="1"/>
  <c r="P522" i="4"/>
  <c r="DN218" i="5" s="1"/>
  <c r="Q522" i="4"/>
  <c r="DO218" i="5" s="1"/>
  <c r="R522" i="4"/>
  <c r="DP218" i="5" s="1"/>
  <c r="S522" i="4"/>
  <c r="DQ218" i="5" s="1"/>
  <c r="T522" i="4"/>
  <c r="DR218" i="5" s="1"/>
  <c r="U522" i="4"/>
  <c r="DS218" i="5" s="1"/>
  <c r="V522" i="4"/>
  <c r="DT218" i="5" s="1"/>
  <c r="W522" i="4"/>
  <c r="DU218" i="5" s="1"/>
  <c r="G523" i="4"/>
  <c r="EB218" i="5" s="1"/>
  <c r="H523" i="4"/>
  <c r="EC218" i="5" s="1"/>
  <c r="I523" i="4"/>
  <c r="ED218" i="5" s="1"/>
  <c r="J523" i="4"/>
  <c r="EE218" i="5" s="1"/>
  <c r="K523" i="4"/>
  <c r="EF218" i="5" s="1"/>
  <c r="L523" i="4"/>
  <c r="EG218" i="5" s="1"/>
  <c r="M523" i="4"/>
  <c r="EH218" i="5" s="1"/>
  <c r="N523" i="4"/>
  <c r="EI218" i="5" s="1"/>
  <c r="O523" i="4"/>
  <c r="EJ218" i="5" s="1"/>
  <c r="P523" i="4"/>
  <c r="EK218" i="5" s="1"/>
  <c r="Q523" i="4"/>
  <c r="EL218" i="5" s="1"/>
  <c r="R523" i="4"/>
  <c r="EM218" i="5" s="1"/>
  <c r="S523" i="4"/>
  <c r="EN218" i="5" s="1"/>
  <c r="T523" i="4"/>
  <c r="EO218" i="5" s="1"/>
  <c r="U523" i="4"/>
  <c r="EP218" i="5" s="1"/>
  <c r="V523" i="4"/>
  <c r="EQ218" i="5" s="1"/>
  <c r="W523" i="4"/>
  <c r="ER218" i="5" s="1"/>
  <c r="G524" i="4"/>
  <c r="EY218" i="5" s="1"/>
  <c r="H524" i="4"/>
  <c r="EZ218" i="5" s="1"/>
  <c r="I524" i="4"/>
  <c r="FA218" i="5" s="1"/>
  <c r="J524" i="4"/>
  <c r="FB218" i="5" s="1"/>
  <c r="K524" i="4"/>
  <c r="FC218" i="5" s="1"/>
  <c r="L524" i="4"/>
  <c r="FD218" i="5" s="1"/>
  <c r="M524" i="4"/>
  <c r="FE218" i="5" s="1"/>
  <c r="N524" i="4"/>
  <c r="FF218" i="5" s="1"/>
  <c r="O524" i="4"/>
  <c r="FG218" i="5" s="1"/>
  <c r="P524" i="4"/>
  <c r="FH218" i="5" s="1"/>
  <c r="Q524" i="4"/>
  <c r="FI218" i="5" s="1"/>
  <c r="R524" i="4"/>
  <c r="FJ218" i="5" s="1"/>
  <c r="S524" i="4"/>
  <c r="FK218" i="5" s="1"/>
  <c r="T524" i="4"/>
  <c r="FL218" i="5" s="1"/>
  <c r="U524" i="4"/>
  <c r="FM218" i="5" s="1"/>
  <c r="V524" i="4"/>
  <c r="FN218" i="5" s="1"/>
  <c r="W524" i="4"/>
  <c r="FO218" i="5" s="1"/>
  <c r="G525" i="4"/>
  <c r="FV218" i="5" s="1"/>
  <c r="H525" i="4"/>
  <c r="FW218" i="5" s="1"/>
  <c r="I525" i="4"/>
  <c r="FX218" i="5" s="1"/>
  <c r="J525" i="4"/>
  <c r="FY218" i="5" s="1"/>
  <c r="K525" i="4"/>
  <c r="FZ218" i="5" s="1"/>
  <c r="L525" i="4"/>
  <c r="GA218" i="5" s="1"/>
  <c r="M525" i="4"/>
  <c r="GB218" i="5" s="1"/>
  <c r="N525" i="4"/>
  <c r="GC218" i="5" s="1"/>
  <c r="O525" i="4"/>
  <c r="GD218" i="5" s="1"/>
  <c r="P525" i="4"/>
  <c r="GE218" i="5" s="1"/>
  <c r="Q525" i="4"/>
  <c r="GF218" i="5" s="1"/>
  <c r="R525" i="4"/>
  <c r="GG218" i="5" s="1"/>
  <c r="S525" i="4"/>
  <c r="GH218" i="5" s="1"/>
  <c r="T525" i="4"/>
  <c r="GI218" i="5" s="1"/>
  <c r="U525" i="4"/>
  <c r="GJ218" i="5" s="1"/>
  <c r="V525" i="4"/>
  <c r="GK218" i="5" s="1"/>
  <c r="W525" i="4"/>
  <c r="GL218" i="5" s="1"/>
  <c r="G526" i="4"/>
  <c r="GS218" i="5" s="1"/>
  <c r="H526" i="4"/>
  <c r="GT218" i="5" s="1"/>
  <c r="I526" i="4"/>
  <c r="GU218" i="5" s="1"/>
  <c r="J526" i="4"/>
  <c r="GV218" i="5" s="1"/>
  <c r="K526" i="4"/>
  <c r="GW218" i="5" s="1"/>
  <c r="L526" i="4"/>
  <c r="GX218" i="5" s="1"/>
  <c r="M526" i="4"/>
  <c r="GY218" i="5" s="1"/>
  <c r="N526" i="4"/>
  <c r="GZ218" i="5" s="1"/>
  <c r="O526" i="4"/>
  <c r="HA218" i="5" s="1"/>
  <c r="P526" i="4"/>
  <c r="HB218" i="5" s="1"/>
  <c r="Q526" i="4"/>
  <c r="HC218" i="5" s="1"/>
  <c r="R526" i="4"/>
  <c r="HD218" i="5" s="1"/>
  <c r="S526" i="4"/>
  <c r="HE218" i="5" s="1"/>
  <c r="T526" i="4"/>
  <c r="HF218" i="5" s="1"/>
  <c r="U526" i="4"/>
  <c r="HG218" i="5" s="1"/>
  <c r="V526" i="4"/>
  <c r="HH218" i="5" s="1"/>
  <c r="W526" i="4"/>
  <c r="HI218" i="5" s="1"/>
  <c r="G527" i="4"/>
  <c r="HP218" i="5" s="1"/>
  <c r="H527" i="4"/>
  <c r="HQ218" i="5" s="1"/>
  <c r="I527" i="4"/>
  <c r="HR218" i="5" s="1"/>
  <c r="J527" i="4"/>
  <c r="HS218" i="5" s="1"/>
  <c r="K527" i="4"/>
  <c r="HT218" i="5" s="1"/>
  <c r="L527" i="4"/>
  <c r="HU218" i="5" s="1"/>
  <c r="M527" i="4"/>
  <c r="HV218" i="5" s="1"/>
  <c r="N527" i="4"/>
  <c r="HW218" i="5" s="1"/>
  <c r="O527" i="4"/>
  <c r="HX218" i="5" s="1"/>
  <c r="P527" i="4"/>
  <c r="HY218" i="5" s="1"/>
  <c r="Q527" i="4"/>
  <c r="HZ218" i="5" s="1"/>
  <c r="R527" i="4"/>
  <c r="IA218" i="5" s="1"/>
  <c r="S527" i="4"/>
  <c r="IB218" i="5" s="1"/>
  <c r="T527" i="4"/>
  <c r="IC218" i="5" s="1"/>
  <c r="U527" i="4"/>
  <c r="ID218" i="5" s="1"/>
  <c r="V527" i="4"/>
  <c r="IE218" i="5" s="1"/>
  <c r="W527" i="4"/>
  <c r="IF218" i="5" s="1"/>
  <c r="G528" i="4"/>
  <c r="IM218" i="5" s="1"/>
  <c r="H528" i="4"/>
  <c r="IN218" i="5" s="1"/>
  <c r="I528" i="4"/>
  <c r="IO218" i="5" s="1"/>
  <c r="J528" i="4"/>
  <c r="IP218" i="5" s="1"/>
  <c r="K528" i="4"/>
  <c r="IQ218" i="5" s="1"/>
  <c r="L528" i="4"/>
  <c r="IR218" i="5" s="1"/>
  <c r="M528" i="4"/>
  <c r="IS218" i="5" s="1"/>
  <c r="N528" i="4"/>
  <c r="IT218" i="5" s="1"/>
  <c r="O528" i="4"/>
  <c r="IU218" i="5" s="1"/>
  <c r="P528" i="4"/>
  <c r="IV218" i="5" s="1"/>
  <c r="Q528" i="4"/>
  <c r="F219" i="5" s="1"/>
  <c r="R528" i="4"/>
  <c r="G219" i="5" s="1"/>
  <c r="S528" i="4"/>
  <c r="H219" i="5" s="1"/>
  <c r="T528" i="4"/>
  <c r="I219" i="5" s="1"/>
  <c r="U528" i="4"/>
  <c r="J219" i="5" s="1"/>
  <c r="V528" i="4"/>
  <c r="K219" i="5" s="1"/>
  <c r="W528" i="4"/>
  <c r="L219" i="5" s="1"/>
  <c r="G529" i="4"/>
  <c r="S219" i="5" s="1"/>
  <c r="H529" i="4"/>
  <c r="T219" i="5" s="1"/>
  <c r="I529" i="4"/>
  <c r="U219" i="5" s="1"/>
  <c r="J529" i="4"/>
  <c r="V219" i="5" s="1"/>
  <c r="K529" i="4"/>
  <c r="W219" i="5" s="1"/>
  <c r="L529" i="4"/>
  <c r="X219" i="5" s="1"/>
  <c r="M529" i="4"/>
  <c r="Y219" i="5" s="1"/>
  <c r="N529" i="4"/>
  <c r="Z219" i="5" s="1"/>
  <c r="O529" i="4"/>
  <c r="AA219" i="5" s="1"/>
  <c r="P529" i="4"/>
  <c r="AB219" i="5" s="1"/>
  <c r="Q529" i="4"/>
  <c r="AC219" i="5" s="1"/>
  <c r="R529" i="4"/>
  <c r="AD219" i="5" s="1"/>
  <c r="S529" i="4"/>
  <c r="AE219" i="5" s="1"/>
  <c r="T529" i="4"/>
  <c r="AF219" i="5" s="1"/>
  <c r="U529" i="4"/>
  <c r="AG219" i="5" s="1"/>
  <c r="V529" i="4"/>
  <c r="AH219" i="5" s="1"/>
  <c r="W529" i="4"/>
  <c r="AI219" i="5" s="1"/>
  <c r="G530" i="4"/>
  <c r="AP219" i="5" s="1"/>
  <c r="H530" i="4"/>
  <c r="AQ219" i="5" s="1"/>
  <c r="I530" i="4"/>
  <c r="AR219" i="5" s="1"/>
  <c r="J530" i="4"/>
  <c r="AS219" i="5" s="1"/>
  <c r="K530" i="4"/>
  <c r="AT219" i="5" s="1"/>
  <c r="L530" i="4"/>
  <c r="AU219" i="5" s="1"/>
  <c r="M530" i="4"/>
  <c r="AV219" i="5" s="1"/>
  <c r="N530" i="4"/>
  <c r="AW219" i="5" s="1"/>
  <c r="O530" i="4"/>
  <c r="AX219" i="5" s="1"/>
  <c r="P530" i="4"/>
  <c r="AY219" i="5" s="1"/>
  <c r="Q530" i="4"/>
  <c r="AZ219" i="5" s="1"/>
  <c r="R530" i="4"/>
  <c r="BA219" i="5" s="1"/>
  <c r="S530" i="4"/>
  <c r="BB219" i="5" s="1"/>
  <c r="T530" i="4"/>
  <c r="BC219" i="5" s="1"/>
  <c r="U530" i="4"/>
  <c r="BD219" i="5" s="1"/>
  <c r="V530" i="4"/>
  <c r="BE219" i="5" s="1"/>
  <c r="W530" i="4"/>
  <c r="BF219" i="5" s="1"/>
  <c r="G531" i="4"/>
  <c r="BM219" i="5" s="1"/>
  <c r="H531" i="4"/>
  <c r="BN219" i="5" s="1"/>
  <c r="I531" i="4"/>
  <c r="BO219" i="5" s="1"/>
  <c r="J531" i="4"/>
  <c r="BP219" i="5" s="1"/>
  <c r="K531" i="4"/>
  <c r="BQ219" i="5" s="1"/>
  <c r="L531" i="4"/>
  <c r="BR219" i="5" s="1"/>
  <c r="M531" i="4"/>
  <c r="BS219" i="5" s="1"/>
  <c r="N531" i="4"/>
  <c r="BT219" i="5" s="1"/>
  <c r="O531" i="4"/>
  <c r="BU219" i="5" s="1"/>
  <c r="P531" i="4"/>
  <c r="BV219" i="5" s="1"/>
  <c r="Q531" i="4"/>
  <c r="BW219" i="5" s="1"/>
  <c r="R531" i="4"/>
  <c r="BX219" i="5" s="1"/>
  <c r="S531" i="4"/>
  <c r="BY219" i="5" s="1"/>
  <c r="T531" i="4"/>
  <c r="BZ219" i="5" s="1"/>
  <c r="U531" i="4"/>
  <c r="CA219" i="5" s="1"/>
  <c r="V531" i="4"/>
  <c r="CB219" i="5" s="1"/>
  <c r="W531" i="4"/>
  <c r="CC219" i="5" s="1"/>
  <c r="G532" i="4"/>
  <c r="CJ219" i="5" s="1"/>
  <c r="H532" i="4"/>
  <c r="CK219" i="5" s="1"/>
  <c r="I532" i="4"/>
  <c r="CL219" i="5" s="1"/>
  <c r="J532" i="4"/>
  <c r="CM219" i="5" s="1"/>
  <c r="K532" i="4"/>
  <c r="CN219" i="5" s="1"/>
  <c r="L532" i="4"/>
  <c r="CO219" i="5" s="1"/>
  <c r="M532" i="4"/>
  <c r="CP219" i="5" s="1"/>
  <c r="N532" i="4"/>
  <c r="CQ219" i="5" s="1"/>
  <c r="O532" i="4"/>
  <c r="CR219" i="5" s="1"/>
  <c r="P532" i="4"/>
  <c r="CS219" i="5" s="1"/>
  <c r="Q532" i="4"/>
  <c r="CT219" i="5" s="1"/>
  <c r="R532" i="4"/>
  <c r="CU219" i="5" s="1"/>
  <c r="S532" i="4"/>
  <c r="CV219" i="5" s="1"/>
  <c r="T532" i="4"/>
  <c r="CW219" i="5" s="1"/>
  <c r="U532" i="4"/>
  <c r="CX219" i="5" s="1"/>
  <c r="V532" i="4"/>
  <c r="CY219" i="5" s="1"/>
  <c r="W532" i="4"/>
  <c r="CZ219" i="5" s="1"/>
  <c r="G533" i="4"/>
  <c r="DG219" i="5" s="1"/>
  <c r="H533" i="4"/>
  <c r="DH219" i="5" s="1"/>
  <c r="I533" i="4"/>
  <c r="DI219" i="5" s="1"/>
  <c r="J533" i="4"/>
  <c r="DJ219" i="5" s="1"/>
  <c r="K533" i="4"/>
  <c r="DK219" i="5" s="1"/>
  <c r="L533" i="4"/>
  <c r="DL219" i="5" s="1"/>
  <c r="M533" i="4"/>
  <c r="DM219" i="5" s="1"/>
  <c r="N533" i="4"/>
  <c r="DN219" i="5" s="1"/>
  <c r="O533" i="4"/>
  <c r="DO219" i="5" s="1"/>
  <c r="P533" i="4"/>
  <c r="DP219" i="5" s="1"/>
  <c r="Q533" i="4"/>
  <c r="DQ219" i="5" s="1"/>
  <c r="R533" i="4"/>
  <c r="DR219" i="5" s="1"/>
  <c r="S533" i="4"/>
  <c r="DS219" i="5" s="1"/>
  <c r="T533" i="4"/>
  <c r="DT219" i="5" s="1"/>
  <c r="U533" i="4"/>
  <c r="DU219" i="5" s="1"/>
  <c r="V533" i="4"/>
  <c r="DV219" i="5" s="1"/>
  <c r="W533" i="4"/>
  <c r="DW219" i="5" s="1"/>
  <c r="G534" i="4"/>
  <c r="ED219" i="5" s="1"/>
  <c r="H534" i="4"/>
  <c r="EE219" i="5" s="1"/>
  <c r="I534" i="4"/>
  <c r="EF219" i="5" s="1"/>
  <c r="J534" i="4"/>
  <c r="EG219" i="5" s="1"/>
  <c r="K534" i="4"/>
  <c r="EH219" i="5" s="1"/>
  <c r="L534" i="4"/>
  <c r="EI219" i="5" s="1"/>
  <c r="M534" i="4"/>
  <c r="EJ219" i="5" s="1"/>
  <c r="N534" i="4"/>
  <c r="EK219" i="5" s="1"/>
  <c r="O534" i="4"/>
  <c r="EL219" i="5" s="1"/>
  <c r="P534" i="4"/>
  <c r="EM219" i="5" s="1"/>
  <c r="Q534" i="4"/>
  <c r="EN219" i="5" s="1"/>
  <c r="R534" i="4"/>
  <c r="EO219" i="5" s="1"/>
  <c r="S534" i="4"/>
  <c r="EP219" i="5" s="1"/>
  <c r="T534" i="4"/>
  <c r="EQ219" i="5" s="1"/>
  <c r="U534" i="4"/>
  <c r="ER219" i="5" s="1"/>
  <c r="V534" i="4"/>
  <c r="ES219" i="5" s="1"/>
  <c r="W534" i="4"/>
  <c r="ET219" i="5" s="1"/>
  <c r="G535" i="4"/>
  <c r="FA219" i="5" s="1"/>
  <c r="H535" i="4"/>
  <c r="FB219" i="5" s="1"/>
  <c r="I535" i="4"/>
  <c r="FC219" i="5" s="1"/>
  <c r="J535" i="4"/>
  <c r="FD219" i="5" s="1"/>
  <c r="K535" i="4"/>
  <c r="FE219" i="5" s="1"/>
  <c r="L535" i="4"/>
  <c r="FF219" i="5" s="1"/>
  <c r="M535" i="4"/>
  <c r="FG219" i="5" s="1"/>
  <c r="N535" i="4"/>
  <c r="FH219" i="5" s="1"/>
  <c r="O535" i="4"/>
  <c r="FI219" i="5" s="1"/>
  <c r="P535" i="4"/>
  <c r="FJ219" i="5" s="1"/>
  <c r="Q535" i="4"/>
  <c r="FK219" i="5" s="1"/>
  <c r="R535" i="4"/>
  <c r="FL219" i="5" s="1"/>
  <c r="S535" i="4"/>
  <c r="FM219" i="5" s="1"/>
  <c r="T535" i="4"/>
  <c r="FN219" i="5" s="1"/>
  <c r="U535" i="4"/>
  <c r="FO219" i="5" s="1"/>
  <c r="V535" i="4"/>
  <c r="FP219" i="5" s="1"/>
  <c r="W535" i="4"/>
  <c r="FQ219" i="5" s="1"/>
  <c r="G536" i="4"/>
  <c r="FX219" i="5" s="1"/>
  <c r="H536" i="4"/>
  <c r="FY219" i="5" s="1"/>
  <c r="I536" i="4"/>
  <c r="FZ219" i="5" s="1"/>
  <c r="J536" i="4"/>
  <c r="GA219" i="5" s="1"/>
  <c r="K536" i="4"/>
  <c r="GB219" i="5" s="1"/>
  <c r="L536" i="4"/>
  <c r="GC219" i="5" s="1"/>
  <c r="M536" i="4"/>
  <c r="GD219" i="5" s="1"/>
  <c r="N536" i="4"/>
  <c r="GE219" i="5" s="1"/>
  <c r="O536" i="4"/>
  <c r="GF219" i="5" s="1"/>
  <c r="P536" i="4"/>
  <c r="GG219" i="5" s="1"/>
  <c r="Q536" i="4"/>
  <c r="GH219" i="5" s="1"/>
  <c r="R536" i="4"/>
  <c r="GI219" i="5" s="1"/>
  <c r="S536" i="4"/>
  <c r="GJ219" i="5" s="1"/>
  <c r="T536" i="4"/>
  <c r="GK219" i="5" s="1"/>
  <c r="U536" i="4"/>
  <c r="GL219" i="5" s="1"/>
  <c r="V536" i="4"/>
  <c r="GM219" i="5" s="1"/>
  <c r="W536" i="4"/>
  <c r="GN219" i="5" s="1"/>
  <c r="G537" i="4"/>
  <c r="GU219" i="5" s="1"/>
  <c r="H537" i="4"/>
  <c r="GV219" i="5" s="1"/>
  <c r="I537" i="4"/>
  <c r="GW219" i="5" s="1"/>
  <c r="J537" i="4"/>
  <c r="GX219" i="5" s="1"/>
  <c r="K537" i="4"/>
  <c r="GY219" i="5" s="1"/>
  <c r="L537" i="4"/>
  <c r="GZ219" i="5" s="1"/>
  <c r="M537" i="4"/>
  <c r="HA219" i="5" s="1"/>
  <c r="N537" i="4"/>
  <c r="HB219" i="5" s="1"/>
  <c r="O537" i="4"/>
  <c r="HC219" i="5" s="1"/>
  <c r="P537" i="4"/>
  <c r="HD219" i="5" s="1"/>
  <c r="Q537" i="4"/>
  <c r="HE219" i="5" s="1"/>
  <c r="R537" i="4"/>
  <c r="HF219" i="5" s="1"/>
  <c r="S537" i="4"/>
  <c r="HG219" i="5" s="1"/>
  <c r="T537" i="4"/>
  <c r="HH219" i="5" s="1"/>
  <c r="U537" i="4"/>
  <c r="HI219" i="5" s="1"/>
  <c r="V537" i="4"/>
  <c r="HJ219" i="5" s="1"/>
  <c r="W537" i="4"/>
  <c r="HK219" i="5" s="1"/>
  <c r="G538" i="4"/>
  <c r="HR219" i="5" s="1"/>
  <c r="H538" i="4"/>
  <c r="HS219" i="5" s="1"/>
  <c r="I538" i="4"/>
  <c r="HT219" i="5" s="1"/>
  <c r="J538" i="4"/>
  <c r="HU219" i="5" s="1"/>
  <c r="K538" i="4"/>
  <c r="HV219" i="5" s="1"/>
  <c r="L538" i="4"/>
  <c r="HW219" i="5" s="1"/>
  <c r="M538" i="4"/>
  <c r="HX219" i="5" s="1"/>
  <c r="N538" i="4"/>
  <c r="HY219" i="5" s="1"/>
  <c r="O538" i="4"/>
  <c r="HZ219" i="5" s="1"/>
  <c r="P538" i="4"/>
  <c r="IA219" i="5" s="1"/>
  <c r="Q538" i="4"/>
  <c r="IB219" i="5" s="1"/>
  <c r="R538" i="4"/>
  <c r="IC219" i="5" s="1"/>
  <c r="S538" i="4"/>
  <c r="ID219" i="5" s="1"/>
  <c r="T538" i="4"/>
  <c r="IE219" i="5" s="1"/>
  <c r="U538" i="4"/>
  <c r="IF219" i="5" s="1"/>
  <c r="V538" i="4"/>
  <c r="IG219" i="5" s="1"/>
  <c r="W538" i="4"/>
  <c r="IH219" i="5" s="1"/>
  <c r="G539" i="4"/>
  <c r="IO219" i="5" s="1"/>
  <c r="H539" i="4"/>
  <c r="IP219" i="5" s="1"/>
  <c r="I539" i="4"/>
  <c r="IQ219" i="5" s="1"/>
  <c r="J539" i="4"/>
  <c r="IR219" i="5" s="1"/>
  <c r="K539" i="4"/>
  <c r="IS219" i="5" s="1"/>
  <c r="L539" i="4"/>
  <c r="IT219" i="5" s="1"/>
  <c r="M539" i="4"/>
  <c r="IU219" i="5" s="1"/>
  <c r="N539" i="4"/>
  <c r="IV219" i="5" s="1"/>
  <c r="O539" i="4"/>
  <c r="F220" i="5" s="1"/>
  <c r="P539" i="4"/>
  <c r="G220" i="5" s="1"/>
  <c r="Q539" i="4"/>
  <c r="H220" i="5" s="1"/>
  <c r="R539" i="4"/>
  <c r="I220" i="5" s="1"/>
  <c r="S539" i="4"/>
  <c r="J220" i="5" s="1"/>
  <c r="T539" i="4"/>
  <c r="K220" i="5" s="1"/>
  <c r="U539" i="4"/>
  <c r="L220" i="5" s="1"/>
  <c r="V539" i="4"/>
  <c r="M220" i="5" s="1"/>
  <c r="W539" i="4"/>
  <c r="N220" i="5" s="1"/>
  <c r="G540" i="4"/>
  <c r="U220" i="5" s="1"/>
  <c r="H540" i="4"/>
  <c r="V220" i="5" s="1"/>
  <c r="I540" i="4"/>
  <c r="W220" i="5" s="1"/>
  <c r="J540" i="4"/>
  <c r="X220" i="5" s="1"/>
  <c r="K540" i="4"/>
  <c r="Y220" i="5" s="1"/>
  <c r="L540" i="4"/>
  <c r="Z220" i="5" s="1"/>
  <c r="M540" i="4"/>
  <c r="AA220" i="5" s="1"/>
  <c r="N540" i="4"/>
  <c r="AB220" i="5" s="1"/>
  <c r="O540" i="4"/>
  <c r="AC220" i="5" s="1"/>
  <c r="P540" i="4"/>
  <c r="AD220" i="5" s="1"/>
  <c r="Q540" i="4"/>
  <c r="AE220" i="5" s="1"/>
  <c r="R540" i="4"/>
  <c r="AF220" i="5" s="1"/>
  <c r="S540" i="4"/>
  <c r="AG220" i="5" s="1"/>
  <c r="T540" i="4"/>
  <c r="AH220" i="5" s="1"/>
  <c r="U540" i="4"/>
  <c r="AI220" i="5" s="1"/>
  <c r="V540" i="4"/>
  <c r="AJ220" i="5" s="1"/>
  <c r="W540" i="4"/>
  <c r="AK220" i="5" s="1"/>
  <c r="G541" i="4"/>
  <c r="AR220" i="5" s="1"/>
  <c r="H541" i="4"/>
  <c r="AS220" i="5" s="1"/>
  <c r="I541" i="4"/>
  <c r="AT220" i="5" s="1"/>
  <c r="J541" i="4"/>
  <c r="AU220" i="5" s="1"/>
  <c r="K541" i="4"/>
  <c r="AV220" i="5" s="1"/>
  <c r="L541" i="4"/>
  <c r="AW220" i="5" s="1"/>
  <c r="M541" i="4"/>
  <c r="AX220" i="5" s="1"/>
  <c r="N541" i="4"/>
  <c r="AY220" i="5" s="1"/>
  <c r="O541" i="4"/>
  <c r="AZ220" i="5" s="1"/>
  <c r="P541" i="4"/>
  <c r="BA220" i="5" s="1"/>
  <c r="Q541" i="4"/>
  <c r="BB220" i="5" s="1"/>
  <c r="R541" i="4"/>
  <c r="BC220" i="5" s="1"/>
  <c r="S541" i="4"/>
  <c r="BD220" i="5" s="1"/>
  <c r="T541" i="4"/>
  <c r="BE220" i="5" s="1"/>
  <c r="U541" i="4"/>
  <c r="BF220" i="5" s="1"/>
  <c r="V541" i="4"/>
  <c r="BG220" i="5" s="1"/>
  <c r="W541" i="4"/>
  <c r="BH220" i="5" s="1"/>
  <c r="G542" i="4"/>
  <c r="BO220" i="5" s="1"/>
  <c r="H542" i="4"/>
  <c r="BP220" i="5" s="1"/>
  <c r="I542" i="4"/>
  <c r="BQ220" i="5" s="1"/>
  <c r="J542" i="4"/>
  <c r="BR220" i="5" s="1"/>
  <c r="K542" i="4"/>
  <c r="BS220" i="5" s="1"/>
  <c r="L542" i="4"/>
  <c r="BT220" i="5" s="1"/>
  <c r="M542" i="4"/>
  <c r="BU220" i="5" s="1"/>
  <c r="N542" i="4"/>
  <c r="BV220" i="5" s="1"/>
  <c r="O542" i="4"/>
  <c r="BW220" i="5" s="1"/>
  <c r="P542" i="4"/>
  <c r="BX220" i="5" s="1"/>
  <c r="Q542" i="4"/>
  <c r="BY220" i="5" s="1"/>
  <c r="R542" i="4"/>
  <c r="BZ220" i="5" s="1"/>
  <c r="S542" i="4"/>
  <c r="CA220" i="5" s="1"/>
  <c r="T542" i="4"/>
  <c r="CB220" i="5" s="1"/>
  <c r="U542" i="4"/>
  <c r="CC220" i="5" s="1"/>
  <c r="V542" i="4"/>
  <c r="CD220" i="5" s="1"/>
  <c r="W542" i="4"/>
  <c r="CE220" i="5" s="1"/>
  <c r="G543" i="4"/>
  <c r="CL220" i="5" s="1"/>
  <c r="H543" i="4"/>
  <c r="CM220" i="5" s="1"/>
  <c r="I543" i="4"/>
  <c r="CN220" i="5" s="1"/>
  <c r="J543" i="4"/>
  <c r="CO220" i="5" s="1"/>
  <c r="K543" i="4"/>
  <c r="CP220" i="5" s="1"/>
  <c r="L543" i="4"/>
  <c r="CQ220" i="5" s="1"/>
  <c r="M543" i="4"/>
  <c r="CR220" i="5" s="1"/>
  <c r="N543" i="4"/>
  <c r="CS220" i="5" s="1"/>
  <c r="O543" i="4"/>
  <c r="CT220" i="5" s="1"/>
  <c r="P543" i="4"/>
  <c r="CU220" i="5" s="1"/>
  <c r="Q543" i="4"/>
  <c r="CV220" i="5" s="1"/>
  <c r="R543" i="4"/>
  <c r="CW220" i="5" s="1"/>
  <c r="S543" i="4"/>
  <c r="CX220" i="5" s="1"/>
  <c r="T543" i="4"/>
  <c r="CY220" i="5" s="1"/>
  <c r="U543" i="4"/>
  <c r="CZ220" i="5" s="1"/>
  <c r="V543" i="4"/>
  <c r="DA220" i="5" s="1"/>
  <c r="W543" i="4"/>
  <c r="DB220" i="5" s="1"/>
  <c r="G544" i="4"/>
  <c r="DI220" i="5" s="1"/>
  <c r="H544" i="4"/>
  <c r="DJ220" i="5" s="1"/>
  <c r="I544" i="4"/>
  <c r="DK220" i="5" s="1"/>
  <c r="J544" i="4"/>
  <c r="DL220" i="5" s="1"/>
  <c r="K544" i="4"/>
  <c r="DM220" i="5" s="1"/>
  <c r="L544" i="4"/>
  <c r="DN220" i="5" s="1"/>
  <c r="M544" i="4"/>
  <c r="DO220" i="5" s="1"/>
  <c r="N544" i="4"/>
  <c r="DP220" i="5" s="1"/>
  <c r="O544" i="4"/>
  <c r="DQ220" i="5" s="1"/>
  <c r="P544" i="4"/>
  <c r="DR220" i="5" s="1"/>
  <c r="Q544" i="4"/>
  <c r="DS220" i="5" s="1"/>
  <c r="R544" i="4"/>
  <c r="DT220" i="5" s="1"/>
  <c r="S544" i="4"/>
  <c r="DU220" i="5" s="1"/>
  <c r="T544" i="4"/>
  <c r="DV220" i="5" s="1"/>
  <c r="U544" i="4"/>
  <c r="DW220" i="5" s="1"/>
  <c r="V544" i="4"/>
  <c r="DX220" i="5" s="1"/>
  <c r="W544" i="4"/>
  <c r="DY220" i="5" s="1"/>
  <c r="G545" i="4"/>
  <c r="EF220" i="5" s="1"/>
  <c r="H545" i="4"/>
  <c r="EG220" i="5" s="1"/>
  <c r="I545" i="4"/>
  <c r="EH220" i="5" s="1"/>
  <c r="J545" i="4"/>
  <c r="EI220" i="5" s="1"/>
  <c r="K545" i="4"/>
  <c r="EJ220" i="5" s="1"/>
  <c r="L545" i="4"/>
  <c r="EK220" i="5" s="1"/>
  <c r="M545" i="4"/>
  <c r="EL220" i="5" s="1"/>
  <c r="N545" i="4"/>
  <c r="EM220" i="5" s="1"/>
  <c r="O545" i="4"/>
  <c r="EN220" i="5" s="1"/>
  <c r="P545" i="4"/>
  <c r="EO220" i="5" s="1"/>
  <c r="Q545" i="4"/>
  <c r="EP220" i="5" s="1"/>
  <c r="R545" i="4"/>
  <c r="EQ220" i="5" s="1"/>
  <c r="S545" i="4"/>
  <c r="ER220" i="5" s="1"/>
  <c r="T545" i="4"/>
  <c r="ES220" i="5" s="1"/>
  <c r="U545" i="4"/>
  <c r="ET220" i="5" s="1"/>
  <c r="V545" i="4"/>
  <c r="EU220" i="5" s="1"/>
  <c r="W545" i="4"/>
  <c r="EV220" i="5" s="1"/>
  <c r="G546" i="4"/>
  <c r="FC220" i="5" s="1"/>
  <c r="H546" i="4"/>
  <c r="FD220" i="5" s="1"/>
  <c r="I546" i="4"/>
  <c r="FE220" i="5" s="1"/>
  <c r="J546" i="4"/>
  <c r="FF220" i="5" s="1"/>
  <c r="K546" i="4"/>
  <c r="FG220" i="5" s="1"/>
  <c r="L546" i="4"/>
  <c r="FH220" i="5" s="1"/>
  <c r="M546" i="4"/>
  <c r="FI220" i="5" s="1"/>
  <c r="N546" i="4"/>
  <c r="FJ220" i="5" s="1"/>
  <c r="O546" i="4"/>
  <c r="FK220" i="5" s="1"/>
  <c r="P546" i="4"/>
  <c r="FL220" i="5" s="1"/>
  <c r="Q546" i="4"/>
  <c r="FM220" i="5" s="1"/>
  <c r="R546" i="4"/>
  <c r="FN220" i="5" s="1"/>
  <c r="S546" i="4"/>
  <c r="FO220" i="5" s="1"/>
  <c r="T546" i="4"/>
  <c r="FP220" i="5" s="1"/>
  <c r="U546" i="4"/>
  <c r="FQ220" i="5" s="1"/>
  <c r="V546" i="4"/>
  <c r="FR220" i="5" s="1"/>
  <c r="W546" i="4"/>
  <c r="FS220" i="5" s="1"/>
  <c r="G547" i="4"/>
  <c r="FZ220" i="5" s="1"/>
  <c r="H547" i="4"/>
  <c r="GA220" i="5" s="1"/>
  <c r="I547" i="4"/>
  <c r="GB220" i="5" s="1"/>
  <c r="J547" i="4"/>
  <c r="GC220" i="5" s="1"/>
  <c r="K547" i="4"/>
  <c r="GD220" i="5" s="1"/>
  <c r="L547" i="4"/>
  <c r="GE220" i="5" s="1"/>
  <c r="M547" i="4"/>
  <c r="GF220" i="5" s="1"/>
  <c r="N547" i="4"/>
  <c r="GG220" i="5" s="1"/>
  <c r="O547" i="4"/>
  <c r="GH220" i="5" s="1"/>
  <c r="P547" i="4"/>
  <c r="GI220" i="5" s="1"/>
  <c r="Q547" i="4"/>
  <c r="GJ220" i="5" s="1"/>
  <c r="R547" i="4"/>
  <c r="GK220" i="5" s="1"/>
  <c r="S547" i="4"/>
  <c r="GL220" i="5" s="1"/>
  <c r="T547" i="4"/>
  <c r="GM220" i="5" s="1"/>
  <c r="U547" i="4"/>
  <c r="GN220" i="5" s="1"/>
  <c r="V547" i="4"/>
  <c r="GO220" i="5" s="1"/>
  <c r="W547" i="4"/>
  <c r="GP220" i="5" s="1"/>
  <c r="G548" i="4"/>
  <c r="GW220" i="5" s="1"/>
  <c r="H548" i="4"/>
  <c r="GX220" i="5" s="1"/>
  <c r="I548" i="4"/>
  <c r="GY220" i="5" s="1"/>
  <c r="J548" i="4"/>
  <c r="GZ220" i="5" s="1"/>
  <c r="K548" i="4"/>
  <c r="HA220" i="5" s="1"/>
  <c r="L548" i="4"/>
  <c r="HB220" i="5" s="1"/>
  <c r="M548" i="4"/>
  <c r="HC220" i="5" s="1"/>
  <c r="N548" i="4"/>
  <c r="HD220" i="5" s="1"/>
  <c r="O548" i="4"/>
  <c r="HE220" i="5" s="1"/>
  <c r="P548" i="4"/>
  <c r="HF220" i="5" s="1"/>
  <c r="Q548" i="4"/>
  <c r="HG220" i="5" s="1"/>
  <c r="R548" i="4"/>
  <c r="HH220" i="5" s="1"/>
  <c r="S548" i="4"/>
  <c r="HI220" i="5" s="1"/>
  <c r="T548" i="4"/>
  <c r="HJ220" i="5" s="1"/>
  <c r="U548" i="4"/>
  <c r="HK220" i="5" s="1"/>
  <c r="V548" i="4"/>
  <c r="HL220" i="5" s="1"/>
  <c r="W548" i="4"/>
  <c r="HM220" i="5" s="1"/>
  <c r="G549" i="4"/>
  <c r="HT220" i="5" s="1"/>
  <c r="H549" i="4"/>
  <c r="HU220" i="5" s="1"/>
  <c r="I549" i="4"/>
  <c r="HV220" i="5" s="1"/>
  <c r="J549" i="4"/>
  <c r="HW220" i="5" s="1"/>
  <c r="K549" i="4"/>
  <c r="HX220" i="5" s="1"/>
  <c r="L549" i="4"/>
  <c r="HY220" i="5" s="1"/>
  <c r="M549" i="4"/>
  <c r="HZ220" i="5" s="1"/>
  <c r="N549" i="4"/>
  <c r="IA220" i="5" s="1"/>
  <c r="O549" i="4"/>
  <c r="IB220" i="5" s="1"/>
  <c r="P549" i="4"/>
  <c r="IC220" i="5" s="1"/>
  <c r="Q549" i="4"/>
  <c r="ID220" i="5" s="1"/>
  <c r="R549" i="4"/>
  <c r="IE220" i="5" s="1"/>
  <c r="S549" i="4"/>
  <c r="IF220" i="5" s="1"/>
  <c r="T549" i="4"/>
  <c r="IG220" i="5" s="1"/>
  <c r="U549" i="4"/>
  <c r="IH220" i="5" s="1"/>
  <c r="V549" i="4"/>
  <c r="II220" i="5" s="1"/>
  <c r="W549" i="4"/>
  <c r="IJ220" i="5" s="1"/>
  <c r="G550" i="4"/>
  <c r="IQ220" i="5" s="1"/>
  <c r="H550" i="4"/>
  <c r="IR220" i="5" s="1"/>
  <c r="I550" i="4"/>
  <c r="IS220" i="5" s="1"/>
  <c r="J550" i="4"/>
  <c r="IT220" i="5" s="1"/>
  <c r="K550" i="4"/>
  <c r="IU220" i="5" s="1"/>
  <c r="L550" i="4"/>
  <c r="IV220" i="5" s="1"/>
  <c r="M550" i="4"/>
  <c r="F221" i="5" s="1"/>
  <c r="N550" i="4"/>
  <c r="G221" i="5" s="1"/>
  <c r="O550" i="4"/>
  <c r="H221" i="5" s="1"/>
  <c r="P550" i="4"/>
  <c r="I221" i="5" s="1"/>
  <c r="Q550" i="4"/>
  <c r="J221" i="5" s="1"/>
  <c r="R550" i="4"/>
  <c r="K221" i="5" s="1"/>
  <c r="S550" i="4"/>
  <c r="L221" i="5" s="1"/>
  <c r="T550" i="4"/>
  <c r="M221" i="5" s="1"/>
  <c r="U550" i="4"/>
  <c r="N221" i="5" s="1"/>
  <c r="V550" i="4"/>
  <c r="O221" i="5" s="1"/>
  <c r="W550" i="4"/>
  <c r="P221" i="5" s="1"/>
  <c r="G551" i="4"/>
  <c r="W221" i="5" s="1"/>
  <c r="H551" i="4"/>
  <c r="X221" i="5" s="1"/>
  <c r="I551" i="4"/>
  <c r="Y221" i="5" s="1"/>
  <c r="J551" i="4"/>
  <c r="Z221" i="5" s="1"/>
  <c r="K551" i="4"/>
  <c r="AA221" i="5" s="1"/>
  <c r="L551" i="4"/>
  <c r="AB221" i="5" s="1"/>
  <c r="M551" i="4"/>
  <c r="AC221" i="5" s="1"/>
  <c r="N551" i="4"/>
  <c r="AD221" i="5" s="1"/>
  <c r="O551" i="4"/>
  <c r="AE221" i="5" s="1"/>
  <c r="P551" i="4"/>
  <c r="AF221" i="5" s="1"/>
  <c r="Q551" i="4"/>
  <c r="AG221" i="5" s="1"/>
  <c r="R551" i="4"/>
  <c r="AH221" i="5" s="1"/>
  <c r="S551" i="4"/>
  <c r="AI221" i="5" s="1"/>
  <c r="T551" i="4"/>
  <c r="AJ221" i="5" s="1"/>
  <c r="U551" i="4"/>
  <c r="AK221" i="5" s="1"/>
  <c r="V551" i="4"/>
  <c r="AL221" i="5" s="1"/>
  <c r="W551" i="4"/>
  <c r="AM221" i="5" s="1"/>
  <c r="G552" i="4"/>
  <c r="AT221" i="5" s="1"/>
  <c r="H552" i="4"/>
  <c r="AU221" i="5" s="1"/>
  <c r="I552" i="4"/>
  <c r="AV221" i="5" s="1"/>
  <c r="J552" i="4"/>
  <c r="AW221" i="5" s="1"/>
  <c r="K552" i="4"/>
  <c r="AX221" i="5" s="1"/>
  <c r="L552" i="4"/>
  <c r="AY221" i="5" s="1"/>
  <c r="M552" i="4"/>
  <c r="AZ221" i="5" s="1"/>
  <c r="N552" i="4"/>
  <c r="BA221" i="5" s="1"/>
  <c r="O552" i="4"/>
  <c r="BB221" i="5" s="1"/>
  <c r="P552" i="4"/>
  <c r="BC221" i="5" s="1"/>
  <c r="Q552" i="4"/>
  <c r="BD221" i="5" s="1"/>
  <c r="R552" i="4"/>
  <c r="BE221" i="5" s="1"/>
  <c r="S552" i="4"/>
  <c r="BF221" i="5" s="1"/>
  <c r="T552" i="4"/>
  <c r="BG221" i="5" s="1"/>
  <c r="U552" i="4"/>
  <c r="BH221" i="5" s="1"/>
  <c r="V552" i="4"/>
  <c r="BI221" i="5" s="1"/>
  <c r="W552" i="4"/>
  <c r="BJ221" i="5" s="1"/>
  <c r="G553" i="4"/>
  <c r="BQ221" i="5" s="1"/>
  <c r="H553" i="4"/>
  <c r="BR221" i="5" s="1"/>
  <c r="I553" i="4"/>
  <c r="BS221" i="5" s="1"/>
  <c r="J553" i="4"/>
  <c r="BT221" i="5" s="1"/>
  <c r="K553" i="4"/>
  <c r="BU221" i="5" s="1"/>
  <c r="L553" i="4"/>
  <c r="BV221" i="5" s="1"/>
  <c r="M553" i="4"/>
  <c r="BW221" i="5" s="1"/>
  <c r="N553" i="4"/>
  <c r="BX221" i="5" s="1"/>
  <c r="O553" i="4"/>
  <c r="BY221" i="5" s="1"/>
  <c r="P553" i="4"/>
  <c r="BZ221" i="5" s="1"/>
  <c r="Q553" i="4"/>
  <c r="CA221" i="5" s="1"/>
  <c r="R553" i="4"/>
  <c r="CB221" i="5" s="1"/>
  <c r="S553" i="4"/>
  <c r="CC221" i="5" s="1"/>
  <c r="T553" i="4"/>
  <c r="CD221" i="5" s="1"/>
  <c r="U553" i="4"/>
  <c r="CE221" i="5" s="1"/>
  <c r="V553" i="4"/>
  <c r="CF221" i="5" s="1"/>
  <c r="W553" i="4"/>
  <c r="CG221" i="5" s="1"/>
  <c r="G554" i="4"/>
  <c r="CN221" i="5" s="1"/>
  <c r="H554" i="4"/>
  <c r="CO221" i="5" s="1"/>
  <c r="I554" i="4"/>
  <c r="CP221" i="5" s="1"/>
  <c r="J554" i="4"/>
  <c r="CQ221" i="5" s="1"/>
  <c r="K554" i="4"/>
  <c r="CR221" i="5" s="1"/>
  <c r="L554" i="4"/>
  <c r="CS221" i="5" s="1"/>
  <c r="M554" i="4"/>
  <c r="CT221" i="5" s="1"/>
  <c r="N554" i="4"/>
  <c r="CU221" i="5" s="1"/>
  <c r="O554" i="4"/>
  <c r="CV221" i="5" s="1"/>
  <c r="P554" i="4"/>
  <c r="CW221" i="5" s="1"/>
  <c r="Q554" i="4"/>
  <c r="CX221" i="5" s="1"/>
  <c r="R554" i="4"/>
  <c r="CY221" i="5" s="1"/>
  <c r="S554" i="4"/>
  <c r="CZ221" i="5" s="1"/>
  <c r="T554" i="4"/>
  <c r="DA221" i="5" s="1"/>
  <c r="U554" i="4"/>
  <c r="DB221" i="5" s="1"/>
  <c r="V554" i="4"/>
  <c r="DC221" i="5" s="1"/>
  <c r="W554" i="4"/>
  <c r="DD221" i="5" s="1"/>
  <c r="G555" i="4"/>
  <c r="DK221" i="5" s="1"/>
  <c r="H555" i="4"/>
  <c r="DL221" i="5" s="1"/>
  <c r="I555" i="4"/>
  <c r="DM221" i="5" s="1"/>
  <c r="J555" i="4"/>
  <c r="DN221" i="5" s="1"/>
  <c r="K555" i="4"/>
  <c r="DO221" i="5" s="1"/>
  <c r="L555" i="4"/>
  <c r="DP221" i="5" s="1"/>
  <c r="M555" i="4"/>
  <c r="DQ221" i="5" s="1"/>
  <c r="N555" i="4"/>
  <c r="DR221" i="5" s="1"/>
  <c r="O555" i="4"/>
  <c r="DS221" i="5" s="1"/>
  <c r="P555" i="4"/>
  <c r="DT221" i="5" s="1"/>
  <c r="Q555" i="4"/>
  <c r="DU221" i="5" s="1"/>
  <c r="R555" i="4"/>
  <c r="DV221" i="5" s="1"/>
  <c r="S555" i="4"/>
  <c r="DW221" i="5" s="1"/>
  <c r="T555" i="4"/>
  <c r="DX221" i="5" s="1"/>
  <c r="U555" i="4"/>
  <c r="DY221" i="5" s="1"/>
  <c r="V555" i="4"/>
  <c r="DZ221" i="5" s="1"/>
  <c r="W555" i="4"/>
  <c r="EA221" i="5" s="1"/>
  <c r="G556" i="4"/>
  <c r="EH221" i="5" s="1"/>
  <c r="H556" i="4"/>
  <c r="EI221" i="5" s="1"/>
  <c r="I556" i="4"/>
  <c r="EJ221" i="5" s="1"/>
  <c r="J556" i="4"/>
  <c r="EK221" i="5" s="1"/>
  <c r="K556" i="4"/>
  <c r="EL221" i="5" s="1"/>
  <c r="L556" i="4"/>
  <c r="EM221" i="5" s="1"/>
  <c r="M556" i="4"/>
  <c r="EN221" i="5" s="1"/>
  <c r="N556" i="4"/>
  <c r="EO221" i="5" s="1"/>
  <c r="O556" i="4"/>
  <c r="EP221" i="5" s="1"/>
  <c r="P556" i="4"/>
  <c r="EQ221" i="5" s="1"/>
  <c r="Q556" i="4"/>
  <c r="ER221" i="5" s="1"/>
  <c r="R556" i="4"/>
  <c r="ES221" i="5" s="1"/>
  <c r="S556" i="4"/>
  <c r="ET221" i="5" s="1"/>
  <c r="T556" i="4"/>
  <c r="EU221" i="5" s="1"/>
  <c r="U556" i="4"/>
  <c r="EV221" i="5" s="1"/>
  <c r="V556" i="4"/>
  <c r="EW221" i="5" s="1"/>
  <c r="W556" i="4"/>
  <c r="EX221" i="5" s="1"/>
  <c r="G557" i="4"/>
  <c r="FE221" i="5" s="1"/>
  <c r="H557" i="4"/>
  <c r="FF221" i="5" s="1"/>
  <c r="I557" i="4"/>
  <c r="FG221" i="5" s="1"/>
  <c r="J557" i="4"/>
  <c r="FH221" i="5" s="1"/>
  <c r="K557" i="4"/>
  <c r="FI221" i="5" s="1"/>
  <c r="L557" i="4"/>
  <c r="FJ221" i="5" s="1"/>
  <c r="M557" i="4"/>
  <c r="FK221" i="5" s="1"/>
  <c r="N557" i="4"/>
  <c r="FL221" i="5" s="1"/>
  <c r="O557" i="4"/>
  <c r="FM221" i="5" s="1"/>
  <c r="P557" i="4"/>
  <c r="FN221" i="5" s="1"/>
  <c r="Q557" i="4"/>
  <c r="FO221" i="5" s="1"/>
  <c r="R557" i="4"/>
  <c r="FP221" i="5" s="1"/>
  <c r="S557" i="4"/>
  <c r="FQ221" i="5" s="1"/>
  <c r="T557" i="4"/>
  <c r="FR221" i="5" s="1"/>
  <c r="U557" i="4"/>
  <c r="FS221" i="5" s="1"/>
  <c r="V557" i="4"/>
  <c r="FT221" i="5" s="1"/>
  <c r="W557" i="4"/>
  <c r="FU221" i="5" s="1"/>
  <c r="G558" i="4"/>
  <c r="GB221" i="5" s="1"/>
  <c r="H558" i="4"/>
  <c r="GC221" i="5" s="1"/>
  <c r="I558" i="4"/>
  <c r="GD221" i="5" s="1"/>
  <c r="J558" i="4"/>
  <c r="GE221" i="5" s="1"/>
  <c r="K558" i="4"/>
  <c r="GF221" i="5" s="1"/>
  <c r="L558" i="4"/>
  <c r="GG221" i="5" s="1"/>
  <c r="M558" i="4"/>
  <c r="GH221" i="5" s="1"/>
  <c r="N558" i="4"/>
  <c r="GI221" i="5" s="1"/>
  <c r="O558" i="4"/>
  <c r="GJ221" i="5" s="1"/>
  <c r="P558" i="4"/>
  <c r="GK221" i="5" s="1"/>
  <c r="Q558" i="4"/>
  <c r="GL221" i="5" s="1"/>
  <c r="R558" i="4"/>
  <c r="GM221" i="5" s="1"/>
  <c r="S558" i="4"/>
  <c r="GN221" i="5" s="1"/>
  <c r="T558" i="4"/>
  <c r="GO221" i="5" s="1"/>
  <c r="U558" i="4"/>
  <c r="GP221" i="5" s="1"/>
  <c r="V558" i="4"/>
  <c r="GQ221" i="5" s="1"/>
  <c r="W558" i="4"/>
  <c r="GR221" i="5" s="1"/>
  <c r="G559" i="4"/>
  <c r="GY221" i="5" s="1"/>
  <c r="H559" i="4"/>
  <c r="GZ221" i="5" s="1"/>
  <c r="I559" i="4"/>
  <c r="HA221" i="5" s="1"/>
  <c r="J559" i="4"/>
  <c r="HB221" i="5" s="1"/>
  <c r="K559" i="4"/>
  <c r="HC221" i="5" s="1"/>
  <c r="L559" i="4"/>
  <c r="HD221" i="5" s="1"/>
  <c r="M559" i="4"/>
  <c r="HE221" i="5" s="1"/>
  <c r="N559" i="4"/>
  <c r="HF221" i="5" s="1"/>
  <c r="O559" i="4"/>
  <c r="HG221" i="5" s="1"/>
  <c r="P559" i="4"/>
  <c r="HH221" i="5" s="1"/>
  <c r="Q559" i="4"/>
  <c r="HI221" i="5" s="1"/>
  <c r="R559" i="4"/>
  <c r="HJ221" i="5" s="1"/>
  <c r="S559" i="4"/>
  <c r="HK221" i="5" s="1"/>
  <c r="T559" i="4"/>
  <c r="HL221" i="5" s="1"/>
  <c r="U559" i="4"/>
  <c r="HM221" i="5" s="1"/>
  <c r="V559" i="4"/>
  <c r="HN221" i="5" s="1"/>
  <c r="W559" i="4"/>
  <c r="HO221" i="5" s="1"/>
  <c r="G560" i="4"/>
  <c r="HV221" i="5" s="1"/>
  <c r="H560" i="4"/>
  <c r="HW221" i="5" s="1"/>
  <c r="I560" i="4"/>
  <c r="HX221" i="5" s="1"/>
  <c r="J560" i="4"/>
  <c r="HY221" i="5" s="1"/>
  <c r="K560" i="4"/>
  <c r="HZ221" i="5" s="1"/>
  <c r="L560" i="4"/>
  <c r="IA221" i="5" s="1"/>
  <c r="M560" i="4"/>
  <c r="IB221" i="5" s="1"/>
  <c r="N560" i="4"/>
  <c r="IC221" i="5" s="1"/>
  <c r="O560" i="4"/>
  <c r="ID221" i="5" s="1"/>
  <c r="P560" i="4"/>
  <c r="IE221" i="5" s="1"/>
  <c r="Q560" i="4"/>
  <c r="IF221" i="5" s="1"/>
  <c r="R560" i="4"/>
  <c r="IG221" i="5" s="1"/>
  <c r="S560" i="4"/>
  <c r="IH221" i="5" s="1"/>
  <c r="T560" i="4"/>
  <c r="II221" i="5" s="1"/>
  <c r="U560" i="4"/>
  <c r="IJ221" i="5" s="1"/>
  <c r="V560" i="4"/>
  <c r="IK221" i="5" s="1"/>
  <c r="W560" i="4"/>
  <c r="IL221" i="5" s="1"/>
  <c r="G561" i="4"/>
  <c r="IS221" i="5" s="1"/>
  <c r="H561" i="4"/>
  <c r="IT221" i="5" s="1"/>
  <c r="I561" i="4"/>
  <c r="IU221" i="5" s="1"/>
  <c r="J561" i="4"/>
  <c r="IV221" i="5" s="1"/>
  <c r="K561" i="4"/>
  <c r="F222" i="5" s="1"/>
  <c r="L561" i="4"/>
  <c r="G222" i="5" s="1"/>
  <c r="M561" i="4"/>
  <c r="H222" i="5" s="1"/>
  <c r="N561" i="4"/>
  <c r="I222" i="5" s="1"/>
  <c r="O561" i="4"/>
  <c r="J222" i="5" s="1"/>
  <c r="P561" i="4"/>
  <c r="K222" i="5" s="1"/>
  <c r="Q561" i="4"/>
  <c r="L222" i="5" s="1"/>
  <c r="R561" i="4"/>
  <c r="M222" i="5" s="1"/>
  <c r="S561" i="4"/>
  <c r="N222" i="5" s="1"/>
  <c r="T561" i="4"/>
  <c r="O222" i="5" s="1"/>
  <c r="U561" i="4"/>
  <c r="P222" i="5" s="1"/>
  <c r="V561" i="4"/>
  <c r="Q222" i="5" s="1"/>
  <c r="W561" i="4"/>
  <c r="R222" i="5" s="1"/>
  <c r="G562" i="4"/>
  <c r="Y222" i="5" s="1"/>
  <c r="H562" i="4"/>
  <c r="Z222" i="5" s="1"/>
  <c r="I562" i="4"/>
  <c r="AA222" i="5" s="1"/>
  <c r="J562" i="4"/>
  <c r="AB222" i="5" s="1"/>
  <c r="K562" i="4"/>
  <c r="AC222" i="5" s="1"/>
  <c r="L562" i="4"/>
  <c r="AD222" i="5" s="1"/>
  <c r="M562" i="4"/>
  <c r="AE222" i="5" s="1"/>
  <c r="N562" i="4"/>
  <c r="AF222" i="5" s="1"/>
  <c r="O562" i="4"/>
  <c r="AG222" i="5" s="1"/>
  <c r="P562" i="4"/>
  <c r="AH222" i="5" s="1"/>
  <c r="Q562" i="4"/>
  <c r="AI222" i="5" s="1"/>
  <c r="R562" i="4"/>
  <c r="AJ222" i="5" s="1"/>
  <c r="S562" i="4"/>
  <c r="AK222" i="5" s="1"/>
  <c r="T562" i="4"/>
  <c r="AL222" i="5" s="1"/>
  <c r="U562" i="4"/>
  <c r="AM222" i="5" s="1"/>
  <c r="V562" i="4"/>
  <c r="AN222" i="5" s="1"/>
  <c r="W562" i="4"/>
  <c r="AO222" i="5" s="1"/>
  <c r="G563" i="4"/>
  <c r="AV222" i="5" s="1"/>
  <c r="H563" i="4"/>
  <c r="AW222" i="5" s="1"/>
  <c r="I563" i="4"/>
  <c r="AX222" i="5" s="1"/>
  <c r="J563" i="4"/>
  <c r="AY222" i="5" s="1"/>
  <c r="K563" i="4"/>
  <c r="AZ222" i="5" s="1"/>
  <c r="L563" i="4"/>
  <c r="BA222" i="5" s="1"/>
  <c r="M563" i="4"/>
  <c r="BB222" i="5" s="1"/>
  <c r="N563" i="4"/>
  <c r="BC222" i="5" s="1"/>
  <c r="O563" i="4"/>
  <c r="BD222" i="5" s="1"/>
  <c r="P563" i="4"/>
  <c r="BE222" i="5" s="1"/>
  <c r="Q563" i="4"/>
  <c r="BF222" i="5" s="1"/>
  <c r="R563" i="4"/>
  <c r="BG222" i="5" s="1"/>
  <c r="S563" i="4"/>
  <c r="BH222" i="5" s="1"/>
  <c r="T563" i="4"/>
  <c r="BI222" i="5" s="1"/>
  <c r="U563" i="4"/>
  <c r="BJ222" i="5" s="1"/>
  <c r="V563" i="4"/>
  <c r="BK222" i="5" s="1"/>
  <c r="W563" i="4"/>
  <c r="BL222" i="5" s="1"/>
  <c r="G564" i="4"/>
  <c r="BS222" i="5" s="1"/>
  <c r="H564" i="4"/>
  <c r="BT222" i="5" s="1"/>
  <c r="I564" i="4"/>
  <c r="BU222" i="5" s="1"/>
  <c r="J564" i="4"/>
  <c r="BV222" i="5" s="1"/>
  <c r="K564" i="4"/>
  <c r="BW222" i="5" s="1"/>
  <c r="L564" i="4"/>
  <c r="BX222" i="5" s="1"/>
  <c r="M564" i="4"/>
  <c r="BY222" i="5" s="1"/>
  <c r="N564" i="4"/>
  <c r="BZ222" i="5" s="1"/>
  <c r="O564" i="4"/>
  <c r="CA222" i="5" s="1"/>
  <c r="P564" i="4"/>
  <c r="CB222" i="5" s="1"/>
  <c r="Q564" i="4"/>
  <c r="CC222" i="5" s="1"/>
  <c r="R564" i="4"/>
  <c r="CD222" i="5" s="1"/>
  <c r="S564" i="4"/>
  <c r="CE222" i="5" s="1"/>
  <c r="T564" i="4"/>
  <c r="CF222" i="5" s="1"/>
  <c r="U564" i="4"/>
  <c r="CG222" i="5" s="1"/>
  <c r="V564" i="4"/>
  <c r="CH222" i="5" s="1"/>
  <c r="W564" i="4"/>
  <c r="CI222" i="5" s="1"/>
  <c r="G565" i="4"/>
  <c r="CP222" i="5" s="1"/>
  <c r="H565" i="4"/>
  <c r="CQ222" i="5" s="1"/>
  <c r="I565" i="4"/>
  <c r="CR222" i="5" s="1"/>
  <c r="J565" i="4"/>
  <c r="CS222" i="5" s="1"/>
  <c r="K565" i="4"/>
  <c r="CT222" i="5" s="1"/>
  <c r="L565" i="4"/>
  <c r="CU222" i="5" s="1"/>
  <c r="M565" i="4"/>
  <c r="CV222" i="5" s="1"/>
  <c r="N565" i="4"/>
  <c r="CW222" i="5" s="1"/>
  <c r="O565" i="4"/>
  <c r="CX222" i="5" s="1"/>
  <c r="P565" i="4"/>
  <c r="CY222" i="5" s="1"/>
  <c r="Q565" i="4"/>
  <c r="CZ222" i="5" s="1"/>
  <c r="R565" i="4"/>
  <c r="DA222" i="5" s="1"/>
  <c r="S565" i="4"/>
  <c r="DB222" i="5" s="1"/>
  <c r="T565" i="4"/>
  <c r="DC222" i="5" s="1"/>
  <c r="U565" i="4"/>
  <c r="DD222" i="5" s="1"/>
  <c r="V565" i="4"/>
  <c r="DE222" i="5" s="1"/>
  <c r="W565" i="4"/>
  <c r="DF222" i="5" s="1"/>
  <c r="G566" i="4"/>
  <c r="DM222" i="5" s="1"/>
  <c r="H566" i="4"/>
  <c r="DN222" i="5" s="1"/>
  <c r="I566" i="4"/>
  <c r="DO222" i="5" s="1"/>
  <c r="J566" i="4"/>
  <c r="DP222" i="5" s="1"/>
  <c r="K566" i="4"/>
  <c r="DQ222" i="5" s="1"/>
  <c r="L566" i="4"/>
  <c r="DR222" i="5" s="1"/>
  <c r="M566" i="4"/>
  <c r="DS222" i="5" s="1"/>
  <c r="N566" i="4"/>
  <c r="DT222" i="5" s="1"/>
  <c r="O566" i="4"/>
  <c r="DU222" i="5" s="1"/>
  <c r="P566" i="4"/>
  <c r="DV222" i="5" s="1"/>
  <c r="Q566" i="4"/>
  <c r="DW222" i="5" s="1"/>
  <c r="R566" i="4"/>
  <c r="DX222" i="5" s="1"/>
  <c r="S566" i="4"/>
  <c r="DY222" i="5" s="1"/>
  <c r="T566" i="4"/>
  <c r="DZ222" i="5" s="1"/>
  <c r="U566" i="4"/>
  <c r="EA222" i="5" s="1"/>
  <c r="V566" i="4"/>
  <c r="EB222" i="5" s="1"/>
  <c r="W566" i="4"/>
  <c r="EC222" i="5" s="1"/>
  <c r="G567" i="4"/>
  <c r="EJ222" i="5" s="1"/>
  <c r="H567" i="4"/>
  <c r="EK222" i="5" s="1"/>
  <c r="I567" i="4"/>
  <c r="EL222" i="5" s="1"/>
  <c r="J567" i="4"/>
  <c r="EM222" i="5" s="1"/>
  <c r="K567" i="4"/>
  <c r="EN222" i="5" s="1"/>
  <c r="L567" i="4"/>
  <c r="EO222" i="5" s="1"/>
  <c r="M567" i="4"/>
  <c r="EP222" i="5" s="1"/>
  <c r="N567" i="4"/>
  <c r="EQ222" i="5" s="1"/>
  <c r="O567" i="4"/>
  <c r="ER222" i="5" s="1"/>
  <c r="P567" i="4"/>
  <c r="ES222" i="5" s="1"/>
  <c r="Q567" i="4"/>
  <c r="ET222" i="5" s="1"/>
  <c r="R567" i="4"/>
  <c r="EU222" i="5" s="1"/>
  <c r="S567" i="4"/>
  <c r="EV222" i="5" s="1"/>
  <c r="T567" i="4"/>
  <c r="EW222" i="5" s="1"/>
  <c r="U567" i="4"/>
  <c r="EX222" i="5" s="1"/>
  <c r="V567" i="4"/>
  <c r="EY222" i="5" s="1"/>
  <c r="W567" i="4"/>
  <c r="EZ222" i="5" s="1"/>
  <c r="G568" i="4"/>
  <c r="FG222" i="5" s="1"/>
  <c r="H568" i="4"/>
  <c r="FH222" i="5" s="1"/>
  <c r="I568" i="4"/>
  <c r="FI222" i="5" s="1"/>
  <c r="J568" i="4"/>
  <c r="FJ222" i="5" s="1"/>
  <c r="K568" i="4"/>
  <c r="FK222" i="5" s="1"/>
  <c r="L568" i="4"/>
  <c r="FL222" i="5" s="1"/>
  <c r="M568" i="4"/>
  <c r="FM222" i="5" s="1"/>
  <c r="N568" i="4"/>
  <c r="FN222" i="5" s="1"/>
  <c r="O568" i="4"/>
  <c r="FO222" i="5" s="1"/>
  <c r="P568" i="4"/>
  <c r="FP222" i="5" s="1"/>
  <c r="Q568" i="4"/>
  <c r="FQ222" i="5" s="1"/>
  <c r="R568" i="4"/>
  <c r="FR222" i="5" s="1"/>
  <c r="S568" i="4"/>
  <c r="FS222" i="5" s="1"/>
  <c r="T568" i="4"/>
  <c r="FT222" i="5" s="1"/>
  <c r="U568" i="4"/>
  <c r="FU222" i="5" s="1"/>
  <c r="V568" i="4"/>
  <c r="FV222" i="5" s="1"/>
  <c r="W568" i="4"/>
  <c r="FW222" i="5" s="1"/>
  <c r="G569" i="4"/>
  <c r="GD222" i="5" s="1"/>
  <c r="H569" i="4"/>
  <c r="GE222" i="5" s="1"/>
  <c r="I569" i="4"/>
  <c r="GF222" i="5" s="1"/>
  <c r="J569" i="4"/>
  <c r="GG222" i="5" s="1"/>
  <c r="K569" i="4"/>
  <c r="GH222" i="5" s="1"/>
  <c r="L569" i="4"/>
  <c r="GI222" i="5" s="1"/>
  <c r="M569" i="4"/>
  <c r="GJ222" i="5" s="1"/>
  <c r="N569" i="4"/>
  <c r="GK222" i="5" s="1"/>
  <c r="O569" i="4"/>
  <c r="GL222" i="5" s="1"/>
  <c r="P569" i="4"/>
  <c r="GM222" i="5" s="1"/>
  <c r="Q569" i="4"/>
  <c r="GN222" i="5" s="1"/>
  <c r="R569" i="4"/>
  <c r="GO222" i="5" s="1"/>
  <c r="S569" i="4"/>
  <c r="GP222" i="5" s="1"/>
  <c r="T569" i="4"/>
  <c r="GQ222" i="5" s="1"/>
  <c r="U569" i="4"/>
  <c r="GR222" i="5" s="1"/>
  <c r="V569" i="4"/>
  <c r="GS222" i="5" s="1"/>
  <c r="W569" i="4"/>
  <c r="GT222" i="5" s="1"/>
  <c r="G570" i="4"/>
  <c r="HA222" i="5" s="1"/>
  <c r="H570" i="4"/>
  <c r="HB222" i="5" s="1"/>
  <c r="I570" i="4"/>
  <c r="HC222" i="5" s="1"/>
  <c r="J570" i="4"/>
  <c r="HD222" i="5" s="1"/>
  <c r="K570" i="4"/>
  <c r="HE222" i="5" s="1"/>
  <c r="L570" i="4"/>
  <c r="HF222" i="5" s="1"/>
  <c r="M570" i="4"/>
  <c r="HG222" i="5" s="1"/>
  <c r="N570" i="4"/>
  <c r="HH222" i="5" s="1"/>
  <c r="O570" i="4"/>
  <c r="HI222" i="5" s="1"/>
  <c r="P570" i="4"/>
  <c r="HJ222" i="5" s="1"/>
  <c r="Q570" i="4"/>
  <c r="HK222" i="5" s="1"/>
  <c r="R570" i="4"/>
  <c r="HL222" i="5" s="1"/>
  <c r="S570" i="4"/>
  <c r="HM222" i="5" s="1"/>
  <c r="T570" i="4"/>
  <c r="HN222" i="5" s="1"/>
  <c r="U570" i="4"/>
  <c r="HO222" i="5" s="1"/>
  <c r="V570" i="4"/>
  <c r="HP222" i="5" s="1"/>
  <c r="W570" i="4"/>
  <c r="HQ222" i="5" s="1"/>
  <c r="G571" i="4"/>
  <c r="HX222" i="5" s="1"/>
  <c r="H571" i="4"/>
  <c r="HY222" i="5" s="1"/>
  <c r="I571" i="4"/>
  <c r="HZ222" i="5" s="1"/>
  <c r="J571" i="4"/>
  <c r="IA222" i="5" s="1"/>
  <c r="K571" i="4"/>
  <c r="IB222" i="5" s="1"/>
  <c r="L571" i="4"/>
  <c r="IC222" i="5" s="1"/>
  <c r="M571" i="4"/>
  <c r="ID222" i="5" s="1"/>
  <c r="N571" i="4"/>
  <c r="IE222" i="5" s="1"/>
  <c r="O571" i="4"/>
  <c r="IF222" i="5" s="1"/>
  <c r="P571" i="4"/>
  <c r="IG222" i="5" s="1"/>
  <c r="Q571" i="4"/>
  <c r="IH222" i="5" s="1"/>
  <c r="R571" i="4"/>
  <c r="II222" i="5" s="1"/>
  <c r="S571" i="4"/>
  <c r="IJ222" i="5" s="1"/>
  <c r="T571" i="4"/>
  <c r="IK222" i="5" s="1"/>
  <c r="U571" i="4"/>
  <c r="IL222" i="5" s="1"/>
  <c r="V571" i="4"/>
  <c r="IM222" i="5" s="1"/>
  <c r="W571" i="4"/>
  <c r="IN222" i="5" s="1"/>
  <c r="G572" i="4"/>
  <c r="IU222" i="5" s="1"/>
  <c r="H572" i="4"/>
  <c r="IV222" i="5" s="1"/>
  <c r="I572" i="4"/>
  <c r="F223" i="5" s="1"/>
  <c r="J572" i="4"/>
  <c r="G223" i="5" s="1"/>
  <c r="K572" i="4"/>
  <c r="H223" i="5" s="1"/>
  <c r="L572" i="4"/>
  <c r="I223" i="5" s="1"/>
  <c r="M572" i="4"/>
  <c r="J223" i="5" s="1"/>
  <c r="N572" i="4"/>
  <c r="K223" i="5" s="1"/>
  <c r="O572" i="4"/>
  <c r="L223" i="5" s="1"/>
  <c r="P572" i="4"/>
  <c r="M223" i="5" s="1"/>
  <c r="Q572" i="4"/>
  <c r="N223" i="5" s="1"/>
  <c r="R572" i="4"/>
  <c r="O223" i="5" s="1"/>
  <c r="S572" i="4"/>
  <c r="P223" i="5" s="1"/>
  <c r="T572" i="4"/>
  <c r="Q223" i="5" s="1"/>
  <c r="U572" i="4"/>
  <c r="R223" i="5" s="1"/>
  <c r="V572" i="4"/>
  <c r="S223" i="5" s="1"/>
  <c r="W572" i="4"/>
  <c r="T223" i="5" s="1"/>
  <c r="G573" i="4"/>
  <c r="AA223" i="5" s="1"/>
  <c r="H573" i="4"/>
  <c r="AB223" i="5" s="1"/>
  <c r="I573" i="4"/>
  <c r="AC223" i="5" s="1"/>
  <c r="J573" i="4"/>
  <c r="AD223" i="5" s="1"/>
  <c r="K573" i="4"/>
  <c r="AE223" i="5" s="1"/>
  <c r="L573" i="4"/>
  <c r="AF223" i="5" s="1"/>
  <c r="M573" i="4"/>
  <c r="AG223" i="5" s="1"/>
  <c r="N573" i="4"/>
  <c r="AH223" i="5" s="1"/>
  <c r="O573" i="4"/>
  <c r="AI223" i="5" s="1"/>
  <c r="P573" i="4"/>
  <c r="AJ223" i="5" s="1"/>
  <c r="Q573" i="4"/>
  <c r="AK223" i="5" s="1"/>
  <c r="R573" i="4"/>
  <c r="AL223" i="5" s="1"/>
  <c r="S573" i="4"/>
  <c r="AM223" i="5" s="1"/>
  <c r="T573" i="4"/>
  <c r="AN223" i="5" s="1"/>
  <c r="U573" i="4"/>
  <c r="AO223" i="5" s="1"/>
  <c r="V573" i="4"/>
  <c r="AP223" i="5" s="1"/>
  <c r="W573" i="4"/>
  <c r="AQ223" i="5" s="1"/>
  <c r="G574" i="4"/>
  <c r="AX223" i="5" s="1"/>
  <c r="H574" i="4"/>
  <c r="AY223" i="5" s="1"/>
  <c r="I574" i="4"/>
  <c r="AZ223" i="5" s="1"/>
  <c r="J574" i="4"/>
  <c r="BA223" i="5" s="1"/>
  <c r="K574" i="4"/>
  <c r="BB223" i="5" s="1"/>
  <c r="L574" i="4"/>
  <c r="BC223" i="5" s="1"/>
  <c r="M574" i="4"/>
  <c r="BD223" i="5" s="1"/>
  <c r="N574" i="4"/>
  <c r="BE223" i="5" s="1"/>
  <c r="O574" i="4"/>
  <c r="BF223" i="5" s="1"/>
  <c r="P574" i="4"/>
  <c r="BG223" i="5" s="1"/>
  <c r="Q574" i="4"/>
  <c r="BH223" i="5" s="1"/>
  <c r="R574" i="4"/>
  <c r="BI223" i="5" s="1"/>
  <c r="S574" i="4"/>
  <c r="BJ223" i="5" s="1"/>
  <c r="T574" i="4"/>
  <c r="BK223" i="5" s="1"/>
  <c r="U574" i="4"/>
  <c r="BL223" i="5" s="1"/>
  <c r="V574" i="4"/>
  <c r="BM223" i="5" s="1"/>
  <c r="W574" i="4"/>
  <c r="BN223" i="5" s="1"/>
  <c r="G575" i="4"/>
  <c r="BU223" i="5" s="1"/>
  <c r="H575" i="4"/>
  <c r="BV223" i="5" s="1"/>
  <c r="I575" i="4"/>
  <c r="BW223" i="5" s="1"/>
  <c r="J575" i="4"/>
  <c r="BX223" i="5" s="1"/>
  <c r="K575" i="4"/>
  <c r="BY223" i="5" s="1"/>
  <c r="L575" i="4"/>
  <c r="BZ223" i="5" s="1"/>
  <c r="M575" i="4"/>
  <c r="CA223" i="5" s="1"/>
  <c r="N575" i="4"/>
  <c r="CB223" i="5" s="1"/>
  <c r="O575" i="4"/>
  <c r="CC223" i="5" s="1"/>
  <c r="P575" i="4"/>
  <c r="CD223" i="5" s="1"/>
  <c r="Q575" i="4"/>
  <c r="CE223" i="5" s="1"/>
  <c r="R575" i="4"/>
  <c r="CF223" i="5" s="1"/>
  <c r="S575" i="4"/>
  <c r="CG223" i="5" s="1"/>
  <c r="T575" i="4"/>
  <c r="CH223" i="5" s="1"/>
  <c r="U575" i="4"/>
  <c r="CI223" i="5" s="1"/>
  <c r="V575" i="4"/>
  <c r="CJ223" i="5" s="1"/>
  <c r="W575" i="4"/>
  <c r="CK223" i="5" s="1"/>
  <c r="G576" i="4"/>
  <c r="CR223" i="5" s="1"/>
  <c r="H576" i="4"/>
  <c r="CS223" i="5" s="1"/>
  <c r="I576" i="4"/>
  <c r="CT223" i="5" s="1"/>
  <c r="J576" i="4"/>
  <c r="CU223" i="5" s="1"/>
  <c r="K576" i="4"/>
  <c r="CV223" i="5" s="1"/>
  <c r="L576" i="4"/>
  <c r="CW223" i="5" s="1"/>
  <c r="M576" i="4"/>
  <c r="CX223" i="5" s="1"/>
  <c r="N576" i="4"/>
  <c r="CY223" i="5" s="1"/>
  <c r="O576" i="4"/>
  <c r="CZ223" i="5" s="1"/>
  <c r="P576" i="4"/>
  <c r="DA223" i="5" s="1"/>
  <c r="Q576" i="4"/>
  <c r="DB223" i="5" s="1"/>
  <c r="R576" i="4"/>
  <c r="DC223" i="5" s="1"/>
  <c r="S576" i="4"/>
  <c r="DD223" i="5" s="1"/>
  <c r="T576" i="4"/>
  <c r="DE223" i="5" s="1"/>
  <c r="U576" i="4"/>
  <c r="DF223" i="5" s="1"/>
  <c r="V576" i="4"/>
  <c r="DG223" i="5" s="1"/>
  <c r="W576" i="4"/>
  <c r="DH223" i="5" s="1"/>
  <c r="G577" i="4"/>
  <c r="DO223" i="5" s="1"/>
  <c r="H577" i="4"/>
  <c r="DP223" i="5" s="1"/>
  <c r="I577" i="4"/>
  <c r="DQ223" i="5" s="1"/>
  <c r="J577" i="4"/>
  <c r="DR223" i="5" s="1"/>
  <c r="K577" i="4"/>
  <c r="DS223" i="5" s="1"/>
  <c r="L577" i="4"/>
  <c r="DT223" i="5" s="1"/>
  <c r="M577" i="4"/>
  <c r="DU223" i="5" s="1"/>
  <c r="N577" i="4"/>
  <c r="DV223" i="5" s="1"/>
  <c r="O577" i="4"/>
  <c r="DW223" i="5" s="1"/>
  <c r="P577" i="4"/>
  <c r="DX223" i="5" s="1"/>
  <c r="Q577" i="4"/>
  <c r="DY223" i="5" s="1"/>
  <c r="R577" i="4"/>
  <c r="DZ223" i="5" s="1"/>
  <c r="S577" i="4"/>
  <c r="EA223" i="5" s="1"/>
  <c r="T577" i="4"/>
  <c r="EB223" i="5" s="1"/>
  <c r="U577" i="4"/>
  <c r="EC223" i="5" s="1"/>
  <c r="V577" i="4"/>
  <c r="ED223" i="5" s="1"/>
  <c r="W577" i="4"/>
  <c r="EE223" i="5" s="1"/>
  <c r="G578" i="4"/>
  <c r="EL223" i="5" s="1"/>
  <c r="H578" i="4"/>
  <c r="EM223" i="5" s="1"/>
  <c r="I578" i="4"/>
  <c r="EN223" i="5" s="1"/>
  <c r="J578" i="4"/>
  <c r="EO223" i="5" s="1"/>
  <c r="K578" i="4"/>
  <c r="EP223" i="5" s="1"/>
  <c r="L578" i="4"/>
  <c r="EQ223" i="5" s="1"/>
  <c r="M578" i="4"/>
  <c r="ER223" i="5" s="1"/>
  <c r="N578" i="4"/>
  <c r="ES223" i="5" s="1"/>
  <c r="O578" i="4"/>
  <c r="ET223" i="5" s="1"/>
  <c r="P578" i="4"/>
  <c r="EU223" i="5" s="1"/>
  <c r="Q578" i="4"/>
  <c r="EV223" i="5" s="1"/>
  <c r="R578" i="4"/>
  <c r="EW223" i="5" s="1"/>
  <c r="S578" i="4"/>
  <c r="EX223" i="5" s="1"/>
  <c r="T578" i="4"/>
  <c r="EY223" i="5" s="1"/>
  <c r="U578" i="4"/>
  <c r="EZ223" i="5" s="1"/>
  <c r="V578" i="4"/>
  <c r="FA223" i="5" s="1"/>
  <c r="W578" i="4"/>
  <c r="FB223" i="5" s="1"/>
  <c r="G579" i="4"/>
  <c r="FI223" i="5" s="1"/>
  <c r="H579" i="4"/>
  <c r="FJ223" i="5" s="1"/>
  <c r="I579" i="4"/>
  <c r="FK223" i="5" s="1"/>
  <c r="J579" i="4"/>
  <c r="FL223" i="5" s="1"/>
  <c r="K579" i="4"/>
  <c r="FM223" i="5" s="1"/>
  <c r="L579" i="4"/>
  <c r="FN223" i="5" s="1"/>
  <c r="M579" i="4"/>
  <c r="FO223" i="5" s="1"/>
  <c r="N579" i="4"/>
  <c r="FP223" i="5" s="1"/>
  <c r="O579" i="4"/>
  <c r="FQ223" i="5" s="1"/>
  <c r="P579" i="4"/>
  <c r="FR223" i="5" s="1"/>
  <c r="Q579" i="4"/>
  <c r="FS223" i="5" s="1"/>
  <c r="R579" i="4"/>
  <c r="FT223" i="5" s="1"/>
  <c r="S579" i="4"/>
  <c r="FU223" i="5" s="1"/>
  <c r="T579" i="4"/>
  <c r="FV223" i="5" s="1"/>
  <c r="U579" i="4"/>
  <c r="FW223" i="5" s="1"/>
  <c r="V579" i="4"/>
  <c r="FX223" i="5" s="1"/>
  <c r="W579" i="4"/>
  <c r="FY223" i="5" s="1"/>
  <c r="G580" i="4"/>
  <c r="GF223" i="5" s="1"/>
  <c r="H580" i="4"/>
  <c r="GG223" i="5" s="1"/>
  <c r="I580" i="4"/>
  <c r="GH223" i="5" s="1"/>
  <c r="J580" i="4"/>
  <c r="GI223" i="5" s="1"/>
  <c r="K580" i="4"/>
  <c r="GJ223" i="5" s="1"/>
  <c r="L580" i="4"/>
  <c r="GK223" i="5" s="1"/>
  <c r="M580" i="4"/>
  <c r="GL223" i="5" s="1"/>
  <c r="N580" i="4"/>
  <c r="GM223" i="5" s="1"/>
  <c r="O580" i="4"/>
  <c r="GN223" i="5" s="1"/>
  <c r="P580" i="4"/>
  <c r="GO223" i="5" s="1"/>
  <c r="Q580" i="4"/>
  <c r="GP223" i="5" s="1"/>
  <c r="R580" i="4"/>
  <c r="GQ223" i="5" s="1"/>
  <c r="S580" i="4"/>
  <c r="GR223" i="5" s="1"/>
  <c r="T580" i="4"/>
  <c r="GS223" i="5" s="1"/>
  <c r="U580" i="4"/>
  <c r="GT223" i="5" s="1"/>
  <c r="V580" i="4"/>
  <c r="GU223" i="5" s="1"/>
  <c r="W580" i="4"/>
  <c r="GV223" i="5" s="1"/>
  <c r="G581" i="4"/>
  <c r="HC223" i="5" s="1"/>
  <c r="H581" i="4"/>
  <c r="HD223" i="5" s="1"/>
  <c r="I581" i="4"/>
  <c r="HE223" i="5" s="1"/>
  <c r="J581" i="4"/>
  <c r="HF223" i="5" s="1"/>
  <c r="K581" i="4"/>
  <c r="HG223" i="5" s="1"/>
  <c r="L581" i="4"/>
  <c r="HH223" i="5" s="1"/>
  <c r="M581" i="4"/>
  <c r="HI223" i="5" s="1"/>
  <c r="N581" i="4"/>
  <c r="HJ223" i="5" s="1"/>
  <c r="O581" i="4"/>
  <c r="HK223" i="5" s="1"/>
  <c r="P581" i="4"/>
  <c r="HL223" i="5" s="1"/>
  <c r="Q581" i="4"/>
  <c r="HM223" i="5" s="1"/>
  <c r="R581" i="4"/>
  <c r="HN223" i="5" s="1"/>
  <c r="S581" i="4"/>
  <c r="HO223" i="5" s="1"/>
  <c r="T581" i="4"/>
  <c r="HP223" i="5" s="1"/>
  <c r="U581" i="4"/>
  <c r="HQ223" i="5" s="1"/>
  <c r="V581" i="4"/>
  <c r="HR223" i="5" s="1"/>
  <c r="W581" i="4"/>
  <c r="HS223" i="5" s="1"/>
  <c r="G582" i="4"/>
  <c r="HZ223" i="5" s="1"/>
  <c r="H582" i="4"/>
  <c r="IA223" i="5" s="1"/>
  <c r="I582" i="4"/>
  <c r="IB223" i="5" s="1"/>
  <c r="J582" i="4"/>
  <c r="IC223" i="5" s="1"/>
  <c r="K582" i="4"/>
  <c r="ID223" i="5" s="1"/>
  <c r="L582" i="4"/>
  <c r="IE223" i="5" s="1"/>
  <c r="M582" i="4"/>
  <c r="IF223" i="5" s="1"/>
  <c r="N582" i="4"/>
  <c r="IG223" i="5" s="1"/>
  <c r="O582" i="4"/>
  <c r="IH223" i="5" s="1"/>
  <c r="P582" i="4"/>
  <c r="II223" i="5" s="1"/>
  <c r="Q582" i="4"/>
  <c r="IJ223" i="5" s="1"/>
  <c r="R582" i="4"/>
  <c r="IK223" i="5" s="1"/>
  <c r="S582" i="4"/>
  <c r="IL223" i="5" s="1"/>
  <c r="T582" i="4"/>
  <c r="IM223" i="5" s="1"/>
  <c r="U582" i="4"/>
  <c r="IN223" i="5" s="1"/>
  <c r="V582" i="4"/>
  <c r="IO223" i="5" s="1"/>
  <c r="W582" i="4"/>
  <c r="IP223" i="5" s="1"/>
  <c r="G583" i="4"/>
  <c r="F224" i="5" s="1"/>
  <c r="H583" i="4"/>
  <c r="G224" i="5" s="1"/>
  <c r="I583" i="4"/>
  <c r="H224" i="5" s="1"/>
  <c r="J583" i="4"/>
  <c r="I224" i="5" s="1"/>
  <c r="K583" i="4"/>
  <c r="J224" i="5" s="1"/>
  <c r="L583" i="4"/>
  <c r="K224" i="5" s="1"/>
  <c r="M583" i="4"/>
  <c r="L224" i="5" s="1"/>
  <c r="N583" i="4"/>
  <c r="M224" i="5" s="1"/>
  <c r="O583" i="4"/>
  <c r="N224" i="5" s="1"/>
  <c r="P583" i="4"/>
  <c r="O224" i="5" s="1"/>
  <c r="Q583" i="4"/>
  <c r="P224" i="5" s="1"/>
  <c r="R583" i="4"/>
  <c r="Q224" i="5" s="1"/>
  <c r="S583" i="4"/>
  <c r="R224" i="5" s="1"/>
  <c r="T583" i="4"/>
  <c r="S224" i="5" s="1"/>
  <c r="U583" i="4"/>
  <c r="T224" i="5" s="1"/>
  <c r="V583" i="4"/>
  <c r="U224" i="5" s="1"/>
  <c r="W583" i="4"/>
  <c r="V224" i="5" s="1"/>
  <c r="G584" i="4"/>
  <c r="AC224" i="5" s="1"/>
  <c r="H584" i="4"/>
  <c r="AD224" i="5" s="1"/>
  <c r="I584" i="4"/>
  <c r="AE224" i="5" s="1"/>
  <c r="J584" i="4"/>
  <c r="AF224" i="5" s="1"/>
  <c r="K584" i="4"/>
  <c r="AG224" i="5" s="1"/>
  <c r="L584" i="4"/>
  <c r="AH224" i="5" s="1"/>
  <c r="M584" i="4"/>
  <c r="AI224" i="5" s="1"/>
  <c r="N584" i="4"/>
  <c r="AJ224" i="5" s="1"/>
  <c r="O584" i="4"/>
  <c r="AK224" i="5" s="1"/>
  <c r="P584" i="4"/>
  <c r="AL224" i="5" s="1"/>
  <c r="Q584" i="4"/>
  <c r="AM224" i="5" s="1"/>
  <c r="R584" i="4"/>
  <c r="AN224" i="5" s="1"/>
  <c r="S584" i="4"/>
  <c r="AO224" i="5" s="1"/>
  <c r="T584" i="4"/>
  <c r="AP224" i="5" s="1"/>
  <c r="U584" i="4"/>
  <c r="AQ224" i="5" s="1"/>
  <c r="V584" i="4"/>
  <c r="AR224" i="5" s="1"/>
  <c r="W584" i="4"/>
  <c r="AS224" i="5" s="1"/>
  <c r="G585" i="4"/>
  <c r="AZ224" i="5" s="1"/>
  <c r="H585" i="4"/>
  <c r="BA224" i="5" s="1"/>
  <c r="I585" i="4"/>
  <c r="BB224" i="5" s="1"/>
  <c r="J585" i="4"/>
  <c r="BC224" i="5" s="1"/>
  <c r="K585" i="4"/>
  <c r="BD224" i="5" s="1"/>
  <c r="L585" i="4"/>
  <c r="BE224" i="5" s="1"/>
  <c r="M585" i="4"/>
  <c r="BF224" i="5" s="1"/>
  <c r="N585" i="4"/>
  <c r="BG224" i="5" s="1"/>
  <c r="O585" i="4"/>
  <c r="BH224" i="5" s="1"/>
  <c r="P585" i="4"/>
  <c r="BI224" i="5" s="1"/>
  <c r="Q585" i="4"/>
  <c r="BJ224" i="5" s="1"/>
  <c r="R585" i="4"/>
  <c r="BK224" i="5" s="1"/>
  <c r="S585" i="4"/>
  <c r="BL224" i="5" s="1"/>
  <c r="T585" i="4"/>
  <c r="BM224" i="5" s="1"/>
  <c r="U585" i="4"/>
  <c r="BN224" i="5" s="1"/>
  <c r="V585" i="4"/>
  <c r="BO224" i="5" s="1"/>
  <c r="W585" i="4"/>
  <c r="BP224" i="5" s="1"/>
  <c r="G586" i="4"/>
  <c r="BW224" i="5" s="1"/>
  <c r="H586" i="4"/>
  <c r="BX224" i="5" s="1"/>
  <c r="I586" i="4"/>
  <c r="BY224" i="5" s="1"/>
  <c r="J586" i="4"/>
  <c r="BZ224" i="5" s="1"/>
  <c r="K586" i="4"/>
  <c r="CA224" i="5" s="1"/>
  <c r="L586" i="4"/>
  <c r="CB224" i="5" s="1"/>
  <c r="M586" i="4"/>
  <c r="CC224" i="5" s="1"/>
  <c r="N586" i="4"/>
  <c r="CD224" i="5" s="1"/>
  <c r="O586" i="4"/>
  <c r="CE224" i="5" s="1"/>
  <c r="P586" i="4"/>
  <c r="CF224" i="5" s="1"/>
  <c r="Q586" i="4"/>
  <c r="CG224" i="5" s="1"/>
  <c r="R586" i="4"/>
  <c r="CH224" i="5" s="1"/>
  <c r="S586" i="4"/>
  <c r="CI224" i="5" s="1"/>
  <c r="T586" i="4"/>
  <c r="CJ224" i="5" s="1"/>
  <c r="U586" i="4"/>
  <c r="CK224" i="5" s="1"/>
  <c r="V586" i="4"/>
  <c r="CL224" i="5" s="1"/>
  <c r="W586" i="4"/>
  <c r="CM224" i="5" s="1"/>
  <c r="G587" i="4"/>
  <c r="CT224" i="5" s="1"/>
  <c r="H587" i="4"/>
  <c r="CU224" i="5" s="1"/>
  <c r="I587" i="4"/>
  <c r="CV224" i="5" s="1"/>
  <c r="J587" i="4"/>
  <c r="CW224" i="5" s="1"/>
  <c r="K587" i="4"/>
  <c r="CX224" i="5" s="1"/>
  <c r="L587" i="4"/>
  <c r="CY224" i="5" s="1"/>
  <c r="M587" i="4"/>
  <c r="CZ224" i="5" s="1"/>
  <c r="N587" i="4"/>
  <c r="DA224" i="5" s="1"/>
  <c r="O587" i="4"/>
  <c r="DB224" i="5" s="1"/>
  <c r="P587" i="4"/>
  <c r="DC224" i="5" s="1"/>
  <c r="Q587" i="4"/>
  <c r="DD224" i="5" s="1"/>
  <c r="R587" i="4"/>
  <c r="DE224" i="5" s="1"/>
  <c r="S587" i="4"/>
  <c r="DF224" i="5" s="1"/>
  <c r="T587" i="4"/>
  <c r="DG224" i="5" s="1"/>
  <c r="U587" i="4"/>
  <c r="DH224" i="5" s="1"/>
  <c r="V587" i="4"/>
  <c r="DI224" i="5" s="1"/>
  <c r="W587" i="4"/>
  <c r="DJ224" i="5" s="1"/>
  <c r="G588" i="4"/>
  <c r="DQ224" i="5" s="1"/>
  <c r="H588" i="4"/>
  <c r="DR224" i="5" s="1"/>
  <c r="I588" i="4"/>
  <c r="DS224" i="5" s="1"/>
  <c r="J588" i="4"/>
  <c r="DT224" i="5" s="1"/>
  <c r="K588" i="4"/>
  <c r="DU224" i="5" s="1"/>
  <c r="L588" i="4"/>
  <c r="DV224" i="5" s="1"/>
  <c r="M588" i="4"/>
  <c r="DW224" i="5" s="1"/>
  <c r="N588" i="4"/>
  <c r="DX224" i="5" s="1"/>
  <c r="O588" i="4"/>
  <c r="DY224" i="5" s="1"/>
  <c r="P588" i="4"/>
  <c r="DZ224" i="5" s="1"/>
  <c r="Q588" i="4"/>
  <c r="EA224" i="5" s="1"/>
  <c r="R588" i="4"/>
  <c r="EB224" i="5" s="1"/>
  <c r="S588" i="4"/>
  <c r="EC224" i="5" s="1"/>
  <c r="T588" i="4"/>
  <c r="ED224" i="5" s="1"/>
  <c r="U588" i="4"/>
  <c r="EE224" i="5" s="1"/>
  <c r="V588" i="4"/>
  <c r="EF224" i="5" s="1"/>
  <c r="W588" i="4"/>
  <c r="EG224" i="5" s="1"/>
  <c r="G589" i="4"/>
  <c r="EN224" i="5" s="1"/>
  <c r="H589" i="4"/>
  <c r="EO224" i="5" s="1"/>
  <c r="I589" i="4"/>
  <c r="EP224" i="5" s="1"/>
  <c r="J589" i="4"/>
  <c r="EQ224" i="5" s="1"/>
  <c r="K589" i="4"/>
  <c r="ER224" i="5" s="1"/>
  <c r="L589" i="4"/>
  <c r="ES224" i="5" s="1"/>
  <c r="M589" i="4"/>
  <c r="ET224" i="5" s="1"/>
  <c r="N589" i="4"/>
  <c r="EU224" i="5" s="1"/>
  <c r="O589" i="4"/>
  <c r="EV224" i="5" s="1"/>
  <c r="P589" i="4"/>
  <c r="EW224" i="5" s="1"/>
  <c r="Q589" i="4"/>
  <c r="EX224" i="5" s="1"/>
  <c r="R589" i="4"/>
  <c r="EY224" i="5" s="1"/>
  <c r="S589" i="4"/>
  <c r="EZ224" i="5" s="1"/>
  <c r="T589" i="4"/>
  <c r="FA224" i="5" s="1"/>
  <c r="U589" i="4"/>
  <c r="FB224" i="5" s="1"/>
  <c r="V589" i="4"/>
  <c r="FC224" i="5" s="1"/>
  <c r="W589" i="4"/>
  <c r="FD224" i="5" s="1"/>
  <c r="G590" i="4"/>
  <c r="FK224" i="5" s="1"/>
  <c r="H590" i="4"/>
  <c r="FL224" i="5" s="1"/>
  <c r="I590" i="4"/>
  <c r="FM224" i="5" s="1"/>
  <c r="J590" i="4"/>
  <c r="FN224" i="5" s="1"/>
  <c r="K590" i="4"/>
  <c r="FO224" i="5" s="1"/>
  <c r="L590" i="4"/>
  <c r="FP224" i="5" s="1"/>
  <c r="M590" i="4"/>
  <c r="FQ224" i="5" s="1"/>
  <c r="N590" i="4"/>
  <c r="FR224" i="5" s="1"/>
  <c r="O590" i="4"/>
  <c r="FS224" i="5" s="1"/>
  <c r="P590" i="4"/>
  <c r="FT224" i="5" s="1"/>
  <c r="Q590" i="4"/>
  <c r="FU224" i="5" s="1"/>
  <c r="R590" i="4"/>
  <c r="FV224" i="5" s="1"/>
  <c r="S590" i="4"/>
  <c r="FW224" i="5" s="1"/>
  <c r="T590" i="4"/>
  <c r="FX224" i="5" s="1"/>
  <c r="U590" i="4"/>
  <c r="FY224" i="5" s="1"/>
  <c r="V590" i="4"/>
  <c r="FZ224" i="5" s="1"/>
  <c r="W590" i="4"/>
  <c r="GA224" i="5" s="1"/>
  <c r="G591" i="4"/>
  <c r="GH224" i="5" s="1"/>
  <c r="H591" i="4"/>
  <c r="GI224" i="5" s="1"/>
  <c r="I591" i="4"/>
  <c r="GJ224" i="5" s="1"/>
  <c r="J591" i="4"/>
  <c r="GK224" i="5" s="1"/>
  <c r="K591" i="4"/>
  <c r="GL224" i="5" s="1"/>
  <c r="L591" i="4"/>
  <c r="GM224" i="5" s="1"/>
  <c r="M591" i="4"/>
  <c r="GN224" i="5" s="1"/>
  <c r="N591" i="4"/>
  <c r="GO224" i="5" s="1"/>
  <c r="O591" i="4"/>
  <c r="GP224" i="5" s="1"/>
  <c r="P591" i="4"/>
  <c r="GQ224" i="5" s="1"/>
  <c r="Q591" i="4"/>
  <c r="GR224" i="5" s="1"/>
  <c r="R591" i="4"/>
  <c r="GS224" i="5" s="1"/>
  <c r="S591" i="4"/>
  <c r="GT224" i="5" s="1"/>
  <c r="T591" i="4"/>
  <c r="GU224" i="5" s="1"/>
  <c r="U591" i="4"/>
  <c r="GV224" i="5" s="1"/>
  <c r="V591" i="4"/>
  <c r="GW224" i="5" s="1"/>
  <c r="W591" i="4"/>
  <c r="GX224" i="5" s="1"/>
  <c r="G592" i="4"/>
  <c r="HE224" i="5" s="1"/>
  <c r="H592" i="4"/>
  <c r="HF224" i="5" s="1"/>
  <c r="I592" i="4"/>
  <c r="HG224" i="5" s="1"/>
  <c r="J592" i="4"/>
  <c r="HH224" i="5" s="1"/>
  <c r="K592" i="4"/>
  <c r="HI224" i="5" s="1"/>
  <c r="L592" i="4"/>
  <c r="HJ224" i="5" s="1"/>
  <c r="M592" i="4"/>
  <c r="HK224" i="5" s="1"/>
  <c r="N592" i="4"/>
  <c r="HL224" i="5" s="1"/>
  <c r="O592" i="4"/>
  <c r="HM224" i="5" s="1"/>
  <c r="P592" i="4"/>
  <c r="HN224" i="5" s="1"/>
  <c r="Q592" i="4"/>
  <c r="HO224" i="5" s="1"/>
  <c r="R592" i="4"/>
  <c r="HP224" i="5" s="1"/>
  <c r="S592" i="4"/>
  <c r="HQ224" i="5" s="1"/>
  <c r="T592" i="4"/>
  <c r="HR224" i="5" s="1"/>
  <c r="U592" i="4"/>
  <c r="HS224" i="5" s="1"/>
  <c r="V592" i="4"/>
  <c r="HT224" i="5" s="1"/>
  <c r="W592" i="4"/>
  <c r="HU224" i="5" s="1"/>
  <c r="G593" i="4"/>
  <c r="IB224" i="5" s="1"/>
  <c r="H593" i="4"/>
  <c r="IC224" i="5" s="1"/>
  <c r="I593" i="4"/>
  <c r="ID224" i="5" s="1"/>
  <c r="J593" i="4"/>
  <c r="IE224" i="5" s="1"/>
  <c r="K593" i="4"/>
  <c r="IF224" i="5" s="1"/>
  <c r="L593" i="4"/>
  <c r="IG224" i="5" s="1"/>
  <c r="M593" i="4"/>
  <c r="IH224" i="5" s="1"/>
  <c r="N593" i="4"/>
  <c r="II224" i="5" s="1"/>
  <c r="O593" i="4"/>
  <c r="IJ224" i="5" s="1"/>
  <c r="P593" i="4"/>
  <c r="IK224" i="5" s="1"/>
  <c r="Q593" i="4"/>
  <c r="IL224" i="5" s="1"/>
  <c r="R593" i="4"/>
  <c r="IM224" i="5" s="1"/>
  <c r="S593" i="4"/>
  <c r="IN224" i="5" s="1"/>
  <c r="T593" i="4"/>
  <c r="IO224" i="5" s="1"/>
  <c r="U593" i="4"/>
  <c r="IP224" i="5" s="1"/>
  <c r="V593" i="4"/>
  <c r="IQ224" i="5" s="1"/>
  <c r="W593" i="4"/>
  <c r="IR224" i="5" s="1"/>
  <c r="G594" i="4"/>
  <c r="H225" i="5" s="1"/>
  <c r="H594" i="4"/>
  <c r="I225" i="5" s="1"/>
  <c r="I594" i="4"/>
  <c r="J225" i="5" s="1"/>
  <c r="J594" i="4"/>
  <c r="K225" i="5" s="1"/>
  <c r="K594" i="4"/>
  <c r="L225" i="5" s="1"/>
  <c r="L594" i="4"/>
  <c r="M225" i="5" s="1"/>
  <c r="M594" i="4"/>
  <c r="N225" i="5" s="1"/>
  <c r="N594" i="4"/>
  <c r="O225" i="5" s="1"/>
  <c r="O594" i="4"/>
  <c r="P225" i="5" s="1"/>
  <c r="P594" i="4"/>
  <c r="Q225" i="5" s="1"/>
  <c r="Q594" i="4"/>
  <c r="R225" i="5" s="1"/>
  <c r="R594" i="4"/>
  <c r="S225" i="5" s="1"/>
  <c r="S594" i="4"/>
  <c r="T225" i="5" s="1"/>
  <c r="T594" i="4"/>
  <c r="U225" i="5" s="1"/>
  <c r="U594" i="4"/>
  <c r="V225" i="5" s="1"/>
  <c r="V594" i="4"/>
  <c r="W225" i="5" s="1"/>
  <c r="W594" i="4"/>
  <c r="X225" i="5" s="1"/>
  <c r="G595" i="4"/>
  <c r="AE225" i="5" s="1"/>
  <c r="H595" i="4"/>
  <c r="AF225" i="5" s="1"/>
  <c r="I595" i="4"/>
  <c r="AG225" i="5" s="1"/>
  <c r="J595" i="4"/>
  <c r="AH225" i="5" s="1"/>
  <c r="K595" i="4"/>
  <c r="AI225" i="5" s="1"/>
  <c r="L595" i="4"/>
  <c r="AJ225" i="5" s="1"/>
  <c r="M595" i="4"/>
  <c r="AK225" i="5" s="1"/>
  <c r="N595" i="4"/>
  <c r="AL225" i="5" s="1"/>
  <c r="O595" i="4"/>
  <c r="AM225" i="5" s="1"/>
  <c r="P595" i="4"/>
  <c r="AN225" i="5" s="1"/>
  <c r="Q595" i="4"/>
  <c r="AO225" i="5" s="1"/>
  <c r="R595" i="4"/>
  <c r="AP225" i="5" s="1"/>
  <c r="S595" i="4"/>
  <c r="AQ225" i="5" s="1"/>
  <c r="T595" i="4"/>
  <c r="AR225" i="5" s="1"/>
  <c r="U595" i="4"/>
  <c r="AS225" i="5" s="1"/>
  <c r="V595" i="4"/>
  <c r="AT225" i="5" s="1"/>
  <c r="W595" i="4"/>
  <c r="AU225" i="5" s="1"/>
  <c r="G596" i="4"/>
  <c r="BB225" i="5" s="1"/>
  <c r="H596" i="4"/>
  <c r="BC225" i="5" s="1"/>
  <c r="I596" i="4"/>
  <c r="BD225" i="5" s="1"/>
  <c r="J596" i="4"/>
  <c r="BE225" i="5" s="1"/>
  <c r="K596" i="4"/>
  <c r="BF225" i="5" s="1"/>
  <c r="L596" i="4"/>
  <c r="BG225" i="5" s="1"/>
  <c r="M596" i="4"/>
  <c r="BH225" i="5" s="1"/>
  <c r="N596" i="4"/>
  <c r="BI225" i="5" s="1"/>
  <c r="O596" i="4"/>
  <c r="BJ225" i="5" s="1"/>
  <c r="P596" i="4"/>
  <c r="BK225" i="5" s="1"/>
  <c r="Q596" i="4"/>
  <c r="BL225" i="5" s="1"/>
  <c r="R596" i="4"/>
  <c r="BM225" i="5" s="1"/>
  <c r="S596" i="4"/>
  <c r="BN225" i="5" s="1"/>
  <c r="T596" i="4"/>
  <c r="BO225" i="5" s="1"/>
  <c r="U596" i="4"/>
  <c r="BP225" i="5" s="1"/>
  <c r="V596" i="4"/>
  <c r="BQ225" i="5" s="1"/>
  <c r="W596" i="4"/>
  <c r="BR225" i="5" s="1"/>
  <c r="G597" i="4"/>
  <c r="BY225" i="5" s="1"/>
  <c r="H597" i="4"/>
  <c r="BZ225" i="5" s="1"/>
  <c r="I597" i="4"/>
  <c r="CA225" i="5" s="1"/>
  <c r="J597" i="4"/>
  <c r="CB225" i="5" s="1"/>
  <c r="K597" i="4"/>
  <c r="CC225" i="5" s="1"/>
  <c r="L597" i="4"/>
  <c r="CD225" i="5" s="1"/>
  <c r="M597" i="4"/>
  <c r="CE225" i="5" s="1"/>
  <c r="N597" i="4"/>
  <c r="CF225" i="5" s="1"/>
  <c r="O597" i="4"/>
  <c r="CG225" i="5" s="1"/>
  <c r="P597" i="4"/>
  <c r="CH225" i="5" s="1"/>
  <c r="Q597" i="4"/>
  <c r="CI225" i="5" s="1"/>
  <c r="R597" i="4"/>
  <c r="CJ225" i="5" s="1"/>
  <c r="S597" i="4"/>
  <c r="CK225" i="5" s="1"/>
  <c r="T597" i="4"/>
  <c r="CL225" i="5" s="1"/>
  <c r="U597" i="4"/>
  <c r="CM225" i="5" s="1"/>
  <c r="V597" i="4"/>
  <c r="CN225" i="5" s="1"/>
  <c r="W597" i="4"/>
  <c r="CO225" i="5" s="1"/>
  <c r="G598" i="4"/>
  <c r="CV225" i="5" s="1"/>
  <c r="H598" i="4"/>
  <c r="CW225" i="5" s="1"/>
  <c r="I598" i="4"/>
  <c r="CX225" i="5" s="1"/>
  <c r="J598" i="4"/>
  <c r="CY225" i="5" s="1"/>
  <c r="K598" i="4"/>
  <c r="CZ225" i="5" s="1"/>
  <c r="L598" i="4"/>
  <c r="DA225" i="5" s="1"/>
  <c r="M598" i="4"/>
  <c r="DB225" i="5" s="1"/>
  <c r="N598" i="4"/>
  <c r="DC225" i="5" s="1"/>
  <c r="O598" i="4"/>
  <c r="DD225" i="5" s="1"/>
  <c r="P598" i="4"/>
  <c r="DE225" i="5" s="1"/>
  <c r="Q598" i="4"/>
  <c r="DF225" i="5" s="1"/>
  <c r="R598" i="4"/>
  <c r="DG225" i="5" s="1"/>
  <c r="S598" i="4"/>
  <c r="DH225" i="5" s="1"/>
  <c r="T598" i="4"/>
  <c r="DI225" i="5" s="1"/>
  <c r="U598" i="4"/>
  <c r="DJ225" i="5" s="1"/>
  <c r="V598" i="4"/>
  <c r="DK225" i="5" s="1"/>
  <c r="W598" i="4"/>
  <c r="DL225" i="5" s="1"/>
  <c r="G599" i="4"/>
  <c r="DS225" i="5" s="1"/>
  <c r="H599" i="4"/>
  <c r="DT225" i="5" s="1"/>
  <c r="I599" i="4"/>
  <c r="DU225" i="5" s="1"/>
  <c r="J599" i="4"/>
  <c r="DV225" i="5" s="1"/>
  <c r="K599" i="4"/>
  <c r="DW225" i="5" s="1"/>
  <c r="L599" i="4"/>
  <c r="DX225" i="5" s="1"/>
  <c r="M599" i="4"/>
  <c r="DY225" i="5" s="1"/>
  <c r="N599" i="4"/>
  <c r="DZ225" i="5" s="1"/>
  <c r="O599" i="4"/>
  <c r="EA225" i="5" s="1"/>
  <c r="P599" i="4"/>
  <c r="EB225" i="5" s="1"/>
  <c r="Q599" i="4"/>
  <c r="EC225" i="5" s="1"/>
  <c r="R599" i="4"/>
  <c r="ED225" i="5" s="1"/>
  <c r="S599" i="4"/>
  <c r="EE225" i="5" s="1"/>
  <c r="T599" i="4"/>
  <c r="EF225" i="5" s="1"/>
  <c r="U599" i="4"/>
  <c r="EG225" i="5" s="1"/>
  <c r="V599" i="4"/>
  <c r="EH225" i="5" s="1"/>
  <c r="W599" i="4"/>
  <c r="EI225" i="5" s="1"/>
  <c r="G600" i="4"/>
  <c r="EP225" i="5" s="1"/>
  <c r="H600" i="4"/>
  <c r="EQ225" i="5" s="1"/>
  <c r="I600" i="4"/>
  <c r="ER225" i="5" s="1"/>
  <c r="J600" i="4"/>
  <c r="ES225" i="5" s="1"/>
  <c r="K600" i="4"/>
  <c r="ET225" i="5" s="1"/>
  <c r="L600" i="4"/>
  <c r="EU225" i="5" s="1"/>
  <c r="M600" i="4"/>
  <c r="EV225" i="5" s="1"/>
  <c r="N600" i="4"/>
  <c r="EW225" i="5" s="1"/>
  <c r="O600" i="4"/>
  <c r="EX225" i="5" s="1"/>
  <c r="P600" i="4"/>
  <c r="EY225" i="5" s="1"/>
  <c r="Q600" i="4"/>
  <c r="EZ225" i="5" s="1"/>
  <c r="R600" i="4"/>
  <c r="FA225" i="5" s="1"/>
  <c r="S600" i="4"/>
  <c r="FB225" i="5" s="1"/>
  <c r="T600" i="4"/>
  <c r="FC225" i="5" s="1"/>
  <c r="U600" i="4"/>
  <c r="FD225" i="5" s="1"/>
  <c r="V600" i="4"/>
  <c r="FE225" i="5" s="1"/>
  <c r="W600" i="4"/>
  <c r="FF225" i="5" s="1"/>
  <c r="G601" i="4"/>
  <c r="FM225" i="5" s="1"/>
  <c r="H601" i="4"/>
  <c r="FN225" i="5" s="1"/>
  <c r="I601" i="4"/>
  <c r="FO225" i="5" s="1"/>
  <c r="J601" i="4"/>
  <c r="FP225" i="5" s="1"/>
  <c r="K601" i="4"/>
  <c r="FQ225" i="5" s="1"/>
  <c r="L601" i="4"/>
  <c r="FR225" i="5" s="1"/>
  <c r="M601" i="4"/>
  <c r="FS225" i="5" s="1"/>
  <c r="N601" i="4"/>
  <c r="FT225" i="5" s="1"/>
  <c r="O601" i="4"/>
  <c r="FU225" i="5" s="1"/>
  <c r="P601" i="4"/>
  <c r="FV225" i="5" s="1"/>
  <c r="Q601" i="4"/>
  <c r="FW225" i="5" s="1"/>
  <c r="R601" i="4"/>
  <c r="FX225" i="5" s="1"/>
  <c r="S601" i="4"/>
  <c r="FY225" i="5" s="1"/>
  <c r="T601" i="4"/>
  <c r="FZ225" i="5" s="1"/>
  <c r="U601" i="4"/>
  <c r="GA225" i="5" s="1"/>
  <c r="V601" i="4"/>
  <c r="GB225" i="5" s="1"/>
  <c r="W601" i="4"/>
  <c r="GC225" i="5" s="1"/>
  <c r="G602" i="4"/>
  <c r="GJ225" i="5" s="1"/>
  <c r="H602" i="4"/>
  <c r="GK225" i="5" s="1"/>
  <c r="I602" i="4"/>
  <c r="GL225" i="5" s="1"/>
  <c r="J602" i="4"/>
  <c r="GM225" i="5" s="1"/>
  <c r="K602" i="4"/>
  <c r="GN225" i="5" s="1"/>
  <c r="L602" i="4"/>
  <c r="GO225" i="5" s="1"/>
  <c r="M602" i="4"/>
  <c r="GP225" i="5" s="1"/>
  <c r="N602" i="4"/>
  <c r="GQ225" i="5" s="1"/>
  <c r="O602" i="4"/>
  <c r="GR225" i="5" s="1"/>
  <c r="P602" i="4"/>
  <c r="GS225" i="5" s="1"/>
  <c r="Q602" i="4"/>
  <c r="GT225" i="5" s="1"/>
  <c r="R602" i="4"/>
  <c r="GU225" i="5" s="1"/>
  <c r="S602" i="4"/>
  <c r="GV225" i="5" s="1"/>
  <c r="T602" i="4"/>
  <c r="GW225" i="5" s="1"/>
  <c r="U602" i="4"/>
  <c r="GX225" i="5" s="1"/>
  <c r="V602" i="4"/>
  <c r="GY225" i="5" s="1"/>
  <c r="W602" i="4"/>
  <c r="GZ225" i="5" s="1"/>
  <c r="G603" i="4"/>
  <c r="HG225" i="5" s="1"/>
  <c r="H603" i="4"/>
  <c r="HH225" i="5" s="1"/>
  <c r="I603" i="4"/>
  <c r="HI225" i="5" s="1"/>
  <c r="J603" i="4"/>
  <c r="HJ225" i="5" s="1"/>
  <c r="K603" i="4"/>
  <c r="HK225" i="5" s="1"/>
  <c r="L603" i="4"/>
  <c r="HL225" i="5" s="1"/>
  <c r="M603" i="4"/>
  <c r="HM225" i="5" s="1"/>
  <c r="N603" i="4"/>
  <c r="HN225" i="5" s="1"/>
  <c r="O603" i="4"/>
  <c r="HO225" i="5" s="1"/>
  <c r="P603" i="4"/>
  <c r="HP225" i="5" s="1"/>
  <c r="Q603" i="4"/>
  <c r="HQ225" i="5" s="1"/>
  <c r="R603" i="4"/>
  <c r="HR225" i="5" s="1"/>
  <c r="S603" i="4"/>
  <c r="HS225" i="5" s="1"/>
  <c r="T603" i="4"/>
  <c r="HT225" i="5" s="1"/>
  <c r="U603" i="4"/>
  <c r="HU225" i="5" s="1"/>
  <c r="V603" i="4"/>
  <c r="HV225" i="5" s="1"/>
  <c r="W603" i="4"/>
  <c r="HW225" i="5" s="1"/>
  <c r="G604" i="4"/>
  <c r="ID225" i="5" s="1"/>
  <c r="H604" i="4"/>
  <c r="IE225" i="5" s="1"/>
  <c r="I604" i="4"/>
  <c r="IF225" i="5" s="1"/>
  <c r="J604" i="4"/>
  <c r="IG225" i="5" s="1"/>
  <c r="K604" i="4"/>
  <c r="IH225" i="5" s="1"/>
  <c r="L604" i="4"/>
  <c r="II225" i="5" s="1"/>
  <c r="M604" i="4"/>
  <c r="IJ225" i="5" s="1"/>
  <c r="N604" i="4"/>
  <c r="IK225" i="5" s="1"/>
  <c r="O604" i="4"/>
  <c r="IL225" i="5" s="1"/>
  <c r="P604" i="4"/>
  <c r="IM225" i="5" s="1"/>
  <c r="Q604" i="4"/>
  <c r="IN225" i="5" s="1"/>
  <c r="R604" i="4"/>
  <c r="IO225" i="5" s="1"/>
  <c r="S604" i="4"/>
  <c r="IP225" i="5" s="1"/>
  <c r="T604" i="4"/>
  <c r="IQ225" i="5" s="1"/>
  <c r="U604" i="4"/>
  <c r="IR225" i="5" s="1"/>
  <c r="V604" i="4"/>
  <c r="IS225" i="5" s="1"/>
  <c r="W604" i="4"/>
  <c r="IT225" i="5" s="1"/>
  <c r="G605" i="4"/>
  <c r="J226" i="5" s="1"/>
  <c r="H605" i="4"/>
  <c r="K226" i="5" s="1"/>
  <c r="I605" i="4"/>
  <c r="L226" i="5" s="1"/>
  <c r="J605" i="4"/>
  <c r="M226" i="5" s="1"/>
  <c r="K605" i="4"/>
  <c r="N226" i="5" s="1"/>
  <c r="L605" i="4"/>
  <c r="O226" i="5" s="1"/>
  <c r="M605" i="4"/>
  <c r="P226" i="5" s="1"/>
  <c r="N605" i="4"/>
  <c r="Q226" i="5" s="1"/>
  <c r="O605" i="4"/>
  <c r="R226" i="5" s="1"/>
  <c r="P605" i="4"/>
  <c r="S226" i="5" s="1"/>
  <c r="Q605" i="4"/>
  <c r="T226" i="5" s="1"/>
  <c r="R605" i="4"/>
  <c r="U226" i="5" s="1"/>
  <c r="S605" i="4"/>
  <c r="V226" i="5" s="1"/>
  <c r="T605" i="4"/>
  <c r="W226" i="5" s="1"/>
  <c r="U605" i="4"/>
  <c r="X226" i="5" s="1"/>
  <c r="V605" i="4"/>
  <c r="Y226" i="5" s="1"/>
  <c r="W605" i="4"/>
  <c r="Z226" i="5" s="1"/>
  <c r="G606" i="4"/>
  <c r="AG226" i="5" s="1"/>
  <c r="H606" i="4"/>
  <c r="AH226" i="5" s="1"/>
  <c r="I606" i="4"/>
  <c r="AI226" i="5" s="1"/>
  <c r="J606" i="4"/>
  <c r="AJ226" i="5" s="1"/>
  <c r="K606" i="4"/>
  <c r="AK226" i="5" s="1"/>
  <c r="L606" i="4"/>
  <c r="AL226" i="5" s="1"/>
  <c r="M606" i="4"/>
  <c r="AM226" i="5" s="1"/>
  <c r="N606" i="4"/>
  <c r="AN226" i="5" s="1"/>
  <c r="O606" i="4"/>
  <c r="AO226" i="5" s="1"/>
  <c r="P606" i="4"/>
  <c r="AP226" i="5" s="1"/>
  <c r="Q606" i="4"/>
  <c r="AQ226" i="5" s="1"/>
  <c r="R606" i="4"/>
  <c r="AR226" i="5" s="1"/>
  <c r="S606" i="4"/>
  <c r="AS226" i="5" s="1"/>
  <c r="T606" i="4"/>
  <c r="AT226" i="5" s="1"/>
  <c r="U606" i="4"/>
  <c r="AU226" i="5" s="1"/>
  <c r="V606" i="4"/>
  <c r="AV226" i="5" s="1"/>
  <c r="W606" i="4"/>
  <c r="AW226" i="5" s="1"/>
  <c r="G607" i="4"/>
  <c r="BD226" i="5" s="1"/>
  <c r="H607" i="4"/>
  <c r="BE226" i="5" s="1"/>
  <c r="I607" i="4"/>
  <c r="BF226" i="5" s="1"/>
  <c r="J607" i="4"/>
  <c r="BG226" i="5" s="1"/>
  <c r="K607" i="4"/>
  <c r="BH226" i="5" s="1"/>
  <c r="L607" i="4"/>
  <c r="BI226" i="5" s="1"/>
  <c r="M607" i="4"/>
  <c r="BJ226" i="5" s="1"/>
  <c r="N607" i="4"/>
  <c r="BK226" i="5" s="1"/>
  <c r="O607" i="4"/>
  <c r="BL226" i="5" s="1"/>
  <c r="P607" i="4"/>
  <c r="BM226" i="5" s="1"/>
  <c r="Q607" i="4"/>
  <c r="BN226" i="5" s="1"/>
  <c r="R607" i="4"/>
  <c r="BO226" i="5" s="1"/>
  <c r="S607" i="4"/>
  <c r="BP226" i="5" s="1"/>
  <c r="T607" i="4"/>
  <c r="BQ226" i="5" s="1"/>
  <c r="U607" i="4"/>
  <c r="BR226" i="5" s="1"/>
  <c r="V607" i="4"/>
  <c r="BS226" i="5" s="1"/>
  <c r="W607" i="4"/>
  <c r="BT226" i="5" s="1"/>
  <c r="G608" i="4"/>
  <c r="CA226" i="5" s="1"/>
  <c r="H608" i="4"/>
  <c r="CB226" i="5" s="1"/>
  <c r="I608" i="4"/>
  <c r="CC226" i="5" s="1"/>
  <c r="J608" i="4"/>
  <c r="CD226" i="5" s="1"/>
  <c r="K608" i="4"/>
  <c r="CE226" i="5" s="1"/>
  <c r="L608" i="4"/>
  <c r="CF226" i="5" s="1"/>
  <c r="M608" i="4"/>
  <c r="CG226" i="5" s="1"/>
  <c r="N608" i="4"/>
  <c r="CH226" i="5" s="1"/>
  <c r="O608" i="4"/>
  <c r="CI226" i="5" s="1"/>
  <c r="P608" i="4"/>
  <c r="CJ226" i="5" s="1"/>
  <c r="Q608" i="4"/>
  <c r="CK226" i="5" s="1"/>
  <c r="R608" i="4"/>
  <c r="CL226" i="5" s="1"/>
  <c r="S608" i="4"/>
  <c r="CM226" i="5" s="1"/>
  <c r="T608" i="4"/>
  <c r="CN226" i="5" s="1"/>
  <c r="U608" i="4"/>
  <c r="CO226" i="5" s="1"/>
  <c r="V608" i="4"/>
  <c r="CP226" i="5" s="1"/>
  <c r="W608" i="4"/>
  <c r="CQ226" i="5" s="1"/>
  <c r="G609" i="4"/>
  <c r="CX226" i="5" s="1"/>
  <c r="H609" i="4"/>
  <c r="CY226" i="5" s="1"/>
  <c r="I609" i="4"/>
  <c r="CZ226" i="5" s="1"/>
  <c r="J609" i="4"/>
  <c r="DA226" i="5" s="1"/>
  <c r="K609" i="4"/>
  <c r="DB226" i="5" s="1"/>
  <c r="L609" i="4"/>
  <c r="DC226" i="5" s="1"/>
  <c r="M609" i="4"/>
  <c r="DD226" i="5" s="1"/>
  <c r="N609" i="4"/>
  <c r="DE226" i="5" s="1"/>
  <c r="O609" i="4"/>
  <c r="DF226" i="5" s="1"/>
  <c r="P609" i="4"/>
  <c r="DG226" i="5" s="1"/>
  <c r="Q609" i="4"/>
  <c r="DH226" i="5" s="1"/>
  <c r="R609" i="4"/>
  <c r="DI226" i="5" s="1"/>
  <c r="S609" i="4"/>
  <c r="DJ226" i="5" s="1"/>
  <c r="T609" i="4"/>
  <c r="DK226" i="5" s="1"/>
  <c r="U609" i="4"/>
  <c r="DL226" i="5" s="1"/>
  <c r="V609" i="4"/>
  <c r="DM226" i="5" s="1"/>
  <c r="W609" i="4"/>
  <c r="DN226" i="5" s="1"/>
  <c r="G610" i="4"/>
  <c r="DU226" i="5" s="1"/>
  <c r="H610" i="4"/>
  <c r="DV226" i="5" s="1"/>
  <c r="I610" i="4"/>
  <c r="DW226" i="5" s="1"/>
  <c r="J610" i="4"/>
  <c r="DX226" i="5" s="1"/>
  <c r="K610" i="4"/>
  <c r="DY226" i="5" s="1"/>
  <c r="L610" i="4"/>
  <c r="DZ226" i="5" s="1"/>
  <c r="M610" i="4"/>
  <c r="EA226" i="5" s="1"/>
  <c r="N610" i="4"/>
  <c r="EB226" i="5" s="1"/>
  <c r="O610" i="4"/>
  <c r="EC226" i="5" s="1"/>
  <c r="P610" i="4"/>
  <c r="ED226" i="5" s="1"/>
  <c r="Q610" i="4"/>
  <c r="EE226" i="5" s="1"/>
  <c r="R610" i="4"/>
  <c r="EF226" i="5" s="1"/>
  <c r="S610" i="4"/>
  <c r="EG226" i="5" s="1"/>
  <c r="T610" i="4"/>
  <c r="EH226" i="5" s="1"/>
  <c r="U610" i="4"/>
  <c r="EI226" i="5" s="1"/>
  <c r="V610" i="4"/>
  <c r="EJ226" i="5" s="1"/>
  <c r="W610" i="4"/>
  <c r="EK226" i="5" s="1"/>
  <c r="G611" i="4"/>
  <c r="ER226" i="5" s="1"/>
  <c r="H611" i="4"/>
  <c r="ES226" i="5" s="1"/>
  <c r="I611" i="4"/>
  <c r="ET226" i="5" s="1"/>
  <c r="J611" i="4"/>
  <c r="EU226" i="5" s="1"/>
  <c r="K611" i="4"/>
  <c r="EV226" i="5" s="1"/>
  <c r="L611" i="4"/>
  <c r="EW226" i="5" s="1"/>
  <c r="M611" i="4"/>
  <c r="EX226" i="5" s="1"/>
  <c r="N611" i="4"/>
  <c r="EY226" i="5" s="1"/>
  <c r="O611" i="4"/>
  <c r="EZ226" i="5" s="1"/>
  <c r="P611" i="4"/>
  <c r="FA226" i="5" s="1"/>
  <c r="Q611" i="4"/>
  <c r="FB226" i="5" s="1"/>
  <c r="R611" i="4"/>
  <c r="FC226" i="5" s="1"/>
  <c r="S611" i="4"/>
  <c r="FD226" i="5" s="1"/>
  <c r="T611" i="4"/>
  <c r="FE226" i="5" s="1"/>
  <c r="U611" i="4"/>
  <c r="FF226" i="5" s="1"/>
  <c r="V611" i="4"/>
  <c r="FG226" i="5" s="1"/>
  <c r="W611" i="4"/>
  <c r="FH226" i="5" s="1"/>
  <c r="G612" i="4"/>
  <c r="FO226" i="5" s="1"/>
  <c r="H612" i="4"/>
  <c r="FP226" i="5" s="1"/>
  <c r="I612" i="4"/>
  <c r="FQ226" i="5" s="1"/>
  <c r="J612" i="4"/>
  <c r="FR226" i="5" s="1"/>
  <c r="K612" i="4"/>
  <c r="FS226" i="5" s="1"/>
  <c r="L612" i="4"/>
  <c r="FT226" i="5" s="1"/>
  <c r="M612" i="4"/>
  <c r="FU226" i="5" s="1"/>
  <c r="N612" i="4"/>
  <c r="FV226" i="5" s="1"/>
  <c r="O612" i="4"/>
  <c r="FW226" i="5" s="1"/>
  <c r="P612" i="4"/>
  <c r="FX226" i="5" s="1"/>
  <c r="Q612" i="4"/>
  <c r="FY226" i="5" s="1"/>
  <c r="R612" i="4"/>
  <c r="FZ226" i="5" s="1"/>
  <c r="S612" i="4"/>
  <c r="GA226" i="5" s="1"/>
  <c r="T612" i="4"/>
  <c r="GB226" i="5" s="1"/>
  <c r="U612" i="4"/>
  <c r="GC226" i="5" s="1"/>
  <c r="V612" i="4"/>
  <c r="GD226" i="5" s="1"/>
  <c r="W612" i="4"/>
  <c r="GE226" i="5" s="1"/>
  <c r="G613" i="4"/>
  <c r="GL226" i="5" s="1"/>
  <c r="H613" i="4"/>
  <c r="GM226" i="5" s="1"/>
  <c r="I613" i="4"/>
  <c r="GN226" i="5" s="1"/>
  <c r="J613" i="4"/>
  <c r="GO226" i="5" s="1"/>
  <c r="K613" i="4"/>
  <c r="GP226" i="5" s="1"/>
  <c r="L613" i="4"/>
  <c r="GQ226" i="5" s="1"/>
  <c r="M613" i="4"/>
  <c r="GR226" i="5" s="1"/>
  <c r="N613" i="4"/>
  <c r="GS226" i="5" s="1"/>
  <c r="O613" i="4"/>
  <c r="GT226" i="5" s="1"/>
  <c r="P613" i="4"/>
  <c r="GU226" i="5" s="1"/>
  <c r="Q613" i="4"/>
  <c r="GV226" i="5" s="1"/>
  <c r="R613" i="4"/>
  <c r="GW226" i="5" s="1"/>
  <c r="S613" i="4"/>
  <c r="GX226" i="5" s="1"/>
  <c r="T613" i="4"/>
  <c r="GY226" i="5" s="1"/>
  <c r="U613" i="4"/>
  <c r="GZ226" i="5" s="1"/>
  <c r="V613" i="4"/>
  <c r="HA226" i="5" s="1"/>
  <c r="W613" i="4"/>
  <c r="HB226" i="5" s="1"/>
  <c r="G614" i="4"/>
  <c r="HI226" i="5" s="1"/>
  <c r="H614" i="4"/>
  <c r="HJ226" i="5" s="1"/>
  <c r="I614" i="4"/>
  <c r="HK226" i="5" s="1"/>
  <c r="J614" i="4"/>
  <c r="HL226" i="5" s="1"/>
  <c r="K614" i="4"/>
  <c r="HM226" i="5" s="1"/>
  <c r="L614" i="4"/>
  <c r="HN226" i="5" s="1"/>
  <c r="M614" i="4"/>
  <c r="HO226" i="5" s="1"/>
  <c r="N614" i="4"/>
  <c r="HP226" i="5" s="1"/>
  <c r="O614" i="4"/>
  <c r="HQ226" i="5" s="1"/>
  <c r="P614" i="4"/>
  <c r="HR226" i="5" s="1"/>
  <c r="Q614" i="4"/>
  <c r="HS226" i="5" s="1"/>
  <c r="R614" i="4"/>
  <c r="HT226" i="5" s="1"/>
  <c r="S614" i="4"/>
  <c r="HU226" i="5" s="1"/>
  <c r="T614" i="4"/>
  <c r="HV226" i="5" s="1"/>
  <c r="U614" i="4"/>
  <c r="HW226" i="5" s="1"/>
  <c r="V614" i="4"/>
  <c r="HX226" i="5" s="1"/>
  <c r="W614" i="4"/>
  <c r="HY226" i="5" s="1"/>
  <c r="G615" i="4"/>
  <c r="IF226" i="5" s="1"/>
  <c r="H615" i="4"/>
  <c r="IG226" i="5" s="1"/>
  <c r="I615" i="4"/>
  <c r="IH226" i="5" s="1"/>
  <c r="J615" i="4"/>
  <c r="II226" i="5" s="1"/>
  <c r="K615" i="4"/>
  <c r="IJ226" i="5" s="1"/>
  <c r="L615" i="4"/>
  <c r="IK226" i="5" s="1"/>
  <c r="M615" i="4"/>
  <c r="IL226" i="5" s="1"/>
  <c r="N615" i="4"/>
  <c r="IM226" i="5" s="1"/>
  <c r="O615" i="4"/>
  <c r="IN226" i="5" s="1"/>
  <c r="P615" i="4"/>
  <c r="IO226" i="5" s="1"/>
  <c r="Q615" i="4"/>
  <c r="IP226" i="5" s="1"/>
  <c r="R615" i="4"/>
  <c r="IQ226" i="5" s="1"/>
  <c r="S615" i="4"/>
  <c r="IR226" i="5" s="1"/>
  <c r="T615" i="4"/>
  <c r="IS226" i="5" s="1"/>
  <c r="U615" i="4"/>
  <c r="IT226" i="5" s="1"/>
  <c r="V615" i="4"/>
  <c r="IU226" i="5" s="1"/>
  <c r="W615" i="4"/>
  <c r="IV226" i="5" s="1"/>
  <c r="G616" i="4"/>
  <c r="L227" i="5" s="1"/>
  <c r="H616" i="4"/>
  <c r="M227" i="5" s="1"/>
  <c r="I616" i="4"/>
  <c r="N227" i="5" s="1"/>
  <c r="J616" i="4"/>
  <c r="O227" i="5" s="1"/>
  <c r="K616" i="4"/>
  <c r="P227" i="5" s="1"/>
  <c r="L616" i="4"/>
  <c r="Q227" i="5" s="1"/>
  <c r="M616" i="4"/>
  <c r="R227" i="5" s="1"/>
  <c r="N616" i="4"/>
  <c r="S227" i="5" s="1"/>
  <c r="O616" i="4"/>
  <c r="T227" i="5" s="1"/>
  <c r="P616" i="4"/>
  <c r="U227" i="5" s="1"/>
  <c r="Q616" i="4"/>
  <c r="V227" i="5" s="1"/>
  <c r="R616" i="4"/>
  <c r="W227" i="5" s="1"/>
  <c r="S616" i="4"/>
  <c r="X227" i="5" s="1"/>
  <c r="T616" i="4"/>
  <c r="Y227" i="5" s="1"/>
  <c r="U616" i="4"/>
  <c r="Z227" i="5" s="1"/>
  <c r="V616" i="4"/>
  <c r="AA227" i="5" s="1"/>
  <c r="W616" i="4"/>
  <c r="AB227" i="5" s="1"/>
  <c r="G617" i="4"/>
  <c r="AI227" i="5" s="1"/>
  <c r="H617" i="4"/>
  <c r="AJ227" i="5" s="1"/>
  <c r="I617" i="4"/>
  <c r="AK227" i="5" s="1"/>
  <c r="J617" i="4"/>
  <c r="AL227" i="5" s="1"/>
  <c r="K617" i="4"/>
  <c r="AM227" i="5" s="1"/>
  <c r="L617" i="4"/>
  <c r="AN227" i="5" s="1"/>
  <c r="M617" i="4"/>
  <c r="AO227" i="5" s="1"/>
  <c r="N617" i="4"/>
  <c r="AP227" i="5" s="1"/>
  <c r="O617" i="4"/>
  <c r="AQ227" i="5" s="1"/>
  <c r="P617" i="4"/>
  <c r="AR227" i="5" s="1"/>
  <c r="Q617" i="4"/>
  <c r="AS227" i="5" s="1"/>
  <c r="R617" i="4"/>
  <c r="AT227" i="5" s="1"/>
  <c r="S617" i="4"/>
  <c r="AU227" i="5" s="1"/>
  <c r="T617" i="4"/>
  <c r="AV227" i="5" s="1"/>
  <c r="U617" i="4"/>
  <c r="AW227" i="5" s="1"/>
  <c r="V617" i="4"/>
  <c r="AX227" i="5" s="1"/>
  <c r="W617" i="4"/>
  <c r="AY227" i="5" s="1"/>
  <c r="G618" i="4"/>
  <c r="BF227" i="5" s="1"/>
  <c r="H618" i="4"/>
  <c r="BG227" i="5" s="1"/>
  <c r="I618" i="4"/>
  <c r="BH227" i="5" s="1"/>
  <c r="J618" i="4"/>
  <c r="BI227" i="5" s="1"/>
  <c r="K618" i="4"/>
  <c r="BJ227" i="5" s="1"/>
  <c r="L618" i="4"/>
  <c r="BK227" i="5" s="1"/>
  <c r="M618" i="4"/>
  <c r="BL227" i="5" s="1"/>
  <c r="N618" i="4"/>
  <c r="BM227" i="5" s="1"/>
  <c r="O618" i="4"/>
  <c r="BN227" i="5" s="1"/>
  <c r="P618" i="4"/>
  <c r="BO227" i="5" s="1"/>
  <c r="Q618" i="4"/>
  <c r="BP227" i="5" s="1"/>
  <c r="R618" i="4"/>
  <c r="BQ227" i="5" s="1"/>
  <c r="S618" i="4"/>
  <c r="BR227" i="5" s="1"/>
  <c r="T618" i="4"/>
  <c r="BS227" i="5" s="1"/>
  <c r="U618" i="4"/>
  <c r="BT227" i="5" s="1"/>
  <c r="V618" i="4"/>
  <c r="BU227" i="5" s="1"/>
  <c r="W618" i="4"/>
  <c r="BV227" i="5" s="1"/>
  <c r="G619" i="4"/>
  <c r="CC227" i="5" s="1"/>
  <c r="H619" i="4"/>
  <c r="CD227" i="5" s="1"/>
  <c r="I619" i="4"/>
  <c r="CE227" i="5" s="1"/>
  <c r="J619" i="4"/>
  <c r="CF227" i="5" s="1"/>
  <c r="K619" i="4"/>
  <c r="CG227" i="5" s="1"/>
  <c r="L619" i="4"/>
  <c r="CH227" i="5" s="1"/>
  <c r="M619" i="4"/>
  <c r="CI227" i="5" s="1"/>
  <c r="N619" i="4"/>
  <c r="CJ227" i="5" s="1"/>
  <c r="O619" i="4"/>
  <c r="CK227" i="5" s="1"/>
  <c r="P619" i="4"/>
  <c r="CL227" i="5" s="1"/>
  <c r="Q619" i="4"/>
  <c r="CM227" i="5" s="1"/>
  <c r="R619" i="4"/>
  <c r="CN227" i="5" s="1"/>
  <c r="S619" i="4"/>
  <c r="CO227" i="5" s="1"/>
  <c r="T619" i="4"/>
  <c r="CP227" i="5" s="1"/>
  <c r="U619" i="4"/>
  <c r="CQ227" i="5" s="1"/>
  <c r="V619" i="4"/>
  <c r="CR227" i="5" s="1"/>
  <c r="W619" i="4"/>
  <c r="CS227" i="5" s="1"/>
  <c r="G620" i="4"/>
  <c r="CZ227" i="5" s="1"/>
  <c r="H620" i="4"/>
  <c r="DA227" i="5" s="1"/>
  <c r="I620" i="4"/>
  <c r="DB227" i="5" s="1"/>
  <c r="J620" i="4"/>
  <c r="DC227" i="5" s="1"/>
  <c r="K620" i="4"/>
  <c r="DD227" i="5" s="1"/>
  <c r="L620" i="4"/>
  <c r="DE227" i="5" s="1"/>
  <c r="M620" i="4"/>
  <c r="DF227" i="5" s="1"/>
  <c r="N620" i="4"/>
  <c r="DG227" i="5" s="1"/>
  <c r="O620" i="4"/>
  <c r="DH227" i="5" s="1"/>
  <c r="P620" i="4"/>
  <c r="DI227" i="5" s="1"/>
  <c r="Q620" i="4"/>
  <c r="DJ227" i="5" s="1"/>
  <c r="R620" i="4"/>
  <c r="DK227" i="5" s="1"/>
  <c r="S620" i="4"/>
  <c r="DL227" i="5" s="1"/>
  <c r="T620" i="4"/>
  <c r="DM227" i="5" s="1"/>
  <c r="U620" i="4"/>
  <c r="DN227" i="5" s="1"/>
  <c r="V620" i="4"/>
  <c r="DO227" i="5" s="1"/>
  <c r="W620" i="4"/>
  <c r="DP227" i="5" s="1"/>
  <c r="G621" i="4"/>
  <c r="DW227" i="5" s="1"/>
  <c r="H621" i="4"/>
  <c r="DX227" i="5" s="1"/>
  <c r="I621" i="4"/>
  <c r="DY227" i="5" s="1"/>
  <c r="J621" i="4"/>
  <c r="DZ227" i="5" s="1"/>
  <c r="K621" i="4"/>
  <c r="EA227" i="5" s="1"/>
  <c r="L621" i="4"/>
  <c r="EB227" i="5" s="1"/>
  <c r="M621" i="4"/>
  <c r="EC227" i="5" s="1"/>
  <c r="N621" i="4"/>
  <c r="ED227" i="5" s="1"/>
  <c r="O621" i="4"/>
  <c r="EE227" i="5" s="1"/>
  <c r="P621" i="4"/>
  <c r="EF227" i="5" s="1"/>
  <c r="Q621" i="4"/>
  <c r="EG227" i="5" s="1"/>
  <c r="R621" i="4"/>
  <c r="EH227" i="5" s="1"/>
  <c r="S621" i="4"/>
  <c r="EI227" i="5" s="1"/>
  <c r="T621" i="4"/>
  <c r="EJ227" i="5" s="1"/>
  <c r="U621" i="4"/>
  <c r="EK227" i="5" s="1"/>
  <c r="V621" i="4"/>
  <c r="EL227" i="5" s="1"/>
  <c r="W621" i="4"/>
  <c r="EM227" i="5" s="1"/>
  <c r="G622" i="4"/>
  <c r="ET227" i="5" s="1"/>
  <c r="H622" i="4"/>
  <c r="EU227" i="5" s="1"/>
  <c r="I622" i="4"/>
  <c r="EV227" i="5" s="1"/>
  <c r="J622" i="4"/>
  <c r="EW227" i="5" s="1"/>
  <c r="K622" i="4"/>
  <c r="EX227" i="5" s="1"/>
  <c r="L622" i="4"/>
  <c r="EY227" i="5" s="1"/>
  <c r="M622" i="4"/>
  <c r="EZ227" i="5" s="1"/>
  <c r="N622" i="4"/>
  <c r="FA227" i="5" s="1"/>
  <c r="O622" i="4"/>
  <c r="FB227" i="5" s="1"/>
  <c r="P622" i="4"/>
  <c r="FC227" i="5" s="1"/>
  <c r="Q622" i="4"/>
  <c r="FD227" i="5" s="1"/>
  <c r="R622" i="4"/>
  <c r="FE227" i="5" s="1"/>
  <c r="S622" i="4"/>
  <c r="FF227" i="5" s="1"/>
  <c r="T622" i="4"/>
  <c r="FG227" i="5" s="1"/>
  <c r="U622" i="4"/>
  <c r="FH227" i="5" s="1"/>
  <c r="V622" i="4"/>
  <c r="FI227" i="5" s="1"/>
  <c r="W622" i="4"/>
  <c r="FJ227" i="5" s="1"/>
  <c r="G623" i="4"/>
  <c r="FQ227" i="5" s="1"/>
  <c r="H623" i="4"/>
  <c r="FR227" i="5" s="1"/>
  <c r="I623" i="4"/>
  <c r="FS227" i="5" s="1"/>
  <c r="J623" i="4"/>
  <c r="FT227" i="5" s="1"/>
  <c r="K623" i="4"/>
  <c r="FU227" i="5" s="1"/>
  <c r="L623" i="4"/>
  <c r="FV227" i="5" s="1"/>
  <c r="M623" i="4"/>
  <c r="FW227" i="5" s="1"/>
  <c r="N623" i="4"/>
  <c r="FX227" i="5" s="1"/>
  <c r="O623" i="4"/>
  <c r="FY227" i="5" s="1"/>
  <c r="P623" i="4"/>
  <c r="FZ227" i="5" s="1"/>
  <c r="Q623" i="4"/>
  <c r="GA227" i="5" s="1"/>
  <c r="R623" i="4"/>
  <c r="GB227" i="5" s="1"/>
  <c r="S623" i="4"/>
  <c r="GC227" i="5" s="1"/>
  <c r="T623" i="4"/>
  <c r="GD227" i="5" s="1"/>
  <c r="U623" i="4"/>
  <c r="GE227" i="5" s="1"/>
  <c r="V623" i="4"/>
  <c r="GF227" i="5" s="1"/>
  <c r="W623" i="4"/>
  <c r="GG227" i="5" s="1"/>
  <c r="G624" i="4"/>
  <c r="GN227" i="5" s="1"/>
  <c r="H624" i="4"/>
  <c r="GO227" i="5" s="1"/>
  <c r="I624" i="4"/>
  <c r="GP227" i="5" s="1"/>
  <c r="J624" i="4"/>
  <c r="GQ227" i="5" s="1"/>
  <c r="K624" i="4"/>
  <c r="GR227" i="5" s="1"/>
  <c r="L624" i="4"/>
  <c r="GS227" i="5" s="1"/>
  <c r="M624" i="4"/>
  <c r="GT227" i="5" s="1"/>
  <c r="N624" i="4"/>
  <c r="GU227" i="5" s="1"/>
  <c r="O624" i="4"/>
  <c r="GV227" i="5" s="1"/>
  <c r="P624" i="4"/>
  <c r="GW227" i="5" s="1"/>
  <c r="Q624" i="4"/>
  <c r="GX227" i="5" s="1"/>
  <c r="R624" i="4"/>
  <c r="GY227" i="5" s="1"/>
  <c r="S624" i="4"/>
  <c r="GZ227" i="5" s="1"/>
  <c r="T624" i="4"/>
  <c r="HA227" i="5" s="1"/>
  <c r="U624" i="4"/>
  <c r="HB227" i="5" s="1"/>
  <c r="V624" i="4"/>
  <c r="HC227" i="5" s="1"/>
  <c r="W624" i="4"/>
  <c r="HD227" i="5" s="1"/>
  <c r="G625" i="4"/>
  <c r="HK227" i="5" s="1"/>
  <c r="H625" i="4"/>
  <c r="HL227" i="5" s="1"/>
  <c r="I625" i="4"/>
  <c r="HM227" i="5" s="1"/>
  <c r="J625" i="4"/>
  <c r="HN227" i="5" s="1"/>
  <c r="K625" i="4"/>
  <c r="HO227" i="5" s="1"/>
  <c r="L625" i="4"/>
  <c r="HP227" i="5" s="1"/>
  <c r="M625" i="4"/>
  <c r="HQ227" i="5" s="1"/>
  <c r="N625" i="4"/>
  <c r="HR227" i="5" s="1"/>
  <c r="O625" i="4"/>
  <c r="HS227" i="5" s="1"/>
  <c r="P625" i="4"/>
  <c r="HT227" i="5" s="1"/>
  <c r="Q625" i="4"/>
  <c r="HU227" i="5" s="1"/>
  <c r="R625" i="4"/>
  <c r="HV227" i="5" s="1"/>
  <c r="S625" i="4"/>
  <c r="HW227" i="5" s="1"/>
  <c r="T625" i="4"/>
  <c r="HX227" i="5" s="1"/>
  <c r="U625" i="4"/>
  <c r="HY227" i="5" s="1"/>
  <c r="V625" i="4"/>
  <c r="HZ227" i="5" s="1"/>
  <c r="W625" i="4"/>
  <c r="IA227" i="5" s="1"/>
  <c r="G626" i="4"/>
  <c r="IH227" i="5" s="1"/>
  <c r="H626" i="4"/>
  <c r="II227" i="5" s="1"/>
  <c r="I626" i="4"/>
  <c r="IJ227" i="5" s="1"/>
  <c r="J626" i="4"/>
  <c r="IK227" i="5" s="1"/>
  <c r="K626" i="4"/>
  <c r="IL227" i="5" s="1"/>
  <c r="L626" i="4"/>
  <c r="IM227" i="5" s="1"/>
  <c r="M626" i="4"/>
  <c r="IN227" i="5" s="1"/>
  <c r="N626" i="4"/>
  <c r="IO227" i="5" s="1"/>
  <c r="O626" i="4"/>
  <c r="IP227" i="5" s="1"/>
  <c r="P626" i="4"/>
  <c r="IQ227" i="5" s="1"/>
  <c r="Q626" i="4"/>
  <c r="IR227" i="5" s="1"/>
  <c r="R626" i="4"/>
  <c r="IS227" i="5" s="1"/>
  <c r="S626" i="4"/>
  <c r="IT227" i="5" s="1"/>
  <c r="T626" i="4"/>
  <c r="IU227" i="5" s="1"/>
  <c r="U626" i="4"/>
  <c r="IV227" i="5" s="1"/>
  <c r="V626" i="4"/>
  <c r="F228" i="5" s="1"/>
  <c r="W626" i="4"/>
  <c r="G228" i="5" s="1"/>
  <c r="G627" i="4"/>
  <c r="N228" i="5" s="1"/>
  <c r="H627" i="4"/>
  <c r="O228" i="5" s="1"/>
  <c r="I627" i="4"/>
  <c r="P228" i="5" s="1"/>
  <c r="J627" i="4"/>
  <c r="Q228" i="5" s="1"/>
  <c r="K627" i="4"/>
  <c r="R228" i="5" s="1"/>
  <c r="L627" i="4"/>
  <c r="S228" i="5" s="1"/>
  <c r="M627" i="4"/>
  <c r="T228" i="5" s="1"/>
  <c r="N627" i="4"/>
  <c r="U228" i="5" s="1"/>
  <c r="O627" i="4"/>
  <c r="V228" i="5" s="1"/>
  <c r="P627" i="4"/>
  <c r="W228" i="5" s="1"/>
  <c r="Q627" i="4"/>
  <c r="X228" i="5" s="1"/>
  <c r="R627" i="4"/>
  <c r="Y228" i="5" s="1"/>
  <c r="S627" i="4"/>
  <c r="Z228" i="5" s="1"/>
  <c r="T627" i="4"/>
  <c r="AA228" i="5" s="1"/>
  <c r="U627" i="4"/>
  <c r="AB228" i="5" s="1"/>
  <c r="V627" i="4"/>
  <c r="AC228" i="5" s="1"/>
  <c r="W627" i="4"/>
  <c r="AD228" i="5" s="1"/>
  <c r="G628" i="4"/>
  <c r="AK228" i="5" s="1"/>
  <c r="H628" i="4"/>
  <c r="AL228" i="5" s="1"/>
  <c r="I628" i="4"/>
  <c r="AM228" i="5" s="1"/>
  <c r="J628" i="4"/>
  <c r="AN228" i="5" s="1"/>
  <c r="K628" i="4"/>
  <c r="AO228" i="5" s="1"/>
  <c r="L628" i="4"/>
  <c r="AP228" i="5" s="1"/>
  <c r="M628" i="4"/>
  <c r="AQ228" i="5" s="1"/>
  <c r="N628" i="4"/>
  <c r="AR228" i="5" s="1"/>
  <c r="O628" i="4"/>
  <c r="AS228" i="5" s="1"/>
  <c r="P628" i="4"/>
  <c r="AT228" i="5" s="1"/>
  <c r="Q628" i="4"/>
  <c r="AU228" i="5" s="1"/>
  <c r="R628" i="4"/>
  <c r="AV228" i="5" s="1"/>
  <c r="S628" i="4"/>
  <c r="AW228" i="5" s="1"/>
  <c r="T628" i="4"/>
  <c r="AX228" i="5" s="1"/>
  <c r="U628" i="4"/>
  <c r="AY228" i="5" s="1"/>
  <c r="V628" i="4"/>
  <c r="AZ228" i="5" s="1"/>
  <c r="W628" i="4"/>
  <c r="BA228" i="5" s="1"/>
  <c r="G629" i="4"/>
  <c r="BH228" i="5" s="1"/>
  <c r="H629" i="4"/>
  <c r="BI228" i="5" s="1"/>
  <c r="I629" i="4"/>
  <c r="BJ228" i="5" s="1"/>
  <c r="J629" i="4"/>
  <c r="BK228" i="5" s="1"/>
  <c r="K629" i="4"/>
  <c r="BL228" i="5" s="1"/>
  <c r="L629" i="4"/>
  <c r="BM228" i="5" s="1"/>
  <c r="M629" i="4"/>
  <c r="BN228" i="5" s="1"/>
  <c r="N629" i="4"/>
  <c r="BO228" i="5" s="1"/>
  <c r="O629" i="4"/>
  <c r="BP228" i="5" s="1"/>
  <c r="P629" i="4"/>
  <c r="BQ228" i="5" s="1"/>
  <c r="Q629" i="4"/>
  <c r="BR228" i="5" s="1"/>
  <c r="R629" i="4"/>
  <c r="BS228" i="5" s="1"/>
  <c r="S629" i="4"/>
  <c r="BT228" i="5" s="1"/>
  <c r="T629" i="4"/>
  <c r="BU228" i="5" s="1"/>
  <c r="U629" i="4"/>
  <c r="BV228" i="5" s="1"/>
  <c r="V629" i="4"/>
  <c r="BW228" i="5" s="1"/>
  <c r="W629" i="4"/>
  <c r="BX228" i="5" s="1"/>
  <c r="G630" i="4"/>
  <c r="CE228" i="5" s="1"/>
  <c r="H630" i="4"/>
  <c r="CF228" i="5" s="1"/>
  <c r="I630" i="4"/>
  <c r="CG228" i="5" s="1"/>
  <c r="J630" i="4"/>
  <c r="CH228" i="5" s="1"/>
  <c r="K630" i="4"/>
  <c r="CI228" i="5" s="1"/>
  <c r="L630" i="4"/>
  <c r="CJ228" i="5" s="1"/>
  <c r="M630" i="4"/>
  <c r="CK228" i="5" s="1"/>
  <c r="N630" i="4"/>
  <c r="CL228" i="5" s="1"/>
  <c r="O630" i="4"/>
  <c r="CM228" i="5" s="1"/>
  <c r="P630" i="4"/>
  <c r="CN228" i="5" s="1"/>
  <c r="Q630" i="4"/>
  <c r="CO228" i="5" s="1"/>
  <c r="R630" i="4"/>
  <c r="CP228" i="5" s="1"/>
  <c r="S630" i="4"/>
  <c r="CQ228" i="5" s="1"/>
  <c r="T630" i="4"/>
  <c r="CR228" i="5" s="1"/>
  <c r="U630" i="4"/>
  <c r="CS228" i="5" s="1"/>
  <c r="V630" i="4"/>
  <c r="CT228" i="5" s="1"/>
  <c r="W630" i="4"/>
  <c r="CU228" i="5" s="1"/>
  <c r="G631" i="4"/>
  <c r="DB228" i="5" s="1"/>
  <c r="H631" i="4"/>
  <c r="DC228" i="5" s="1"/>
  <c r="I631" i="4"/>
  <c r="DD228" i="5" s="1"/>
  <c r="J631" i="4"/>
  <c r="DE228" i="5" s="1"/>
  <c r="K631" i="4"/>
  <c r="DF228" i="5" s="1"/>
  <c r="L631" i="4"/>
  <c r="DG228" i="5" s="1"/>
  <c r="M631" i="4"/>
  <c r="DH228" i="5" s="1"/>
  <c r="N631" i="4"/>
  <c r="DI228" i="5" s="1"/>
  <c r="O631" i="4"/>
  <c r="DJ228" i="5" s="1"/>
  <c r="P631" i="4"/>
  <c r="DK228" i="5" s="1"/>
  <c r="Q631" i="4"/>
  <c r="DL228" i="5" s="1"/>
  <c r="R631" i="4"/>
  <c r="DM228" i="5" s="1"/>
  <c r="S631" i="4"/>
  <c r="DN228" i="5" s="1"/>
  <c r="T631" i="4"/>
  <c r="DO228" i="5" s="1"/>
  <c r="U631" i="4"/>
  <c r="DP228" i="5" s="1"/>
  <c r="V631" i="4"/>
  <c r="DQ228" i="5" s="1"/>
  <c r="W631" i="4"/>
  <c r="DR228" i="5" s="1"/>
  <c r="G632" i="4"/>
  <c r="DY228" i="5" s="1"/>
  <c r="H632" i="4"/>
  <c r="DZ228" i="5" s="1"/>
  <c r="I632" i="4"/>
  <c r="EA228" i="5" s="1"/>
  <c r="J632" i="4"/>
  <c r="EB228" i="5" s="1"/>
  <c r="K632" i="4"/>
  <c r="EC228" i="5" s="1"/>
  <c r="L632" i="4"/>
  <c r="ED228" i="5" s="1"/>
  <c r="M632" i="4"/>
  <c r="EE228" i="5" s="1"/>
  <c r="N632" i="4"/>
  <c r="EF228" i="5" s="1"/>
  <c r="O632" i="4"/>
  <c r="EG228" i="5" s="1"/>
  <c r="P632" i="4"/>
  <c r="EH228" i="5" s="1"/>
  <c r="Q632" i="4"/>
  <c r="EI228" i="5" s="1"/>
  <c r="R632" i="4"/>
  <c r="EJ228" i="5" s="1"/>
  <c r="S632" i="4"/>
  <c r="EK228" i="5" s="1"/>
  <c r="T632" i="4"/>
  <c r="EL228" i="5" s="1"/>
  <c r="U632" i="4"/>
  <c r="EM228" i="5" s="1"/>
  <c r="V632" i="4"/>
  <c r="EN228" i="5" s="1"/>
  <c r="W632" i="4"/>
  <c r="EO228" i="5" s="1"/>
  <c r="G633" i="4"/>
  <c r="EV228" i="5" s="1"/>
  <c r="H633" i="4"/>
  <c r="EW228" i="5" s="1"/>
  <c r="I633" i="4"/>
  <c r="EX228" i="5" s="1"/>
  <c r="J633" i="4"/>
  <c r="EY228" i="5" s="1"/>
  <c r="K633" i="4"/>
  <c r="EZ228" i="5" s="1"/>
  <c r="L633" i="4"/>
  <c r="FA228" i="5" s="1"/>
  <c r="M633" i="4"/>
  <c r="FB228" i="5" s="1"/>
  <c r="N633" i="4"/>
  <c r="FC228" i="5" s="1"/>
  <c r="O633" i="4"/>
  <c r="FD228" i="5" s="1"/>
  <c r="P633" i="4"/>
  <c r="FE228" i="5" s="1"/>
  <c r="Q633" i="4"/>
  <c r="FF228" i="5" s="1"/>
  <c r="R633" i="4"/>
  <c r="FG228" i="5" s="1"/>
  <c r="S633" i="4"/>
  <c r="FH228" i="5" s="1"/>
  <c r="T633" i="4"/>
  <c r="FI228" i="5" s="1"/>
  <c r="U633" i="4"/>
  <c r="FJ228" i="5" s="1"/>
  <c r="V633" i="4"/>
  <c r="FK228" i="5" s="1"/>
  <c r="W633" i="4"/>
  <c r="FL228" i="5" s="1"/>
  <c r="G634" i="4"/>
  <c r="FS228" i="5" s="1"/>
  <c r="H634" i="4"/>
  <c r="FT228" i="5" s="1"/>
  <c r="I634" i="4"/>
  <c r="FU228" i="5" s="1"/>
  <c r="J634" i="4"/>
  <c r="FV228" i="5" s="1"/>
  <c r="K634" i="4"/>
  <c r="FW228" i="5" s="1"/>
  <c r="L634" i="4"/>
  <c r="FX228" i="5" s="1"/>
  <c r="M634" i="4"/>
  <c r="FY228" i="5" s="1"/>
  <c r="N634" i="4"/>
  <c r="FZ228" i="5" s="1"/>
  <c r="O634" i="4"/>
  <c r="GA228" i="5" s="1"/>
  <c r="P634" i="4"/>
  <c r="GB228" i="5" s="1"/>
  <c r="Q634" i="4"/>
  <c r="GC228" i="5" s="1"/>
  <c r="R634" i="4"/>
  <c r="GD228" i="5" s="1"/>
  <c r="S634" i="4"/>
  <c r="GE228" i="5" s="1"/>
  <c r="T634" i="4"/>
  <c r="GF228" i="5" s="1"/>
  <c r="U634" i="4"/>
  <c r="GG228" i="5" s="1"/>
  <c r="V634" i="4"/>
  <c r="GH228" i="5" s="1"/>
  <c r="W634" i="4"/>
  <c r="GI228" i="5" s="1"/>
  <c r="G635" i="4"/>
  <c r="GP228" i="5" s="1"/>
  <c r="H635" i="4"/>
  <c r="GQ228" i="5" s="1"/>
  <c r="I635" i="4"/>
  <c r="GR228" i="5" s="1"/>
  <c r="J635" i="4"/>
  <c r="GS228" i="5" s="1"/>
  <c r="K635" i="4"/>
  <c r="GT228" i="5" s="1"/>
  <c r="L635" i="4"/>
  <c r="GU228" i="5" s="1"/>
  <c r="M635" i="4"/>
  <c r="GV228" i="5" s="1"/>
  <c r="N635" i="4"/>
  <c r="GW228" i="5" s="1"/>
  <c r="O635" i="4"/>
  <c r="GX228" i="5" s="1"/>
  <c r="P635" i="4"/>
  <c r="GY228" i="5" s="1"/>
  <c r="Q635" i="4"/>
  <c r="GZ228" i="5" s="1"/>
  <c r="R635" i="4"/>
  <c r="HA228" i="5" s="1"/>
  <c r="S635" i="4"/>
  <c r="HB228" i="5" s="1"/>
  <c r="T635" i="4"/>
  <c r="HC228" i="5" s="1"/>
  <c r="U635" i="4"/>
  <c r="HD228" i="5" s="1"/>
  <c r="V635" i="4"/>
  <c r="HE228" i="5" s="1"/>
  <c r="W635" i="4"/>
  <c r="HF228" i="5" s="1"/>
  <c r="G636" i="4"/>
  <c r="HM228" i="5" s="1"/>
  <c r="H636" i="4"/>
  <c r="HN228" i="5" s="1"/>
  <c r="I636" i="4"/>
  <c r="HO228" i="5" s="1"/>
  <c r="J636" i="4"/>
  <c r="HP228" i="5" s="1"/>
  <c r="K636" i="4"/>
  <c r="HQ228" i="5" s="1"/>
  <c r="L636" i="4"/>
  <c r="HR228" i="5" s="1"/>
  <c r="M636" i="4"/>
  <c r="HS228" i="5" s="1"/>
  <c r="N636" i="4"/>
  <c r="HT228" i="5" s="1"/>
  <c r="O636" i="4"/>
  <c r="HU228" i="5" s="1"/>
  <c r="P636" i="4"/>
  <c r="HV228" i="5" s="1"/>
  <c r="Q636" i="4"/>
  <c r="HW228" i="5" s="1"/>
  <c r="R636" i="4"/>
  <c r="HX228" i="5" s="1"/>
  <c r="S636" i="4"/>
  <c r="HY228" i="5" s="1"/>
  <c r="T636" i="4"/>
  <c r="HZ228" i="5" s="1"/>
  <c r="U636" i="4"/>
  <c r="IA228" i="5" s="1"/>
  <c r="V636" i="4"/>
  <c r="IB228" i="5" s="1"/>
  <c r="W636" i="4"/>
  <c r="IC228" i="5" s="1"/>
  <c r="G637" i="4"/>
  <c r="IJ228" i="5" s="1"/>
  <c r="H637" i="4"/>
  <c r="IK228" i="5" s="1"/>
  <c r="I637" i="4"/>
  <c r="IL228" i="5" s="1"/>
  <c r="J637" i="4"/>
  <c r="IM228" i="5" s="1"/>
  <c r="K637" i="4"/>
  <c r="IN228" i="5" s="1"/>
  <c r="L637" i="4"/>
  <c r="IO228" i="5" s="1"/>
  <c r="M637" i="4"/>
  <c r="IP228" i="5" s="1"/>
  <c r="N637" i="4"/>
  <c r="IQ228" i="5" s="1"/>
  <c r="O637" i="4"/>
  <c r="IR228" i="5" s="1"/>
  <c r="P637" i="4"/>
  <c r="IS228" i="5" s="1"/>
  <c r="Q637" i="4"/>
  <c r="IT228" i="5" s="1"/>
  <c r="R637" i="4"/>
  <c r="IU228" i="5" s="1"/>
  <c r="S637" i="4"/>
  <c r="IV228" i="5" s="1"/>
  <c r="T637" i="4"/>
  <c r="F229" i="5" s="1"/>
  <c r="U637" i="4"/>
  <c r="G229" i="5" s="1"/>
  <c r="V637" i="4"/>
  <c r="H229" i="5" s="1"/>
  <c r="W637" i="4"/>
  <c r="I229" i="5" s="1"/>
  <c r="G638" i="4"/>
  <c r="P229" i="5" s="1"/>
  <c r="H638" i="4"/>
  <c r="Q229" i="5" s="1"/>
  <c r="I638" i="4"/>
  <c r="R229" i="5" s="1"/>
  <c r="J638" i="4"/>
  <c r="S229" i="5" s="1"/>
  <c r="K638" i="4"/>
  <c r="T229" i="5" s="1"/>
  <c r="L638" i="4"/>
  <c r="U229" i="5" s="1"/>
  <c r="M638" i="4"/>
  <c r="V229" i="5" s="1"/>
  <c r="N638" i="4"/>
  <c r="W229" i="5" s="1"/>
  <c r="O638" i="4"/>
  <c r="X229" i="5" s="1"/>
  <c r="P638" i="4"/>
  <c r="Y229" i="5" s="1"/>
  <c r="Q638" i="4"/>
  <c r="Z229" i="5" s="1"/>
  <c r="R638" i="4"/>
  <c r="AA229" i="5" s="1"/>
  <c r="S638" i="4"/>
  <c r="AB229" i="5" s="1"/>
  <c r="T638" i="4"/>
  <c r="AC229" i="5" s="1"/>
  <c r="U638" i="4"/>
  <c r="AD229" i="5" s="1"/>
  <c r="V638" i="4"/>
  <c r="AE229" i="5" s="1"/>
  <c r="W638" i="4"/>
  <c r="AF229" i="5" s="1"/>
  <c r="G639" i="4"/>
  <c r="AM229" i="5" s="1"/>
  <c r="H639" i="4"/>
  <c r="AN229" i="5" s="1"/>
  <c r="I639" i="4"/>
  <c r="AO229" i="5" s="1"/>
  <c r="J639" i="4"/>
  <c r="AP229" i="5" s="1"/>
  <c r="K639" i="4"/>
  <c r="AQ229" i="5" s="1"/>
  <c r="L639" i="4"/>
  <c r="AR229" i="5" s="1"/>
  <c r="M639" i="4"/>
  <c r="AS229" i="5" s="1"/>
  <c r="N639" i="4"/>
  <c r="AT229" i="5" s="1"/>
  <c r="O639" i="4"/>
  <c r="AU229" i="5" s="1"/>
  <c r="P639" i="4"/>
  <c r="AV229" i="5" s="1"/>
  <c r="Q639" i="4"/>
  <c r="AW229" i="5" s="1"/>
  <c r="R639" i="4"/>
  <c r="AX229" i="5" s="1"/>
  <c r="S639" i="4"/>
  <c r="AY229" i="5" s="1"/>
  <c r="T639" i="4"/>
  <c r="AZ229" i="5" s="1"/>
  <c r="U639" i="4"/>
  <c r="BA229" i="5" s="1"/>
  <c r="V639" i="4"/>
  <c r="BB229" i="5" s="1"/>
  <c r="W639" i="4"/>
  <c r="BC229" i="5" s="1"/>
  <c r="G640" i="4"/>
  <c r="BJ229" i="5" s="1"/>
  <c r="H640" i="4"/>
  <c r="BK229" i="5" s="1"/>
  <c r="I640" i="4"/>
  <c r="BL229" i="5" s="1"/>
  <c r="J640" i="4"/>
  <c r="BM229" i="5" s="1"/>
  <c r="K640" i="4"/>
  <c r="BN229" i="5" s="1"/>
  <c r="L640" i="4"/>
  <c r="BO229" i="5" s="1"/>
  <c r="M640" i="4"/>
  <c r="BP229" i="5" s="1"/>
  <c r="N640" i="4"/>
  <c r="BQ229" i="5" s="1"/>
  <c r="O640" i="4"/>
  <c r="BR229" i="5" s="1"/>
  <c r="P640" i="4"/>
  <c r="BS229" i="5" s="1"/>
  <c r="Q640" i="4"/>
  <c r="BT229" i="5" s="1"/>
  <c r="R640" i="4"/>
  <c r="BU229" i="5" s="1"/>
  <c r="S640" i="4"/>
  <c r="BV229" i="5" s="1"/>
  <c r="T640" i="4"/>
  <c r="BW229" i="5" s="1"/>
  <c r="U640" i="4"/>
  <c r="BX229" i="5" s="1"/>
  <c r="V640" i="4"/>
  <c r="BY229" i="5" s="1"/>
  <c r="W640" i="4"/>
  <c r="BZ229" i="5" s="1"/>
  <c r="G641" i="4"/>
  <c r="CG229" i="5" s="1"/>
  <c r="H641" i="4"/>
  <c r="CH229" i="5" s="1"/>
  <c r="I641" i="4"/>
  <c r="CI229" i="5" s="1"/>
  <c r="J641" i="4"/>
  <c r="CJ229" i="5" s="1"/>
  <c r="K641" i="4"/>
  <c r="CK229" i="5" s="1"/>
  <c r="L641" i="4"/>
  <c r="CL229" i="5" s="1"/>
  <c r="M641" i="4"/>
  <c r="CM229" i="5" s="1"/>
  <c r="N641" i="4"/>
  <c r="CN229" i="5" s="1"/>
  <c r="O641" i="4"/>
  <c r="CO229" i="5" s="1"/>
  <c r="P641" i="4"/>
  <c r="CP229" i="5" s="1"/>
  <c r="Q641" i="4"/>
  <c r="CQ229" i="5" s="1"/>
  <c r="R641" i="4"/>
  <c r="CR229" i="5" s="1"/>
  <c r="S641" i="4"/>
  <c r="CS229" i="5" s="1"/>
  <c r="T641" i="4"/>
  <c r="CT229" i="5" s="1"/>
  <c r="U641" i="4"/>
  <c r="CU229" i="5" s="1"/>
  <c r="V641" i="4"/>
  <c r="CV229" i="5" s="1"/>
  <c r="W641" i="4"/>
  <c r="CW229" i="5" s="1"/>
  <c r="G642" i="4"/>
  <c r="DD229" i="5" s="1"/>
  <c r="H642" i="4"/>
  <c r="DE229" i="5" s="1"/>
  <c r="I642" i="4"/>
  <c r="DF229" i="5" s="1"/>
  <c r="J642" i="4"/>
  <c r="DG229" i="5" s="1"/>
  <c r="K642" i="4"/>
  <c r="DH229" i="5" s="1"/>
  <c r="L642" i="4"/>
  <c r="DI229" i="5" s="1"/>
  <c r="M642" i="4"/>
  <c r="DJ229" i="5" s="1"/>
  <c r="N642" i="4"/>
  <c r="DK229" i="5" s="1"/>
  <c r="O642" i="4"/>
  <c r="DL229" i="5" s="1"/>
  <c r="P642" i="4"/>
  <c r="DM229" i="5" s="1"/>
  <c r="Q642" i="4"/>
  <c r="DN229" i="5" s="1"/>
  <c r="R642" i="4"/>
  <c r="DO229" i="5" s="1"/>
  <c r="S642" i="4"/>
  <c r="DP229" i="5" s="1"/>
  <c r="T642" i="4"/>
  <c r="DQ229" i="5" s="1"/>
  <c r="U642" i="4"/>
  <c r="DR229" i="5" s="1"/>
  <c r="V642" i="4"/>
  <c r="DS229" i="5" s="1"/>
  <c r="W642" i="4"/>
  <c r="DT229" i="5" s="1"/>
  <c r="G643" i="4"/>
  <c r="EA229" i="5" s="1"/>
  <c r="H643" i="4"/>
  <c r="EB229" i="5" s="1"/>
  <c r="I643" i="4"/>
  <c r="EC229" i="5" s="1"/>
  <c r="J643" i="4"/>
  <c r="ED229" i="5" s="1"/>
  <c r="K643" i="4"/>
  <c r="EE229" i="5" s="1"/>
  <c r="L643" i="4"/>
  <c r="EF229" i="5" s="1"/>
  <c r="M643" i="4"/>
  <c r="EG229" i="5" s="1"/>
  <c r="N643" i="4"/>
  <c r="EH229" i="5" s="1"/>
  <c r="O643" i="4"/>
  <c r="EI229" i="5" s="1"/>
  <c r="P643" i="4"/>
  <c r="EJ229" i="5" s="1"/>
  <c r="Q643" i="4"/>
  <c r="EK229" i="5" s="1"/>
  <c r="R643" i="4"/>
  <c r="EL229" i="5" s="1"/>
  <c r="S643" i="4"/>
  <c r="EM229" i="5" s="1"/>
  <c r="T643" i="4"/>
  <c r="EN229" i="5" s="1"/>
  <c r="U643" i="4"/>
  <c r="EO229" i="5" s="1"/>
  <c r="V643" i="4"/>
  <c r="EP229" i="5" s="1"/>
  <c r="W643" i="4"/>
  <c r="EQ229" i="5" s="1"/>
  <c r="G644" i="4"/>
  <c r="EX229" i="5" s="1"/>
  <c r="H644" i="4"/>
  <c r="EY229" i="5" s="1"/>
  <c r="I644" i="4"/>
  <c r="EZ229" i="5" s="1"/>
  <c r="J644" i="4"/>
  <c r="FA229" i="5" s="1"/>
  <c r="K644" i="4"/>
  <c r="FB229" i="5" s="1"/>
  <c r="L644" i="4"/>
  <c r="FC229" i="5" s="1"/>
  <c r="M644" i="4"/>
  <c r="FD229" i="5" s="1"/>
  <c r="N644" i="4"/>
  <c r="FE229" i="5" s="1"/>
  <c r="O644" i="4"/>
  <c r="FF229" i="5" s="1"/>
  <c r="P644" i="4"/>
  <c r="FG229" i="5" s="1"/>
  <c r="Q644" i="4"/>
  <c r="FH229" i="5" s="1"/>
  <c r="R644" i="4"/>
  <c r="FI229" i="5" s="1"/>
  <c r="S644" i="4"/>
  <c r="FJ229" i="5" s="1"/>
  <c r="T644" i="4"/>
  <c r="FK229" i="5" s="1"/>
  <c r="U644" i="4"/>
  <c r="FL229" i="5" s="1"/>
  <c r="V644" i="4"/>
  <c r="FM229" i="5" s="1"/>
  <c r="W644" i="4"/>
  <c r="FN229" i="5" s="1"/>
  <c r="G645" i="4"/>
  <c r="FU229" i="5" s="1"/>
  <c r="H645" i="4"/>
  <c r="FV229" i="5" s="1"/>
  <c r="I645" i="4"/>
  <c r="FW229" i="5" s="1"/>
  <c r="J645" i="4"/>
  <c r="FX229" i="5" s="1"/>
  <c r="K645" i="4"/>
  <c r="FY229" i="5" s="1"/>
  <c r="L645" i="4"/>
  <c r="FZ229" i="5" s="1"/>
  <c r="M645" i="4"/>
  <c r="GA229" i="5" s="1"/>
  <c r="N645" i="4"/>
  <c r="GB229" i="5" s="1"/>
  <c r="O645" i="4"/>
  <c r="GC229" i="5" s="1"/>
  <c r="P645" i="4"/>
  <c r="GD229" i="5" s="1"/>
  <c r="Q645" i="4"/>
  <c r="GE229" i="5" s="1"/>
  <c r="R645" i="4"/>
  <c r="GF229" i="5" s="1"/>
  <c r="S645" i="4"/>
  <c r="GG229" i="5" s="1"/>
  <c r="T645" i="4"/>
  <c r="GH229" i="5" s="1"/>
  <c r="U645" i="4"/>
  <c r="GI229" i="5" s="1"/>
  <c r="V645" i="4"/>
  <c r="GJ229" i="5" s="1"/>
  <c r="W645" i="4"/>
  <c r="GK229" i="5" s="1"/>
  <c r="G646" i="4"/>
  <c r="GR229" i="5" s="1"/>
  <c r="H646" i="4"/>
  <c r="GS229" i="5" s="1"/>
  <c r="I646" i="4"/>
  <c r="GT229" i="5" s="1"/>
  <c r="J646" i="4"/>
  <c r="GU229" i="5" s="1"/>
  <c r="K646" i="4"/>
  <c r="GV229" i="5" s="1"/>
  <c r="L646" i="4"/>
  <c r="GW229" i="5" s="1"/>
  <c r="M646" i="4"/>
  <c r="GX229" i="5" s="1"/>
  <c r="N646" i="4"/>
  <c r="GY229" i="5" s="1"/>
  <c r="O646" i="4"/>
  <c r="GZ229" i="5" s="1"/>
  <c r="P646" i="4"/>
  <c r="HA229" i="5" s="1"/>
  <c r="Q646" i="4"/>
  <c r="HB229" i="5" s="1"/>
  <c r="R646" i="4"/>
  <c r="HC229" i="5" s="1"/>
  <c r="S646" i="4"/>
  <c r="HD229" i="5" s="1"/>
  <c r="T646" i="4"/>
  <c r="HE229" i="5" s="1"/>
  <c r="U646" i="4"/>
  <c r="HF229" i="5" s="1"/>
  <c r="V646" i="4"/>
  <c r="HG229" i="5" s="1"/>
  <c r="W646" i="4"/>
  <c r="HH229" i="5" s="1"/>
  <c r="G647" i="4"/>
  <c r="HO229" i="5" s="1"/>
  <c r="H647" i="4"/>
  <c r="HP229" i="5" s="1"/>
  <c r="I647" i="4"/>
  <c r="HQ229" i="5" s="1"/>
  <c r="J647" i="4"/>
  <c r="HR229" i="5" s="1"/>
  <c r="K647" i="4"/>
  <c r="HS229" i="5" s="1"/>
  <c r="L647" i="4"/>
  <c r="HT229" i="5" s="1"/>
  <c r="M647" i="4"/>
  <c r="HU229" i="5" s="1"/>
  <c r="N647" i="4"/>
  <c r="HV229" i="5" s="1"/>
  <c r="O647" i="4"/>
  <c r="HW229" i="5" s="1"/>
  <c r="P647" i="4"/>
  <c r="HX229" i="5" s="1"/>
  <c r="Q647" i="4"/>
  <c r="HY229" i="5" s="1"/>
  <c r="R647" i="4"/>
  <c r="HZ229" i="5" s="1"/>
  <c r="S647" i="4"/>
  <c r="IA229" i="5" s="1"/>
  <c r="T647" i="4"/>
  <c r="IB229" i="5" s="1"/>
  <c r="U647" i="4"/>
  <c r="IC229" i="5" s="1"/>
  <c r="V647" i="4"/>
  <c r="ID229" i="5" s="1"/>
  <c r="W647" i="4"/>
  <c r="IE229" i="5" s="1"/>
  <c r="G648" i="4"/>
  <c r="IL229" i="5" s="1"/>
  <c r="H648" i="4"/>
  <c r="IM229" i="5" s="1"/>
  <c r="I648" i="4"/>
  <c r="IN229" i="5" s="1"/>
  <c r="J648" i="4"/>
  <c r="IO229" i="5" s="1"/>
  <c r="K648" i="4"/>
  <c r="IP229" i="5" s="1"/>
  <c r="L648" i="4"/>
  <c r="IQ229" i="5" s="1"/>
  <c r="M648" i="4"/>
  <c r="IR229" i="5" s="1"/>
  <c r="N648" i="4"/>
  <c r="IS229" i="5" s="1"/>
  <c r="O648" i="4"/>
  <c r="IT229" i="5" s="1"/>
  <c r="P648" i="4"/>
  <c r="IU229" i="5" s="1"/>
  <c r="Q648" i="4"/>
  <c r="IV229" i="5" s="1"/>
  <c r="R648" i="4"/>
  <c r="F230" i="5" s="1"/>
  <c r="S648" i="4"/>
  <c r="G230" i="5" s="1"/>
  <c r="T648" i="4"/>
  <c r="H230" i="5" s="1"/>
  <c r="U648" i="4"/>
  <c r="I230" i="5" s="1"/>
  <c r="V648" i="4"/>
  <c r="J230" i="5" s="1"/>
  <c r="W648" i="4"/>
  <c r="K230" i="5" s="1"/>
  <c r="G649" i="4"/>
  <c r="R230" i="5" s="1"/>
  <c r="H649" i="4"/>
  <c r="S230" i="5" s="1"/>
  <c r="I649" i="4"/>
  <c r="T230" i="5" s="1"/>
  <c r="J649" i="4"/>
  <c r="U230" i="5" s="1"/>
  <c r="K649" i="4"/>
  <c r="V230" i="5" s="1"/>
  <c r="L649" i="4"/>
  <c r="W230" i="5" s="1"/>
  <c r="M649" i="4"/>
  <c r="X230" i="5" s="1"/>
  <c r="N649" i="4"/>
  <c r="Y230" i="5" s="1"/>
  <c r="O649" i="4"/>
  <c r="Z230" i="5" s="1"/>
  <c r="P649" i="4"/>
  <c r="AA230" i="5" s="1"/>
  <c r="Q649" i="4"/>
  <c r="AB230" i="5" s="1"/>
  <c r="R649" i="4"/>
  <c r="AC230" i="5" s="1"/>
  <c r="S649" i="4"/>
  <c r="AD230" i="5" s="1"/>
  <c r="T649" i="4"/>
  <c r="AE230" i="5" s="1"/>
  <c r="U649" i="4"/>
  <c r="AF230" i="5" s="1"/>
  <c r="V649" i="4"/>
  <c r="AG230" i="5" s="1"/>
  <c r="W649" i="4"/>
  <c r="AH230" i="5" s="1"/>
  <c r="G650" i="4"/>
  <c r="AO230" i="5" s="1"/>
  <c r="H650" i="4"/>
  <c r="AP230" i="5" s="1"/>
  <c r="I650" i="4"/>
  <c r="AQ230" i="5" s="1"/>
  <c r="J650" i="4"/>
  <c r="AR230" i="5" s="1"/>
  <c r="K650" i="4"/>
  <c r="AS230" i="5" s="1"/>
  <c r="L650" i="4"/>
  <c r="AT230" i="5" s="1"/>
  <c r="M650" i="4"/>
  <c r="AU230" i="5" s="1"/>
  <c r="N650" i="4"/>
  <c r="AV230" i="5" s="1"/>
  <c r="O650" i="4"/>
  <c r="AW230" i="5" s="1"/>
  <c r="P650" i="4"/>
  <c r="AX230" i="5" s="1"/>
  <c r="Q650" i="4"/>
  <c r="AY230" i="5" s="1"/>
  <c r="R650" i="4"/>
  <c r="AZ230" i="5" s="1"/>
  <c r="S650" i="4"/>
  <c r="BA230" i="5" s="1"/>
  <c r="T650" i="4"/>
  <c r="BB230" i="5" s="1"/>
  <c r="U650" i="4"/>
  <c r="BC230" i="5" s="1"/>
  <c r="V650" i="4"/>
  <c r="BD230" i="5" s="1"/>
  <c r="W650" i="4"/>
  <c r="BE230" i="5" s="1"/>
  <c r="G651" i="4"/>
  <c r="BL230" i="5" s="1"/>
  <c r="H651" i="4"/>
  <c r="BM230" i="5" s="1"/>
  <c r="I651" i="4"/>
  <c r="BN230" i="5" s="1"/>
  <c r="J651" i="4"/>
  <c r="BO230" i="5" s="1"/>
  <c r="K651" i="4"/>
  <c r="BP230" i="5" s="1"/>
  <c r="L651" i="4"/>
  <c r="BQ230" i="5" s="1"/>
  <c r="M651" i="4"/>
  <c r="BR230" i="5" s="1"/>
  <c r="N651" i="4"/>
  <c r="BS230" i="5" s="1"/>
  <c r="O651" i="4"/>
  <c r="BT230" i="5" s="1"/>
  <c r="P651" i="4"/>
  <c r="BU230" i="5" s="1"/>
  <c r="Q651" i="4"/>
  <c r="BV230" i="5" s="1"/>
  <c r="R651" i="4"/>
  <c r="BW230" i="5" s="1"/>
  <c r="S651" i="4"/>
  <c r="BX230" i="5" s="1"/>
  <c r="T651" i="4"/>
  <c r="BY230" i="5" s="1"/>
  <c r="U651" i="4"/>
  <c r="BZ230" i="5" s="1"/>
  <c r="V651" i="4"/>
  <c r="CA230" i="5" s="1"/>
  <c r="W651" i="4"/>
  <c r="CB230" i="5" s="1"/>
  <c r="G652" i="4"/>
  <c r="CI230" i="5" s="1"/>
  <c r="H652" i="4"/>
  <c r="CJ230" i="5" s="1"/>
  <c r="I652" i="4"/>
  <c r="CK230" i="5" s="1"/>
  <c r="J652" i="4"/>
  <c r="CL230" i="5" s="1"/>
  <c r="K652" i="4"/>
  <c r="CM230" i="5" s="1"/>
  <c r="L652" i="4"/>
  <c r="CN230" i="5" s="1"/>
  <c r="M652" i="4"/>
  <c r="CO230" i="5" s="1"/>
  <c r="N652" i="4"/>
  <c r="CP230" i="5" s="1"/>
  <c r="O652" i="4"/>
  <c r="CQ230" i="5" s="1"/>
  <c r="P652" i="4"/>
  <c r="CR230" i="5" s="1"/>
  <c r="Q652" i="4"/>
  <c r="CS230" i="5" s="1"/>
  <c r="R652" i="4"/>
  <c r="CT230" i="5" s="1"/>
  <c r="S652" i="4"/>
  <c r="CU230" i="5" s="1"/>
  <c r="T652" i="4"/>
  <c r="CV230" i="5" s="1"/>
  <c r="U652" i="4"/>
  <c r="CW230" i="5" s="1"/>
  <c r="V652" i="4"/>
  <c r="CX230" i="5" s="1"/>
  <c r="W652" i="4"/>
  <c r="CY230" i="5" s="1"/>
  <c r="G653" i="4"/>
  <c r="DF230" i="5" s="1"/>
  <c r="H653" i="4"/>
  <c r="DG230" i="5" s="1"/>
  <c r="I653" i="4"/>
  <c r="DH230" i="5" s="1"/>
  <c r="J653" i="4"/>
  <c r="DI230" i="5" s="1"/>
  <c r="K653" i="4"/>
  <c r="DJ230" i="5" s="1"/>
  <c r="L653" i="4"/>
  <c r="DK230" i="5" s="1"/>
  <c r="M653" i="4"/>
  <c r="DL230" i="5" s="1"/>
  <c r="N653" i="4"/>
  <c r="DM230" i="5" s="1"/>
  <c r="O653" i="4"/>
  <c r="DN230" i="5" s="1"/>
  <c r="P653" i="4"/>
  <c r="DO230" i="5" s="1"/>
  <c r="Q653" i="4"/>
  <c r="DP230" i="5" s="1"/>
  <c r="R653" i="4"/>
  <c r="DQ230" i="5" s="1"/>
  <c r="S653" i="4"/>
  <c r="DR230" i="5" s="1"/>
  <c r="T653" i="4"/>
  <c r="DS230" i="5" s="1"/>
  <c r="U653" i="4"/>
  <c r="DT230" i="5" s="1"/>
  <c r="V653" i="4"/>
  <c r="DU230" i="5" s="1"/>
  <c r="W653" i="4"/>
  <c r="DV230" i="5" s="1"/>
  <c r="G654" i="4"/>
  <c r="EC230" i="5" s="1"/>
  <c r="H654" i="4"/>
  <c r="ED230" i="5" s="1"/>
  <c r="I654" i="4"/>
  <c r="EE230" i="5" s="1"/>
  <c r="J654" i="4"/>
  <c r="EF230" i="5" s="1"/>
  <c r="K654" i="4"/>
  <c r="EG230" i="5" s="1"/>
  <c r="L654" i="4"/>
  <c r="EH230" i="5" s="1"/>
  <c r="M654" i="4"/>
  <c r="EI230" i="5" s="1"/>
  <c r="N654" i="4"/>
  <c r="EJ230" i="5" s="1"/>
  <c r="O654" i="4"/>
  <c r="EK230" i="5" s="1"/>
  <c r="P654" i="4"/>
  <c r="EL230" i="5" s="1"/>
  <c r="Q654" i="4"/>
  <c r="EM230" i="5" s="1"/>
  <c r="R654" i="4"/>
  <c r="EN230" i="5" s="1"/>
  <c r="S654" i="4"/>
  <c r="EO230" i="5" s="1"/>
  <c r="T654" i="4"/>
  <c r="EP230" i="5" s="1"/>
  <c r="U654" i="4"/>
  <c r="EQ230" i="5" s="1"/>
  <c r="V654" i="4"/>
  <c r="ER230" i="5" s="1"/>
  <c r="W654" i="4"/>
  <c r="ES230" i="5" s="1"/>
  <c r="G655" i="4"/>
  <c r="EZ230" i="5" s="1"/>
  <c r="H655" i="4"/>
  <c r="FA230" i="5" s="1"/>
  <c r="I655" i="4"/>
  <c r="FB230" i="5" s="1"/>
  <c r="J655" i="4"/>
  <c r="FC230" i="5" s="1"/>
  <c r="K655" i="4"/>
  <c r="FD230" i="5" s="1"/>
  <c r="L655" i="4"/>
  <c r="FE230" i="5" s="1"/>
  <c r="M655" i="4"/>
  <c r="FF230" i="5" s="1"/>
  <c r="N655" i="4"/>
  <c r="FG230" i="5" s="1"/>
  <c r="O655" i="4"/>
  <c r="FH230" i="5" s="1"/>
  <c r="P655" i="4"/>
  <c r="FI230" i="5" s="1"/>
  <c r="Q655" i="4"/>
  <c r="FJ230" i="5" s="1"/>
  <c r="R655" i="4"/>
  <c r="FK230" i="5" s="1"/>
  <c r="S655" i="4"/>
  <c r="FL230" i="5" s="1"/>
  <c r="T655" i="4"/>
  <c r="FM230" i="5" s="1"/>
  <c r="U655" i="4"/>
  <c r="FN230" i="5" s="1"/>
  <c r="V655" i="4"/>
  <c r="FO230" i="5" s="1"/>
  <c r="W655" i="4"/>
  <c r="FP230" i="5" s="1"/>
  <c r="G656" i="4"/>
  <c r="FW230" i="5" s="1"/>
  <c r="H656" i="4"/>
  <c r="FX230" i="5" s="1"/>
  <c r="I656" i="4"/>
  <c r="FY230" i="5" s="1"/>
  <c r="J656" i="4"/>
  <c r="FZ230" i="5" s="1"/>
  <c r="K656" i="4"/>
  <c r="GA230" i="5" s="1"/>
  <c r="L656" i="4"/>
  <c r="GB230" i="5" s="1"/>
  <c r="M656" i="4"/>
  <c r="GC230" i="5" s="1"/>
  <c r="N656" i="4"/>
  <c r="GD230" i="5" s="1"/>
  <c r="O656" i="4"/>
  <c r="GE230" i="5" s="1"/>
  <c r="P656" i="4"/>
  <c r="GF230" i="5" s="1"/>
  <c r="Q656" i="4"/>
  <c r="GG230" i="5" s="1"/>
  <c r="R656" i="4"/>
  <c r="GH230" i="5" s="1"/>
  <c r="S656" i="4"/>
  <c r="GI230" i="5" s="1"/>
  <c r="T656" i="4"/>
  <c r="GJ230" i="5" s="1"/>
  <c r="U656" i="4"/>
  <c r="GK230" i="5" s="1"/>
  <c r="V656" i="4"/>
  <c r="GL230" i="5" s="1"/>
  <c r="W656" i="4"/>
  <c r="GM230" i="5" s="1"/>
  <c r="G657" i="4"/>
  <c r="GT230" i="5" s="1"/>
  <c r="H657" i="4"/>
  <c r="GU230" i="5" s="1"/>
  <c r="I657" i="4"/>
  <c r="GV230" i="5" s="1"/>
  <c r="J657" i="4"/>
  <c r="GW230" i="5" s="1"/>
  <c r="K657" i="4"/>
  <c r="GX230" i="5" s="1"/>
  <c r="L657" i="4"/>
  <c r="GY230" i="5" s="1"/>
  <c r="M657" i="4"/>
  <c r="GZ230" i="5" s="1"/>
  <c r="N657" i="4"/>
  <c r="HA230" i="5" s="1"/>
  <c r="O657" i="4"/>
  <c r="HB230" i="5" s="1"/>
  <c r="P657" i="4"/>
  <c r="HC230" i="5" s="1"/>
  <c r="Q657" i="4"/>
  <c r="HD230" i="5" s="1"/>
  <c r="R657" i="4"/>
  <c r="HE230" i="5" s="1"/>
  <c r="S657" i="4"/>
  <c r="HF230" i="5" s="1"/>
  <c r="T657" i="4"/>
  <c r="HG230" i="5" s="1"/>
  <c r="U657" i="4"/>
  <c r="HH230" i="5" s="1"/>
  <c r="V657" i="4"/>
  <c r="HI230" i="5" s="1"/>
  <c r="W657" i="4"/>
  <c r="HJ230" i="5" s="1"/>
  <c r="G658" i="4"/>
  <c r="HQ230" i="5" s="1"/>
  <c r="H658" i="4"/>
  <c r="HR230" i="5" s="1"/>
  <c r="I658" i="4"/>
  <c r="HS230" i="5" s="1"/>
  <c r="J658" i="4"/>
  <c r="HT230" i="5" s="1"/>
  <c r="K658" i="4"/>
  <c r="HU230" i="5" s="1"/>
  <c r="L658" i="4"/>
  <c r="HV230" i="5" s="1"/>
  <c r="M658" i="4"/>
  <c r="HW230" i="5" s="1"/>
  <c r="N658" i="4"/>
  <c r="HX230" i="5" s="1"/>
  <c r="O658" i="4"/>
  <c r="HY230" i="5" s="1"/>
  <c r="P658" i="4"/>
  <c r="HZ230" i="5" s="1"/>
  <c r="Q658" i="4"/>
  <c r="IA230" i="5" s="1"/>
  <c r="R658" i="4"/>
  <c r="IB230" i="5" s="1"/>
  <c r="S658" i="4"/>
  <c r="IC230" i="5" s="1"/>
  <c r="T658" i="4"/>
  <c r="ID230" i="5" s="1"/>
  <c r="U658" i="4"/>
  <c r="IE230" i="5" s="1"/>
  <c r="V658" i="4"/>
  <c r="IF230" i="5" s="1"/>
  <c r="W658" i="4"/>
  <c r="IG230" i="5" s="1"/>
  <c r="G659" i="4"/>
  <c r="IN230" i="5" s="1"/>
  <c r="H659" i="4"/>
  <c r="IO230" i="5" s="1"/>
  <c r="I659" i="4"/>
  <c r="IP230" i="5" s="1"/>
  <c r="J659" i="4"/>
  <c r="IQ230" i="5" s="1"/>
  <c r="K659" i="4"/>
  <c r="IR230" i="5" s="1"/>
  <c r="L659" i="4"/>
  <c r="IS230" i="5" s="1"/>
  <c r="M659" i="4"/>
  <c r="IT230" i="5" s="1"/>
  <c r="N659" i="4"/>
  <c r="IU230" i="5" s="1"/>
  <c r="O659" i="4"/>
  <c r="IV230" i="5" s="1"/>
  <c r="P659" i="4"/>
  <c r="F231" i="5" s="1"/>
  <c r="Q659" i="4"/>
  <c r="G231" i="5" s="1"/>
  <c r="R659" i="4"/>
  <c r="H231" i="5" s="1"/>
  <c r="S659" i="4"/>
  <c r="I231" i="5" s="1"/>
  <c r="T659" i="4"/>
  <c r="J231" i="5" s="1"/>
  <c r="U659" i="4"/>
  <c r="K231" i="5" s="1"/>
  <c r="V659" i="4"/>
  <c r="L231" i="5" s="1"/>
  <c r="W659" i="4"/>
  <c r="M231" i="5" s="1"/>
  <c r="G660" i="4"/>
  <c r="T231" i="5" s="1"/>
  <c r="H660" i="4"/>
  <c r="U231" i="5" s="1"/>
  <c r="I660" i="4"/>
  <c r="V231" i="5" s="1"/>
  <c r="J660" i="4"/>
  <c r="W231" i="5" s="1"/>
  <c r="K660" i="4"/>
  <c r="X231" i="5" s="1"/>
  <c r="L660" i="4"/>
  <c r="Y231" i="5" s="1"/>
  <c r="M660" i="4"/>
  <c r="Z231" i="5" s="1"/>
  <c r="N660" i="4"/>
  <c r="AA231" i="5" s="1"/>
  <c r="O660" i="4"/>
  <c r="AB231" i="5" s="1"/>
  <c r="P660" i="4"/>
  <c r="AC231" i="5" s="1"/>
  <c r="Q660" i="4"/>
  <c r="AD231" i="5" s="1"/>
  <c r="R660" i="4"/>
  <c r="AE231" i="5" s="1"/>
  <c r="S660" i="4"/>
  <c r="AF231" i="5" s="1"/>
  <c r="T660" i="4"/>
  <c r="AG231" i="5" s="1"/>
  <c r="U660" i="4"/>
  <c r="AH231" i="5" s="1"/>
  <c r="V660" i="4"/>
  <c r="AI231" i="5" s="1"/>
  <c r="W660" i="4"/>
  <c r="AJ231" i="5" s="1"/>
  <c r="G661" i="4"/>
  <c r="AQ231" i="5" s="1"/>
  <c r="H661" i="4"/>
  <c r="AR231" i="5" s="1"/>
  <c r="I661" i="4"/>
  <c r="AS231" i="5" s="1"/>
  <c r="J661" i="4"/>
  <c r="AT231" i="5" s="1"/>
  <c r="K661" i="4"/>
  <c r="AU231" i="5" s="1"/>
  <c r="L661" i="4"/>
  <c r="AV231" i="5" s="1"/>
  <c r="M661" i="4"/>
  <c r="AW231" i="5" s="1"/>
  <c r="N661" i="4"/>
  <c r="AX231" i="5" s="1"/>
  <c r="O661" i="4"/>
  <c r="AY231" i="5" s="1"/>
  <c r="P661" i="4"/>
  <c r="AZ231" i="5" s="1"/>
  <c r="Q661" i="4"/>
  <c r="BA231" i="5" s="1"/>
  <c r="R661" i="4"/>
  <c r="BB231" i="5" s="1"/>
  <c r="S661" i="4"/>
  <c r="BC231" i="5" s="1"/>
  <c r="T661" i="4"/>
  <c r="BD231" i="5" s="1"/>
  <c r="U661" i="4"/>
  <c r="BE231" i="5" s="1"/>
  <c r="V661" i="4"/>
  <c r="BF231" i="5" s="1"/>
  <c r="W661" i="4"/>
  <c r="BG231" i="5" s="1"/>
  <c r="G662" i="4"/>
  <c r="BN231" i="5" s="1"/>
  <c r="H662" i="4"/>
  <c r="BO231" i="5" s="1"/>
  <c r="I662" i="4"/>
  <c r="BP231" i="5" s="1"/>
  <c r="J662" i="4"/>
  <c r="BQ231" i="5" s="1"/>
  <c r="K662" i="4"/>
  <c r="BR231" i="5" s="1"/>
  <c r="L662" i="4"/>
  <c r="BS231" i="5" s="1"/>
  <c r="M662" i="4"/>
  <c r="BT231" i="5" s="1"/>
  <c r="N662" i="4"/>
  <c r="BU231" i="5" s="1"/>
  <c r="O662" i="4"/>
  <c r="BV231" i="5" s="1"/>
  <c r="P662" i="4"/>
  <c r="BW231" i="5" s="1"/>
  <c r="Q662" i="4"/>
  <c r="BX231" i="5" s="1"/>
  <c r="R662" i="4"/>
  <c r="BY231" i="5" s="1"/>
  <c r="S662" i="4"/>
  <c r="BZ231" i="5" s="1"/>
  <c r="T662" i="4"/>
  <c r="CA231" i="5" s="1"/>
  <c r="U662" i="4"/>
  <c r="CB231" i="5" s="1"/>
  <c r="V662" i="4"/>
  <c r="CC231" i="5" s="1"/>
  <c r="W662" i="4"/>
  <c r="CD231" i="5" s="1"/>
  <c r="G663" i="4"/>
  <c r="CK231" i="5" s="1"/>
  <c r="H663" i="4"/>
  <c r="CL231" i="5" s="1"/>
  <c r="I663" i="4"/>
  <c r="CM231" i="5" s="1"/>
  <c r="J663" i="4"/>
  <c r="CN231" i="5" s="1"/>
  <c r="K663" i="4"/>
  <c r="CO231" i="5" s="1"/>
  <c r="L663" i="4"/>
  <c r="CP231" i="5" s="1"/>
  <c r="M663" i="4"/>
  <c r="CQ231" i="5" s="1"/>
  <c r="N663" i="4"/>
  <c r="CR231" i="5" s="1"/>
  <c r="O663" i="4"/>
  <c r="CS231" i="5" s="1"/>
  <c r="P663" i="4"/>
  <c r="CT231" i="5" s="1"/>
  <c r="Q663" i="4"/>
  <c r="CU231" i="5" s="1"/>
  <c r="R663" i="4"/>
  <c r="CV231" i="5" s="1"/>
  <c r="S663" i="4"/>
  <c r="CW231" i="5" s="1"/>
  <c r="T663" i="4"/>
  <c r="CX231" i="5" s="1"/>
  <c r="U663" i="4"/>
  <c r="CY231" i="5" s="1"/>
  <c r="V663" i="4"/>
  <c r="CZ231" i="5" s="1"/>
  <c r="W663" i="4"/>
  <c r="DA231" i="5" s="1"/>
  <c r="G664" i="4"/>
  <c r="DH231" i="5" s="1"/>
  <c r="H664" i="4"/>
  <c r="DI231" i="5" s="1"/>
  <c r="I664" i="4"/>
  <c r="DJ231" i="5" s="1"/>
  <c r="J664" i="4"/>
  <c r="DK231" i="5" s="1"/>
  <c r="K664" i="4"/>
  <c r="DL231" i="5" s="1"/>
  <c r="L664" i="4"/>
  <c r="DM231" i="5" s="1"/>
  <c r="M664" i="4"/>
  <c r="DN231" i="5" s="1"/>
  <c r="N664" i="4"/>
  <c r="DO231" i="5" s="1"/>
  <c r="O664" i="4"/>
  <c r="DP231" i="5" s="1"/>
  <c r="P664" i="4"/>
  <c r="DQ231" i="5" s="1"/>
  <c r="Q664" i="4"/>
  <c r="DR231" i="5" s="1"/>
  <c r="R664" i="4"/>
  <c r="DS231" i="5" s="1"/>
  <c r="S664" i="4"/>
  <c r="DT231" i="5" s="1"/>
  <c r="T664" i="4"/>
  <c r="DU231" i="5" s="1"/>
  <c r="U664" i="4"/>
  <c r="DV231" i="5" s="1"/>
  <c r="V664" i="4"/>
  <c r="DW231" i="5" s="1"/>
  <c r="W664" i="4"/>
  <c r="DX231" i="5" s="1"/>
  <c r="G665" i="4"/>
  <c r="EE231" i="5" s="1"/>
  <c r="H665" i="4"/>
  <c r="EF231" i="5" s="1"/>
  <c r="I665" i="4"/>
  <c r="EG231" i="5" s="1"/>
  <c r="J665" i="4"/>
  <c r="EH231" i="5" s="1"/>
  <c r="K665" i="4"/>
  <c r="EI231" i="5" s="1"/>
  <c r="L665" i="4"/>
  <c r="EJ231" i="5" s="1"/>
  <c r="M665" i="4"/>
  <c r="EK231" i="5" s="1"/>
  <c r="N665" i="4"/>
  <c r="EL231" i="5" s="1"/>
  <c r="O665" i="4"/>
  <c r="EM231" i="5" s="1"/>
  <c r="P665" i="4"/>
  <c r="EN231" i="5" s="1"/>
  <c r="Q665" i="4"/>
  <c r="EO231" i="5" s="1"/>
  <c r="R665" i="4"/>
  <c r="EP231" i="5" s="1"/>
  <c r="S665" i="4"/>
  <c r="EQ231" i="5" s="1"/>
  <c r="T665" i="4"/>
  <c r="ER231" i="5" s="1"/>
  <c r="U665" i="4"/>
  <c r="ES231" i="5" s="1"/>
  <c r="V665" i="4"/>
  <c r="ET231" i="5" s="1"/>
  <c r="W665" i="4"/>
  <c r="EU231" i="5" s="1"/>
  <c r="G666" i="4"/>
  <c r="FB231" i="5" s="1"/>
  <c r="H666" i="4"/>
  <c r="FC231" i="5" s="1"/>
  <c r="I666" i="4"/>
  <c r="FD231" i="5" s="1"/>
  <c r="J666" i="4"/>
  <c r="FE231" i="5" s="1"/>
  <c r="K666" i="4"/>
  <c r="FF231" i="5" s="1"/>
  <c r="L666" i="4"/>
  <c r="FG231" i="5" s="1"/>
  <c r="M666" i="4"/>
  <c r="FH231" i="5" s="1"/>
  <c r="N666" i="4"/>
  <c r="FI231" i="5" s="1"/>
  <c r="O666" i="4"/>
  <c r="FJ231" i="5" s="1"/>
  <c r="P666" i="4"/>
  <c r="FK231" i="5" s="1"/>
  <c r="Q666" i="4"/>
  <c r="FL231" i="5" s="1"/>
  <c r="R666" i="4"/>
  <c r="FM231" i="5" s="1"/>
  <c r="S666" i="4"/>
  <c r="FN231" i="5" s="1"/>
  <c r="T666" i="4"/>
  <c r="FO231" i="5" s="1"/>
  <c r="U666" i="4"/>
  <c r="FP231" i="5" s="1"/>
  <c r="V666" i="4"/>
  <c r="FQ231" i="5" s="1"/>
  <c r="W666" i="4"/>
  <c r="FR231" i="5" s="1"/>
  <c r="G667" i="4"/>
  <c r="FY231" i="5" s="1"/>
  <c r="H667" i="4"/>
  <c r="FZ231" i="5" s="1"/>
  <c r="I667" i="4"/>
  <c r="GA231" i="5" s="1"/>
  <c r="J667" i="4"/>
  <c r="GB231" i="5" s="1"/>
  <c r="K667" i="4"/>
  <c r="GC231" i="5" s="1"/>
  <c r="L667" i="4"/>
  <c r="GD231" i="5" s="1"/>
  <c r="M667" i="4"/>
  <c r="GE231" i="5" s="1"/>
  <c r="N667" i="4"/>
  <c r="GF231" i="5" s="1"/>
  <c r="O667" i="4"/>
  <c r="GG231" i="5" s="1"/>
  <c r="P667" i="4"/>
  <c r="GH231" i="5" s="1"/>
  <c r="Q667" i="4"/>
  <c r="GI231" i="5" s="1"/>
  <c r="R667" i="4"/>
  <c r="GJ231" i="5" s="1"/>
  <c r="S667" i="4"/>
  <c r="GK231" i="5" s="1"/>
  <c r="T667" i="4"/>
  <c r="GL231" i="5" s="1"/>
  <c r="U667" i="4"/>
  <c r="GM231" i="5" s="1"/>
  <c r="V667" i="4"/>
  <c r="GN231" i="5" s="1"/>
  <c r="W667" i="4"/>
  <c r="GO231" i="5" s="1"/>
  <c r="G668" i="4"/>
  <c r="GV231" i="5" s="1"/>
  <c r="H668" i="4"/>
  <c r="GW231" i="5" s="1"/>
  <c r="I668" i="4"/>
  <c r="GX231" i="5" s="1"/>
  <c r="J668" i="4"/>
  <c r="GY231" i="5" s="1"/>
  <c r="K668" i="4"/>
  <c r="GZ231" i="5" s="1"/>
  <c r="L668" i="4"/>
  <c r="HA231" i="5" s="1"/>
  <c r="M668" i="4"/>
  <c r="HB231" i="5" s="1"/>
  <c r="N668" i="4"/>
  <c r="HC231" i="5" s="1"/>
  <c r="O668" i="4"/>
  <c r="HD231" i="5" s="1"/>
  <c r="P668" i="4"/>
  <c r="HE231" i="5" s="1"/>
  <c r="Q668" i="4"/>
  <c r="HF231" i="5" s="1"/>
  <c r="R668" i="4"/>
  <c r="HG231" i="5" s="1"/>
  <c r="S668" i="4"/>
  <c r="HH231" i="5" s="1"/>
  <c r="T668" i="4"/>
  <c r="HI231" i="5" s="1"/>
  <c r="U668" i="4"/>
  <c r="HJ231" i="5" s="1"/>
  <c r="V668" i="4"/>
  <c r="HK231" i="5" s="1"/>
  <c r="W668" i="4"/>
  <c r="HL231" i="5" s="1"/>
  <c r="G669" i="4"/>
  <c r="HS231" i="5" s="1"/>
  <c r="H669" i="4"/>
  <c r="HT231" i="5" s="1"/>
  <c r="I669" i="4"/>
  <c r="HU231" i="5" s="1"/>
  <c r="J669" i="4"/>
  <c r="HV231" i="5" s="1"/>
  <c r="K669" i="4"/>
  <c r="HW231" i="5" s="1"/>
  <c r="L669" i="4"/>
  <c r="HX231" i="5" s="1"/>
  <c r="M669" i="4"/>
  <c r="HY231" i="5" s="1"/>
  <c r="N669" i="4"/>
  <c r="HZ231" i="5" s="1"/>
  <c r="O669" i="4"/>
  <c r="IA231" i="5" s="1"/>
  <c r="P669" i="4"/>
  <c r="IB231" i="5" s="1"/>
  <c r="Q669" i="4"/>
  <c r="IC231" i="5" s="1"/>
  <c r="R669" i="4"/>
  <c r="ID231" i="5" s="1"/>
  <c r="S669" i="4"/>
  <c r="IE231" i="5" s="1"/>
  <c r="T669" i="4"/>
  <c r="IF231" i="5" s="1"/>
  <c r="U669" i="4"/>
  <c r="IG231" i="5" s="1"/>
  <c r="V669" i="4"/>
  <c r="IH231" i="5" s="1"/>
  <c r="W669" i="4"/>
  <c r="II231" i="5" s="1"/>
  <c r="G670" i="4"/>
  <c r="IP231" i="5" s="1"/>
  <c r="H670" i="4"/>
  <c r="IQ231" i="5" s="1"/>
  <c r="I670" i="4"/>
  <c r="IR231" i="5" s="1"/>
  <c r="J670" i="4"/>
  <c r="IS231" i="5" s="1"/>
  <c r="K670" i="4"/>
  <c r="IT231" i="5" s="1"/>
  <c r="L670" i="4"/>
  <c r="IU231" i="5" s="1"/>
  <c r="M670" i="4"/>
  <c r="IV231" i="5" s="1"/>
  <c r="N670" i="4"/>
  <c r="F232" i="5" s="1"/>
  <c r="O670" i="4"/>
  <c r="G232" i="5" s="1"/>
  <c r="P670" i="4"/>
  <c r="H232" i="5" s="1"/>
  <c r="Q670" i="4"/>
  <c r="I232" i="5" s="1"/>
  <c r="R670" i="4"/>
  <c r="J232" i="5" s="1"/>
  <c r="S670" i="4"/>
  <c r="K232" i="5" s="1"/>
  <c r="T670" i="4"/>
  <c r="L232" i="5" s="1"/>
  <c r="U670" i="4"/>
  <c r="M232" i="5" s="1"/>
  <c r="V670" i="4"/>
  <c r="N232" i="5" s="1"/>
  <c r="W670" i="4"/>
  <c r="O232" i="5" s="1"/>
  <c r="G671" i="4"/>
  <c r="V232" i="5" s="1"/>
  <c r="H671" i="4"/>
  <c r="W232" i="5" s="1"/>
  <c r="I671" i="4"/>
  <c r="X232" i="5" s="1"/>
  <c r="J671" i="4"/>
  <c r="Y232" i="5" s="1"/>
  <c r="K671" i="4"/>
  <c r="Z232" i="5" s="1"/>
  <c r="L671" i="4"/>
  <c r="AA232" i="5" s="1"/>
  <c r="M671" i="4"/>
  <c r="AB232" i="5" s="1"/>
  <c r="N671" i="4"/>
  <c r="AC232" i="5" s="1"/>
  <c r="O671" i="4"/>
  <c r="AD232" i="5" s="1"/>
  <c r="P671" i="4"/>
  <c r="AE232" i="5" s="1"/>
  <c r="Q671" i="4"/>
  <c r="AF232" i="5" s="1"/>
  <c r="R671" i="4"/>
  <c r="AG232" i="5" s="1"/>
  <c r="S671" i="4"/>
  <c r="AH232" i="5" s="1"/>
  <c r="T671" i="4"/>
  <c r="AI232" i="5" s="1"/>
  <c r="U671" i="4"/>
  <c r="AJ232" i="5" s="1"/>
  <c r="V671" i="4"/>
  <c r="AK232" i="5" s="1"/>
  <c r="W671" i="4"/>
  <c r="AL232" i="5" s="1"/>
  <c r="G672" i="4"/>
  <c r="AS232" i="5" s="1"/>
  <c r="H672" i="4"/>
  <c r="AT232" i="5" s="1"/>
  <c r="I672" i="4"/>
  <c r="AU232" i="5" s="1"/>
  <c r="J672" i="4"/>
  <c r="AV232" i="5" s="1"/>
  <c r="K672" i="4"/>
  <c r="AW232" i="5" s="1"/>
  <c r="L672" i="4"/>
  <c r="AX232" i="5" s="1"/>
  <c r="M672" i="4"/>
  <c r="AY232" i="5" s="1"/>
  <c r="N672" i="4"/>
  <c r="AZ232" i="5" s="1"/>
  <c r="O672" i="4"/>
  <c r="BA232" i="5" s="1"/>
  <c r="P672" i="4"/>
  <c r="BB232" i="5" s="1"/>
  <c r="Q672" i="4"/>
  <c r="BC232" i="5" s="1"/>
  <c r="R672" i="4"/>
  <c r="BD232" i="5" s="1"/>
  <c r="S672" i="4"/>
  <c r="BE232" i="5" s="1"/>
  <c r="T672" i="4"/>
  <c r="BF232" i="5" s="1"/>
  <c r="U672" i="4"/>
  <c r="BG232" i="5" s="1"/>
  <c r="V672" i="4"/>
  <c r="BH232" i="5" s="1"/>
  <c r="W672" i="4"/>
  <c r="BI232" i="5" s="1"/>
  <c r="G673" i="4"/>
  <c r="BP232" i="5" s="1"/>
  <c r="H673" i="4"/>
  <c r="BQ232" i="5" s="1"/>
  <c r="I673" i="4"/>
  <c r="BR232" i="5" s="1"/>
  <c r="J673" i="4"/>
  <c r="BS232" i="5" s="1"/>
  <c r="K673" i="4"/>
  <c r="BT232" i="5" s="1"/>
  <c r="L673" i="4"/>
  <c r="BU232" i="5" s="1"/>
  <c r="M673" i="4"/>
  <c r="BV232" i="5" s="1"/>
  <c r="N673" i="4"/>
  <c r="BW232" i="5" s="1"/>
  <c r="O673" i="4"/>
  <c r="BX232" i="5" s="1"/>
  <c r="P673" i="4"/>
  <c r="BY232" i="5" s="1"/>
  <c r="Q673" i="4"/>
  <c r="BZ232" i="5" s="1"/>
  <c r="R673" i="4"/>
  <c r="CA232" i="5" s="1"/>
  <c r="S673" i="4"/>
  <c r="CB232" i="5" s="1"/>
  <c r="T673" i="4"/>
  <c r="CC232" i="5" s="1"/>
  <c r="U673" i="4"/>
  <c r="CD232" i="5" s="1"/>
  <c r="V673" i="4"/>
  <c r="CE232" i="5" s="1"/>
  <c r="W673" i="4"/>
  <c r="CF232" i="5" s="1"/>
  <c r="G674" i="4"/>
  <c r="CM232" i="5" s="1"/>
  <c r="H674" i="4"/>
  <c r="CN232" i="5" s="1"/>
  <c r="I674" i="4"/>
  <c r="CO232" i="5" s="1"/>
  <c r="J674" i="4"/>
  <c r="CP232" i="5" s="1"/>
  <c r="K674" i="4"/>
  <c r="CQ232" i="5" s="1"/>
  <c r="L674" i="4"/>
  <c r="CR232" i="5" s="1"/>
  <c r="M674" i="4"/>
  <c r="CS232" i="5" s="1"/>
  <c r="N674" i="4"/>
  <c r="CT232" i="5" s="1"/>
  <c r="O674" i="4"/>
  <c r="CU232" i="5" s="1"/>
  <c r="P674" i="4"/>
  <c r="CV232" i="5" s="1"/>
  <c r="Q674" i="4"/>
  <c r="CW232" i="5" s="1"/>
  <c r="R674" i="4"/>
  <c r="CX232" i="5" s="1"/>
  <c r="S674" i="4"/>
  <c r="CY232" i="5" s="1"/>
  <c r="T674" i="4"/>
  <c r="CZ232" i="5" s="1"/>
  <c r="U674" i="4"/>
  <c r="DA232" i="5" s="1"/>
  <c r="V674" i="4"/>
  <c r="DB232" i="5" s="1"/>
  <c r="W674" i="4"/>
  <c r="DC232" i="5" s="1"/>
  <c r="G675" i="4"/>
  <c r="DJ232" i="5" s="1"/>
  <c r="H675" i="4"/>
  <c r="DK232" i="5" s="1"/>
  <c r="I675" i="4"/>
  <c r="DL232" i="5" s="1"/>
  <c r="J675" i="4"/>
  <c r="DM232" i="5" s="1"/>
  <c r="K675" i="4"/>
  <c r="DN232" i="5" s="1"/>
  <c r="L675" i="4"/>
  <c r="DO232" i="5" s="1"/>
  <c r="M675" i="4"/>
  <c r="DP232" i="5" s="1"/>
  <c r="N675" i="4"/>
  <c r="DQ232" i="5" s="1"/>
  <c r="O675" i="4"/>
  <c r="DR232" i="5" s="1"/>
  <c r="P675" i="4"/>
  <c r="DS232" i="5" s="1"/>
  <c r="Q675" i="4"/>
  <c r="DT232" i="5" s="1"/>
  <c r="R675" i="4"/>
  <c r="DU232" i="5" s="1"/>
  <c r="S675" i="4"/>
  <c r="DV232" i="5" s="1"/>
  <c r="T675" i="4"/>
  <c r="DW232" i="5" s="1"/>
  <c r="U675" i="4"/>
  <c r="DX232" i="5" s="1"/>
  <c r="V675" i="4"/>
  <c r="DY232" i="5" s="1"/>
  <c r="W675" i="4"/>
  <c r="DZ232" i="5" s="1"/>
  <c r="G676" i="4"/>
  <c r="EG232" i="5" s="1"/>
  <c r="H676" i="4"/>
  <c r="EH232" i="5" s="1"/>
  <c r="I676" i="4"/>
  <c r="EI232" i="5" s="1"/>
  <c r="J676" i="4"/>
  <c r="EJ232" i="5" s="1"/>
  <c r="K676" i="4"/>
  <c r="EK232" i="5" s="1"/>
  <c r="L676" i="4"/>
  <c r="EL232" i="5" s="1"/>
  <c r="M676" i="4"/>
  <c r="EM232" i="5" s="1"/>
  <c r="N676" i="4"/>
  <c r="EN232" i="5" s="1"/>
  <c r="O676" i="4"/>
  <c r="EO232" i="5" s="1"/>
  <c r="P676" i="4"/>
  <c r="EP232" i="5" s="1"/>
  <c r="Q676" i="4"/>
  <c r="EQ232" i="5" s="1"/>
  <c r="R676" i="4"/>
  <c r="ER232" i="5" s="1"/>
  <c r="S676" i="4"/>
  <c r="ES232" i="5" s="1"/>
  <c r="T676" i="4"/>
  <c r="ET232" i="5" s="1"/>
  <c r="U676" i="4"/>
  <c r="EU232" i="5" s="1"/>
  <c r="V676" i="4"/>
  <c r="EV232" i="5" s="1"/>
  <c r="W676" i="4"/>
  <c r="EW232" i="5" s="1"/>
  <c r="G677" i="4"/>
  <c r="FD232" i="5" s="1"/>
  <c r="H677" i="4"/>
  <c r="FE232" i="5" s="1"/>
  <c r="I677" i="4"/>
  <c r="FF232" i="5" s="1"/>
  <c r="J677" i="4"/>
  <c r="FG232" i="5" s="1"/>
  <c r="K677" i="4"/>
  <c r="FH232" i="5" s="1"/>
  <c r="L677" i="4"/>
  <c r="FI232" i="5" s="1"/>
  <c r="M677" i="4"/>
  <c r="FJ232" i="5" s="1"/>
  <c r="N677" i="4"/>
  <c r="FK232" i="5" s="1"/>
  <c r="O677" i="4"/>
  <c r="FL232" i="5" s="1"/>
  <c r="P677" i="4"/>
  <c r="FM232" i="5" s="1"/>
  <c r="Q677" i="4"/>
  <c r="FN232" i="5" s="1"/>
  <c r="R677" i="4"/>
  <c r="FO232" i="5" s="1"/>
  <c r="S677" i="4"/>
  <c r="FP232" i="5" s="1"/>
  <c r="T677" i="4"/>
  <c r="FQ232" i="5" s="1"/>
  <c r="U677" i="4"/>
  <c r="FR232" i="5" s="1"/>
  <c r="V677" i="4"/>
  <c r="FS232" i="5" s="1"/>
  <c r="W677" i="4"/>
  <c r="FT232" i="5" s="1"/>
  <c r="G678" i="4"/>
  <c r="GA232" i="5" s="1"/>
  <c r="H678" i="4"/>
  <c r="GB232" i="5" s="1"/>
  <c r="I678" i="4"/>
  <c r="GC232" i="5" s="1"/>
  <c r="J678" i="4"/>
  <c r="GD232" i="5" s="1"/>
  <c r="K678" i="4"/>
  <c r="GE232" i="5" s="1"/>
  <c r="L678" i="4"/>
  <c r="GF232" i="5" s="1"/>
  <c r="M678" i="4"/>
  <c r="GG232" i="5" s="1"/>
  <c r="N678" i="4"/>
  <c r="GH232" i="5" s="1"/>
  <c r="O678" i="4"/>
  <c r="GI232" i="5" s="1"/>
  <c r="P678" i="4"/>
  <c r="GJ232" i="5" s="1"/>
  <c r="Q678" i="4"/>
  <c r="GK232" i="5" s="1"/>
  <c r="R678" i="4"/>
  <c r="GL232" i="5" s="1"/>
  <c r="S678" i="4"/>
  <c r="GM232" i="5" s="1"/>
  <c r="T678" i="4"/>
  <c r="GN232" i="5" s="1"/>
  <c r="U678" i="4"/>
  <c r="GO232" i="5" s="1"/>
  <c r="V678" i="4"/>
  <c r="GP232" i="5" s="1"/>
  <c r="W678" i="4"/>
  <c r="GQ232" i="5" s="1"/>
  <c r="G679" i="4"/>
  <c r="GX232" i="5" s="1"/>
  <c r="H679" i="4"/>
  <c r="GY232" i="5" s="1"/>
  <c r="I679" i="4"/>
  <c r="GZ232" i="5" s="1"/>
  <c r="J679" i="4"/>
  <c r="HA232" i="5" s="1"/>
  <c r="K679" i="4"/>
  <c r="HB232" i="5" s="1"/>
  <c r="L679" i="4"/>
  <c r="HC232" i="5" s="1"/>
  <c r="M679" i="4"/>
  <c r="HD232" i="5" s="1"/>
  <c r="N679" i="4"/>
  <c r="HE232" i="5" s="1"/>
  <c r="O679" i="4"/>
  <c r="HF232" i="5" s="1"/>
  <c r="P679" i="4"/>
  <c r="HG232" i="5" s="1"/>
  <c r="Q679" i="4"/>
  <c r="HH232" i="5" s="1"/>
  <c r="R679" i="4"/>
  <c r="HI232" i="5" s="1"/>
  <c r="S679" i="4"/>
  <c r="HJ232" i="5" s="1"/>
  <c r="T679" i="4"/>
  <c r="HK232" i="5" s="1"/>
  <c r="U679" i="4"/>
  <c r="HL232" i="5" s="1"/>
  <c r="V679" i="4"/>
  <c r="HM232" i="5" s="1"/>
  <c r="W679" i="4"/>
  <c r="HN232" i="5" s="1"/>
  <c r="G680" i="4"/>
  <c r="HU232" i="5" s="1"/>
  <c r="H680" i="4"/>
  <c r="HV232" i="5" s="1"/>
  <c r="I680" i="4"/>
  <c r="HW232" i="5" s="1"/>
  <c r="J680" i="4"/>
  <c r="HX232" i="5" s="1"/>
  <c r="K680" i="4"/>
  <c r="HY232" i="5" s="1"/>
  <c r="L680" i="4"/>
  <c r="HZ232" i="5" s="1"/>
  <c r="M680" i="4"/>
  <c r="IA232" i="5" s="1"/>
  <c r="N680" i="4"/>
  <c r="IB232" i="5" s="1"/>
  <c r="O680" i="4"/>
  <c r="IC232" i="5" s="1"/>
  <c r="P680" i="4"/>
  <c r="ID232" i="5" s="1"/>
  <c r="Q680" i="4"/>
  <c r="IE232" i="5" s="1"/>
  <c r="R680" i="4"/>
  <c r="IF232" i="5" s="1"/>
  <c r="S680" i="4"/>
  <c r="IG232" i="5" s="1"/>
  <c r="T680" i="4"/>
  <c r="IH232" i="5" s="1"/>
  <c r="U680" i="4"/>
  <c r="II232" i="5" s="1"/>
  <c r="V680" i="4"/>
  <c r="IJ232" i="5" s="1"/>
  <c r="W680" i="4"/>
  <c r="IK232" i="5" s="1"/>
  <c r="G681" i="4"/>
  <c r="IR232" i="5" s="1"/>
  <c r="H681" i="4"/>
  <c r="IS232" i="5" s="1"/>
  <c r="I681" i="4"/>
  <c r="IT232" i="5" s="1"/>
  <c r="J681" i="4"/>
  <c r="IU232" i="5" s="1"/>
  <c r="K681" i="4"/>
  <c r="IV232" i="5" s="1"/>
  <c r="L681" i="4"/>
  <c r="F233" i="5" s="1"/>
  <c r="M681" i="4"/>
  <c r="G233" i="5" s="1"/>
  <c r="N681" i="4"/>
  <c r="H233" i="5" s="1"/>
  <c r="O681" i="4"/>
  <c r="I233" i="5" s="1"/>
  <c r="P681" i="4"/>
  <c r="J233" i="5" s="1"/>
  <c r="Q681" i="4"/>
  <c r="K233" i="5" s="1"/>
  <c r="R681" i="4"/>
  <c r="L233" i="5" s="1"/>
  <c r="S681" i="4"/>
  <c r="M233" i="5" s="1"/>
  <c r="T681" i="4"/>
  <c r="N233" i="5" s="1"/>
  <c r="U681" i="4"/>
  <c r="O233" i="5" s="1"/>
  <c r="V681" i="4"/>
  <c r="P233" i="5" s="1"/>
  <c r="W681" i="4"/>
  <c r="Q233" i="5" s="1"/>
  <c r="G682" i="4"/>
  <c r="X233" i="5" s="1"/>
  <c r="H682" i="4"/>
  <c r="Y233" i="5" s="1"/>
  <c r="I682" i="4"/>
  <c r="Z233" i="5" s="1"/>
  <c r="J682" i="4"/>
  <c r="AA233" i="5" s="1"/>
  <c r="K682" i="4"/>
  <c r="AB233" i="5" s="1"/>
  <c r="L682" i="4"/>
  <c r="AC233" i="5" s="1"/>
  <c r="M682" i="4"/>
  <c r="AD233" i="5" s="1"/>
  <c r="N682" i="4"/>
  <c r="AE233" i="5" s="1"/>
  <c r="O682" i="4"/>
  <c r="AF233" i="5" s="1"/>
  <c r="P682" i="4"/>
  <c r="AG233" i="5" s="1"/>
  <c r="Q682" i="4"/>
  <c r="AH233" i="5" s="1"/>
  <c r="R682" i="4"/>
  <c r="AI233" i="5" s="1"/>
  <c r="S682" i="4"/>
  <c r="AJ233" i="5" s="1"/>
  <c r="T682" i="4"/>
  <c r="AK233" i="5" s="1"/>
  <c r="U682" i="4"/>
  <c r="AL233" i="5" s="1"/>
  <c r="V682" i="4"/>
  <c r="AM233" i="5" s="1"/>
  <c r="W682" i="4"/>
  <c r="AN233" i="5" s="1"/>
  <c r="G683" i="4"/>
  <c r="AU233" i="5" s="1"/>
  <c r="H683" i="4"/>
  <c r="AV233" i="5" s="1"/>
  <c r="I683" i="4"/>
  <c r="AW233" i="5" s="1"/>
  <c r="J683" i="4"/>
  <c r="AX233" i="5" s="1"/>
  <c r="K683" i="4"/>
  <c r="AY233" i="5" s="1"/>
  <c r="L683" i="4"/>
  <c r="AZ233" i="5" s="1"/>
  <c r="M683" i="4"/>
  <c r="BA233" i="5" s="1"/>
  <c r="N683" i="4"/>
  <c r="BB233" i="5" s="1"/>
  <c r="O683" i="4"/>
  <c r="BC233" i="5" s="1"/>
  <c r="P683" i="4"/>
  <c r="BD233" i="5" s="1"/>
  <c r="Q683" i="4"/>
  <c r="BE233" i="5" s="1"/>
  <c r="R683" i="4"/>
  <c r="BF233" i="5" s="1"/>
  <c r="S683" i="4"/>
  <c r="BG233" i="5" s="1"/>
  <c r="T683" i="4"/>
  <c r="BH233" i="5" s="1"/>
  <c r="U683" i="4"/>
  <c r="BI233" i="5" s="1"/>
  <c r="V683" i="4"/>
  <c r="BJ233" i="5" s="1"/>
  <c r="W683" i="4"/>
  <c r="BK233" i="5" s="1"/>
  <c r="G684" i="4"/>
  <c r="BR233" i="5" s="1"/>
  <c r="H684" i="4"/>
  <c r="BS233" i="5" s="1"/>
  <c r="I684" i="4"/>
  <c r="BT233" i="5" s="1"/>
  <c r="J684" i="4"/>
  <c r="BU233" i="5" s="1"/>
  <c r="K684" i="4"/>
  <c r="BV233" i="5" s="1"/>
  <c r="L684" i="4"/>
  <c r="BW233" i="5" s="1"/>
  <c r="M684" i="4"/>
  <c r="BX233" i="5" s="1"/>
  <c r="N684" i="4"/>
  <c r="BY233" i="5" s="1"/>
  <c r="O684" i="4"/>
  <c r="BZ233" i="5" s="1"/>
  <c r="P684" i="4"/>
  <c r="CA233" i="5" s="1"/>
  <c r="Q684" i="4"/>
  <c r="CB233" i="5" s="1"/>
  <c r="R684" i="4"/>
  <c r="CC233" i="5" s="1"/>
  <c r="S684" i="4"/>
  <c r="CD233" i="5" s="1"/>
  <c r="T684" i="4"/>
  <c r="CE233" i="5" s="1"/>
  <c r="U684" i="4"/>
  <c r="CF233" i="5" s="1"/>
  <c r="V684" i="4"/>
  <c r="CG233" i="5" s="1"/>
  <c r="W684" i="4"/>
  <c r="CH233" i="5" s="1"/>
  <c r="G685" i="4"/>
  <c r="CO233" i="5" s="1"/>
  <c r="H685" i="4"/>
  <c r="CP233" i="5" s="1"/>
  <c r="I685" i="4"/>
  <c r="CQ233" i="5" s="1"/>
  <c r="J685" i="4"/>
  <c r="CR233" i="5" s="1"/>
  <c r="K685" i="4"/>
  <c r="CS233" i="5" s="1"/>
  <c r="L685" i="4"/>
  <c r="CT233" i="5" s="1"/>
  <c r="M685" i="4"/>
  <c r="CU233" i="5" s="1"/>
  <c r="N685" i="4"/>
  <c r="CV233" i="5" s="1"/>
  <c r="O685" i="4"/>
  <c r="CW233" i="5" s="1"/>
  <c r="P685" i="4"/>
  <c r="CX233" i="5" s="1"/>
  <c r="Q685" i="4"/>
  <c r="CY233" i="5" s="1"/>
  <c r="R685" i="4"/>
  <c r="CZ233" i="5" s="1"/>
  <c r="S685" i="4"/>
  <c r="DA233" i="5" s="1"/>
  <c r="T685" i="4"/>
  <c r="DB233" i="5" s="1"/>
  <c r="U685" i="4"/>
  <c r="DC233" i="5" s="1"/>
  <c r="V685" i="4"/>
  <c r="DD233" i="5" s="1"/>
  <c r="W685" i="4"/>
  <c r="DE233" i="5" s="1"/>
  <c r="G686" i="4"/>
  <c r="DL233" i="5" s="1"/>
  <c r="H686" i="4"/>
  <c r="DM233" i="5" s="1"/>
  <c r="I686" i="4"/>
  <c r="DN233" i="5" s="1"/>
  <c r="J686" i="4"/>
  <c r="DO233" i="5" s="1"/>
  <c r="K686" i="4"/>
  <c r="DP233" i="5" s="1"/>
  <c r="L686" i="4"/>
  <c r="DQ233" i="5" s="1"/>
  <c r="M686" i="4"/>
  <c r="DR233" i="5" s="1"/>
  <c r="N686" i="4"/>
  <c r="DS233" i="5" s="1"/>
  <c r="O686" i="4"/>
  <c r="DT233" i="5" s="1"/>
  <c r="P686" i="4"/>
  <c r="DU233" i="5" s="1"/>
  <c r="Q686" i="4"/>
  <c r="DV233" i="5" s="1"/>
  <c r="R686" i="4"/>
  <c r="DW233" i="5" s="1"/>
  <c r="S686" i="4"/>
  <c r="DX233" i="5" s="1"/>
  <c r="T686" i="4"/>
  <c r="DY233" i="5" s="1"/>
  <c r="U686" i="4"/>
  <c r="DZ233" i="5" s="1"/>
  <c r="V686" i="4"/>
  <c r="EA233" i="5" s="1"/>
  <c r="W686" i="4"/>
  <c r="EB233" i="5" s="1"/>
  <c r="G687" i="4"/>
  <c r="EI233" i="5" s="1"/>
  <c r="H687" i="4"/>
  <c r="EJ233" i="5" s="1"/>
  <c r="I687" i="4"/>
  <c r="EK233" i="5" s="1"/>
  <c r="J687" i="4"/>
  <c r="EL233" i="5" s="1"/>
  <c r="K687" i="4"/>
  <c r="EM233" i="5" s="1"/>
  <c r="L687" i="4"/>
  <c r="EN233" i="5" s="1"/>
  <c r="M687" i="4"/>
  <c r="EO233" i="5" s="1"/>
  <c r="N687" i="4"/>
  <c r="EP233" i="5" s="1"/>
  <c r="O687" i="4"/>
  <c r="EQ233" i="5" s="1"/>
  <c r="P687" i="4"/>
  <c r="ER233" i="5" s="1"/>
  <c r="Q687" i="4"/>
  <c r="ES233" i="5" s="1"/>
  <c r="R687" i="4"/>
  <c r="ET233" i="5" s="1"/>
  <c r="S687" i="4"/>
  <c r="EU233" i="5" s="1"/>
  <c r="T687" i="4"/>
  <c r="EV233" i="5" s="1"/>
  <c r="U687" i="4"/>
  <c r="EW233" i="5" s="1"/>
  <c r="V687" i="4"/>
  <c r="EX233" i="5" s="1"/>
  <c r="W687" i="4"/>
  <c r="EY233" i="5" s="1"/>
  <c r="G688" i="4"/>
  <c r="FF233" i="5" s="1"/>
  <c r="H688" i="4"/>
  <c r="FG233" i="5" s="1"/>
  <c r="I688" i="4"/>
  <c r="FH233" i="5" s="1"/>
  <c r="J688" i="4"/>
  <c r="FI233" i="5" s="1"/>
  <c r="K688" i="4"/>
  <c r="FJ233" i="5" s="1"/>
  <c r="L688" i="4"/>
  <c r="FK233" i="5" s="1"/>
  <c r="M688" i="4"/>
  <c r="FL233" i="5" s="1"/>
  <c r="N688" i="4"/>
  <c r="FM233" i="5" s="1"/>
  <c r="O688" i="4"/>
  <c r="FN233" i="5" s="1"/>
  <c r="P688" i="4"/>
  <c r="FO233" i="5" s="1"/>
  <c r="Q688" i="4"/>
  <c r="FP233" i="5" s="1"/>
  <c r="R688" i="4"/>
  <c r="FQ233" i="5" s="1"/>
  <c r="S688" i="4"/>
  <c r="FR233" i="5" s="1"/>
  <c r="T688" i="4"/>
  <c r="FS233" i="5" s="1"/>
  <c r="U688" i="4"/>
  <c r="FT233" i="5" s="1"/>
  <c r="V688" i="4"/>
  <c r="FU233" i="5" s="1"/>
  <c r="W688" i="4"/>
  <c r="FV233" i="5" s="1"/>
  <c r="G689" i="4"/>
  <c r="GC233" i="5" s="1"/>
  <c r="H689" i="4"/>
  <c r="GD233" i="5" s="1"/>
  <c r="I689" i="4"/>
  <c r="GE233" i="5" s="1"/>
  <c r="J689" i="4"/>
  <c r="GF233" i="5" s="1"/>
  <c r="K689" i="4"/>
  <c r="GG233" i="5" s="1"/>
  <c r="L689" i="4"/>
  <c r="GH233" i="5" s="1"/>
  <c r="M689" i="4"/>
  <c r="GI233" i="5" s="1"/>
  <c r="N689" i="4"/>
  <c r="GJ233" i="5" s="1"/>
  <c r="O689" i="4"/>
  <c r="GK233" i="5" s="1"/>
  <c r="P689" i="4"/>
  <c r="GL233" i="5" s="1"/>
  <c r="Q689" i="4"/>
  <c r="GM233" i="5" s="1"/>
  <c r="R689" i="4"/>
  <c r="GN233" i="5" s="1"/>
  <c r="S689" i="4"/>
  <c r="GO233" i="5" s="1"/>
  <c r="T689" i="4"/>
  <c r="GP233" i="5" s="1"/>
  <c r="U689" i="4"/>
  <c r="GQ233" i="5" s="1"/>
  <c r="V689" i="4"/>
  <c r="GR233" i="5" s="1"/>
  <c r="W689" i="4"/>
  <c r="GS233" i="5" s="1"/>
  <c r="G690" i="4"/>
  <c r="GZ233" i="5" s="1"/>
  <c r="H690" i="4"/>
  <c r="HA233" i="5" s="1"/>
  <c r="I690" i="4"/>
  <c r="HB233" i="5" s="1"/>
  <c r="J690" i="4"/>
  <c r="HC233" i="5" s="1"/>
  <c r="K690" i="4"/>
  <c r="HD233" i="5" s="1"/>
  <c r="L690" i="4"/>
  <c r="HE233" i="5" s="1"/>
  <c r="M690" i="4"/>
  <c r="HF233" i="5" s="1"/>
  <c r="N690" i="4"/>
  <c r="HG233" i="5" s="1"/>
  <c r="O690" i="4"/>
  <c r="HH233" i="5" s="1"/>
  <c r="P690" i="4"/>
  <c r="HI233" i="5" s="1"/>
  <c r="Q690" i="4"/>
  <c r="HJ233" i="5" s="1"/>
  <c r="R690" i="4"/>
  <c r="HK233" i="5" s="1"/>
  <c r="S690" i="4"/>
  <c r="HL233" i="5" s="1"/>
  <c r="T690" i="4"/>
  <c r="HM233" i="5" s="1"/>
  <c r="U690" i="4"/>
  <c r="HN233" i="5" s="1"/>
  <c r="V690" i="4"/>
  <c r="HO233" i="5" s="1"/>
  <c r="W690" i="4"/>
  <c r="HP233" i="5" s="1"/>
  <c r="G691" i="4"/>
  <c r="HW233" i="5" s="1"/>
  <c r="H691" i="4"/>
  <c r="HX233" i="5" s="1"/>
  <c r="I691" i="4"/>
  <c r="HY233" i="5" s="1"/>
  <c r="J691" i="4"/>
  <c r="HZ233" i="5" s="1"/>
  <c r="K691" i="4"/>
  <c r="IA233" i="5" s="1"/>
  <c r="L691" i="4"/>
  <c r="IB233" i="5" s="1"/>
  <c r="M691" i="4"/>
  <c r="IC233" i="5" s="1"/>
  <c r="N691" i="4"/>
  <c r="ID233" i="5" s="1"/>
  <c r="O691" i="4"/>
  <c r="IE233" i="5" s="1"/>
  <c r="P691" i="4"/>
  <c r="IF233" i="5" s="1"/>
  <c r="Q691" i="4"/>
  <c r="IG233" i="5" s="1"/>
  <c r="R691" i="4"/>
  <c r="IH233" i="5" s="1"/>
  <c r="S691" i="4"/>
  <c r="II233" i="5" s="1"/>
  <c r="T691" i="4"/>
  <c r="IJ233" i="5" s="1"/>
  <c r="U691" i="4"/>
  <c r="IK233" i="5" s="1"/>
  <c r="V691" i="4"/>
  <c r="IL233" i="5" s="1"/>
  <c r="W691" i="4"/>
  <c r="IM233" i="5" s="1"/>
  <c r="G692" i="4"/>
  <c r="IT233" i="5" s="1"/>
  <c r="H692" i="4"/>
  <c r="IU233" i="5" s="1"/>
  <c r="I692" i="4"/>
  <c r="IV233" i="5" s="1"/>
  <c r="J692" i="4"/>
  <c r="F234" i="5" s="1"/>
  <c r="K692" i="4"/>
  <c r="G234" i="5" s="1"/>
  <c r="L692" i="4"/>
  <c r="H234" i="5" s="1"/>
  <c r="M692" i="4"/>
  <c r="I234" i="5" s="1"/>
  <c r="N692" i="4"/>
  <c r="J234" i="5" s="1"/>
  <c r="O692" i="4"/>
  <c r="K234" i="5" s="1"/>
  <c r="P692" i="4"/>
  <c r="L234" i="5" s="1"/>
  <c r="Q692" i="4"/>
  <c r="M234" i="5" s="1"/>
  <c r="R692" i="4"/>
  <c r="N234" i="5" s="1"/>
  <c r="S692" i="4"/>
  <c r="O234" i="5" s="1"/>
  <c r="T692" i="4"/>
  <c r="P234" i="5" s="1"/>
  <c r="U692" i="4"/>
  <c r="Q234" i="5" s="1"/>
  <c r="V692" i="4"/>
  <c r="R234" i="5" s="1"/>
  <c r="W692" i="4"/>
  <c r="S234" i="5" s="1"/>
  <c r="G693" i="4"/>
  <c r="Z234" i="5" s="1"/>
  <c r="H693" i="4"/>
  <c r="AA234" i="5" s="1"/>
  <c r="I693" i="4"/>
  <c r="AB234" i="5" s="1"/>
  <c r="J693" i="4"/>
  <c r="AC234" i="5" s="1"/>
  <c r="K693" i="4"/>
  <c r="AD234" i="5" s="1"/>
  <c r="L693" i="4"/>
  <c r="AE234" i="5" s="1"/>
  <c r="M693" i="4"/>
  <c r="AF234" i="5" s="1"/>
  <c r="N693" i="4"/>
  <c r="AG234" i="5" s="1"/>
  <c r="O693" i="4"/>
  <c r="AH234" i="5" s="1"/>
  <c r="P693" i="4"/>
  <c r="AI234" i="5" s="1"/>
  <c r="Q693" i="4"/>
  <c r="AJ234" i="5" s="1"/>
  <c r="R693" i="4"/>
  <c r="AK234" i="5" s="1"/>
  <c r="S693" i="4"/>
  <c r="AL234" i="5" s="1"/>
  <c r="T693" i="4"/>
  <c r="AM234" i="5" s="1"/>
  <c r="U693" i="4"/>
  <c r="AN234" i="5" s="1"/>
  <c r="V693" i="4"/>
  <c r="AO234" i="5" s="1"/>
  <c r="W693" i="4"/>
  <c r="AP234" i="5" s="1"/>
  <c r="G694" i="4"/>
  <c r="AW234" i="5" s="1"/>
  <c r="H694" i="4"/>
  <c r="AX234" i="5" s="1"/>
  <c r="I694" i="4"/>
  <c r="AY234" i="5" s="1"/>
  <c r="J694" i="4"/>
  <c r="AZ234" i="5" s="1"/>
  <c r="K694" i="4"/>
  <c r="BA234" i="5" s="1"/>
  <c r="L694" i="4"/>
  <c r="BB234" i="5" s="1"/>
  <c r="M694" i="4"/>
  <c r="BC234" i="5" s="1"/>
  <c r="N694" i="4"/>
  <c r="BD234" i="5" s="1"/>
  <c r="O694" i="4"/>
  <c r="BE234" i="5" s="1"/>
  <c r="P694" i="4"/>
  <c r="BF234" i="5" s="1"/>
  <c r="Q694" i="4"/>
  <c r="BG234" i="5" s="1"/>
  <c r="R694" i="4"/>
  <c r="BH234" i="5" s="1"/>
  <c r="S694" i="4"/>
  <c r="BI234" i="5" s="1"/>
  <c r="T694" i="4"/>
  <c r="BJ234" i="5" s="1"/>
  <c r="U694" i="4"/>
  <c r="BK234" i="5" s="1"/>
  <c r="V694" i="4"/>
  <c r="BL234" i="5" s="1"/>
  <c r="W694" i="4"/>
  <c r="BM234" i="5" s="1"/>
  <c r="G695" i="4"/>
  <c r="BT234" i="5" s="1"/>
  <c r="H695" i="4"/>
  <c r="BU234" i="5" s="1"/>
  <c r="I695" i="4"/>
  <c r="BV234" i="5" s="1"/>
  <c r="J695" i="4"/>
  <c r="BW234" i="5" s="1"/>
  <c r="K695" i="4"/>
  <c r="BX234" i="5" s="1"/>
  <c r="L695" i="4"/>
  <c r="BY234" i="5" s="1"/>
  <c r="M695" i="4"/>
  <c r="BZ234" i="5" s="1"/>
  <c r="N695" i="4"/>
  <c r="CA234" i="5" s="1"/>
  <c r="O695" i="4"/>
  <c r="CB234" i="5" s="1"/>
  <c r="P695" i="4"/>
  <c r="CC234" i="5" s="1"/>
  <c r="Q695" i="4"/>
  <c r="CD234" i="5" s="1"/>
  <c r="R695" i="4"/>
  <c r="CE234" i="5" s="1"/>
  <c r="S695" i="4"/>
  <c r="CF234" i="5" s="1"/>
  <c r="T695" i="4"/>
  <c r="CG234" i="5" s="1"/>
  <c r="U695" i="4"/>
  <c r="CH234" i="5" s="1"/>
  <c r="V695" i="4"/>
  <c r="CI234" i="5" s="1"/>
  <c r="W695" i="4"/>
  <c r="CJ234" i="5" s="1"/>
  <c r="G696" i="4"/>
  <c r="CQ234" i="5" s="1"/>
  <c r="H696" i="4"/>
  <c r="CR234" i="5" s="1"/>
  <c r="I696" i="4"/>
  <c r="CS234" i="5" s="1"/>
  <c r="J696" i="4"/>
  <c r="CT234" i="5" s="1"/>
  <c r="K696" i="4"/>
  <c r="CU234" i="5" s="1"/>
  <c r="L696" i="4"/>
  <c r="CV234" i="5" s="1"/>
  <c r="M696" i="4"/>
  <c r="CW234" i="5" s="1"/>
  <c r="N696" i="4"/>
  <c r="CX234" i="5" s="1"/>
  <c r="O696" i="4"/>
  <c r="CY234" i="5" s="1"/>
  <c r="P696" i="4"/>
  <c r="CZ234" i="5" s="1"/>
  <c r="Q696" i="4"/>
  <c r="DA234" i="5" s="1"/>
  <c r="R696" i="4"/>
  <c r="DB234" i="5" s="1"/>
  <c r="S696" i="4"/>
  <c r="DC234" i="5" s="1"/>
  <c r="T696" i="4"/>
  <c r="DD234" i="5" s="1"/>
  <c r="U696" i="4"/>
  <c r="DE234" i="5" s="1"/>
  <c r="V696" i="4"/>
  <c r="DF234" i="5" s="1"/>
  <c r="W696" i="4"/>
  <c r="DG234" i="5" s="1"/>
  <c r="G697" i="4"/>
  <c r="DN234" i="5" s="1"/>
  <c r="H697" i="4"/>
  <c r="DO234" i="5" s="1"/>
  <c r="I697" i="4"/>
  <c r="DP234" i="5" s="1"/>
  <c r="J697" i="4"/>
  <c r="DQ234" i="5" s="1"/>
  <c r="K697" i="4"/>
  <c r="DR234" i="5" s="1"/>
  <c r="L697" i="4"/>
  <c r="DS234" i="5" s="1"/>
  <c r="M697" i="4"/>
  <c r="DT234" i="5" s="1"/>
  <c r="N697" i="4"/>
  <c r="DU234" i="5" s="1"/>
  <c r="O697" i="4"/>
  <c r="DV234" i="5" s="1"/>
  <c r="P697" i="4"/>
  <c r="DW234" i="5" s="1"/>
  <c r="Q697" i="4"/>
  <c r="DX234" i="5" s="1"/>
  <c r="R697" i="4"/>
  <c r="DY234" i="5" s="1"/>
  <c r="S697" i="4"/>
  <c r="DZ234" i="5" s="1"/>
  <c r="T697" i="4"/>
  <c r="EA234" i="5" s="1"/>
  <c r="U697" i="4"/>
  <c r="EB234" i="5" s="1"/>
  <c r="V697" i="4"/>
  <c r="EC234" i="5" s="1"/>
  <c r="W697" i="4"/>
  <c r="ED234" i="5" s="1"/>
  <c r="G698" i="4"/>
  <c r="EK234" i="5" s="1"/>
  <c r="H698" i="4"/>
  <c r="EL234" i="5" s="1"/>
  <c r="I698" i="4"/>
  <c r="EM234" i="5" s="1"/>
  <c r="J698" i="4"/>
  <c r="EN234" i="5" s="1"/>
  <c r="K698" i="4"/>
  <c r="EO234" i="5" s="1"/>
  <c r="L698" i="4"/>
  <c r="EP234" i="5" s="1"/>
  <c r="M698" i="4"/>
  <c r="EQ234" i="5" s="1"/>
  <c r="N698" i="4"/>
  <c r="ER234" i="5" s="1"/>
  <c r="O698" i="4"/>
  <c r="ES234" i="5" s="1"/>
  <c r="P698" i="4"/>
  <c r="ET234" i="5" s="1"/>
  <c r="Q698" i="4"/>
  <c r="EU234" i="5" s="1"/>
  <c r="R698" i="4"/>
  <c r="EV234" i="5" s="1"/>
  <c r="S698" i="4"/>
  <c r="EW234" i="5" s="1"/>
  <c r="T698" i="4"/>
  <c r="EX234" i="5" s="1"/>
  <c r="U698" i="4"/>
  <c r="EY234" i="5" s="1"/>
  <c r="V698" i="4"/>
  <c r="EZ234" i="5" s="1"/>
  <c r="W698" i="4"/>
  <c r="FA234" i="5" s="1"/>
  <c r="G699" i="4"/>
  <c r="FH234" i="5" s="1"/>
  <c r="H699" i="4"/>
  <c r="FI234" i="5" s="1"/>
  <c r="I699" i="4"/>
  <c r="FJ234" i="5" s="1"/>
  <c r="J699" i="4"/>
  <c r="FK234" i="5" s="1"/>
  <c r="K699" i="4"/>
  <c r="FL234" i="5" s="1"/>
  <c r="L699" i="4"/>
  <c r="FM234" i="5" s="1"/>
  <c r="M699" i="4"/>
  <c r="FN234" i="5" s="1"/>
  <c r="N699" i="4"/>
  <c r="FO234" i="5" s="1"/>
  <c r="O699" i="4"/>
  <c r="FP234" i="5" s="1"/>
  <c r="P699" i="4"/>
  <c r="FQ234" i="5" s="1"/>
  <c r="Q699" i="4"/>
  <c r="FR234" i="5" s="1"/>
  <c r="R699" i="4"/>
  <c r="FS234" i="5" s="1"/>
  <c r="S699" i="4"/>
  <c r="FT234" i="5" s="1"/>
  <c r="T699" i="4"/>
  <c r="FU234" i="5" s="1"/>
  <c r="U699" i="4"/>
  <c r="FV234" i="5" s="1"/>
  <c r="V699" i="4"/>
  <c r="FW234" i="5" s="1"/>
  <c r="W699" i="4"/>
  <c r="FX234" i="5" s="1"/>
  <c r="G700" i="4"/>
  <c r="GE234" i="5" s="1"/>
  <c r="H700" i="4"/>
  <c r="GF234" i="5" s="1"/>
  <c r="I700" i="4"/>
  <c r="GG234" i="5" s="1"/>
  <c r="J700" i="4"/>
  <c r="GH234" i="5" s="1"/>
  <c r="K700" i="4"/>
  <c r="GI234" i="5" s="1"/>
  <c r="L700" i="4"/>
  <c r="GJ234" i="5" s="1"/>
  <c r="M700" i="4"/>
  <c r="GK234" i="5" s="1"/>
  <c r="N700" i="4"/>
  <c r="GL234" i="5" s="1"/>
  <c r="O700" i="4"/>
  <c r="GM234" i="5" s="1"/>
  <c r="P700" i="4"/>
  <c r="GN234" i="5" s="1"/>
  <c r="Q700" i="4"/>
  <c r="GO234" i="5" s="1"/>
  <c r="R700" i="4"/>
  <c r="GP234" i="5" s="1"/>
  <c r="S700" i="4"/>
  <c r="GQ234" i="5" s="1"/>
  <c r="T700" i="4"/>
  <c r="GR234" i="5" s="1"/>
  <c r="U700" i="4"/>
  <c r="GS234" i="5" s="1"/>
  <c r="V700" i="4"/>
  <c r="GT234" i="5" s="1"/>
  <c r="W700" i="4"/>
  <c r="GU234" i="5" s="1"/>
  <c r="G701" i="4"/>
  <c r="HB234" i="5" s="1"/>
  <c r="H701" i="4"/>
  <c r="HC234" i="5" s="1"/>
  <c r="I701" i="4"/>
  <c r="HD234" i="5" s="1"/>
  <c r="J701" i="4"/>
  <c r="HE234" i="5" s="1"/>
  <c r="K701" i="4"/>
  <c r="HF234" i="5" s="1"/>
  <c r="L701" i="4"/>
  <c r="HG234" i="5" s="1"/>
  <c r="M701" i="4"/>
  <c r="HH234" i="5" s="1"/>
  <c r="N701" i="4"/>
  <c r="HI234" i="5" s="1"/>
  <c r="O701" i="4"/>
  <c r="HJ234" i="5" s="1"/>
  <c r="P701" i="4"/>
  <c r="HK234" i="5" s="1"/>
  <c r="Q701" i="4"/>
  <c r="HL234" i="5" s="1"/>
  <c r="R701" i="4"/>
  <c r="HM234" i="5" s="1"/>
  <c r="S701" i="4"/>
  <c r="HN234" i="5" s="1"/>
  <c r="T701" i="4"/>
  <c r="HO234" i="5" s="1"/>
  <c r="U701" i="4"/>
  <c r="HP234" i="5" s="1"/>
  <c r="V701" i="4"/>
  <c r="HQ234" i="5" s="1"/>
  <c r="W701" i="4"/>
  <c r="HR234" i="5" s="1"/>
  <c r="G702" i="4"/>
  <c r="HY234" i="5" s="1"/>
  <c r="H702" i="4"/>
  <c r="HZ234" i="5" s="1"/>
  <c r="I702" i="4"/>
  <c r="IA234" i="5" s="1"/>
  <c r="J702" i="4"/>
  <c r="IB234" i="5" s="1"/>
  <c r="K702" i="4"/>
  <c r="IC234" i="5" s="1"/>
  <c r="L702" i="4"/>
  <c r="ID234" i="5" s="1"/>
  <c r="M702" i="4"/>
  <c r="IE234" i="5" s="1"/>
  <c r="N702" i="4"/>
  <c r="IF234" i="5" s="1"/>
  <c r="O702" i="4"/>
  <c r="IG234" i="5" s="1"/>
  <c r="P702" i="4"/>
  <c r="IH234" i="5" s="1"/>
  <c r="Q702" i="4"/>
  <c r="II234" i="5" s="1"/>
  <c r="R702" i="4"/>
  <c r="IJ234" i="5" s="1"/>
  <c r="S702" i="4"/>
  <c r="IK234" i="5" s="1"/>
  <c r="T702" i="4"/>
  <c r="IL234" i="5" s="1"/>
  <c r="U702" i="4"/>
  <c r="IM234" i="5" s="1"/>
  <c r="V702" i="4"/>
  <c r="IN234" i="5" s="1"/>
  <c r="W702" i="4"/>
  <c r="IO234" i="5" s="1"/>
  <c r="W2" i="4"/>
  <c r="HE170" i="5" s="1"/>
  <c r="V2" i="4"/>
  <c r="HD170" i="5" s="1"/>
  <c r="U2" i="4"/>
  <c r="HC170" i="5" s="1"/>
  <c r="T2" i="4"/>
  <c r="S2" i="4"/>
  <c r="HA170" i="5" s="1"/>
  <c r="R2" i="4"/>
  <c r="GZ170" i="5" s="1"/>
  <c r="Q2" i="4"/>
  <c r="GY170" i="5" s="1"/>
  <c r="P2" i="4"/>
  <c r="GX170" i="5" s="1"/>
  <c r="O2" i="4"/>
  <c r="GW170" i="5" s="1"/>
  <c r="N2" i="4"/>
  <c r="GV170" i="5" s="1"/>
  <c r="M2" i="4"/>
  <c r="GU170" i="5" s="1"/>
  <c r="L2" i="4"/>
  <c r="GT170" i="5" s="1"/>
  <c r="K2" i="4"/>
  <c r="GS170" i="5" s="1"/>
  <c r="J2" i="4"/>
  <c r="GR170" i="5" s="1"/>
  <c r="I2" i="4"/>
  <c r="GQ170" i="5" s="1"/>
  <c r="H2" i="4"/>
  <c r="GP170" i="5" s="1"/>
  <c r="G2" i="4"/>
  <c r="GO170" i="5" s="1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F166" i="4" s="1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3" i="4"/>
  <c r="B4" i="4"/>
  <c r="B5" i="4"/>
  <c r="B6" i="4"/>
  <c r="B7" i="4"/>
  <c r="B8" i="4"/>
  <c r="B9" i="4"/>
  <c r="B10" i="4"/>
  <c r="B11" i="4"/>
  <c r="B12" i="4"/>
  <c r="B2" i="4"/>
  <c r="F2" i="4" s="1"/>
  <c r="L172" i="5" l="1"/>
  <c r="F16" i="4"/>
  <c r="GN172" i="5"/>
  <c r="F24" i="4"/>
  <c r="BJ174" i="5"/>
  <c r="F40" i="4"/>
  <c r="CI175" i="5"/>
  <c r="F52" i="4"/>
  <c r="GV176" i="5"/>
  <c r="F68" i="4"/>
  <c r="BR178" i="5"/>
  <c r="F84" i="4"/>
  <c r="GE179" i="5"/>
  <c r="F100" i="4"/>
  <c r="EO181" i="5"/>
  <c r="F120" i="4"/>
  <c r="K183" i="5"/>
  <c r="F136" i="4"/>
  <c r="DX184" i="5"/>
  <c r="F152" i="4"/>
  <c r="IK185" i="5"/>
  <c r="F168" i="4"/>
  <c r="DG187" i="5"/>
  <c r="F184" i="4"/>
  <c r="HT188" i="5"/>
  <c r="F200" i="4"/>
  <c r="GD190" i="5"/>
  <c r="F220" i="4"/>
  <c r="AZ192" i="5"/>
  <c r="F236" i="4"/>
  <c r="FM193" i="5"/>
  <c r="F252" i="4"/>
  <c r="AI195" i="5"/>
  <c r="F268" i="4"/>
  <c r="EV196" i="5"/>
  <c r="F284" i="4"/>
  <c r="DF198" i="5"/>
  <c r="F304" i="4"/>
  <c r="EE199" i="5"/>
  <c r="F316" i="4"/>
  <c r="IR200" i="5"/>
  <c r="F332" i="4"/>
  <c r="DN202" i="5"/>
  <c r="F348" i="4"/>
  <c r="EM203" i="5"/>
  <c r="F360" i="4"/>
  <c r="CW205" i="5"/>
  <c r="F380" i="4"/>
  <c r="HJ206" i="5"/>
  <c r="F396" i="4"/>
  <c r="CF208" i="5"/>
  <c r="F412" i="4"/>
  <c r="GS209" i="5"/>
  <c r="F428" i="4"/>
  <c r="BO211" i="5"/>
  <c r="F444" i="4"/>
  <c r="GB212" i="5"/>
  <c r="F460" i="4"/>
  <c r="AX214" i="5"/>
  <c r="F476" i="4"/>
  <c r="BW215" i="5"/>
  <c r="F488" i="4"/>
  <c r="AG217" i="5"/>
  <c r="F508" i="4"/>
  <c r="ET218" i="5"/>
  <c r="F524" i="4"/>
  <c r="P220" i="5"/>
  <c r="F540" i="4"/>
  <c r="EC221" i="5"/>
  <c r="F556" i="4"/>
  <c r="IP222" i="5"/>
  <c r="F572" i="4"/>
  <c r="DL224" i="5"/>
  <c r="F588" i="4"/>
  <c r="HY225" i="5"/>
  <c r="F604" i="4"/>
  <c r="CU227" i="5"/>
  <c r="F620" i="4"/>
  <c r="HH228" i="5"/>
  <c r="F636" i="4"/>
  <c r="IG229" i="5"/>
  <c r="F648" i="4"/>
  <c r="FR230" i="5"/>
  <c r="F656" i="4"/>
  <c r="C668" i="4"/>
  <c r="GR231" i="5" s="1"/>
  <c r="F668" i="4"/>
  <c r="AG171" i="5"/>
  <c r="F6" i="4"/>
  <c r="DW172" i="5"/>
  <c r="F21" i="4"/>
  <c r="EV173" i="5"/>
  <c r="F33" i="4"/>
  <c r="IJ173" i="5"/>
  <c r="F37" i="4"/>
  <c r="R175" i="5"/>
  <c r="F49" i="4"/>
  <c r="AQ176" i="5"/>
  <c r="F61" i="4"/>
  <c r="BP177" i="5"/>
  <c r="F73" i="4"/>
  <c r="FO171" i="5"/>
  <c r="F12" i="4"/>
  <c r="CA171" i="5"/>
  <c r="F8" i="4"/>
  <c r="ID170" i="5"/>
  <c r="F4" i="4"/>
  <c r="IF171" i="5"/>
  <c r="F15" i="4"/>
  <c r="CC172" i="5"/>
  <c r="F19" i="4"/>
  <c r="FQ172" i="5"/>
  <c r="F23" i="4"/>
  <c r="N173" i="5"/>
  <c r="F27" i="4"/>
  <c r="DB173" i="5"/>
  <c r="F31" i="4"/>
  <c r="GP173" i="5"/>
  <c r="F35" i="4"/>
  <c r="AM174" i="5"/>
  <c r="F39" i="4"/>
  <c r="EA174" i="5"/>
  <c r="F43" i="4"/>
  <c r="HO174" i="5"/>
  <c r="F47" i="4"/>
  <c r="BL175" i="5"/>
  <c r="F51" i="4"/>
  <c r="EZ175" i="5"/>
  <c r="F55" i="4"/>
  <c r="IN175" i="5"/>
  <c r="F59" i="4"/>
  <c r="CK176" i="5"/>
  <c r="F63" i="4"/>
  <c r="FY176" i="5"/>
  <c r="F67" i="4"/>
  <c r="V177" i="5"/>
  <c r="F71" i="4"/>
  <c r="DJ177" i="5"/>
  <c r="F75" i="4"/>
  <c r="GX177" i="5"/>
  <c r="F79" i="4"/>
  <c r="AU178" i="5"/>
  <c r="F83" i="4"/>
  <c r="EI178" i="5"/>
  <c r="F87" i="4"/>
  <c r="HW178" i="5"/>
  <c r="F91" i="4"/>
  <c r="BT179" i="5"/>
  <c r="F95" i="4"/>
  <c r="FH179" i="5"/>
  <c r="F99" i="4"/>
  <c r="IV179" i="5"/>
  <c r="F103" i="4"/>
  <c r="CS180" i="5"/>
  <c r="F107" i="4"/>
  <c r="GG180" i="5"/>
  <c r="F111" i="4"/>
  <c r="AD181" i="5"/>
  <c r="F115" i="4"/>
  <c r="DR181" i="5"/>
  <c r="F119" i="4"/>
  <c r="HF181" i="5"/>
  <c r="F123" i="4"/>
  <c r="BC182" i="5"/>
  <c r="F127" i="4"/>
  <c r="EQ182" i="5"/>
  <c r="F131" i="4"/>
  <c r="IE182" i="5"/>
  <c r="F135" i="4"/>
  <c r="CB183" i="5"/>
  <c r="F139" i="4"/>
  <c r="FP183" i="5"/>
  <c r="F143" i="4"/>
  <c r="M184" i="5"/>
  <c r="F147" i="4"/>
  <c r="DA184" i="5"/>
  <c r="F151" i="4"/>
  <c r="GO184" i="5"/>
  <c r="F155" i="4"/>
  <c r="AL185" i="5"/>
  <c r="F159" i="4"/>
  <c r="DZ185" i="5"/>
  <c r="F163" i="4"/>
  <c r="HN185" i="5"/>
  <c r="F167" i="4"/>
  <c r="BK186" i="5"/>
  <c r="F171" i="4"/>
  <c r="EY186" i="5"/>
  <c r="F175" i="4"/>
  <c r="IM186" i="5"/>
  <c r="F179" i="4"/>
  <c r="CJ187" i="5"/>
  <c r="F183" i="4"/>
  <c r="FX187" i="5"/>
  <c r="F187" i="4"/>
  <c r="U188" i="5"/>
  <c r="F191" i="4"/>
  <c r="DI188" i="5"/>
  <c r="F195" i="4"/>
  <c r="GW188" i="5"/>
  <c r="F199" i="4"/>
  <c r="AT189" i="5"/>
  <c r="F203" i="4"/>
  <c r="EH189" i="5"/>
  <c r="F207" i="4"/>
  <c r="HV189" i="5"/>
  <c r="F211" i="4"/>
  <c r="BS190" i="5"/>
  <c r="F215" i="4"/>
  <c r="FG190" i="5"/>
  <c r="F219" i="4"/>
  <c r="IU190" i="5"/>
  <c r="F223" i="4"/>
  <c r="CR191" i="5"/>
  <c r="F227" i="4"/>
  <c r="GF191" i="5"/>
  <c r="F231" i="4"/>
  <c r="AC192" i="5"/>
  <c r="F235" i="4"/>
  <c r="DQ192" i="5"/>
  <c r="F239" i="4"/>
  <c r="HE192" i="5"/>
  <c r="F243" i="4"/>
  <c r="BB193" i="5"/>
  <c r="F247" i="4"/>
  <c r="EP193" i="5"/>
  <c r="F251" i="4"/>
  <c r="ID193" i="5"/>
  <c r="F255" i="4"/>
  <c r="CA194" i="5"/>
  <c r="F259" i="4"/>
  <c r="FO194" i="5"/>
  <c r="F263" i="4"/>
  <c r="L195" i="5"/>
  <c r="F267" i="4"/>
  <c r="CZ195" i="5"/>
  <c r="F271" i="4"/>
  <c r="GN195" i="5"/>
  <c r="F275" i="4"/>
  <c r="AK196" i="5"/>
  <c r="F279" i="4"/>
  <c r="DY196" i="5"/>
  <c r="F283" i="4"/>
  <c r="HM196" i="5"/>
  <c r="F287" i="4"/>
  <c r="BJ197" i="5"/>
  <c r="F291" i="4"/>
  <c r="EX197" i="5"/>
  <c r="F295" i="4"/>
  <c r="IL197" i="5"/>
  <c r="F299" i="4"/>
  <c r="CI198" i="5"/>
  <c r="F303" i="4"/>
  <c r="FW198" i="5"/>
  <c r="F307" i="4"/>
  <c r="T199" i="5"/>
  <c r="F311" i="4"/>
  <c r="DH199" i="5"/>
  <c r="F315" i="4"/>
  <c r="GV199" i="5"/>
  <c r="F319" i="4"/>
  <c r="AS200" i="5"/>
  <c r="F323" i="4"/>
  <c r="EG200" i="5"/>
  <c r="F327" i="4"/>
  <c r="HU200" i="5"/>
  <c r="F331" i="4"/>
  <c r="BR201" i="5"/>
  <c r="F335" i="4"/>
  <c r="FF201" i="5"/>
  <c r="F339" i="4"/>
  <c r="IT201" i="5"/>
  <c r="F343" i="4"/>
  <c r="CQ202" i="5"/>
  <c r="F347" i="4"/>
  <c r="GE202" i="5"/>
  <c r="F351" i="4"/>
  <c r="AB203" i="5"/>
  <c r="F355" i="4"/>
  <c r="DP203" i="5"/>
  <c r="F359" i="4"/>
  <c r="HD203" i="5"/>
  <c r="F363" i="4"/>
  <c r="BA204" i="5"/>
  <c r="F367" i="4"/>
  <c r="EO204" i="5"/>
  <c r="F371" i="4"/>
  <c r="IC204" i="5"/>
  <c r="F375" i="4"/>
  <c r="BZ205" i="5"/>
  <c r="F379" i="4"/>
  <c r="FN205" i="5"/>
  <c r="F383" i="4"/>
  <c r="K206" i="5"/>
  <c r="F387" i="4"/>
  <c r="CY206" i="5"/>
  <c r="F391" i="4"/>
  <c r="GM206" i="5"/>
  <c r="F395" i="4"/>
  <c r="AJ207" i="5"/>
  <c r="F399" i="4"/>
  <c r="DX207" i="5"/>
  <c r="F403" i="4"/>
  <c r="HL207" i="5"/>
  <c r="F407" i="4"/>
  <c r="BI208" i="5"/>
  <c r="F411" i="4"/>
  <c r="EW208" i="5"/>
  <c r="F415" i="4"/>
  <c r="IK208" i="5"/>
  <c r="F419" i="4"/>
  <c r="CH209" i="5"/>
  <c r="F423" i="4"/>
  <c r="FV209" i="5"/>
  <c r="F427" i="4"/>
  <c r="S210" i="5"/>
  <c r="F431" i="4"/>
  <c r="DG210" i="5"/>
  <c r="F435" i="4"/>
  <c r="GU210" i="5"/>
  <c r="F439" i="4"/>
  <c r="AR211" i="5"/>
  <c r="F443" i="4"/>
  <c r="EF211" i="5"/>
  <c r="F447" i="4"/>
  <c r="HT211" i="5"/>
  <c r="F451" i="4"/>
  <c r="BQ212" i="5"/>
  <c r="F455" i="4"/>
  <c r="FE212" i="5"/>
  <c r="F459" i="4"/>
  <c r="IS212" i="5"/>
  <c r="F463" i="4"/>
  <c r="CP213" i="5"/>
  <c r="F467" i="4"/>
  <c r="GD213" i="5"/>
  <c r="F471" i="4"/>
  <c r="AA214" i="5"/>
  <c r="F475" i="4"/>
  <c r="DO214" i="5"/>
  <c r="F479" i="4"/>
  <c r="HC214" i="5"/>
  <c r="F483" i="4"/>
  <c r="AZ215" i="5"/>
  <c r="F487" i="4"/>
  <c r="EN215" i="5"/>
  <c r="F491" i="4"/>
  <c r="IB215" i="5"/>
  <c r="F495" i="4"/>
  <c r="BY216" i="5"/>
  <c r="F499" i="4"/>
  <c r="FM216" i="5"/>
  <c r="F503" i="4"/>
  <c r="J217" i="5"/>
  <c r="F507" i="4"/>
  <c r="CX217" i="5"/>
  <c r="F511" i="4"/>
  <c r="GL217" i="5"/>
  <c r="F515" i="4"/>
  <c r="AI218" i="5"/>
  <c r="F519" i="4"/>
  <c r="DW218" i="5"/>
  <c r="F523" i="4"/>
  <c r="HK218" i="5"/>
  <c r="F527" i="4"/>
  <c r="BH219" i="5"/>
  <c r="F531" i="4"/>
  <c r="EV219" i="5"/>
  <c r="F535" i="4"/>
  <c r="IJ219" i="5"/>
  <c r="F539" i="4"/>
  <c r="CG220" i="5"/>
  <c r="F543" i="4"/>
  <c r="FU220" i="5"/>
  <c r="F547" i="4"/>
  <c r="R221" i="5"/>
  <c r="F551" i="4"/>
  <c r="DF221" i="5"/>
  <c r="F555" i="4"/>
  <c r="GT221" i="5"/>
  <c r="F559" i="4"/>
  <c r="AQ222" i="5"/>
  <c r="F563" i="4"/>
  <c r="EE222" i="5"/>
  <c r="F567" i="4"/>
  <c r="HS222" i="5"/>
  <c r="F571" i="4"/>
  <c r="BP223" i="5"/>
  <c r="F575" i="4"/>
  <c r="FD223" i="5"/>
  <c r="F579" i="4"/>
  <c r="IR223" i="5"/>
  <c r="F583" i="4"/>
  <c r="CO224" i="5"/>
  <c r="F587" i="4"/>
  <c r="GC224" i="5"/>
  <c r="F591" i="4"/>
  <c r="Z225" i="5"/>
  <c r="F595" i="4"/>
  <c r="DN225" i="5"/>
  <c r="F599" i="4"/>
  <c r="HB225" i="5"/>
  <c r="F603" i="4"/>
  <c r="AY226" i="5"/>
  <c r="F607" i="4"/>
  <c r="EM226" i="5"/>
  <c r="F611" i="4"/>
  <c r="IA226" i="5"/>
  <c r="F615" i="4"/>
  <c r="BX227" i="5"/>
  <c r="F619" i="4"/>
  <c r="FL227" i="5"/>
  <c r="F623" i="4"/>
  <c r="I228" i="5"/>
  <c r="F627" i="4"/>
  <c r="CW228" i="5"/>
  <c r="F631" i="4"/>
  <c r="GK228" i="5"/>
  <c r="F635" i="4"/>
  <c r="AH229" i="5"/>
  <c r="F639" i="4"/>
  <c r="DV229" i="5"/>
  <c r="F643" i="4"/>
  <c r="HJ229" i="5"/>
  <c r="F647" i="4"/>
  <c r="BG230" i="5"/>
  <c r="F651" i="4"/>
  <c r="EU230" i="5"/>
  <c r="F655" i="4"/>
  <c r="II230" i="5"/>
  <c r="F659" i="4"/>
  <c r="CF231" i="5"/>
  <c r="F663" i="4"/>
  <c r="FT231" i="5"/>
  <c r="F667" i="4"/>
  <c r="Q232" i="5"/>
  <c r="F671" i="4"/>
  <c r="DE232" i="5"/>
  <c r="F675" i="4"/>
  <c r="GS232" i="5"/>
  <c r="F679" i="4"/>
  <c r="AP233" i="5"/>
  <c r="F683" i="4"/>
  <c r="ED233" i="5"/>
  <c r="F687" i="4"/>
  <c r="HR233" i="5"/>
  <c r="F691" i="4"/>
  <c r="BO234" i="5"/>
  <c r="F695" i="4"/>
  <c r="FC234" i="5"/>
  <c r="F699" i="4"/>
  <c r="HG170" i="5"/>
  <c r="F3" i="4"/>
  <c r="HM173" i="5"/>
  <c r="F36" i="4"/>
  <c r="T176" i="5"/>
  <c r="F60" i="4"/>
  <c r="EG177" i="5"/>
  <c r="F76" i="4"/>
  <c r="IT178" i="5"/>
  <c r="F92" i="4"/>
  <c r="DP180" i="5"/>
  <c r="F108" i="4"/>
  <c r="FN182" i="5"/>
  <c r="F132" i="4"/>
  <c r="AJ184" i="5"/>
  <c r="F148" i="4"/>
  <c r="BI185" i="5"/>
  <c r="F160" i="4"/>
  <c r="FV186" i="5"/>
  <c r="F176" i="4"/>
  <c r="AR188" i="5"/>
  <c r="F192" i="4"/>
  <c r="FE189" i="5"/>
  <c r="F208" i="4"/>
  <c r="AA191" i="5"/>
  <c r="F224" i="4"/>
  <c r="EN192" i="5"/>
  <c r="F240" i="4"/>
  <c r="CX194" i="5"/>
  <c r="F260" i="4"/>
  <c r="HK195" i="5"/>
  <c r="F276" i="4"/>
  <c r="CG197" i="5"/>
  <c r="F292" i="4"/>
  <c r="GT198" i="5"/>
  <c r="F308" i="4"/>
  <c r="BP200" i="5"/>
  <c r="F324" i="4"/>
  <c r="GC201" i="5"/>
  <c r="F340" i="4"/>
  <c r="BX204" i="5"/>
  <c r="F368" i="4"/>
  <c r="GK205" i="5"/>
  <c r="F384" i="4"/>
  <c r="BG207" i="5"/>
  <c r="F400" i="4"/>
  <c r="FT208" i="5"/>
  <c r="F416" i="4"/>
  <c r="AP210" i="5"/>
  <c r="F432" i="4"/>
  <c r="FC211" i="5"/>
  <c r="F448" i="4"/>
  <c r="Y213" i="5"/>
  <c r="F464" i="4"/>
  <c r="HZ214" i="5"/>
  <c r="F484" i="4"/>
  <c r="CV216" i="5"/>
  <c r="F500" i="4"/>
  <c r="BF218" i="5"/>
  <c r="F520" i="4"/>
  <c r="FS219" i="5"/>
  <c r="F536" i="4"/>
  <c r="AO221" i="5"/>
  <c r="F552" i="4"/>
  <c r="FB222" i="5"/>
  <c r="F568" i="4"/>
  <c r="X224" i="5"/>
  <c r="F584" i="4"/>
  <c r="EK225" i="5"/>
  <c r="F600" i="4"/>
  <c r="FJ226" i="5"/>
  <c r="F612" i="4"/>
  <c r="DT228" i="5"/>
  <c r="F632" i="4"/>
  <c r="ES229" i="5"/>
  <c r="F644" i="4"/>
  <c r="C652" i="4"/>
  <c r="CE230" i="5" s="1"/>
  <c r="F652" i="4"/>
  <c r="DC231" i="5"/>
  <c r="F664" i="4"/>
  <c r="C672" i="4"/>
  <c r="AO232" i="5" s="1"/>
  <c r="F672" i="4"/>
  <c r="EB232" i="5"/>
  <c r="F676" i="4"/>
  <c r="C680" i="4"/>
  <c r="HQ232" i="5" s="1"/>
  <c r="F680" i="4"/>
  <c r="C684" i="4"/>
  <c r="BN233" i="5" s="1"/>
  <c r="F684" i="4"/>
  <c r="FA233" i="5"/>
  <c r="F688" i="4"/>
  <c r="IO233" i="5"/>
  <c r="F692" i="4"/>
  <c r="E696" i="4"/>
  <c r="CO234" i="5" s="1"/>
  <c r="F696" i="4"/>
  <c r="C700" i="4"/>
  <c r="GA234" i="5" s="1"/>
  <c r="F700" i="4"/>
  <c r="BD171" i="5"/>
  <c r="F7" i="4"/>
  <c r="DY173" i="5"/>
  <c r="F32" i="4"/>
  <c r="IL174" i="5"/>
  <c r="F48" i="4"/>
  <c r="DH176" i="5"/>
  <c r="F64" i="4"/>
  <c r="HU177" i="5"/>
  <c r="F80" i="4"/>
  <c r="CQ179" i="5"/>
  <c r="F96" i="4"/>
  <c r="HD180" i="5"/>
  <c r="F112" i="4"/>
  <c r="BZ182" i="5"/>
  <c r="F128" i="4"/>
  <c r="GM183" i="5"/>
  <c r="F144" i="4"/>
  <c r="EW185" i="5"/>
  <c r="F164" i="4"/>
  <c r="S187" i="5"/>
  <c r="F180" i="4"/>
  <c r="EF188" i="5"/>
  <c r="F196" i="4"/>
  <c r="IS189" i="5"/>
  <c r="F212" i="4"/>
  <c r="HC191" i="5"/>
  <c r="F232" i="4"/>
  <c r="BY193" i="5"/>
  <c r="F248" i="4"/>
  <c r="GL194" i="5"/>
  <c r="F264" i="4"/>
  <c r="BH196" i="5"/>
  <c r="F280" i="4"/>
  <c r="FU197" i="5"/>
  <c r="F296" i="4"/>
  <c r="HS199" i="5"/>
  <c r="F320" i="4"/>
  <c r="CO201" i="5"/>
  <c r="F336" i="4"/>
  <c r="HB202" i="5"/>
  <c r="F352" i="4"/>
  <c r="IA203" i="5"/>
  <c r="F364" i="4"/>
  <c r="I205" i="5"/>
  <c r="F376" i="4"/>
  <c r="DV206" i="5"/>
  <c r="F392" i="4"/>
  <c r="II207" i="5"/>
  <c r="F408" i="4"/>
  <c r="DE209" i="5"/>
  <c r="F424" i="4"/>
  <c r="HR210" i="5"/>
  <c r="F440" i="4"/>
  <c r="CN212" i="5"/>
  <c r="F456" i="4"/>
  <c r="HA213" i="5"/>
  <c r="F472" i="4"/>
  <c r="FK215" i="5"/>
  <c r="F492" i="4"/>
  <c r="GJ216" i="5"/>
  <c r="F504" i="4"/>
  <c r="DU217" i="5"/>
  <c r="F512" i="4"/>
  <c r="IH218" i="5"/>
  <c r="F528" i="4"/>
  <c r="GR220" i="5"/>
  <c r="F548" i="4"/>
  <c r="BN222" i="5"/>
  <c r="F564" i="4"/>
  <c r="GA223" i="5"/>
  <c r="F580" i="4"/>
  <c r="AW225" i="5"/>
  <c r="F596" i="4"/>
  <c r="GI227" i="5"/>
  <c r="F624" i="4"/>
  <c r="DU171" i="5"/>
  <c r="F10" i="4"/>
  <c r="AI172" i="5"/>
  <c r="F17" i="4"/>
  <c r="BH173" i="5"/>
  <c r="F29" i="4"/>
  <c r="FU174" i="5"/>
  <c r="F45" i="4"/>
  <c r="GT175" i="5"/>
  <c r="F57" i="4"/>
  <c r="EE176" i="5"/>
  <c r="F65" i="4"/>
  <c r="FD177" i="5"/>
  <c r="F77" i="4"/>
  <c r="CO178" i="5"/>
  <c r="F85" i="4"/>
  <c r="GC178" i="5"/>
  <c r="F89" i="4"/>
  <c r="DN179" i="5"/>
  <c r="F97" i="4"/>
  <c r="AY180" i="5"/>
  <c r="F105" i="4"/>
  <c r="IA180" i="5"/>
  <c r="F113" i="4"/>
  <c r="FL181" i="5"/>
  <c r="F121" i="4"/>
  <c r="CW182" i="5"/>
  <c r="F129" i="4"/>
  <c r="AH183" i="5"/>
  <c r="F137" i="4"/>
  <c r="HJ183" i="5"/>
  <c r="F145" i="4"/>
  <c r="EU184" i="5"/>
  <c r="F153" i="4"/>
  <c r="CF185" i="5"/>
  <c r="F161" i="4"/>
  <c r="Q186" i="5"/>
  <c r="F169" i="4"/>
  <c r="GS186" i="5"/>
  <c r="F177" i="4"/>
  <c r="ED187" i="5"/>
  <c r="F185" i="4"/>
  <c r="BO188" i="5"/>
  <c r="F193" i="4"/>
  <c r="IQ188" i="5"/>
  <c r="F201" i="4"/>
  <c r="GB189" i="5"/>
  <c r="F209" i="4"/>
  <c r="DM190" i="5"/>
  <c r="F217" i="4"/>
  <c r="AX191" i="5"/>
  <c r="F225" i="4"/>
  <c r="HZ191" i="5"/>
  <c r="F233" i="4"/>
  <c r="BW192" i="5"/>
  <c r="F237" i="4"/>
  <c r="CV193" i="5"/>
  <c r="F249" i="4"/>
  <c r="AG194" i="5"/>
  <c r="F257" i="4"/>
  <c r="HI194" i="5"/>
  <c r="F265" i="4"/>
  <c r="ET195" i="5"/>
  <c r="F273" i="4"/>
  <c r="CE196" i="5"/>
  <c r="F281" i="4"/>
  <c r="P197" i="5"/>
  <c r="F289" i="4"/>
  <c r="GR197" i="5"/>
  <c r="F297" i="4"/>
  <c r="EC198" i="5"/>
  <c r="F305" i="4"/>
  <c r="HQ198" i="5"/>
  <c r="F309" i="4"/>
  <c r="FB199" i="5"/>
  <c r="F317" i="4"/>
  <c r="CM200" i="5"/>
  <c r="F325" i="4"/>
  <c r="X201" i="5"/>
  <c r="F333" i="4"/>
  <c r="DL201" i="5"/>
  <c r="F337" i="4"/>
  <c r="AW202" i="5"/>
  <c r="F345" i="4"/>
  <c r="HY202" i="5"/>
  <c r="F353" i="4"/>
  <c r="FJ203" i="5"/>
  <c r="F361" i="4"/>
  <c r="CU204" i="5"/>
  <c r="F369" i="4"/>
  <c r="AF205" i="5"/>
  <c r="F377" i="4"/>
  <c r="HH205" i="5"/>
  <c r="F385" i="4"/>
  <c r="ES206" i="5"/>
  <c r="F393" i="4"/>
  <c r="CD207" i="5"/>
  <c r="F401" i="4"/>
  <c r="O208" i="5"/>
  <c r="F409" i="4"/>
  <c r="GQ208" i="5"/>
  <c r="F417" i="4"/>
  <c r="HP209" i="5"/>
  <c r="F429" i="4"/>
  <c r="FA210" i="5"/>
  <c r="F437" i="4"/>
  <c r="CL211" i="5"/>
  <c r="F445" i="4"/>
  <c r="W212" i="5"/>
  <c r="F453" i="4"/>
  <c r="GY212" i="5"/>
  <c r="F461" i="4"/>
  <c r="EJ213" i="5"/>
  <c r="F469" i="4"/>
  <c r="BU214" i="5"/>
  <c r="F477" i="4"/>
  <c r="F215" i="5"/>
  <c r="F485" i="4"/>
  <c r="GH215" i="5"/>
  <c r="F493" i="4"/>
  <c r="DS216" i="5"/>
  <c r="F501" i="4"/>
  <c r="BD217" i="5"/>
  <c r="F509" i="4"/>
  <c r="IF217" i="5"/>
  <c r="F517" i="4"/>
  <c r="FQ218" i="5"/>
  <c r="F525" i="4"/>
  <c r="DB219" i="5"/>
  <c r="F533" i="4"/>
  <c r="GP219" i="5"/>
  <c r="F537" i="4"/>
  <c r="AM220" i="5"/>
  <c r="F541" i="4"/>
  <c r="EA220" i="5"/>
  <c r="F545" i="4"/>
  <c r="HO220" i="5"/>
  <c r="F549" i="4"/>
  <c r="BL221" i="5"/>
  <c r="F553" i="4"/>
  <c r="EZ221" i="5"/>
  <c r="F557" i="4"/>
  <c r="IN221" i="5"/>
  <c r="F561" i="4"/>
  <c r="CK222" i="5"/>
  <c r="F565" i="4"/>
  <c r="V223" i="5"/>
  <c r="F573" i="4"/>
  <c r="GX223" i="5"/>
  <c r="F581" i="4"/>
  <c r="EI224" i="5"/>
  <c r="F589" i="4"/>
  <c r="BT225" i="5"/>
  <c r="F597" i="4"/>
  <c r="IV225" i="5"/>
  <c r="F605" i="4"/>
  <c r="GG226" i="5"/>
  <c r="F613" i="4"/>
  <c r="DR227" i="5"/>
  <c r="F621" i="4"/>
  <c r="EQ228" i="5"/>
  <c r="F633" i="4"/>
  <c r="CB229" i="5"/>
  <c r="F641" i="4"/>
  <c r="M230" i="5"/>
  <c r="F649" i="4"/>
  <c r="D657" i="4"/>
  <c r="GQ230" i="5" s="1"/>
  <c r="F657" i="4"/>
  <c r="DZ231" i="5"/>
  <c r="F665" i="4"/>
  <c r="BK232" i="5"/>
  <c r="F673" i="4"/>
  <c r="C693" i="4"/>
  <c r="V234" i="5" s="1"/>
  <c r="F693" i="4"/>
  <c r="ER171" i="5"/>
  <c r="F11" i="4"/>
  <c r="CZ172" i="5"/>
  <c r="F20" i="4"/>
  <c r="AK173" i="5"/>
  <c r="F28" i="4"/>
  <c r="EX174" i="5"/>
  <c r="F44" i="4"/>
  <c r="FW175" i="5"/>
  <c r="F56" i="4"/>
  <c r="AS177" i="5"/>
  <c r="F72" i="4"/>
  <c r="FF178" i="5"/>
  <c r="F88" i="4"/>
  <c r="AB180" i="5"/>
  <c r="F104" i="4"/>
  <c r="BA181" i="5"/>
  <c r="F116" i="4"/>
  <c r="IC181" i="5"/>
  <c r="F124" i="4"/>
  <c r="CY183" i="5"/>
  <c r="F140" i="4"/>
  <c r="HL184" i="5"/>
  <c r="F156" i="4"/>
  <c r="CH186" i="5"/>
  <c r="F172" i="4"/>
  <c r="GU187" i="5"/>
  <c r="F188" i="4"/>
  <c r="BQ189" i="5"/>
  <c r="F204" i="4"/>
  <c r="CP190" i="5"/>
  <c r="F216" i="4"/>
  <c r="DO191" i="5"/>
  <c r="F228" i="4"/>
  <c r="IB192" i="5"/>
  <c r="F244" i="4"/>
  <c r="J194" i="5"/>
  <c r="F256" i="4"/>
  <c r="DW195" i="5"/>
  <c r="F272" i="4"/>
  <c r="IJ196" i="5"/>
  <c r="F288" i="4"/>
  <c r="R198" i="5"/>
  <c r="F300" i="4"/>
  <c r="AQ199" i="5"/>
  <c r="F312" i="4"/>
  <c r="FD200" i="5"/>
  <c r="F328" i="4"/>
  <c r="Z202" i="5"/>
  <c r="F344" i="4"/>
  <c r="AY203" i="5"/>
  <c r="F356" i="4"/>
  <c r="FL204" i="5"/>
  <c r="F372" i="4"/>
  <c r="AH206" i="5"/>
  <c r="F388" i="4"/>
  <c r="EU207" i="5"/>
  <c r="F404" i="4"/>
  <c r="Q209" i="5"/>
  <c r="F420" i="4"/>
  <c r="ED210" i="5"/>
  <c r="F436" i="4"/>
  <c r="IQ211" i="5"/>
  <c r="F452" i="4"/>
  <c r="DM213" i="5"/>
  <c r="F468" i="4"/>
  <c r="EL214" i="5"/>
  <c r="F480" i="4"/>
  <c r="H216" i="5"/>
  <c r="F496" i="4"/>
  <c r="HI217" i="5"/>
  <c r="F516" i="4"/>
  <c r="CE219" i="5"/>
  <c r="F532" i="4"/>
  <c r="DD220" i="5"/>
  <c r="F544" i="4"/>
  <c r="HQ221" i="5"/>
  <c r="F560" i="4"/>
  <c r="CM223" i="5"/>
  <c r="F576" i="4"/>
  <c r="GZ224" i="5"/>
  <c r="F592" i="4"/>
  <c r="BV226" i="5"/>
  <c r="F608" i="4"/>
  <c r="G227" i="5"/>
  <c r="F616" i="4"/>
  <c r="AF228" i="5"/>
  <c r="F628" i="4"/>
  <c r="BE229" i="5"/>
  <c r="F640" i="4"/>
  <c r="O231" i="5"/>
  <c r="F660" i="4"/>
  <c r="GL171" i="5"/>
  <c r="F13" i="4"/>
  <c r="HK172" i="5"/>
  <c r="F25" i="4"/>
  <c r="CG174" i="5"/>
  <c r="F41" i="4"/>
  <c r="DF175" i="5"/>
  <c r="F53" i="4"/>
  <c r="HS176" i="5"/>
  <c r="F69" i="4"/>
  <c r="IR177" i="5"/>
  <c r="F81" i="4"/>
  <c r="Z179" i="5"/>
  <c r="F93" i="4"/>
  <c r="HB179" i="5"/>
  <c r="F101" i="4"/>
  <c r="EM180" i="5"/>
  <c r="F109" i="4"/>
  <c r="BX181" i="5"/>
  <c r="F117" i="4"/>
  <c r="I182" i="5"/>
  <c r="F125" i="4"/>
  <c r="GK182" i="5"/>
  <c r="F133" i="4"/>
  <c r="DV183" i="5"/>
  <c r="F141" i="4"/>
  <c r="BG184" i="5"/>
  <c r="F149" i="4"/>
  <c r="II184" i="5"/>
  <c r="F157" i="4"/>
  <c r="FT185" i="5"/>
  <c r="F165" i="4"/>
  <c r="DE186" i="5"/>
  <c r="F173" i="4"/>
  <c r="AP187" i="5"/>
  <c r="F181" i="4"/>
  <c r="HR187" i="5"/>
  <c r="F189" i="4"/>
  <c r="FC188" i="5"/>
  <c r="F197" i="4"/>
  <c r="CN189" i="5"/>
  <c r="F205" i="4"/>
  <c r="Y190" i="5"/>
  <c r="F213" i="4"/>
  <c r="HA190" i="5"/>
  <c r="F221" i="4"/>
  <c r="EL191" i="5"/>
  <c r="F229" i="4"/>
  <c r="FK192" i="5"/>
  <c r="F241" i="4"/>
  <c r="H193" i="5"/>
  <c r="F245" i="4"/>
  <c r="GJ193" i="5"/>
  <c r="F253" i="4"/>
  <c r="DU194" i="5"/>
  <c r="F261" i="4"/>
  <c r="BF195" i="5"/>
  <c r="F269" i="4"/>
  <c r="IH195" i="5"/>
  <c r="F277" i="4"/>
  <c r="FS196" i="5"/>
  <c r="F285" i="4"/>
  <c r="DD197" i="5"/>
  <c r="F293" i="4"/>
  <c r="AO198" i="5"/>
  <c r="F301" i="4"/>
  <c r="BN199" i="5"/>
  <c r="F313" i="4"/>
  <c r="IP199" i="5"/>
  <c r="F321" i="4"/>
  <c r="GA200" i="5"/>
  <c r="F329" i="4"/>
  <c r="GZ201" i="5"/>
  <c r="F341" i="4"/>
  <c r="EK202" i="5"/>
  <c r="F349" i="4"/>
  <c r="BV203" i="5"/>
  <c r="F357" i="4"/>
  <c r="G204" i="5"/>
  <c r="F365" i="4"/>
  <c r="GI204" i="5"/>
  <c r="F373" i="4"/>
  <c r="DT205" i="5"/>
  <c r="F381" i="4"/>
  <c r="BE206" i="5"/>
  <c r="F389" i="4"/>
  <c r="IG206" i="5"/>
  <c r="F397" i="4"/>
  <c r="FR207" i="5"/>
  <c r="F405" i="4"/>
  <c r="DC208" i="5"/>
  <c r="F413" i="4"/>
  <c r="AN209" i="5"/>
  <c r="F421" i="4"/>
  <c r="EB209" i="5"/>
  <c r="F425" i="4"/>
  <c r="BM210" i="5"/>
  <c r="F433" i="4"/>
  <c r="IO210" i="5"/>
  <c r="F441" i="4"/>
  <c r="FZ211" i="5"/>
  <c r="F449" i="4"/>
  <c r="DK212" i="5"/>
  <c r="F457" i="4"/>
  <c r="AV213" i="5"/>
  <c r="F465" i="4"/>
  <c r="HX213" i="5"/>
  <c r="F473" i="4"/>
  <c r="FI214" i="5"/>
  <c r="F481" i="4"/>
  <c r="CT215" i="5"/>
  <c r="F489" i="4"/>
  <c r="AE216" i="5"/>
  <c r="F497" i="4"/>
  <c r="HG216" i="5"/>
  <c r="F505" i="4"/>
  <c r="ER217" i="5"/>
  <c r="F513" i="4"/>
  <c r="CC218" i="5"/>
  <c r="F521" i="4"/>
  <c r="N219" i="5"/>
  <c r="F529" i="4"/>
  <c r="FY222" i="5"/>
  <c r="F569" i="4"/>
  <c r="DJ223" i="5"/>
  <c r="F577" i="4"/>
  <c r="AU224" i="5"/>
  <c r="F585" i="4"/>
  <c r="HW224" i="5"/>
  <c r="F593" i="4"/>
  <c r="FH225" i="5"/>
  <c r="F601" i="4"/>
  <c r="CS226" i="5"/>
  <c r="F609" i="4"/>
  <c r="AD227" i="5"/>
  <c r="F617" i="4"/>
  <c r="HF227" i="5"/>
  <c r="F625" i="4"/>
  <c r="BC228" i="5"/>
  <c r="F629" i="4"/>
  <c r="IE228" i="5"/>
  <c r="F637" i="4"/>
  <c r="D645" i="4"/>
  <c r="FR229" i="5" s="1"/>
  <c r="F645" i="4"/>
  <c r="DA230" i="5"/>
  <c r="F653" i="4"/>
  <c r="D661" i="4"/>
  <c r="AN231" i="5" s="1"/>
  <c r="F661" i="4"/>
  <c r="HN231" i="5"/>
  <c r="F669" i="4"/>
  <c r="C677" i="4"/>
  <c r="EZ232" i="5" s="1"/>
  <c r="F677" i="4"/>
  <c r="IM232" i="5"/>
  <c r="F681" i="4"/>
  <c r="D685" i="4"/>
  <c r="CL233" i="5" s="1"/>
  <c r="F685" i="4"/>
  <c r="C689" i="4"/>
  <c r="FY233" i="5" s="1"/>
  <c r="F689" i="4"/>
  <c r="DI234" i="5"/>
  <c r="F697" i="4"/>
  <c r="HA234" i="5"/>
  <c r="F701" i="4"/>
  <c r="CX171" i="5"/>
  <c r="F9" i="4"/>
  <c r="J171" i="5"/>
  <c r="F5" i="4"/>
  <c r="HI171" i="5"/>
  <c r="F14" i="4"/>
  <c r="BF172" i="5"/>
  <c r="F18" i="4"/>
  <c r="ET172" i="5"/>
  <c r="F22" i="4"/>
  <c r="IH172" i="5"/>
  <c r="F26" i="4"/>
  <c r="CE173" i="5"/>
  <c r="F30" i="4"/>
  <c r="FS173" i="5"/>
  <c r="F34" i="4"/>
  <c r="P174" i="5"/>
  <c r="F38" i="4"/>
  <c r="DD174" i="5"/>
  <c r="F42" i="4"/>
  <c r="GR174" i="5"/>
  <c r="F46" i="4"/>
  <c r="AO175" i="5"/>
  <c r="F50" i="4"/>
  <c r="EC175" i="5"/>
  <c r="F54" i="4"/>
  <c r="HQ175" i="5"/>
  <c r="F58" i="4"/>
  <c r="BN176" i="5"/>
  <c r="F62" i="4"/>
  <c r="FB176" i="5"/>
  <c r="F66" i="4"/>
  <c r="IP176" i="5"/>
  <c r="F70" i="4"/>
  <c r="CM177" i="5"/>
  <c r="F74" i="4"/>
  <c r="GA177" i="5"/>
  <c r="F78" i="4"/>
  <c r="X178" i="5"/>
  <c r="F82" i="4"/>
  <c r="DL178" i="5"/>
  <c r="F86" i="4"/>
  <c r="GZ178" i="5"/>
  <c r="F90" i="4"/>
  <c r="AW179" i="5"/>
  <c r="F94" i="4"/>
  <c r="EK179" i="5"/>
  <c r="F98" i="4"/>
  <c r="HY179" i="5"/>
  <c r="F102" i="4"/>
  <c r="BV180" i="5"/>
  <c r="F106" i="4"/>
  <c r="FJ180" i="5"/>
  <c r="F110" i="4"/>
  <c r="G181" i="5"/>
  <c r="F114" i="4"/>
  <c r="CU181" i="5"/>
  <c r="F118" i="4"/>
  <c r="GI181" i="5"/>
  <c r="F122" i="4"/>
  <c r="AF182" i="5"/>
  <c r="F126" i="4"/>
  <c r="DT182" i="5"/>
  <c r="F130" i="4"/>
  <c r="HH182" i="5"/>
  <c r="F134" i="4"/>
  <c r="BE183" i="5"/>
  <c r="F138" i="4"/>
  <c r="ES183" i="5"/>
  <c r="F142" i="4"/>
  <c r="IG183" i="5"/>
  <c r="F146" i="4"/>
  <c r="CD184" i="5"/>
  <c r="F150" i="4"/>
  <c r="FR184" i="5"/>
  <c r="F154" i="4"/>
  <c r="O185" i="5"/>
  <c r="F158" i="4"/>
  <c r="DC185" i="5"/>
  <c r="F162" i="4"/>
  <c r="AN186" i="5"/>
  <c r="F170" i="4"/>
  <c r="EB186" i="5"/>
  <c r="F174" i="4"/>
  <c r="HP186" i="5"/>
  <c r="F178" i="4"/>
  <c r="BM187" i="5"/>
  <c r="F182" i="4"/>
  <c r="FA187" i="5"/>
  <c r="F186" i="4"/>
  <c r="IO187" i="5"/>
  <c r="F190" i="4"/>
  <c r="CL188" i="5"/>
  <c r="F194" i="4"/>
  <c r="FZ188" i="5"/>
  <c r="F198" i="4"/>
  <c r="W189" i="5"/>
  <c r="F202" i="4"/>
  <c r="DK189" i="5"/>
  <c r="F206" i="4"/>
  <c r="GY189" i="5"/>
  <c r="F210" i="4"/>
  <c r="AV190" i="5"/>
  <c r="F214" i="4"/>
  <c r="EJ190" i="5"/>
  <c r="F218" i="4"/>
  <c r="HX190" i="5"/>
  <c r="F222" i="4"/>
  <c r="BU191" i="5"/>
  <c r="F226" i="4"/>
  <c r="FI191" i="5"/>
  <c r="F230" i="4"/>
  <c r="F192" i="5"/>
  <c r="F234" i="4"/>
  <c r="CT192" i="5"/>
  <c r="F238" i="4"/>
  <c r="GH192" i="5"/>
  <c r="F242" i="4"/>
  <c r="AE193" i="5"/>
  <c r="F246" i="4"/>
  <c r="DS193" i="5"/>
  <c r="F250" i="4"/>
  <c r="HG193" i="5"/>
  <c r="F254" i="4"/>
  <c r="BD194" i="5"/>
  <c r="F258" i="4"/>
  <c r="ER194" i="5"/>
  <c r="F262" i="4"/>
  <c r="IF194" i="5"/>
  <c r="F266" i="4"/>
  <c r="CC195" i="5"/>
  <c r="F270" i="4"/>
  <c r="FQ195" i="5"/>
  <c r="F274" i="4"/>
  <c r="N196" i="5"/>
  <c r="F278" i="4"/>
  <c r="DB196" i="5"/>
  <c r="F282" i="4"/>
  <c r="GP196" i="5"/>
  <c r="F286" i="4"/>
  <c r="AM197" i="5"/>
  <c r="F290" i="4"/>
  <c r="EA197" i="5"/>
  <c r="F294" i="4"/>
  <c r="HO197" i="5"/>
  <c r="F298" i="4"/>
  <c r="BL198" i="5"/>
  <c r="F302" i="4"/>
  <c r="EZ198" i="5"/>
  <c r="F306" i="4"/>
  <c r="IN198" i="5"/>
  <c r="F310" i="4"/>
  <c r="CK199" i="5"/>
  <c r="F314" i="4"/>
  <c r="FY199" i="5"/>
  <c r="F318" i="4"/>
  <c r="V200" i="5"/>
  <c r="F322" i="4"/>
  <c r="DJ200" i="5"/>
  <c r="F326" i="4"/>
  <c r="GX200" i="5"/>
  <c r="F330" i="4"/>
  <c r="AU201" i="5"/>
  <c r="F334" i="4"/>
  <c r="EI201" i="5"/>
  <c r="F338" i="4"/>
  <c r="HW201" i="5"/>
  <c r="F342" i="4"/>
  <c r="BT202" i="5"/>
  <c r="F346" i="4"/>
  <c r="FH202" i="5"/>
  <c r="F350" i="4"/>
  <c r="IV202" i="5"/>
  <c r="F354" i="4"/>
  <c r="CS203" i="5"/>
  <c r="F358" i="4"/>
  <c r="GG203" i="5"/>
  <c r="F362" i="4"/>
  <c r="AD204" i="5"/>
  <c r="F366" i="4"/>
  <c r="DR204" i="5"/>
  <c r="F370" i="4"/>
  <c r="HF204" i="5"/>
  <c r="F374" i="4"/>
  <c r="BC205" i="5"/>
  <c r="F378" i="4"/>
  <c r="EQ205" i="5"/>
  <c r="F382" i="4"/>
  <c r="IE205" i="5"/>
  <c r="F386" i="4"/>
  <c r="CB206" i="5"/>
  <c r="F390" i="4"/>
  <c r="FP206" i="5"/>
  <c r="F394" i="4"/>
  <c r="M207" i="5"/>
  <c r="F398" i="4"/>
  <c r="DA207" i="5"/>
  <c r="F402" i="4"/>
  <c r="GO207" i="5"/>
  <c r="F406" i="4"/>
  <c r="AL208" i="5"/>
  <c r="F410" i="4"/>
  <c r="DZ208" i="5"/>
  <c r="F414" i="4"/>
  <c r="HN208" i="5"/>
  <c r="F418" i="4"/>
  <c r="BK209" i="5"/>
  <c r="F422" i="4"/>
  <c r="EY209" i="5"/>
  <c r="F426" i="4"/>
  <c r="IM209" i="5"/>
  <c r="F430" i="4"/>
  <c r="CJ210" i="5"/>
  <c r="F434" i="4"/>
  <c r="FX210" i="5"/>
  <c r="F438" i="4"/>
  <c r="U211" i="5"/>
  <c r="F442" i="4"/>
  <c r="DI211" i="5"/>
  <c r="F446" i="4"/>
  <c r="GW211" i="5"/>
  <c r="F450" i="4"/>
  <c r="AT212" i="5"/>
  <c r="F454" i="4"/>
  <c r="EH212" i="5"/>
  <c r="F458" i="4"/>
  <c r="HV212" i="5"/>
  <c r="F462" i="4"/>
  <c r="BS213" i="5"/>
  <c r="F466" i="4"/>
  <c r="FG213" i="5"/>
  <c r="F470" i="4"/>
  <c r="IU213" i="5"/>
  <c r="F474" i="4"/>
  <c r="CR214" i="5"/>
  <c r="F478" i="4"/>
  <c r="GF214" i="5"/>
  <c r="F482" i="4"/>
  <c r="AC215" i="5"/>
  <c r="F486" i="4"/>
  <c r="DQ215" i="5"/>
  <c r="F490" i="4"/>
  <c r="HE215" i="5"/>
  <c r="F494" i="4"/>
  <c r="BB216" i="5"/>
  <c r="F498" i="4"/>
  <c r="EP216" i="5"/>
  <c r="F502" i="4"/>
  <c r="ID216" i="5"/>
  <c r="F506" i="4"/>
  <c r="CA217" i="5"/>
  <c r="F510" i="4"/>
  <c r="FO217" i="5"/>
  <c r="F514" i="4"/>
  <c r="L218" i="5"/>
  <c r="F518" i="4"/>
  <c r="CZ218" i="5"/>
  <c r="F522" i="4"/>
  <c r="GN218" i="5"/>
  <c r="F526" i="4"/>
  <c r="AK219" i="5"/>
  <c r="F530" i="4"/>
  <c r="DY219" i="5"/>
  <c r="F534" i="4"/>
  <c r="HM219" i="5"/>
  <c r="F538" i="4"/>
  <c r="BJ220" i="5"/>
  <c r="F542" i="4"/>
  <c r="EX220" i="5"/>
  <c r="F546" i="4"/>
  <c r="IL220" i="5"/>
  <c r="F550" i="4"/>
  <c r="CI221" i="5"/>
  <c r="F554" i="4"/>
  <c r="FW221" i="5"/>
  <c r="F558" i="4"/>
  <c r="T222" i="5"/>
  <c r="F562" i="4"/>
  <c r="DH222" i="5"/>
  <c r="F566" i="4"/>
  <c r="GV222" i="5"/>
  <c r="F570" i="4"/>
  <c r="AS223" i="5"/>
  <c r="F574" i="4"/>
  <c r="EG223" i="5"/>
  <c r="F578" i="4"/>
  <c r="HU223" i="5"/>
  <c r="F582" i="4"/>
  <c r="BR224" i="5"/>
  <c r="F586" i="4"/>
  <c r="FF224" i="5"/>
  <c r="F590" i="4"/>
  <c r="IT224" i="5"/>
  <c r="F594" i="4"/>
  <c r="CQ225" i="5"/>
  <c r="F598" i="4"/>
  <c r="GE225" i="5"/>
  <c r="F602" i="4"/>
  <c r="AB226" i="5"/>
  <c r="F606" i="4"/>
  <c r="DP226" i="5"/>
  <c r="F610" i="4"/>
  <c r="HD226" i="5"/>
  <c r="F614" i="4"/>
  <c r="BA227" i="5"/>
  <c r="F618" i="4"/>
  <c r="EO227" i="5"/>
  <c r="F622" i="4"/>
  <c r="IC227" i="5"/>
  <c r="F626" i="4"/>
  <c r="BZ228" i="5"/>
  <c r="F630" i="4"/>
  <c r="FN228" i="5"/>
  <c r="F634" i="4"/>
  <c r="K229" i="5"/>
  <c r="F638" i="4"/>
  <c r="CY229" i="5"/>
  <c r="F642" i="4"/>
  <c r="E646" i="4"/>
  <c r="GP229" i="5" s="1"/>
  <c r="F646" i="4"/>
  <c r="E650" i="4"/>
  <c r="AM230" i="5" s="1"/>
  <c r="F650" i="4"/>
  <c r="E654" i="4"/>
  <c r="EA230" i="5" s="1"/>
  <c r="F654" i="4"/>
  <c r="HL230" i="5"/>
  <c r="F658" i="4"/>
  <c r="E662" i="4"/>
  <c r="BL231" i="5" s="1"/>
  <c r="F662" i="4"/>
  <c r="E666" i="4"/>
  <c r="EZ231" i="5" s="1"/>
  <c r="F666" i="4"/>
  <c r="E670" i="4"/>
  <c r="IN231" i="5" s="1"/>
  <c r="F670" i="4"/>
  <c r="D674" i="4"/>
  <c r="CJ232" i="5" s="1"/>
  <c r="F674" i="4"/>
  <c r="E678" i="4"/>
  <c r="FY232" i="5" s="1"/>
  <c r="F678" i="4"/>
  <c r="W233" i="5"/>
  <c r="F682" i="4"/>
  <c r="DK233" i="5"/>
  <c r="F686" i="4"/>
  <c r="GY233" i="5"/>
  <c r="F690" i="4"/>
  <c r="AV234" i="5"/>
  <c r="F694" i="4"/>
  <c r="EJ234" i="5"/>
  <c r="F698" i="4"/>
  <c r="HX234" i="5"/>
  <c r="F702" i="4"/>
  <c r="X168" i="5"/>
  <c r="X167" i="5"/>
  <c r="X169" i="5"/>
  <c r="G2" i="6"/>
  <c r="AJ236" i="5" s="1"/>
  <c r="F2" i="6"/>
  <c r="AI236" i="5" s="1"/>
  <c r="D2" i="6"/>
  <c r="AG236" i="5" s="1"/>
  <c r="E2" i="6"/>
  <c r="AH236" i="5" s="1"/>
  <c r="HB170" i="5"/>
  <c r="T167" i="5"/>
  <c r="V168" i="5"/>
  <c r="G194" i="5"/>
  <c r="T168" i="5"/>
  <c r="HB193" i="5"/>
  <c r="R168" i="5"/>
  <c r="FF193" i="5"/>
  <c r="P168" i="5"/>
  <c r="DJ193" i="5"/>
  <c r="N168" i="5"/>
  <c r="BN193" i="5"/>
  <c r="L168" i="5"/>
  <c r="R193" i="5"/>
  <c r="J168" i="5"/>
  <c r="HM192" i="5"/>
  <c r="H168" i="5"/>
  <c r="FQ192" i="5"/>
  <c r="HK166" i="5"/>
  <c r="HL185" i="5"/>
  <c r="HG166" i="5"/>
  <c r="HH185" i="5"/>
  <c r="HC166" i="5"/>
  <c r="HD185" i="5"/>
  <c r="GY166" i="5"/>
  <c r="GZ185" i="5"/>
  <c r="GU166" i="5"/>
  <c r="GV185" i="5"/>
  <c r="HT234" i="5"/>
  <c r="EF234" i="5"/>
  <c r="AR234" i="5"/>
  <c r="GU233" i="5"/>
  <c r="DG233" i="5"/>
  <c r="S233" i="5"/>
  <c r="FV232" i="5"/>
  <c r="CH232" i="5"/>
  <c r="IK231" i="5"/>
  <c r="EW231" i="5"/>
  <c r="BI231" i="5"/>
  <c r="DX230" i="5"/>
  <c r="AJ230" i="5"/>
  <c r="GM229" i="5"/>
  <c r="V169" i="5"/>
  <c r="G217" i="5"/>
  <c r="T169" i="5"/>
  <c r="HB216" i="5"/>
  <c r="R169" i="5"/>
  <c r="FF216" i="5"/>
  <c r="P169" i="5"/>
  <c r="DJ216" i="5"/>
  <c r="N169" i="5"/>
  <c r="BN216" i="5"/>
  <c r="L169" i="5"/>
  <c r="R216" i="5"/>
  <c r="J169" i="5"/>
  <c r="HM215" i="5"/>
  <c r="H169" i="5"/>
  <c r="FQ215" i="5"/>
  <c r="HJ166" i="5"/>
  <c r="HK185" i="5"/>
  <c r="HF166" i="5"/>
  <c r="HG185" i="5"/>
  <c r="HB166" i="5"/>
  <c r="HC185" i="5"/>
  <c r="GX166" i="5"/>
  <c r="GY185" i="5"/>
  <c r="W167" i="5"/>
  <c r="AE171" i="5"/>
  <c r="HZ170" i="5"/>
  <c r="U167" i="5"/>
  <c r="W168" i="5"/>
  <c r="AE194" i="5"/>
  <c r="U168" i="5"/>
  <c r="HZ193" i="5"/>
  <c r="S168" i="5"/>
  <c r="GD193" i="5"/>
  <c r="Q168" i="5"/>
  <c r="EH193" i="5"/>
  <c r="O168" i="5"/>
  <c r="CL193" i="5"/>
  <c r="M168" i="5"/>
  <c r="AP193" i="5"/>
  <c r="K168" i="5"/>
  <c r="IK192" i="5"/>
  <c r="I168" i="5"/>
  <c r="GO192" i="5"/>
  <c r="ES192" i="5"/>
  <c r="HI166" i="5"/>
  <c r="HJ185" i="5"/>
  <c r="HE166" i="5"/>
  <c r="HF185" i="5"/>
  <c r="HA166" i="5"/>
  <c r="HB185" i="5"/>
  <c r="GW166" i="5"/>
  <c r="GX185" i="5"/>
  <c r="FZ234" i="5"/>
  <c r="CL234" i="5"/>
  <c r="BM233" i="5"/>
  <c r="HP232" i="5"/>
  <c r="AN232" i="5"/>
  <c r="GQ231" i="5"/>
  <c r="CD230" i="5"/>
  <c r="GN170" i="5"/>
  <c r="GJ170" i="5"/>
  <c r="GP166" i="5"/>
  <c r="GQ185" i="5"/>
  <c r="W169" i="5"/>
  <c r="AE217" i="5"/>
  <c r="U169" i="5"/>
  <c r="HZ216" i="5"/>
  <c r="S169" i="5"/>
  <c r="GD216" i="5"/>
  <c r="Q169" i="5"/>
  <c r="EH216" i="5"/>
  <c r="O169" i="5"/>
  <c r="CL216" i="5"/>
  <c r="M169" i="5"/>
  <c r="AP216" i="5"/>
  <c r="K169" i="5"/>
  <c r="IK215" i="5"/>
  <c r="I169" i="5"/>
  <c r="GO215" i="5"/>
  <c r="ES215" i="5"/>
  <c r="HH166" i="5"/>
  <c r="HI185" i="5"/>
  <c r="HD166" i="5"/>
  <c r="HE185" i="5"/>
  <c r="GZ166" i="5"/>
  <c r="HA185" i="5"/>
  <c r="GV166" i="5"/>
  <c r="GW185" i="5"/>
  <c r="G171" i="5"/>
  <c r="V167" i="5"/>
  <c r="GW234" i="5"/>
  <c r="U234" i="5"/>
  <c r="FX233" i="5"/>
  <c r="CJ233" i="5"/>
  <c r="EY232" i="5"/>
  <c r="AL231" i="5"/>
  <c r="GO230" i="5"/>
  <c r="FP229" i="5"/>
  <c r="C702" i="4"/>
  <c r="HU234" i="5" s="1"/>
  <c r="D698" i="4"/>
  <c r="EH234" i="5" s="1"/>
  <c r="C694" i="4"/>
  <c r="AS234" i="5" s="1"/>
  <c r="E686" i="4"/>
  <c r="DJ233" i="5" s="1"/>
  <c r="D682" i="4"/>
  <c r="U233" i="5" s="1"/>
  <c r="D701" i="4"/>
  <c r="GY234" i="5" s="1"/>
  <c r="C698" i="4"/>
  <c r="EG234" i="5" s="1"/>
  <c r="E690" i="4"/>
  <c r="GX233" i="5" s="1"/>
  <c r="D686" i="4"/>
  <c r="DI233" i="5" s="1"/>
  <c r="C682" i="4"/>
  <c r="T233" i="5" s="1"/>
  <c r="E702" i="4"/>
  <c r="HW234" i="5" s="1"/>
  <c r="C701" i="4"/>
  <c r="GX234" i="5" s="1"/>
  <c r="E694" i="4"/>
  <c r="AU234" i="5" s="1"/>
  <c r="D690" i="4"/>
  <c r="GW233" i="5" s="1"/>
  <c r="C686" i="4"/>
  <c r="DH233" i="5" s="1"/>
  <c r="D702" i="4"/>
  <c r="HV234" i="5" s="1"/>
  <c r="E698" i="4"/>
  <c r="EI234" i="5" s="1"/>
  <c r="D694" i="4"/>
  <c r="AT234" i="5" s="1"/>
  <c r="C690" i="4"/>
  <c r="GV233" i="5" s="1"/>
  <c r="E682" i="4"/>
  <c r="V233" i="5" s="1"/>
  <c r="E12" i="4"/>
  <c r="FR171" i="5" s="1"/>
  <c r="C12" i="4"/>
  <c r="FP171" i="5" s="1"/>
  <c r="FS171" i="5"/>
  <c r="D12" i="4"/>
  <c r="FQ171" i="5" s="1"/>
  <c r="E18" i="4"/>
  <c r="BI172" i="5" s="1"/>
  <c r="BJ172" i="5"/>
  <c r="D18" i="4"/>
  <c r="BH172" i="5" s="1"/>
  <c r="C18" i="4"/>
  <c r="BG172" i="5" s="1"/>
  <c r="E34" i="4"/>
  <c r="FV173" i="5" s="1"/>
  <c r="FW173" i="5"/>
  <c r="D34" i="4"/>
  <c r="FU173" i="5" s="1"/>
  <c r="C34" i="4"/>
  <c r="FT173" i="5" s="1"/>
  <c r="E50" i="4"/>
  <c r="AR175" i="5" s="1"/>
  <c r="D50" i="4"/>
  <c r="AQ175" i="5" s="1"/>
  <c r="AS175" i="5"/>
  <c r="C50" i="4"/>
  <c r="AP175" i="5" s="1"/>
  <c r="E66" i="4"/>
  <c r="FE176" i="5" s="1"/>
  <c r="D66" i="4"/>
  <c r="FD176" i="5" s="1"/>
  <c r="C66" i="4"/>
  <c r="FC176" i="5" s="1"/>
  <c r="FF176" i="5"/>
  <c r="E78" i="4"/>
  <c r="GD177" i="5" s="1"/>
  <c r="D78" i="4"/>
  <c r="GC177" i="5" s="1"/>
  <c r="C78" i="4"/>
  <c r="GB177" i="5" s="1"/>
  <c r="GE177" i="5"/>
  <c r="E86" i="4"/>
  <c r="DO178" i="5" s="1"/>
  <c r="D86" i="4"/>
  <c r="DN178" i="5" s="1"/>
  <c r="DP178" i="5"/>
  <c r="C86" i="4"/>
  <c r="DM178" i="5" s="1"/>
  <c r="EO179" i="5"/>
  <c r="C98" i="4"/>
  <c r="EL179" i="5" s="1"/>
  <c r="E98" i="4"/>
  <c r="EN179" i="5" s="1"/>
  <c r="D98" i="4"/>
  <c r="EM179" i="5" s="1"/>
  <c r="FN180" i="5"/>
  <c r="C110" i="4"/>
  <c r="FK180" i="5" s="1"/>
  <c r="E110" i="4"/>
  <c r="FM180" i="5" s="1"/>
  <c r="D110" i="4"/>
  <c r="FL180" i="5" s="1"/>
  <c r="GM181" i="5"/>
  <c r="C122" i="4"/>
  <c r="GJ181" i="5" s="1"/>
  <c r="E122" i="4"/>
  <c r="GL181" i="5" s="1"/>
  <c r="D122" i="4"/>
  <c r="GK181" i="5" s="1"/>
  <c r="HL182" i="5"/>
  <c r="C134" i="4"/>
  <c r="HI182" i="5" s="1"/>
  <c r="E134" i="4"/>
  <c r="HK182" i="5" s="1"/>
  <c r="D134" i="4"/>
  <c r="HJ182" i="5" s="1"/>
  <c r="IK183" i="5"/>
  <c r="E146" i="4"/>
  <c r="IJ183" i="5" s="1"/>
  <c r="C146" i="4"/>
  <c r="IH183" i="5" s="1"/>
  <c r="D146" i="4"/>
  <c r="II183" i="5" s="1"/>
  <c r="S185" i="5"/>
  <c r="D158" i="4"/>
  <c r="Q185" i="5" s="1"/>
  <c r="C158" i="4"/>
  <c r="P185" i="5" s="1"/>
  <c r="E158" i="4"/>
  <c r="R185" i="5" s="1"/>
  <c r="AR186" i="5"/>
  <c r="C170" i="4"/>
  <c r="AO186" i="5" s="1"/>
  <c r="E170" i="4"/>
  <c r="AQ186" i="5" s="1"/>
  <c r="D170" i="4"/>
  <c r="AP186" i="5" s="1"/>
  <c r="BQ187" i="5"/>
  <c r="D182" i="4"/>
  <c r="BO187" i="5" s="1"/>
  <c r="E182" i="4"/>
  <c r="BP187" i="5" s="1"/>
  <c r="C182" i="4"/>
  <c r="BN187" i="5" s="1"/>
  <c r="CP188" i="5"/>
  <c r="E194" i="4"/>
  <c r="CO188" i="5" s="1"/>
  <c r="C194" i="4"/>
  <c r="CM188" i="5" s="1"/>
  <c r="D194" i="4"/>
  <c r="CN188" i="5" s="1"/>
  <c r="DO189" i="5"/>
  <c r="D206" i="4"/>
  <c r="DM189" i="5" s="1"/>
  <c r="E206" i="4"/>
  <c r="DN189" i="5" s="1"/>
  <c r="C206" i="4"/>
  <c r="DL189" i="5" s="1"/>
  <c r="EN190" i="5"/>
  <c r="C218" i="4"/>
  <c r="EK190" i="5" s="1"/>
  <c r="E218" i="4"/>
  <c r="EM190" i="5" s="1"/>
  <c r="D218" i="4"/>
  <c r="EL190" i="5" s="1"/>
  <c r="C226" i="4"/>
  <c r="BV191" i="5" s="1"/>
  <c r="E226" i="4"/>
  <c r="BX191" i="5" s="1"/>
  <c r="BY191" i="5"/>
  <c r="D226" i="4"/>
  <c r="BW191" i="5" s="1"/>
  <c r="C234" i="4"/>
  <c r="G192" i="5" s="1"/>
  <c r="E234" i="4"/>
  <c r="I192" i="5" s="1"/>
  <c r="D234" i="4"/>
  <c r="H192" i="5" s="1"/>
  <c r="J192" i="5"/>
  <c r="C238" i="4"/>
  <c r="CU192" i="5" s="1"/>
  <c r="E238" i="4"/>
  <c r="CW192" i="5" s="1"/>
  <c r="D238" i="4"/>
  <c r="CV192" i="5" s="1"/>
  <c r="CX192" i="5"/>
  <c r="C250" i="4"/>
  <c r="DT193" i="5" s="1"/>
  <c r="E250" i="4"/>
  <c r="DV193" i="5" s="1"/>
  <c r="D250" i="4"/>
  <c r="DU193" i="5" s="1"/>
  <c r="DW193" i="5"/>
  <c r="C262" i="4"/>
  <c r="ES194" i="5" s="1"/>
  <c r="E262" i="4"/>
  <c r="EU194" i="5" s="1"/>
  <c r="EV194" i="5"/>
  <c r="D262" i="4"/>
  <c r="ET194" i="5" s="1"/>
  <c r="D274" i="4"/>
  <c r="FS195" i="5" s="1"/>
  <c r="C274" i="4"/>
  <c r="FR195" i="5" s="1"/>
  <c r="E274" i="4"/>
  <c r="FT195" i="5" s="1"/>
  <c r="FU195" i="5"/>
  <c r="D286" i="4"/>
  <c r="GR196" i="5" s="1"/>
  <c r="C286" i="4"/>
  <c r="GQ196" i="5" s="1"/>
  <c r="E286" i="4"/>
  <c r="GS196" i="5" s="1"/>
  <c r="GT196" i="5"/>
  <c r="D298" i="4"/>
  <c r="HQ197" i="5" s="1"/>
  <c r="C298" i="4"/>
  <c r="HP197" i="5" s="1"/>
  <c r="E298" i="4"/>
  <c r="HR197" i="5" s="1"/>
  <c r="HS197" i="5"/>
  <c r="D310" i="4"/>
  <c r="IP198" i="5" s="1"/>
  <c r="C310" i="4"/>
  <c r="IO198" i="5" s="1"/>
  <c r="E310" i="4"/>
  <c r="IQ198" i="5" s="1"/>
  <c r="IR198" i="5"/>
  <c r="D322" i="4"/>
  <c r="X200" i="5" s="1"/>
  <c r="C322" i="4"/>
  <c r="W200" i="5" s="1"/>
  <c r="E322" i="4"/>
  <c r="Y200" i="5" s="1"/>
  <c r="Z200" i="5"/>
  <c r="D334" i="4"/>
  <c r="AW201" i="5" s="1"/>
  <c r="C334" i="4"/>
  <c r="AV201" i="5" s="1"/>
  <c r="E334" i="4"/>
  <c r="AX201" i="5" s="1"/>
  <c r="AY201" i="5"/>
  <c r="D346" i="4"/>
  <c r="BV202" i="5" s="1"/>
  <c r="C346" i="4"/>
  <c r="BU202" i="5" s="1"/>
  <c r="E346" i="4"/>
  <c r="BW202" i="5" s="1"/>
  <c r="BX202" i="5"/>
  <c r="D358" i="4"/>
  <c r="CU203" i="5" s="1"/>
  <c r="C358" i="4"/>
  <c r="CT203" i="5" s="1"/>
  <c r="E358" i="4"/>
  <c r="CV203" i="5" s="1"/>
  <c r="CW203" i="5"/>
  <c r="D370" i="4"/>
  <c r="DT204" i="5" s="1"/>
  <c r="C370" i="4"/>
  <c r="DS204" i="5" s="1"/>
  <c r="E370" i="4"/>
  <c r="DU204" i="5" s="1"/>
  <c r="DV204" i="5"/>
  <c r="D378" i="4"/>
  <c r="BE205" i="5" s="1"/>
  <c r="C378" i="4"/>
  <c r="BD205" i="5" s="1"/>
  <c r="E378" i="4"/>
  <c r="BF205" i="5" s="1"/>
  <c r="BG205" i="5"/>
  <c r="E390" i="4"/>
  <c r="CE206" i="5" s="1"/>
  <c r="D390" i="4"/>
  <c r="CD206" i="5" s="1"/>
  <c r="CF206" i="5"/>
  <c r="C390" i="4"/>
  <c r="CC206" i="5" s="1"/>
  <c r="E402" i="4"/>
  <c r="DD207" i="5" s="1"/>
  <c r="D402" i="4"/>
  <c r="DC207" i="5" s="1"/>
  <c r="DE207" i="5"/>
  <c r="C402" i="4"/>
  <c r="DB207" i="5" s="1"/>
  <c r="E410" i="4"/>
  <c r="AO208" i="5" s="1"/>
  <c r="D410" i="4"/>
  <c r="AN208" i="5" s="1"/>
  <c r="AP208" i="5"/>
  <c r="C410" i="4"/>
  <c r="AM208" i="5" s="1"/>
  <c r="E426" i="4"/>
  <c r="FB209" i="5" s="1"/>
  <c r="D426" i="4"/>
  <c r="FA209" i="5" s="1"/>
  <c r="FC209" i="5"/>
  <c r="C426" i="4"/>
  <c r="EZ209" i="5" s="1"/>
  <c r="E438" i="4"/>
  <c r="GA210" i="5" s="1"/>
  <c r="D438" i="4"/>
  <c r="FZ210" i="5" s="1"/>
  <c r="GB210" i="5"/>
  <c r="C438" i="4"/>
  <c r="FY210" i="5" s="1"/>
  <c r="E450" i="4"/>
  <c r="GZ211" i="5" s="1"/>
  <c r="D450" i="4"/>
  <c r="GY211" i="5" s="1"/>
  <c r="HA211" i="5"/>
  <c r="C450" i="4"/>
  <c r="GX211" i="5" s="1"/>
  <c r="E462" i="4"/>
  <c r="HY212" i="5" s="1"/>
  <c r="D462" i="4"/>
  <c r="HX212" i="5" s="1"/>
  <c r="HZ212" i="5"/>
  <c r="C462" i="4"/>
  <c r="HW212" i="5" s="1"/>
  <c r="D474" i="4"/>
  <c r="F214" i="5" s="1"/>
  <c r="C474" i="4"/>
  <c r="IV213" i="5" s="1"/>
  <c r="H214" i="5"/>
  <c r="E474" i="4"/>
  <c r="G214" i="5" s="1"/>
  <c r="D486" i="4"/>
  <c r="AE215" i="5" s="1"/>
  <c r="C486" i="4"/>
  <c r="AD215" i="5" s="1"/>
  <c r="AG215" i="5"/>
  <c r="E486" i="4"/>
  <c r="AF215" i="5" s="1"/>
  <c r="D498" i="4"/>
  <c r="BD216" i="5" s="1"/>
  <c r="C498" i="4"/>
  <c r="BC216" i="5" s="1"/>
  <c r="BF216" i="5"/>
  <c r="E498" i="4"/>
  <c r="BE216" i="5" s="1"/>
  <c r="D510" i="4"/>
  <c r="CC217" i="5" s="1"/>
  <c r="C510" i="4"/>
  <c r="CB217" i="5" s="1"/>
  <c r="CE217" i="5"/>
  <c r="E510" i="4"/>
  <c r="CD217" i="5" s="1"/>
  <c r="D522" i="4"/>
  <c r="DB218" i="5" s="1"/>
  <c r="C522" i="4"/>
  <c r="DA218" i="5" s="1"/>
  <c r="DD218" i="5"/>
  <c r="E522" i="4"/>
  <c r="DC218" i="5" s="1"/>
  <c r="D534" i="4"/>
  <c r="EA219" i="5" s="1"/>
  <c r="C534" i="4"/>
  <c r="DZ219" i="5" s="1"/>
  <c r="EC219" i="5"/>
  <c r="E534" i="4"/>
  <c r="EB219" i="5" s="1"/>
  <c r="D542" i="4"/>
  <c r="BL220" i="5" s="1"/>
  <c r="C542" i="4"/>
  <c r="BK220" i="5" s="1"/>
  <c r="BN220" i="5"/>
  <c r="E542" i="4"/>
  <c r="BM220" i="5" s="1"/>
  <c r="D566" i="4"/>
  <c r="DJ222" i="5" s="1"/>
  <c r="C566" i="4"/>
  <c r="DI222" i="5" s="1"/>
  <c r="DL222" i="5"/>
  <c r="E566" i="4"/>
  <c r="DK222" i="5" s="1"/>
  <c r="E11" i="4"/>
  <c r="EU171" i="5" s="1"/>
  <c r="EV171" i="5"/>
  <c r="D11" i="4"/>
  <c r="ET171" i="5" s="1"/>
  <c r="C11" i="4"/>
  <c r="ES171" i="5" s="1"/>
  <c r="E7" i="4"/>
  <c r="BG171" i="5" s="1"/>
  <c r="BH171" i="5"/>
  <c r="D7" i="4"/>
  <c r="BF171" i="5" s="1"/>
  <c r="C7" i="4"/>
  <c r="BE171" i="5" s="1"/>
  <c r="E3" i="4"/>
  <c r="HJ170" i="5" s="1"/>
  <c r="HK170" i="5"/>
  <c r="D3" i="4"/>
  <c r="HI170" i="5" s="1"/>
  <c r="C3" i="4"/>
  <c r="HH170" i="5" s="1"/>
  <c r="E15" i="4"/>
  <c r="II171" i="5" s="1"/>
  <c r="IJ171" i="5"/>
  <c r="D15" i="4"/>
  <c r="IH171" i="5" s="1"/>
  <c r="C15" i="4"/>
  <c r="IG171" i="5" s="1"/>
  <c r="E19" i="4"/>
  <c r="CF172" i="5" s="1"/>
  <c r="CG172" i="5"/>
  <c r="D19" i="4"/>
  <c r="CE172" i="5" s="1"/>
  <c r="C19" i="4"/>
  <c r="CD172" i="5" s="1"/>
  <c r="E23" i="4"/>
  <c r="FT172" i="5" s="1"/>
  <c r="FU172" i="5"/>
  <c r="D23" i="4"/>
  <c r="FS172" i="5" s="1"/>
  <c r="C23" i="4"/>
  <c r="FR172" i="5" s="1"/>
  <c r="E27" i="4"/>
  <c r="Q173" i="5" s="1"/>
  <c r="R173" i="5"/>
  <c r="C27" i="4"/>
  <c r="O173" i="5" s="1"/>
  <c r="D27" i="4"/>
  <c r="P173" i="5" s="1"/>
  <c r="E31" i="4"/>
  <c r="DE173" i="5" s="1"/>
  <c r="DF173" i="5"/>
  <c r="D31" i="4"/>
  <c r="DD173" i="5" s="1"/>
  <c r="C31" i="4"/>
  <c r="DC173" i="5" s="1"/>
  <c r="E35" i="4"/>
  <c r="GS173" i="5" s="1"/>
  <c r="GT173" i="5"/>
  <c r="C35" i="4"/>
  <c r="GQ173" i="5" s="1"/>
  <c r="D35" i="4"/>
  <c r="GR173" i="5" s="1"/>
  <c r="E39" i="4"/>
  <c r="AP174" i="5" s="1"/>
  <c r="AQ174" i="5"/>
  <c r="D39" i="4"/>
  <c r="AO174" i="5" s="1"/>
  <c r="C39" i="4"/>
  <c r="AN174" i="5" s="1"/>
  <c r="E43" i="4"/>
  <c r="ED174" i="5" s="1"/>
  <c r="EE174" i="5"/>
  <c r="D43" i="4"/>
  <c r="EC174" i="5" s="1"/>
  <c r="C43" i="4"/>
  <c r="EB174" i="5" s="1"/>
  <c r="E47" i="4"/>
  <c r="HR174" i="5" s="1"/>
  <c r="HS174" i="5"/>
  <c r="C47" i="4"/>
  <c r="HP174" i="5" s="1"/>
  <c r="D47" i="4"/>
  <c r="HQ174" i="5" s="1"/>
  <c r="E51" i="4"/>
  <c r="BO175" i="5" s="1"/>
  <c r="BP175" i="5"/>
  <c r="D51" i="4"/>
  <c r="BN175" i="5" s="1"/>
  <c r="C51" i="4"/>
  <c r="BM175" i="5" s="1"/>
  <c r="E55" i="4"/>
  <c r="FC175" i="5" s="1"/>
  <c r="FD175" i="5"/>
  <c r="C55" i="4"/>
  <c r="FA175" i="5" s="1"/>
  <c r="D55" i="4"/>
  <c r="FB175" i="5" s="1"/>
  <c r="E59" i="4"/>
  <c r="IQ175" i="5" s="1"/>
  <c r="IR175" i="5"/>
  <c r="D59" i="4"/>
  <c r="IP175" i="5" s="1"/>
  <c r="C59" i="4"/>
  <c r="IO175" i="5" s="1"/>
  <c r="E63" i="4"/>
  <c r="CN176" i="5" s="1"/>
  <c r="CO176" i="5"/>
  <c r="C63" i="4"/>
  <c r="CL176" i="5" s="1"/>
  <c r="D63" i="4"/>
  <c r="CM176" i="5" s="1"/>
  <c r="E67" i="4"/>
  <c r="GB176" i="5" s="1"/>
  <c r="GC176" i="5"/>
  <c r="D67" i="4"/>
  <c r="GA176" i="5" s="1"/>
  <c r="C67" i="4"/>
  <c r="FZ176" i="5" s="1"/>
  <c r="E71" i="4"/>
  <c r="Y177" i="5" s="1"/>
  <c r="Z177" i="5"/>
  <c r="C71" i="4"/>
  <c r="W177" i="5" s="1"/>
  <c r="D71" i="4"/>
  <c r="X177" i="5" s="1"/>
  <c r="E75" i="4"/>
  <c r="DM177" i="5" s="1"/>
  <c r="DN177" i="5"/>
  <c r="C75" i="4"/>
  <c r="DK177" i="5" s="1"/>
  <c r="D75" i="4"/>
  <c r="DL177" i="5" s="1"/>
  <c r="E79" i="4"/>
  <c r="HA177" i="5" s="1"/>
  <c r="HB177" i="5"/>
  <c r="D79" i="4"/>
  <c r="GZ177" i="5" s="1"/>
  <c r="C79" i="4"/>
  <c r="GY177" i="5" s="1"/>
  <c r="E83" i="4"/>
  <c r="AX178" i="5" s="1"/>
  <c r="AY178" i="5"/>
  <c r="D83" i="4"/>
  <c r="AW178" i="5" s="1"/>
  <c r="C83" i="4"/>
  <c r="AV178" i="5" s="1"/>
  <c r="E87" i="4"/>
  <c r="EL178" i="5" s="1"/>
  <c r="EM178" i="5"/>
  <c r="C87" i="4"/>
  <c r="EJ178" i="5" s="1"/>
  <c r="D87" i="4"/>
  <c r="EK178" i="5" s="1"/>
  <c r="IA178" i="5"/>
  <c r="D91" i="4"/>
  <c r="HY178" i="5" s="1"/>
  <c r="E91" i="4"/>
  <c r="HZ178" i="5" s="1"/>
  <c r="C91" i="4"/>
  <c r="HX178" i="5" s="1"/>
  <c r="BX179" i="5"/>
  <c r="D95" i="4"/>
  <c r="BV179" i="5" s="1"/>
  <c r="E95" i="4"/>
  <c r="BW179" i="5" s="1"/>
  <c r="C95" i="4"/>
  <c r="BU179" i="5" s="1"/>
  <c r="FL179" i="5"/>
  <c r="D99" i="4"/>
  <c r="FJ179" i="5" s="1"/>
  <c r="E99" i="4"/>
  <c r="FK179" i="5" s="1"/>
  <c r="C99" i="4"/>
  <c r="FI179" i="5" s="1"/>
  <c r="I180" i="5"/>
  <c r="D103" i="4"/>
  <c r="G180" i="5" s="1"/>
  <c r="C103" i="4"/>
  <c r="F180" i="5" s="1"/>
  <c r="E103" i="4"/>
  <c r="H180" i="5" s="1"/>
  <c r="CW180" i="5"/>
  <c r="D107" i="4"/>
  <c r="CU180" i="5" s="1"/>
  <c r="E107" i="4"/>
  <c r="CV180" i="5" s="1"/>
  <c r="C107" i="4"/>
  <c r="CT180" i="5" s="1"/>
  <c r="GK180" i="5"/>
  <c r="D111" i="4"/>
  <c r="GI180" i="5" s="1"/>
  <c r="C111" i="4"/>
  <c r="GH180" i="5" s="1"/>
  <c r="E111" i="4"/>
  <c r="GJ180" i="5" s="1"/>
  <c r="AH181" i="5"/>
  <c r="D115" i="4"/>
  <c r="AF181" i="5" s="1"/>
  <c r="C115" i="4"/>
  <c r="AE181" i="5" s="1"/>
  <c r="E115" i="4"/>
  <c r="AG181" i="5" s="1"/>
  <c r="DV181" i="5"/>
  <c r="D119" i="4"/>
  <c r="DT181" i="5" s="1"/>
  <c r="C119" i="4"/>
  <c r="DS181" i="5" s="1"/>
  <c r="E119" i="4"/>
  <c r="DU181" i="5" s="1"/>
  <c r="HJ181" i="5"/>
  <c r="D123" i="4"/>
  <c r="HH181" i="5" s="1"/>
  <c r="C123" i="4"/>
  <c r="HG181" i="5" s="1"/>
  <c r="E123" i="4"/>
  <c r="HI181" i="5" s="1"/>
  <c r="BG182" i="5"/>
  <c r="D127" i="4"/>
  <c r="BE182" i="5" s="1"/>
  <c r="C127" i="4"/>
  <c r="BD182" i="5" s="1"/>
  <c r="E127" i="4"/>
  <c r="BF182" i="5" s="1"/>
  <c r="EU182" i="5"/>
  <c r="D131" i="4"/>
  <c r="ES182" i="5" s="1"/>
  <c r="C131" i="4"/>
  <c r="ER182" i="5" s="1"/>
  <c r="E131" i="4"/>
  <c r="ET182" i="5" s="1"/>
  <c r="II182" i="5"/>
  <c r="D135" i="4"/>
  <c r="IG182" i="5" s="1"/>
  <c r="C135" i="4"/>
  <c r="IF182" i="5" s="1"/>
  <c r="E135" i="4"/>
  <c r="IH182" i="5" s="1"/>
  <c r="CF183" i="5"/>
  <c r="C139" i="4"/>
  <c r="CC183" i="5" s="1"/>
  <c r="E139" i="4"/>
  <c r="CE183" i="5" s="1"/>
  <c r="D139" i="4"/>
  <c r="CD183" i="5" s="1"/>
  <c r="FT183" i="5"/>
  <c r="C143" i="4"/>
  <c r="FQ183" i="5" s="1"/>
  <c r="D143" i="4"/>
  <c r="FR183" i="5" s="1"/>
  <c r="E143" i="4"/>
  <c r="FS183" i="5" s="1"/>
  <c r="Q184" i="5"/>
  <c r="C147" i="4"/>
  <c r="N184" i="5" s="1"/>
  <c r="E147" i="4"/>
  <c r="P184" i="5" s="1"/>
  <c r="D147" i="4"/>
  <c r="O184" i="5" s="1"/>
  <c r="DE184" i="5"/>
  <c r="C151" i="4"/>
  <c r="DB184" i="5" s="1"/>
  <c r="D151" i="4"/>
  <c r="DC184" i="5" s="1"/>
  <c r="E151" i="4"/>
  <c r="DD184" i="5" s="1"/>
  <c r="GS184" i="5"/>
  <c r="C155" i="4"/>
  <c r="GP184" i="5" s="1"/>
  <c r="E155" i="4"/>
  <c r="GR184" i="5" s="1"/>
  <c r="D155" i="4"/>
  <c r="GQ184" i="5" s="1"/>
  <c r="AP185" i="5"/>
  <c r="C159" i="4"/>
  <c r="AM185" i="5" s="1"/>
  <c r="D159" i="4"/>
  <c r="AN185" i="5" s="1"/>
  <c r="E159" i="4"/>
  <c r="AO185" i="5" s="1"/>
  <c r="ED185" i="5"/>
  <c r="C163" i="4"/>
  <c r="EA185" i="5" s="1"/>
  <c r="E163" i="4"/>
  <c r="EC185" i="5" s="1"/>
  <c r="D163" i="4"/>
  <c r="EB185" i="5" s="1"/>
  <c r="HR185" i="5"/>
  <c r="C167" i="4"/>
  <c r="HO185" i="5" s="1"/>
  <c r="D167" i="4"/>
  <c r="HP185" i="5" s="1"/>
  <c r="E167" i="4"/>
  <c r="HQ185" i="5" s="1"/>
  <c r="BO186" i="5"/>
  <c r="C171" i="4"/>
  <c r="BL186" i="5" s="1"/>
  <c r="E171" i="4"/>
  <c r="BN186" i="5" s="1"/>
  <c r="D171" i="4"/>
  <c r="BM186" i="5" s="1"/>
  <c r="FC186" i="5"/>
  <c r="C175" i="4"/>
  <c r="EZ186" i="5" s="1"/>
  <c r="D175" i="4"/>
  <c r="FA186" i="5" s="1"/>
  <c r="E175" i="4"/>
  <c r="FB186" i="5" s="1"/>
  <c r="IQ186" i="5"/>
  <c r="C179" i="4"/>
  <c r="IN186" i="5" s="1"/>
  <c r="E179" i="4"/>
  <c r="IP186" i="5" s="1"/>
  <c r="D179" i="4"/>
  <c r="IO186" i="5" s="1"/>
  <c r="CN187" i="5"/>
  <c r="C183" i="4"/>
  <c r="CK187" i="5" s="1"/>
  <c r="D183" i="4"/>
  <c r="CL187" i="5" s="1"/>
  <c r="E183" i="4"/>
  <c r="CM187" i="5" s="1"/>
  <c r="GB187" i="5"/>
  <c r="C187" i="4"/>
  <c r="FY187" i="5" s="1"/>
  <c r="E187" i="4"/>
  <c r="GA187" i="5" s="1"/>
  <c r="D187" i="4"/>
  <c r="FZ187" i="5" s="1"/>
  <c r="Y188" i="5"/>
  <c r="C191" i="4"/>
  <c r="V188" i="5" s="1"/>
  <c r="D191" i="4"/>
  <c r="W188" i="5" s="1"/>
  <c r="E191" i="4"/>
  <c r="X188" i="5" s="1"/>
  <c r="DM188" i="5"/>
  <c r="C195" i="4"/>
  <c r="DJ188" i="5" s="1"/>
  <c r="E195" i="4"/>
  <c r="DL188" i="5" s="1"/>
  <c r="D195" i="4"/>
  <c r="DK188" i="5" s="1"/>
  <c r="HA188" i="5"/>
  <c r="C199" i="4"/>
  <c r="GX188" i="5" s="1"/>
  <c r="D199" i="4"/>
  <c r="GY188" i="5" s="1"/>
  <c r="E199" i="4"/>
  <c r="GZ188" i="5" s="1"/>
  <c r="AX189" i="5"/>
  <c r="C203" i="4"/>
  <c r="AU189" i="5" s="1"/>
  <c r="E203" i="4"/>
  <c r="AW189" i="5" s="1"/>
  <c r="D203" i="4"/>
  <c r="AV189" i="5" s="1"/>
  <c r="EL189" i="5"/>
  <c r="C207" i="4"/>
  <c r="EI189" i="5" s="1"/>
  <c r="D207" i="4"/>
  <c r="EJ189" i="5" s="1"/>
  <c r="E207" i="4"/>
  <c r="EK189" i="5" s="1"/>
  <c r="HZ189" i="5"/>
  <c r="C211" i="4"/>
  <c r="HW189" i="5" s="1"/>
  <c r="E211" i="4"/>
  <c r="HY189" i="5" s="1"/>
  <c r="D211" i="4"/>
  <c r="HX189" i="5" s="1"/>
  <c r="BW190" i="5"/>
  <c r="C215" i="4"/>
  <c r="BT190" i="5" s="1"/>
  <c r="D215" i="4"/>
  <c r="BU190" i="5" s="1"/>
  <c r="E215" i="4"/>
  <c r="BV190" i="5" s="1"/>
  <c r="FK190" i="5"/>
  <c r="C219" i="4"/>
  <c r="FH190" i="5" s="1"/>
  <c r="E219" i="4"/>
  <c r="FJ190" i="5" s="1"/>
  <c r="D219" i="4"/>
  <c r="FI190" i="5" s="1"/>
  <c r="C223" i="4"/>
  <c r="IV190" i="5" s="1"/>
  <c r="D223" i="4"/>
  <c r="F191" i="5" s="1"/>
  <c r="H191" i="5"/>
  <c r="E223" i="4"/>
  <c r="G191" i="5" s="1"/>
  <c r="C227" i="4"/>
  <c r="CS191" i="5" s="1"/>
  <c r="D227" i="4"/>
  <c r="CT191" i="5" s="1"/>
  <c r="CV191" i="5"/>
  <c r="E227" i="4"/>
  <c r="CU191" i="5" s="1"/>
  <c r="C231" i="4"/>
  <c r="GG191" i="5" s="1"/>
  <c r="D231" i="4"/>
  <c r="GH191" i="5" s="1"/>
  <c r="GJ191" i="5"/>
  <c r="E231" i="4"/>
  <c r="GI191" i="5" s="1"/>
  <c r="C235" i="4"/>
  <c r="AD192" i="5" s="1"/>
  <c r="AG192" i="5"/>
  <c r="E235" i="4"/>
  <c r="AF192" i="5" s="1"/>
  <c r="D235" i="4"/>
  <c r="AE192" i="5" s="1"/>
  <c r="C239" i="4"/>
  <c r="DR192" i="5" s="1"/>
  <c r="E239" i="4"/>
  <c r="DT192" i="5" s="1"/>
  <c r="D239" i="4"/>
  <c r="DS192" i="5" s="1"/>
  <c r="C243" i="4"/>
  <c r="HF192" i="5" s="1"/>
  <c r="HI192" i="5"/>
  <c r="D243" i="4"/>
  <c r="HG192" i="5" s="1"/>
  <c r="E243" i="4"/>
  <c r="HH192" i="5" s="1"/>
  <c r="C247" i="4"/>
  <c r="BC193" i="5" s="1"/>
  <c r="BF193" i="5"/>
  <c r="D247" i="4"/>
  <c r="BD193" i="5" s="1"/>
  <c r="E247" i="4"/>
  <c r="BE193" i="5" s="1"/>
  <c r="C251" i="4"/>
  <c r="EQ193" i="5" s="1"/>
  <c r="ET193" i="5"/>
  <c r="E251" i="4"/>
  <c r="ES193" i="5" s="1"/>
  <c r="D251" i="4"/>
  <c r="ER193" i="5" s="1"/>
  <c r="C255" i="4"/>
  <c r="IE193" i="5" s="1"/>
  <c r="IH193" i="5"/>
  <c r="E255" i="4"/>
  <c r="IG193" i="5" s="1"/>
  <c r="D255" i="4"/>
  <c r="IF193" i="5" s="1"/>
  <c r="C259" i="4"/>
  <c r="CB194" i="5" s="1"/>
  <c r="CE194" i="5"/>
  <c r="D259" i="4"/>
  <c r="CC194" i="5" s="1"/>
  <c r="E259" i="4"/>
  <c r="CD194" i="5" s="1"/>
  <c r="C263" i="4"/>
  <c r="FP194" i="5" s="1"/>
  <c r="FS194" i="5"/>
  <c r="D263" i="4"/>
  <c r="FQ194" i="5" s="1"/>
  <c r="E263" i="4"/>
  <c r="FR194" i="5" s="1"/>
  <c r="D267" i="4"/>
  <c r="N195" i="5" s="1"/>
  <c r="E267" i="4"/>
  <c r="O195" i="5" s="1"/>
  <c r="P195" i="5"/>
  <c r="C267" i="4"/>
  <c r="M195" i="5" s="1"/>
  <c r="D271" i="4"/>
  <c r="DB195" i="5" s="1"/>
  <c r="E271" i="4"/>
  <c r="DC195" i="5" s="1"/>
  <c r="DD195" i="5"/>
  <c r="C271" i="4"/>
  <c r="DA195" i="5" s="1"/>
  <c r="D275" i="4"/>
  <c r="GP195" i="5" s="1"/>
  <c r="E275" i="4"/>
  <c r="GQ195" i="5" s="1"/>
  <c r="GR195" i="5"/>
  <c r="C275" i="4"/>
  <c r="GO195" i="5" s="1"/>
  <c r="D279" i="4"/>
  <c r="AM196" i="5" s="1"/>
  <c r="E279" i="4"/>
  <c r="AN196" i="5" s="1"/>
  <c r="AO196" i="5"/>
  <c r="C279" i="4"/>
  <c r="AL196" i="5" s="1"/>
  <c r="D283" i="4"/>
  <c r="EA196" i="5" s="1"/>
  <c r="E283" i="4"/>
  <c r="EB196" i="5" s="1"/>
  <c r="EC196" i="5"/>
  <c r="C283" i="4"/>
  <c r="DZ196" i="5" s="1"/>
  <c r="D287" i="4"/>
  <c r="HO196" i="5" s="1"/>
  <c r="E287" i="4"/>
  <c r="HP196" i="5" s="1"/>
  <c r="HQ196" i="5"/>
  <c r="C287" i="4"/>
  <c r="HN196" i="5" s="1"/>
  <c r="D291" i="4"/>
  <c r="BL197" i="5" s="1"/>
  <c r="E291" i="4"/>
  <c r="BM197" i="5" s="1"/>
  <c r="BN197" i="5"/>
  <c r="C291" i="4"/>
  <c r="BK197" i="5" s="1"/>
  <c r="D295" i="4"/>
  <c r="EZ197" i="5" s="1"/>
  <c r="E295" i="4"/>
  <c r="FA197" i="5" s="1"/>
  <c r="FB197" i="5"/>
  <c r="C295" i="4"/>
  <c r="EY197" i="5" s="1"/>
  <c r="D299" i="4"/>
  <c r="IN197" i="5" s="1"/>
  <c r="E299" i="4"/>
  <c r="IO197" i="5" s="1"/>
  <c r="IP197" i="5"/>
  <c r="C299" i="4"/>
  <c r="IM197" i="5" s="1"/>
  <c r="D303" i="4"/>
  <c r="CK198" i="5" s="1"/>
  <c r="E303" i="4"/>
  <c r="CL198" i="5" s="1"/>
  <c r="CM198" i="5"/>
  <c r="C303" i="4"/>
  <c r="CJ198" i="5" s="1"/>
  <c r="D307" i="4"/>
  <c r="FY198" i="5" s="1"/>
  <c r="E307" i="4"/>
  <c r="FZ198" i="5" s="1"/>
  <c r="GA198" i="5"/>
  <c r="C307" i="4"/>
  <c r="FX198" i="5" s="1"/>
  <c r="D311" i="4"/>
  <c r="V199" i="5" s="1"/>
  <c r="E311" i="4"/>
  <c r="W199" i="5" s="1"/>
  <c r="X199" i="5"/>
  <c r="C311" i="4"/>
  <c r="U199" i="5" s="1"/>
  <c r="D315" i="4"/>
  <c r="DJ199" i="5" s="1"/>
  <c r="E315" i="4"/>
  <c r="DK199" i="5" s="1"/>
  <c r="DL199" i="5"/>
  <c r="C315" i="4"/>
  <c r="DI199" i="5" s="1"/>
  <c r="D319" i="4"/>
  <c r="GX199" i="5" s="1"/>
  <c r="E319" i="4"/>
  <c r="GY199" i="5" s="1"/>
  <c r="GZ199" i="5"/>
  <c r="C319" i="4"/>
  <c r="GW199" i="5" s="1"/>
  <c r="D323" i="4"/>
  <c r="AU200" i="5" s="1"/>
  <c r="E323" i="4"/>
  <c r="AV200" i="5" s="1"/>
  <c r="AW200" i="5"/>
  <c r="C323" i="4"/>
  <c r="AT200" i="5" s="1"/>
  <c r="D327" i="4"/>
  <c r="EI200" i="5" s="1"/>
  <c r="E327" i="4"/>
  <c r="EJ200" i="5" s="1"/>
  <c r="EK200" i="5"/>
  <c r="C327" i="4"/>
  <c r="EH200" i="5" s="1"/>
  <c r="D331" i="4"/>
  <c r="HW200" i="5" s="1"/>
  <c r="E331" i="4"/>
  <c r="HX200" i="5" s="1"/>
  <c r="HY200" i="5"/>
  <c r="C331" i="4"/>
  <c r="HV200" i="5" s="1"/>
  <c r="D335" i="4"/>
  <c r="BT201" i="5" s="1"/>
  <c r="E335" i="4"/>
  <c r="BU201" i="5" s="1"/>
  <c r="BV201" i="5"/>
  <c r="C335" i="4"/>
  <c r="BS201" i="5" s="1"/>
  <c r="D339" i="4"/>
  <c r="FH201" i="5" s="1"/>
  <c r="E339" i="4"/>
  <c r="FI201" i="5" s="1"/>
  <c r="FJ201" i="5"/>
  <c r="C339" i="4"/>
  <c r="FG201" i="5" s="1"/>
  <c r="D343" i="4"/>
  <c r="IV201" i="5" s="1"/>
  <c r="E343" i="4"/>
  <c r="F202" i="5" s="1"/>
  <c r="G202" i="5"/>
  <c r="C343" i="4"/>
  <c r="IU201" i="5" s="1"/>
  <c r="D347" i="4"/>
  <c r="CS202" i="5" s="1"/>
  <c r="E347" i="4"/>
  <c r="CT202" i="5" s="1"/>
  <c r="CU202" i="5"/>
  <c r="C347" i="4"/>
  <c r="CR202" i="5" s="1"/>
  <c r="D351" i="4"/>
  <c r="GG202" i="5" s="1"/>
  <c r="E351" i="4"/>
  <c r="GH202" i="5" s="1"/>
  <c r="GI202" i="5"/>
  <c r="C351" i="4"/>
  <c r="GF202" i="5" s="1"/>
  <c r="D355" i="4"/>
  <c r="AD203" i="5" s="1"/>
  <c r="E355" i="4"/>
  <c r="AE203" i="5" s="1"/>
  <c r="AF203" i="5"/>
  <c r="C355" i="4"/>
  <c r="AC203" i="5" s="1"/>
  <c r="D359" i="4"/>
  <c r="DR203" i="5" s="1"/>
  <c r="E359" i="4"/>
  <c r="DS203" i="5" s="1"/>
  <c r="DT203" i="5"/>
  <c r="C359" i="4"/>
  <c r="DQ203" i="5" s="1"/>
  <c r="D363" i="4"/>
  <c r="HF203" i="5" s="1"/>
  <c r="E363" i="4"/>
  <c r="HG203" i="5" s="1"/>
  <c r="HH203" i="5"/>
  <c r="C363" i="4"/>
  <c r="HE203" i="5" s="1"/>
  <c r="D367" i="4"/>
  <c r="BC204" i="5" s="1"/>
  <c r="E367" i="4"/>
  <c r="BD204" i="5" s="1"/>
  <c r="BE204" i="5"/>
  <c r="C367" i="4"/>
  <c r="BB204" i="5" s="1"/>
  <c r="D371" i="4"/>
  <c r="EQ204" i="5" s="1"/>
  <c r="E371" i="4"/>
  <c r="ER204" i="5" s="1"/>
  <c r="ES204" i="5"/>
  <c r="C371" i="4"/>
  <c r="EP204" i="5" s="1"/>
  <c r="D375" i="4"/>
  <c r="IE204" i="5" s="1"/>
  <c r="E375" i="4"/>
  <c r="IF204" i="5" s="1"/>
  <c r="IG204" i="5"/>
  <c r="C375" i="4"/>
  <c r="ID204" i="5" s="1"/>
  <c r="D379" i="4"/>
  <c r="CB205" i="5" s="1"/>
  <c r="E379" i="4"/>
  <c r="CC205" i="5" s="1"/>
  <c r="CD205" i="5"/>
  <c r="C379" i="4"/>
  <c r="CA205" i="5" s="1"/>
  <c r="D383" i="4"/>
  <c r="FP205" i="5" s="1"/>
  <c r="E383" i="4"/>
  <c r="FQ205" i="5" s="1"/>
  <c r="FR205" i="5"/>
  <c r="C383" i="4"/>
  <c r="FO205" i="5" s="1"/>
  <c r="E387" i="4"/>
  <c r="N206" i="5" s="1"/>
  <c r="D387" i="4"/>
  <c r="M206" i="5" s="1"/>
  <c r="C387" i="4"/>
  <c r="L206" i="5" s="1"/>
  <c r="O206" i="5"/>
  <c r="E391" i="4"/>
  <c r="DB206" i="5" s="1"/>
  <c r="D391" i="4"/>
  <c r="DA206" i="5" s="1"/>
  <c r="C391" i="4"/>
  <c r="CZ206" i="5" s="1"/>
  <c r="DC206" i="5"/>
  <c r="E395" i="4"/>
  <c r="GP206" i="5" s="1"/>
  <c r="D395" i="4"/>
  <c r="GO206" i="5" s="1"/>
  <c r="C395" i="4"/>
  <c r="GN206" i="5" s="1"/>
  <c r="GQ206" i="5"/>
  <c r="E399" i="4"/>
  <c r="AM207" i="5" s="1"/>
  <c r="D399" i="4"/>
  <c r="AL207" i="5" s="1"/>
  <c r="C399" i="4"/>
  <c r="AK207" i="5" s="1"/>
  <c r="AN207" i="5"/>
  <c r="E403" i="4"/>
  <c r="EA207" i="5" s="1"/>
  <c r="D403" i="4"/>
  <c r="DZ207" i="5" s="1"/>
  <c r="C403" i="4"/>
  <c r="DY207" i="5" s="1"/>
  <c r="EB207" i="5"/>
  <c r="E407" i="4"/>
  <c r="HO207" i="5" s="1"/>
  <c r="D407" i="4"/>
  <c r="HN207" i="5" s="1"/>
  <c r="C407" i="4"/>
  <c r="HM207" i="5" s="1"/>
  <c r="HP207" i="5"/>
  <c r="E411" i="4"/>
  <c r="BL208" i="5" s="1"/>
  <c r="D411" i="4"/>
  <c r="BK208" i="5" s="1"/>
  <c r="C411" i="4"/>
  <c r="BJ208" i="5" s="1"/>
  <c r="BM208" i="5"/>
  <c r="E415" i="4"/>
  <c r="EZ208" i="5" s="1"/>
  <c r="D415" i="4"/>
  <c r="EY208" i="5" s="1"/>
  <c r="C415" i="4"/>
  <c r="EX208" i="5" s="1"/>
  <c r="FA208" i="5"/>
  <c r="E419" i="4"/>
  <c r="IN208" i="5" s="1"/>
  <c r="D419" i="4"/>
  <c r="IM208" i="5" s="1"/>
  <c r="C419" i="4"/>
  <c r="IL208" i="5" s="1"/>
  <c r="IO208" i="5"/>
  <c r="E423" i="4"/>
  <c r="CK209" i="5" s="1"/>
  <c r="D423" i="4"/>
  <c r="CJ209" i="5" s="1"/>
  <c r="C423" i="4"/>
  <c r="CI209" i="5" s="1"/>
  <c r="CL209" i="5"/>
  <c r="E427" i="4"/>
  <c r="FY209" i="5" s="1"/>
  <c r="D427" i="4"/>
  <c r="FX209" i="5" s="1"/>
  <c r="C427" i="4"/>
  <c r="FW209" i="5" s="1"/>
  <c r="FZ209" i="5"/>
  <c r="E431" i="4"/>
  <c r="V210" i="5" s="1"/>
  <c r="D431" i="4"/>
  <c r="U210" i="5" s="1"/>
  <c r="C431" i="4"/>
  <c r="T210" i="5" s="1"/>
  <c r="W210" i="5"/>
  <c r="E435" i="4"/>
  <c r="DJ210" i="5" s="1"/>
  <c r="D435" i="4"/>
  <c r="DI210" i="5" s="1"/>
  <c r="C435" i="4"/>
  <c r="DH210" i="5" s="1"/>
  <c r="DK210" i="5"/>
  <c r="E439" i="4"/>
  <c r="GX210" i="5" s="1"/>
  <c r="D439" i="4"/>
  <c r="GW210" i="5" s="1"/>
  <c r="C439" i="4"/>
  <c r="GV210" i="5" s="1"/>
  <c r="GY210" i="5"/>
  <c r="E443" i="4"/>
  <c r="AU211" i="5" s="1"/>
  <c r="D443" i="4"/>
  <c r="AT211" i="5" s="1"/>
  <c r="C443" i="4"/>
  <c r="AS211" i="5" s="1"/>
  <c r="AV211" i="5"/>
  <c r="E447" i="4"/>
  <c r="EI211" i="5" s="1"/>
  <c r="D447" i="4"/>
  <c r="EH211" i="5" s="1"/>
  <c r="C447" i="4"/>
  <c r="EG211" i="5" s="1"/>
  <c r="EJ211" i="5"/>
  <c r="E451" i="4"/>
  <c r="HW211" i="5" s="1"/>
  <c r="D451" i="4"/>
  <c r="HV211" i="5" s="1"/>
  <c r="C451" i="4"/>
  <c r="HU211" i="5" s="1"/>
  <c r="HX211" i="5"/>
  <c r="E455" i="4"/>
  <c r="BT212" i="5" s="1"/>
  <c r="D455" i="4"/>
  <c r="BS212" i="5" s="1"/>
  <c r="C455" i="4"/>
  <c r="BR212" i="5" s="1"/>
  <c r="BU212" i="5"/>
  <c r="E459" i="4"/>
  <c r="FH212" i="5" s="1"/>
  <c r="D459" i="4"/>
  <c r="FG212" i="5" s="1"/>
  <c r="C459" i="4"/>
  <c r="FF212" i="5" s="1"/>
  <c r="FI212" i="5"/>
  <c r="E463" i="4"/>
  <c r="IV212" i="5" s="1"/>
  <c r="D463" i="4"/>
  <c r="IU212" i="5" s="1"/>
  <c r="C463" i="4"/>
  <c r="IT212" i="5" s="1"/>
  <c r="F213" i="5"/>
  <c r="E467" i="4"/>
  <c r="CS213" i="5" s="1"/>
  <c r="D467" i="4"/>
  <c r="CR213" i="5" s="1"/>
  <c r="C467" i="4"/>
  <c r="CQ213" i="5" s="1"/>
  <c r="CT213" i="5"/>
  <c r="D471" i="4"/>
  <c r="GF213" i="5" s="1"/>
  <c r="C471" i="4"/>
  <c r="GE213" i="5" s="1"/>
  <c r="E471" i="4"/>
  <c r="GG213" i="5" s="1"/>
  <c r="GH213" i="5"/>
  <c r="D475" i="4"/>
  <c r="AC214" i="5" s="1"/>
  <c r="C475" i="4"/>
  <c r="AB214" i="5" s="1"/>
  <c r="E475" i="4"/>
  <c r="AD214" i="5" s="1"/>
  <c r="AE214" i="5"/>
  <c r="D479" i="4"/>
  <c r="DQ214" i="5" s="1"/>
  <c r="C479" i="4"/>
  <c r="DP214" i="5" s="1"/>
  <c r="E479" i="4"/>
  <c r="DR214" i="5" s="1"/>
  <c r="DS214" i="5"/>
  <c r="D483" i="4"/>
  <c r="HE214" i="5" s="1"/>
  <c r="C483" i="4"/>
  <c r="HD214" i="5" s="1"/>
  <c r="E483" i="4"/>
  <c r="HF214" i="5" s="1"/>
  <c r="HG214" i="5"/>
  <c r="D487" i="4"/>
  <c r="BB215" i="5" s="1"/>
  <c r="C487" i="4"/>
  <c r="BA215" i="5" s="1"/>
  <c r="E487" i="4"/>
  <c r="BC215" i="5" s="1"/>
  <c r="BD215" i="5"/>
  <c r="D491" i="4"/>
  <c r="EP215" i="5" s="1"/>
  <c r="C491" i="4"/>
  <c r="EO215" i="5" s="1"/>
  <c r="E491" i="4"/>
  <c r="EQ215" i="5" s="1"/>
  <c r="ER215" i="5"/>
  <c r="D495" i="4"/>
  <c r="ID215" i="5" s="1"/>
  <c r="C495" i="4"/>
  <c r="IC215" i="5" s="1"/>
  <c r="E495" i="4"/>
  <c r="IE215" i="5" s="1"/>
  <c r="IF215" i="5"/>
  <c r="D499" i="4"/>
  <c r="CA216" i="5" s="1"/>
  <c r="C499" i="4"/>
  <c r="BZ216" i="5" s="1"/>
  <c r="E499" i="4"/>
  <c r="CB216" i="5" s="1"/>
  <c r="CC216" i="5"/>
  <c r="D503" i="4"/>
  <c r="FO216" i="5" s="1"/>
  <c r="C503" i="4"/>
  <c r="FN216" i="5" s="1"/>
  <c r="E503" i="4"/>
  <c r="FP216" i="5" s="1"/>
  <c r="FQ216" i="5"/>
  <c r="D507" i="4"/>
  <c r="L217" i="5" s="1"/>
  <c r="C507" i="4"/>
  <c r="K217" i="5" s="1"/>
  <c r="E507" i="4"/>
  <c r="M217" i="5" s="1"/>
  <c r="N217" i="5"/>
  <c r="D511" i="4"/>
  <c r="CZ217" i="5" s="1"/>
  <c r="C511" i="4"/>
  <c r="CY217" i="5" s="1"/>
  <c r="E511" i="4"/>
  <c r="DA217" i="5" s="1"/>
  <c r="DB217" i="5"/>
  <c r="D515" i="4"/>
  <c r="GN217" i="5" s="1"/>
  <c r="C515" i="4"/>
  <c r="GM217" i="5" s="1"/>
  <c r="E515" i="4"/>
  <c r="GO217" i="5" s="1"/>
  <c r="GP217" i="5"/>
  <c r="D519" i="4"/>
  <c r="AK218" i="5" s="1"/>
  <c r="C519" i="4"/>
  <c r="AJ218" i="5" s="1"/>
  <c r="E519" i="4"/>
  <c r="AL218" i="5" s="1"/>
  <c r="AM218" i="5"/>
  <c r="D523" i="4"/>
  <c r="DY218" i="5" s="1"/>
  <c r="C523" i="4"/>
  <c r="DX218" i="5" s="1"/>
  <c r="E523" i="4"/>
  <c r="DZ218" i="5" s="1"/>
  <c r="EA218" i="5"/>
  <c r="D527" i="4"/>
  <c r="HM218" i="5" s="1"/>
  <c r="C527" i="4"/>
  <c r="HL218" i="5" s="1"/>
  <c r="E527" i="4"/>
  <c r="HN218" i="5" s="1"/>
  <c r="HO218" i="5"/>
  <c r="D531" i="4"/>
  <c r="BJ219" i="5" s="1"/>
  <c r="C531" i="4"/>
  <c r="BI219" i="5" s="1"/>
  <c r="E531" i="4"/>
  <c r="BK219" i="5" s="1"/>
  <c r="BL219" i="5"/>
  <c r="D535" i="4"/>
  <c r="EX219" i="5" s="1"/>
  <c r="C535" i="4"/>
  <c r="EW219" i="5" s="1"/>
  <c r="E535" i="4"/>
  <c r="EY219" i="5" s="1"/>
  <c r="EZ219" i="5"/>
  <c r="D539" i="4"/>
  <c r="IL219" i="5" s="1"/>
  <c r="C539" i="4"/>
  <c r="IK219" i="5" s="1"/>
  <c r="E539" i="4"/>
  <c r="IM219" i="5" s="1"/>
  <c r="IN219" i="5"/>
  <c r="D543" i="4"/>
  <c r="CI220" i="5" s="1"/>
  <c r="C543" i="4"/>
  <c r="CH220" i="5" s="1"/>
  <c r="E543" i="4"/>
  <c r="CJ220" i="5" s="1"/>
  <c r="CK220" i="5"/>
  <c r="D547" i="4"/>
  <c r="FW220" i="5" s="1"/>
  <c r="C547" i="4"/>
  <c r="FV220" i="5" s="1"/>
  <c r="E547" i="4"/>
  <c r="FX220" i="5" s="1"/>
  <c r="FY220" i="5"/>
  <c r="D551" i="4"/>
  <c r="T221" i="5" s="1"/>
  <c r="C551" i="4"/>
  <c r="S221" i="5" s="1"/>
  <c r="E551" i="4"/>
  <c r="U221" i="5" s="1"/>
  <c r="V221" i="5"/>
  <c r="D555" i="4"/>
  <c r="DH221" i="5" s="1"/>
  <c r="C555" i="4"/>
  <c r="DG221" i="5" s="1"/>
  <c r="E555" i="4"/>
  <c r="DI221" i="5" s="1"/>
  <c r="DJ221" i="5"/>
  <c r="D559" i="4"/>
  <c r="GV221" i="5" s="1"/>
  <c r="C559" i="4"/>
  <c r="GU221" i="5" s="1"/>
  <c r="E559" i="4"/>
  <c r="GW221" i="5" s="1"/>
  <c r="GX221" i="5"/>
  <c r="D563" i="4"/>
  <c r="AS222" i="5" s="1"/>
  <c r="C563" i="4"/>
  <c r="AR222" i="5" s="1"/>
  <c r="E563" i="4"/>
  <c r="AT222" i="5" s="1"/>
  <c r="AU222" i="5"/>
  <c r="D567" i="4"/>
  <c r="EG222" i="5" s="1"/>
  <c r="C567" i="4"/>
  <c r="EF222" i="5" s="1"/>
  <c r="E567" i="4"/>
  <c r="EH222" i="5" s="1"/>
  <c r="EI222" i="5"/>
  <c r="D571" i="4"/>
  <c r="HU222" i="5" s="1"/>
  <c r="C571" i="4"/>
  <c r="HT222" i="5" s="1"/>
  <c r="E571" i="4"/>
  <c r="HV222" i="5" s="1"/>
  <c r="HW222" i="5"/>
  <c r="D575" i="4"/>
  <c r="BR223" i="5" s="1"/>
  <c r="C575" i="4"/>
  <c r="BQ223" i="5" s="1"/>
  <c r="E575" i="4"/>
  <c r="BS223" i="5" s="1"/>
  <c r="BT223" i="5"/>
  <c r="C579" i="4"/>
  <c r="FE223" i="5" s="1"/>
  <c r="D579" i="4"/>
  <c r="FF223" i="5" s="1"/>
  <c r="FH223" i="5"/>
  <c r="E579" i="4"/>
  <c r="FG223" i="5" s="1"/>
  <c r="C583" i="4"/>
  <c r="IS223" i="5" s="1"/>
  <c r="D583" i="4"/>
  <c r="IT223" i="5" s="1"/>
  <c r="IV223" i="5"/>
  <c r="E583" i="4"/>
  <c r="IU223" i="5" s="1"/>
  <c r="C587" i="4"/>
  <c r="CP224" i="5" s="1"/>
  <c r="D587" i="4"/>
  <c r="CQ224" i="5" s="1"/>
  <c r="CS224" i="5"/>
  <c r="E587" i="4"/>
  <c r="CR224" i="5" s="1"/>
  <c r="GG224" i="5"/>
  <c r="D591" i="4"/>
  <c r="GE224" i="5" s="1"/>
  <c r="E591" i="4"/>
  <c r="GF224" i="5" s="1"/>
  <c r="C591" i="4"/>
  <c r="GD224" i="5" s="1"/>
  <c r="AD225" i="5"/>
  <c r="D595" i="4"/>
  <c r="AB225" i="5" s="1"/>
  <c r="E595" i="4"/>
  <c r="AC225" i="5" s="1"/>
  <c r="C595" i="4"/>
  <c r="AA225" i="5" s="1"/>
  <c r="DR225" i="5"/>
  <c r="D599" i="4"/>
  <c r="DP225" i="5" s="1"/>
  <c r="E599" i="4"/>
  <c r="DQ225" i="5" s="1"/>
  <c r="C599" i="4"/>
  <c r="DO225" i="5" s="1"/>
  <c r="HF225" i="5"/>
  <c r="D603" i="4"/>
  <c r="HD225" i="5" s="1"/>
  <c r="E603" i="4"/>
  <c r="HE225" i="5" s="1"/>
  <c r="C603" i="4"/>
  <c r="HC225" i="5" s="1"/>
  <c r="BC226" i="5"/>
  <c r="D607" i="4"/>
  <c r="BA226" i="5" s="1"/>
  <c r="E607" i="4"/>
  <c r="BB226" i="5" s="1"/>
  <c r="C607" i="4"/>
  <c r="AZ226" i="5" s="1"/>
  <c r="EQ226" i="5"/>
  <c r="D611" i="4"/>
  <c r="EO226" i="5" s="1"/>
  <c r="E611" i="4"/>
  <c r="EP226" i="5" s="1"/>
  <c r="C611" i="4"/>
  <c r="EN226" i="5" s="1"/>
  <c r="IE226" i="5"/>
  <c r="D615" i="4"/>
  <c r="IC226" i="5" s="1"/>
  <c r="E615" i="4"/>
  <c r="ID226" i="5" s="1"/>
  <c r="C615" i="4"/>
  <c r="IB226" i="5" s="1"/>
  <c r="CB227" i="5"/>
  <c r="D619" i="4"/>
  <c r="BZ227" i="5" s="1"/>
  <c r="E619" i="4"/>
  <c r="CA227" i="5" s="1"/>
  <c r="C619" i="4"/>
  <c r="BY227" i="5" s="1"/>
  <c r="FP227" i="5"/>
  <c r="D623" i="4"/>
  <c r="FN227" i="5" s="1"/>
  <c r="E623" i="4"/>
  <c r="FO227" i="5" s="1"/>
  <c r="C623" i="4"/>
  <c r="FM227" i="5" s="1"/>
  <c r="M228" i="5"/>
  <c r="D627" i="4"/>
  <c r="K228" i="5" s="1"/>
  <c r="E627" i="4"/>
  <c r="L228" i="5" s="1"/>
  <c r="C627" i="4"/>
  <c r="J228" i="5" s="1"/>
  <c r="DA228" i="5"/>
  <c r="D631" i="4"/>
  <c r="CY228" i="5" s="1"/>
  <c r="E631" i="4"/>
  <c r="CZ228" i="5" s="1"/>
  <c r="C631" i="4"/>
  <c r="CX228" i="5" s="1"/>
  <c r="GO228" i="5"/>
  <c r="D635" i="4"/>
  <c r="GM228" i="5" s="1"/>
  <c r="E635" i="4"/>
  <c r="GN228" i="5" s="1"/>
  <c r="C635" i="4"/>
  <c r="GL228" i="5" s="1"/>
  <c r="AL229" i="5"/>
  <c r="D639" i="4"/>
  <c r="AJ229" i="5" s="1"/>
  <c r="E639" i="4"/>
  <c r="AK229" i="5" s="1"/>
  <c r="C639" i="4"/>
  <c r="AI229" i="5" s="1"/>
  <c r="DZ229" i="5"/>
  <c r="D643" i="4"/>
  <c r="DX229" i="5" s="1"/>
  <c r="E643" i="4"/>
  <c r="DY229" i="5" s="1"/>
  <c r="C643" i="4"/>
  <c r="DW229" i="5" s="1"/>
  <c r="HN229" i="5"/>
  <c r="D647" i="4"/>
  <c r="HL229" i="5" s="1"/>
  <c r="E647" i="4"/>
  <c r="HM229" i="5" s="1"/>
  <c r="C647" i="4"/>
  <c r="HK229" i="5" s="1"/>
  <c r="BK230" i="5"/>
  <c r="D651" i="4"/>
  <c r="BI230" i="5" s="1"/>
  <c r="E651" i="4"/>
  <c r="BJ230" i="5" s="1"/>
  <c r="C651" i="4"/>
  <c r="BH230" i="5" s="1"/>
  <c r="EY230" i="5"/>
  <c r="D655" i="4"/>
  <c r="EW230" i="5" s="1"/>
  <c r="E655" i="4"/>
  <c r="EX230" i="5" s="1"/>
  <c r="C655" i="4"/>
  <c r="EV230" i="5" s="1"/>
  <c r="IM230" i="5"/>
  <c r="D659" i="4"/>
  <c r="IK230" i="5" s="1"/>
  <c r="E659" i="4"/>
  <c r="IL230" i="5" s="1"/>
  <c r="C659" i="4"/>
  <c r="IJ230" i="5" s="1"/>
  <c r="CJ231" i="5"/>
  <c r="D663" i="4"/>
  <c r="CH231" i="5" s="1"/>
  <c r="E663" i="4"/>
  <c r="CI231" i="5" s="1"/>
  <c r="C663" i="4"/>
  <c r="CG231" i="5" s="1"/>
  <c r="FX231" i="5"/>
  <c r="D667" i="4"/>
  <c r="FV231" i="5" s="1"/>
  <c r="E667" i="4"/>
  <c r="FW231" i="5" s="1"/>
  <c r="C667" i="4"/>
  <c r="FU231" i="5" s="1"/>
  <c r="U232" i="5"/>
  <c r="D671" i="4"/>
  <c r="S232" i="5" s="1"/>
  <c r="C671" i="4"/>
  <c r="R232" i="5" s="1"/>
  <c r="DI232" i="5"/>
  <c r="D675" i="4"/>
  <c r="DG232" i="5" s="1"/>
  <c r="C675" i="4"/>
  <c r="DF232" i="5" s="1"/>
  <c r="GW232" i="5"/>
  <c r="D679" i="4"/>
  <c r="GU232" i="5" s="1"/>
  <c r="C679" i="4"/>
  <c r="GT232" i="5" s="1"/>
  <c r="AT233" i="5"/>
  <c r="C683" i="4"/>
  <c r="AQ233" i="5" s="1"/>
  <c r="EH233" i="5"/>
  <c r="C687" i="4"/>
  <c r="EE233" i="5" s="1"/>
  <c r="HV233" i="5"/>
  <c r="C691" i="4"/>
  <c r="HS233" i="5" s="1"/>
  <c r="BS234" i="5"/>
  <c r="C695" i="4"/>
  <c r="BP234" i="5" s="1"/>
  <c r="FG234" i="5"/>
  <c r="C699" i="4"/>
  <c r="FD234" i="5" s="1"/>
  <c r="D2" i="4"/>
  <c r="GL170" i="5" s="1"/>
  <c r="D691" i="4"/>
  <c r="HT233" i="5" s="1"/>
  <c r="D689" i="4"/>
  <c r="FZ233" i="5" s="1"/>
  <c r="E687" i="4"/>
  <c r="EG233" i="5" s="1"/>
  <c r="D677" i="4"/>
  <c r="FA232" i="5" s="1"/>
  <c r="E674" i="4"/>
  <c r="CK232" i="5" s="1"/>
  <c r="E8" i="4"/>
  <c r="CD171" i="5" s="1"/>
  <c r="C8" i="4"/>
  <c r="CB171" i="5" s="1"/>
  <c r="CE171" i="5"/>
  <c r="D8" i="4"/>
  <c r="CC171" i="5" s="1"/>
  <c r="E22" i="4"/>
  <c r="EW172" i="5" s="1"/>
  <c r="EX172" i="5"/>
  <c r="D22" i="4"/>
  <c r="EV172" i="5" s="1"/>
  <c r="C22" i="4"/>
  <c r="EU172" i="5" s="1"/>
  <c r="E38" i="4"/>
  <c r="S174" i="5" s="1"/>
  <c r="T174" i="5"/>
  <c r="D38" i="4"/>
  <c r="R174" i="5" s="1"/>
  <c r="C38" i="4"/>
  <c r="Q174" i="5" s="1"/>
  <c r="E54" i="4"/>
  <c r="EF175" i="5" s="1"/>
  <c r="D54" i="4"/>
  <c r="EE175" i="5" s="1"/>
  <c r="EG175" i="5"/>
  <c r="C54" i="4"/>
  <c r="ED175" i="5" s="1"/>
  <c r="E70" i="4"/>
  <c r="IS176" i="5" s="1"/>
  <c r="D70" i="4"/>
  <c r="IR176" i="5" s="1"/>
  <c r="C70" i="4"/>
  <c r="IQ176" i="5" s="1"/>
  <c r="IT176" i="5"/>
  <c r="HD178" i="5"/>
  <c r="C90" i="4"/>
  <c r="HA178" i="5" s="1"/>
  <c r="E90" i="4"/>
  <c r="HC178" i="5" s="1"/>
  <c r="D90" i="4"/>
  <c r="HB178" i="5" s="1"/>
  <c r="IC179" i="5"/>
  <c r="C102" i="4"/>
  <c r="HZ179" i="5" s="1"/>
  <c r="E102" i="4"/>
  <c r="IB179" i="5" s="1"/>
  <c r="D102" i="4"/>
  <c r="IA179" i="5" s="1"/>
  <c r="CY181" i="5"/>
  <c r="C118" i="4"/>
  <c r="CV181" i="5" s="1"/>
  <c r="E118" i="4"/>
  <c r="CX181" i="5" s="1"/>
  <c r="D118" i="4"/>
  <c r="CW181" i="5" s="1"/>
  <c r="DX182" i="5"/>
  <c r="C130" i="4"/>
  <c r="DU182" i="5" s="1"/>
  <c r="E130" i="4"/>
  <c r="DW182" i="5" s="1"/>
  <c r="D130" i="4"/>
  <c r="DV182" i="5" s="1"/>
  <c r="EW183" i="5"/>
  <c r="D142" i="4"/>
  <c r="EU183" i="5" s="1"/>
  <c r="E142" i="4"/>
  <c r="EV183" i="5" s="1"/>
  <c r="C142" i="4"/>
  <c r="ET183" i="5" s="1"/>
  <c r="FV184" i="5"/>
  <c r="C154" i="4"/>
  <c r="FS184" i="5" s="1"/>
  <c r="E154" i="4"/>
  <c r="FU184" i="5" s="1"/>
  <c r="D154" i="4"/>
  <c r="FT184" i="5" s="1"/>
  <c r="D166" i="4"/>
  <c r="C166" i="4"/>
  <c r="E166" i="4"/>
  <c r="HT186" i="5"/>
  <c r="E178" i="4"/>
  <c r="HS186" i="5" s="1"/>
  <c r="C178" i="4"/>
  <c r="HQ186" i="5" s="1"/>
  <c r="D178" i="4"/>
  <c r="HR186" i="5" s="1"/>
  <c r="IS187" i="5"/>
  <c r="D190" i="4"/>
  <c r="IQ187" i="5" s="1"/>
  <c r="C190" i="4"/>
  <c r="IP187" i="5" s="1"/>
  <c r="E190" i="4"/>
  <c r="IR187" i="5" s="1"/>
  <c r="HC189" i="5"/>
  <c r="E210" i="4"/>
  <c r="HB189" i="5" s="1"/>
  <c r="C210" i="4"/>
  <c r="GZ189" i="5" s="1"/>
  <c r="D210" i="4"/>
  <c r="HA189" i="5" s="1"/>
  <c r="C242" i="4"/>
  <c r="GI192" i="5" s="1"/>
  <c r="E242" i="4"/>
  <c r="GK192" i="5" s="1"/>
  <c r="GL192" i="5"/>
  <c r="D242" i="4"/>
  <c r="GJ192" i="5" s="1"/>
  <c r="C254" i="4"/>
  <c r="HH193" i="5" s="1"/>
  <c r="E254" i="4"/>
  <c r="HJ193" i="5" s="1"/>
  <c r="D254" i="4"/>
  <c r="HI193" i="5" s="1"/>
  <c r="HK193" i="5"/>
  <c r="D266" i="4"/>
  <c r="IH194" i="5" s="1"/>
  <c r="C266" i="4"/>
  <c r="IG194" i="5" s="1"/>
  <c r="E266" i="4"/>
  <c r="II194" i="5" s="1"/>
  <c r="IJ194" i="5"/>
  <c r="D278" i="4"/>
  <c r="P196" i="5" s="1"/>
  <c r="C278" i="4"/>
  <c r="O196" i="5" s="1"/>
  <c r="E278" i="4"/>
  <c r="Q196" i="5" s="1"/>
  <c r="R196" i="5"/>
  <c r="D290" i="4"/>
  <c r="AO197" i="5" s="1"/>
  <c r="C290" i="4"/>
  <c r="AN197" i="5" s="1"/>
  <c r="E290" i="4"/>
  <c r="AP197" i="5" s="1"/>
  <c r="AQ197" i="5"/>
  <c r="D306" i="4"/>
  <c r="FB198" i="5" s="1"/>
  <c r="C306" i="4"/>
  <c r="FA198" i="5" s="1"/>
  <c r="E306" i="4"/>
  <c r="FC198" i="5" s="1"/>
  <c r="FD198" i="5"/>
  <c r="D318" i="4"/>
  <c r="GA199" i="5" s="1"/>
  <c r="C318" i="4"/>
  <c r="FZ199" i="5" s="1"/>
  <c r="E318" i="4"/>
  <c r="GB199" i="5" s="1"/>
  <c r="GC199" i="5"/>
  <c r="D330" i="4"/>
  <c r="GZ200" i="5" s="1"/>
  <c r="C330" i="4"/>
  <c r="GY200" i="5" s="1"/>
  <c r="E330" i="4"/>
  <c r="HA200" i="5" s="1"/>
  <c r="HB200" i="5"/>
  <c r="D342" i="4"/>
  <c r="HY201" i="5" s="1"/>
  <c r="C342" i="4"/>
  <c r="HX201" i="5" s="1"/>
  <c r="E342" i="4"/>
  <c r="HZ201" i="5" s="1"/>
  <c r="IA201" i="5"/>
  <c r="D354" i="4"/>
  <c r="G203" i="5" s="1"/>
  <c r="C354" i="4"/>
  <c r="F203" i="5" s="1"/>
  <c r="E354" i="4"/>
  <c r="H203" i="5" s="1"/>
  <c r="I203" i="5"/>
  <c r="D366" i="4"/>
  <c r="AF204" i="5" s="1"/>
  <c r="C366" i="4"/>
  <c r="AE204" i="5" s="1"/>
  <c r="E366" i="4"/>
  <c r="AG204" i="5" s="1"/>
  <c r="AH204" i="5"/>
  <c r="D382" i="4"/>
  <c r="ES205" i="5" s="1"/>
  <c r="C382" i="4"/>
  <c r="ER205" i="5" s="1"/>
  <c r="E382" i="4"/>
  <c r="ET205" i="5" s="1"/>
  <c r="EU205" i="5"/>
  <c r="E394" i="4"/>
  <c r="FS206" i="5" s="1"/>
  <c r="D394" i="4"/>
  <c r="FR206" i="5" s="1"/>
  <c r="FT206" i="5"/>
  <c r="C394" i="4"/>
  <c r="FQ206" i="5" s="1"/>
  <c r="E406" i="4"/>
  <c r="GR207" i="5" s="1"/>
  <c r="D406" i="4"/>
  <c r="GQ207" i="5" s="1"/>
  <c r="GS207" i="5"/>
  <c r="C406" i="4"/>
  <c r="GP207" i="5" s="1"/>
  <c r="E418" i="4"/>
  <c r="HQ208" i="5" s="1"/>
  <c r="D418" i="4"/>
  <c r="HP208" i="5" s="1"/>
  <c r="HR208" i="5"/>
  <c r="C418" i="4"/>
  <c r="HO208" i="5" s="1"/>
  <c r="E430" i="4"/>
  <c r="IP209" i="5" s="1"/>
  <c r="D430" i="4"/>
  <c r="IO209" i="5" s="1"/>
  <c r="IQ209" i="5"/>
  <c r="C430" i="4"/>
  <c r="IN209" i="5" s="1"/>
  <c r="E442" i="4"/>
  <c r="X211" i="5" s="1"/>
  <c r="D442" i="4"/>
  <c r="W211" i="5" s="1"/>
  <c r="Y211" i="5"/>
  <c r="C442" i="4"/>
  <c r="V211" i="5" s="1"/>
  <c r="E454" i="4"/>
  <c r="AW212" i="5" s="1"/>
  <c r="D454" i="4"/>
  <c r="AV212" i="5" s="1"/>
  <c r="AX212" i="5"/>
  <c r="C454" i="4"/>
  <c r="AU212" i="5" s="1"/>
  <c r="E466" i="4"/>
  <c r="BV213" i="5" s="1"/>
  <c r="D466" i="4"/>
  <c r="BU213" i="5" s="1"/>
  <c r="BW213" i="5"/>
  <c r="C466" i="4"/>
  <c r="BT213" i="5" s="1"/>
  <c r="D482" i="4"/>
  <c r="GH214" i="5" s="1"/>
  <c r="C482" i="4"/>
  <c r="GG214" i="5" s="1"/>
  <c r="GJ214" i="5"/>
  <c r="E482" i="4"/>
  <c r="GI214" i="5" s="1"/>
  <c r="D494" i="4"/>
  <c r="HG215" i="5" s="1"/>
  <c r="C494" i="4"/>
  <c r="HF215" i="5" s="1"/>
  <c r="HI215" i="5"/>
  <c r="E494" i="4"/>
  <c r="HH215" i="5" s="1"/>
  <c r="D506" i="4"/>
  <c r="IF216" i="5" s="1"/>
  <c r="C506" i="4"/>
  <c r="IE216" i="5" s="1"/>
  <c r="IH216" i="5"/>
  <c r="E506" i="4"/>
  <c r="IG216" i="5" s="1"/>
  <c r="D518" i="4"/>
  <c r="N218" i="5" s="1"/>
  <c r="C518" i="4"/>
  <c r="M218" i="5" s="1"/>
  <c r="P218" i="5"/>
  <c r="E518" i="4"/>
  <c r="O218" i="5" s="1"/>
  <c r="D530" i="4"/>
  <c r="AM219" i="5" s="1"/>
  <c r="C530" i="4"/>
  <c r="AL219" i="5" s="1"/>
  <c r="AO219" i="5"/>
  <c r="E530" i="4"/>
  <c r="AN219" i="5" s="1"/>
  <c r="D554" i="4"/>
  <c r="CK221" i="5" s="1"/>
  <c r="C554" i="4"/>
  <c r="CJ221" i="5" s="1"/>
  <c r="CM221" i="5"/>
  <c r="E554" i="4"/>
  <c r="CL221" i="5" s="1"/>
  <c r="E10" i="4"/>
  <c r="DX171" i="5" s="1"/>
  <c r="DY171" i="5"/>
  <c r="D10" i="4"/>
  <c r="DW171" i="5" s="1"/>
  <c r="C10" i="4"/>
  <c r="DV171" i="5" s="1"/>
  <c r="E6" i="4"/>
  <c r="AJ171" i="5" s="1"/>
  <c r="AK171" i="5"/>
  <c r="D6" i="4"/>
  <c r="AI171" i="5" s="1"/>
  <c r="C6" i="4"/>
  <c r="AH171" i="5" s="1"/>
  <c r="C2" i="4"/>
  <c r="GK170" i="5" s="1"/>
  <c r="E16" i="4"/>
  <c r="O172" i="5" s="1"/>
  <c r="C16" i="4"/>
  <c r="M172" i="5" s="1"/>
  <c r="D16" i="4"/>
  <c r="N172" i="5" s="1"/>
  <c r="P172" i="5"/>
  <c r="E20" i="4"/>
  <c r="DC172" i="5" s="1"/>
  <c r="C20" i="4"/>
  <c r="DA172" i="5" s="1"/>
  <c r="DD172" i="5"/>
  <c r="D20" i="4"/>
  <c r="DB172" i="5" s="1"/>
  <c r="E24" i="4"/>
  <c r="GQ172" i="5" s="1"/>
  <c r="C24" i="4"/>
  <c r="GO172" i="5" s="1"/>
  <c r="GR172" i="5"/>
  <c r="D24" i="4"/>
  <c r="GP172" i="5" s="1"/>
  <c r="E28" i="4"/>
  <c r="AN173" i="5" s="1"/>
  <c r="C28" i="4"/>
  <c r="AL173" i="5" s="1"/>
  <c r="AO173" i="5"/>
  <c r="D28" i="4"/>
  <c r="AM173" i="5" s="1"/>
  <c r="E32" i="4"/>
  <c r="EB173" i="5" s="1"/>
  <c r="C32" i="4"/>
  <c r="DZ173" i="5" s="1"/>
  <c r="EC173" i="5"/>
  <c r="D32" i="4"/>
  <c r="EA173" i="5" s="1"/>
  <c r="E36" i="4"/>
  <c r="HP173" i="5" s="1"/>
  <c r="C36" i="4"/>
  <c r="HN173" i="5" s="1"/>
  <c r="HQ173" i="5"/>
  <c r="D36" i="4"/>
  <c r="HO173" i="5" s="1"/>
  <c r="E40" i="4"/>
  <c r="BM174" i="5" s="1"/>
  <c r="C40" i="4"/>
  <c r="BK174" i="5" s="1"/>
  <c r="BN174" i="5"/>
  <c r="D40" i="4"/>
  <c r="BL174" i="5" s="1"/>
  <c r="E44" i="4"/>
  <c r="FA174" i="5" s="1"/>
  <c r="D44" i="4"/>
  <c r="EZ174" i="5" s="1"/>
  <c r="C44" i="4"/>
  <c r="EY174" i="5" s="1"/>
  <c r="FB174" i="5"/>
  <c r="E48" i="4"/>
  <c r="IO174" i="5" s="1"/>
  <c r="C48" i="4"/>
  <c r="IM174" i="5" s="1"/>
  <c r="IP174" i="5"/>
  <c r="D48" i="4"/>
  <c r="IN174" i="5" s="1"/>
  <c r="E52" i="4"/>
  <c r="CL175" i="5" s="1"/>
  <c r="CM175" i="5"/>
  <c r="C52" i="4"/>
  <c r="CJ175" i="5" s="1"/>
  <c r="D52" i="4"/>
  <c r="CK175" i="5" s="1"/>
  <c r="E56" i="4"/>
  <c r="FZ175" i="5" s="1"/>
  <c r="GA175" i="5"/>
  <c r="C56" i="4"/>
  <c r="FX175" i="5" s="1"/>
  <c r="D56" i="4"/>
  <c r="FY175" i="5" s="1"/>
  <c r="E60" i="4"/>
  <c r="W176" i="5" s="1"/>
  <c r="D60" i="4"/>
  <c r="V176" i="5" s="1"/>
  <c r="X176" i="5"/>
  <c r="C60" i="4"/>
  <c r="U176" i="5" s="1"/>
  <c r="E64" i="4"/>
  <c r="DK176" i="5" s="1"/>
  <c r="C64" i="4"/>
  <c r="DI176" i="5" s="1"/>
  <c r="DL176" i="5"/>
  <c r="D64" i="4"/>
  <c r="DJ176" i="5" s="1"/>
  <c r="E68" i="4"/>
  <c r="GY176" i="5" s="1"/>
  <c r="C68" i="4"/>
  <c r="GW176" i="5" s="1"/>
  <c r="GZ176" i="5"/>
  <c r="D68" i="4"/>
  <c r="GX176" i="5" s="1"/>
  <c r="E72" i="4"/>
  <c r="AV177" i="5" s="1"/>
  <c r="AW177" i="5"/>
  <c r="D72" i="4"/>
  <c r="AU177" i="5" s="1"/>
  <c r="C72" i="4"/>
  <c r="AT177" i="5" s="1"/>
  <c r="E76" i="4"/>
  <c r="EJ177" i="5" s="1"/>
  <c r="D76" i="4"/>
  <c r="EI177" i="5" s="1"/>
  <c r="EK177" i="5"/>
  <c r="C76" i="4"/>
  <c r="EH177" i="5" s="1"/>
  <c r="E80" i="4"/>
  <c r="HX177" i="5" s="1"/>
  <c r="C80" i="4"/>
  <c r="HV177" i="5" s="1"/>
  <c r="D80" i="4"/>
  <c r="HW177" i="5" s="1"/>
  <c r="HY177" i="5"/>
  <c r="E84" i="4"/>
  <c r="BU178" i="5" s="1"/>
  <c r="D84" i="4"/>
  <c r="BT178" i="5" s="1"/>
  <c r="C84" i="4"/>
  <c r="BS178" i="5" s="1"/>
  <c r="BV178" i="5"/>
  <c r="FJ178" i="5"/>
  <c r="E88" i="4"/>
  <c r="FI178" i="5" s="1"/>
  <c r="D88" i="4"/>
  <c r="FH178" i="5" s="1"/>
  <c r="C88" i="4"/>
  <c r="FG178" i="5" s="1"/>
  <c r="G179" i="5"/>
  <c r="E92" i="4"/>
  <c r="F179" i="5" s="1"/>
  <c r="D92" i="4"/>
  <c r="IV178" i="5" s="1"/>
  <c r="C92" i="4"/>
  <c r="IU178" i="5" s="1"/>
  <c r="CU179" i="5"/>
  <c r="E96" i="4"/>
  <c r="CT179" i="5" s="1"/>
  <c r="C96" i="4"/>
  <c r="CR179" i="5" s="1"/>
  <c r="D96" i="4"/>
  <c r="CS179" i="5" s="1"/>
  <c r="GI179" i="5"/>
  <c r="E100" i="4"/>
  <c r="GH179" i="5" s="1"/>
  <c r="C100" i="4"/>
  <c r="GF179" i="5" s="1"/>
  <c r="D100" i="4"/>
  <c r="GG179" i="5" s="1"/>
  <c r="AF180" i="5"/>
  <c r="E104" i="4"/>
  <c r="AE180" i="5" s="1"/>
  <c r="D104" i="4"/>
  <c r="AD180" i="5" s="1"/>
  <c r="C104" i="4"/>
  <c r="AC180" i="5" s="1"/>
  <c r="DT180" i="5"/>
  <c r="E108" i="4"/>
  <c r="DS180" i="5" s="1"/>
  <c r="D108" i="4"/>
  <c r="DR180" i="5" s="1"/>
  <c r="C108" i="4"/>
  <c r="DQ180" i="5" s="1"/>
  <c r="HH180" i="5"/>
  <c r="E112" i="4"/>
  <c r="HG180" i="5" s="1"/>
  <c r="D112" i="4"/>
  <c r="HF180" i="5" s="1"/>
  <c r="C112" i="4"/>
  <c r="HE180" i="5" s="1"/>
  <c r="BE181" i="5"/>
  <c r="E116" i="4"/>
  <c r="BD181" i="5" s="1"/>
  <c r="D116" i="4"/>
  <c r="BC181" i="5" s="1"/>
  <c r="C116" i="4"/>
  <c r="BB181" i="5" s="1"/>
  <c r="ES181" i="5"/>
  <c r="E120" i="4"/>
  <c r="ER181" i="5" s="1"/>
  <c r="D120" i="4"/>
  <c r="EQ181" i="5" s="1"/>
  <c r="C120" i="4"/>
  <c r="EP181" i="5" s="1"/>
  <c r="IG181" i="5"/>
  <c r="E124" i="4"/>
  <c r="IF181" i="5" s="1"/>
  <c r="D124" i="4"/>
  <c r="IE181" i="5" s="1"/>
  <c r="C124" i="4"/>
  <c r="ID181" i="5" s="1"/>
  <c r="CD182" i="5"/>
  <c r="E128" i="4"/>
  <c r="CC182" i="5" s="1"/>
  <c r="D128" i="4"/>
  <c r="CB182" i="5" s="1"/>
  <c r="C128" i="4"/>
  <c r="CA182" i="5" s="1"/>
  <c r="FR182" i="5"/>
  <c r="E132" i="4"/>
  <c r="FQ182" i="5" s="1"/>
  <c r="D132" i="4"/>
  <c r="FP182" i="5" s="1"/>
  <c r="C132" i="4"/>
  <c r="FO182" i="5" s="1"/>
  <c r="O183" i="5"/>
  <c r="E136" i="4"/>
  <c r="N183" i="5" s="1"/>
  <c r="D136" i="4"/>
  <c r="M183" i="5" s="1"/>
  <c r="C136" i="4"/>
  <c r="L183" i="5" s="1"/>
  <c r="DC183" i="5"/>
  <c r="D140" i="4"/>
  <c r="DA183" i="5" s="1"/>
  <c r="E140" i="4"/>
  <c r="DB183" i="5" s="1"/>
  <c r="C140" i="4"/>
  <c r="CZ183" i="5" s="1"/>
  <c r="GQ183" i="5"/>
  <c r="D144" i="4"/>
  <c r="GO183" i="5" s="1"/>
  <c r="C144" i="4"/>
  <c r="GN183" i="5" s="1"/>
  <c r="E144" i="4"/>
  <c r="GP183" i="5" s="1"/>
  <c r="AN184" i="5"/>
  <c r="D148" i="4"/>
  <c r="AL184" i="5" s="1"/>
  <c r="E148" i="4"/>
  <c r="AM184" i="5" s="1"/>
  <c r="C148" i="4"/>
  <c r="AK184" i="5" s="1"/>
  <c r="EB184" i="5"/>
  <c r="D152" i="4"/>
  <c r="DZ184" i="5" s="1"/>
  <c r="C152" i="4"/>
  <c r="DY184" i="5" s="1"/>
  <c r="E152" i="4"/>
  <c r="EA184" i="5" s="1"/>
  <c r="HP184" i="5"/>
  <c r="D156" i="4"/>
  <c r="HN184" i="5" s="1"/>
  <c r="E156" i="4"/>
  <c r="HO184" i="5" s="1"/>
  <c r="C156" i="4"/>
  <c r="HM184" i="5" s="1"/>
  <c r="BM185" i="5"/>
  <c r="D160" i="4"/>
  <c r="BK185" i="5" s="1"/>
  <c r="C160" i="4"/>
  <c r="BJ185" i="5" s="1"/>
  <c r="E160" i="4"/>
  <c r="BL185" i="5" s="1"/>
  <c r="FA185" i="5"/>
  <c r="D164" i="4"/>
  <c r="EY185" i="5" s="1"/>
  <c r="E164" i="4"/>
  <c r="EZ185" i="5" s="1"/>
  <c r="C164" i="4"/>
  <c r="EX185" i="5" s="1"/>
  <c r="IO185" i="5"/>
  <c r="D168" i="4"/>
  <c r="IM185" i="5" s="1"/>
  <c r="C168" i="4"/>
  <c r="IL185" i="5" s="1"/>
  <c r="E168" i="4"/>
  <c r="IN185" i="5" s="1"/>
  <c r="CL186" i="5"/>
  <c r="D172" i="4"/>
  <c r="CJ186" i="5" s="1"/>
  <c r="E172" i="4"/>
  <c r="CK186" i="5" s="1"/>
  <c r="C172" i="4"/>
  <c r="CI186" i="5" s="1"/>
  <c r="FZ186" i="5"/>
  <c r="D176" i="4"/>
  <c r="FX186" i="5" s="1"/>
  <c r="C176" i="4"/>
  <c r="FW186" i="5" s="1"/>
  <c r="E176" i="4"/>
  <c r="FY186" i="5" s="1"/>
  <c r="W187" i="5"/>
  <c r="D180" i="4"/>
  <c r="U187" i="5" s="1"/>
  <c r="E180" i="4"/>
  <c r="V187" i="5" s="1"/>
  <c r="C180" i="4"/>
  <c r="T187" i="5" s="1"/>
  <c r="DK187" i="5"/>
  <c r="D184" i="4"/>
  <c r="DI187" i="5" s="1"/>
  <c r="C184" i="4"/>
  <c r="DH187" i="5" s="1"/>
  <c r="E184" i="4"/>
  <c r="DJ187" i="5" s="1"/>
  <c r="GY187" i="5"/>
  <c r="D188" i="4"/>
  <c r="GW187" i="5" s="1"/>
  <c r="E188" i="4"/>
  <c r="GX187" i="5" s="1"/>
  <c r="C188" i="4"/>
  <c r="GV187" i="5" s="1"/>
  <c r="AV188" i="5"/>
  <c r="D192" i="4"/>
  <c r="AT188" i="5" s="1"/>
  <c r="C192" i="4"/>
  <c r="AS188" i="5" s="1"/>
  <c r="E192" i="4"/>
  <c r="AU188" i="5" s="1"/>
  <c r="EJ188" i="5"/>
  <c r="D196" i="4"/>
  <c r="EH188" i="5" s="1"/>
  <c r="E196" i="4"/>
  <c r="EI188" i="5" s="1"/>
  <c r="C196" i="4"/>
  <c r="EG188" i="5" s="1"/>
  <c r="HX188" i="5"/>
  <c r="D200" i="4"/>
  <c r="HV188" i="5" s="1"/>
  <c r="C200" i="4"/>
  <c r="HU188" i="5" s="1"/>
  <c r="E200" i="4"/>
  <c r="HW188" i="5" s="1"/>
  <c r="BU189" i="5"/>
  <c r="D204" i="4"/>
  <c r="BS189" i="5" s="1"/>
  <c r="E204" i="4"/>
  <c r="BT189" i="5" s="1"/>
  <c r="C204" i="4"/>
  <c r="BR189" i="5" s="1"/>
  <c r="FI189" i="5"/>
  <c r="D208" i="4"/>
  <c r="FG189" i="5" s="1"/>
  <c r="C208" i="4"/>
  <c r="FF189" i="5" s="1"/>
  <c r="E208" i="4"/>
  <c r="FH189" i="5" s="1"/>
  <c r="F190" i="5"/>
  <c r="D212" i="4"/>
  <c r="IU189" i="5" s="1"/>
  <c r="E212" i="4"/>
  <c r="IV189" i="5" s="1"/>
  <c r="C212" i="4"/>
  <c r="IT189" i="5" s="1"/>
  <c r="CT190" i="5"/>
  <c r="D216" i="4"/>
  <c r="CR190" i="5" s="1"/>
  <c r="C216" i="4"/>
  <c r="CQ190" i="5" s="1"/>
  <c r="E216" i="4"/>
  <c r="CS190" i="5" s="1"/>
  <c r="GH190" i="5"/>
  <c r="D220" i="4"/>
  <c r="GF190" i="5" s="1"/>
  <c r="E220" i="4"/>
  <c r="GG190" i="5" s="1"/>
  <c r="C220" i="4"/>
  <c r="GE190" i="5" s="1"/>
  <c r="C224" i="4"/>
  <c r="AB191" i="5" s="1"/>
  <c r="E224" i="4"/>
  <c r="AD191" i="5" s="1"/>
  <c r="AE191" i="5"/>
  <c r="D224" i="4"/>
  <c r="AC191" i="5" s="1"/>
  <c r="C228" i="4"/>
  <c r="DP191" i="5" s="1"/>
  <c r="E228" i="4"/>
  <c r="DR191" i="5" s="1"/>
  <c r="D228" i="4"/>
  <c r="DQ191" i="5" s="1"/>
  <c r="DS191" i="5"/>
  <c r="C232" i="4"/>
  <c r="HD191" i="5" s="1"/>
  <c r="E232" i="4"/>
  <c r="HF191" i="5" s="1"/>
  <c r="HG191" i="5"/>
  <c r="D232" i="4"/>
  <c r="HE191" i="5" s="1"/>
  <c r="C236" i="4"/>
  <c r="BA192" i="5" s="1"/>
  <c r="D236" i="4"/>
  <c r="BB192" i="5" s="1"/>
  <c r="E236" i="4"/>
  <c r="BC192" i="5" s="1"/>
  <c r="BD192" i="5"/>
  <c r="C240" i="4"/>
  <c r="EO192" i="5" s="1"/>
  <c r="D240" i="4"/>
  <c r="EP192" i="5" s="1"/>
  <c r="ER192" i="5"/>
  <c r="E240" i="4"/>
  <c r="EQ192" i="5" s="1"/>
  <c r="C244" i="4"/>
  <c r="IC192" i="5" s="1"/>
  <c r="IF192" i="5"/>
  <c r="E244" i="4"/>
  <c r="IE192" i="5" s="1"/>
  <c r="D244" i="4"/>
  <c r="ID192" i="5" s="1"/>
  <c r="C248" i="4"/>
  <c r="BZ193" i="5" s="1"/>
  <c r="E248" i="4"/>
  <c r="CB193" i="5" s="1"/>
  <c r="CC193" i="5"/>
  <c r="D248" i="4"/>
  <c r="CA193" i="5" s="1"/>
  <c r="C252" i="4"/>
  <c r="FN193" i="5" s="1"/>
  <c r="D252" i="4"/>
  <c r="FO193" i="5" s="1"/>
  <c r="E252" i="4"/>
  <c r="FP193" i="5" s="1"/>
  <c r="FQ193" i="5"/>
  <c r="C256" i="4"/>
  <c r="K194" i="5" s="1"/>
  <c r="D256" i="4"/>
  <c r="L194" i="5" s="1"/>
  <c r="N194" i="5"/>
  <c r="E256" i="4"/>
  <c r="M194" i="5" s="1"/>
  <c r="C260" i="4"/>
  <c r="CY194" i="5" s="1"/>
  <c r="DB194" i="5"/>
  <c r="E260" i="4"/>
  <c r="DA194" i="5" s="1"/>
  <c r="D260" i="4"/>
  <c r="CZ194" i="5" s="1"/>
  <c r="C264" i="4"/>
  <c r="GM194" i="5" s="1"/>
  <c r="E264" i="4"/>
  <c r="GO194" i="5" s="1"/>
  <c r="GP194" i="5"/>
  <c r="D264" i="4"/>
  <c r="GN194" i="5" s="1"/>
  <c r="D268" i="4"/>
  <c r="AK195" i="5" s="1"/>
  <c r="AM195" i="5"/>
  <c r="E268" i="4"/>
  <c r="AL195" i="5" s="1"/>
  <c r="C268" i="4"/>
  <c r="AJ195" i="5" s="1"/>
  <c r="D272" i="4"/>
  <c r="DY195" i="5" s="1"/>
  <c r="EA195" i="5"/>
  <c r="E272" i="4"/>
  <c r="DZ195" i="5" s="1"/>
  <c r="C272" i="4"/>
  <c r="DX195" i="5" s="1"/>
  <c r="D276" i="4"/>
  <c r="HM195" i="5" s="1"/>
  <c r="HO195" i="5"/>
  <c r="E276" i="4"/>
  <c r="HN195" i="5" s="1"/>
  <c r="C276" i="4"/>
  <c r="HL195" i="5" s="1"/>
  <c r="D280" i="4"/>
  <c r="BJ196" i="5" s="1"/>
  <c r="BL196" i="5"/>
  <c r="E280" i="4"/>
  <c r="BK196" i="5" s="1"/>
  <c r="C280" i="4"/>
  <c r="BI196" i="5" s="1"/>
  <c r="D284" i="4"/>
  <c r="EX196" i="5" s="1"/>
  <c r="EZ196" i="5"/>
  <c r="E284" i="4"/>
  <c r="EY196" i="5" s="1"/>
  <c r="C284" i="4"/>
  <c r="EW196" i="5" s="1"/>
  <c r="D288" i="4"/>
  <c r="IL196" i="5" s="1"/>
  <c r="IN196" i="5"/>
  <c r="E288" i="4"/>
  <c r="IM196" i="5" s="1"/>
  <c r="C288" i="4"/>
  <c r="IK196" i="5" s="1"/>
  <c r="D292" i="4"/>
  <c r="CI197" i="5" s="1"/>
  <c r="CK197" i="5"/>
  <c r="E292" i="4"/>
  <c r="CJ197" i="5" s="1"/>
  <c r="C292" i="4"/>
  <c r="CH197" i="5" s="1"/>
  <c r="D296" i="4"/>
  <c r="FW197" i="5" s="1"/>
  <c r="FY197" i="5"/>
  <c r="E296" i="4"/>
  <c r="FX197" i="5" s="1"/>
  <c r="C296" i="4"/>
  <c r="FV197" i="5" s="1"/>
  <c r="D300" i="4"/>
  <c r="T198" i="5" s="1"/>
  <c r="V198" i="5"/>
  <c r="E300" i="4"/>
  <c r="U198" i="5" s="1"/>
  <c r="C300" i="4"/>
  <c r="S198" i="5" s="1"/>
  <c r="D304" i="4"/>
  <c r="DH198" i="5" s="1"/>
  <c r="DJ198" i="5"/>
  <c r="E304" i="4"/>
  <c r="DI198" i="5" s="1"/>
  <c r="C304" i="4"/>
  <c r="DG198" i="5" s="1"/>
  <c r="D308" i="4"/>
  <c r="GV198" i="5" s="1"/>
  <c r="GX198" i="5"/>
  <c r="E308" i="4"/>
  <c r="GW198" i="5" s="1"/>
  <c r="C308" i="4"/>
  <c r="GU198" i="5" s="1"/>
  <c r="D312" i="4"/>
  <c r="AS199" i="5" s="1"/>
  <c r="AU199" i="5"/>
  <c r="E312" i="4"/>
  <c r="AT199" i="5" s="1"/>
  <c r="C312" i="4"/>
  <c r="AR199" i="5" s="1"/>
  <c r="D316" i="4"/>
  <c r="EG199" i="5" s="1"/>
  <c r="EI199" i="5"/>
  <c r="E316" i="4"/>
  <c r="EH199" i="5" s="1"/>
  <c r="C316" i="4"/>
  <c r="EF199" i="5" s="1"/>
  <c r="D320" i="4"/>
  <c r="HU199" i="5" s="1"/>
  <c r="HW199" i="5"/>
  <c r="E320" i="4"/>
  <c r="HV199" i="5" s="1"/>
  <c r="C320" i="4"/>
  <c r="HT199" i="5" s="1"/>
  <c r="D324" i="4"/>
  <c r="BR200" i="5" s="1"/>
  <c r="BT200" i="5"/>
  <c r="E324" i="4"/>
  <c r="BS200" i="5" s="1"/>
  <c r="C324" i="4"/>
  <c r="BQ200" i="5" s="1"/>
  <c r="D328" i="4"/>
  <c r="FF200" i="5" s="1"/>
  <c r="FH200" i="5"/>
  <c r="E328" i="4"/>
  <c r="FG200" i="5" s="1"/>
  <c r="C328" i="4"/>
  <c r="FE200" i="5" s="1"/>
  <c r="D332" i="4"/>
  <c r="IT200" i="5" s="1"/>
  <c r="IV200" i="5"/>
  <c r="E332" i="4"/>
  <c r="IU200" i="5" s="1"/>
  <c r="C332" i="4"/>
  <c r="IS200" i="5" s="1"/>
  <c r="D336" i="4"/>
  <c r="CQ201" i="5" s="1"/>
  <c r="CS201" i="5"/>
  <c r="E336" i="4"/>
  <c r="CR201" i="5" s="1"/>
  <c r="C336" i="4"/>
  <c r="CP201" i="5" s="1"/>
  <c r="D340" i="4"/>
  <c r="GE201" i="5" s="1"/>
  <c r="GG201" i="5"/>
  <c r="E340" i="4"/>
  <c r="GF201" i="5" s="1"/>
  <c r="C340" i="4"/>
  <c r="GD201" i="5" s="1"/>
  <c r="D344" i="4"/>
  <c r="AB202" i="5" s="1"/>
  <c r="AD202" i="5"/>
  <c r="E344" i="4"/>
  <c r="AC202" i="5" s="1"/>
  <c r="C344" i="4"/>
  <c r="AA202" i="5" s="1"/>
  <c r="D348" i="4"/>
  <c r="DP202" i="5" s="1"/>
  <c r="DR202" i="5"/>
  <c r="E348" i="4"/>
  <c r="DQ202" i="5" s="1"/>
  <c r="C348" i="4"/>
  <c r="DO202" i="5" s="1"/>
  <c r="D352" i="4"/>
  <c r="HD202" i="5" s="1"/>
  <c r="HF202" i="5"/>
  <c r="E352" i="4"/>
  <c r="HE202" i="5" s="1"/>
  <c r="C352" i="4"/>
  <c r="HC202" i="5" s="1"/>
  <c r="D356" i="4"/>
  <c r="BA203" i="5" s="1"/>
  <c r="BC203" i="5"/>
  <c r="E356" i="4"/>
  <c r="BB203" i="5" s="1"/>
  <c r="C356" i="4"/>
  <c r="AZ203" i="5" s="1"/>
  <c r="D360" i="4"/>
  <c r="EO203" i="5" s="1"/>
  <c r="EQ203" i="5"/>
  <c r="E360" i="4"/>
  <c r="EP203" i="5" s="1"/>
  <c r="C360" i="4"/>
  <c r="EN203" i="5" s="1"/>
  <c r="D364" i="4"/>
  <c r="IC203" i="5" s="1"/>
  <c r="IE203" i="5"/>
  <c r="E364" i="4"/>
  <c r="ID203" i="5" s="1"/>
  <c r="C364" i="4"/>
  <c r="IB203" i="5" s="1"/>
  <c r="D368" i="4"/>
  <c r="BZ204" i="5" s="1"/>
  <c r="CB204" i="5"/>
  <c r="E368" i="4"/>
  <c r="CA204" i="5" s="1"/>
  <c r="C368" i="4"/>
  <c r="BY204" i="5" s="1"/>
  <c r="D372" i="4"/>
  <c r="FN204" i="5" s="1"/>
  <c r="FP204" i="5"/>
  <c r="E372" i="4"/>
  <c r="FO204" i="5" s="1"/>
  <c r="C372" i="4"/>
  <c r="FM204" i="5" s="1"/>
  <c r="D376" i="4"/>
  <c r="K205" i="5" s="1"/>
  <c r="M205" i="5"/>
  <c r="E376" i="4"/>
  <c r="L205" i="5" s="1"/>
  <c r="C376" i="4"/>
  <c r="J205" i="5" s="1"/>
  <c r="D380" i="4"/>
  <c r="CY205" i="5" s="1"/>
  <c r="DA205" i="5"/>
  <c r="E380" i="4"/>
  <c r="CZ205" i="5" s="1"/>
  <c r="C380" i="4"/>
  <c r="CX205" i="5" s="1"/>
  <c r="E384" i="4"/>
  <c r="GN205" i="5" s="1"/>
  <c r="GO205" i="5"/>
  <c r="D384" i="4"/>
  <c r="GM205" i="5" s="1"/>
  <c r="C384" i="4"/>
  <c r="GL205" i="5" s="1"/>
  <c r="E388" i="4"/>
  <c r="AK206" i="5" s="1"/>
  <c r="D388" i="4"/>
  <c r="AJ206" i="5" s="1"/>
  <c r="AL206" i="5"/>
  <c r="C388" i="4"/>
  <c r="AI206" i="5" s="1"/>
  <c r="E392" i="4"/>
  <c r="DY206" i="5" s="1"/>
  <c r="D392" i="4"/>
  <c r="DX206" i="5" s="1"/>
  <c r="DZ206" i="5"/>
  <c r="C392" i="4"/>
  <c r="DW206" i="5" s="1"/>
  <c r="E396" i="4"/>
  <c r="HM206" i="5" s="1"/>
  <c r="D396" i="4"/>
  <c r="HL206" i="5" s="1"/>
  <c r="HN206" i="5"/>
  <c r="C396" i="4"/>
  <c r="HK206" i="5" s="1"/>
  <c r="E400" i="4"/>
  <c r="BJ207" i="5" s="1"/>
  <c r="D400" i="4"/>
  <c r="BI207" i="5" s="1"/>
  <c r="BK207" i="5"/>
  <c r="C400" i="4"/>
  <c r="BH207" i="5" s="1"/>
  <c r="E404" i="4"/>
  <c r="EX207" i="5" s="1"/>
  <c r="D404" i="4"/>
  <c r="EW207" i="5" s="1"/>
  <c r="EY207" i="5"/>
  <c r="C404" i="4"/>
  <c r="EV207" i="5" s="1"/>
  <c r="E408" i="4"/>
  <c r="IL207" i="5" s="1"/>
  <c r="D408" i="4"/>
  <c r="IK207" i="5" s="1"/>
  <c r="IM207" i="5"/>
  <c r="C408" i="4"/>
  <c r="IJ207" i="5" s="1"/>
  <c r="E412" i="4"/>
  <c r="CI208" i="5" s="1"/>
  <c r="D412" i="4"/>
  <c r="CH208" i="5" s="1"/>
  <c r="CJ208" i="5"/>
  <c r="C412" i="4"/>
  <c r="CG208" i="5" s="1"/>
  <c r="E416" i="4"/>
  <c r="FW208" i="5" s="1"/>
  <c r="D416" i="4"/>
  <c r="FV208" i="5" s="1"/>
  <c r="FX208" i="5"/>
  <c r="C416" i="4"/>
  <c r="FU208" i="5" s="1"/>
  <c r="E420" i="4"/>
  <c r="T209" i="5" s="1"/>
  <c r="D420" i="4"/>
  <c r="S209" i="5" s="1"/>
  <c r="U209" i="5"/>
  <c r="C420" i="4"/>
  <c r="R209" i="5" s="1"/>
  <c r="E424" i="4"/>
  <c r="DH209" i="5" s="1"/>
  <c r="D424" i="4"/>
  <c r="DG209" i="5" s="1"/>
  <c r="DI209" i="5"/>
  <c r="C424" i="4"/>
  <c r="DF209" i="5" s="1"/>
  <c r="E428" i="4"/>
  <c r="GV209" i="5" s="1"/>
  <c r="D428" i="4"/>
  <c r="GU209" i="5" s="1"/>
  <c r="GW209" i="5"/>
  <c r="C428" i="4"/>
  <c r="GT209" i="5" s="1"/>
  <c r="E432" i="4"/>
  <c r="AS210" i="5" s="1"/>
  <c r="D432" i="4"/>
  <c r="AR210" i="5" s="1"/>
  <c r="AT210" i="5"/>
  <c r="C432" i="4"/>
  <c r="AQ210" i="5" s="1"/>
  <c r="E436" i="4"/>
  <c r="EG210" i="5" s="1"/>
  <c r="D436" i="4"/>
  <c r="EF210" i="5" s="1"/>
  <c r="EH210" i="5"/>
  <c r="C436" i="4"/>
  <c r="EE210" i="5" s="1"/>
  <c r="E440" i="4"/>
  <c r="HU210" i="5" s="1"/>
  <c r="D440" i="4"/>
  <c r="HT210" i="5" s="1"/>
  <c r="HV210" i="5"/>
  <c r="C440" i="4"/>
  <c r="HS210" i="5" s="1"/>
  <c r="E444" i="4"/>
  <c r="BR211" i="5" s="1"/>
  <c r="D444" i="4"/>
  <c r="BQ211" i="5" s="1"/>
  <c r="BS211" i="5"/>
  <c r="C444" i="4"/>
  <c r="BP211" i="5" s="1"/>
  <c r="E448" i="4"/>
  <c r="FF211" i="5" s="1"/>
  <c r="D448" i="4"/>
  <c r="FE211" i="5" s="1"/>
  <c r="FG211" i="5"/>
  <c r="C448" i="4"/>
  <c r="FD211" i="5" s="1"/>
  <c r="E452" i="4"/>
  <c r="IT211" i="5" s="1"/>
  <c r="D452" i="4"/>
  <c r="IS211" i="5" s="1"/>
  <c r="IU211" i="5"/>
  <c r="C452" i="4"/>
  <c r="IR211" i="5" s="1"/>
  <c r="E456" i="4"/>
  <c r="CQ212" i="5" s="1"/>
  <c r="D456" i="4"/>
  <c r="CP212" i="5" s="1"/>
  <c r="CR212" i="5"/>
  <c r="C456" i="4"/>
  <c r="CO212" i="5" s="1"/>
  <c r="E460" i="4"/>
  <c r="GE212" i="5" s="1"/>
  <c r="D460" i="4"/>
  <c r="GD212" i="5" s="1"/>
  <c r="GF212" i="5"/>
  <c r="C460" i="4"/>
  <c r="GC212" i="5" s="1"/>
  <c r="E464" i="4"/>
  <c r="AB213" i="5" s="1"/>
  <c r="D464" i="4"/>
  <c r="AA213" i="5" s="1"/>
  <c r="AC213" i="5"/>
  <c r="C464" i="4"/>
  <c r="Z213" i="5" s="1"/>
  <c r="E468" i="4"/>
  <c r="DP213" i="5" s="1"/>
  <c r="D468" i="4"/>
  <c r="DO213" i="5" s="1"/>
  <c r="DQ213" i="5"/>
  <c r="C468" i="4"/>
  <c r="DN213" i="5" s="1"/>
  <c r="D472" i="4"/>
  <c r="HC213" i="5" s="1"/>
  <c r="E472" i="4"/>
  <c r="HD213" i="5" s="1"/>
  <c r="HE213" i="5"/>
  <c r="C472" i="4"/>
  <c r="HB213" i="5" s="1"/>
  <c r="D476" i="4"/>
  <c r="AZ214" i="5" s="1"/>
  <c r="E476" i="4"/>
  <c r="BA214" i="5" s="1"/>
  <c r="BB214" i="5"/>
  <c r="C476" i="4"/>
  <c r="AY214" i="5" s="1"/>
  <c r="D480" i="4"/>
  <c r="EN214" i="5" s="1"/>
  <c r="E480" i="4"/>
  <c r="EO214" i="5" s="1"/>
  <c r="EP214" i="5"/>
  <c r="C480" i="4"/>
  <c r="EM214" i="5" s="1"/>
  <c r="D484" i="4"/>
  <c r="IB214" i="5" s="1"/>
  <c r="E484" i="4"/>
  <c r="IC214" i="5" s="1"/>
  <c r="ID214" i="5"/>
  <c r="C484" i="4"/>
  <c r="IA214" i="5" s="1"/>
  <c r="D488" i="4"/>
  <c r="BY215" i="5" s="1"/>
  <c r="E488" i="4"/>
  <c r="BZ215" i="5" s="1"/>
  <c r="CA215" i="5"/>
  <c r="C488" i="4"/>
  <c r="BX215" i="5" s="1"/>
  <c r="D492" i="4"/>
  <c r="FM215" i="5" s="1"/>
  <c r="E492" i="4"/>
  <c r="FN215" i="5" s="1"/>
  <c r="FO215" i="5"/>
  <c r="C492" i="4"/>
  <c r="FL215" i="5" s="1"/>
  <c r="D496" i="4"/>
  <c r="J216" i="5" s="1"/>
  <c r="E496" i="4"/>
  <c r="K216" i="5" s="1"/>
  <c r="L216" i="5"/>
  <c r="C496" i="4"/>
  <c r="I216" i="5" s="1"/>
  <c r="D500" i="4"/>
  <c r="CX216" i="5" s="1"/>
  <c r="E500" i="4"/>
  <c r="CY216" i="5" s="1"/>
  <c r="CZ216" i="5"/>
  <c r="C500" i="4"/>
  <c r="CW216" i="5" s="1"/>
  <c r="D504" i="4"/>
  <c r="GL216" i="5" s="1"/>
  <c r="E504" i="4"/>
  <c r="GM216" i="5" s="1"/>
  <c r="GN216" i="5"/>
  <c r="C504" i="4"/>
  <c r="GK216" i="5" s="1"/>
  <c r="D508" i="4"/>
  <c r="AI217" i="5" s="1"/>
  <c r="E508" i="4"/>
  <c r="AJ217" i="5" s="1"/>
  <c r="AK217" i="5"/>
  <c r="C508" i="4"/>
  <c r="AH217" i="5" s="1"/>
  <c r="D512" i="4"/>
  <c r="DW217" i="5" s="1"/>
  <c r="E512" i="4"/>
  <c r="DX217" i="5" s="1"/>
  <c r="DY217" i="5"/>
  <c r="C512" i="4"/>
  <c r="DV217" i="5" s="1"/>
  <c r="D516" i="4"/>
  <c r="HK217" i="5" s="1"/>
  <c r="E516" i="4"/>
  <c r="HL217" i="5" s="1"/>
  <c r="HM217" i="5"/>
  <c r="C516" i="4"/>
  <c r="HJ217" i="5" s="1"/>
  <c r="D520" i="4"/>
  <c r="BH218" i="5" s="1"/>
  <c r="E520" i="4"/>
  <c r="BI218" i="5" s="1"/>
  <c r="BJ218" i="5"/>
  <c r="C520" i="4"/>
  <c r="BG218" i="5" s="1"/>
  <c r="D524" i="4"/>
  <c r="EV218" i="5" s="1"/>
  <c r="E524" i="4"/>
  <c r="EW218" i="5" s="1"/>
  <c r="EX218" i="5"/>
  <c r="C524" i="4"/>
  <c r="EU218" i="5" s="1"/>
  <c r="D528" i="4"/>
  <c r="IJ218" i="5" s="1"/>
  <c r="E528" i="4"/>
  <c r="IK218" i="5" s="1"/>
  <c r="IL218" i="5"/>
  <c r="C528" i="4"/>
  <c r="II218" i="5" s="1"/>
  <c r="D532" i="4"/>
  <c r="CG219" i="5" s="1"/>
  <c r="E532" i="4"/>
  <c r="CH219" i="5" s="1"/>
  <c r="CI219" i="5"/>
  <c r="C532" i="4"/>
  <c r="CF219" i="5" s="1"/>
  <c r="D536" i="4"/>
  <c r="FU219" i="5" s="1"/>
  <c r="E536" i="4"/>
  <c r="FV219" i="5" s="1"/>
  <c r="FW219" i="5"/>
  <c r="C536" i="4"/>
  <c r="FT219" i="5" s="1"/>
  <c r="D540" i="4"/>
  <c r="R220" i="5" s="1"/>
  <c r="E540" i="4"/>
  <c r="S220" i="5" s="1"/>
  <c r="T220" i="5"/>
  <c r="C540" i="4"/>
  <c r="Q220" i="5" s="1"/>
  <c r="D544" i="4"/>
  <c r="DF220" i="5" s="1"/>
  <c r="E544" i="4"/>
  <c r="DG220" i="5" s="1"/>
  <c r="DH220" i="5"/>
  <c r="C544" i="4"/>
  <c r="DE220" i="5" s="1"/>
  <c r="D548" i="4"/>
  <c r="GT220" i="5" s="1"/>
  <c r="E548" i="4"/>
  <c r="GU220" i="5" s="1"/>
  <c r="GV220" i="5"/>
  <c r="C548" i="4"/>
  <c r="GS220" i="5" s="1"/>
  <c r="D552" i="4"/>
  <c r="AQ221" i="5" s="1"/>
  <c r="E552" i="4"/>
  <c r="AR221" i="5" s="1"/>
  <c r="AS221" i="5"/>
  <c r="C552" i="4"/>
  <c r="AP221" i="5" s="1"/>
  <c r="D556" i="4"/>
  <c r="EE221" i="5" s="1"/>
  <c r="E556" i="4"/>
  <c r="EF221" i="5" s="1"/>
  <c r="EG221" i="5"/>
  <c r="C556" i="4"/>
  <c r="ED221" i="5" s="1"/>
  <c r="D560" i="4"/>
  <c r="HS221" i="5" s="1"/>
  <c r="E560" i="4"/>
  <c r="HT221" i="5" s="1"/>
  <c r="HU221" i="5"/>
  <c r="C560" i="4"/>
  <c r="HR221" i="5" s="1"/>
  <c r="D564" i="4"/>
  <c r="BP222" i="5" s="1"/>
  <c r="E564" i="4"/>
  <c r="BQ222" i="5" s="1"/>
  <c r="BR222" i="5"/>
  <c r="C564" i="4"/>
  <c r="BO222" i="5" s="1"/>
  <c r="D568" i="4"/>
  <c r="FD222" i="5" s="1"/>
  <c r="E568" i="4"/>
  <c r="FE222" i="5" s="1"/>
  <c r="FF222" i="5"/>
  <c r="C568" i="4"/>
  <c r="FC222" i="5" s="1"/>
  <c r="D572" i="4"/>
  <c r="IR222" i="5" s="1"/>
  <c r="E572" i="4"/>
  <c r="IS222" i="5" s="1"/>
  <c r="IT222" i="5"/>
  <c r="C572" i="4"/>
  <c r="IQ222" i="5" s="1"/>
  <c r="D576" i="4"/>
  <c r="CO223" i="5" s="1"/>
  <c r="E576" i="4"/>
  <c r="CP223" i="5" s="1"/>
  <c r="CQ223" i="5"/>
  <c r="C576" i="4"/>
  <c r="CN223" i="5" s="1"/>
  <c r="C580" i="4"/>
  <c r="GB223" i="5" s="1"/>
  <c r="D580" i="4"/>
  <c r="GC223" i="5" s="1"/>
  <c r="GE223" i="5"/>
  <c r="E580" i="4"/>
  <c r="GD223" i="5" s="1"/>
  <c r="C584" i="4"/>
  <c r="Y224" i="5" s="1"/>
  <c r="D584" i="4"/>
  <c r="Z224" i="5" s="1"/>
  <c r="AB224" i="5"/>
  <c r="E584" i="4"/>
  <c r="AA224" i="5" s="1"/>
  <c r="C588" i="4"/>
  <c r="DM224" i="5" s="1"/>
  <c r="D588" i="4"/>
  <c r="DN224" i="5" s="1"/>
  <c r="DP224" i="5"/>
  <c r="E588" i="4"/>
  <c r="DO224" i="5" s="1"/>
  <c r="HD224" i="5"/>
  <c r="E592" i="4"/>
  <c r="HC224" i="5" s="1"/>
  <c r="C592" i="4"/>
  <c r="HA224" i="5" s="1"/>
  <c r="D592" i="4"/>
  <c r="HB224" i="5" s="1"/>
  <c r="BA225" i="5"/>
  <c r="E596" i="4"/>
  <c r="AZ225" i="5" s="1"/>
  <c r="C596" i="4"/>
  <c r="AX225" i="5" s="1"/>
  <c r="D596" i="4"/>
  <c r="AY225" i="5" s="1"/>
  <c r="EO225" i="5"/>
  <c r="E600" i="4"/>
  <c r="EN225" i="5" s="1"/>
  <c r="C600" i="4"/>
  <c r="EL225" i="5" s="1"/>
  <c r="D600" i="4"/>
  <c r="EM225" i="5" s="1"/>
  <c r="IC225" i="5"/>
  <c r="E604" i="4"/>
  <c r="IB225" i="5" s="1"/>
  <c r="C604" i="4"/>
  <c r="HZ225" i="5" s="1"/>
  <c r="D604" i="4"/>
  <c r="IA225" i="5" s="1"/>
  <c r="BZ226" i="5"/>
  <c r="E608" i="4"/>
  <c r="BY226" i="5" s="1"/>
  <c r="C608" i="4"/>
  <c r="BW226" i="5" s="1"/>
  <c r="D608" i="4"/>
  <c r="BX226" i="5" s="1"/>
  <c r="FN226" i="5"/>
  <c r="E612" i="4"/>
  <c r="FM226" i="5" s="1"/>
  <c r="C612" i="4"/>
  <c r="FK226" i="5" s="1"/>
  <c r="D612" i="4"/>
  <c r="FL226" i="5" s="1"/>
  <c r="K227" i="5"/>
  <c r="E616" i="4"/>
  <c r="J227" i="5" s="1"/>
  <c r="C616" i="4"/>
  <c r="H227" i="5" s="1"/>
  <c r="D616" i="4"/>
  <c r="I227" i="5" s="1"/>
  <c r="CY227" i="5"/>
  <c r="E620" i="4"/>
  <c r="CX227" i="5" s="1"/>
  <c r="C620" i="4"/>
  <c r="CV227" i="5" s="1"/>
  <c r="D620" i="4"/>
  <c r="CW227" i="5" s="1"/>
  <c r="GM227" i="5"/>
  <c r="E624" i="4"/>
  <c r="GL227" i="5" s="1"/>
  <c r="C624" i="4"/>
  <c r="GJ227" i="5" s="1"/>
  <c r="D624" i="4"/>
  <c r="GK227" i="5" s="1"/>
  <c r="AJ228" i="5"/>
  <c r="E628" i="4"/>
  <c r="AI228" i="5" s="1"/>
  <c r="C628" i="4"/>
  <c r="AG228" i="5" s="1"/>
  <c r="D628" i="4"/>
  <c r="AH228" i="5" s="1"/>
  <c r="DX228" i="5"/>
  <c r="E632" i="4"/>
  <c r="DW228" i="5" s="1"/>
  <c r="C632" i="4"/>
  <c r="DU228" i="5" s="1"/>
  <c r="D632" i="4"/>
  <c r="DV228" i="5" s="1"/>
  <c r="HL228" i="5"/>
  <c r="E636" i="4"/>
  <c r="HK228" i="5" s="1"/>
  <c r="C636" i="4"/>
  <c r="HI228" i="5" s="1"/>
  <c r="D636" i="4"/>
  <c r="HJ228" i="5" s="1"/>
  <c r="BI229" i="5"/>
  <c r="E640" i="4"/>
  <c r="BH229" i="5" s="1"/>
  <c r="C640" i="4"/>
  <c r="BF229" i="5" s="1"/>
  <c r="D640" i="4"/>
  <c r="BG229" i="5" s="1"/>
  <c r="EW229" i="5"/>
  <c r="E644" i="4"/>
  <c r="EV229" i="5" s="1"/>
  <c r="C644" i="4"/>
  <c r="ET229" i="5" s="1"/>
  <c r="D644" i="4"/>
  <c r="EU229" i="5" s="1"/>
  <c r="IK229" i="5"/>
  <c r="E648" i="4"/>
  <c r="IJ229" i="5" s="1"/>
  <c r="D648" i="4"/>
  <c r="II229" i="5" s="1"/>
  <c r="CH230" i="5"/>
  <c r="E652" i="4"/>
  <c r="CG230" i="5" s="1"/>
  <c r="D652" i="4"/>
  <c r="CF230" i="5" s="1"/>
  <c r="FV230" i="5"/>
  <c r="E656" i="4"/>
  <c r="FU230" i="5" s="1"/>
  <c r="D656" i="4"/>
  <c r="FT230" i="5" s="1"/>
  <c r="S231" i="5"/>
  <c r="E660" i="4"/>
  <c r="R231" i="5" s="1"/>
  <c r="D660" i="4"/>
  <c r="Q231" i="5" s="1"/>
  <c r="DG231" i="5"/>
  <c r="E664" i="4"/>
  <c r="DF231" i="5" s="1"/>
  <c r="D664" i="4"/>
  <c r="DE231" i="5" s="1"/>
  <c r="GU231" i="5"/>
  <c r="E668" i="4"/>
  <c r="GT231" i="5" s="1"/>
  <c r="D668" i="4"/>
  <c r="GS231" i="5" s="1"/>
  <c r="AR232" i="5"/>
  <c r="E672" i="4"/>
  <c r="AQ232" i="5" s="1"/>
  <c r="D672" i="4"/>
  <c r="AP232" i="5" s="1"/>
  <c r="EF232" i="5"/>
  <c r="E676" i="4"/>
  <c r="EE232" i="5" s="1"/>
  <c r="D676" i="4"/>
  <c r="ED232" i="5" s="1"/>
  <c r="HT232" i="5"/>
  <c r="E680" i="4"/>
  <c r="HS232" i="5" s="1"/>
  <c r="D680" i="4"/>
  <c r="HR232" i="5" s="1"/>
  <c r="BQ233" i="5"/>
  <c r="D684" i="4"/>
  <c r="BO233" i="5" s="1"/>
  <c r="FE233" i="5"/>
  <c r="D688" i="4"/>
  <c r="FC233" i="5" s="1"/>
  <c r="IS233" i="5"/>
  <c r="D692" i="4"/>
  <c r="IQ233" i="5" s="1"/>
  <c r="CP234" i="5"/>
  <c r="D696" i="4"/>
  <c r="CN234" i="5" s="1"/>
  <c r="GD234" i="5"/>
  <c r="D700" i="4"/>
  <c r="GB234" i="5" s="1"/>
  <c r="E2" i="4"/>
  <c r="GM170" i="5" s="1"/>
  <c r="E699" i="4"/>
  <c r="FF234" i="5" s="1"/>
  <c r="C696" i="4"/>
  <c r="CM234" i="5" s="1"/>
  <c r="E692" i="4"/>
  <c r="IR233" i="5" s="1"/>
  <c r="D687" i="4"/>
  <c r="EF233" i="5" s="1"/>
  <c r="E683" i="4"/>
  <c r="AS233" i="5" s="1"/>
  <c r="E679" i="4"/>
  <c r="GV232" i="5" s="1"/>
  <c r="E671" i="4"/>
  <c r="T232" i="5" s="1"/>
  <c r="C656" i="4"/>
  <c r="FS230" i="5" s="1"/>
  <c r="E4" i="4"/>
  <c r="IG170" i="5" s="1"/>
  <c r="C4" i="4"/>
  <c r="IE170" i="5" s="1"/>
  <c r="IH170" i="5"/>
  <c r="D4" i="4"/>
  <c r="IF170" i="5" s="1"/>
  <c r="E26" i="4"/>
  <c r="IK172" i="5" s="1"/>
  <c r="IL172" i="5"/>
  <c r="D26" i="4"/>
  <c r="IJ172" i="5" s="1"/>
  <c r="C26" i="4"/>
  <c r="II172" i="5" s="1"/>
  <c r="E42" i="4"/>
  <c r="DG174" i="5" s="1"/>
  <c r="DH174" i="5"/>
  <c r="D42" i="4"/>
  <c r="DF174" i="5" s="1"/>
  <c r="C42" i="4"/>
  <c r="DE174" i="5" s="1"/>
  <c r="E62" i="4"/>
  <c r="BQ176" i="5" s="1"/>
  <c r="D62" i="4"/>
  <c r="BP176" i="5" s="1"/>
  <c r="C62" i="4"/>
  <c r="BO176" i="5" s="1"/>
  <c r="BR176" i="5"/>
  <c r="E82" i="4"/>
  <c r="AA178" i="5" s="1"/>
  <c r="D82" i="4"/>
  <c r="Z178" i="5" s="1"/>
  <c r="C82" i="4"/>
  <c r="Y178" i="5" s="1"/>
  <c r="AB178" i="5"/>
  <c r="E9" i="4"/>
  <c r="DA171" i="5" s="1"/>
  <c r="D9" i="4"/>
  <c r="CZ171" i="5" s="1"/>
  <c r="C9" i="4"/>
  <c r="CY171" i="5" s="1"/>
  <c r="DB171" i="5"/>
  <c r="E5" i="4"/>
  <c r="M171" i="5" s="1"/>
  <c r="D5" i="4"/>
  <c r="L171" i="5" s="1"/>
  <c r="C5" i="4"/>
  <c r="K171" i="5" s="1"/>
  <c r="N171" i="5"/>
  <c r="E13" i="4"/>
  <c r="GO171" i="5" s="1"/>
  <c r="D13" i="4"/>
  <c r="GN171" i="5" s="1"/>
  <c r="C13" i="4"/>
  <c r="GM171" i="5" s="1"/>
  <c r="GP171" i="5"/>
  <c r="E17" i="4"/>
  <c r="AL172" i="5" s="1"/>
  <c r="D17" i="4"/>
  <c r="AK172" i="5" s="1"/>
  <c r="C17" i="4"/>
  <c r="AJ172" i="5" s="1"/>
  <c r="AM172" i="5"/>
  <c r="E21" i="4"/>
  <c r="DZ172" i="5" s="1"/>
  <c r="D21" i="4"/>
  <c r="DY172" i="5" s="1"/>
  <c r="C21" i="4"/>
  <c r="DX172" i="5" s="1"/>
  <c r="EA172" i="5"/>
  <c r="E25" i="4"/>
  <c r="HN172" i="5" s="1"/>
  <c r="D25" i="4"/>
  <c r="HM172" i="5" s="1"/>
  <c r="C25" i="4"/>
  <c r="HL172" i="5" s="1"/>
  <c r="HO172" i="5"/>
  <c r="E29" i="4"/>
  <c r="BK173" i="5" s="1"/>
  <c r="D29" i="4"/>
  <c r="BJ173" i="5" s="1"/>
  <c r="C29" i="4"/>
  <c r="BI173" i="5" s="1"/>
  <c r="BL173" i="5"/>
  <c r="E33" i="4"/>
  <c r="EY173" i="5" s="1"/>
  <c r="D33" i="4"/>
  <c r="EX173" i="5" s="1"/>
  <c r="C33" i="4"/>
  <c r="EW173" i="5" s="1"/>
  <c r="EZ173" i="5"/>
  <c r="E37" i="4"/>
  <c r="IM173" i="5" s="1"/>
  <c r="D37" i="4"/>
  <c r="IL173" i="5" s="1"/>
  <c r="C37" i="4"/>
  <c r="IK173" i="5" s="1"/>
  <c r="IN173" i="5"/>
  <c r="E41" i="4"/>
  <c r="CJ174" i="5" s="1"/>
  <c r="D41" i="4"/>
  <c r="CI174" i="5" s="1"/>
  <c r="C41" i="4"/>
  <c r="CH174" i="5" s="1"/>
  <c r="CK174" i="5"/>
  <c r="E45" i="4"/>
  <c r="FX174" i="5" s="1"/>
  <c r="C45" i="4"/>
  <c r="FV174" i="5" s="1"/>
  <c r="FY174" i="5"/>
  <c r="D45" i="4"/>
  <c r="FW174" i="5" s="1"/>
  <c r="E49" i="4"/>
  <c r="U175" i="5" s="1"/>
  <c r="C49" i="4"/>
  <c r="S175" i="5" s="1"/>
  <c r="V175" i="5"/>
  <c r="D49" i="4"/>
  <c r="T175" i="5" s="1"/>
  <c r="E53" i="4"/>
  <c r="DI175" i="5" s="1"/>
  <c r="C53" i="4"/>
  <c r="DG175" i="5" s="1"/>
  <c r="D53" i="4"/>
  <c r="DH175" i="5" s="1"/>
  <c r="DJ175" i="5"/>
  <c r="E57" i="4"/>
  <c r="GW175" i="5" s="1"/>
  <c r="C57" i="4"/>
  <c r="GU175" i="5" s="1"/>
  <c r="GX175" i="5"/>
  <c r="D57" i="4"/>
  <c r="GV175" i="5" s="1"/>
  <c r="E61" i="4"/>
  <c r="AT176" i="5" s="1"/>
  <c r="C61" i="4"/>
  <c r="AR176" i="5" s="1"/>
  <c r="D61" i="4"/>
  <c r="AS176" i="5" s="1"/>
  <c r="AU176" i="5"/>
  <c r="E65" i="4"/>
  <c r="EH176" i="5" s="1"/>
  <c r="C65" i="4"/>
  <c r="EF176" i="5" s="1"/>
  <c r="EI176" i="5"/>
  <c r="D65" i="4"/>
  <c r="EG176" i="5" s="1"/>
  <c r="E69" i="4"/>
  <c r="HV176" i="5" s="1"/>
  <c r="C69" i="4"/>
  <c r="HT176" i="5" s="1"/>
  <c r="D69" i="4"/>
  <c r="HU176" i="5" s="1"/>
  <c r="HW176" i="5"/>
  <c r="E73" i="4"/>
  <c r="BS177" i="5" s="1"/>
  <c r="C73" i="4"/>
  <c r="BQ177" i="5" s="1"/>
  <c r="BT177" i="5"/>
  <c r="D73" i="4"/>
  <c r="BR177" i="5" s="1"/>
  <c r="E77" i="4"/>
  <c r="FG177" i="5" s="1"/>
  <c r="C77" i="4"/>
  <c r="FE177" i="5" s="1"/>
  <c r="D77" i="4"/>
  <c r="FF177" i="5" s="1"/>
  <c r="FH177" i="5"/>
  <c r="E81" i="4"/>
  <c r="IU177" i="5" s="1"/>
  <c r="C81" i="4"/>
  <c r="IS177" i="5" s="1"/>
  <c r="IV177" i="5"/>
  <c r="D81" i="4"/>
  <c r="IT177" i="5" s="1"/>
  <c r="E85" i="4"/>
  <c r="CR178" i="5" s="1"/>
  <c r="C85" i="4"/>
  <c r="CP178" i="5" s="1"/>
  <c r="D85" i="4"/>
  <c r="CQ178" i="5" s="1"/>
  <c r="CS178" i="5"/>
  <c r="GG178" i="5"/>
  <c r="C89" i="4"/>
  <c r="GD178" i="5" s="1"/>
  <c r="D89" i="4"/>
  <c r="GE178" i="5" s="1"/>
  <c r="E89" i="4"/>
  <c r="GF178" i="5" s="1"/>
  <c r="AD179" i="5"/>
  <c r="E93" i="4"/>
  <c r="AC179" i="5" s="1"/>
  <c r="C93" i="4"/>
  <c r="AA179" i="5" s="1"/>
  <c r="D93" i="4"/>
  <c r="AB179" i="5" s="1"/>
  <c r="DR179" i="5"/>
  <c r="E97" i="4"/>
  <c r="DQ179" i="5" s="1"/>
  <c r="D97" i="4"/>
  <c r="DP179" i="5" s="1"/>
  <c r="C97" i="4"/>
  <c r="DO179" i="5" s="1"/>
  <c r="HF179" i="5"/>
  <c r="D101" i="4"/>
  <c r="HD179" i="5" s="1"/>
  <c r="C101" i="4"/>
  <c r="HC179" i="5" s="1"/>
  <c r="E101" i="4"/>
  <c r="HE179" i="5" s="1"/>
  <c r="BC180" i="5"/>
  <c r="C105" i="4"/>
  <c r="AZ180" i="5" s="1"/>
  <c r="E105" i="4"/>
  <c r="BB180" i="5" s="1"/>
  <c r="D105" i="4"/>
  <c r="BA180" i="5" s="1"/>
  <c r="EQ180" i="5"/>
  <c r="E109" i="4"/>
  <c r="EP180" i="5" s="1"/>
  <c r="D109" i="4"/>
  <c r="EO180" i="5" s="1"/>
  <c r="C109" i="4"/>
  <c r="EN180" i="5" s="1"/>
  <c r="IE180" i="5"/>
  <c r="E113" i="4"/>
  <c r="ID180" i="5" s="1"/>
  <c r="D113" i="4"/>
  <c r="IC180" i="5" s="1"/>
  <c r="C113" i="4"/>
  <c r="IB180" i="5" s="1"/>
  <c r="CB181" i="5"/>
  <c r="E117" i="4"/>
  <c r="CA181" i="5" s="1"/>
  <c r="D117" i="4"/>
  <c r="BZ181" i="5" s="1"/>
  <c r="C117" i="4"/>
  <c r="BY181" i="5" s="1"/>
  <c r="FP181" i="5"/>
  <c r="E121" i="4"/>
  <c r="FO181" i="5" s="1"/>
  <c r="D121" i="4"/>
  <c r="FN181" i="5" s="1"/>
  <c r="C121" i="4"/>
  <c r="FM181" i="5" s="1"/>
  <c r="M182" i="5"/>
  <c r="E125" i="4"/>
  <c r="L182" i="5" s="1"/>
  <c r="D125" i="4"/>
  <c r="K182" i="5" s="1"/>
  <c r="C125" i="4"/>
  <c r="J182" i="5" s="1"/>
  <c r="DA182" i="5"/>
  <c r="E129" i="4"/>
  <c r="CZ182" i="5" s="1"/>
  <c r="D129" i="4"/>
  <c r="CY182" i="5" s="1"/>
  <c r="C129" i="4"/>
  <c r="CX182" i="5" s="1"/>
  <c r="GO182" i="5"/>
  <c r="E133" i="4"/>
  <c r="GN182" i="5" s="1"/>
  <c r="D133" i="4"/>
  <c r="GM182" i="5" s="1"/>
  <c r="C133" i="4"/>
  <c r="GL182" i="5" s="1"/>
  <c r="AL183" i="5"/>
  <c r="E137" i="4"/>
  <c r="AK183" i="5" s="1"/>
  <c r="D137" i="4"/>
  <c r="AJ183" i="5" s="1"/>
  <c r="C137" i="4"/>
  <c r="AI183" i="5" s="1"/>
  <c r="DZ183" i="5"/>
  <c r="E141" i="4"/>
  <c r="DY183" i="5" s="1"/>
  <c r="D141" i="4"/>
  <c r="DX183" i="5" s="1"/>
  <c r="C141" i="4"/>
  <c r="DW183" i="5" s="1"/>
  <c r="HN183" i="5"/>
  <c r="E145" i="4"/>
  <c r="HM183" i="5" s="1"/>
  <c r="C145" i="4"/>
  <c r="HK183" i="5" s="1"/>
  <c r="D145" i="4"/>
  <c r="HL183" i="5" s="1"/>
  <c r="BK184" i="5"/>
  <c r="E149" i="4"/>
  <c r="BJ184" i="5" s="1"/>
  <c r="D149" i="4"/>
  <c r="BI184" i="5" s="1"/>
  <c r="C149" i="4"/>
  <c r="BH184" i="5" s="1"/>
  <c r="EY184" i="5"/>
  <c r="E153" i="4"/>
  <c r="EX184" i="5" s="1"/>
  <c r="C153" i="4"/>
  <c r="EV184" i="5" s="1"/>
  <c r="D153" i="4"/>
  <c r="EW184" i="5" s="1"/>
  <c r="IM184" i="5"/>
  <c r="E157" i="4"/>
  <c r="IL184" i="5" s="1"/>
  <c r="D157" i="4"/>
  <c r="IK184" i="5" s="1"/>
  <c r="C157" i="4"/>
  <c r="IJ184" i="5" s="1"/>
  <c r="CJ185" i="5"/>
  <c r="E161" i="4"/>
  <c r="CI185" i="5" s="1"/>
  <c r="C161" i="4"/>
  <c r="CG185" i="5" s="1"/>
  <c r="D161" i="4"/>
  <c r="CH185" i="5" s="1"/>
  <c r="FX185" i="5"/>
  <c r="E165" i="4"/>
  <c r="FW185" i="5" s="1"/>
  <c r="D165" i="4"/>
  <c r="FV185" i="5" s="1"/>
  <c r="C165" i="4"/>
  <c r="FU185" i="5" s="1"/>
  <c r="U186" i="5"/>
  <c r="E169" i="4"/>
  <c r="T186" i="5" s="1"/>
  <c r="C169" i="4"/>
  <c r="R186" i="5" s="1"/>
  <c r="D169" i="4"/>
  <c r="S186" i="5" s="1"/>
  <c r="DI186" i="5"/>
  <c r="E173" i="4"/>
  <c r="DH186" i="5" s="1"/>
  <c r="D173" i="4"/>
  <c r="DG186" i="5" s="1"/>
  <c r="C173" i="4"/>
  <c r="DF186" i="5" s="1"/>
  <c r="GW186" i="5"/>
  <c r="E177" i="4"/>
  <c r="GV186" i="5" s="1"/>
  <c r="C177" i="4"/>
  <c r="GT186" i="5" s="1"/>
  <c r="D177" i="4"/>
  <c r="GU186" i="5" s="1"/>
  <c r="AT187" i="5"/>
  <c r="E181" i="4"/>
  <c r="AS187" i="5" s="1"/>
  <c r="D181" i="4"/>
  <c r="AR187" i="5" s="1"/>
  <c r="C181" i="4"/>
  <c r="AQ187" i="5" s="1"/>
  <c r="EH187" i="5"/>
  <c r="E185" i="4"/>
  <c r="EG187" i="5" s="1"/>
  <c r="C185" i="4"/>
  <c r="EE187" i="5" s="1"/>
  <c r="D185" i="4"/>
  <c r="EF187" i="5" s="1"/>
  <c r="HV187" i="5"/>
  <c r="E189" i="4"/>
  <c r="HU187" i="5" s="1"/>
  <c r="D189" i="4"/>
  <c r="HT187" i="5" s="1"/>
  <c r="C189" i="4"/>
  <c r="HS187" i="5" s="1"/>
  <c r="BS188" i="5"/>
  <c r="E193" i="4"/>
  <c r="BR188" i="5" s="1"/>
  <c r="C193" i="4"/>
  <c r="BP188" i="5" s="1"/>
  <c r="D193" i="4"/>
  <c r="BQ188" i="5" s="1"/>
  <c r="FG188" i="5"/>
  <c r="E197" i="4"/>
  <c r="FF188" i="5" s="1"/>
  <c r="D197" i="4"/>
  <c r="FE188" i="5" s="1"/>
  <c r="C197" i="4"/>
  <c r="FD188" i="5" s="1"/>
  <c r="IU188" i="5"/>
  <c r="E201" i="4"/>
  <c r="IT188" i="5" s="1"/>
  <c r="C201" i="4"/>
  <c r="IR188" i="5" s="1"/>
  <c r="D201" i="4"/>
  <c r="IS188" i="5" s="1"/>
  <c r="CR189" i="5"/>
  <c r="E205" i="4"/>
  <c r="CQ189" i="5" s="1"/>
  <c r="D205" i="4"/>
  <c r="CP189" i="5" s="1"/>
  <c r="C205" i="4"/>
  <c r="CO189" i="5" s="1"/>
  <c r="GF189" i="5"/>
  <c r="E209" i="4"/>
  <c r="GE189" i="5" s="1"/>
  <c r="C209" i="4"/>
  <c r="GC189" i="5" s="1"/>
  <c r="D209" i="4"/>
  <c r="GD189" i="5" s="1"/>
  <c r="AC190" i="5"/>
  <c r="E213" i="4"/>
  <c r="AB190" i="5" s="1"/>
  <c r="D213" i="4"/>
  <c r="AA190" i="5" s="1"/>
  <c r="C213" i="4"/>
  <c r="Z190" i="5" s="1"/>
  <c r="DQ190" i="5"/>
  <c r="E217" i="4"/>
  <c r="DP190" i="5" s="1"/>
  <c r="C217" i="4"/>
  <c r="DN190" i="5" s="1"/>
  <c r="D217" i="4"/>
  <c r="DO190" i="5" s="1"/>
  <c r="HE190" i="5"/>
  <c r="E221" i="4"/>
  <c r="HD190" i="5" s="1"/>
  <c r="D221" i="4"/>
  <c r="HC190" i="5" s="1"/>
  <c r="C221" i="4"/>
  <c r="HB190" i="5" s="1"/>
  <c r="C225" i="4"/>
  <c r="AY191" i="5" s="1"/>
  <c r="BB191" i="5"/>
  <c r="D225" i="4"/>
  <c r="AZ191" i="5" s="1"/>
  <c r="E225" i="4"/>
  <c r="BA191" i="5" s="1"/>
  <c r="C229" i="4"/>
  <c r="EM191" i="5" s="1"/>
  <c r="EP191" i="5"/>
  <c r="D229" i="4"/>
  <c r="EN191" i="5" s="1"/>
  <c r="E229" i="4"/>
  <c r="EO191" i="5" s="1"/>
  <c r="C233" i="4"/>
  <c r="IA191" i="5" s="1"/>
  <c r="D233" i="4"/>
  <c r="IB191" i="5" s="1"/>
  <c r="ID191" i="5"/>
  <c r="E233" i="4"/>
  <c r="IC191" i="5" s="1"/>
  <c r="C237" i="4"/>
  <c r="BX192" i="5" s="1"/>
  <c r="D237" i="4"/>
  <c r="BY192" i="5" s="1"/>
  <c r="CA192" i="5"/>
  <c r="E237" i="4"/>
  <c r="BZ192" i="5" s="1"/>
  <c r="C241" i="4"/>
  <c r="FL192" i="5" s="1"/>
  <c r="D241" i="4"/>
  <c r="FM192" i="5" s="1"/>
  <c r="E241" i="4"/>
  <c r="FN192" i="5" s="1"/>
  <c r="FO192" i="5"/>
  <c r="C245" i="4"/>
  <c r="I193" i="5" s="1"/>
  <c r="D245" i="4"/>
  <c r="J193" i="5" s="1"/>
  <c r="E245" i="4"/>
  <c r="K193" i="5" s="1"/>
  <c r="L193" i="5"/>
  <c r="C249" i="4"/>
  <c r="CW193" i="5" s="1"/>
  <c r="D249" i="4"/>
  <c r="CX193" i="5" s="1"/>
  <c r="CZ193" i="5"/>
  <c r="E249" i="4"/>
  <c r="CY193" i="5" s="1"/>
  <c r="C253" i="4"/>
  <c r="GK193" i="5" s="1"/>
  <c r="D253" i="4"/>
  <c r="GL193" i="5" s="1"/>
  <c r="GN193" i="5"/>
  <c r="E253" i="4"/>
  <c r="GM193" i="5" s="1"/>
  <c r="C257" i="4"/>
  <c r="AH194" i="5" s="1"/>
  <c r="D257" i="4"/>
  <c r="AI194" i="5" s="1"/>
  <c r="E257" i="4"/>
  <c r="AJ194" i="5" s="1"/>
  <c r="AK194" i="5"/>
  <c r="C261" i="4"/>
  <c r="DV194" i="5" s="1"/>
  <c r="D261" i="4"/>
  <c r="DW194" i="5" s="1"/>
  <c r="E261" i="4"/>
  <c r="DX194" i="5" s="1"/>
  <c r="DY194" i="5"/>
  <c r="C265" i="4"/>
  <c r="HJ194" i="5" s="1"/>
  <c r="D265" i="4"/>
  <c r="HK194" i="5" s="1"/>
  <c r="HM194" i="5"/>
  <c r="E265" i="4"/>
  <c r="HL194" i="5" s="1"/>
  <c r="D269" i="4"/>
  <c r="BH195" i="5" s="1"/>
  <c r="C269" i="4"/>
  <c r="BG195" i="5" s="1"/>
  <c r="BJ195" i="5"/>
  <c r="E269" i="4"/>
  <c r="BI195" i="5" s="1"/>
  <c r="D273" i="4"/>
  <c r="EV195" i="5" s="1"/>
  <c r="C273" i="4"/>
  <c r="EU195" i="5" s="1"/>
  <c r="EX195" i="5"/>
  <c r="E273" i="4"/>
  <c r="EW195" i="5" s="1"/>
  <c r="D277" i="4"/>
  <c r="IJ195" i="5" s="1"/>
  <c r="C277" i="4"/>
  <c r="II195" i="5" s="1"/>
  <c r="IL195" i="5"/>
  <c r="E277" i="4"/>
  <c r="IK195" i="5" s="1"/>
  <c r="D281" i="4"/>
  <c r="CG196" i="5" s="1"/>
  <c r="C281" i="4"/>
  <c r="CF196" i="5" s="1"/>
  <c r="CI196" i="5"/>
  <c r="E281" i="4"/>
  <c r="CH196" i="5" s="1"/>
  <c r="D285" i="4"/>
  <c r="FU196" i="5" s="1"/>
  <c r="C285" i="4"/>
  <c r="FT196" i="5" s="1"/>
  <c r="FW196" i="5"/>
  <c r="E285" i="4"/>
  <c r="FV196" i="5" s="1"/>
  <c r="D289" i="4"/>
  <c r="R197" i="5" s="1"/>
  <c r="C289" i="4"/>
  <c r="Q197" i="5" s="1"/>
  <c r="T197" i="5"/>
  <c r="E289" i="4"/>
  <c r="S197" i="5" s="1"/>
  <c r="D293" i="4"/>
  <c r="DF197" i="5" s="1"/>
  <c r="C293" i="4"/>
  <c r="DE197" i="5" s="1"/>
  <c r="DH197" i="5"/>
  <c r="E293" i="4"/>
  <c r="DG197" i="5" s="1"/>
  <c r="D297" i="4"/>
  <c r="GT197" i="5" s="1"/>
  <c r="C297" i="4"/>
  <c r="GS197" i="5" s="1"/>
  <c r="GV197" i="5"/>
  <c r="E297" i="4"/>
  <c r="GU197" i="5" s="1"/>
  <c r="D301" i="4"/>
  <c r="AQ198" i="5" s="1"/>
  <c r="C301" i="4"/>
  <c r="AP198" i="5" s="1"/>
  <c r="AS198" i="5"/>
  <c r="E301" i="4"/>
  <c r="AR198" i="5" s="1"/>
  <c r="D305" i="4"/>
  <c r="EE198" i="5" s="1"/>
  <c r="C305" i="4"/>
  <c r="ED198" i="5" s="1"/>
  <c r="EG198" i="5"/>
  <c r="E305" i="4"/>
  <c r="EF198" i="5" s="1"/>
  <c r="D309" i="4"/>
  <c r="HS198" i="5" s="1"/>
  <c r="C309" i="4"/>
  <c r="HR198" i="5" s="1"/>
  <c r="HU198" i="5"/>
  <c r="E309" i="4"/>
  <c r="HT198" i="5" s="1"/>
  <c r="D313" i="4"/>
  <c r="BP199" i="5" s="1"/>
  <c r="C313" i="4"/>
  <c r="BO199" i="5" s="1"/>
  <c r="BR199" i="5"/>
  <c r="E313" i="4"/>
  <c r="BQ199" i="5" s="1"/>
  <c r="D317" i="4"/>
  <c r="FD199" i="5" s="1"/>
  <c r="C317" i="4"/>
  <c r="FC199" i="5" s="1"/>
  <c r="FF199" i="5"/>
  <c r="E317" i="4"/>
  <c r="FE199" i="5" s="1"/>
  <c r="D321" i="4"/>
  <c r="IR199" i="5" s="1"/>
  <c r="C321" i="4"/>
  <c r="IQ199" i="5" s="1"/>
  <c r="IT199" i="5"/>
  <c r="E321" i="4"/>
  <c r="IS199" i="5" s="1"/>
  <c r="D325" i="4"/>
  <c r="CO200" i="5" s="1"/>
  <c r="C325" i="4"/>
  <c r="CN200" i="5" s="1"/>
  <c r="CQ200" i="5"/>
  <c r="E325" i="4"/>
  <c r="CP200" i="5" s="1"/>
  <c r="D329" i="4"/>
  <c r="GC200" i="5" s="1"/>
  <c r="C329" i="4"/>
  <c r="GB200" i="5" s="1"/>
  <c r="GE200" i="5"/>
  <c r="E329" i="4"/>
  <c r="GD200" i="5" s="1"/>
  <c r="D333" i="4"/>
  <c r="Z201" i="5" s="1"/>
  <c r="C333" i="4"/>
  <c r="Y201" i="5" s="1"/>
  <c r="AB201" i="5"/>
  <c r="E333" i="4"/>
  <c r="AA201" i="5" s="1"/>
  <c r="D337" i="4"/>
  <c r="DN201" i="5" s="1"/>
  <c r="C337" i="4"/>
  <c r="DM201" i="5" s="1"/>
  <c r="DP201" i="5"/>
  <c r="E337" i="4"/>
  <c r="DO201" i="5" s="1"/>
  <c r="D341" i="4"/>
  <c r="HB201" i="5" s="1"/>
  <c r="C341" i="4"/>
  <c r="HA201" i="5" s="1"/>
  <c r="HD201" i="5"/>
  <c r="E341" i="4"/>
  <c r="HC201" i="5" s="1"/>
  <c r="D345" i="4"/>
  <c r="AY202" i="5" s="1"/>
  <c r="C345" i="4"/>
  <c r="AX202" i="5" s="1"/>
  <c r="BA202" i="5"/>
  <c r="E345" i="4"/>
  <c r="AZ202" i="5" s="1"/>
  <c r="D349" i="4"/>
  <c r="EM202" i="5" s="1"/>
  <c r="C349" i="4"/>
  <c r="EL202" i="5" s="1"/>
  <c r="EO202" i="5"/>
  <c r="E349" i="4"/>
  <c r="EN202" i="5" s="1"/>
  <c r="D353" i="4"/>
  <c r="IA202" i="5" s="1"/>
  <c r="C353" i="4"/>
  <c r="HZ202" i="5" s="1"/>
  <c r="IC202" i="5"/>
  <c r="E353" i="4"/>
  <c r="IB202" i="5" s="1"/>
  <c r="D357" i="4"/>
  <c r="BX203" i="5" s="1"/>
  <c r="C357" i="4"/>
  <c r="BW203" i="5" s="1"/>
  <c r="BZ203" i="5"/>
  <c r="E357" i="4"/>
  <c r="BY203" i="5" s="1"/>
  <c r="D361" i="4"/>
  <c r="FL203" i="5" s="1"/>
  <c r="C361" i="4"/>
  <c r="FK203" i="5" s="1"/>
  <c r="FN203" i="5"/>
  <c r="E361" i="4"/>
  <c r="FM203" i="5" s="1"/>
  <c r="D365" i="4"/>
  <c r="I204" i="5" s="1"/>
  <c r="C365" i="4"/>
  <c r="H204" i="5" s="1"/>
  <c r="K204" i="5"/>
  <c r="E365" i="4"/>
  <c r="J204" i="5" s="1"/>
  <c r="D369" i="4"/>
  <c r="CW204" i="5" s="1"/>
  <c r="C369" i="4"/>
  <c r="CV204" i="5" s="1"/>
  <c r="CY204" i="5"/>
  <c r="E369" i="4"/>
  <c r="CX204" i="5" s="1"/>
  <c r="D373" i="4"/>
  <c r="GK204" i="5" s="1"/>
  <c r="C373" i="4"/>
  <c r="GJ204" i="5" s="1"/>
  <c r="GM204" i="5"/>
  <c r="E373" i="4"/>
  <c r="GL204" i="5" s="1"/>
  <c r="D377" i="4"/>
  <c r="AH205" i="5" s="1"/>
  <c r="C377" i="4"/>
  <c r="AG205" i="5" s="1"/>
  <c r="AJ205" i="5"/>
  <c r="E377" i="4"/>
  <c r="AI205" i="5" s="1"/>
  <c r="D381" i="4"/>
  <c r="DV205" i="5" s="1"/>
  <c r="C381" i="4"/>
  <c r="DU205" i="5" s="1"/>
  <c r="DX205" i="5"/>
  <c r="E381" i="4"/>
  <c r="DW205" i="5" s="1"/>
  <c r="E385" i="4"/>
  <c r="HK205" i="5" s="1"/>
  <c r="HL205" i="5"/>
  <c r="D385" i="4"/>
  <c r="HJ205" i="5" s="1"/>
  <c r="C385" i="4"/>
  <c r="HI205" i="5" s="1"/>
  <c r="E389" i="4"/>
  <c r="BH206" i="5" s="1"/>
  <c r="D389" i="4"/>
  <c r="BG206" i="5" s="1"/>
  <c r="C389" i="4"/>
  <c r="BF206" i="5" s="1"/>
  <c r="BI206" i="5"/>
  <c r="E393" i="4"/>
  <c r="EV206" i="5" s="1"/>
  <c r="D393" i="4"/>
  <c r="EU206" i="5" s="1"/>
  <c r="C393" i="4"/>
  <c r="ET206" i="5" s="1"/>
  <c r="EW206" i="5"/>
  <c r="E397" i="4"/>
  <c r="IJ206" i="5" s="1"/>
  <c r="D397" i="4"/>
  <c r="II206" i="5" s="1"/>
  <c r="C397" i="4"/>
  <c r="IH206" i="5" s="1"/>
  <c r="IK206" i="5"/>
  <c r="E401" i="4"/>
  <c r="CG207" i="5" s="1"/>
  <c r="D401" i="4"/>
  <c r="CF207" i="5" s="1"/>
  <c r="C401" i="4"/>
  <c r="CE207" i="5" s="1"/>
  <c r="CH207" i="5"/>
  <c r="E405" i="4"/>
  <c r="FU207" i="5" s="1"/>
  <c r="D405" i="4"/>
  <c r="FT207" i="5" s="1"/>
  <c r="C405" i="4"/>
  <c r="FS207" i="5" s="1"/>
  <c r="FV207" i="5"/>
  <c r="E409" i="4"/>
  <c r="R208" i="5" s="1"/>
  <c r="D409" i="4"/>
  <c r="Q208" i="5" s="1"/>
  <c r="C409" i="4"/>
  <c r="P208" i="5" s="1"/>
  <c r="S208" i="5"/>
  <c r="E413" i="4"/>
  <c r="DF208" i="5" s="1"/>
  <c r="D413" i="4"/>
  <c r="DE208" i="5" s="1"/>
  <c r="C413" i="4"/>
  <c r="DD208" i="5" s="1"/>
  <c r="DG208" i="5"/>
  <c r="E417" i="4"/>
  <c r="GT208" i="5" s="1"/>
  <c r="D417" i="4"/>
  <c r="GS208" i="5" s="1"/>
  <c r="C417" i="4"/>
  <c r="GR208" i="5" s="1"/>
  <c r="GU208" i="5"/>
  <c r="E421" i="4"/>
  <c r="AQ209" i="5" s="1"/>
  <c r="D421" i="4"/>
  <c r="AP209" i="5" s="1"/>
  <c r="C421" i="4"/>
  <c r="AO209" i="5" s="1"/>
  <c r="AR209" i="5"/>
  <c r="E425" i="4"/>
  <c r="EE209" i="5" s="1"/>
  <c r="D425" i="4"/>
  <c r="ED209" i="5" s="1"/>
  <c r="C425" i="4"/>
  <c r="EC209" i="5" s="1"/>
  <c r="EF209" i="5"/>
  <c r="E429" i="4"/>
  <c r="HS209" i="5" s="1"/>
  <c r="D429" i="4"/>
  <c r="HR209" i="5" s="1"/>
  <c r="C429" i="4"/>
  <c r="HQ209" i="5" s="1"/>
  <c r="HT209" i="5"/>
  <c r="E433" i="4"/>
  <c r="BP210" i="5" s="1"/>
  <c r="D433" i="4"/>
  <c r="BO210" i="5" s="1"/>
  <c r="C433" i="4"/>
  <c r="BN210" i="5" s="1"/>
  <c r="BQ210" i="5"/>
  <c r="E437" i="4"/>
  <c r="FD210" i="5" s="1"/>
  <c r="D437" i="4"/>
  <c r="FC210" i="5" s="1"/>
  <c r="C437" i="4"/>
  <c r="FB210" i="5" s="1"/>
  <c r="FE210" i="5"/>
  <c r="E441" i="4"/>
  <c r="IR210" i="5" s="1"/>
  <c r="D441" i="4"/>
  <c r="IQ210" i="5" s="1"/>
  <c r="C441" i="4"/>
  <c r="IP210" i="5" s="1"/>
  <c r="IS210" i="5"/>
  <c r="E445" i="4"/>
  <c r="CO211" i="5" s="1"/>
  <c r="D445" i="4"/>
  <c r="CN211" i="5" s="1"/>
  <c r="C445" i="4"/>
  <c r="CM211" i="5" s="1"/>
  <c r="CP211" i="5"/>
  <c r="E449" i="4"/>
  <c r="GC211" i="5" s="1"/>
  <c r="D449" i="4"/>
  <c r="GB211" i="5" s="1"/>
  <c r="C449" i="4"/>
  <c r="GA211" i="5" s="1"/>
  <c r="GD211" i="5"/>
  <c r="E453" i="4"/>
  <c r="Z212" i="5" s="1"/>
  <c r="D453" i="4"/>
  <c r="Y212" i="5" s="1"/>
  <c r="C453" i="4"/>
  <c r="X212" i="5" s="1"/>
  <c r="AA212" i="5"/>
  <c r="E457" i="4"/>
  <c r="DN212" i="5" s="1"/>
  <c r="D457" i="4"/>
  <c r="DM212" i="5" s="1"/>
  <c r="C457" i="4"/>
  <c r="DL212" i="5" s="1"/>
  <c r="DO212" i="5"/>
  <c r="E461" i="4"/>
  <c r="HB212" i="5" s="1"/>
  <c r="D461" i="4"/>
  <c r="HA212" i="5" s="1"/>
  <c r="C461" i="4"/>
  <c r="GZ212" i="5" s="1"/>
  <c r="HC212" i="5"/>
  <c r="E465" i="4"/>
  <c r="AY213" i="5" s="1"/>
  <c r="D465" i="4"/>
  <c r="AX213" i="5" s="1"/>
  <c r="C465" i="4"/>
  <c r="AW213" i="5" s="1"/>
  <c r="AZ213" i="5"/>
  <c r="E469" i="4"/>
  <c r="EM213" i="5" s="1"/>
  <c r="D469" i="4"/>
  <c r="EL213" i="5" s="1"/>
  <c r="C469" i="4"/>
  <c r="EK213" i="5" s="1"/>
  <c r="EN213" i="5"/>
  <c r="D473" i="4"/>
  <c r="HZ213" i="5" s="1"/>
  <c r="IB213" i="5"/>
  <c r="E473" i="4"/>
  <c r="IA213" i="5" s="1"/>
  <c r="C473" i="4"/>
  <c r="HY213" i="5" s="1"/>
  <c r="D477" i="4"/>
  <c r="BW214" i="5" s="1"/>
  <c r="BY214" i="5"/>
  <c r="E477" i="4"/>
  <c r="BX214" i="5" s="1"/>
  <c r="C477" i="4"/>
  <c r="BV214" i="5" s="1"/>
  <c r="D481" i="4"/>
  <c r="FK214" i="5" s="1"/>
  <c r="FM214" i="5"/>
  <c r="E481" i="4"/>
  <c r="FL214" i="5" s="1"/>
  <c r="C481" i="4"/>
  <c r="FJ214" i="5" s="1"/>
  <c r="D485" i="4"/>
  <c r="H215" i="5" s="1"/>
  <c r="J215" i="5"/>
  <c r="E485" i="4"/>
  <c r="I215" i="5" s="1"/>
  <c r="C485" i="4"/>
  <c r="G215" i="5" s="1"/>
  <c r="D489" i="4"/>
  <c r="CV215" i="5" s="1"/>
  <c r="CX215" i="5"/>
  <c r="E489" i="4"/>
  <c r="CW215" i="5" s="1"/>
  <c r="C489" i="4"/>
  <c r="CU215" i="5" s="1"/>
  <c r="D493" i="4"/>
  <c r="GJ215" i="5" s="1"/>
  <c r="GL215" i="5"/>
  <c r="E493" i="4"/>
  <c r="GK215" i="5" s="1"/>
  <c r="C493" i="4"/>
  <c r="GI215" i="5" s="1"/>
  <c r="D497" i="4"/>
  <c r="AG216" i="5" s="1"/>
  <c r="AI216" i="5"/>
  <c r="E497" i="4"/>
  <c r="AH216" i="5" s="1"/>
  <c r="C497" i="4"/>
  <c r="AF216" i="5" s="1"/>
  <c r="D501" i="4"/>
  <c r="DU216" i="5" s="1"/>
  <c r="DW216" i="5"/>
  <c r="E501" i="4"/>
  <c r="DV216" i="5" s="1"/>
  <c r="C501" i="4"/>
  <c r="DT216" i="5" s="1"/>
  <c r="D505" i="4"/>
  <c r="HI216" i="5" s="1"/>
  <c r="HK216" i="5"/>
  <c r="E505" i="4"/>
  <c r="HJ216" i="5" s="1"/>
  <c r="C505" i="4"/>
  <c r="HH216" i="5" s="1"/>
  <c r="D509" i="4"/>
  <c r="BF217" i="5" s="1"/>
  <c r="BH217" i="5"/>
  <c r="E509" i="4"/>
  <c r="BG217" i="5" s="1"/>
  <c r="C509" i="4"/>
  <c r="BE217" i="5" s="1"/>
  <c r="D513" i="4"/>
  <c r="ET217" i="5" s="1"/>
  <c r="EV217" i="5"/>
  <c r="E513" i="4"/>
  <c r="EU217" i="5" s="1"/>
  <c r="C513" i="4"/>
  <c r="ES217" i="5" s="1"/>
  <c r="D517" i="4"/>
  <c r="IH217" i="5" s="1"/>
  <c r="IJ217" i="5"/>
  <c r="E517" i="4"/>
  <c r="II217" i="5" s="1"/>
  <c r="C517" i="4"/>
  <c r="IG217" i="5" s="1"/>
  <c r="D521" i="4"/>
  <c r="CE218" i="5" s="1"/>
  <c r="CG218" i="5"/>
  <c r="E521" i="4"/>
  <c r="CF218" i="5" s="1"/>
  <c r="C521" i="4"/>
  <c r="CD218" i="5" s="1"/>
  <c r="D525" i="4"/>
  <c r="FS218" i="5" s="1"/>
  <c r="FU218" i="5"/>
  <c r="E525" i="4"/>
  <c r="FT218" i="5" s="1"/>
  <c r="C525" i="4"/>
  <c r="FR218" i="5" s="1"/>
  <c r="D529" i="4"/>
  <c r="P219" i="5" s="1"/>
  <c r="R219" i="5"/>
  <c r="E529" i="4"/>
  <c r="Q219" i="5" s="1"/>
  <c r="C529" i="4"/>
  <c r="O219" i="5" s="1"/>
  <c r="D533" i="4"/>
  <c r="DD219" i="5" s="1"/>
  <c r="DF219" i="5"/>
  <c r="E533" i="4"/>
  <c r="DE219" i="5" s="1"/>
  <c r="C533" i="4"/>
  <c r="DC219" i="5" s="1"/>
  <c r="D537" i="4"/>
  <c r="GR219" i="5" s="1"/>
  <c r="GT219" i="5"/>
  <c r="E537" i="4"/>
  <c r="GS219" i="5" s="1"/>
  <c r="C537" i="4"/>
  <c r="GQ219" i="5" s="1"/>
  <c r="D541" i="4"/>
  <c r="AO220" i="5" s="1"/>
  <c r="AQ220" i="5"/>
  <c r="E541" i="4"/>
  <c r="AP220" i="5" s="1"/>
  <c r="C541" i="4"/>
  <c r="AN220" i="5" s="1"/>
  <c r="D545" i="4"/>
  <c r="EC220" i="5" s="1"/>
  <c r="EE220" i="5"/>
  <c r="E545" i="4"/>
  <c r="ED220" i="5" s="1"/>
  <c r="C545" i="4"/>
  <c r="EB220" i="5" s="1"/>
  <c r="D549" i="4"/>
  <c r="HQ220" i="5" s="1"/>
  <c r="HS220" i="5"/>
  <c r="E549" i="4"/>
  <c r="HR220" i="5" s="1"/>
  <c r="C549" i="4"/>
  <c r="HP220" i="5" s="1"/>
  <c r="D553" i="4"/>
  <c r="BN221" i="5" s="1"/>
  <c r="BP221" i="5"/>
  <c r="E553" i="4"/>
  <c r="BO221" i="5" s="1"/>
  <c r="C553" i="4"/>
  <c r="BM221" i="5" s="1"/>
  <c r="D557" i="4"/>
  <c r="FB221" i="5" s="1"/>
  <c r="FD221" i="5"/>
  <c r="E557" i="4"/>
  <c r="FC221" i="5" s="1"/>
  <c r="C557" i="4"/>
  <c r="FA221" i="5" s="1"/>
  <c r="D561" i="4"/>
  <c r="IP221" i="5" s="1"/>
  <c r="IR221" i="5"/>
  <c r="E561" i="4"/>
  <c r="IQ221" i="5" s="1"/>
  <c r="C561" i="4"/>
  <c r="IO221" i="5" s="1"/>
  <c r="D565" i="4"/>
  <c r="CM222" i="5" s="1"/>
  <c r="CO222" i="5"/>
  <c r="E565" i="4"/>
  <c r="CN222" i="5" s="1"/>
  <c r="C565" i="4"/>
  <c r="CL222" i="5" s="1"/>
  <c r="D569" i="4"/>
  <c r="GA222" i="5" s="1"/>
  <c r="GC222" i="5"/>
  <c r="E569" i="4"/>
  <c r="GB222" i="5" s="1"/>
  <c r="C569" i="4"/>
  <c r="FZ222" i="5" s="1"/>
  <c r="D573" i="4"/>
  <c r="X223" i="5" s="1"/>
  <c r="Z223" i="5"/>
  <c r="E573" i="4"/>
  <c r="Y223" i="5" s="1"/>
  <c r="C573" i="4"/>
  <c r="W223" i="5" s="1"/>
  <c r="D577" i="4"/>
  <c r="DL223" i="5" s="1"/>
  <c r="DN223" i="5"/>
  <c r="E577" i="4"/>
  <c r="DM223" i="5" s="1"/>
  <c r="C577" i="4"/>
  <c r="DK223" i="5" s="1"/>
  <c r="C581" i="4"/>
  <c r="GY223" i="5" s="1"/>
  <c r="D581" i="4"/>
  <c r="GZ223" i="5" s="1"/>
  <c r="HB223" i="5"/>
  <c r="E581" i="4"/>
  <c r="HA223" i="5" s="1"/>
  <c r="C585" i="4"/>
  <c r="AV224" i="5" s="1"/>
  <c r="D585" i="4"/>
  <c r="AW224" i="5" s="1"/>
  <c r="AY224" i="5"/>
  <c r="E585" i="4"/>
  <c r="AX224" i="5" s="1"/>
  <c r="EM224" i="5"/>
  <c r="C589" i="4"/>
  <c r="EJ224" i="5" s="1"/>
  <c r="D589" i="4"/>
  <c r="EK224" i="5" s="1"/>
  <c r="E589" i="4"/>
  <c r="EL224" i="5" s="1"/>
  <c r="IA224" i="5"/>
  <c r="C593" i="4"/>
  <c r="HX224" i="5" s="1"/>
  <c r="D593" i="4"/>
  <c r="HY224" i="5" s="1"/>
  <c r="E593" i="4"/>
  <c r="HZ224" i="5" s="1"/>
  <c r="BX225" i="5"/>
  <c r="C597" i="4"/>
  <c r="BU225" i="5" s="1"/>
  <c r="D597" i="4"/>
  <c r="BV225" i="5" s="1"/>
  <c r="E597" i="4"/>
  <c r="BW225" i="5" s="1"/>
  <c r="FL225" i="5"/>
  <c r="C601" i="4"/>
  <c r="FI225" i="5" s="1"/>
  <c r="D601" i="4"/>
  <c r="FJ225" i="5" s="1"/>
  <c r="E601" i="4"/>
  <c r="FK225" i="5" s="1"/>
  <c r="I226" i="5"/>
  <c r="C605" i="4"/>
  <c r="F226" i="5" s="1"/>
  <c r="D605" i="4"/>
  <c r="G226" i="5" s="1"/>
  <c r="E605" i="4"/>
  <c r="H226" i="5" s="1"/>
  <c r="CW226" i="5"/>
  <c r="C609" i="4"/>
  <c r="CT226" i="5" s="1"/>
  <c r="D609" i="4"/>
  <c r="CU226" i="5" s="1"/>
  <c r="E609" i="4"/>
  <c r="CV226" i="5" s="1"/>
  <c r="GK226" i="5"/>
  <c r="C613" i="4"/>
  <c r="GH226" i="5" s="1"/>
  <c r="D613" i="4"/>
  <c r="GI226" i="5" s="1"/>
  <c r="E613" i="4"/>
  <c r="GJ226" i="5" s="1"/>
  <c r="AH227" i="5"/>
  <c r="C617" i="4"/>
  <c r="AE227" i="5" s="1"/>
  <c r="D617" i="4"/>
  <c r="AF227" i="5" s="1"/>
  <c r="E617" i="4"/>
  <c r="AG227" i="5" s="1"/>
  <c r="DV227" i="5"/>
  <c r="C621" i="4"/>
  <c r="DS227" i="5" s="1"/>
  <c r="D621" i="4"/>
  <c r="DT227" i="5" s="1"/>
  <c r="E621" i="4"/>
  <c r="DU227" i="5" s="1"/>
  <c r="HJ227" i="5"/>
  <c r="C625" i="4"/>
  <c r="HG227" i="5" s="1"/>
  <c r="D625" i="4"/>
  <c r="HH227" i="5" s="1"/>
  <c r="E625" i="4"/>
  <c r="HI227" i="5" s="1"/>
  <c r="BG228" i="5"/>
  <c r="C629" i="4"/>
  <c r="BD228" i="5" s="1"/>
  <c r="D629" i="4"/>
  <c r="BE228" i="5" s="1"/>
  <c r="E629" i="4"/>
  <c r="BF228" i="5" s="1"/>
  <c r="EU228" i="5"/>
  <c r="C633" i="4"/>
  <c r="ER228" i="5" s="1"/>
  <c r="D633" i="4"/>
  <c r="ES228" i="5" s="1"/>
  <c r="E633" i="4"/>
  <c r="ET228" i="5" s="1"/>
  <c r="II228" i="5"/>
  <c r="C637" i="4"/>
  <c r="IF228" i="5" s="1"/>
  <c r="D637" i="4"/>
  <c r="IG228" i="5" s="1"/>
  <c r="E637" i="4"/>
  <c r="IH228" i="5" s="1"/>
  <c r="CF229" i="5"/>
  <c r="C641" i="4"/>
  <c r="CC229" i="5" s="1"/>
  <c r="D641" i="4"/>
  <c r="CD229" i="5" s="1"/>
  <c r="E641" i="4"/>
  <c r="CE229" i="5" s="1"/>
  <c r="FT229" i="5"/>
  <c r="C645" i="4"/>
  <c r="FQ229" i="5" s="1"/>
  <c r="E645" i="4"/>
  <c r="FS229" i="5" s="1"/>
  <c r="Q230" i="5"/>
  <c r="C649" i="4"/>
  <c r="N230" i="5" s="1"/>
  <c r="E649" i="4"/>
  <c r="P230" i="5" s="1"/>
  <c r="DE230" i="5"/>
  <c r="C653" i="4"/>
  <c r="DB230" i="5" s="1"/>
  <c r="E653" i="4"/>
  <c r="DD230" i="5" s="1"/>
  <c r="GS230" i="5"/>
  <c r="C657" i="4"/>
  <c r="GP230" i="5" s="1"/>
  <c r="E657" i="4"/>
  <c r="GR230" i="5" s="1"/>
  <c r="AP231" i="5"/>
  <c r="C661" i="4"/>
  <c r="AM231" i="5" s="1"/>
  <c r="E661" i="4"/>
  <c r="AO231" i="5" s="1"/>
  <c r="ED231" i="5"/>
  <c r="C665" i="4"/>
  <c r="EA231" i="5" s="1"/>
  <c r="E665" i="4"/>
  <c r="EC231" i="5" s="1"/>
  <c r="HR231" i="5"/>
  <c r="C669" i="4"/>
  <c r="HO231" i="5" s="1"/>
  <c r="E669" i="4"/>
  <c r="HQ231" i="5" s="1"/>
  <c r="BO232" i="5"/>
  <c r="E673" i="4"/>
  <c r="BN232" i="5" s="1"/>
  <c r="FC232" i="5"/>
  <c r="E677" i="4"/>
  <c r="FB232" i="5" s="1"/>
  <c r="IQ232" i="5"/>
  <c r="E681" i="4"/>
  <c r="IP232" i="5" s="1"/>
  <c r="CN233" i="5"/>
  <c r="E685" i="4"/>
  <c r="CM233" i="5" s="1"/>
  <c r="GB233" i="5"/>
  <c r="E689" i="4"/>
  <c r="GA233" i="5" s="1"/>
  <c r="Y234" i="5"/>
  <c r="E693" i="4"/>
  <c r="X234" i="5" s="1"/>
  <c r="DM234" i="5"/>
  <c r="E697" i="4"/>
  <c r="DL234" i="5" s="1"/>
  <c r="D699" i="4"/>
  <c r="FE234" i="5" s="1"/>
  <c r="D697" i="4"/>
  <c r="DK234" i="5" s="1"/>
  <c r="E695" i="4"/>
  <c r="BR234" i="5" s="1"/>
  <c r="C692" i="4"/>
  <c r="IP233" i="5" s="1"/>
  <c r="E688" i="4"/>
  <c r="FD233" i="5" s="1"/>
  <c r="C685" i="4"/>
  <c r="CK233" i="5" s="1"/>
  <c r="D683" i="4"/>
  <c r="AR233" i="5" s="1"/>
  <c r="D681" i="4"/>
  <c r="IO232" i="5" s="1"/>
  <c r="C676" i="4"/>
  <c r="EC232" i="5" s="1"/>
  <c r="D673" i="4"/>
  <c r="BM232" i="5" s="1"/>
  <c r="D665" i="4"/>
  <c r="EB231" i="5" s="1"/>
  <c r="C660" i="4"/>
  <c r="P231" i="5" s="1"/>
  <c r="D649" i="4"/>
  <c r="O230" i="5" s="1"/>
  <c r="E14" i="4"/>
  <c r="HL171" i="5" s="1"/>
  <c r="HM171" i="5"/>
  <c r="D14" i="4"/>
  <c r="HK171" i="5" s="1"/>
  <c r="C14" i="4"/>
  <c r="HJ171" i="5" s="1"/>
  <c r="E30" i="4"/>
  <c r="CH173" i="5" s="1"/>
  <c r="CI173" i="5"/>
  <c r="D30" i="4"/>
  <c r="CG173" i="5" s="1"/>
  <c r="C30" i="4"/>
  <c r="CF173" i="5" s="1"/>
  <c r="E46" i="4"/>
  <c r="GU174" i="5" s="1"/>
  <c r="D46" i="4"/>
  <c r="GT174" i="5" s="1"/>
  <c r="C46" i="4"/>
  <c r="GS174" i="5" s="1"/>
  <c r="GV174" i="5"/>
  <c r="E58" i="4"/>
  <c r="HT175" i="5" s="1"/>
  <c r="D58" i="4"/>
  <c r="HS175" i="5" s="1"/>
  <c r="HU175" i="5"/>
  <c r="C58" i="4"/>
  <c r="HR175" i="5" s="1"/>
  <c r="E74" i="4"/>
  <c r="CP177" i="5" s="1"/>
  <c r="D74" i="4"/>
  <c r="CO177" i="5" s="1"/>
  <c r="CQ177" i="5"/>
  <c r="C74" i="4"/>
  <c r="CN177" i="5" s="1"/>
  <c r="BA179" i="5"/>
  <c r="C94" i="4"/>
  <c r="AX179" i="5" s="1"/>
  <c r="D94" i="4"/>
  <c r="AY179" i="5" s="1"/>
  <c r="E94" i="4"/>
  <c r="AZ179" i="5" s="1"/>
  <c r="BZ180" i="5"/>
  <c r="C106" i="4"/>
  <c r="BW180" i="5" s="1"/>
  <c r="E106" i="4"/>
  <c r="BY180" i="5" s="1"/>
  <c r="D106" i="4"/>
  <c r="BX180" i="5" s="1"/>
  <c r="K181" i="5"/>
  <c r="C114" i="4"/>
  <c r="H181" i="5" s="1"/>
  <c r="E114" i="4"/>
  <c r="J181" i="5" s="1"/>
  <c r="D114" i="4"/>
  <c r="I181" i="5" s="1"/>
  <c r="AJ182" i="5"/>
  <c r="C126" i="4"/>
  <c r="AG182" i="5" s="1"/>
  <c r="E126" i="4"/>
  <c r="AI182" i="5" s="1"/>
  <c r="D126" i="4"/>
  <c r="AH182" i="5" s="1"/>
  <c r="BI183" i="5"/>
  <c r="C138" i="4"/>
  <c r="BF183" i="5" s="1"/>
  <c r="E138" i="4"/>
  <c r="BH183" i="5" s="1"/>
  <c r="D138" i="4"/>
  <c r="BG183" i="5" s="1"/>
  <c r="CH184" i="5"/>
  <c r="D150" i="4"/>
  <c r="CF184" i="5" s="1"/>
  <c r="E150" i="4"/>
  <c r="CG184" i="5" s="1"/>
  <c r="C150" i="4"/>
  <c r="CE184" i="5" s="1"/>
  <c r="DG185" i="5"/>
  <c r="E162" i="4"/>
  <c r="DF185" i="5" s="1"/>
  <c r="C162" i="4"/>
  <c r="DD185" i="5" s="1"/>
  <c r="D162" i="4"/>
  <c r="DE185" i="5" s="1"/>
  <c r="EF186" i="5"/>
  <c r="D174" i="4"/>
  <c r="ED186" i="5" s="1"/>
  <c r="E174" i="4"/>
  <c r="EE186" i="5" s="1"/>
  <c r="C174" i="4"/>
  <c r="EC186" i="5" s="1"/>
  <c r="FE187" i="5"/>
  <c r="C186" i="4"/>
  <c r="FB187" i="5" s="1"/>
  <c r="E186" i="4"/>
  <c r="FD187" i="5" s="1"/>
  <c r="D186" i="4"/>
  <c r="FC187" i="5" s="1"/>
  <c r="GD188" i="5"/>
  <c r="D198" i="4"/>
  <c r="GB188" i="5" s="1"/>
  <c r="C198" i="4"/>
  <c r="GA188" i="5" s="1"/>
  <c r="E198" i="4"/>
  <c r="GC188" i="5" s="1"/>
  <c r="AA189" i="5"/>
  <c r="C202" i="4"/>
  <c r="X189" i="5" s="1"/>
  <c r="E202" i="4"/>
  <c r="Z189" i="5" s="1"/>
  <c r="D202" i="4"/>
  <c r="Y189" i="5" s="1"/>
  <c r="AZ190" i="5"/>
  <c r="D214" i="4"/>
  <c r="AX190" i="5" s="1"/>
  <c r="E214" i="4"/>
  <c r="AY190" i="5" s="1"/>
  <c r="C214" i="4"/>
  <c r="AW190" i="5" s="1"/>
  <c r="IB190" i="5"/>
  <c r="D222" i="4"/>
  <c r="HZ190" i="5" s="1"/>
  <c r="C222" i="4"/>
  <c r="HY190" i="5" s="1"/>
  <c r="E222" i="4"/>
  <c r="IA190" i="5" s="1"/>
  <c r="C230" i="4"/>
  <c r="FJ191" i="5" s="1"/>
  <c r="E230" i="4"/>
  <c r="FL191" i="5" s="1"/>
  <c r="D230" i="4"/>
  <c r="FK191" i="5" s="1"/>
  <c r="FM191" i="5"/>
  <c r="C246" i="4"/>
  <c r="AF193" i="5" s="1"/>
  <c r="E246" i="4"/>
  <c r="AH193" i="5" s="1"/>
  <c r="AI193" i="5"/>
  <c r="D246" i="4"/>
  <c r="AG193" i="5" s="1"/>
  <c r="C258" i="4"/>
  <c r="BE194" i="5" s="1"/>
  <c r="E258" i="4"/>
  <c r="BG194" i="5" s="1"/>
  <c r="BH194" i="5"/>
  <c r="D258" i="4"/>
  <c r="BF194" i="5" s="1"/>
  <c r="D270" i="4"/>
  <c r="CE195" i="5" s="1"/>
  <c r="C270" i="4"/>
  <c r="CD195" i="5" s="1"/>
  <c r="E270" i="4"/>
  <c r="CF195" i="5" s="1"/>
  <c r="CG195" i="5"/>
  <c r="D282" i="4"/>
  <c r="DD196" i="5" s="1"/>
  <c r="C282" i="4"/>
  <c r="DC196" i="5" s="1"/>
  <c r="E282" i="4"/>
  <c r="DE196" i="5" s="1"/>
  <c r="DF196" i="5"/>
  <c r="D294" i="4"/>
  <c r="EC197" i="5" s="1"/>
  <c r="C294" i="4"/>
  <c r="EB197" i="5" s="1"/>
  <c r="E294" i="4"/>
  <c r="ED197" i="5" s="1"/>
  <c r="EE197" i="5"/>
  <c r="D302" i="4"/>
  <c r="BN198" i="5" s="1"/>
  <c r="C302" i="4"/>
  <c r="BM198" i="5" s="1"/>
  <c r="E302" i="4"/>
  <c r="BO198" i="5" s="1"/>
  <c r="BP198" i="5"/>
  <c r="D314" i="4"/>
  <c r="CM199" i="5" s="1"/>
  <c r="C314" i="4"/>
  <c r="CL199" i="5" s="1"/>
  <c r="E314" i="4"/>
  <c r="CN199" i="5" s="1"/>
  <c r="CO199" i="5"/>
  <c r="D326" i="4"/>
  <c r="DL200" i="5" s="1"/>
  <c r="C326" i="4"/>
  <c r="DK200" i="5" s="1"/>
  <c r="E326" i="4"/>
  <c r="DM200" i="5" s="1"/>
  <c r="DN200" i="5"/>
  <c r="D338" i="4"/>
  <c r="EK201" i="5" s="1"/>
  <c r="C338" i="4"/>
  <c r="EJ201" i="5" s="1"/>
  <c r="E338" i="4"/>
  <c r="EL201" i="5" s="1"/>
  <c r="EM201" i="5"/>
  <c r="D350" i="4"/>
  <c r="FJ202" i="5" s="1"/>
  <c r="C350" i="4"/>
  <c r="FI202" i="5" s="1"/>
  <c r="E350" i="4"/>
  <c r="FK202" i="5" s="1"/>
  <c r="FL202" i="5"/>
  <c r="D362" i="4"/>
  <c r="GI203" i="5" s="1"/>
  <c r="C362" i="4"/>
  <c r="GH203" i="5" s="1"/>
  <c r="E362" i="4"/>
  <c r="GJ203" i="5" s="1"/>
  <c r="GK203" i="5"/>
  <c r="D374" i="4"/>
  <c r="HH204" i="5" s="1"/>
  <c r="C374" i="4"/>
  <c r="HG204" i="5" s="1"/>
  <c r="E374" i="4"/>
  <c r="HI204" i="5" s="1"/>
  <c r="HJ204" i="5"/>
  <c r="E386" i="4"/>
  <c r="IH205" i="5" s="1"/>
  <c r="D386" i="4"/>
  <c r="IG205" i="5" s="1"/>
  <c r="II205" i="5"/>
  <c r="C386" i="4"/>
  <c r="IF205" i="5" s="1"/>
  <c r="E398" i="4"/>
  <c r="P207" i="5" s="1"/>
  <c r="D398" i="4"/>
  <c r="O207" i="5" s="1"/>
  <c r="Q207" i="5"/>
  <c r="C398" i="4"/>
  <c r="N207" i="5" s="1"/>
  <c r="E414" i="4"/>
  <c r="EC208" i="5" s="1"/>
  <c r="D414" i="4"/>
  <c r="EB208" i="5" s="1"/>
  <c r="ED208" i="5"/>
  <c r="C414" i="4"/>
  <c r="EA208" i="5" s="1"/>
  <c r="E422" i="4"/>
  <c r="BN209" i="5" s="1"/>
  <c r="D422" i="4"/>
  <c r="BM209" i="5" s="1"/>
  <c r="BO209" i="5"/>
  <c r="C422" i="4"/>
  <c r="BL209" i="5" s="1"/>
  <c r="E434" i="4"/>
  <c r="CM210" i="5" s="1"/>
  <c r="D434" i="4"/>
  <c r="CL210" i="5" s="1"/>
  <c r="CN210" i="5"/>
  <c r="C434" i="4"/>
  <c r="CK210" i="5" s="1"/>
  <c r="E446" i="4"/>
  <c r="DL211" i="5" s="1"/>
  <c r="D446" i="4"/>
  <c r="DK211" i="5" s="1"/>
  <c r="DM211" i="5"/>
  <c r="C446" i="4"/>
  <c r="DJ211" i="5" s="1"/>
  <c r="E458" i="4"/>
  <c r="EK212" i="5" s="1"/>
  <c r="D458" i="4"/>
  <c r="EJ212" i="5" s="1"/>
  <c r="EL212" i="5"/>
  <c r="C458" i="4"/>
  <c r="EI212" i="5" s="1"/>
  <c r="E470" i="4"/>
  <c r="FJ213" i="5" s="1"/>
  <c r="D470" i="4"/>
  <c r="FI213" i="5" s="1"/>
  <c r="FK213" i="5"/>
  <c r="C470" i="4"/>
  <c r="FH213" i="5" s="1"/>
  <c r="D478" i="4"/>
  <c r="CT214" i="5" s="1"/>
  <c r="C478" i="4"/>
  <c r="CS214" i="5" s="1"/>
  <c r="CV214" i="5"/>
  <c r="E478" i="4"/>
  <c r="CU214" i="5" s="1"/>
  <c r="D490" i="4"/>
  <c r="DS215" i="5" s="1"/>
  <c r="C490" i="4"/>
  <c r="DR215" i="5" s="1"/>
  <c r="E490" i="4"/>
  <c r="DT215" i="5" s="1"/>
  <c r="D502" i="4"/>
  <c r="ER216" i="5" s="1"/>
  <c r="C502" i="4"/>
  <c r="EQ216" i="5" s="1"/>
  <c r="ET216" i="5"/>
  <c r="E502" i="4"/>
  <c r="ES216" i="5" s="1"/>
  <c r="D514" i="4"/>
  <c r="FQ217" i="5" s="1"/>
  <c r="C514" i="4"/>
  <c r="FP217" i="5" s="1"/>
  <c r="FS217" i="5"/>
  <c r="E514" i="4"/>
  <c r="FR217" i="5" s="1"/>
  <c r="D526" i="4"/>
  <c r="GP218" i="5" s="1"/>
  <c r="C526" i="4"/>
  <c r="GO218" i="5" s="1"/>
  <c r="GR218" i="5"/>
  <c r="E526" i="4"/>
  <c r="GQ218" i="5" s="1"/>
  <c r="D538" i="4"/>
  <c r="HO219" i="5" s="1"/>
  <c r="C538" i="4"/>
  <c r="HN219" i="5" s="1"/>
  <c r="HQ219" i="5"/>
  <c r="E538" i="4"/>
  <c r="HP219" i="5" s="1"/>
  <c r="D546" i="4"/>
  <c r="EZ220" i="5" s="1"/>
  <c r="C546" i="4"/>
  <c r="EY220" i="5" s="1"/>
  <c r="FB220" i="5"/>
  <c r="E546" i="4"/>
  <c r="FA220" i="5" s="1"/>
  <c r="D550" i="4"/>
  <c r="IN220" i="5" s="1"/>
  <c r="C550" i="4"/>
  <c r="IM220" i="5" s="1"/>
  <c r="IP220" i="5"/>
  <c r="E550" i="4"/>
  <c r="IO220" i="5" s="1"/>
  <c r="D558" i="4"/>
  <c r="FY221" i="5" s="1"/>
  <c r="C558" i="4"/>
  <c r="FX221" i="5" s="1"/>
  <c r="GA221" i="5"/>
  <c r="E558" i="4"/>
  <c r="FZ221" i="5" s="1"/>
  <c r="D562" i="4"/>
  <c r="V222" i="5" s="1"/>
  <c r="C562" i="4"/>
  <c r="U222" i="5" s="1"/>
  <c r="X222" i="5"/>
  <c r="E562" i="4"/>
  <c r="W222" i="5" s="1"/>
  <c r="D570" i="4"/>
  <c r="GX222" i="5" s="1"/>
  <c r="C570" i="4"/>
  <c r="GW222" i="5" s="1"/>
  <c r="GZ222" i="5"/>
  <c r="E570" i="4"/>
  <c r="GY222" i="5" s="1"/>
  <c r="D574" i="4"/>
  <c r="AU223" i="5" s="1"/>
  <c r="C574" i="4"/>
  <c r="AT223" i="5" s="1"/>
  <c r="AW223" i="5"/>
  <c r="E574" i="4"/>
  <c r="AV223" i="5" s="1"/>
  <c r="D578" i="4"/>
  <c r="EI223" i="5" s="1"/>
  <c r="C578" i="4"/>
  <c r="EH223" i="5" s="1"/>
  <c r="EK223" i="5"/>
  <c r="E578" i="4"/>
  <c r="EJ223" i="5" s="1"/>
  <c r="C582" i="4"/>
  <c r="HV223" i="5" s="1"/>
  <c r="D582" i="4"/>
  <c r="HW223" i="5" s="1"/>
  <c r="HY223" i="5"/>
  <c r="E582" i="4"/>
  <c r="HX223" i="5" s="1"/>
  <c r="C586" i="4"/>
  <c r="BS224" i="5" s="1"/>
  <c r="D586" i="4"/>
  <c r="BT224" i="5" s="1"/>
  <c r="BV224" i="5"/>
  <c r="E586" i="4"/>
  <c r="BU224" i="5" s="1"/>
  <c r="FJ224" i="5"/>
  <c r="C590" i="4"/>
  <c r="FG224" i="5" s="1"/>
  <c r="D590" i="4"/>
  <c r="FH224" i="5" s="1"/>
  <c r="E590" i="4"/>
  <c r="FI224" i="5" s="1"/>
  <c r="G225" i="5"/>
  <c r="C594" i="4"/>
  <c r="IU224" i="5" s="1"/>
  <c r="D594" i="4"/>
  <c r="IV224" i="5" s="1"/>
  <c r="E594" i="4"/>
  <c r="F225" i="5" s="1"/>
  <c r="CU225" i="5"/>
  <c r="C598" i="4"/>
  <c r="CR225" i="5" s="1"/>
  <c r="D598" i="4"/>
  <c r="CS225" i="5" s="1"/>
  <c r="E598" i="4"/>
  <c r="CT225" i="5" s="1"/>
  <c r="GI225" i="5"/>
  <c r="C602" i="4"/>
  <c r="GF225" i="5" s="1"/>
  <c r="D602" i="4"/>
  <c r="GG225" i="5" s="1"/>
  <c r="E602" i="4"/>
  <c r="GH225" i="5" s="1"/>
  <c r="AF226" i="5"/>
  <c r="C606" i="4"/>
  <c r="AC226" i="5" s="1"/>
  <c r="D606" i="4"/>
  <c r="AD226" i="5" s="1"/>
  <c r="E606" i="4"/>
  <c r="AE226" i="5" s="1"/>
  <c r="DT226" i="5"/>
  <c r="C610" i="4"/>
  <c r="DQ226" i="5" s="1"/>
  <c r="D610" i="4"/>
  <c r="DR226" i="5" s="1"/>
  <c r="E610" i="4"/>
  <c r="DS226" i="5" s="1"/>
  <c r="HH226" i="5"/>
  <c r="C614" i="4"/>
  <c r="HE226" i="5" s="1"/>
  <c r="D614" i="4"/>
  <c r="HF226" i="5" s="1"/>
  <c r="E614" i="4"/>
  <c r="HG226" i="5" s="1"/>
  <c r="BE227" i="5"/>
  <c r="C618" i="4"/>
  <c r="BB227" i="5" s="1"/>
  <c r="D618" i="4"/>
  <c r="BC227" i="5" s="1"/>
  <c r="E618" i="4"/>
  <c r="BD227" i="5" s="1"/>
  <c r="ES227" i="5"/>
  <c r="C622" i="4"/>
  <c r="EP227" i="5" s="1"/>
  <c r="D622" i="4"/>
  <c r="EQ227" i="5" s="1"/>
  <c r="E622" i="4"/>
  <c r="ER227" i="5" s="1"/>
  <c r="IG227" i="5"/>
  <c r="C626" i="4"/>
  <c r="ID227" i="5" s="1"/>
  <c r="D626" i="4"/>
  <c r="IE227" i="5" s="1"/>
  <c r="E626" i="4"/>
  <c r="IF227" i="5" s="1"/>
  <c r="CD228" i="5"/>
  <c r="C630" i="4"/>
  <c r="CA228" i="5" s="1"/>
  <c r="D630" i="4"/>
  <c r="CB228" i="5" s="1"/>
  <c r="E630" i="4"/>
  <c r="CC228" i="5" s="1"/>
  <c r="FR228" i="5"/>
  <c r="C634" i="4"/>
  <c r="FO228" i="5" s="1"/>
  <c r="D634" i="4"/>
  <c r="FP228" i="5" s="1"/>
  <c r="E634" i="4"/>
  <c r="FQ228" i="5" s="1"/>
  <c r="O229" i="5"/>
  <c r="C638" i="4"/>
  <c r="L229" i="5" s="1"/>
  <c r="D638" i="4"/>
  <c r="M229" i="5" s="1"/>
  <c r="E638" i="4"/>
  <c r="N229" i="5" s="1"/>
  <c r="DC229" i="5"/>
  <c r="C642" i="4"/>
  <c r="CZ229" i="5" s="1"/>
  <c r="D642" i="4"/>
  <c r="DA229" i="5" s="1"/>
  <c r="E642" i="4"/>
  <c r="DB229" i="5" s="1"/>
  <c r="GQ229" i="5"/>
  <c r="C646" i="4"/>
  <c r="GN229" i="5" s="1"/>
  <c r="D646" i="4"/>
  <c r="GO229" i="5" s="1"/>
  <c r="AN230" i="5"/>
  <c r="C650" i="4"/>
  <c r="AK230" i="5" s="1"/>
  <c r="D650" i="4"/>
  <c r="AL230" i="5" s="1"/>
  <c r="EB230" i="5"/>
  <c r="C654" i="4"/>
  <c r="DY230" i="5" s="1"/>
  <c r="D654" i="4"/>
  <c r="DZ230" i="5" s="1"/>
  <c r="HP230" i="5"/>
  <c r="C658" i="4"/>
  <c r="HM230" i="5" s="1"/>
  <c r="D658" i="4"/>
  <c r="HN230" i="5" s="1"/>
  <c r="BM231" i="5"/>
  <c r="C662" i="4"/>
  <c r="BJ231" i="5" s="1"/>
  <c r="D662" i="4"/>
  <c r="BK231" i="5" s="1"/>
  <c r="FA231" i="5"/>
  <c r="C666" i="4"/>
  <c r="EX231" i="5" s="1"/>
  <c r="D666" i="4"/>
  <c r="EY231" i="5" s="1"/>
  <c r="IO231" i="5"/>
  <c r="C670" i="4"/>
  <c r="IL231" i="5" s="1"/>
  <c r="D670" i="4"/>
  <c r="IM231" i="5" s="1"/>
  <c r="CL232" i="5"/>
  <c r="C674" i="4"/>
  <c r="CI232" i="5" s="1"/>
  <c r="FZ232" i="5"/>
  <c r="C678" i="4"/>
  <c r="FW232" i="5" s="1"/>
  <c r="E700" i="4"/>
  <c r="GC234" i="5" s="1"/>
  <c r="C697" i="4"/>
  <c r="DJ234" i="5" s="1"/>
  <c r="D695" i="4"/>
  <c r="BQ234" i="5" s="1"/>
  <c r="D693" i="4"/>
  <c r="W234" i="5" s="1"/>
  <c r="E691" i="4"/>
  <c r="HU233" i="5" s="1"/>
  <c r="C688" i="4"/>
  <c r="FB233" i="5" s="1"/>
  <c r="E684" i="4"/>
  <c r="BP233" i="5" s="1"/>
  <c r="C681" i="4"/>
  <c r="IN232" i="5" s="1"/>
  <c r="D678" i="4"/>
  <c r="FX232" i="5" s="1"/>
  <c r="E675" i="4"/>
  <c r="DH232" i="5" s="1"/>
  <c r="C673" i="4"/>
  <c r="BL232" i="5" s="1"/>
  <c r="D669" i="4"/>
  <c r="HP231" i="5" s="1"/>
  <c r="C664" i="4"/>
  <c r="DD231" i="5" s="1"/>
  <c r="E658" i="4"/>
  <c r="HO230" i="5" s="1"/>
  <c r="D653" i="4"/>
  <c r="DC230" i="5" s="1"/>
  <c r="C648" i="4"/>
  <c r="IH229" i="5" s="1"/>
  <c r="E701" i="4"/>
  <c r="GZ234" i="5" s="1"/>
  <c r="G169" i="5" l="1"/>
  <c r="G168" i="5"/>
  <c r="GS166" i="5"/>
  <c r="GT185" i="5"/>
  <c r="GQ166" i="5"/>
  <c r="GR185" i="5"/>
  <c r="F169" i="5"/>
  <c r="DU215" i="5"/>
  <c r="GR166" i="5"/>
  <c r="GS185" i="5"/>
  <c r="GT166" i="5"/>
  <c r="GU185" i="5"/>
  <c r="F168" i="5"/>
  <c r="DU192" i="5"/>
  <c r="E2" i="8" l="1"/>
  <c r="F2" i="8"/>
  <c r="G2" i="8"/>
  <c r="H2" i="8"/>
</calcChain>
</file>

<file path=xl/sharedStrings.xml><?xml version="1.0" encoding="utf-8"?>
<sst xmlns="http://schemas.openxmlformats.org/spreadsheetml/2006/main" count="24925" uniqueCount="3668">
  <si>
    <t>NOTE: All summary and statistic calculations in this report are based on total number of responses to this survey.</t>
  </si>
  <si>
    <t>              Individual question responses are not considered in these calculations.</t>
  </si>
  <si>
    <t>Survey:</t>
  </si>
  <si>
    <t>MQ Survey Q1 2015</t>
  </si>
  <si>
    <t>Responses</t>
  </si>
  <si>
    <t>Section 1:</t>
  </si>
  <si>
    <t>Possible</t>
  </si>
  <si>
    <t>Total</t>
  </si>
  <si>
    <t>Average</t>
  </si>
  <si>
    <t>Question 1:</t>
  </si>
  <si>
    <t>1. I agree with the benchmarks set for me on my team’s performance board?</t>
  </si>
  <si>
    <t>Question 2:</t>
  </si>
  <si>
    <t>2. The standard claim processes / job aids clarify what is expected of me?</t>
  </si>
  <si>
    <t>Question 3:</t>
  </si>
  <si>
    <t>3. The team structure and work processes support the standards expected of me?</t>
  </si>
  <si>
    <t>Question 4:</t>
  </si>
  <si>
    <t>4. The performance measures motivate me to engage in an efficient recovery process?</t>
  </si>
  <si>
    <t>Question 5:</t>
  </si>
  <si>
    <t>5. The behaviors of the supervisors and managers are consistent with their communication?</t>
  </si>
  <si>
    <t>Question 6:</t>
  </si>
  <si>
    <t>6. My peers display a mentality that drives cooperation?</t>
  </si>
  <si>
    <t>Question 7:</t>
  </si>
  <si>
    <t>7. The supervisors and managers provide recognition for improvement/high performance that is meaningful to me?</t>
  </si>
  <si>
    <t>Question 8:</t>
  </si>
  <si>
    <t>8. The supervisors and managers promote the department’s vision?</t>
  </si>
  <si>
    <t>Question 9:</t>
  </si>
  <si>
    <t>9. The objectives of the department are clearly defined?</t>
  </si>
  <si>
    <t>Question 10:</t>
  </si>
  <si>
    <t>10. I am familiar with the vision for the department?</t>
  </si>
  <si>
    <t>Question 11:</t>
  </si>
  <si>
    <t>11. I understand my role in delivering on the vision of the department?</t>
  </si>
  <si>
    <t>Question 12:</t>
  </si>
  <si>
    <t>12. I play a meaningful role in the success of the company?</t>
  </si>
  <si>
    <t>Question 13:</t>
  </si>
  <si>
    <t>13. The training I received for changes in processes was effective in enabling me to perform the work I was assigned?</t>
  </si>
  <si>
    <t>Question 14:</t>
  </si>
  <si>
    <t>14. The coaching time I spend with my supervisor is valuable?</t>
  </si>
  <si>
    <t>Question 15:</t>
  </si>
  <si>
    <t>15. I am given opportunities to come together with my team to find solutions to business issues?</t>
  </si>
  <si>
    <t>Question 16:</t>
  </si>
  <si>
    <t>16. The training methods are effective in building new skills?</t>
  </si>
  <si>
    <t>Total Scores:</t>
  </si>
  <si>
    <t>Survey Statistics</t>
  </si>
  <si>
    <t>Total Invitations</t>
  </si>
  <si>
    <t>Invited Responses</t>
  </si>
  <si>
    <t>Response Rate</t>
  </si>
  <si>
    <t>Percent Positive</t>
  </si>
  <si>
    <t>Percent Follow Up</t>
  </si>
  <si>
    <t>Report Start Date</t>
  </si>
  <si>
    <t>01/01/2015 </t>
  </si>
  <si>
    <t>Report End Date</t>
  </si>
  <si>
    <t>01/31/2015 </t>
  </si>
  <si>
    <t>Email Address</t>
  </si>
  <si>
    <t>Date Requested</t>
  </si>
  <si>
    <t>Work Order</t>
  </si>
  <si>
    <t>Date Responded</t>
  </si>
  <si>
    <t>Result</t>
  </si>
  <si>
    <t>Total Score</t>
  </si>
  <si>
    <t>Followup</t>
  </si>
  <si>
    <t>Q1 Answer</t>
  </si>
  <si>
    <t>Q1 Score</t>
  </si>
  <si>
    <t>Q2 Answer</t>
  </si>
  <si>
    <t>Q2 Score</t>
  </si>
  <si>
    <t>Q3 Answer</t>
  </si>
  <si>
    <t>Q3 Score</t>
  </si>
  <si>
    <t>Q4 Answer</t>
  </si>
  <si>
    <t>Q4 Score</t>
  </si>
  <si>
    <t>Q5 Answer</t>
  </si>
  <si>
    <t>Q5 Score</t>
  </si>
  <si>
    <t>Q6 Answer</t>
  </si>
  <si>
    <t>Q6 Score</t>
  </si>
  <si>
    <t>Q7 Answer</t>
  </si>
  <si>
    <t>Q7 Score</t>
  </si>
  <si>
    <t>Q8 Answer</t>
  </si>
  <si>
    <t>Q8 Score</t>
  </si>
  <si>
    <t>Q9 Answer</t>
  </si>
  <si>
    <t>Q9 Score</t>
  </si>
  <si>
    <t>Q10 Answer</t>
  </si>
  <si>
    <t>Q10 Score</t>
  </si>
  <si>
    <t>Q11 Answer</t>
  </si>
  <si>
    <t>Q11 Score</t>
  </si>
  <si>
    <t>Q12 Answer</t>
  </si>
  <si>
    <t>Q12 Score</t>
  </si>
  <si>
    <t>Q13 Answer</t>
  </si>
  <si>
    <t>Q13 Score</t>
  </si>
  <si>
    <t>Q14 Answer</t>
  </si>
  <si>
    <t>Q14 Score</t>
  </si>
  <si>
    <t>Q15 Answer</t>
  </si>
  <si>
    <t>Q15 Score</t>
  </si>
  <si>
    <t>Q16 Answer</t>
  </si>
  <si>
    <t>Q16 Score</t>
  </si>
  <si>
    <t>Section 1 Total</t>
  </si>
  <si>
    <t>NKICCHANNAGA@csc.com</t>
  </si>
  <si>
    <t>Pos</t>
  </si>
  <si>
    <t>No</t>
  </si>
  <si>
    <t>Yes</t>
  </si>
  <si>
    <t>LMOLLURU2@CSC.COM</t>
  </si>
  <si>
    <t>CGALLEGOS2@csc.com</t>
  </si>
  <si>
    <t>UMONGA@csc.com</t>
  </si>
  <si>
    <t>NMANOHARI@csc.com</t>
  </si>
  <si>
    <t>SBHARTI2@csc.com</t>
  </si>
  <si>
    <t>SAZHAR@csc.com</t>
  </si>
  <si>
    <t>NPEDDI3@CSC.COM</t>
  </si>
  <si>
    <t>SKOTHURU@csc.com</t>
  </si>
  <si>
    <t>RVOJJALA@CSC.COM</t>
  </si>
  <si>
    <t>NASHOKKUMARS@csc.com</t>
  </si>
  <si>
    <t>KSIDDIQUI5@csc.com</t>
  </si>
  <si>
    <t>AKAPOOR29@CSC.COM</t>
  </si>
  <si>
    <t>RJAIN29@csc.com</t>
  </si>
  <si>
    <t>mmenon4@csc.com</t>
  </si>
  <si>
    <t>SVASAMSETTI@csc.com</t>
  </si>
  <si>
    <t>SSEKAR27@csc.com</t>
  </si>
  <si>
    <t>STUMULA@CSC.COM</t>
  </si>
  <si>
    <t>BAMARANATH@csc.com</t>
  </si>
  <si>
    <t>SKHAIRA2@csc.com</t>
  </si>
  <si>
    <t>UBHATIA3@csc.com</t>
  </si>
  <si>
    <t>PBISHT4@CSC.COM</t>
  </si>
  <si>
    <t>KKARUPPASAMY@CSC.COM</t>
  </si>
  <si>
    <t>RVENKATESAN9@csc.com</t>
  </si>
  <si>
    <t>JEQBAL@csc.com</t>
  </si>
  <si>
    <t>PWAGHRAY@csc.com</t>
  </si>
  <si>
    <t>BKORANI@csc.com</t>
  </si>
  <si>
    <t>RRAINA5@csc.com</t>
  </si>
  <si>
    <t>SNASAR2@csc.com</t>
  </si>
  <si>
    <t>TNANDA2@CSC.Com</t>
  </si>
  <si>
    <t>VMALHOTRA4@csc.com</t>
  </si>
  <si>
    <t>GKATHIRVELU@csc.com</t>
  </si>
  <si>
    <t>UJANELLA@CSC.COM</t>
  </si>
  <si>
    <t>PMENDIRATTA2@CSC.COM</t>
  </si>
  <si>
    <t>KPATHAK3@csc.com</t>
  </si>
  <si>
    <t>pkaushik3@csc.com</t>
  </si>
  <si>
    <t>CGOVINDARAJU@csc.com</t>
  </si>
  <si>
    <t>NJAIN39@CSC.COM</t>
  </si>
  <si>
    <t>GRAJASEKAR@csc.com</t>
  </si>
  <si>
    <t>vpanedacepa@csc.com</t>
  </si>
  <si>
    <t>RGANESAN24@CSC.COM</t>
  </si>
  <si>
    <t>saristimunoj@csc.com</t>
  </si>
  <si>
    <t>ALODGE@csc.com</t>
  </si>
  <si>
    <t>LTHIRUNAVUKA@csc.com</t>
  </si>
  <si>
    <t>DSOLOMON4@CSC.COM</t>
  </si>
  <si>
    <t>SPAVULURI2@CSC.COM</t>
  </si>
  <si>
    <t>ASRIVASTAVAH@CSC.COM</t>
  </si>
  <si>
    <t>VVEERLA2@csc.com</t>
  </si>
  <si>
    <t>NSIKHARAM@csc.com</t>
  </si>
  <si>
    <t>GADHIKARI@CSC.COM</t>
  </si>
  <si>
    <t>NMISHRA25@CSC.COM</t>
  </si>
  <si>
    <t>RPATEL73@CSC.COM</t>
  </si>
  <si>
    <t>MARULANANDAM@CSC.COM</t>
  </si>
  <si>
    <t>MDEWAN2@csc.com</t>
  </si>
  <si>
    <t>ASHARMA237@CSC.COM</t>
  </si>
  <si>
    <t>MREDDYTIPOLL@csc.com</t>
  </si>
  <si>
    <t>APORWAL3@CSC.COM</t>
  </si>
  <si>
    <t>aarguellesga@csc.com</t>
  </si>
  <si>
    <t>VKHATRI2@csc.com</t>
  </si>
  <si>
    <t>BRAJA3@csc.com</t>
  </si>
  <si>
    <t>NSAXENA26@csc.com</t>
  </si>
  <si>
    <t>SKANDAKTLA@CSC.COM</t>
  </si>
  <si>
    <t>VYADAV25@CSC.COM</t>
  </si>
  <si>
    <t>PYADAV4@csc.com</t>
  </si>
  <si>
    <t>ASINGH376@csc.com</t>
  </si>
  <si>
    <t>rcostamilhei@csc.com</t>
  </si>
  <si>
    <t>MGANDHI3@CSC.COM</t>
  </si>
  <si>
    <t>mlakostik@csc.com</t>
  </si>
  <si>
    <t>PPALANKI@csc.com</t>
  </si>
  <si>
    <t>SKATAKAM2@CSC.COM</t>
  </si>
  <si>
    <t>VGORREPATI2@csc.com</t>
  </si>
  <si>
    <t>KNARAYANABAB@csc.com</t>
  </si>
  <si>
    <t>RKUMAR36@csc.com</t>
  </si>
  <si>
    <t>dcanterocort@csc.com</t>
  </si>
  <si>
    <t>RTOMAR2@CSC.COM</t>
  </si>
  <si>
    <t>PCHADALAVADA@csc.com</t>
  </si>
  <si>
    <t>PKANNAN7@csc.com</t>
  </si>
  <si>
    <t>rkeerthi@csc.com</t>
  </si>
  <si>
    <t>BMAHUVAGARA@CSC.com</t>
  </si>
  <si>
    <t>NSHARMA83@CSC.COM</t>
  </si>
  <si>
    <t>PSTHALASAYAN@csc.com</t>
  </si>
  <si>
    <t>vnanduri@csc.com</t>
  </si>
  <si>
    <t>CKUMAR34@csc.com</t>
  </si>
  <si>
    <t>GKARTHIKEYA2@csc.com</t>
  </si>
  <si>
    <t>BTHOMAS42@CSC.COM</t>
  </si>
  <si>
    <t>KKRISHNAN4@csc.com</t>
  </si>
  <si>
    <t>sparmekardag@csc.com</t>
  </si>
  <si>
    <t>ASHARMA330@csc.com</t>
  </si>
  <si>
    <t>ppraviaaguir@csc.com</t>
  </si>
  <si>
    <t>respinaflore@csc.com</t>
  </si>
  <si>
    <t>RTIRUNAGARI@CSC.COM</t>
  </si>
  <si>
    <t>ahorneronava@csc.com</t>
  </si>
  <si>
    <t>MMADARPAKKAM@csc.com</t>
  </si>
  <si>
    <t>dherreromart@csc.com</t>
  </si>
  <si>
    <t>sgayolmenend@csc.com</t>
  </si>
  <si>
    <t>SDATTA21@CSC.COM</t>
  </si>
  <si>
    <t>PKUMAR258@csc.com</t>
  </si>
  <si>
    <t>ianiaalvarez@csc.com</t>
  </si>
  <si>
    <t>SSINGH311@CSC.COM</t>
  </si>
  <si>
    <t>erodrigueza2@csc.com</t>
  </si>
  <si>
    <t>dperezjimene@csc.com</t>
  </si>
  <si>
    <t>mcometa@csc.com</t>
  </si>
  <si>
    <t>VKOLLI4@CSC.COM</t>
  </si>
  <si>
    <t>RREDDY42@csc.com</t>
  </si>
  <si>
    <t>VKAPOOR3@csc.com</t>
  </si>
  <si>
    <t>gkerpitchian@csc.com</t>
  </si>
  <si>
    <t>msanchezhern@csc.com</t>
  </si>
  <si>
    <t>imenendezper@csc.com</t>
  </si>
  <si>
    <t>RTOLUCHURU@CSC.COM</t>
  </si>
  <si>
    <t>PJASWAL@csc.com</t>
  </si>
  <si>
    <t>njain38@csc.com</t>
  </si>
  <si>
    <t>PCHINTA4@csc.com</t>
  </si>
  <si>
    <t>DUDAYA@csc.com</t>
  </si>
  <si>
    <t>SMURAMSHETTY@csc.com</t>
  </si>
  <si>
    <t>MFAIZAN@csc.com</t>
  </si>
  <si>
    <t>SRAMDAS3@csc.com</t>
  </si>
  <si>
    <t>PSHARMA203@csc.com</t>
  </si>
  <si>
    <t>AGUPTA312@csc.com</t>
  </si>
  <si>
    <t>GKARAMSETTY@CSC.COM</t>
  </si>
  <si>
    <t>VKONDAPALLI3@csc.com</t>
  </si>
  <si>
    <t>dcherry4@csc.com</t>
  </si>
  <si>
    <t>kbecker5@csc.com</t>
  </si>
  <si>
    <t>cmullinar@csc.com</t>
  </si>
  <si>
    <t>SDONDAPATI3@csc.com</t>
  </si>
  <si>
    <t>BPATTNAIK2@CSC.COM</t>
  </si>
  <si>
    <t>PKIRAN3@csc.com</t>
  </si>
  <si>
    <t>MMUSTAFA5@csc.com</t>
  </si>
  <si>
    <t>SMAJETY@csc.com</t>
  </si>
  <si>
    <t>SKAGITA@CSC.COM</t>
  </si>
  <si>
    <t>KRAMALINGAM8@CSC.COM</t>
  </si>
  <si>
    <t>RJAYAPAL2@csc.com</t>
  </si>
  <si>
    <t>RVELUSAMY@csc.com</t>
  </si>
  <si>
    <t>TBROOCKERD@csc.com</t>
  </si>
  <si>
    <t>JIMMANUVEL@csc.com</t>
  </si>
  <si>
    <t>MRAGHAVAPURA@csc.com</t>
  </si>
  <si>
    <t>AKUMAR333@CSC.COM</t>
  </si>
  <si>
    <t>AGROVER5@csc.com</t>
  </si>
  <si>
    <t>trogers31@csc.com</t>
  </si>
  <si>
    <t>SSEVIMLI@csc.com</t>
  </si>
  <si>
    <t>ameunier@csc.com</t>
  </si>
  <si>
    <t>RVERMA23@csc.com</t>
  </si>
  <si>
    <t>dbarber6@csc.com</t>
  </si>
  <si>
    <t>HGARY@csc.com</t>
  </si>
  <si>
    <t>JDAS5@CSC.COM</t>
  </si>
  <si>
    <t>tmerritt3@csc.com</t>
  </si>
  <si>
    <t>RMOUNTZ2@csc.com</t>
  </si>
  <si>
    <t>mdelles@csc.com</t>
  </si>
  <si>
    <t>dmlynek@csc.com</t>
  </si>
  <si>
    <t>ktotten4@csc.com</t>
  </si>
  <si>
    <t>wmalone3@csc.com</t>
  </si>
  <si>
    <t>dbritt3@csc.com</t>
  </si>
  <si>
    <t>dgagne3@csc.com</t>
  </si>
  <si>
    <t>jutielortega@csc.com</t>
  </si>
  <si>
    <t>SCHAUHAN30@CSC.COM</t>
  </si>
  <si>
    <t>dgallantjr@csc.com</t>
  </si>
  <si>
    <t>ykorang@csc.com</t>
  </si>
  <si>
    <t>afernandez26@csc.com</t>
  </si>
  <si>
    <t>SSHEIK2@csc.com</t>
  </si>
  <si>
    <t>UBHATIA@csc.com</t>
  </si>
  <si>
    <t>bcislak@csc.com</t>
  </si>
  <si>
    <t>jjones77@csc.com</t>
  </si>
  <si>
    <t>KMITTAKOLU@csc.com</t>
  </si>
  <si>
    <t>VVENKATESH4@CSC.COM</t>
  </si>
  <si>
    <t>MELANGO@CSC.COM</t>
  </si>
  <si>
    <t>KKESIPEDDI@CSC.COM</t>
  </si>
  <si>
    <t>RSIVASANKARA@CSC.COM</t>
  </si>
  <si>
    <t>HPADALA@csc.com</t>
  </si>
  <si>
    <t>lstpier2@csc.com</t>
  </si>
  <si>
    <t>DBHUIYA@csc.com</t>
  </si>
  <si>
    <t>SRAOAKKINEPA@csc.com</t>
  </si>
  <si>
    <t>GBELLANI@CSC.COM</t>
  </si>
  <si>
    <t>SOZA3@CSC.COM</t>
  </si>
  <si>
    <t>jlynch28@csc.com</t>
  </si>
  <si>
    <t>SSHIVKUMARSH@CSC.COM</t>
  </si>
  <si>
    <t>MASAD@CSC.COM</t>
  </si>
  <si>
    <t>dvictori@csc.com</t>
  </si>
  <si>
    <t>abaum@csc.com</t>
  </si>
  <si>
    <t>gjulian@csc.com</t>
  </si>
  <si>
    <t>SMUKHERJEE8@csc.com</t>
  </si>
  <si>
    <t>STIKOO@csc.com</t>
  </si>
  <si>
    <t>zdudas@csc.com</t>
  </si>
  <si>
    <t>GTHAMIZHARAS@csc.com</t>
  </si>
  <si>
    <t>cconstantin2@csc.com</t>
  </si>
  <si>
    <t>ACHAUDHARY23@csc.com</t>
  </si>
  <si>
    <t>MNASEER2@CSC.COM</t>
  </si>
  <si>
    <t>jsmall5@csc.com</t>
  </si>
  <si>
    <t>YRAMESHKUMAR@csc.com</t>
  </si>
  <si>
    <t>BGRANDHI@csc.com</t>
  </si>
  <si>
    <t>SANBAZHAGAN@csc.com</t>
  </si>
  <si>
    <t>esmith76@csc.com</t>
  </si>
  <si>
    <t>jlohnes@csc.com</t>
  </si>
  <si>
    <t>vmaksymova@csc.com</t>
  </si>
  <si>
    <t>SDORAIRAJ6@CSC.COM</t>
  </si>
  <si>
    <t>SSHARMA289@CSC.COM</t>
  </si>
  <si>
    <t>ptubauro@csc.com</t>
  </si>
  <si>
    <t>GNAGRAJ@CSC.COM</t>
  </si>
  <si>
    <t>SKONDAPALLI@csc.com</t>
  </si>
  <si>
    <t>SJUNAIDI@csc.com</t>
  </si>
  <si>
    <t>jmartinezbro@csc.com</t>
  </si>
  <si>
    <t>jsenamartin@csc.com</t>
  </si>
  <si>
    <t>ARAFEY@csc.com</t>
  </si>
  <si>
    <t>ASINGH284@csc.com</t>
  </si>
  <si>
    <t>DBABU9@CSC.Com</t>
  </si>
  <si>
    <t>BJANGRA@CSC.COM</t>
  </si>
  <si>
    <t>DMUDUNURU@csc.com</t>
  </si>
  <si>
    <t>NANSARI3@csc.com</t>
  </si>
  <si>
    <t>VNANDIGAMA@csc.com</t>
  </si>
  <si>
    <t>BMUDDANA@csc.com</t>
  </si>
  <si>
    <t>AYERVAKOTRAP@CSC.COM</t>
  </si>
  <si>
    <t>CPOTNURU@csc.com</t>
  </si>
  <si>
    <t>SMOOLAKKAPAR@csc.com</t>
  </si>
  <si>
    <t>JSRAVYA@csc.com</t>
  </si>
  <si>
    <t>BOJHA@csc.com</t>
  </si>
  <si>
    <t>JAROCKIASAMY@CSC.COM</t>
  </si>
  <si>
    <t>KFAROOQI@csc.com</t>
  </si>
  <si>
    <t>NBHATKOTI@CSC.COM</t>
  </si>
  <si>
    <t>jmcconnell6@csc.com</t>
  </si>
  <si>
    <t>RPANDARI@CSC.Com</t>
  </si>
  <si>
    <t>RGONENI@CSC.COM</t>
  </si>
  <si>
    <t>NSURENDRAKUM@csc.com</t>
  </si>
  <si>
    <t>DBHATTACHAR7@csc.com</t>
  </si>
  <si>
    <t>ANAIK7@CSC.COM</t>
  </si>
  <si>
    <t>mnestroy@csc.com</t>
  </si>
  <si>
    <t>PSABHARWAL2@csc.com</t>
  </si>
  <si>
    <t>MGAUR@csc.com</t>
  </si>
  <si>
    <t>KPERUMAL5@csc.com</t>
  </si>
  <si>
    <t>SSINGH265@CSC.COM</t>
  </si>
  <si>
    <t>RBHAT4@csc.com</t>
  </si>
  <si>
    <t>ralvarezabal@csc.com</t>
  </si>
  <si>
    <t>MSETHURAMAN@csc.com</t>
  </si>
  <si>
    <t>KBHADORIA@csc.com</t>
  </si>
  <si>
    <t>RSADANANDAN@csc.com</t>
  </si>
  <si>
    <t>SSABUI@CSC.COM</t>
  </si>
  <si>
    <t>MDAUD5@csc.com</t>
  </si>
  <si>
    <t>RPRAVEENMURT@CSC.COM</t>
  </si>
  <si>
    <t>AKHAN30@csc.com</t>
  </si>
  <si>
    <t>PKHERA@csc.com</t>
  </si>
  <si>
    <t>JKUMAR42@csc.com</t>
  </si>
  <si>
    <t>GGUPTA24@csc.com</t>
  </si>
  <si>
    <t>ASHARMA277@CSC.COM</t>
  </si>
  <si>
    <t>MSHARMA68@CSC.COM</t>
  </si>
  <si>
    <t>sblancodiaz@csc.com</t>
  </si>
  <si>
    <t>MSAHU5@CSC.COM</t>
  </si>
  <si>
    <t>VNAYAR@csc.com</t>
  </si>
  <si>
    <t>SPABBICHETTY@csc.com</t>
  </si>
  <si>
    <t>VDOGRA2@csc.com</t>
  </si>
  <si>
    <t>SJAYARAMANSE@CSC.COM</t>
  </si>
  <si>
    <t>RKESHETTY@csc.com</t>
  </si>
  <si>
    <t>VGERA4@CSC.COM</t>
  </si>
  <si>
    <t>VPOTHARAJU@CSC.COM</t>
  </si>
  <si>
    <t>NRAWAT3@csc.com</t>
  </si>
  <si>
    <t>pnirmal@csc.com</t>
  </si>
  <si>
    <t>RBADAM@csc.com</t>
  </si>
  <si>
    <t>ptentu@csc.com</t>
  </si>
  <si>
    <t>SGOLI6@csc.com</t>
  </si>
  <si>
    <t>SCHHABRA6@CSC.COM</t>
  </si>
  <si>
    <t>SHEMASKUMAR@CSC.COM</t>
  </si>
  <si>
    <t>KDUTTA2@csc.com</t>
  </si>
  <si>
    <t>thiltmann@csc.com</t>
  </si>
  <si>
    <t>alaamccrory@csc.com</t>
  </si>
  <si>
    <t>SCHIPPADA2@CSC.COM</t>
  </si>
  <si>
    <t>SBHOWMICK@csc.com</t>
  </si>
  <si>
    <t>FKHAN7@csc.com</t>
  </si>
  <si>
    <t>AMEHTA3@csc.com</t>
  </si>
  <si>
    <t>mtoussaint@csc.com</t>
  </si>
  <si>
    <t>ssilvamiguel@csc.com</t>
  </si>
  <si>
    <t>SMANTHA@CSC.COM</t>
  </si>
  <si>
    <t>kmohammed4@csc.com</t>
  </si>
  <si>
    <t>NJAISWAL8@CSC.COM</t>
  </si>
  <si>
    <t>AJAIN245@csc.com</t>
  </si>
  <si>
    <t>SRAO32@csc.com</t>
  </si>
  <si>
    <t>VKUMAR80@CSC.COM</t>
  </si>
  <si>
    <t>NSAKTHI@CSC.COM</t>
  </si>
  <si>
    <t>AKHAN91@csc.com</t>
  </si>
  <si>
    <t>PSREEYADRI@CSC.COM</t>
  </si>
  <si>
    <t>UCHANDRAN2@csc.com</t>
  </si>
  <si>
    <t>TAHMED7@csc.com</t>
  </si>
  <si>
    <t>JRAI8@CSC.COM</t>
  </si>
  <si>
    <t>ONIMMALA@CSC.COM</t>
  </si>
  <si>
    <t>SKARTHICK@CSC.COM</t>
  </si>
  <si>
    <t>BVARGHESE5@csc.com</t>
  </si>
  <si>
    <t>MUDDIN5@csc.com</t>
  </si>
  <si>
    <t>ASURINDERKU2@CSC.COM</t>
  </si>
  <si>
    <t>TNEAL2@csc.com</t>
  </si>
  <si>
    <t>mgonzalez30@csc.com</t>
  </si>
  <si>
    <t>rnys@csc.com</t>
  </si>
  <si>
    <t>CVERMA3@CSC.COM</t>
  </si>
  <si>
    <t>arodriguezsa@csc.com</t>
  </si>
  <si>
    <t>rkumar262@csc.com</t>
  </si>
  <si>
    <t>APANJWANI2@csc.com</t>
  </si>
  <si>
    <t>skankipati@csc.com</t>
  </si>
  <si>
    <t>SNALLA2@csc.com</t>
  </si>
  <si>
    <t>SGANGIREDDY4@CSC.COM</t>
  </si>
  <si>
    <t>MIQBAL9@csc.com</t>
  </si>
  <si>
    <t>twalden3@csc.com</t>
  </si>
  <si>
    <t>PGOLI2@csc.com</t>
  </si>
  <si>
    <t>alimqueco@csc.com</t>
  </si>
  <si>
    <t>emilews2@csc.com</t>
  </si>
  <si>
    <t>rsanzperez@csc.com</t>
  </si>
  <si>
    <t>SNATESAN5@CSC.COM</t>
  </si>
  <si>
    <t>mopitz@csc.com</t>
  </si>
  <si>
    <t>gmichaud@csc.com</t>
  </si>
  <si>
    <t>dmasot@csc.com</t>
  </si>
  <si>
    <t>KRANA5@csc.com</t>
  </si>
  <si>
    <t>kjohnson78@csc.com</t>
  </si>
  <si>
    <t>SDASARI23@CSC.COM</t>
  </si>
  <si>
    <t>rpepin@csc.com</t>
  </si>
  <si>
    <t>akhare4@csc.com</t>
  </si>
  <si>
    <t>YDASARI@csc.com</t>
  </si>
  <si>
    <t>KPATNAIK3@CSC.COM</t>
  </si>
  <si>
    <t>SQAIRUDDIN@csc.com</t>
  </si>
  <si>
    <t>ASMITH222@csc.com</t>
  </si>
  <si>
    <t>SBHIMAVARAPU@csc.com</t>
  </si>
  <si>
    <t>smarsh7@csc.com</t>
  </si>
  <si>
    <t>rthomas48@csc.com</t>
  </si>
  <si>
    <t>TABDALI@csc.com</t>
  </si>
  <si>
    <t>ARANGALA@CSC.COM</t>
  </si>
  <si>
    <t>GMITTAL6@CSC.COM</t>
  </si>
  <si>
    <t>RGATTU3@CSC.COM</t>
  </si>
  <si>
    <t>dsmit229@csc.com</t>
  </si>
  <si>
    <t>BGOSWAMI4@csc.com</t>
  </si>
  <si>
    <t>lmarzean@csc.com</t>
  </si>
  <si>
    <t>VVEERANNA@csc.com</t>
  </si>
  <si>
    <t>VRAJU4@csc.com</t>
  </si>
  <si>
    <t>ARANA7@CSC.COM</t>
  </si>
  <si>
    <t>scarle@csc.com</t>
  </si>
  <si>
    <t>CSEELAM@csc.com</t>
  </si>
  <si>
    <t>RENOS3@csc.com</t>
  </si>
  <si>
    <t>VPRADHAN2@csc.com</t>
  </si>
  <si>
    <t>SKONDAVETI@CSC.COM</t>
  </si>
  <si>
    <t>GVAIRAVELU@CSC.Com</t>
  </si>
  <si>
    <t>NMUNNANGI@csc.com</t>
  </si>
  <si>
    <t>tbyers@csc.com</t>
  </si>
  <si>
    <t>TSINGH51@csc.com</t>
  </si>
  <si>
    <t>LBANGWAL@csc.com</t>
  </si>
  <si>
    <t>SBAGEL@csc.com</t>
  </si>
  <si>
    <t>JAGGARWAL@csc.com</t>
  </si>
  <si>
    <t>GKAPOOR7@csc.com</t>
  </si>
  <si>
    <t>AVEMULAPALL2@csc.com</t>
  </si>
  <si>
    <t>NLALITHA@CSC.COM</t>
  </si>
  <si>
    <t>PMISHRA36@csc.com</t>
  </si>
  <si>
    <t>sverma52@csc.com</t>
  </si>
  <si>
    <t>RKUBENDRAN@CSC.COM</t>
  </si>
  <si>
    <t>HMALHOTRA5@csc.com</t>
  </si>
  <si>
    <t>BCHAUHAN5@csc.com</t>
  </si>
  <si>
    <t>LMOHAN2@CSC.COM</t>
  </si>
  <si>
    <t>RBABY2@csc.com</t>
  </si>
  <si>
    <t>RGAUTAM4@CSC.COM</t>
  </si>
  <si>
    <t>VKUMAR69@csc.com</t>
  </si>
  <si>
    <t>akumar81@csc.com</t>
  </si>
  <si>
    <t>PMEHTA6@CSC.COM</t>
  </si>
  <si>
    <t>NDAMERA@csc.com</t>
  </si>
  <si>
    <t>bphatan@csc.com</t>
  </si>
  <si>
    <t>BSOUNDARAPAN@csc.com</t>
  </si>
  <si>
    <t>NARAVAPALLI@csc.com</t>
  </si>
  <si>
    <t>SVENKATRAM24@csc.com</t>
  </si>
  <si>
    <t>FFRINDO@csc.com</t>
  </si>
  <si>
    <t>SARUNSHARMA@CSC.COM</t>
  </si>
  <si>
    <t>SBEGUM9@csc.com</t>
  </si>
  <si>
    <t>carmanalvare@csc.com</t>
  </si>
  <si>
    <t>JSINGH87@CSC.COM</t>
  </si>
  <si>
    <t>CPASUMARTHI@csc.com</t>
  </si>
  <si>
    <t>MKHAN205@csc.com</t>
  </si>
  <si>
    <t>schaudhary27@csc.com</t>
  </si>
  <si>
    <t>KJAYASHREE@csc.com</t>
  </si>
  <si>
    <t>CIVATURI@CSC.COM</t>
  </si>
  <si>
    <t>SBOREDDY3@CSC.COM</t>
  </si>
  <si>
    <t>KKEYAN@csc.com</t>
  </si>
  <si>
    <t>vthiagaraja3@csc.com</t>
  </si>
  <si>
    <t>rselvaraj22@csc.com</t>
  </si>
  <si>
    <t>BKUCHIMANCHI@csc.com</t>
  </si>
  <si>
    <t>RKUMAR275@CSC.COM</t>
  </si>
  <si>
    <t>rpuri9@csc.com</t>
  </si>
  <si>
    <t>PMANJOORAN@CSC.COM</t>
  </si>
  <si>
    <t>GANCHAL@CSC.COM</t>
  </si>
  <si>
    <t>CSOOD@csc.com</t>
  </si>
  <si>
    <t>ssoni21@csc.com</t>
  </si>
  <si>
    <t>jrodrigueza2@csc.com</t>
  </si>
  <si>
    <t>DMARIAJOSEPH@CSC.COM</t>
  </si>
  <si>
    <t>RLOVELLJ@csc.com</t>
  </si>
  <si>
    <t>ALAKHANPAL@CSC.COM</t>
  </si>
  <si>
    <t>pmenendezpel@csc.com</t>
  </si>
  <si>
    <t>esanchezlage@csc.com</t>
  </si>
  <si>
    <t>AGUNJUTE@csc.com</t>
  </si>
  <si>
    <t>MCHILUKA@csc.com</t>
  </si>
  <si>
    <t>GGADAMSETTY@csc.com</t>
  </si>
  <si>
    <t>MRAO28@csc.com</t>
  </si>
  <si>
    <t>VBOPPIDI@CSC.COM</t>
  </si>
  <si>
    <t>CSHEKAR2@CSC.COM</t>
  </si>
  <si>
    <t>tputnam2@csc.com</t>
  </si>
  <si>
    <t>HSAXENA2@CSC.COM</t>
  </si>
  <si>
    <t>ateixeira2@csc.com</t>
  </si>
  <si>
    <t>JKILROY2@csc.com</t>
  </si>
  <si>
    <t>jbishopric@csc.com</t>
  </si>
  <si>
    <t>SSAGGAR@csc.com</t>
  </si>
  <si>
    <t>bkrishnamoo6@csc.com</t>
  </si>
  <si>
    <t>USHARMA9@csc.com</t>
  </si>
  <si>
    <t>Mcox47@csc.com</t>
  </si>
  <si>
    <t>KVENKATESAN9@csc.com</t>
  </si>
  <si>
    <t>ccompolattar@csc.com</t>
  </si>
  <si>
    <t>SBASANI3@csc.com</t>
  </si>
  <si>
    <t>jwyman5@csc.com</t>
  </si>
  <si>
    <t>BTHOMAS44@CSC.COM</t>
  </si>
  <si>
    <t>ABANGA@csc.com</t>
  </si>
  <si>
    <t>rcoulte2@csc.com</t>
  </si>
  <si>
    <t>jcovarrubia2@csc.com</t>
  </si>
  <si>
    <t>jjankaus@csc.com</t>
  </si>
  <si>
    <t>eboyes@csc.com</t>
  </si>
  <si>
    <t>tlacy@csc.com</t>
  </si>
  <si>
    <t>sdonegan3@csc.com</t>
  </si>
  <si>
    <t>jmetzle2@csc.com</t>
  </si>
  <si>
    <t>jvicentetara@csc.com</t>
  </si>
  <si>
    <t>VKUMAR73@CSC.COM</t>
  </si>
  <si>
    <t>rgonzalezalv@csc.com</t>
  </si>
  <si>
    <t>SMALIK25@csc.com</t>
  </si>
  <si>
    <t>svayalanallu@csc.com</t>
  </si>
  <si>
    <t>MGUPTA48@CSC.COM</t>
  </si>
  <si>
    <t>CPADUCHURI@csc.com</t>
  </si>
  <si>
    <t>mkurdi@csc.com</t>
  </si>
  <si>
    <t>csecadescues@csc.com</t>
  </si>
  <si>
    <t>MSAMY3@csc.com</t>
  </si>
  <si>
    <t>staiwo@csc.com</t>
  </si>
  <si>
    <t>SMUNNALURI@csc.com</t>
  </si>
  <si>
    <t>GBERNARD5@csc.com</t>
  </si>
  <si>
    <t>PGARG2@csc.com</t>
  </si>
  <si>
    <t>SVINOD2@csc.com</t>
  </si>
  <si>
    <t>APALANIAPPAN@csc.com</t>
  </si>
  <si>
    <t>AMAREESWARIR@CSC.COM</t>
  </si>
  <si>
    <t>DSHARMA49@CSC.COM</t>
  </si>
  <si>
    <t>ASAXENA39@CSC.COM</t>
  </si>
  <si>
    <t>ematteson@csc.com</t>
  </si>
  <si>
    <t>MBAJAJ3@csc.com</t>
  </si>
  <si>
    <t>rclott@csc.com</t>
  </si>
  <si>
    <t>SLAKABATHINI@CSC.COM</t>
  </si>
  <si>
    <t>RPANDEY32@csc.com</t>
  </si>
  <si>
    <t>NPAHUJA@csc.com</t>
  </si>
  <si>
    <t>RMARU@CSC.COM</t>
  </si>
  <si>
    <t>MRAJAGOPAL2@csc.com</t>
  </si>
  <si>
    <t>NMUKHI2@csc.com</t>
  </si>
  <si>
    <t>dgarciagrand@csc.com</t>
  </si>
  <si>
    <t>crato@csc.com</t>
  </si>
  <si>
    <t>NRATTANLAL@CSC.COM</t>
  </si>
  <si>
    <t>SSRINIVASANM@CSC.COM</t>
  </si>
  <si>
    <t>RNARAGAM@CSC.COM</t>
  </si>
  <si>
    <t>EASHOKJAIN@CSC.COM</t>
  </si>
  <si>
    <t>SDAS75@csc.com</t>
  </si>
  <si>
    <t>AUPADHYAY7@csc.com</t>
  </si>
  <si>
    <t>PDWIVEDI7@CSC.COM</t>
  </si>
  <si>
    <t>STHANGAVEL6@CSC.COM</t>
  </si>
  <si>
    <t>CCHAUBEY@csc.com</t>
  </si>
  <si>
    <t>DSAMBYAL@csc.com</t>
  </si>
  <si>
    <t>AMOHANTY8@CSC.COM</t>
  </si>
  <si>
    <t>KBASKAR3@csc.com</t>
  </si>
  <si>
    <t>KBHOWMICK@csc.com</t>
  </si>
  <si>
    <t>rpastormoro@csc.com</t>
  </si>
  <si>
    <t>AMISHRA68@csc.com</t>
  </si>
  <si>
    <t>dkhatana@csc.com</t>
  </si>
  <si>
    <t>RDUA3@csc.com</t>
  </si>
  <si>
    <t>ANANDA5@CSC.COM</t>
  </si>
  <si>
    <t>SDEVARAJU2@csc.com</t>
  </si>
  <si>
    <t>SMUDUNURI2@csc.com</t>
  </si>
  <si>
    <t>salam3@csc.com</t>
  </si>
  <si>
    <t>UBUDIDA@csc.com</t>
  </si>
  <si>
    <t>AKUMAR435@csc.com</t>
  </si>
  <si>
    <t>SPUTCHA2@csc.com</t>
  </si>
  <si>
    <t>SCHAUDHARY30@csc.com</t>
  </si>
  <si>
    <t>PGOPALAKRIS4@csc.com</t>
  </si>
  <si>
    <t>ruk@csc.com</t>
  </si>
  <si>
    <t>CVERMA2@csc.com</t>
  </si>
  <si>
    <t>stiwari37@csc.com</t>
  </si>
  <si>
    <t>VTHAKUR2@CSC.COM</t>
  </si>
  <si>
    <t>JBOJJA@csc.com</t>
  </si>
  <si>
    <t>TCHUKKANA@csc.com</t>
  </si>
  <si>
    <t>CGUDIMELLA@csc.com</t>
  </si>
  <si>
    <t>SKOTANKAR@csc.com</t>
  </si>
  <si>
    <t>pgonzalezara@csc.com</t>
  </si>
  <si>
    <t>MYADLA2@CSC.COM</t>
  </si>
  <si>
    <t>NPOREDDY@CSC.COM</t>
  </si>
  <si>
    <t>cfernandezgo@csc.com</t>
  </si>
  <si>
    <t>PVISHNUBHATL@csc.com</t>
  </si>
  <si>
    <t>SKUMAR334@csc.com</t>
  </si>
  <si>
    <t>vparlavecchi@csc.com</t>
  </si>
  <si>
    <t>ASHARMA343@csc.com</t>
  </si>
  <si>
    <t>VBALAJI3@csc.com</t>
  </si>
  <si>
    <t>asimoes@csc.com</t>
  </si>
  <si>
    <t>SRAASHID@CSC.COM</t>
  </si>
  <si>
    <t>JNATH2@CSC.COM</t>
  </si>
  <si>
    <t>SMALARAJU@csc.com</t>
  </si>
  <si>
    <t>MAMEENULHUSS@csc.com</t>
  </si>
  <si>
    <t>KPHANIKUMAR@csc.com</t>
  </si>
  <si>
    <t>SMATHUR24@csc.com</t>
  </si>
  <si>
    <t>NRAI7@csc.com</t>
  </si>
  <si>
    <t>VVINODKUMARS@CSC.COM</t>
  </si>
  <si>
    <t>CADDLA@csc.com</t>
  </si>
  <si>
    <t>rkrishnamoo5@csc.com</t>
  </si>
  <si>
    <t>spitchandi@csc.com</t>
  </si>
  <si>
    <t>SSHARMA303@csc.com</t>
  </si>
  <si>
    <t>pgupta75@csc.com</t>
  </si>
  <si>
    <t>rsingh98@csc.com</t>
  </si>
  <si>
    <t>MKONDAVEETI2@csc.com</t>
  </si>
  <si>
    <t>TDAS5@csc.com</t>
  </si>
  <si>
    <t>KRAINA@csc.com</t>
  </si>
  <si>
    <t>GSINGH33@csc.com</t>
  </si>
  <si>
    <t>ssoma@csc.com</t>
  </si>
  <si>
    <t>SPALANI23@csc.com</t>
  </si>
  <si>
    <t>RVERMA31@csc.com</t>
  </si>
  <si>
    <t>SKANOONGO@CSC.COM</t>
  </si>
  <si>
    <t>NANILJAIN@CSC.COM</t>
  </si>
  <si>
    <t>cvillabrille@csc.com</t>
  </si>
  <si>
    <t>ajeelani@csc.com</t>
  </si>
  <si>
    <t>RSINGH279@csc.com</t>
  </si>
  <si>
    <t>vsingh23@csc.com</t>
  </si>
  <si>
    <t>RDEVKAL@CSC.COM</t>
  </si>
  <si>
    <t>AMEHTA27@csc.com</t>
  </si>
  <si>
    <t>MVEERWANI@CSC.COM</t>
  </si>
  <si>
    <t>VKAFALTIYA@csc.com</t>
  </si>
  <si>
    <t>SMANNE7@csc.com</t>
  </si>
  <si>
    <t>ARAYBAN@csc.com</t>
  </si>
  <si>
    <t>SMADALA6@csc.com</t>
  </si>
  <si>
    <t>SVURE@csc.com</t>
  </si>
  <si>
    <t>PRAMACHAND25@csc.com</t>
  </si>
  <si>
    <t>TBEHERA@CSC.COM</t>
  </si>
  <si>
    <t>wbizoff2@csc.com</t>
  </si>
  <si>
    <t>AMADYALKAR@CSC.COM</t>
  </si>
  <si>
    <t>MMISHRA34@CSC.COM</t>
  </si>
  <si>
    <t>SJHA33@csc.com</t>
  </si>
  <si>
    <t>MSHAMSULHAQ@csc.com</t>
  </si>
  <si>
    <t>GJAYARAMANGO@CSC.COM</t>
  </si>
  <si>
    <t>DTEWARI@CSC.COM</t>
  </si>
  <si>
    <t>ADUBEAU2@csc.com</t>
  </si>
  <si>
    <t>VSRIVASTAV26@csc.com</t>
  </si>
  <si>
    <t>ATAMTA@csc.com</t>
  </si>
  <si>
    <t>TBALAKRISHN6@CSC.com</t>
  </si>
  <si>
    <t>rvelu@csc.com</t>
  </si>
  <si>
    <t>SMADNANI@csc.com</t>
  </si>
  <si>
    <t>SDEEP@csc.com</t>
  </si>
  <si>
    <t>SNATARAJANRA@csc.com</t>
  </si>
  <si>
    <t>STELU2@csc.com</t>
  </si>
  <si>
    <t>gbodel@csc.com</t>
  </si>
  <si>
    <t>RBAWA@csc.com</t>
  </si>
  <si>
    <t>mwhite33@csc.com</t>
  </si>
  <si>
    <t>GREGNIER@csc.com</t>
  </si>
  <si>
    <t>SRAJ4@csc.com</t>
  </si>
  <si>
    <t>SKUMARESAN3@CSC.COM</t>
  </si>
  <si>
    <t>cvela@csc.com</t>
  </si>
  <si>
    <t>HSHARMA33@csc.com</t>
  </si>
  <si>
    <t>BDAS23@CSC.COM</t>
  </si>
  <si>
    <t>VETURUVENKAT@csc.com</t>
  </si>
  <si>
    <t>nsuter@csc.com</t>
  </si>
  <si>
    <t>AKANDE3@csc.com</t>
  </si>
  <si>
    <t>YRAJPUT@CSC.COM</t>
  </si>
  <si>
    <t>SKUMAR353@CSC.COM</t>
  </si>
  <si>
    <t>RSWAROOP@csc.com</t>
  </si>
  <si>
    <t>acoppola@csc.com</t>
  </si>
  <si>
    <t>LMANICKAVAS2@CSC.COM</t>
  </si>
  <si>
    <t>PAGRAWAL21@csc.com</t>
  </si>
  <si>
    <t>atobolka@csc.com</t>
  </si>
  <si>
    <t>ZALAM2@CSC.COM</t>
  </si>
  <si>
    <t>ASHARMA354@csc.com</t>
  </si>
  <si>
    <t>RANTONYSAMY@csc.com</t>
  </si>
  <si>
    <t>SKUMAR254@csc.com</t>
  </si>
  <si>
    <t>BPALANIAPPAN@CSC.COM</t>
  </si>
  <si>
    <t>PVERMA21@csc.com</t>
  </si>
  <si>
    <t>MJHA5@CSC.COM</t>
  </si>
  <si>
    <t>VDUBEY4@csc.com</t>
  </si>
  <si>
    <t>HKUMAR39@csc.com</t>
  </si>
  <si>
    <t>HKUMAR41@csc.com</t>
  </si>
  <si>
    <t>SPARASHER@CSC.COM</t>
  </si>
  <si>
    <t>ASINGH67@csc.com</t>
  </si>
  <si>
    <t>RRIGINA@csc.com</t>
  </si>
  <si>
    <t>DVISHWANATHP@csc.com</t>
  </si>
  <si>
    <t>SBHANDARI20@csc.com</t>
  </si>
  <si>
    <t>GPATRO@csc.com</t>
  </si>
  <si>
    <t>MSHRIVASTAV4@csc.com</t>
  </si>
  <si>
    <t>PAKULA2@csc.com</t>
  </si>
  <si>
    <t>LRAO7@csc.com</t>
  </si>
  <si>
    <t>SSREEJA@csc.com</t>
  </si>
  <si>
    <t>SGEDDAM2@csc.com</t>
  </si>
  <si>
    <t>SGUJJALA@csc.com</t>
  </si>
  <si>
    <t>tmccullough@csc.com</t>
  </si>
  <si>
    <t>rsainzpando@csc.com</t>
  </si>
  <si>
    <t>HKUMARKAKKAR@csc.com</t>
  </si>
  <si>
    <t>nsoni9@csc.com</t>
  </si>
  <si>
    <t>ssasidharan2@csc.com</t>
  </si>
  <si>
    <t>SRAMACHAND25@CSC.COM</t>
  </si>
  <si>
    <t>DBHAVSAR@csc.com</t>
  </si>
  <si>
    <t>NVARSHNEY3@CSC.COM</t>
  </si>
  <si>
    <t>khendri5@csc.com</t>
  </si>
  <si>
    <t>IISHRADALIKH@CSC.COM</t>
  </si>
  <si>
    <t>hbadalkhan@csc.com</t>
  </si>
  <si>
    <t>AFATHIMA@CSC.COM</t>
  </si>
  <si>
    <t>AGUPTA240@csc.com</t>
  </si>
  <si>
    <t>PVASU@csc.com</t>
  </si>
  <si>
    <t>JSINGH56@csc.com</t>
  </si>
  <si>
    <t>LGRANDHI@csc.com</t>
  </si>
  <si>
    <t>ABHARATI2@csc.com</t>
  </si>
  <si>
    <t>KVASHISHT@csc.com</t>
  </si>
  <si>
    <t>PPRIY@csc.com</t>
  </si>
  <si>
    <t>RRAWAT25@csc.com</t>
  </si>
  <si>
    <t>gsolomon3@CSC.COM</t>
  </si>
  <si>
    <t>PSINHAL@CSC.COM</t>
  </si>
  <si>
    <t>VPANWAR6@csc.com</t>
  </si>
  <si>
    <t>VPALAVARAPU@CSC.COM</t>
  </si>
  <si>
    <t>ashivhare@csc.com</t>
  </si>
  <si>
    <t>SMAGGEGOVIND@csc.com</t>
  </si>
  <si>
    <t>SSHISHODIA@csc.com</t>
  </si>
  <si>
    <t>MKUMAR86@CSC.COM</t>
  </si>
  <si>
    <t>VDAMERA4@csc.com</t>
  </si>
  <si>
    <t>RPAUL21@csc.com</t>
  </si>
  <si>
    <t>LANJANAPPA@csc.com</t>
  </si>
  <si>
    <t>AKHANNA23@csc.com</t>
  </si>
  <si>
    <t>SSAINISHREE@csc.com</t>
  </si>
  <si>
    <t>GSUREDDY@csc.com</t>
  </si>
  <si>
    <t>SSATAPATHY@CSC.COM</t>
  </si>
  <si>
    <t>NKALKAR@CSC.COM</t>
  </si>
  <si>
    <t>OPRAKASH2@csc.com</t>
  </si>
  <si>
    <t>PKOCHERLA@csc.com</t>
  </si>
  <si>
    <t>AKOZHIKKODAN@csc.com</t>
  </si>
  <si>
    <t>ASHARMA248@CSC.COM</t>
  </si>
  <si>
    <t>SOMAR3@csc.com</t>
  </si>
  <si>
    <t>VGK@csc.com</t>
  </si>
  <si>
    <t>GSHARMA46@csc.com</t>
  </si>
  <si>
    <t>RSHARIER@csc.com</t>
  </si>
  <si>
    <t>RPAUL23@csc.com</t>
  </si>
  <si>
    <t>VYUVARAJ@csc.com</t>
  </si>
  <si>
    <t>gjanardhanan@csc.com</t>
  </si>
  <si>
    <t>cshea3@csc.com</t>
  </si>
  <si>
    <t>LTANEJA@CSC.COM</t>
  </si>
  <si>
    <t>NRAI6@csc.com</t>
  </si>
  <si>
    <t>MAKULA2@CSC.COM</t>
  </si>
  <si>
    <t>PNAYYAR@csc.com</t>
  </si>
  <si>
    <t>BRAJ2@CSC.COM</t>
  </si>
  <si>
    <t>cgaffney2@csc.com</t>
  </si>
  <si>
    <t>DKUMAR84@csc.com</t>
  </si>
  <si>
    <t>navanesov@csc.com</t>
  </si>
  <si>
    <t>wgardner@csc.com</t>
  </si>
  <si>
    <t>SDUTTA4@csc.com</t>
  </si>
  <si>
    <t>rjones55@csc.com</t>
  </si>
  <si>
    <t>kliller2@csc.com</t>
  </si>
  <si>
    <t>jdaley3@csc.com</t>
  </si>
  <si>
    <t>ahunter6@csc.com</t>
  </si>
  <si>
    <t>bklubek@csc.com</t>
  </si>
  <si>
    <t>RRAI5@csc.com</t>
  </si>
  <si>
    <t>SMITTAL31@csc.com</t>
  </si>
  <si>
    <t>SJAYAKUMAR5@csc.com</t>
  </si>
  <si>
    <t>SSONALINI@csc.com</t>
  </si>
  <si>
    <t>ASHRIVASTA21@CSC.COM</t>
  </si>
  <si>
    <t>NSINGH68@csc.com</t>
  </si>
  <si>
    <t>VSIVASANKAR2@csc.com</t>
  </si>
  <si>
    <t>GHADI2@CSC.COM</t>
  </si>
  <si>
    <t>RKAPOOR8@csc.com</t>
  </si>
  <si>
    <t>SWAHEED3@csc.com</t>
  </si>
  <si>
    <t>APRAVEENJAIN@csc.com</t>
  </si>
  <si>
    <t>SVORA2@csc.com</t>
  </si>
  <si>
    <t>HRAJSHEKAR@csc.com</t>
  </si>
  <si>
    <t>PGUPTA46@csc.com</t>
  </si>
  <si>
    <t>NGOKARA@csc.com</t>
  </si>
  <si>
    <t>JMHADGUT@csc.com</t>
  </si>
  <si>
    <t>NABRAHAM@csc.com</t>
  </si>
  <si>
    <t>CBALASEGARAN@csc.com</t>
  </si>
  <si>
    <t>lbryson@csc.com</t>
  </si>
  <si>
    <t>dmckella@csc.com</t>
  </si>
  <si>
    <t>JBERTELS@csc.com</t>
  </si>
  <si>
    <t>SBILLA3@csc.com</t>
  </si>
  <si>
    <t>fbarberio@csc.com</t>
  </si>
  <si>
    <t>bcox5@csc.com</t>
  </si>
  <si>
    <t>stilton@csc.com</t>
  </si>
  <si>
    <t>PSRAVYA@csc.com</t>
  </si>
  <si>
    <t>pondercin@csc.com</t>
  </si>
  <si>
    <t>SMAKSOSY@csc.com</t>
  </si>
  <si>
    <t>RMOHAN9@csc.com</t>
  </si>
  <si>
    <t>WLOWE2@csc.com</t>
  </si>
  <si>
    <t>VKURIAKOSE@csc.com</t>
  </si>
  <si>
    <t>rverdi@csc.com</t>
  </si>
  <si>
    <t>asaha7@csc.com</t>
  </si>
  <si>
    <t>SDAGGUMATI@csc.com</t>
  </si>
  <si>
    <t>SAJ@csc.com</t>
  </si>
  <si>
    <t>DCHUKKA@csc.com</t>
  </si>
  <si>
    <t>DCHOUDHARY@csc.com</t>
  </si>
  <si>
    <t>HBAJAJ@csc.com</t>
  </si>
  <si>
    <t>bdedic@csc.com</t>
  </si>
  <si>
    <t>avallinalast@csc.com</t>
  </si>
  <si>
    <t>ozachar2@csc.com</t>
  </si>
  <si>
    <t>jadamek@csc.com</t>
  </si>
  <si>
    <t>PTHAPLIYAL@CSC.COM</t>
  </si>
  <si>
    <t>PSAMBASIVAN@CSC.COM</t>
  </si>
  <si>
    <t>rmenendezfer@csc.com</t>
  </si>
  <si>
    <t>AGUPTA237@csc.com</t>
  </si>
  <si>
    <t>kmoore43@csc.com</t>
  </si>
  <si>
    <t>VVEMURI4@csc.com</t>
  </si>
  <si>
    <t>PRAJASEKAR2@csc.com</t>
  </si>
  <si>
    <t>BMATURI@CSC.COM</t>
  </si>
  <si>
    <t>KKHANNA7@csc.com</t>
  </si>
  <si>
    <t>RBIALA@CSC.COM</t>
  </si>
  <si>
    <t>tkornmes@csc.com</t>
  </si>
  <si>
    <t>ryelugula@csc.com</t>
  </si>
  <si>
    <t>dfarkas@csc.com</t>
  </si>
  <si>
    <t>mencabonavaz@csc.com</t>
  </si>
  <si>
    <t>SSHARMA251@CSC.COM</t>
  </si>
  <si>
    <t>RSAHU9@CSC.COM</t>
  </si>
  <si>
    <t>VBHARDWAJ3@csc.com</t>
  </si>
  <si>
    <t>Short ID</t>
  </si>
  <si>
    <t>LOS</t>
  </si>
  <si>
    <t>Region</t>
  </si>
  <si>
    <t>Wave</t>
  </si>
  <si>
    <t>Color</t>
  </si>
  <si>
    <t>Email ID</t>
  </si>
  <si>
    <t>Status</t>
  </si>
  <si>
    <t>mnagarajan4</t>
  </si>
  <si>
    <t>Platform</t>
  </si>
  <si>
    <t>Noida PF Wave 2 (Kamal Arora)</t>
  </si>
  <si>
    <t>Wave2</t>
  </si>
  <si>
    <t>Blue</t>
  </si>
  <si>
    <t>mnagarajan4@csc.com</t>
  </si>
  <si>
    <t>Not Completed</t>
  </si>
  <si>
    <t>bphatan</t>
  </si>
  <si>
    <t>Purple</t>
  </si>
  <si>
    <t>Completed</t>
  </si>
  <si>
    <t>avimalkumar</t>
  </si>
  <si>
    <t>Orange</t>
  </si>
  <si>
    <t>avimalkumar@csc.com</t>
  </si>
  <si>
    <t>byadav3</t>
  </si>
  <si>
    <t>byadav3@csc.com</t>
  </si>
  <si>
    <t>nporeddy</t>
  </si>
  <si>
    <t>nporeddy@csc.com</t>
  </si>
  <si>
    <t>ssingh265</t>
  </si>
  <si>
    <t>ssingh265@csc.com</t>
  </si>
  <si>
    <t>vyadav25</t>
  </si>
  <si>
    <t>Yellow</t>
  </si>
  <si>
    <t>vyadav25@csc.com</t>
  </si>
  <si>
    <t>jvarghese25</t>
  </si>
  <si>
    <t>jvarghese25@csc.com</t>
  </si>
  <si>
    <t>mmullassery</t>
  </si>
  <si>
    <t>mmullassery@csc.com</t>
  </si>
  <si>
    <t>ckakarla</t>
  </si>
  <si>
    <t>ckakarla@csc.com</t>
  </si>
  <si>
    <t>nmehani</t>
  </si>
  <si>
    <t>nmehani@csc.com</t>
  </si>
  <si>
    <t>mmanchanda2</t>
  </si>
  <si>
    <t>Brown</t>
  </si>
  <si>
    <t>mmanchanda2@csc.com</t>
  </si>
  <si>
    <t>vchauhan2</t>
  </si>
  <si>
    <t>vchauhan2@csc.com</t>
  </si>
  <si>
    <t>avassan</t>
  </si>
  <si>
    <t>avassan@csc.com</t>
  </si>
  <si>
    <t>dkumar84</t>
  </si>
  <si>
    <t>dkumar84@csc.com</t>
  </si>
  <si>
    <t>msachdeva4</t>
  </si>
  <si>
    <t>msachdeva4@csc.com</t>
  </si>
  <si>
    <t>nlalitha</t>
  </si>
  <si>
    <t>nlalitha@csc.com</t>
  </si>
  <si>
    <t>smunnaluri</t>
  </si>
  <si>
    <t>smunnaluri@csc.com</t>
  </si>
  <si>
    <t>ptungana</t>
  </si>
  <si>
    <t>ptungana@csc.com</t>
  </si>
  <si>
    <t>arafey</t>
  </si>
  <si>
    <t>arafey@csc.com</t>
  </si>
  <si>
    <t>jsravya</t>
  </si>
  <si>
    <t>jsravya@csc.com</t>
  </si>
  <si>
    <t>lbangwal</t>
  </si>
  <si>
    <t>lbangwal@csc.com</t>
  </si>
  <si>
    <t>nkicchannaga</t>
  </si>
  <si>
    <t>nkicchannaga@csc.com</t>
  </si>
  <si>
    <t>rjain29</t>
  </si>
  <si>
    <t>rjain29@csc.com</t>
  </si>
  <si>
    <t>sazhar</t>
  </si>
  <si>
    <t>sazhar@csc.com</t>
  </si>
  <si>
    <t>spachaiyappa</t>
  </si>
  <si>
    <t>spachaiyappa@csc.com</t>
  </si>
  <si>
    <t>sramasamy33</t>
  </si>
  <si>
    <t>sramasamy33@csc.com</t>
  </si>
  <si>
    <t>vdogra2</t>
  </si>
  <si>
    <t>vdogra2@csc.com</t>
  </si>
  <si>
    <t>gbernard5</t>
  </si>
  <si>
    <t>gbernard5@csc.com</t>
  </si>
  <si>
    <t>ksiddiqui5</t>
  </si>
  <si>
    <t>ksiddiqui5@csc.com</t>
  </si>
  <si>
    <t>ntuli3</t>
  </si>
  <si>
    <t>ntuli3@csc.com</t>
  </si>
  <si>
    <t>rpotdar</t>
  </si>
  <si>
    <t>rpotdar@csc.com</t>
  </si>
  <si>
    <t>schanna</t>
  </si>
  <si>
    <t>schanna@csc.com</t>
  </si>
  <si>
    <t>schatterje21</t>
  </si>
  <si>
    <t>schatterje21@csc.com</t>
  </si>
  <si>
    <t>smaringanti</t>
  </si>
  <si>
    <t>smaringanti@csc.com</t>
  </si>
  <si>
    <t>vmahajan3</t>
  </si>
  <si>
    <t>vmahajan3@csc.com</t>
  </si>
  <si>
    <t>hsaxena2</t>
  </si>
  <si>
    <t>hsaxena2@csc.com</t>
  </si>
  <si>
    <t>nkrishnamur3</t>
  </si>
  <si>
    <t>nkrishnamur3@csc.com</t>
  </si>
  <si>
    <t>sbollu</t>
  </si>
  <si>
    <t>sbollu@csc.com</t>
  </si>
  <si>
    <t>rtirunagari</t>
  </si>
  <si>
    <t>rtirunagari@csc.com</t>
  </si>
  <si>
    <t>asharma237</t>
  </si>
  <si>
    <t>asharma237@csc.com</t>
  </si>
  <si>
    <t>jeqbal</t>
  </si>
  <si>
    <t>jeqbal@csc.com</t>
  </si>
  <si>
    <t>ssoni21</t>
  </si>
  <si>
    <t>bjangra</t>
  </si>
  <si>
    <t>bjangra@csc.com</t>
  </si>
  <si>
    <t>csharma7</t>
  </si>
  <si>
    <t>csharma7@csc.com</t>
  </si>
  <si>
    <t>amansoor3</t>
  </si>
  <si>
    <t>amansoor3@csc.com</t>
  </si>
  <si>
    <t>bpittala</t>
  </si>
  <si>
    <t>bpittala@csc.com</t>
  </si>
  <si>
    <t>lmohan2</t>
  </si>
  <si>
    <t>lmohan2@csc.com</t>
  </si>
  <si>
    <t>mganji3</t>
  </si>
  <si>
    <t>mganji3@csc.com</t>
  </si>
  <si>
    <t>nhasan3</t>
  </si>
  <si>
    <t>nhasan3@csc.com</t>
  </si>
  <si>
    <t>sverma52</t>
  </si>
  <si>
    <t>vkataria</t>
  </si>
  <si>
    <t>vkataria@csc.com</t>
  </si>
  <si>
    <t>vkumar206</t>
  </si>
  <si>
    <t>vkumar206@csc.com</t>
  </si>
  <si>
    <t>akhandelwa25</t>
  </si>
  <si>
    <t>akhandelwa25@csc.com</t>
  </si>
  <si>
    <t>csinha2</t>
  </si>
  <si>
    <t>csinha2@csc.com</t>
  </si>
  <si>
    <t>ykumar24</t>
  </si>
  <si>
    <t>ykumar24@csc.com</t>
  </si>
  <si>
    <t>sbharti2</t>
  </si>
  <si>
    <t>sbharti2@csc.com</t>
  </si>
  <si>
    <t>jsingh84</t>
  </si>
  <si>
    <t>jsingh84@csc.com</t>
  </si>
  <si>
    <t>sdondapati3</t>
  </si>
  <si>
    <t>sdondapati3@csc.com</t>
  </si>
  <si>
    <t>dbhattachar7</t>
  </si>
  <si>
    <t>dbhattachar7@csc.com</t>
  </si>
  <si>
    <t>asingh284</t>
  </si>
  <si>
    <t>asingh284@csc.com</t>
  </si>
  <si>
    <t>athapliyal7</t>
  </si>
  <si>
    <t>athapliyal7@csc.com</t>
  </si>
  <si>
    <t>umonga</t>
  </si>
  <si>
    <t>umonga@csc.com</t>
  </si>
  <si>
    <t>vsharma91</t>
  </si>
  <si>
    <t>vsharma91@csc.com</t>
  </si>
  <si>
    <t>sarora67</t>
  </si>
  <si>
    <t>sarora67@csc.com</t>
  </si>
  <si>
    <t>sgiri2</t>
  </si>
  <si>
    <t>sgiri2@csc.com</t>
  </si>
  <si>
    <t>bojha</t>
  </si>
  <si>
    <t>bojha@csc.com</t>
  </si>
  <si>
    <t>gkaramsetty</t>
  </si>
  <si>
    <t>gkaramsetty@csc.com</t>
  </si>
  <si>
    <t>tahmed7</t>
  </si>
  <si>
    <t>tahmed7@csc.com</t>
  </si>
  <si>
    <t>vgera4</t>
  </si>
  <si>
    <t>vgera4@csc.com</t>
  </si>
  <si>
    <t>zkhan9</t>
  </si>
  <si>
    <t>zkhan9@csc.com</t>
  </si>
  <si>
    <t>ssaggar</t>
  </si>
  <si>
    <t>ssaggar@csc.com</t>
  </si>
  <si>
    <t>eganji</t>
  </si>
  <si>
    <t>eganji@csc.com</t>
  </si>
  <si>
    <t>lmolluru2</t>
  </si>
  <si>
    <t>lmolluru2@csc.com</t>
  </si>
  <si>
    <t>pramnani</t>
  </si>
  <si>
    <t>pramnani@csc.com</t>
  </si>
  <si>
    <t>pmaddugaru</t>
  </si>
  <si>
    <t>pmaddugaru@csc.com</t>
  </si>
  <si>
    <t>schaudhary31</t>
  </si>
  <si>
    <t>schaudhary31@csc.com</t>
  </si>
  <si>
    <t>vyellapragad</t>
  </si>
  <si>
    <t>vyellapragad@csc.com</t>
  </si>
  <si>
    <t>skumar490</t>
  </si>
  <si>
    <t>skumar490@csc.com</t>
  </si>
  <si>
    <t>rrai5</t>
  </si>
  <si>
    <t>rrai5@csc.com</t>
  </si>
  <si>
    <t>hbadalkhan</t>
  </si>
  <si>
    <t>mmenon4</t>
  </si>
  <si>
    <t>mpandey22</t>
  </si>
  <si>
    <t>mpandey22@csc.com</t>
  </si>
  <si>
    <t>nmarla</t>
  </si>
  <si>
    <t>nmarla@csc.com</t>
  </si>
  <si>
    <t>rbaby2</t>
  </si>
  <si>
    <t>rbaby2@csc.com</t>
  </si>
  <si>
    <t>spulletikurt</t>
  </si>
  <si>
    <t>spulletikurt@csc.com</t>
  </si>
  <si>
    <t>rratakonda</t>
  </si>
  <si>
    <t>rratakonda@csc.com</t>
  </si>
  <si>
    <t>avalappil</t>
  </si>
  <si>
    <t>avalappil@csc.com</t>
  </si>
  <si>
    <t>hkamal3</t>
  </si>
  <si>
    <t>hkamal3@csc.com</t>
  </si>
  <si>
    <t>nfathima3</t>
  </si>
  <si>
    <t>nfathima3@csc.com</t>
  </si>
  <si>
    <t>ujanella</t>
  </si>
  <si>
    <t>ujanella@csc.com</t>
  </si>
  <si>
    <t>vmalhotra4</t>
  </si>
  <si>
    <t>vmalhotra4@csc.com</t>
  </si>
  <si>
    <t>adantuluri</t>
  </si>
  <si>
    <t>adantuluri@csc.com</t>
  </si>
  <si>
    <t>psabharwal2</t>
  </si>
  <si>
    <t>psabharwal2@csc.com</t>
  </si>
  <si>
    <t>smehra6</t>
  </si>
  <si>
    <t>smehra6@csc.com</t>
  </si>
  <si>
    <t>rgarg33</t>
  </si>
  <si>
    <t>rgarg33@csc.com</t>
  </si>
  <si>
    <t>vgandham</t>
  </si>
  <si>
    <t>vgandham@csc.com</t>
  </si>
  <si>
    <t>grajasekar</t>
  </si>
  <si>
    <t>grajasekar@csc.com</t>
  </si>
  <si>
    <t>gkathirvelu</t>
  </si>
  <si>
    <t>gkathirvelu@csc.com</t>
  </si>
  <si>
    <t>ppati</t>
  </si>
  <si>
    <t>ppati@csc.com</t>
  </si>
  <si>
    <t>rvenkatesan9</t>
  </si>
  <si>
    <t>rvenkatesan9@csc.com</t>
  </si>
  <si>
    <t>vthirumalai3</t>
  </si>
  <si>
    <t>vthirumalai3@csc.com</t>
  </si>
  <si>
    <t>cpal3</t>
  </si>
  <si>
    <t>cpal3@csc.com</t>
  </si>
  <si>
    <t>gsingh90</t>
  </si>
  <si>
    <t>gsingh90@csc.com</t>
  </si>
  <si>
    <t>agupta263</t>
  </si>
  <si>
    <t>agupta263@csc.com</t>
  </si>
  <si>
    <t>lyeddala</t>
  </si>
  <si>
    <t>lyeddala@csc.com</t>
  </si>
  <si>
    <t>tnanda2</t>
  </si>
  <si>
    <t>tnanda2@csc.com</t>
  </si>
  <si>
    <t>vmogral</t>
  </si>
  <si>
    <t>vmogral@csc.com</t>
  </si>
  <si>
    <t>sdevaraju2</t>
  </si>
  <si>
    <t>sdevaraju2@csc.com</t>
  </si>
  <si>
    <t>sbhowmick</t>
  </si>
  <si>
    <t>sbhowmick@csc.com</t>
  </si>
  <si>
    <t>mkumar207</t>
  </si>
  <si>
    <t>mkumar207@csc.com</t>
  </si>
  <si>
    <t>amohammed28</t>
  </si>
  <si>
    <t>amohammed28@csc.com</t>
  </si>
  <si>
    <t>bchoudhury7</t>
  </si>
  <si>
    <t>bchoudhury7@csc.com</t>
  </si>
  <si>
    <t>gmitra</t>
  </si>
  <si>
    <t>gmitra@csc.com</t>
  </si>
  <si>
    <t>PDUHOON</t>
  </si>
  <si>
    <t>PDUHOON@csc.com</t>
  </si>
  <si>
    <t>KSEKER</t>
  </si>
  <si>
    <t>KSEKER@csc.com</t>
  </si>
  <si>
    <t>AYERVAKOTRAP</t>
  </si>
  <si>
    <t>AYERVAKOTRAP@csc.com</t>
  </si>
  <si>
    <t>ZALAM2</t>
  </si>
  <si>
    <t>ZALAM2@csc.com</t>
  </si>
  <si>
    <t>ASHRIVASTA21</t>
  </si>
  <si>
    <t>ASHRIVASTA21@csc.com</t>
  </si>
  <si>
    <t>pmothe2</t>
  </si>
  <si>
    <t>pmothe2@csc.com</t>
  </si>
  <si>
    <t>achitra</t>
  </si>
  <si>
    <t>achitra@csc.com</t>
  </si>
  <si>
    <t>nnair4</t>
  </si>
  <si>
    <t>nnair4@csc.com</t>
  </si>
  <si>
    <t>pmendiratta2</t>
  </si>
  <si>
    <t>pmendiratta2@csc.com</t>
  </si>
  <si>
    <t>svenkateswa4</t>
  </si>
  <si>
    <t>svenkateswa4@csc.com</t>
  </si>
  <si>
    <t>lsadanandam</t>
  </si>
  <si>
    <t>lsadanandam@csc.com</t>
  </si>
  <si>
    <t>dchopra4</t>
  </si>
  <si>
    <t>dchopra4@csc.com</t>
  </si>
  <si>
    <t>fnamreen</t>
  </si>
  <si>
    <t>fnamreen@csc.com</t>
  </si>
  <si>
    <t>gverma20</t>
  </si>
  <si>
    <t>gverma20@csc.com</t>
  </si>
  <si>
    <t>kramu</t>
  </si>
  <si>
    <t>kramu@csc.com</t>
  </si>
  <si>
    <t>kverma8</t>
  </si>
  <si>
    <t>kverma8@csc.com</t>
  </si>
  <si>
    <t>NCHERUKURU</t>
  </si>
  <si>
    <t>NCHERUKURU@csc.com</t>
  </si>
  <si>
    <t>SBORAH</t>
  </si>
  <si>
    <t>SBORAH@csc.com</t>
  </si>
  <si>
    <t>GSOLOMON3</t>
  </si>
  <si>
    <t>GSOLOMON3@csc.com</t>
  </si>
  <si>
    <t>RSWAMINATH22</t>
  </si>
  <si>
    <t>RSWAMINATH22@csc.com</t>
  </si>
  <si>
    <t>mgaur</t>
  </si>
  <si>
    <t>mgaur@csc.com</t>
  </si>
  <si>
    <t>nchourey2</t>
  </si>
  <si>
    <t>nchourey2@csc.com</t>
  </si>
  <si>
    <t>RRAWAT25</t>
  </si>
  <si>
    <t>mbajaj3</t>
  </si>
  <si>
    <t>mbajaj3@csc.com</t>
  </si>
  <si>
    <t>araj24</t>
  </si>
  <si>
    <t>araj24@csc.com</t>
  </si>
  <si>
    <t>PVASU</t>
  </si>
  <si>
    <t>Workplace</t>
  </si>
  <si>
    <t>Hyderabad - WP</t>
  </si>
  <si>
    <t>SRAOAKKINEPA</t>
  </si>
  <si>
    <t>HPADALA</t>
  </si>
  <si>
    <t>GVADDIRAJ</t>
  </si>
  <si>
    <t>GVADDIRAJ@csc.com</t>
  </si>
  <si>
    <t>nkantimahan2</t>
  </si>
  <si>
    <t>nkantimahan2@csc.com</t>
  </si>
  <si>
    <t>vpanwar6</t>
  </si>
  <si>
    <t>vpanwar6@csc.com</t>
  </si>
  <si>
    <t>arehman3</t>
  </si>
  <si>
    <t>arehman3@csc.com</t>
  </si>
  <si>
    <t>amakhansoni</t>
  </si>
  <si>
    <t>amakhansoni@csc.com</t>
  </si>
  <si>
    <t>mkumar210</t>
  </si>
  <si>
    <t>mkumar210@csc.com</t>
  </si>
  <si>
    <t>mdewan2</t>
  </si>
  <si>
    <t>mdewan2@csc.com</t>
  </si>
  <si>
    <t>sarunsharma</t>
  </si>
  <si>
    <t>sarunsharma@csc.com</t>
  </si>
  <si>
    <t>kprathima</t>
  </si>
  <si>
    <t>kprathima@csc.com</t>
  </si>
  <si>
    <t>ksamayamantu</t>
  </si>
  <si>
    <t>ksamayamantu@csc.com</t>
  </si>
  <si>
    <t>kgodugu</t>
  </si>
  <si>
    <t>kgodugu@csc.com</t>
  </si>
  <si>
    <t>rpuppala2</t>
  </si>
  <si>
    <t>rpuppala2@csc.com</t>
  </si>
  <si>
    <t>rthangaraj4</t>
  </si>
  <si>
    <t>rthangaraj4@csc.com</t>
  </si>
  <si>
    <t>nkanugula</t>
  </si>
  <si>
    <t>nkanugula@csc.com</t>
  </si>
  <si>
    <t>nvaralakshmi</t>
  </si>
  <si>
    <t>nvaralakshmi@csc.com</t>
  </si>
  <si>
    <t>cpotnuru</t>
  </si>
  <si>
    <t>cpotnuru@csc.com</t>
  </si>
  <si>
    <t>BKORANI</t>
  </si>
  <si>
    <t>DTOMAR3</t>
  </si>
  <si>
    <t>DTOMAR3@csc.com</t>
  </si>
  <si>
    <t>DKUMAR207</t>
  </si>
  <si>
    <t>DKUMAR207@csc.com</t>
  </si>
  <si>
    <t>ekalaiselvan</t>
  </si>
  <si>
    <t>ekalaiselvan@csc.com</t>
  </si>
  <si>
    <t>GQURASHI</t>
  </si>
  <si>
    <t>GQURASHI@csc.com</t>
  </si>
  <si>
    <t>GHADI2</t>
  </si>
  <si>
    <t>GHADI2@csc.com</t>
  </si>
  <si>
    <t>KBORA2</t>
  </si>
  <si>
    <t>KBORA2@csc.com</t>
  </si>
  <si>
    <t>KPATNAIK3</t>
  </si>
  <si>
    <t>KPATNAIK3@csc.com</t>
  </si>
  <si>
    <t>NVASUDHA</t>
  </si>
  <si>
    <t>NVASUDHA@csc.com</t>
  </si>
  <si>
    <t>NMANOHARI</t>
  </si>
  <si>
    <t>PAMULYA</t>
  </si>
  <si>
    <t>PAMULYA@csc.com</t>
  </si>
  <si>
    <t>SSONALINI</t>
  </si>
  <si>
    <t>SKUMAR431</t>
  </si>
  <si>
    <t>SKUMAR431@csc.com</t>
  </si>
  <si>
    <t>SVANTA2</t>
  </si>
  <si>
    <t>SVANTA2@csc.com</t>
  </si>
  <si>
    <t>SANILJAIN</t>
  </si>
  <si>
    <t>SANILJAIN@csc.com</t>
  </si>
  <si>
    <t>SVENKATRAM24</t>
  </si>
  <si>
    <t>VVEERLA2</t>
  </si>
  <si>
    <t>VVISHWAKARM2</t>
  </si>
  <si>
    <t>VVISHWAKARM2@csc.com</t>
  </si>
  <si>
    <t>njaiswal8</t>
  </si>
  <si>
    <t>njaiswal8@csc.com</t>
  </si>
  <si>
    <t>rgupta94</t>
  </si>
  <si>
    <t>rgupta94@csc.com</t>
  </si>
  <si>
    <t>agupta233</t>
  </si>
  <si>
    <t>agupta233@csc.com</t>
  </si>
  <si>
    <t>sputcha2</t>
  </si>
  <si>
    <t>sputcha2@csc.com</t>
  </si>
  <si>
    <t>hsharma29</t>
  </si>
  <si>
    <t>hsharma29@csc.com</t>
  </si>
  <si>
    <t>mbajwa</t>
  </si>
  <si>
    <t>mbajwa@csc.com</t>
  </si>
  <si>
    <t>supagupthan</t>
  </si>
  <si>
    <t>supagupthan@csc.com</t>
  </si>
  <si>
    <t>ajain245</t>
  </si>
  <si>
    <t>ajain245@csc.com</t>
  </si>
  <si>
    <t>asharma271</t>
  </si>
  <si>
    <t>asharma271@csc.com</t>
  </si>
  <si>
    <t>skumar353</t>
  </si>
  <si>
    <t>skumar353@csc.com</t>
  </si>
  <si>
    <t>GKARTHIKEYA2</t>
  </si>
  <si>
    <t>afathima</t>
  </si>
  <si>
    <t>afathima@csc.com</t>
  </si>
  <si>
    <t>jaggarwal</t>
  </si>
  <si>
    <t>jaggarwal@csc.com</t>
  </si>
  <si>
    <t>CIVATURI</t>
  </si>
  <si>
    <t>CIVATURI@csc.com</t>
  </si>
  <si>
    <t>agautam8</t>
  </si>
  <si>
    <t>agautam8@csc.com</t>
  </si>
  <si>
    <t>spabbichetty</t>
  </si>
  <si>
    <t>spabbichetty@csc.com</t>
  </si>
  <si>
    <t>kmurti2</t>
  </si>
  <si>
    <t>kmurti2@csc.com</t>
  </si>
  <si>
    <t>ananda5</t>
  </si>
  <si>
    <t>ananda5@csc.com</t>
  </si>
  <si>
    <t>rdesai6</t>
  </si>
  <si>
    <t>rdesai6@csc.com</t>
  </si>
  <si>
    <t>kbhadoria</t>
  </si>
  <si>
    <t>kbhadoria@csc.com</t>
  </si>
  <si>
    <t>mveerwani</t>
  </si>
  <si>
    <t>mveerwani@csc.com</t>
  </si>
  <si>
    <t>msahu5</t>
  </si>
  <si>
    <t>msahu5@csc.com</t>
  </si>
  <si>
    <t>avittala2</t>
  </si>
  <si>
    <t>avittala2@csc.com</t>
  </si>
  <si>
    <t>rpatel73</t>
  </si>
  <si>
    <t>rpatel73@csc.com</t>
  </si>
  <si>
    <t>abegum3</t>
  </si>
  <si>
    <t>abegum3@csc.com</t>
  </si>
  <si>
    <t>JMhadgut</t>
  </si>
  <si>
    <t>JMhadgut@csc.com</t>
  </si>
  <si>
    <t>agupta312</t>
  </si>
  <si>
    <t>agupta312@csc.com</t>
  </si>
  <si>
    <t>ANARAYANASWA</t>
  </si>
  <si>
    <t>ANARAYANASWA@csc.com</t>
  </si>
  <si>
    <t>PREDDY35</t>
  </si>
  <si>
    <t>PREDDY35@csc.com</t>
  </si>
  <si>
    <t>SPAVULURI2</t>
  </si>
  <si>
    <t>SPAVULURI2@csc.com</t>
  </si>
  <si>
    <t>SKUMARI9</t>
  </si>
  <si>
    <t>SKUMARI9@csc.com</t>
  </si>
  <si>
    <t>MCHANDRARAO</t>
  </si>
  <si>
    <t>MCHANDRARAO@csc.com</t>
  </si>
  <si>
    <t>PRAMACHAND25</t>
  </si>
  <si>
    <t>GTHOLKAPPIYA</t>
  </si>
  <si>
    <t>GTHOLKAPPIYA@csc.com</t>
  </si>
  <si>
    <t>KMADARI</t>
  </si>
  <si>
    <t>KMADARI@csc.com</t>
  </si>
  <si>
    <t>NKHIRWADKAR</t>
  </si>
  <si>
    <t>NKHIRWADKAR@csc.com</t>
  </si>
  <si>
    <t>ssubbiah5</t>
  </si>
  <si>
    <t>ssubbiah5@csc.com</t>
  </si>
  <si>
    <t>vboppidi</t>
  </si>
  <si>
    <t>vboppidi@csc.com</t>
  </si>
  <si>
    <t>adixit2</t>
  </si>
  <si>
    <t>adixit2@csc.com</t>
  </si>
  <si>
    <t>jayyappan</t>
  </si>
  <si>
    <t>jayyappan@csc.com</t>
  </si>
  <si>
    <t>AJEELANI</t>
  </si>
  <si>
    <t>AJEELANI@csc.com</t>
  </si>
  <si>
    <t>akaveri</t>
  </si>
  <si>
    <t>akaveri@csc.com</t>
  </si>
  <si>
    <t>amehta3</t>
  </si>
  <si>
    <t>amehta3@csc.com</t>
  </si>
  <si>
    <t>pbisht4</t>
  </si>
  <si>
    <t>pbisht4@csc.com</t>
  </si>
  <si>
    <t>blokesh</t>
  </si>
  <si>
    <t>blokesh@csc.com</t>
  </si>
  <si>
    <t>brekha3</t>
  </si>
  <si>
    <t>brekha3@csc.com</t>
  </si>
  <si>
    <t>bsahoo6</t>
  </si>
  <si>
    <t>bsahoo6@csc.com</t>
  </si>
  <si>
    <t>bthangasamy</t>
  </si>
  <si>
    <t>bthangasamy@csc.com</t>
  </si>
  <si>
    <t>cbalasegaran</t>
  </si>
  <si>
    <t>cbalasegaran@csc.com</t>
  </si>
  <si>
    <t>cgovindaraju</t>
  </si>
  <si>
    <t>cgovindaraju@csc.com</t>
  </si>
  <si>
    <t>cshekar2</t>
  </si>
  <si>
    <t>cshekar2@csc.com</t>
  </si>
  <si>
    <t>gmadaan</t>
  </si>
  <si>
    <t>gmadaan@csc.com</t>
  </si>
  <si>
    <t>gsubramanyan</t>
  </si>
  <si>
    <t>gsubramanyan@csc.com</t>
  </si>
  <si>
    <t>hvadala</t>
  </si>
  <si>
    <t>hvadala@csc.com</t>
  </si>
  <si>
    <t>kkannamreddy</t>
  </si>
  <si>
    <t>kkannamreddy@csc.com</t>
  </si>
  <si>
    <t>kkaruppasamy</t>
  </si>
  <si>
    <t>kkaruppasamy@csc.com</t>
  </si>
  <si>
    <t>kkesipeddi</t>
  </si>
  <si>
    <t>kkesipeddi@csc.com</t>
  </si>
  <si>
    <t>kmavuluri2</t>
  </si>
  <si>
    <t>kmavuluri2@csc.com</t>
  </si>
  <si>
    <t>kramalingam8</t>
  </si>
  <si>
    <t>kramalingam8@csc.com</t>
  </si>
  <si>
    <t>lmanickavas2</t>
  </si>
  <si>
    <t>lmanickavas2@csc.com</t>
  </si>
  <si>
    <t>lnayana</t>
  </si>
  <si>
    <t>lnayana@csc.com</t>
  </si>
  <si>
    <t>lrao7</t>
  </si>
  <si>
    <t>lrao7@csc.com</t>
  </si>
  <si>
    <t>mbasati2</t>
  </si>
  <si>
    <t>mbasati2@csc.com</t>
  </si>
  <si>
    <t>melango</t>
  </si>
  <si>
    <t>melango@csc.com</t>
  </si>
  <si>
    <t>miqbal9</t>
  </si>
  <si>
    <t>miqbal9@csc.com</t>
  </si>
  <si>
    <t>mrao28</t>
  </si>
  <si>
    <t>mrao28@csc.com</t>
  </si>
  <si>
    <t>MSUDHEER</t>
  </si>
  <si>
    <t>MSUDHEER@csc.com</t>
  </si>
  <si>
    <t>muddin5</t>
  </si>
  <si>
    <t>muddin5@csc.com</t>
  </si>
  <si>
    <t>nsakthi</t>
  </si>
  <si>
    <t>nsakthi@csc.com</t>
  </si>
  <si>
    <t>pjaswal</t>
  </si>
  <si>
    <t>pjaswal@csc.com</t>
  </si>
  <si>
    <t>pkannan7</t>
  </si>
  <si>
    <t>pkannan7@csc.com</t>
  </si>
  <si>
    <t>pkocherla</t>
  </si>
  <si>
    <t>pkocherla@csc.com</t>
  </si>
  <si>
    <t>ppalaniappa2</t>
  </si>
  <si>
    <t>ppalaniappa2@csc.com</t>
  </si>
  <si>
    <t>rjayapal2</t>
  </si>
  <si>
    <t>rjayapal2@csc.com</t>
  </si>
  <si>
    <t>rreddy42</t>
  </si>
  <si>
    <t>rreddy42@csc.com</t>
  </si>
  <si>
    <t>slakabathini</t>
  </si>
  <si>
    <t>slakabathini@csc.com</t>
  </si>
  <si>
    <t>sdatta21</t>
  </si>
  <si>
    <t>sdatta21@csc.com</t>
  </si>
  <si>
    <t>snaganathan3</t>
  </si>
  <si>
    <t>snaganathan3@csc.com</t>
  </si>
  <si>
    <t>ssankar20</t>
  </si>
  <si>
    <t>ssankar20@csc.com</t>
  </si>
  <si>
    <t>ssheik2</t>
  </si>
  <si>
    <t>ssheik2@csc.com</t>
  </si>
  <si>
    <t>sshukla32</t>
  </si>
  <si>
    <t>sshukla32@csc.com</t>
  </si>
  <si>
    <t>ASINGH67</t>
  </si>
  <si>
    <t>SBILLA3</t>
  </si>
  <si>
    <t>TBALAKRISHN6</t>
  </si>
  <si>
    <t>TBALAKRISHN6@csc.com</t>
  </si>
  <si>
    <t>NRAI6</t>
  </si>
  <si>
    <t>PGOLLAPUDI</t>
  </si>
  <si>
    <t>PGOLLAPUDI@csc.com</t>
  </si>
  <si>
    <t>SKUMAR254</t>
  </si>
  <si>
    <t>ssaranga3</t>
  </si>
  <si>
    <t>ssaranga3@csc.com</t>
  </si>
  <si>
    <t>amodi9</t>
  </si>
  <si>
    <t>amodi9@csc.com</t>
  </si>
  <si>
    <t>phali</t>
  </si>
  <si>
    <t>phali@csc.com</t>
  </si>
  <si>
    <t>mprasanna3</t>
  </si>
  <si>
    <t>mprasanna3@csc.com</t>
  </si>
  <si>
    <t>nsinghal22</t>
  </si>
  <si>
    <t>nsinghal22@csc.com</t>
  </si>
  <si>
    <t>MLAGWAL</t>
  </si>
  <si>
    <t>MLAGWAL@csc.com</t>
  </si>
  <si>
    <t>SSINGH378</t>
  </si>
  <si>
    <t>SSINGH378@csc.com</t>
  </si>
  <si>
    <t>nsingh68</t>
  </si>
  <si>
    <t>nsingh68@csc.com</t>
  </si>
  <si>
    <t>braja3</t>
  </si>
  <si>
    <t>braja3@csc.com</t>
  </si>
  <si>
    <t>kmittakolu</t>
  </si>
  <si>
    <t>kmittakolu@csc.com</t>
  </si>
  <si>
    <t>bkumar51</t>
  </si>
  <si>
    <t>bkumar51@csc.com</t>
  </si>
  <si>
    <t>njoshi24</t>
  </si>
  <si>
    <t>njoshi24@csc.com</t>
  </si>
  <si>
    <t>sbhandari20</t>
  </si>
  <si>
    <t>sbhandari20@csc.com</t>
  </si>
  <si>
    <t>VSHARMA9</t>
  </si>
  <si>
    <t>VSHARMA9@csc.com</t>
  </si>
  <si>
    <t>pgarg2</t>
  </si>
  <si>
    <t>pgarg2@csc.com</t>
  </si>
  <si>
    <t>jbisht</t>
  </si>
  <si>
    <t>jbisht@csc.com</t>
  </si>
  <si>
    <t>msethuraman</t>
  </si>
  <si>
    <t>msethuraman@csc.com</t>
  </si>
  <si>
    <t>rmaddula</t>
  </si>
  <si>
    <t>rmaddula@csc.com</t>
  </si>
  <si>
    <t>pmalik3</t>
  </si>
  <si>
    <t>pmalik3@csc.com</t>
  </si>
  <si>
    <t>nbandlagudem</t>
  </si>
  <si>
    <t>nbandlagudem@csc.com</t>
  </si>
  <si>
    <t>rgoneni</t>
  </si>
  <si>
    <t>rgoneni@csc.com</t>
  </si>
  <si>
    <t>lannavarapu2</t>
  </si>
  <si>
    <t>lannavarapu2@csc.com</t>
  </si>
  <si>
    <t>plavadya</t>
  </si>
  <si>
    <t>plavadya@csc.com</t>
  </si>
  <si>
    <t>eilanthamila</t>
  </si>
  <si>
    <t>eilanthamila@csc.com</t>
  </si>
  <si>
    <t>rkaushik6</t>
  </si>
  <si>
    <t>rkaushik6@csc.com</t>
  </si>
  <si>
    <t>psinhal</t>
  </si>
  <si>
    <t>psinhal@csc.com</t>
  </si>
  <si>
    <t>nrattanlal</t>
  </si>
  <si>
    <t>nrattanlal@csc.com</t>
  </si>
  <si>
    <t>jdas9</t>
  </si>
  <si>
    <t>jdas9@csc.com</t>
  </si>
  <si>
    <t>rkapoor8</t>
  </si>
  <si>
    <t>rkapoor8@csc.com</t>
  </si>
  <si>
    <t>pbabu5</t>
  </si>
  <si>
    <t>pbabu5@csc.com</t>
  </si>
  <si>
    <t>knaroju</t>
  </si>
  <si>
    <t>knaroju@csc.com</t>
  </si>
  <si>
    <t>pmareedu</t>
  </si>
  <si>
    <t>pmareedu@csc.com</t>
  </si>
  <si>
    <t>rsingaraj</t>
  </si>
  <si>
    <t>rsingaraj@csc.com</t>
  </si>
  <si>
    <t>lthirunavuka</t>
  </si>
  <si>
    <t>lthirunavuka@csc.com</t>
  </si>
  <si>
    <t>pelangovan4</t>
  </si>
  <si>
    <t>pelangovan4@csc.com</t>
  </si>
  <si>
    <t>taswini</t>
  </si>
  <si>
    <t>taswini@csc.com</t>
  </si>
  <si>
    <t>pchamakura</t>
  </si>
  <si>
    <t>pchamakura@csc.com</t>
  </si>
  <si>
    <t>pmittal9</t>
  </si>
  <si>
    <t>pmittal9@csc.com</t>
  </si>
  <si>
    <t>adabral</t>
  </si>
  <si>
    <t>adabral@csc.com</t>
  </si>
  <si>
    <t>pmehta6</t>
  </si>
  <si>
    <t>pmehta6@csc.com</t>
  </si>
  <si>
    <t>kpiplani</t>
  </si>
  <si>
    <t>kpiplani@csc.com</t>
  </si>
  <si>
    <t>gpatro</t>
  </si>
  <si>
    <t>gpatro@csc.com</t>
  </si>
  <si>
    <t>sraj4</t>
  </si>
  <si>
    <t>sraj4@csc.com</t>
  </si>
  <si>
    <t>svyas4</t>
  </si>
  <si>
    <t>svyas4@csc.com</t>
  </si>
  <si>
    <t>bKuchimanchi</t>
  </si>
  <si>
    <t>bKuchimanchi@csc.com</t>
  </si>
  <si>
    <t>rraina5</t>
  </si>
  <si>
    <t>rraina5@csc.com</t>
  </si>
  <si>
    <t>dpuri</t>
  </si>
  <si>
    <t>dpuri@csc.com</t>
  </si>
  <si>
    <t>ssingh338</t>
  </si>
  <si>
    <t>ssingh338@csc.com</t>
  </si>
  <si>
    <t>bkammula</t>
  </si>
  <si>
    <t>bkammula@csc.com</t>
  </si>
  <si>
    <t>dbabu20</t>
  </si>
  <si>
    <t>dbabu20@csc.com</t>
  </si>
  <si>
    <t>aporwal3</t>
  </si>
  <si>
    <t>aporwal3@csc.com</t>
  </si>
  <si>
    <t>brajendran2</t>
  </si>
  <si>
    <t>brajendran2@csc.com</t>
  </si>
  <si>
    <t>jalvarezdelr</t>
  </si>
  <si>
    <t>Spain</t>
  </si>
  <si>
    <t>Wave1</t>
  </si>
  <si>
    <t>jalvarezdelr@csc.com</t>
  </si>
  <si>
    <t>strillobarra</t>
  </si>
  <si>
    <t>strillobarra@csc.com</t>
  </si>
  <si>
    <t>kpolnai</t>
  </si>
  <si>
    <t>kpolnai@csc.com</t>
  </si>
  <si>
    <t>lcampalva</t>
  </si>
  <si>
    <t>lcampalva@csc.com</t>
  </si>
  <si>
    <t>rsainzpando</t>
  </si>
  <si>
    <t>svora</t>
  </si>
  <si>
    <t>svora@csc.com</t>
  </si>
  <si>
    <t>snatarajanra</t>
  </si>
  <si>
    <t>snatarajanra@csc.com</t>
  </si>
  <si>
    <t>bmartinezsan</t>
  </si>
  <si>
    <t>bmartinezsan@csc.com</t>
  </si>
  <si>
    <t>esanchezlage</t>
  </si>
  <si>
    <t>mcercel</t>
  </si>
  <si>
    <t>mcercel@csc.com</t>
  </si>
  <si>
    <t>ssilvamiguel</t>
  </si>
  <si>
    <t>carmanalvare</t>
  </si>
  <si>
    <t>tdistel</t>
  </si>
  <si>
    <t>tdistel@csc.com</t>
  </si>
  <si>
    <t>lfernandezmu</t>
  </si>
  <si>
    <t>lfernandezmu@csc.com</t>
  </si>
  <si>
    <t>sgayolmenend</t>
  </si>
  <si>
    <t>pperez7</t>
  </si>
  <si>
    <t>pperez7@csc.com</t>
  </si>
  <si>
    <t>atobolka</t>
  </si>
  <si>
    <t>arodriguezsa</t>
  </si>
  <si>
    <t>avallinalast</t>
  </si>
  <si>
    <t>apaniaguapas</t>
  </si>
  <si>
    <t>apaniaguapas@csc.com</t>
  </si>
  <si>
    <t>agarciagomez</t>
  </si>
  <si>
    <t>agarciagomez@csc.com</t>
  </si>
  <si>
    <t>agarciarubio</t>
  </si>
  <si>
    <t>agarciarubio@csc.com</t>
  </si>
  <si>
    <t>alafuentesua</t>
  </si>
  <si>
    <t>alafuentesua@csc.com</t>
  </si>
  <si>
    <t>anurkic</t>
  </si>
  <si>
    <t>anurkic@csc.com</t>
  </si>
  <si>
    <t>acercel</t>
  </si>
  <si>
    <t>acercel@csc.com</t>
  </si>
  <si>
    <t>alimqueco</t>
  </si>
  <si>
    <t>aarguellesar</t>
  </si>
  <si>
    <t>aarguellesar@csc.com</t>
  </si>
  <si>
    <t>ahorneronava</t>
  </si>
  <si>
    <t>aolivarcasta</t>
  </si>
  <si>
    <t>aolivarcasta@csc.com</t>
  </si>
  <si>
    <t>agarciadiez</t>
  </si>
  <si>
    <t>agarciadiez@csc.com</t>
  </si>
  <si>
    <t>aaliyevmarti</t>
  </si>
  <si>
    <t>aaliyevmarti@csc.com</t>
  </si>
  <si>
    <t>aarguellesga</t>
  </si>
  <si>
    <t>asantiagoper</t>
  </si>
  <si>
    <t>asantiagoper@csc.com</t>
  </si>
  <si>
    <t>alaamccrory</t>
  </si>
  <si>
    <t>bhofmann3</t>
  </si>
  <si>
    <t>bhofmann3@csc.com</t>
  </si>
  <si>
    <t>bdedic</t>
  </si>
  <si>
    <t>bfernandezga</t>
  </si>
  <si>
    <t>bfernandezga@csc.com</t>
  </si>
  <si>
    <t>corbeaperez</t>
  </si>
  <si>
    <t>corbeaperez@csc.com</t>
  </si>
  <si>
    <t>csecadescues</t>
  </si>
  <si>
    <t>cvillabrille</t>
  </si>
  <si>
    <t>cruizurraca</t>
  </si>
  <si>
    <t>cruizurraca@csc.com</t>
  </si>
  <si>
    <t>cfernandezgo</t>
  </si>
  <si>
    <t>crato</t>
  </si>
  <si>
    <t>dgarciagrand</t>
  </si>
  <si>
    <t>dherreromart</t>
  </si>
  <si>
    <t>dcanterocort</t>
  </si>
  <si>
    <t>dmartinezfer</t>
  </si>
  <si>
    <t>dmartinezfer@csc.com</t>
  </si>
  <si>
    <t>dmenendezruj</t>
  </si>
  <si>
    <t>dmenendezruj@csc.com</t>
  </si>
  <si>
    <t>dparrondopar</t>
  </si>
  <si>
    <t>dparrondopar@csc.com</t>
  </si>
  <si>
    <t>dperezjimene</t>
  </si>
  <si>
    <t>esantospozo</t>
  </si>
  <si>
    <t>esantospozo@csc.com</t>
  </si>
  <si>
    <t>dpopovic2</t>
  </si>
  <si>
    <t>dpopovic2@csc.com</t>
  </si>
  <si>
    <t>falfonsoherr</t>
  </si>
  <si>
    <t>falfonsoherr@csc.com</t>
  </si>
  <si>
    <t>fbarberio</t>
  </si>
  <si>
    <t>frodriguezg2</t>
  </si>
  <si>
    <t>frodriguezg2@csc.com</t>
  </si>
  <si>
    <t>fporroalonso</t>
  </si>
  <si>
    <t>fporroalonso@csc.com</t>
  </si>
  <si>
    <t>gKERPITCHIAN</t>
  </si>
  <si>
    <t>gKERPITCHIAN@csc.com</t>
  </si>
  <si>
    <t>ghalasz</t>
  </si>
  <si>
    <t>ghalasz@csc.com</t>
  </si>
  <si>
    <t>gwongtremini</t>
  </si>
  <si>
    <t>gwongtremini@csc.com</t>
  </si>
  <si>
    <t>gdora</t>
  </si>
  <si>
    <t>gdora@csc.com</t>
  </si>
  <si>
    <t>hhakkinen</t>
  </si>
  <si>
    <t>hhakkinen@csc.com</t>
  </si>
  <si>
    <t>hmojardinrod</t>
  </si>
  <si>
    <t>hmojardinrod@csc.com</t>
  </si>
  <si>
    <t>iberdialesfe</t>
  </si>
  <si>
    <t>iberdialesfe@csc.com</t>
  </si>
  <si>
    <t>ianiaalvarez</t>
  </si>
  <si>
    <t>ifloresguill</t>
  </si>
  <si>
    <t>ifloresguill@csc.com</t>
  </si>
  <si>
    <t>imenendezper</t>
  </si>
  <si>
    <t>jadamek</t>
  </si>
  <si>
    <t>jrubialgomez</t>
  </si>
  <si>
    <t>jrubialgomez@csc.com</t>
  </si>
  <si>
    <t>jserranoorte</t>
  </si>
  <si>
    <t>jserranoorte@csc.com</t>
  </si>
  <si>
    <t>jbermejogome</t>
  </si>
  <si>
    <t>jbermejogome@csc.com</t>
  </si>
  <si>
    <t>jmartinezbro</t>
  </si>
  <si>
    <t>jutielortega</t>
  </si>
  <si>
    <t>jrodriguezs2</t>
  </si>
  <si>
    <t>jrodriguezs2@csc.com</t>
  </si>
  <si>
    <t>jmenendezval</t>
  </si>
  <si>
    <t>jmenendezval@csc.com</t>
  </si>
  <si>
    <t>jvicentetara</t>
  </si>
  <si>
    <t>jsandi</t>
  </si>
  <si>
    <t>jsandi@csc.com</t>
  </si>
  <si>
    <t>jsenamartin</t>
  </si>
  <si>
    <t>jrodrigueza2</t>
  </si>
  <si>
    <t>jyanesmarca</t>
  </si>
  <si>
    <t>jyanesmarca@csc.com</t>
  </si>
  <si>
    <t>ozachar2</t>
  </si>
  <si>
    <t>mtoussaint</t>
  </si>
  <si>
    <t>mfernandezan</t>
  </si>
  <si>
    <t>mfernandezan@csc.com</t>
  </si>
  <si>
    <t>msuarezbaham</t>
  </si>
  <si>
    <t>msuarezbaham@csc.com</t>
  </si>
  <si>
    <t xml:space="preserve">mencabonavaz </t>
  </si>
  <si>
    <t>mfontelafuen</t>
  </si>
  <si>
    <t>mfontelafuen@csc.com</t>
  </si>
  <si>
    <t>mwarner26</t>
  </si>
  <si>
    <t>mwarner26@csc.com</t>
  </si>
  <si>
    <t>mgagnon3</t>
  </si>
  <si>
    <t>mgagnon3@csc.com</t>
  </si>
  <si>
    <t>mlakostik</t>
  </si>
  <si>
    <t>mstefanic</t>
  </si>
  <si>
    <t>mstefanic@csc.com</t>
  </si>
  <si>
    <t>mcometa</t>
  </si>
  <si>
    <t>jcastanopere</t>
  </si>
  <si>
    <t>jcastanopere@csc.com</t>
  </si>
  <si>
    <t>mkurdi</t>
  </si>
  <si>
    <t>mfidalgomar2</t>
  </si>
  <si>
    <t>mfidalgomar2@csc.com</t>
  </si>
  <si>
    <t>mleonmorcill</t>
  </si>
  <si>
    <t>mleonmorcill@csc.com</t>
  </si>
  <si>
    <t>ngonzalez7</t>
  </si>
  <si>
    <t>ngonzalez7@csc.com</t>
  </si>
  <si>
    <t>nfernandezhe</t>
  </si>
  <si>
    <t>nfernandezhe@csc.com</t>
  </si>
  <si>
    <t>omonteroigle</t>
  </si>
  <si>
    <t>omonteroigle@csc.com</t>
  </si>
  <si>
    <t>pgonzalezara</t>
  </si>
  <si>
    <t>ppraviaaguir</t>
  </si>
  <si>
    <t>pmenendezpel</t>
  </si>
  <si>
    <t>pafonsoperal</t>
  </si>
  <si>
    <t>pafonsoperal@csc.com</t>
  </si>
  <si>
    <t>pgonzalezga2</t>
  </si>
  <si>
    <t>pgonzalezga2@csc.com</t>
  </si>
  <si>
    <t>pchabasinski</t>
  </si>
  <si>
    <t>pchabasinski@csc.com</t>
  </si>
  <si>
    <t>pcampayanez</t>
  </si>
  <si>
    <t>pcampayanez@csc.com</t>
  </si>
  <si>
    <t>ptubauro</t>
  </si>
  <si>
    <t>POD</t>
  </si>
  <si>
    <t>pkonieczny</t>
  </si>
  <si>
    <t>pkonieczny@csc.com</t>
  </si>
  <si>
    <t>rmenendezfer</t>
  </si>
  <si>
    <t>rfernandezma</t>
  </si>
  <si>
    <t>rfernandezma@csc.com</t>
  </si>
  <si>
    <t>rgarciaorive</t>
  </si>
  <si>
    <t>rgarciaorive@csc.com</t>
  </si>
  <si>
    <t>ralvarezabal</t>
  </si>
  <si>
    <t>rfernandezf2</t>
  </si>
  <si>
    <t>rfernandezf2@csc.com</t>
  </si>
  <si>
    <t>respinaflore</t>
  </si>
  <si>
    <t>rgonzalezalv</t>
  </si>
  <si>
    <t>rgonzalezgon</t>
  </si>
  <si>
    <t>rgonzalezgon@csc.com</t>
  </si>
  <si>
    <t>rsanzperez</t>
  </si>
  <si>
    <t>rcostamilhei</t>
  </si>
  <si>
    <t>sblancodiaz</t>
  </si>
  <si>
    <t>saristimunoj</t>
  </si>
  <si>
    <t>erodrigueza2</t>
  </si>
  <si>
    <t>msanchezhern</t>
  </si>
  <si>
    <t>rpastormoro</t>
  </si>
  <si>
    <t>smororobledo</t>
  </si>
  <si>
    <t>smororobledo@csc.com</t>
  </si>
  <si>
    <t>sparmekardag</t>
  </si>
  <si>
    <t>sgonzalezcon</t>
  </si>
  <si>
    <t>sgonzalezcon@csc.com</t>
  </si>
  <si>
    <t>thiltmann</t>
  </si>
  <si>
    <t>vparlavecchi</t>
  </si>
  <si>
    <t>vpanedacepa</t>
  </si>
  <si>
    <t>vbelan</t>
  </si>
  <si>
    <t>vbelan@csc.com</t>
  </si>
  <si>
    <t>vmatetic</t>
  </si>
  <si>
    <t>vmatetic@csc.com</t>
  </si>
  <si>
    <t>zsghaier</t>
  </si>
  <si>
    <t>zsghaier@csc.com</t>
  </si>
  <si>
    <t>zdudas</t>
  </si>
  <si>
    <t>ahunter6</t>
  </si>
  <si>
    <t>MBC US PW1</t>
  </si>
  <si>
    <t>abaum</t>
  </si>
  <si>
    <t>ameunier</t>
  </si>
  <si>
    <t>asidok</t>
  </si>
  <si>
    <t>asidok@csc.com</t>
  </si>
  <si>
    <t>asimoes</t>
  </si>
  <si>
    <t>afernandez26</t>
  </si>
  <si>
    <t>asmith222</t>
  </si>
  <si>
    <t>asmith222@csc.com</t>
  </si>
  <si>
    <t>athomas58</t>
  </si>
  <si>
    <t>athomas58@csc.com</t>
  </si>
  <si>
    <t>acoppola</t>
  </si>
  <si>
    <t>Pod Manager</t>
  </si>
  <si>
    <t>ahudson9</t>
  </si>
  <si>
    <t>ahudson9@csc.com</t>
  </si>
  <si>
    <t>ateixeira2</t>
  </si>
  <si>
    <t>aflower</t>
  </si>
  <si>
    <t>aflower@csc.com</t>
  </si>
  <si>
    <t>atheoharides</t>
  </si>
  <si>
    <t>atheoharides@csc.com</t>
  </si>
  <si>
    <t>ahalvors</t>
  </si>
  <si>
    <t>ahalvors@csc.com</t>
  </si>
  <si>
    <t>bkrechko</t>
  </si>
  <si>
    <t>bkrechko@csc.com</t>
  </si>
  <si>
    <t>bchin3</t>
  </si>
  <si>
    <t>bchin3@csc.com</t>
  </si>
  <si>
    <t>bhwang</t>
  </si>
  <si>
    <t>bhwang@csc.com</t>
  </si>
  <si>
    <t>wgardner</t>
  </si>
  <si>
    <t>bcislak</t>
  </si>
  <si>
    <t>bcox5</t>
  </si>
  <si>
    <t>bbeaver2</t>
  </si>
  <si>
    <t>bbeaver2@csc.com</t>
  </si>
  <si>
    <t>bholton3</t>
  </si>
  <si>
    <t>bholton3@csc.com</t>
  </si>
  <si>
    <t>cporterj</t>
  </si>
  <si>
    <t>cporterj@csc.com</t>
  </si>
  <si>
    <t>cpeter28</t>
  </si>
  <si>
    <t>cpeter28@csc.com</t>
  </si>
  <si>
    <t>clevy2</t>
  </si>
  <si>
    <t>clevy2@csc.com</t>
  </si>
  <si>
    <t>ciommazzo</t>
  </si>
  <si>
    <t>ciommazzo@csc.com</t>
  </si>
  <si>
    <t>cmount</t>
  </si>
  <si>
    <t>cmount@csc.com</t>
  </si>
  <si>
    <t>cwallhoferjr</t>
  </si>
  <si>
    <t>cwallhoferjr@csc.com</t>
  </si>
  <si>
    <t>cshao</t>
  </si>
  <si>
    <t>cshao@csc.com</t>
  </si>
  <si>
    <t>cCWHalen3</t>
  </si>
  <si>
    <t>cCWHalen3@csc.com</t>
  </si>
  <si>
    <t>cvigue2</t>
  </si>
  <si>
    <t>cvigue2@csc.com</t>
  </si>
  <si>
    <t>cwallace23</t>
  </si>
  <si>
    <t>cwallace23@csc.com</t>
  </si>
  <si>
    <t>cduarte3</t>
  </si>
  <si>
    <t>cduarte3@csc.com</t>
  </si>
  <si>
    <t>cmullinar</t>
  </si>
  <si>
    <t>cshea3</t>
  </si>
  <si>
    <t>cemmons</t>
  </si>
  <si>
    <t>cemmons@csc.com</t>
  </si>
  <si>
    <t>cpotter1</t>
  </si>
  <si>
    <t>cpotter1@csc.com</t>
  </si>
  <si>
    <t>ccompolattar</t>
  </si>
  <si>
    <t>cconstantin2</t>
  </si>
  <si>
    <t>cdiangelo</t>
  </si>
  <si>
    <t>cdiangelo@csc.com</t>
  </si>
  <si>
    <t>cgallegos2</t>
  </si>
  <si>
    <t>cgallegos2@csc.com</t>
  </si>
  <si>
    <t>cmorning</t>
  </si>
  <si>
    <t>cmorning@csc.com</t>
  </si>
  <si>
    <t>cdeland</t>
  </si>
  <si>
    <t>cdeland@csc.com</t>
  </si>
  <si>
    <t>cgaffney2</t>
  </si>
  <si>
    <t>dgillard</t>
  </si>
  <si>
    <t>dgillard@csc.com</t>
  </si>
  <si>
    <t>dbritt3</t>
  </si>
  <si>
    <t>dbarber6</t>
  </si>
  <si>
    <t>dcisz2</t>
  </si>
  <si>
    <t>dcisz2@csc.com</t>
  </si>
  <si>
    <t>dmottai</t>
  </si>
  <si>
    <t>dmottai@csc.com</t>
  </si>
  <si>
    <t>dlemke2</t>
  </si>
  <si>
    <t>dlemke2@csc.com</t>
  </si>
  <si>
    <t>dhayden2</t>
  </si>
  <si>
    <t>dhayden2@csc.com</t>
  </si>
  <si>
    <t>dmasot</t>
  </si>
  <si>
    <t>dnemeth</t>
  </si>
  <si>
    <t>dnemeth@csc.com</t>
  </si>
  <si>
    <t>divory</t>
  </si>
  <si>
    <t>divory@csc.com</t>
  </si>
  <si>
    <t>dmckella</t>
  </si>
  <si>
    <t>dmlynek</t>
  </si>
  <si>
    <t>dvictori</t>
  </si>
  <si>
    <t>dwasmer</t>
  </si>
  <si>
    <t>dwasmer@csc.com</t>
  </si>
  <si>
    <t>dgagne3</t>
  </si>
  <si>
    <t>dfarkas</t>
  </si>
  <si>
    <t>dsarauw</t>
  </si>
  <si>
    <t>dsarauw@csc.com</t>
  </si>
  <si>
    <t>dsmit229</t>
  </si>
  <si>
    <t>dcherry4</t>
  </si>
  <si>
    <t>dklarner</t>
  </si>
  <si>
    <t>dklarner@csc.com</t>
  </si>
  <si>
    <t>dherrera4</t>
  </si>
  <si>
    <t>dherrera4@csc.com</t>
  </si>
  <si>
    <t>dhuppe</t>
  </si>
  <si>
    <t>dhuppe@csc.com</t>
  </si>
  <si>
    <t>dgallantjr</t>
  </si>
  <si>
    <t>dmccann2</t>
  </si>
  <si>
    <t>dmccann2@csc.com</t>
  </si>
  <si>
    <t>eboyes</t>
  </si>
  <si>
    <t>emartinez3</t>
  </si>
  <si>
    <t>emartinez3@csc.com</t>
  </si>
  <si>
    <t>esmith76</t>
  </si>
  <si>
    <t>esantomasso</t>
  </si>
  <si>
    <t>esantomasso@csc.com</t>
  </si>
  <si>
    <t>ehubert</t>
  </si>
  <si>
    <t>ehubert@csc.com</t>
  </si>
  <si>
    <t>ebrown44</t>
  </si>
  <si>
    <t>ebrown44@csc.com</t>
  </si>
  <si>
    <t>elaird</t>
  </si>
  <si>
    <t>elaird@csc.com</t>
  </si>
  <si>
    <t>ematteson</t>
  </si>
  <si>
    <t>enietfeld</t>
  </si>
  <si>
    <t>enietfeld@csc.com</t>
  </si>
  <si>
    <t>epogroski</t>
  </si>
  <si>
    <t>epogroski@csc.com</t>
  </si>
  <si>
    <t>eroberts7</t>
  </si>
  <si>
    <t>eroberts7@csc.com</t>
  </si>
  <si>
    <t>emilews2</t>
  </si>
  <si>
    <t>fadkins</t>
  </si>
  <si>
    <t>fadkins@csc.com</t>
  </si>
  <si>
    <t>hgary</t>
  </si>
  <si>
    <t>hgary@csc.com</t>
  </si>
  <si>
    <t>gbodel</t>
  </si>
  <si>
    <t>gchilton2</t>
  </si>
  <si>
    <t>gchilton2@csc.com</t>
  </si>
  <si>
    <t>gmichaud</t>
  </si>
  <si>
    <t>ganderson22</t>
  </si>
  <si>
    <t>ganderson22@csc.com</t>
  </si>
  <si>
    <t>gmcgowa2</t>
  </si>
  <si>
    <t>gmcgowa2@csc.com</t>
  </si>
  <si>
    <t>gnedel</t>
  </si>
  <si>
    <t>gnedel@csc.com</t>
  </si>
  <si>
    <t>gregnier</t>
  </si>
  <si>
    <t>gregnier@csc.com</t>
  </si>
  <si>
    <t>gbaxter6</t>
  </si>
  <si>
    <t>gbaxter6@csc.com</t>
  </si>
  <si>
    <t>gjulian</t>
  </si>
  <si>
    <t>hhom</t>
  </si>
  <si>
    <t>hhom@csc.com</t>
  </si>
  <si>
    <t>htimko</t>
  </si>
  <si>
    <t>htimko@csc.com</t>
  </si>
  <si>
    <t>hharding</t>
  </si>
  <si>
    <t>hharding@csc.com</t>
  </si>
  <si>
    <t>jfonseca</t>
  </si>
  <si>
    <t>jfonseca@csc.com</t>
  </si>
  <si>
    <t>jmetzle2</t>
  </si>
  <si>
    <t>jsigan</t>
  </si>
  <si>
    <t>jsigan@csc.com</t>
  </si>
  <si>
    <t>jtalaric</t>
  </si>
  <si>
    <t>jtalaric@csc.com</t>
  </si>
  <si>
    <t>jwyman5</t>
  </si>
  <si>
    <t>jbertels</t>
  </si>
  <si>
    <t>jbertels@csc.com</t>
  </si>
  <si>
    <t>jjankaus</t>
  </si>
  <si>
    <t>jjohnson230</t>
  </si>
  <si>
    <t>jjohnson230@csc.com</t>
  </si>
  <si>
    <t>jciampa</t>
  </si>
  <si>
    <t>jciampa@csc.com</t>
  </si>
  <si>
    <t>jdeconti</t>
  </si>
  <si>
    <t>jdeconti@csc.com</t>
  </si>
  <si>
    <t>jmcconnell6</t>
  </si>
  <si>
    <t>jowens37</t>
  </si>
  <si>
    <t>jowens37@csc.com</t>
  </si>
  <si>
    <t>jzannetos</t>
  </si>
  <si>
    <t>jzannetos@csc.com</t>
  </si>
  <si>
    <t>jbrannin</t>
  </si>
  <si>
    <t>jbrannin@csc.com</t>
  </si>
  <si>
    <t>jgross35</t>
  </si>
  <si>
    <t>jgross35@csc.com</t>
  </si>
  <si>
    <t>jpizzonia</t>
  </si>
  <si>
    <t>jpizzonia@csc.com</t>
  </si>
  <si>
    <t>jjones77</t>
  </si>
  <si>
    <t>jcouture2</t>
  </si>
  <si>
    <t>jcouture2@csc.com</t>
  </si>
  <si>
    <t>jhudlicky</t>
  </si>
  <si>
    <t>jhudlicky@csc.com</t>
  </si>
  <si>
    <t>jbishopric</t>
  </si>
  <si>
    <t>jlohnes</t>
  </si>
  <si>
    <t>jabbagna</t>
  </si>
  <si>
    <t>jabbagna@csc.com</t>
  </si>
  <si>
    <t>jamato2</t>
  </si>
  <si>
    <t>jamato2@csc.com</t>
  </si>
  <si>
    <t>jsmall5</t>
  </si>
  <si>
    <t>jcraig5</t>
  </si>
  <si>
    <t>jcraig5@csc.com</t>
  </si>
  <si>
    <t>jmaier5</t>
  </si>
  <si>
    <t>jmaier5@csc.com</t>
  </si>
  <si>
    <t>eburritt</t>
  </si>
  <si>
    <t>eburritt@csc.com</t>
  </si>
  <si>
    <t>jlynch28</t>
  </si>
  <si>
    <t>jparedes3</t>
  </si>
  <si>
    <t>jparedes3@csc.com</t>
  </si>
  <si>
    <t>jcovarrubia2</t>
  </si>
  <si>
    <t>jkilroy2</t>
  </si>
  <si>
    <t>jkilroy2@csc.com</t>
  </si>
  <si>
    <t>jdaley3</t>
  </si>
  <si>
    <t>kliller2</t>
  </si>
  <si>
    <t>kstasiak2</t>
  </si>
  <si>
    <t>purple</t>
  </si>
  <si>
    <t>kstasiak2@csc.com</t>
  </si>
  <si>
    <t>kmoore43</t>
  </si>
  <si>
    <t>ksellars</t>
  </si>
  <si>
    <t>ksellars@csc.com</t>
  </si>
  <si>
    <t>kbecker5</t>
  </si>
  <si>
    <t>ktotten4</t>
  </si>
  <si>
    <t>kboydjr</t>
  </si>
  <si>
    <t>kboydjr@csc.com</t>
  </si>
  <si>
    <t>khendri5</t>
  </si>
  <si>
    <t>khumphrey3</t>
  </si>
  <si>
    <t>khumphrey3@csc.com</t>
  </si>
  <si>
    <t>ksonone</t>
  </si>
  <si>
    <t>ksonone@csc.com</t>
  </si>
  <si>
    <t>kjohnson78</t>
  </si>
  <si>
    <t>kmoser3</t>
  </si>
  <si>
    <t>kmoser3@csc.com</t>
  </si>
  <si>
    <t>kstrassner</t>
  </si>
  <si>
    <t>kstrassner@csc.com</t>
  </si>
  <si>
    <t>lstpier2</t>
  </si>
  <si>
    <t>lmarzean</t>
  </si>
  <si>
    <t>lskillin</t>
  </si>
  <si>
    <t>lskillin@csc.com</t>
  </si>
  <si>
    <t>lgreen7</t>
  </si>
  <si>
    <t>lgreen7@csc.com</t>
  </si>
  <si>
    <t>lbryson</t>
  </si>
  <si>
    <t>legy</t>
  </si>
  <si>
    <t>legy@csc.com</t>
  </si>
  <si>
    <t>mreyesmestiz</t>
  </si>
  <si>
    <t>mreyesmestiz@csc.com</t>
  </si>
  <si>
    <t>mcampos7</t>
  </si>
  <si>
    <t>mcampos7@csc.com</t>
  </si>
  <si>
    <t>mdelles</t>
  </si>
  <si>
    <t>msweeney6</t>
  </si>
  <si>
    <t>msweeney6@csc.com</t>
  </si>
  <si>
    <t>mopitz</t>
  </si>
  <si>
    <t>mCWHeatley2</t>
  </si>
  <si>
    <t>mCWHeatley2@csc.com</t>
  </si>
  <si>
    <t>mwostal</t>
  </si>
  <si>
    <t>mwostal@csc.com</t>
  </si>
  <si>
    <t>magresta</t>
  </si>
  <si>
    <t>magresta@csc.com</t>
  </si>
  <si>
    <t>mbeaulieu</t>
  </si>
  <si>
    <t>mbeaulieu@csc.com</t>
  </si>
  <si>
    <t>mbardsley2</t>
  </si>
  <si>
    <t>mbardsley2@csc.com</t>
  </si>
  <si>
    <t>mbraun6</t>
  </si>
  <si>
    <t>mbraun6@csc.com</t>
  </si>
  <si>
    <t>mcerelli</t>
  </si>
  <si>
    <t>mcerelli@csc.com</t>
  </si>
  <si>
    <t>mgonzalez30</t>
  </si>
  <si>
    <t>mcox47</t>
  </si>
  <si>
    <t>mcox47@csc.com</t>
  </si>
  <si>
    <t>mwhite33</t>
  </si>
  <si>
    <t>mmasal</t>
  </si>
  <si>
    <t>mmasal@csc.com</t>
  </si>
  <si>
    <t>mglanovsky</t>
  </si>
  <si>
    <t>mglanovsky@csc.com</t>
  </si>
  <si>
    <t>mmiraglia</t>
  </si>
  <si>
    <t>mmiraglia@csc.com</t>
  </si>
  <si>
    <t>mnestroy</t>
  </si>
  <si>
    <t>mpotvin</t>
  </si>
  <si>
    <t>mpotvin@csc.com</t>
  </si>
  <si>
    <t>msakiyam</t>
  </si>
  <si>
    <t>msakiyam@csc.com</t>
  </si>
  <si>
    <t>nsuter</t>
  </si>
  <si>
    <t>nbowenjr</t>
  </si>
  <si>
    <t>nbowenjr@csc.com</t>
  </si>
  <si>
    <t>ndelgado</t>
  </si>
  <si>
    <t>ndelgado@csc.com</t>
  </si>
  <si>
    <t>ncorriveau</t>
  </si>
  <si>
    <t>ncorriveau@csc.com</t>
  </si>
  <si>
    <t>navanesov</t>
  </si>
  <si>
    <t>nsoni9</t>
  </si>
  <si>
    <t>phebron</t>
  </si>
  <si>
    <t>phebron@csc.com</t>
  </si>
  <si>
    <t>pnelisjr</t>
  </si>
  <si>
    <t>pnelisjr@csc.com</t>
  </si>
  <si>
    <t>phull3</t>
  </si>
  <si>
    <t>phull3@csc.com</t>
  </si>
  <si>
    <t>pizzo3</t>
  </si>
  <si>
    <t>pizzo3@csc.com</t>
  </si>
  <si>
    <t>pondercin</t>
  </si>
  <si>
    <t>pmarrocco</t>
  </si>
  <si>
    <t>pmarrocco@csc.com</t>
  </si>
  <si>
    <t>pwoods20</t>
  </si>
  <si>
    <t>pwoods20@csc.com</t>
  </si>
  <si>
    <t>pfaldu</t>
  </si>
  <si>
    <t>pfaldu@csc.com</t>
  </si>
  <si>
    <t>qtran5</t>
  </si>
  <si>
    <t>qtran5@csc.com</t>
  </si>
  <si>
    <t>rnys</t>
  </si>
  <si>
    <t>rlovellj</t>
  </si>
  <si>
    <t>rlovellj@csc.com</t>
  </si>
  <si>
    <t>rstinchc</t>
  </si>
  <si>
    <t>rstinchc@csc.com</t>
  </si>
  <si>
    <t>rswick</t>
  </si>
  <si>
    <t>rswick@csc.com</t>
  </si>
  <si>
    <t>rthomas48</t>
  </si>
  <si>
    <t>rhender</t>
  </si>
  <si>
    <t>rhender@csc.com</t>
  </si>
  <si>
    <t>rboutin2</t>
  </si>
  <si>
    <t>rboutin2@csc.com</t>
  </si>
  <si>
    <t>rcassina</t>
  </si>
  <si>
    <t>rcassina@csc.com</t>
  </si>
  <si>
    <t>rcoulte2</t>
  </si>
  <si>
    <t>rdudgeon</t>
  </si>
  <si>
    <t>rdudgeon@csc.com</t>
  </si>
  <si>
    <t>rbarbou2</t>
  </si>
  <si>
    <t>rbarbou2@csc.com</t>
  </si>
  <si>
    <t>rjones55</t>
  </si>
  <si>
    <t>rlarkin6</t>
  </si>
  <si>
    <t>rlarkin6@csc.com</t>
  </si>
  <si>
    <t>rmerrick</t>
  </si>
  <si>
    <t>rmerrick@csc.com</t>
  </si>
  <si>
    <t>rwatt5</t>
  </si>
  <si>
    <t>rwatt5@csc.com</t>
  </si>
  <si>
    <t>rjess</t>
  </si>
  <si>
    <t>rjess@csc.com</t>
  </si>
  <si>
    <t>rclott</t>
  </si>
  <si>
    <t>rsharier</t>
  </si>
  <si>
    <t>rsharier@csc.com</t>
  </si>
  <si>
    <t>rharrington5</t>
  </si>
  <si>
    <t>rharrington5@csc.com</t>
  </si>
  <si>
    <t>rmountz2</t>
  </si>
  <si>
    <t>rmountz2@csc.com</t>
  </si>
  <si>
    <t>rpepin</t>
  </si>
  <si>
    <t>renos3</t>
  </si>
  <si>
    <t>renos3@csc.com</t>
  </si>
  <si>
    <t>rverdi</t>
  </si>
  <si>
    <t>rcamplai</t>
  </si>
  <si>
    <t>rcamplai@csc.com</t>
  </si>
  <si>
    <t>rpatridge</t>
  </si>
  <si>
    <t>rpatridge@csc.com</t>
  </si>
  <si>
    <t>sbuckheit</t>
  </si>
  <si>
    <t>sbuckheit@csc.com</t>
  </si>
  <si>
    <t>scarle</t>
  </si>
  <si>
    <t>ssevimli</t>
  </si>
  <si>
    <t>ssevimli@csc.com</t>
  </si>
  <si>
    <t>sdelaire</t>
  </si>
  <si>
    <t>sdelaire@csc.com</t>
  </si>
  <si>
    <t>sperry32</t>
  </si>
  <si>
    <t>sperry32@csc.com</t>
  </si>
  <si>
    <t>sstjohn2</t>
  </si>
  <si>
    <t>sstjohn2@csc.com</t>
  </si>
  <si>
    <t>staiwo</t>
  </si>
  <si>
    <t>smaksosy</t>
  </si>
  <si>
    <t>smaksosy@csc.com</t>
  </si>
  <si>
    <t>smarsh7</t>
  </si>
  <si>
    <t>sdonegan3</t>
  </si>
  <si>
    <t>stilton</t>
  </si>
  <si>
    <t>trobers2</t>
  </si>
  <si>
    <t>trobers2@csc.com</t>
  </si>
  <si>
    <t>tbroockerd</t>
  </si>
  <si>
    <t>tbroockerd@csc.com</t>
  </si>
  <si>
    <t>tneal2</t>
  </si>
  <si>
    <t>tneal2@csc.com</t>
  </si>
  <si>
    <t>tmccullough</t>
  </si>
  <si>
    <t>tkornmes</t>
  </si>
  <si>
    <t>tlacy</t>
  </si>
  <si>
    <t>twilliams83</t>
  </si>
  <si>
    <t>twilliams83@csc.com</t>
  </si>
  <si>
    <t>tputnam2</t>
  </si>
  <si>
    <t>trogers31</t>
  </si>
  <si>
    <t>tbutler4</t>
  </si>
  <si>
    <t>tbutler4@csc.com</t>
  </si>
  <si>
    <t>tbyers</t>
  </si>
  <si>
    <t>tmerritt3</t>
  </si>
  <si>
    <t>twalden3</t>
  </si>
  <si>
    <t>tpatel26</t>
  </si>
  <si>
    <t>tpatel26@csc.com</t>
  </si>
  <si>
    <t>tzaugg</t>
  </si>
  <si>
    <t>tzaugg@csc.com</t>
  </si>
  <si>
    <t>vveeranna</t>
  </si>
  <si>
    <t>vveeranna@csc.com</t>
  </si>
  <si>
    <t>vmaksymova</t>
  </si>
  <si>
    <t>vleonov</t>
  </si>
  <si>
    <t>vleonov@csc.com</t>
  </si>
  <si>
    <t>vmoss</t>
  </si>
  <si>
    <t>vmoss@csc.com</t>
  </si>
  <si>
    <t>pdewey</t>
  </si>
  <si>
    <t>pdewey@csc.com</t>
  </si>
  <si>
    <t>wlowe2</t>
  </si>
  <si>
    <t>wlowe2@csc.com</t>
  </si>
  <si>
    <t>wbizoff2</t>
  </si>
  <si>
    <t>wguinnes</t>
  </si>
  <si>
    <t>wguinnes@csc.com</t>
  </si>
  <si>
    <t>bklubek</t>
  </si>
  <si>
    <t>wmalone3</t>
  </si>
  <si>
    <t>wszeto</t>
  </si>
  <si>
    <t>wszeto@csc.com</t>
  </si>
  <si>
    <t>ykorang</t>
  </si>
  <si>
    <t>zlee2</t>
  </si>
  <si>
    <t>zlee2@csc.com</t>
  </si>
  <si>
    <t>ipatloo</t>
  </si>
  <si>
    <t>Hyderabad - Platform</t>
  </si>
  <si>
    <t>ipatloo@csc.com</t>
  </si>
  <si>
    <t>agupta240</t>
  </si>
  <si>
    <t>agupta240@csc.com</t>
  </si>
  <si>
    <t>asingh376</t>
  </si>
  <si>
    <t>asingh376@csc.com</t>
  </si>
  <si>
    <t>bbachu</t>
  </si>
  <si>
    <t>bbachu@csc.com</t>
  </si>
  <si>
    <t>BPUVVALA</t>
  </si>
  <si>
    <t>BPUVVALA@csc.com</t>
  </si>
  <si>
    <t>BRAVICHAND</t>
  </si>
  <si>
    <t>BRAVICHAND@csc.com</t>
  </si>
  <si>
    <t>DCHUKKA</t>
  </si>
  <si>
    <t>DMUDUNURU</t>
  </si>
  <si>
    <t>INATARAJAN</t>
  </si>
  <si>
    <t>INATARAJAN@csc.com</t>
  </si>
  <si>
    <t>KVEENA</t>
  </si>
  <si>
    <t>KVEENA@csc.com</t>
  </si>
  <si>
    <t>LGRANDHI</t>
  </si>
  <si>
    <t>MJAIN38</t>
  </si>
  <si>
    <t>MJAIN38@csc.com</t>
  </si>
  <si>
    <t>MKHAN78</t>
  </si>
  <si>
    <t>MKHAN78@csc.com</t>
  </si>
  <si>
    <t>NMARRAPU</t>
  </si>
  <si>
    <t>NMARRAPU@csc.com</t>
  </si>
  <si>
    <t>NRAGINI</t>
  </si>
  <si>
    <t>NRAGINI@csc.com</t>
  </si>
  <si>
    <t>pkrishnarao</t>
  </si>
  <si>
    <t>pkrishnarao@csc.com</t>
  </si>
  <si>
    <t>PSHAIK</t>
  </si>
  <si>
    <t>PSHAIK@csc.com</t>
  </si>
  <si>
    <t>PSTHALASAYAN</t>
  </si>
  <si>
    <t>rbadireddy2</t>
  </si>
  <si>
    <t>rbadireddy2@csc.com</t>
  </si>
  <si>
    <t>RBUDARAPU</t>
  </si>
  <si>
    <t>RBUDARAPU@csc.com</t>
  </si>
  <si>
    <t>RMARU</t>
  </si>
  <si>
    <t>RMARU@csc.com</t>
  </si>
  <si>
    <t>RRATHNAKAR</t>
  </si>
  <si>
    <t>RRATHNAKAR@csc.com</t>
  </si>
  <si>
    <t>rvojjala</t>
  </si>
  <si>
    <t>rvojjala@csc.com</t>
  </si>
  <si>
    <t>SDASARI23</t>
  </si>
  <si>
    <t>SDASARI23@csc.com</t>
  </si>
  <si>
    <t>SKAKKAMVALLI</t>
  </si>
  <si>
    <t>SKAKKAMVALLI@csc.com</t>
  </si>
  <si>
    <t>SKUMAR406</t>
  </si>
  <si>
    <t>SKUMAR406@csc.com</t>
  </si>
  <si>
    <t>SMOTE</t>
  </si>
  <si>
    <t>SMOTE@csc.com</t>
  </si>
  <si>
    <t>SNALLA2</t>
  </si>
  <si>
    <t>srao32</t>
  </si>
  <si>
    <t>srao32@csc.com</t>
  </si>
  <si>
    <t>VSIDHANI</t>
  </si>
  <si>
    <t>VSIDHANI@csc.com</t>
  </si>
  <si>
    <t>VVEMURI4</t>
  </si>
  <si>
    <t>AANWAR</t>
  </si>
  <si>
    <t>AANWAR@csc.com</t>
  </si>
  <si>
    <t>AKHAN30</t>
  </si>
  <si>
    <t>ATELUKUNTA</t>
  </si>
  <si>
    <t>ATELUKUNTA@csc.com</t>
  </si>
  <si>
    <t>athatiparthy</t>
  </si>
  <si>
    <t>athatiparthy@csc.com</t>
  </si>
  <si>
    <t>AYADLAPALLI</t>
  </si>
  <si>
    <t>AYADLAPALLI@csc.com</t>
  </si>
  <si>
    <t>BCHANDRAN3</t>
  </si>
  <si>
    <t>BCHANDRAN3@csc.com</t>
  </si>
  <si>
    <t>BDAS23</t>
  </si>
  <si>
    <t>BDAS23@csc.com</t>
  </si>
  <si>
    <t>CHARIPRASADR</t>
  </si>
  <si>
    <t>CHARIPRASADR@csc.com</t>
  </si>
  <si>
    <t>DMITRA3</t>
  </si>
  <si>
    <t>DMITRA3@csc.com</t>
  </si>
  <si>
    <t>DRAJA</t>
  </si>
  <si>
    <t>DRAJA@csc.com</t>
  </si>
  <si>
    <t>GGADAMSETTY</t>
  </si>
  <si>
    <t>gkudsk</t>
  </si>
  <si>
    <t>gkudsk@csc.com</t>
  </si>
  <si>
    <t>HSANKARAN</t>
  </si>
  <si>
    <t>HSANKARAN@csc.com</t>
  </si>
  <si>
    <t>ikasnoor</t>
  </si>
  <si>
    <t>ikasnoor@csc.com</t>
  </si>
  <si>
    <t>KPRASANNA</t>
  </si>
  <si>
    <t>KPRASANNA@csc.com</t>
  </si>
  <si>
    <t>Mnaseer2</t>
  </si>
  <si>
    <t>Mnaseer2@csc.com</t>
  </si>
  <si>
    <t>NARAVAPALLI</t>
  </si>
  <si>
    <t>PMENDU</t>
  </si>
  <si>
    <t>PMENDU@csc.com</t>
  </si>
  <si>
    <t>RGATTU3</t>
  </si>
  <si>
    <t>RGATTU3@csc.com</t>
  </si>
  <si>
    <t>RPANDARI</t>
  </si>
  <si>
    <t>RPANDARI@csc.com</t>
  </si>
  <si>
    <t>RPOLIMETLA</t>
  </si>
  <si>
    <t>RPOLIMETLA@csc.com</t>
  </si>
  <si>
    <t>SHEMASKUMAR</t>
  </si>
  <si>
    <t>SHEMASKUMAR@csc.com</t>
  </si>
  <si>
    <t>SKUNAPULI</t>
  </si>
  <si>
    <t>SKUNAPULI@csc.com</t>
  </si>
  <si>
    <t>SMANNE7</t>
  </si>
  <si>
    <t>SRAVICHANDR4</t>
  </si>
  <si>
    <t>SRAVICHANDR4@csc.com</t>
  </si>
  <si>
    <t>STAPA</t>
  </si>
  <si>
    <t>STAPA@csc.com</t>
  </si>
  <si>
    <t>svali</t>
  </si>
  <si>
    <t>svali@csc.com</t>
  </si>
  <si>
    <t>TKUMARASWAMY</t>
  </si>
  <si>
    <t>TKUMARASWAMY@csc.com</t>
  </si>
  <si>
    <t>VDAMERA4</t>
  </si>
  <si>
    <t>vrao33</t>
  </si>
  <si>
    <t>vrao33@csc.com</t>
  </si>
  <si>
    <t>AGUDIVADA</t>
  </si>
  <si>
    <t>AGUDIVADA@csc.com</t>
  </si>
  <si>
    <t>AKANDE3</t>
  </si>
  <si>
    <t>AKOZHIKKODAN</t>
  </si>
  <si>
    <t>anaik7</t>
  </si>
  <si>
    <t>anaik7@csc.com</t>
  </si>
  <si>
    <t>APULLETIKURT</t>
  </si>
  <si>
    <t>APULLETIKURT@csc.com</t>
  </si>
  <si>
    <t>ARATNAN</t>
  </si>
  <si>
    <t>ARATNAN@csc.com</t>
  </si>
  <si>
    <t>avemulapall2</t>
  </si>
  <si>
    <t>avemulapall2@csc.com</t>
  </si>
  <si>
    <t>AYARLAGADDA2</t>
  </si>
  <si>
    <t>AYARLAGADDA2@csc.com</t>
  </si>
  <si>
    <t>BGOLLENA</t>
  </si>
  <si>
    <t>BGOLLENA@csc.com</t>
  </si>
  <si>
    <t>BGRANDHI</t>
  </si>
  <si>
    <t>bnarukula</t>
  </si>
  <si>
    <t>bnarukula@csc.com</t>
  </si>
  <si>
    <t>CPASUMARTHI</t>
  </si>
  <si>
    <t>cponnaganti</t>
  </si>
  <si>
    <t>cponnaganti@csc.com</t>
  </si>
  <si>
    <t>DBABU9</t>
  </si>
  <si>
    <t>DBABU9@csc.com</t>
  </si>
  <si>
    <t>FHUSSAIN3</t>
  </si>
  <si>
    <t>FHUSSAIN3@csc.com</t>
  </si>
  <si>
    <t>GNAGRAJ</t>
  </si>
  <si>
    <t>GNAGRAJ@csc.com</t>
  </si>
  <si>
    <t>JJAMPANA</t>
  </si>
  <si>
    <t>JJAMPANA@csc.com</t>
  </si>
  <si>
    <t>JROY25</t>
  </si>
  <si>
    <t>JROY25@csc.com</t>
  </si>
  <si>
    <t>kdandamudi2</t>
  </si>
  <si>
    <t>kdandamudi2@csc.com</t>
  </si>
  <si>
    <t>KNATARAJAN27</t>
  </si>
  <si>
    <t>KNATARAJAN27@csc.com</t>
  </si>
  <si>
    <t>KPERUMAL5</t>
  </si>
  <si>
    <t>LGOYAL2</t>
  </si>
  <si>
    <t>LGOYAL2@csc.com</t>
  </si>
  <si>
    <t>llasseigne</t>
  </si>
  <si>
    <t>llasseigne@csc.com</t>
  </si>
  <si>
    <t>mkondaveeti2</t>
  </si>
  <si>
    <t>mkondaveeti2@csc.com</t>
  </si>
  <si>
    <t>MLOGANATHAN2</t>
  </si>
  <si>
    <t>MLOGANATHAN2@csc.com</t>
  </si>
  <si>
    <t>MSIVASUBRAMA</t>
  </si>
  <si>
    <t>MSIVASUBRAMA@csc.com</t>
  </si>
  <si>
    <t>NASHOKKUMARS</t>
  </si>
  <si>
    <t>NCHANDRASEKH</t>
  </si>
  <si>
    <t>NCHANDRASEKH@csc.com</t>
  </si>
  <si>
    <t>NPEDDI3</t>
  </si>
  <si>
    <t>NPEDDI3@csc.com</t>
  </si>
  <si>
    <t>pchadalavada</t>
  </si>
  <si>
    <t>pchadalavada@csc.com</t>
  </si>
  <si>
    <t>pkiran3</t>
  </si>
  <si>
    <t>pkiran3@csc.com</t>
  </si>
  <si>
    <t>prangarajan</t>
  </si>
  <si>
    <t>prangarajan@csc.com</t>
  </si>
  <si>
    <t>PSHARMA90</t>
  </si>
  <si>
    <t>PSHARMA90@csc.com</t>
  </si>
  <si>
    <t>PWAGHRAY</t>
  </si>
  <si>
    <t>RAGARWAL37</t>
  </si>
  <si>
    <t>RAGARWAL37@csc.com</t>
  </si>
  <si>
    <t>rbadam</t>
  </si>
  <si>
    <t>rbadam@csc.com</t>
  </si>
  <si>
    <t>RBATTU</t>
  </si>
  <si>
    <t>RBATTU@csc.com</t>
  </si>
  <si>
    <t>RBHAT4</t>
  </si>
  <si>
    <t>RMURTHY6</t>
  </si>
  <si>
    <t>RMURTHY6@csc.com</t>
  </si>
  <si>
    <t>santonywilli</t>
  </si>
  <si>
    <t>santonywilli@csc.com</t>
  </si>
  <si>
    <t>SGUJJALA</t>
  </si>
  <si>
    <t>SKAILASAMNEE</t>
  </si>
  <si>
    <t>SKAILASAMNEE@csc.com</t>
  </si>
  <si>
    <t>SKOTHURU</t>
  </si>
  <si>
    <t>slongstaff</t>
  </si>
  <si>
    <t>slongstaff@csc.com</t>
  </si>
  <si>
    <t>SMANTHA</t>
  </si>
  <si>
    <t>SMANTHA@csc.com</t>
  </si>
  <si>
    <t>SMOOLAKKAPAR</t>
  </si>
  <si>
    <t>SNASAR2</t>
  </si>
  <si>
    <t>sraashid</t>
  </si>
  <si>
    <t>sraashid@csc.com</t>
  </si>
  <si>
    <t>sramdas3</t>
  </si>
  <si>
    <t>sramdas3@csc.com</t>
  </si>
  <si>
    <t>ssainishree</t>
  </si>
  <si>
    <t>ssainishree@csc.com</t>
  </si>
  <si>
    <t>SSANTHA</t>
  </si>
  <si>
    <t>SSANTHA@csc.com</t>
  </si>
  <si>
    <t>ssasi</t>
  </si>
  <si>
    <t>ssasi@csc.com</t>
  </si>
  <si>
    <t>SSIDDIQUE</t>
  </si>
  <si>
    <t>SSIDDIQUE@csc.com</t>
  </si>
  <si>
    <t>svemula4</t>
  </si>
  <si>
    <t>svemula4@csc.com</t>
  </si>
  <si>
    <t>SWAHEED3</t>
  </si>
  <si>
    <t>TRANJITH</t>
  </si>
  <si>
    <t>TRANJITH@csc.com</t>
  </si>
  <si>
    <t>UCHANDRAN2</t>
  </si>
  <si>
    <t>vkumar231</t>
  </si>
  <si>
    <t>vkumar231@csc.com</t>
  </si>
  <si>
    <t>VKUMAR69</t>
  </si>
  <si>
    <t>VMASILAMANI</t>
  </si>
  <si>
    <t>VMASILAMANI@csc.com</t>
  </si>
  <si>
    <t>VMEKALA3</t>
  </si>
  <si>
    <t>VMEKALA3@csc.com</t>
  </si>
  <si>
    <t>vpasagada</t>
  </si>
  <si>
    <t>vpasagada@csc.com</t>
  </si>
  <si>
    <t>Vrengasamy</t>
  </si>
  <si>
    <t>Vrengasamy@csc.com</t>
  </si>
  <si>
    <t>VSEELA</t>
  </si>
  <si>
    <t>VSEELA@csc.com</t>
  </si>
  <si>
    <t>YDASARI</t>
  </si>
  <si>
    <t>adubeau2</t>
  </si>
  <si>
    <t>adubeau2@csc.com</t>
  </si>
  <si>
    <t>AMAREESWARIR</t>
  </si>
  <si>
    <t>AMAREESWARIR@csc.com</t>
  </si>
  <si>
    <t>AWASSON3</t>
  </si>
  <si>
    <t>AWASSON3@csc.com</t>
  </si>
  <si>
    <t>bgoswami4</t>
  </si>
  <si>
    <t>bgoswami4@csc.com</t>
  </si>
  <si>
    <t>BRANJAN3</t>
  </si>
  <si>
    <t>BRANJAN3@csc.com</t>
  </si>
  <si>
    <t>DSHARMA78</t>
  </si>
  <si>
    <t>DSHARMA78@csc.com</t>
  </si>
  <si>
    <t>JARUMUGAM3</t>
  </si>
  <si>
    <t>JARUMUGAM3@csc.com</t>
  </si>
  <si>
    <t>JGOLSTENJEYA</t>
  </si>
  <si>
    <t>JGOLSTENJEYA@csc.com</t>
  </si>
  <si>
    <t>JPONNADA</t>
  </si>
  <si>
    <t>JPONNADA@csc.com</t>
  </si>
  <si>
    <t>JRAI8</t>
  </si>
  <si>
    <t>JRAI8@csc.com</t>
  </si>
  <si>
    <t>Kbajaj2</t>
  </si>
  <si>
    <t>Kbajaj2@csc.com</t>
  </si>
  <si>
    <t>kkonduri3</t>
  </si>
  <si>
    <t>kkonduri3@csc.com</t>
  </si>
  <si>
    <t>KPHANIKUMAR</t>
  </si>
  <si>
    <t>MCHERLAPALLY</t>
  </si>
  <si>
    <t>MCHERLAPALLY@csc.com</t>
  </si>
  <si>
    <t>MHUNNUR</t>
  </si>
  <si>
    <t>MHUNNUR@csc.com</t>
  </si>
  <si>
    <t>mvelusamy</t>
  </si>
  <si>
    <t>mvelusamy@csc.com</t>
  </si>
  <si>
    <t>nmohammed3</t>
  </si>
  <si>
    <t>nmohammed3@csc.com</t>
  </si>
  <si>
    <t>PAKULA2</t>
  </si>
  <si>
    <t>PSWAMINATHA8</t>
  </si>
  <si>
    <t>PSWAMINATHA8@csc.com</t>
  </si>
  <si>
    <t>rgaddam2</t>
  </si>
  <si>
    <t>rgaddam2@csc.com</t>
  </si>
  <si>
    <t>RGANGIREDDY4</t>
  </si>
  <si>
    <t>RGANGIREDDY4@csc.com</t>
  </si>
  <si>
    <t>rkarnati2</t>
  </si>
  <si>
    <t>rkarnati2@csc.com</t>
  </si>
  <si>
    <t>RSAMPATH5</t>
  </si>
  <si>
    <t>RSAMPATH5@csc.com</t>
  </si>
  <si>
    <t>RTOLUCHURU</t>
  </si>
  <si>
    <t>RTOLUCHURU@csc.com</t>
  </si>
  <si>
    <t>RVELUSAMY</t>
  </si>
  <si>
    <t>SACHARJEE</t>
  </si>
  <si>
    <t>SACHARJEE@csc.com</t>
  </si>
  <si>
    <t>SALAGARSAMYL</t>
  </si>
  <si>
    <t>SALAGARSAMYL@csc.com</t>
  </si>
  <si>
    <t>SALI49</t>
  </si>
  <si>
    <t>SALI49@csc.com</t>
  </si>
  <si>
    <t>SKANKIPATI</t>
  </si>
  <si>
    <t>SKANKIPATI@csc.com</t>
  </si>
  <si>
    <t>SKATAKAM2</t>
  </si>
  <si>
    <t>SKATAKAM2@csc.com</t>
  </si>
  <si>
    <t>SKOTANKAR</t>
  </si>
  <si>
    <t>SKUKUDALA</t>
  </si>
  <si>
    <t>SKUKUDALA@csc.com</t>
  </si>
  <si>
    <t>SMELWIN</t>
  </si>
  <si>
    <t>SMELWIN@csc.com</t>
  </si>
  <si>
    <t>smohammed39</t>
  </si>
  <si>
    <t>smohammed39@csc.com</t>
  </si>
  <si>
    <t>stalloju</t>
  </si>
  <si>
    <t>stalloju@csc.com</t>
  </si>
  <si>
    <t>svasamsetti</t>
  </si>
  <si>
    <t>svasamsetti@csc.com</t>
  </si>
  <si>
    <t>SVORA2</t>
  </si>
  <si>
    <t>UKAKARLA</t>
  </si>
  <si>
    <t>UKAKARLA@csc.com</t>
  </si>
  <si>
    <t>VGUDURU3</t>
  </si>
  <si>
    <t>VGUDURU3@csc.com</t>
  </si>
  <si>
    <t>VJANAPAREDDY</t>
  </si>
  <si>
    <t>VJANAPAREDDY@csc.com</t>
  </si>
  <si>
    <t>VMANNE2</t>
  </si>
  <si>
    <t>VMANNE2@csc.com</t>
  </si>
  <si>
    <t>VRAJU4</t>
  </si>
  <si>
    <t>vsadanala</t>
  </si>
  <si>
    <t>vsadanala@csc.com</t>
  </si>
  <si>
    <t>YRAMESHKUMAR</t>
  </si>
  <si>
    <t>agunjute</t>
  </si>
  <si>
    <t>agunjute@csc.com</t>
  </si>
  <si>
    <t>amadyalkar</t>
  </si>
  <si>
    <t>amadyalkar@csc.com</t>
  </si>
  <si>
    <t>ANARULA3</t>
  </si>
  <si>
    <t>ANARULA3@csc.com</t>
  </si>
  <si>
    <t>ASEERAM</t>
  </si>
  <si>
    <t>ASEERAM@csc.com</t>
  </si>
  <si>
    <t>CSEELAM</t>
  </si>
  <si>
    <t>dudaya</t>
  </si>
  <si>
    <t>dudaya@csc.com</t>
  </si>
  <si>
    <t>EREDDY2</t>
  </si>
  <si>
    <t>EREDDY2@csc.com</t>
  </si>
  <si>
    <t>gsangishetty</t>
  </si>
  <si>
    <t>gsangishetty@csc.com</t>
  </si>
  <si>
    <t>HKUMAR38</t>
  </si>
  <si>
    <t>HKUMAR38@csc.com</t>
  </si>
  <si>
    <t>jnandakumar</t>
  </si>
  <si>
    <t>jnandakumar@csc.com</t>
  </si>
  <si>
    <t>JSIMPSON24</t>
  </si>
  <si>
    <t>JSIMPSON24@csc.com</t>
  </si>
  <si>
    <t>KBYREDDY</t>
  </si>
  <si>
    <t>KBYREDDY@csc.com</t>
  </si>
  <si>
    <t>MMATHEW7</t>
  </si>
  <si>
    <t>MMATHEW7@csc.com</t>
  </si>
  <si>
    <t>msamy3</t>
  </si>
  <si>
    <t>msamy3@csc.com</t>
  </si>
  <si>
    <t>MYADLA2</t>
  </si>
  <si>
    <t>MYADLA2@csc.com</t>
  </si>
  <si>
    <t>pchinta4</t>
  </si>
  <si>
    <t>pchinta4@csc.com</t>
  </si>
  <si>
    <t>PRANGANATHA2</t>
  </si>
  <si>
    <t>PRANGANATHA2@csc.com</t>
  </si>
  <si>
    <t>psreeyadri</t>
  </si>
  <si>
    <t>psreeyadri@csc.com</t>
  </si>
  <si>
    <t>ptanniru2</t>
  </si>
  <si>
    <t>ptanniru2@csc.com</t>
  </si>
  <si>
    <t>ralikapati</t>
  </si>
  <si>
    <t>ralikapati@csc.com</t>
  </si>
  <si>
    <t>RGANESAN24</t>
  </si>
  <si>
    <t>RGANESAN24@csc.com</t>
  </si>
  <si>
    <t>RMUSUNURI</t>
  </si>
  <si>
    <t>RMUSUNURI@csc.com</t>
  </si>
  <si>
    <t>RMUTHUSAMY5</t>
  </si>
  <si>
    <t>RMUTHUSAMY5@csc.com</t>
  </si>
  <si>
    <t>RVELU</t>
  </si>
  <si>
    <t>RVELU@csc.com</t>
  </si>
  <si>
    <t>SBASANI3</t>
  </si>
  <si>
    <t>SBHIMAVARAPU</t>
  </si>
  <si>
    <t>SCHANDRAN23</t>
  </si>
  <si>
    <t>SCHANDRAN23@csc.com</t>
  </si>
  <si>
    <t>SGEDDAM2</t>
  </si>
  <si>
    <t>SKAGITA</t>
  </si>
  <si>
    <t>SKAGITA@csc.com</t>
  </si>
  <si>
    <t>skondapalli5</t>
  </si>
  <si>
    <t>skondapalli5@csc.com</t>
  </si>
  <si>
    <t>skondapalli6</t>
  </si>
  <si>
    <t>skondapalli6@csc.com</t>
  </si>
  <si>
    <t>skumar459</t>
  </si>
  <si>
    <t>skumar459@csc.com</t>
  </si>
  <si>
    <t>SMURAMSHETTY</t>
  </si>
  <si>
    <t>SNATESAN5</t>
  </si>
  <si>
    <t>SNATESAN5@csc.com</t>
  </si>
  <si>
    <t>ssanyal2</t>
  </si>
  <si>
    <t>ssanyal2@csc.com</t>
  </si>
  <si>
    <t>SVAYALANALLU</t>
  </si>
  <si>
    <t>SVAYALANALLU@csc.com</t>
  </si>
  <si>
    <t>VBADDIPUDI</t>
  </si>
  <si>
    <t>VBADDIPUDI@csc.com</t>
  </si>
  <si>
    <t>vgorrepati2</t>
  </si>
  <si>
    <t>vgorrepati2@csc.com</t>
  </si>
  <si>
    <t>APALANIAPPAN</t>
  </si>
  <si>
    <t>MAKULA2</t>
  </si>
  <si>
    <t>MAKULA2@csc.com</t>
  </si>
  <si>
    <t>ONIMMALA</t>
  </si>
  <si>
    <t>ONIMMALA@csc.com</t>
  </si>
  <si>
    <t>PMANJOORAN</t>
  </si>
  <si>
    <t>PMANJOORAN@csc.com</t>
  </si>
  <si>
    <t>PMURUGIAH</t>
  </si>
  <si>
    <t>PMURUGIAH@csc.com</t>
  </si>
  <si>
    <t>RPOTLURI</t>
  </si>
  <si>
    <t>RPOTLURI@csc.com</t>
  </si>
  <si>
    <t>SDESHPANDE9</t>
  </si>
  <si>
    <t>SDESHPANDE9@csc.com</t>
  </si>
  <si>
    <t>SGUPTA256</t>
  </si>
  <si>
    <t>SGUPTA256@csc.com</t>
  </si>
  <si>
    <t>SMOTURU</t>
  </si>
  <si>
    <t>SMOTURU@csc.com</t>
  </si>
  <si>
    <t>SPILLA</t>
  </si>
  <si>
    <t>SPILLA@csc.com</t>
  </si>
  <si>
    <t>UCHALLA</t>
  </si>
  <si>
    <t>UCHALLA@csc.com</t>
  </si>
  <si>
    <t>VSHEKARRAO</t>
  </si>
  <si>
    <t>VSHEKARRAO@csc.com</t>
  </si>
  <si>
    <t>asrivastavah</t>
  </si>
  <si>
    <t>asrivastavah@csc.com</t>
  </si>
  <si>
    <t>jarockiasamy</t>
  </si>
  <si>
    <t>jarockiasamy@csc.com</t>
  </si>
  <si>
    <t>RTAMILSELVA2</t>
  </si>
  <si>
    <t>RTAMILSELVA2@csc.com</t>
  </si>
  <si>
    <t>MPRASAD5</t>
  </si>
  <si>
    <t>MPRASAD5@csc.com</t>
  </si>
  <si>
    <t>stetali</t>
  </si>
  <si>
    <t>stetali@csc.com</t>
  </si>
  <si>
    <t>SKANDAKTLA</t>
  </si>
  <si>
    <t>SKANDAKTLA@csc.com</t>
  </si>
  <si>
    <t>eashokjain</t>
  </si>
  <si>
    <t>eashokjain@csc.com</t>
  </si>
  <si>
    <t>vselvaraj9</t>
  </si>
  <si>
    <t>vselvaraj9@csc.com</t>
  </si>
  <si>
    <t>gvairavelu</t>
  </si>
  <si>
    <t>gvairavelu@csc.com</t>
  </si>
  <si>
    <t>vthadepalli</t>
  </si>
  <si>
    <t>vthadepalli@csc.com</t>
  </si>
  <si>
    <t>sgopi2</t>
  </si>
  <si>
    <t>sgopi2@csc.com</t>
  </si>
  <si>
    <t>rpaul23</t>
  </si>
  <si>
    <t>rpaul23@csc.com</t>
  </si>
  <si>
    <t>rcheruku5</t>
  </si>
  <si>
    <t>rcheruku5@csc.com</t>
  </si>
  <si>
    <t>smani30</t>
  </si>
  <si>
    <t>smani30@csc.com</t>
  </si>
  <si>
    <t>vraparthy</t>
  </si>
  <si>
    <t>vraparthy@csc.com</t>
  </si>
  <si>
    <t>urao4</t>
  </si>
  <si>
    <t>urao4@csc.com</t>
  </si>
  <si>
    <t>dnaswa</t>
  </si>
  <si>
    <t>dnaswa@csc.com</t>
  </si>
  <si>
    <t>nsaxena22</t>
  </si>
  <si>
    <t>nsaxena22@csc.com</t>
  </si>
  <si>
    <t>smaddha</t>
  </si>
  <si>
    <t>smaddha@csc.com</t>
  </si>
  <si>
    <t>sqairuddin</t>
  </si>
  <si>
    <t>sqairuddin@csc.com</t>
  </si>
  <si>
    <t>tmadhu</t>
  </si>
  <si>
    <t>tmadhu@csc.com</t>
  </si>
  <si>
    <t>kjeylaxminag</t>
  </si>
  <si>
    <t>kjeylaxminag@csc.com</t>
  </si>
  <si>
    <t>kfarooqi</t>
  </si>
  <si>
    <t>kfarooqi@csc.com</t>
  </si>
  <si>
    <t>ssinha46</t>
  </si>
  <si>
    <t>ssinha46@csc.com</t>
  </si>
  <si>
    <t>sanbazhagan</t>
  </si>
  <si>
    <t>sanbazhagan@csc.com</t>
  </si>
  <si>
    <t>akumar335</t>
  </si>
  <si>
    <t>akumar335@csc.com</t>
  </si>
  <si>
    <t>rbiala</t>
  </si>
  <si>
    <t>rbiala@csc.com</t>
  </si>
  <si>
    <t>DSAMPATHKUMA</t>
  </si>
  <si>
    <t>DSAMPATHKUMA@csc.com</t>
  </si>
  <si>
    <t>DPAUL20</t>
  </si>
  <si>
    <t>DPAUL20@csc.com</t>
  </si>
  <si>
    <t>SDUTTA4</t>
  </si>
  <si>
    <t>mshaji</t>
  </si>
  <si>
    <t>mshaji@csc.com</t>
  </si>
  <si>
    <t>MSINGH30</t>
  </si>
  <si>
    <t>MSINGH30@csc.com</t>
  </si>
  <si>
    <t>SRAMADASS3</t>
  </si>
  <si>
    <t>SRAMADASS3@csc.com</t>
  </si>
  <si>
    <t>gsureddy</t>
  </si>
  <si>
    <t>gsureddy@csc.com</t>
  </si>
  <si>
    <t>vrathod2</t>
  </si>
  <si>
    <t>vrathod2@csc.com</t>
  </si>
  <si>
    <t>JSIRIPROLU</t>
  </si>
  <si>
    <t>JSIRIPROLU@csc.com</t>
  </si>
  <si>
    <t>psravya</t>
  </si>
  <si>
    <t>psravya@csc.com</t>
  </si>
  <si>
    <t>ynallaparaju</t>
  </si>
  <si>
    <t>ynallaparaju@csc.com</t>
  </si>
  <si>
    <t>ryelugula</t>
  </si>
  <si>
    <t>ajain51</t>
  </si>
  <si>
    <t>Noida PF POD 1</t>
  </si>
  <si>
    <t>ajain51@csc.com</t>
  </si>
  <si>
    <t>bmaturi</t>
  </si>
  <si>
    <t>bmaturi@csc.com</t>
  </si>
  <si>
    <t>DTEWARI</t>
  </si>
  <si>
    <t>DTEWARI@csc.com</t>
  </si>
  <si>
    <t>GKARIGOWDER</t>
  </si>
  <si>
    <t>GKARIGOWDER@csc.com</t>
  </si>
  <si>
    <t>gsharma46</t>
  </si>
  <si>
    <t>gsharma46@csc.com</t>
  </si>
  <si>
    <t>MANIROODHSIN</t>
  </si>
  <si>
    <t>MANIROODHSIN@csc.com</t>
  </si>
  <si>
    <t>nmunnangi</t>
  </si>
  <si>
    <t>nmunnangi@csc.com</t>
  </si>
  <si>
    <t>NVARSHNEY3</t>
  </si>
  <si>
    <t>NVARSHNEY3@csc.com</t>
  </si>
  <si>
    <t>PVERMA21</t>
  </si>
  <si>
    <t>RIQBAL</t>
  </si>
  <si>
    <t>RIQBAL@csc.com</t>
  </si>
  <si>
    <t>sarunachala6</t>
  </si>
  <si>
    <t>sarunachala6@csc.com</t>
  </si>
  <si>
    <t>SBEGUM9</t>
  </si>
  <si>
    <t>SDHAMIJA</t>
  </si>
  <si>
    <t>SDHAMIJA@csc.com</t>
  </si>
  <si>
    <t>SJUNAIDI</t>
  </si>
  <si>
    <t>smathur24</t>
  </si>
  <si>
    <t>smathur24@csc.com</t>
  </si>
  <si>
    <t>SSREEJA</t>
  </si>
  <si>
    <t>vdubey4</t>
  </si>
  <si>
    <t>vdubey4@csc.com</t>
  </si>
  <si>
    <t>AKAPOOR29</t>
  </si>
  <si>
    <t>AKAPOOR29@csc.com</t>
  </si>
  <si>
    <t>AKUMAR435</t>
  </si>
  <si>
    <t>arana7</t>
  </si>
  <si>
    <t>arana7@csc.com</t>
  </si>
  <si>
    <t>bn2</t>
  </si>
  <si>
    <t>bn2@csc.com</t>
  </si>
  <si>
    <t>BVARGHESE5</t>
  </si>
  <si>
    <t>CVELA</t>
  </si>
  <si>
    <t>CVELA@csc.com</t>
  </si>
  <si>
    <t>DGANESAN9</t>
  </si>
  <si>
    <t>DGANESAN9@csc.com</t>
  </si>
  <si>
    <t>gjayaramango</t>
  </si>
  <si>
    <t>gjayaramango@csc.com</t>
  </si>
  <si>
    <t>jnath2</t>
  </si>
  <si>
    <t>jnath2@csc.com</t>
  </si>
  <si>
    <t>jsingh56</t>
  </si>
  <si>
    <t>jsingh56@csc.com</t>
  </si>
  <si>
    <t>kvenkatesan9</t>
  </si>
  <si>
    <t>kvenkatesan9@csc.com</t>
  </si>
  <si>
    <t>mameenulhuss</t>
  </si>
  <si>
    <t>mameenulhuss@csc.com</t>
  </si>
  <si>
    <t>MCHILUKA</t>
  </si>
  <si>
    <t>MKUMAR86</t>
  </si>
  <si>
    <t>MKUMAR86@csc.com</t>
  </si>
  <si>
    <t>mrai20</t>
  </si>
  <si>
    <t>mrai20@csc.com</t>
  </si>
  <si>
    <t>NMUKHI2</t>
  </si>
  <si>
    <t>OPRAKASH2</t>
  </si>
  <si>
    <t>PCHANDRA5</t>
  </si>
  <si>
    <t>PCHANDRA5@csc.com</t>
  </si>
  <si>
    <t>PTENTU</t>
  </si>
  <si>
    <t>PTENTU@csc.com</t>
  </si>
  <si>
    <t>rkodan</t>
  </si>
  <si>
    <t>rkodan@csc.com</t>
  </si>
  <si>
    <t>RMOHAN9</t>
  </si>
  <si>
    <t>RPUNDIR2</t>
  </si>
  <si>
    <t>RPUNDIR2@csc.com</t>
  </si>
  <si>
    <t>RUK</t>
  </si>
  <si>
    <t>RUK@csc.com</t>
  </si>
  <si>
    <t>sbalbirsingh</t>
  </si>
  <si>
    <t>sbalbirsingh@csc.com</t>
  </si>
  <si>
    <t>sboreddy3</t>
  </si>
  <si>
    <t>sboreddy3@csc.com</t>
  </si>
  <si>
    <t>schaudhary27</t>
  </si>
  <si>
    <t>SCHAUDHARY30</t>
  </si>
  <si>
    <t>sgangireddy4</t>
  </si>
  <si>
    <t>sgangireddy4@csc.com</t>
  </si>
  <si>
    <t>skondaveti</t>
  </si>
  <si>
    <t>skondaveti@csc.com</t>
  </si>
  <si>
    <t>skumar425</t>
  </si>
  <si>
    <t>skumar425@csc.com</t>
  </si>
  <si>
    <t>SKUMARESAN3</t>
  </si>
  <si>
    <t>SKUMARESAN3@csc.com</t>
  </si>
  <si>
    <t>stelu2</t>
  </si>
  <si>
    <t>stelu2@csc.com</t>
  </si>
  <si>
    <t>STUMULA</t>
  </si>
  <si>
    <t>STUMULA@csc.com</t>
  </si>
  <si>
    <t>svure</t>
  </si>
  <si>
    <t>svure@csc.com</t>
  </si>
  <si>
    <t>USATI</t>
  </si>
  <si>
    <t>USATI@csc.com</t>
  </si>
  <si>
    <t>vkumar80</t>
  </si>
  <si>
    <t>vkumar80@csc.com</t>
  </si>
  <si>
    <t>VNANDIGAMA</t>
  </si>
  <si>
    <t>PBANERJEE5</t>
  </si>
  <si>
    <t>PBANERJEE5@csc.com</t>
  </si>
  <si>
    <t>ABUDHIRAJA</t>
  </si>
  <si>
    <t>ABUDHIRAJA@csc.com</t>
  </si>
  <si>
    <t>mraghavapura</t>
  </si>
  <si>
    <t>mraghavapura@csc.com</t>
  </si>
  <si>
    <t>NSHARMA83</t>
  </si>
  <si>
    <t>NSHARMA83@csc.com</t>
  </si>
  <si>
    <t>PKAUSHIK3</t>
  </si>
  <si>
    <t>PKAUSHIK3@csc.com</t>
  </si>
  <si>
    <t>RPALAKA</t>
  </si>
  <si>
    <t>RPALAKA@csc.com</t>
  </si>
  <si>
    <t>RVIRENDRAKUM</t>
  </si>
  <si>
    <t>RVIRENDRAKUM@csc.com</t>
  </si>
  <si>
    <t>SKUMAR334</t>
  </si>
  <si>
    <t>TGOVINDAN</t>
  </si>
  <si>
    <t>TGOVINDAN@csc.com</t>
  </si>
  <si>
    <t>TYADAV4</t>
  </si>
  <si>
    <t>TYADAV4@csc.com</t>
  </si>
  <si>
    <t>VKUMAR200</t>
  </si>
  <si>
    <t>VKUMAR200@csc.com</t>
  </si>
  <si>
    <t>VTALWAR</t>
  </si>
  <si>
    <t>VTALWAR@csc.com</t>
  </si>
  <si>
    <t>AHARISH</t>
  </si>
  <si>
    <t>AHARISH@csc.com</t>
  </si>
  <si>
    <t>DBANISINGH</t>
  </si>
  <si>
    <t>DBANISINGH@csc.com</t>
  </si>
  <si>
    <t>dsolanki2</t>
  </si>
  <si>
    <t>dsolanki2@csc.com</t>
  </si>
  <si>
    <t>DVISHWANATHP</t>
  </si>
  <si>
    <t>HSINGH72</t>
  </si>
  <si>
    <t>HSINGH72@csc.com</t>
  </si>
  <si>
    <t>JIMMANUVEL</t>
  </si>
  <si>
    <t>KKRISHNAN4</t>
  </si>
  <si>
    <t>KVASHISHT</t>
  </si>
  <si>
    <t>NANSARI3</t>
  </si>
  <si>
    <t>NBHATNAGAR3</t>
  </si>
  <si>
    <t>NBHATNAGAR3@csc.com</t>
  </si>
  <si>
    <t>NJAIN39</t>
  </si>
  <si>
    <t>NJAIN39@csc.com</t>
  </si>
  <si>
    <t>NKALKAR</t>
  </si>
  <si>
    <t>NKALKAR@csc.com</t>
  </si>
  <si>
    <t>pgupta75</t>
  </si>
  <si>
    <t>pnayyar</t>
  </si>
  <si>
    <t>pnayyar@csc.com</t>
  </si>
  <si>
    <t>RSELVARAJ22</t>
  </si>
  <si>
    <t>RSELVARAJ22@csc.com</t>
  </si>
  <si>
    <t>SCHIPPADA2</t>
  </si>
  <si>
    <t>SCHIPPADA2@csc.com</t>
  </si>
  <si>
    <t>sdeep</t>
  </si>
  <si>
    <t>sdeep@csc.com</t>
  </si>
  <si>
    <t>sdhiman</t>
  </si>
  <si>
    <t>sdhiman@csc.com</t>
  </si>
  <si>
    <t>skhaira2</t>
  </si>
  <si>
    <t>skhaira2@csc.com</t>
  </si>
  <si>
    <t>SMANIRAJAN</t>
  </si>
  <si>
    <t>SMANIRAJAN@csc.com</t>
  </si>
  <si>
    <t>smittal31</t>
  </si>
  <si>
    <t>smittal31@csc.com</t>
  </si>
  <si>
    <t>ssharma327</t>
  </si>
  <si>
    <t>ssharma327@csc.com</t>
  </si>
  <si>
    <t>dkhatana</t>
  </si>
  <si>
    <t>rbawa</t>
  </si>
  <si>
    <t>rbawa@csc.com</t>
  </si>
  <si>
    <t>rdua3</t>
  </si>
  <si>
    <t>rdua3@csc.com</t>
  </si>
  <si>
    <t>rkumar36</t>
  </si>
  <si>
    <t>rkumar36@csc.com</t>
  </si>
  <si>
    <t>vsingh23</t>
  </si>
  <si>
    <t>RSINGH98</t>
  </si>
  <si>
    <t>RSINGH98@csc.com</t>
  </si>
  <si>
    <t>NJAIN38</t>
  </si>
  <si>
    <t>NJAIN38@csc.com</t>
  </si>
  <si>
    <t>Aahmad24</t>
  </si>
  <si>
    <t>Aahmad24@csc.com</t>
  </si>
  <si>
    <t>AGROVER5</t>
  </si>
  <si>
    <t>ALAKHANPAL</t>
  </si>
  <si>
    <t>ALAKHANPAL@csc.com</t>
  </si>
  <si>
    <t>ASHARMA330</t>
  </si>
  <si>
    <t>ASHIVHARE</t>
  </si>
  <si>
    <t>ASHIVHARE@csc.com</t>
  </si>
  <si>
    <t>BPATTNAIK2</t>
  </si>
  <si>
    <t>BPATTNAIK2@csc.com</t>
  </si>
  <si>
    <t>bsoundarapan</t>
  </si>
  <si>
    <t>bsoundarapan@csc.com</t>
  </si>
  <si>
    <t>CVERMA2</t>
  </si>
  <si>
    <t>dkoppuravuri</t>
  </si>
  <si>
    <t>dkoppuravuri@csc.com</t>
  </si>
  <si>
    <t>MGANDHI3</t>
  </si>
  <si>
    <t>MGANDHI3@csc.com</t>
  </si>
  <si>
    <t>MMUSTAFA5</t>
  </si>
  <si>
    <t>NSIKHARAM</t>
  </si>
  <si>
    <t>vagarwal35</t>
  </si>
  <si>
    <t>vagarwal35@csc.com</t>
  </si>
  <si>
    <t>vbalajinates</t>
  </si>
  <si>
    <t>vbalajinates@csc.com</t>
  </si>
  <si>
    <t>VKHATRI2</t>
  </si>
  <si>
    <t>VPRASHAR</t>
  </si>
  <si>
    <t>VPRASHAR@csc.com</t>
  </si>
  <si>
    <t>YVERMA2</t>
  </si>
  <si>
    <t>YVERMA2@csc.com</t>
  </si>
  <si>
    <t>nreddy26</t>
  </si>
  <si>
    <t>nreddy26@csc.com</t>
  </si>
  <si>
    <t>rsaicharan</t>
  </si>
  <si>
    <t>rsaicharan@csc.com</t>
  </si>
  <si>
    <t>sbagel</t>
  </si>
  <si>
    <t>sbagel@csc.com</t>
  </si>
  <si>
    <t>pgupta46</t>
  </si>
  <si>
    <t>pgupta46@csc.com</t>
  </si>
  <si>
    <t>JMAREDDY2</t>
  </si>
  <si>
    <t>JMAREDDY2@csc.com</t>
  </si>
  <si>
    <t>jsingh34</t>
  </si>
  <si>
    <t>jsingh34@csc.com</t>
  </si>
  <si>
    <t>bkambham</t>
  </si>
  <si>
    <t>bkambham@csc.com</t>
  </si>
  <si>
    <t>vkapoor3</t>
  </si>
  <si>
    <t>vkapoor3@csc.com</t>
  </si>
  <si>
    <t>mmadduri2</t>
  </si>
  <si>
    <t>mmadduri2@csc.com</t>
  </si>
  <si>
    <t>ppriy</t>
  </si>
  <si>
    <t>ppriy@csc.com</t>
  </si>
  <si>
    <t>asaxena39</t>
  </si>
  <si>
    <t>asaxena39@csc.com</t>
  </si>
  <si>
    <t>smudunuri2</t>
  </si>
  <si>
    <t>smudunuri2@csc.com</t>
  </si>
  <si>
    <t>knarayanabab</t>
  </si>
  <si>
    <t>knarayanabab@csc.com</t>
  </si>
  <si>
    <t>MREDDYTIPOLL</t>
  </si>
  <si>
    <t>SSHARMA334</t>
  </si>
  <si>
    <t>SSHARMA334@csc.com</t>
  </si>
  <si>
    <t>VMADDURI2</t>
  </si>
  <si>
    <t>VMADDURI2@csc.com</t>
  </si>
  <si>
    <t>KKAPERI</t>
  </si>
  <si>
    <t>KKAPERI@csc.com</t>
  </si>
  <si>
    <t>pvishnubhatl</t>
  </si>
  <si>
    <t>pvishnubhatl@csc.com</t>
  </si>
  <si>
    <t>USHARMA9</t>
  </si>
  <si>
    <t>salam3</t>
  </si>
  <si>
    <t>sjoshi30</t>
  </si>
  <si>
    <t>Noida POD2</t>
  </si>
  <si>
    <t>sjoshi30@csc.com</t>
  </si>
  <si>
    <t>rsharma225</t>
  </si>
  <si>
    <t>rsharma225@csc.com</t>
  </si>
  <si>
    <t>mshrivastav4</t>
  </si>
  <si>
    <t>mshrivastav4@csc.com</t>
  </si>
  <si>
    <t>tbehera</t>
  </si>
  <si>
    <t>tbehera@csc.com</t>
  </si>
  <si>
    <t>mdaud5</t>
  </si>
  <si>
    <t>mdaud5@csc.com</t>
  </si>
  <si>
    <t>smadala6</t>
  </si>
  <si>
    <t>smadala6@csc.com</t>
  </si>
  <si>
    <t>ssasidharan2</t>
  </si>
  <si>
    <t>sverma55</t>
  </si>
  <si>
    <t>sverma55@csc.com</t>
  </si>
  <si>
    <t>npahuja</t>
  </si>
  <si>
    <t>npahuja@csc.com</t>
  </si>
  <si>
    <t>nbhatkoti</t>
  </si>
  <si>
    <t>nbhatkoti@csc.com</t>
  </si>
  <si>
    <t>rgarg24</t>
  </si>
  <si>
    <t>rgarg24@csc.com</t>
  </si>
  <si>
    <t>marulanandam</t>
  </si>
  <si>
    <t>marulanandam@csc.com</t>
  </si>
  <si>
    <t>mgupta48</t>
  </si>
  <si>
    <t>mgupta48@csc.com</t>
  </si>
  <si>
    <t>svura</t>
  </si>
  <si>
    <t>svura@csc.com</t>
  </si>
  <si>
    <t>rsivasankara</t>
  </si>
  <si>
    <t>rsivasankara@csc.com</t>
  </si>
  <si>
    <t>ssoma</t>
  </si>
  <si>
    <t>vsivasankar2</t>
  </si>
  <si>
    <t>vsivasankar2@csc.com</t>
  </si>
  <si>
    <t>mmadarpakkam</t>
  </si>
  <si>
    <t>mmadarpakkam@csc.com</t>
  </si>
  <si>
    <t>hbhan</t>
  </si>
  <si>
    <t>hbhan@csc.com</t>
  </si>
  <si>
    <t>ngupta61</t>
  </si>
  <si>
    <t>ngupta61@csc.com</t>
  </si>
  <si>
    <t>pmishra36</t>
  </si>
  <si>
    <t>pmishra36@csc.com</t>
  </si>
  <si>
    <t>smarlapati</t>
  </si>
  <si>
    <t>smarlapati@csc.com</t>
  </si>
  <si>
    <t>rverma31</t>
  </si>
  <si>
    <t>rverma31@csc.com</t>
  </si>
  <si>
    <t>ssharma303</t>
  </si>
  <si>
    <t>ssharma303@csc.com</t>
  </si>
  <si>
    <t>akhanna23</t>
  </si>
  <si>
    <t>akhanna23@csc.com</t>
  </si>
  <si>
    <t>jchhabra3</t>
  </si>
  <si>
    <t>jchhabra3@csc.com</t>
  </si>
  <si>
    <t>mmalik4</t>
  </si>
  <si>
    <t>mmalik4@csc.com</t>
  </si>
  <si>
    <t>nmiriyala</t>
  </si>
  <si>
    <t>nmiriyala@csc.com</t>
  </si>
  <si>
    <t>rgaurav</t>
  </si>
  <si>
    <t>rgaurav@csc.com</t>
  </si>
  <si>
    <t>rnaragam</t>
  </si>
  <si>
    <t>rnaragam@csc.com</t>
  </si>
  <si>
    <t>smalaraju</t>
  </si>
  <si>
    <t>smalaraju@csc.com</t>
  </si>
  <si>
    <t>smalik25</t>
  </si>
  <si>
    <t>smalik25@csc.com</t>
  </si>
  <si>
    <t>veturuvenkat</t>
  </si>
  <si>
    <t>veturuvenkat@csc.com</t>
  </si>
  <si>
    <t>lstanley7</t>
  </si>
  <si>
    <t>lstanley7@csc.com</t>
  </si>
  <si>
    <t>awalia4</t>
  </si>
  <si>
    <t>awalia4@csc.com</t>
  </si>
  <si>
    <t>cpaduchuri</t>
  </si>
  <si>
    <t>cpaduchuri@csc.com</t>
  </si>
  <si>
    <t>gsrivastava3</t>
  </si>
  <si>
    <t>gsrivastava3@csc.com</t>
  </si>
  <si>
    <t>hsharma34</t>
  </si>
  <si>
    <t>hsharma34@csc.com</t>
  </si>
  <si>
    <t>kbaskar3</t>
  </si>
  <si>
    <t>kbaskar3@csc.com</t>
  </si>
  <si>
    <t>pkumar258</t>
  </si>
  <si>
    <t>pkumar258@csc.com</t>
  </si>
  <si>
    <t>athiraviam</t>
  </si>
  <si>
    <t>athiraviam@csc.com</t>
  </si>
  <si>
    <t>dsharma49</t>
  </si>
  <si>
    <t>dsharma49@csc.com</t>
  </si>
  <si>
    <t>kbhowmick</t>
  </si>
  <si>
    <t>kbhowmick@csc.com</t>
  </si>
  <si>
    <t>mjameel2</t>
  </si>
  <si>
    <t>mjameel2@csc.com</t>
  </si>
  <si>
    <t>pyadav4</t>
  </si>
  <si>
    <t>pyadav4@csc.com</t>
  </si>
  <si>
    <t>vkafaltiya</t>
  </si>
  <si>
    <t>vkafaltiya@csc.com</t>
  </si>
  <si>
    <t>vkondapalli3</t>
  </si>
  <si>
    <t>vkondapalli3@csc.com</t>
  </si>
  <si>
    <t>asharma248</t>
  </si>
  <si>
    <t>asharma248@csc.com</t>
  </si>
  <si>
    <t>abharati2</t>
  </si>
  <si>
    <t>abharati2@csc.com</t>
  </si>
  <si>
    <t>bmuddana</t>
  </si>
  <si>
    <t>bmuddana@csc.com</t>
  </si>
  <si>
    <t>kpathak3</t>
  </si>
  <si>
    <t>kpathak3@csc.com</t>
  </si>
  <si>
    <t>pagrawal21</t>
  </si>
  <si>
    <t>pagrawal21@csc.com</t>
  </si>
  <si>
    <t>bpalaniappan</t>
  </si>
  <si>
    <t>bpalaniappan@csc.com</t>
  </si>
  <si>
    <t>hkalra2</t>
  </si>
  <si>
    <t>hkalra2@csc.com</t>
  </si>
  <si>
    <t>jbojja</t>
  </si>
  <si>
    <t>jbojja@csc.com</t>
  </si>
  <si>
    <t>rkubendran</t>
  </si>
  <si>
    <t>rkubendran@csc.com</t>
  </si>
  <si>
    <t>sradhakris31</t>
  </si>
  <si>
    <t>sradhakris31@csc.com</t>
  </si>
  <si>
    <t>rrigina</t>
  </si>
  <si>
    <t>rrigina@csc.com</t>
  </si>
  <si>
    <t>hmalhotra5</t>
  </si>
  <si>
    <t>hmalhotra5@csc.com</t>
  </si>
  <si>
    <t>asharma343</t>
  </si>
  <si>
    <t>asharma343@csc.com</t>
  </si>
  <si>
    <t>rsingh279</t>
  </si>
  <si>
    <t>rsingh279@csc.com</t>
  </si>
  <si>
    <t>rrathee2</t>
  </si>
  <si>
    <t>rrathee2@csc.com</t>
  </si>
  <si>
    <t>tsingh51</t>
  </si>
  <si>
    <t>tsingh51@csc.com</t>
  </si>
  <si>
    <t>nsaxena26</t>
  </si>
  <si>
    <t>nsaxena26@csc.com</t>
  </si>
  <si>
    <t>mvohra</t>
  </si>
  <si>
    <t>mvohra@csc.com</t>
  </si>
  <si>
    <t>skondapalli</t>
  </si>
  <si>
    <t>skondapalli@csc.com</t>
  </si>
  <si>
    <t>spitchandi</t>
  </si>
  <si>
    <t>dsambyal</t>
  </si>
  <si>
    <t>dsambyal@csc.com</t>
  </si>
  <si>
    <t>nrai7</t>
  </si>
  <si>
    <t>nrai7@csc.com</t>
  </si>
  <si>
    <t>schandrabos2</t>
  </si>
  <si>
    <t>schandrabos2@csc.com</t>
  </si>
  <si>
    <t>vpotharaju</t>
  </si>
  <si>
    <t>vpotharaju@csc.com</t>
  </si>
  <si>
    <t>ubudida</t>
  </si>
  <si>
    <t>ubudida@csc.com</t>
  </si>
  <si>
    <t>rpandey32</t>
  </si>
  <si>
    <t>rpandey32@csc.com</t>
  </si>
  <si>
    <t>svashista</t>
  </si>
  <si>
    <t>svashista@csc.com</t>
  </si>
  <si>
    <t>krana5</t>
  </si>
  <si>
    <t>krana5@csc.com</t>
  </si>
  <si>
    <t>tchukkana</t>
  </si>
  <si>
    <t>tchukkana@csc.com</t>
  </si>
  <si>
    <t>kraina</t>
  </si>
  <si>
    <t>kraina@csc.com</t>
  </si>
  <si>
    <t>aalagappan</t>
  </si>
  <si>
    <t>aalagappan@csc.com</t>
  </si>
  <si>
    <t>rkeshetty</t>
  </si>
  <si>
    <t>rkeshetty@csc.com</t>
  </si>
  <si>
    <t>skarthick</t>
  </si>
  <si>
    <t>skarthick@csc.com</t>
  </si>
  <si>
    <t>cgudimella</t>
  </si>
  <si>
    <t>cgudimella@csc.com</t>
  </si>
  <si>
    <t>bamaranath</t>
  </si>
  <si>
    <t>bamaranath@csc.com</t>
  </si>
  <si>
    <t>pgoli2</t>
  </si>
  <si>
    <t>pgoli2@csc.com</t>
  </si>
  <si>
    <t>asaha7</t>
  </si>
  <si>
    <t>bmahuvagara</t>
  </si>
  <si>
    <t>bmahuvagara@csc.com</t>
  </si>
  <si>
    <t>bspoorthi</t>
  </si>
  <si>
    <t>bspoorthi@csc.com</t>
  </si>
  <si>
    <t>pgopalakris4</t>
  </si>
  <si>
    <t>pgopalakris4@csc.com</t>
  </si>
  <si>
    <t>vkolli4</t>
  </si>
  <si>
    <t>vkolli4@csc.com</t>
  </si>
  <si>
    <t>kmovva</t>
  </si>
  <si>
    <t>kmovva@csc.com</t>
  </si>
  <si>
    <t>ssehgal7</t>
  </si>
  <si>
    <t>ssehgal7@csc.com</t>
  </si>
  <si>
    <t>sgupta303</t>
  </si>
  <si>
    <t>sgupta303@csc.com</t>
  </si>
  <si>
    <t>rmalhotra8</t>
  </si>
  <si>
    <t>rmalhotra8@csc.com</t>
  </si>
  <si>
    <t>rjadhav7</t>
  </si>
  <si>
    <t>rjadhav7@csc.com</t>
  </si>
  <si>
    <t>vgk</t>
  </si>
  <si>
    <t>vgk@csc.com</t>
  </si>
  <si>
    <t>ssingh311</t>
  </si>
  <si>
    <t>ssingh311@csc.com</t>
  </si>
  <si>
    <t>ckumar34</t>
  </si>
  <si>
    <t>ckumar34@csc.com</t>
  </si>
  <si>
    <t>pmanne</t>
  </si>
  <si>
    <t>pmanne@csc.com</t>
  </si>
  <si>
    <t>ryadav20</t>
  </si>
  <si>
    <t>ryadav20@csc.com</t>
  </si>
  <si>
    <t>asadu</t>
  </si>
  <si>
    <t>asadu@csc.com</t>
  </si>
  <si>
    <t>sjayaramanse</t>
  </si>
  <si>
    <t>sjayaramanse@csc.com</t>
  </si>
  <si>
    <t>smaggegovind</t>
  </si>
  <si>
    <t>smaggegovind@csc.com</t>
  </si>
  <si>
    <t>ssatapathy</t>
  </si>
  <si>
    <t>ssatapathy@csc.com</t>
  </si>
  <si>
    <t>pnirmal</t>
  </si>
  <si>
    <t>jsingh87</t>
  </si>
  <si>
    <t>jsingh87@csc.com</t>
  </si>
  <si>
    <t>rkrishnamoo5</t>
  </si>
  <si>
    <t>vbhardwaj</t>
  </si>
  <si>
    <t>vbhardwaj@csc.com</t>
  </si>
  <si>
    <t>amishra68</t>
  </si>
  <si>
    <t>amishra68@csc.com</t>
  </si>
  <si>
    <t>pkhera</t>
  </si>
  <si>
    <t>pkhera@csc.com</t>
  </si>
  <si>
    <t>vpalavarapu</t>
  </si>
  <si>
    <t>vpalavarapu@csc.com</t>
  </si>
  <si>
    <t>ppalanki</t>
  </si>
  <si>
    <t>ppalanki@csc.com</t>
  </si>
  <si>
    <t>rdevkal</t>
  </si>
  <si>
    <t>rdevkal@csc.com</t>
  </si>
  <si>
    <t>kmohammed4</t>
  </si>
  <si>
    <t>rsureshkuma3</t>
  </si>
  <si>
    <t>rsureshkuma3@csc.com</t>
  </si>
  <si>
    <t>LANJANAPPA</t>
  </si>
  <si>
    <t>SPALANI23</t>
  </si>
  <si>
    <t>bacharya2</t>
  </si>
  <si>
    <t>bacharya2@csc.com</t>
  </si>
  <si>
    <t>sjha33</t>
  </si>
  <si>
    <t>sjha33@csc.com</t>
  </si>
  <si>
    <t>rtomar2</t>
  </si>
  <si>
    <t>rtomar2@csc.com</t>
  </si>
  <si>
    <t>mrajagopal2</t>
  </si>
  <si>
    <t>mrajagopal2@csc.com</t>
  </si>
  <si>
    <t>sdas75</t>
  </si>
  <si>
    <t>sdas75@csc.com</t>
  </si>
  <si>
    <t>stiwari37</t>
  </si>
  <si>
    <t>RREDDY56</t>
  </si>
  <si>
    <t>RREDDY56@csc.com</t>
  </si>
  <si>
    <t>sdutta5</t>
  </si>
  <si>
    <t>Noida WP POD 1</t>
  </si>
  <si>
    <t>sdutta5@csc.com</t>
  </si>
  <si>
    <t>akumar333</t>
  </si>
  <si>
    <t>akumar333@csc.com</t>
  </si>
  <si>
    <t>kkumar21</t>
  </si>
  <si>
    <t>Blue/Purple</t>
  </si>
  <si>
    <t>kkumar21@csc.com</t>
  </si>
  <si>
    <t>iishradalikh</t>
  </si>
  <si>
    <t>iishradalikh@csc.com</t>
  </si>
  <si>
    <t>psambasivan</t>
  </si>
  <si>
    <t>psambasivan@csc.com</t>
  </si>
  <si>
    <t>ffrindo</t>
  </si>
  <si>
    <t>ffrindo@csc.com</t>
  </si>
  <si>
    <t>aparida5</t>
  </si>
  <si>
    <t>aparida5@csc.com</t>
  </si>
  <si>
    <t>apati2</t>
  </si>
  <si>
    <t>apati2@csc.com</t>
  </si>
  <si>
    <t>abanga</t>
  </si>
  <si>
    <t>abanga@csc.com</t>
  </si>
  <si>
    <t>amehta27</t>
  </si>
  <si>
    <t>amehta27@csc.com</t>
  </si>
  <si>
    <t>agupta237</t>
  </si>
  <si>
    <t>agupta237@csc.com</t>
  </si>
  <si>
    <t>apraveenjain</t>
  </si>
  <si>
    <t>apraveenjain@csc.com</t>
  </si>
  <si>
    <t>APANJWANI2</t>
  </si>
  <si>
    <t>ASHARMA277</t>
  </si>
  <si>
    <t>ASHARMA277@csc.com</t>
  </si>
  <si>
    <t>amehrotra8</t>
  </si>
  <si>
    <t>amehrotra8@csc.com</t>
  </si>
  <si>
    <t>ASURINDERKU2</t>
  </si>
  <si>
    <t>ASURINDERKU2@csc.com</t>
  </si>
  <si>
    <t>abaluni2</t>
  </si>
  <si>
    <t>abaluni2@csc.com</t>
  </si>
  <si>
    <t>hkumarkakkar</t>
  </si>
  <si>
    <t>hkumarkakkar@csc.com</t>
  </si>
  <si>
    <t>SCHAUHAN30</t>
  </si>
  <si>
    <t>SCHAUHAN30@csc.com</t>
  </si>
  <si>
    <t>amalhotra21</t>
  </si>
  <si>
    <t>amalhotra21@csc.com</t>
  </si>
  <si>
    <t>bkrishnamoo6</t>
  </si>
  <si>
    <t>ubhatia</t>
  </si>
  <si>
    <t>ubhatia@csc.com</t>
  </si>
  <si>
    <t>bgupta6</t>
  </si>
  <si>
    <t>bgupta6@csc.com</t>
  </si>
  <si>
    <t>bthomas42</t>
  </si>
  <si>
    <t>bthomas42@csc.com</t>
  </si>
  <si>
    <t>ngarg27</t>
  </si>
  <si>
    <t>ngarg27@csc.com</t>
  </si>
  <si>
    <t>csood</t>
  </si>
  <si>
    <t>csood@csc.com</t>
  </si>
  <si>
    <t>dsivakumar4</t>
  </si>
  <si>
    <t>dsivakumar4@csc.com</t>
  </si>
  <si>
    <t>ATAMTA</t>
  </si>
  <si>
    <t>dmariajoseph</t>
  </si>
  <si>
    <t>dmariajoseph@csc.com</t>
  </si>
  <si>
    <t>dsolomon4</t>
  </si>
  <si>
    <t>dsolomon4@csc.com</t>
  </si>
  <si>
    <t>SSHARMA304</t>
  </si>
  <si>
    <t>SSHARMA304@csc.com</t>
  </si>
  <si>
    <t>FKHAN7</t>
  </si>
  <si>
    <t>gmittal6</t>
  </si>
  <si>
    <t>gmittal6@csc.com</t>
  </si>
  <si>
    <t>GKAPOOR7</t>
  </si>
  <si>
    <t>gbellani</t>
  </si>
  <si>
    <t>gbellani@csc.com</t>
  </si>
  <si>
    <t>gpanwar3</t>
  </si>
  <si>
    <t>gpanwar3@csc.com</t>
  </si>
  <si>
    <t>ggupta24</t>
  </si>
  <si>
    <t>ggupta24@csc.com</t>
  </si>
  <si>
    <t>hjayanthikum</t>
  </si>
  <si>
    <t>hjayanthikum@csc.com</t>
  </si>
  <si>
    <t>hramar</t>
  </si>
  <si>
    <t>hramar@csc.com</t>
  </si>
  <si>
    <t>hkhati</t>
  </si>
  <si>
    <t>hkhati@csc.com</t>
  </si>
  <si>
    <t>hanand2</t>
  </si>
  <si>
    <t>hanand2@csc.com</t>
  </si>
  <si>
    <t>dchoudhary</t>
  </si>
  <si>
    <t>dchoudhary@csc.com</t>
  </si>
  <si>
    <t>hali7</t>
  </si>
  <si>
    <t>hali7@csc.com</t>
  </si>
  <si>
    <t>IALI9</t>
  </si>
  <si>
    <t>IALI9@csc.com</t>
  </si>
  <si>
    <t>hbhatia4</t>
  </si>
  <si>
    <t>hbhatia4@csc.com</t>
  </si>
  <si>
    <t>iahmed9</t>
  </si>
  <si>
    <t>iahmed9@csc.com</t>
  </si>
  <si>
    <t>kkeyan</t>
  </si>
  <si>
    <t>kkeyan@csc.com</t>
  </si>
  <si>
    <t>ijohn3</t>
  </si>
  <si>
    <t>ijohn3@csc.com</t>
  </si>
  <si>
    <t>kakhter</t>
  </si>
  <si>
    <t>kakhter@csc.com</t>
  </si>
  <si>
    <t>jmongia</t>
  </si>
  <si>
    <t>jmongia@csc.com</t>
  </si>
  <si>
    <t>jmehendiratt</t>
  </si>
  <si>
    <t>jmehendiratt@csc.com</t>
  </si>
  <si>
    <t>arathore7</t>
  </si>
  <si>
    <t>arathore7@csc.com</t>
  </si>
  <si>
    <t>KCHAUHAN4</t>
  </si>
  <si>
    <t>KCHAUHAN4@csc.com</t>
  </si>
  <si>
    <t>kdutta2</t>
  </si>
  <si>
    <t>kdutta2@csc.com</t>
  </si>
  <si>
    <t>lposwal</t>
  </si>
  <si>
    <t>lposwal@csc.com</t>
  </si>
  <si>
    <t>pchaudhary4</t>
  </si>
  <si>
    <t>pchaudhary4@csc.com</t>
  </si>
  <si>
    <t>kpradhir</t>
  </si>
  <si>
    <t>kpradhir@csc.com</t>
  </si>
  <si>
    <t>MSOBTI</t>
  </si>
  <si>
    <t>MSOBTI@csc.com</t>
  </si>
  <si>
    <t>kkhanna7</t>
  </si>
  <si>
    <t>kkhanna7@csc.com</t>
  </si>
  <si>
    <t>pmadhup</t>
  </si>
  <si>
    <t>pmadhup@csc.com</t>
  </si>
  <si>
    <t>NMISHRA25</t>
  </si>
  <si>
    <t>NMISHRA25@csc.com</t>
  </si>
  <si>
    <t>mbhatia20</t>
  </si>
  <si>
    <t>mbhatia20@csc.com</t>
  </si>
  <si>
    <t>pkandregula</t>
  </si>
  <si>
    <t>pkandregula@csc.com</t>
  </si>
  <si>
    <t>psodadasi</t>
  </si>
  <si>
    <t>psodadasi@csc.com</t>
  </si>
  <si>
    <t>NRAWAT3</t>
  </si>
  <si>
    <t>nvaid</t>
  </si>
  <si>
    <t>nvaid@csc.com</t>
  </si>
  <si>
    <t>cmathew2</t>
  </si>
  <si>
    <t>cmathew2@csc.com</t>
  </si>
  <si>
    <t>nsharma212</t>
  </si>
  <si>
    <t>nsharma212@csc.com</t>
  </si>
  <si>
    <t>nsurendrakum</t>
  </si>
  <si>
    <t>nsurendrakum@csc.com</t>
  </si>
  <si>
    <t>nsahi</t>
  </si>
  <si>
    <t>nsahi@csc.com</t>
  </si>
  <si>
    <t>rchamakuri</t>
  </si>
  <si>
    <t>rchamakuri@csc.com</t>
  </si>
  <si>
    <t>HSHARMA33</t>
  </si>
  <si>
    <t>pthapliyal</t>
  </si>
  <si>
    <t>pthapliyal@csc.com</t>
  </si>
  <si>
    <t>pkathuria2</t>
  </si>
  <si>
    <t>pkathuria2@csc.com</t>
  </si>
  <si>
    <t>mfaizan</t>
  </si>
  <si>
    <t>mfaizan@csc.com</t>
  </si>
  <si>
    <t>pkoujalgi</t>
  </si>
  <si>
    <t>pkoujalgi@csc.com</t>
  </si>
  <si>
    <t>rkeerthi</t>
  </si>
  <si>
    <t>braj2</t>
  </si>
  <si>
    <t>braj2@csc.com</t>
  </si>
  <si>
    <t>prajendran8</t>
  </si>
  <si>
    <t>prajendran8@csc.com</t>
  </si>
  <si>
    <t>rpuri9</t>
  </si>
  <si>
    <t>AATTREE</t>
  </si>
  <si>
    <t>AATTREE@csc.com</t>
  </si>
  <si>
    <t>jdas5</t>
  </si>
  <si>
    <t>jdas5@csc.com</t>
  </si>
  <si>
    <t>ssabui</t>
  </si>
  <si>
    <t>ssabui@csc.com</t>
  </si>
  <si>
    <t>ptaneja3</t>
  </si>
  <si>
    <t>ptaneja3@csc.com</t>
  </si>
  <si>
    <t>rkumar262</t>
  </si>
  <si>
    <t>sdeenadaylan</t>
  </si>
  <si>
    <t>sdeenadaylan@csc.com</t>
  </si>
  <si>
    <t>rkumar275</t>
  </si>
  <si>
    <t>rkumar275@csc.com</t>
  </si>
  <si>
    <t>rpaul21</t>
  </si>
  <si>
    <t>rpaul21@csc.com</t>
  </si>
  <si>
    <t>saj</t>
  </si>
  <si>
    <t>saj@csc.com</t>
  </si>
  <si>
    <t>sadalagerech</t>
  </si>
  <si>
    <t>sadalagerech@csc.com</t>
  </si>
  <si>
    <t>ssharma289</t>
  </si>
  <si>
    <t>ssharma289@csc.com</t>
  </si>
  <si>
    <t>ssrinivasanm</t>
  </si>
  <si>
    <t>ssrinivasanm@csc.com</t>
  </si>
  <si>
    <t>SSHISHODIA</t>
  </si>
  <si>
    <t>stikoo</t>
  </si>
  <si>
    <t>stikoo@csc.com</t>
  </si>
  <si>
    <t>RCHARAN2</t>
  </si>
  <si>
    <t>RCHARAN2@csc.com</t>
  </si>
  <si>
    <t>somar3</t>
  </si>
  <si>
    <t>somar3@csc.com</t>
  </si>
  <si>
    <t>RSAINI8</t>
  </si>
  <si>
    <t>RSAINI8@csc.com</t>
  </si>
  <si>
    <t>tdas5</t>
  </si>
  <si>
    <t>tdas5@csc.com</t>
  </si>
  <si>
    <t>yrajput</t>
  </si>
  <si>
    <t>yrajput@csc.com</t>
  </si>
  <si>
    <t>RSINGH262</t>
  </si>
  <si>
    <t>RSINGH262@csc.com</t>
  </si>
  <si>
    <t>msikhakollu</t>
  </si>
  <si>
    <t>msikhakollu@csc.com</t>
  </si>
  <si>
    <t>tkhandelwal</t>
  </si>
  <si>
    <t>tkhandelwal@csc.com</t>
  </si>
  <si>
    <t>MAHMED49</t>
  </si>
  <si>
    <t>MAHMED49@csc.com</t>
  </si>
  <si>
    <t>tgulati2</t>
  </si>
  <si>
    <t>tgulati2@csc.com</t>
  </si>
  <si>
    <t>SSRIVASTAV53</t>
  </si>
  <si>
    <t>SSRIVASTAV53@csc.com</t>
  </si>
  <si>
    <t>vthiagaraja3</t>
  </si>
  <si>
    <t>ssarvjeetsin</t>
  </si>
  <si>
    <t>ssarvjeetsin@csc.com</t>
  </si>
  <si>
    <t>VNAYAR</t>
  </si>
  <si>
    <t>vthakur2</t>
  </si>
  <si>
    <t>vthakur2@csc.com</t>
  </si>
  <si>
    <t>svalaparla</t>
  </si>
  <si>
    <t>svalaparla@csc.com</t>
  </si>
  <si>
    <t>vmadansharma</t>
  </si>
  <si>
    <t>vmadansharma@csc.com</t>
  </si>
  <si>
    <t>vkuriakose</t>
  </si>
  <si>
    <t>vkuriakose@csc.com</t>
  </si>
  <si>
    <t>vgupta83</t>
  </si>
  <si>
    <t>vgupta83@csc.com</t>
  </si>
  <si>
    <t>vpradhan2</t>
  </si>
  <si>
    <t>vpradhan2@csc.com</t>
  </si>
  <si>
    <t>vkumar249</t>
  </si>
  <si>
    <t>vkumar249@csc.com</t>
  </si>
  <si>
    <t>wahmad4</t>
  </si>
  <si>
    <t>wahmad4@csc.com</t>
  </si>
  <si>
    <t>spervezullah</t>
  </si>
  <si>
    <t>spervezullah@csc.com</t>
  </si>
  <si>
    <t>vvenkatesh4</t>
  </si>
  <si>
    <t>vvenkatesh4@csc.com</t>
  </si>
  <si>
    <t>gjanardhanan</t>
  </si>
  <si>
    <t>vgahlot</t>
  </si>
  <si>
    <t>vgahlot@csc.com</t>
  </si>
  <si>
    <t>agulati21</t>
  </si>
  <si>
    <t>agulati21@csc.com</t>
  </si>
  <si>
    <t>bmurthi</t>
  </si>
  <si>
    <t>bmurthi@csc.com</t>
  </si>
  <si>
    <t>mmukherjee3</t>
  </si>
  <si>
    <t>mmukherjee3@csc.com</t>
  </si>
  <si>
    <t>sdorairaj6</t>
  </si>
  <si>
    <t>sdorairaj6@csc.com</t>
  </si>
  <si>
    <t>gthamizharas</t>
  </si>
  <si>
    <t>gthamizharas@csc.com</t>
  </si>
  <si>
    <t>pkumar219</t>
  </si>
  <si>
    <t>pkumar219@csc.com</t>
  </si>
  <si>
    <t>prajasekar2</t>
  </si>
  <si>
    <t>prajasekar2@csc.com</t>
  </si>
  <si>
    <t>esanthose</t>
  </si>
  <si>
    <t>esanthose@csc.com</t>
  </si>
  <si>
    <t>nsharma93</t>
  </si>
  <si>
    <t>nsharma93@csc.com</t>
  </si>
  <si>
    <t>jreddy22</t>
  </si>
  <si>
    <t>jreddy22@csc.com</t>
  </si>
  <si>
    <t>kjayashree</t>
  </si>
  <si>
    <t>kjayashree@csc.com</t>
  </si>
  <si>
    <t>tchandrika</t>
  </si>
  <si>
    <t>tchandrika@csc.com</t>
  </si>
  <si>
    <t>mvanchinatha</t>
  </si>
  <si>
    <t>mvanchinatha@csc.com</t>
  </si>
  <si>
    <t>skumar362</t>
  </si>
  <si>
    <t>skumar362@csc.com</t>
  </si>
  <si>
    <t>bbalasubram6</t>
  </si>
  <si>
    <t>bbalasubram6@csc.com</t>
  </si>
  <si>
    <t>hrajshekar</t>
  </si>
  <si>
    <t>hrajshekar@csc.com</t>
  </si>
  <si>
    <t>schhabra6</t>
  </si>
  <si>
    <t>schhabra6@csc.com</t>
  </si>
  <si>
    <t>vbalaji3</t>
  </si>
  <si>
    <t>vbalaji3@csc.com</t>
  </si>
  <si>
    <t>jsachdeva</t>
  </si>
  <si>
    <t>jsachdeva@csc.com</t>
  </si>
  <si>
    <t>mnazamadil</t>
  </si>
  <si>
    <t>mnazamadil@csc.com</t>
  </si>
  <si>
    <t>akhan91</t>
  </si>
  <si>
    <t>akhan91@csc.com</t>
  </si>
  <si>
    <t>psharma203</t>
  </si>
  <si>
    <t>psharma203@csc.com</t>
  </si>
  <si>
    <t>jvasajoshua</t>
  </si>
  <si>
    <t>jvasajoshua@csc.com</t>
  </si>
  <si>
    <t>aprakash24</t>
  </si>
  <si>
    <t>aprakash24@csc.com</t>
  </si>
  <si>
    <t>mkhan205</t>
  </si>
  <si>
    <t>mkhan205@csc.com</t>
  </si>
  <si>
    <t>vrana23</t>
  </si>
  <si>
    <t>vrana23@csc.com</t>
  </si>
  <si>
    <t>ADANG2</t>
  </si>
  <si>
    <t>ADANG2@csc.com</t>
  </si>
  <si>
    <t>VSHARMA95</t>
  </si>
  <si>
    <t>VSHARMA95@csc.com</t>
  </si>
  <si>
    <t>mkohli4</t>
  </si>
  <si>
    <t>mkohli4@csc.com</t>
  </si>
  <si>
    <t>akhare4</t>
  </si>
  <si>
    <t>Noida WP POD 2</t>
  </si>
  <si>
    <t xml:space="preserve">ssharma251 </t>
  </si>
  <si>
    <t>ssharma251@csc.com</t>
  </si>
  <si>
    <t>akumar81</t>
  </si>
  <si>
    <t>vkosana</t>
  </si>
  <si>
    <t>vkosana@csc.com</t>
  </si>
  <si>
    <t>anilam</t>
  </si>
  <si>
    <t>anilam@csc.com</t>
  </si>
  <si>
    <t>msharma68</t>
  </si>
  <si>
    <t>msharma68@csc.com</t>
  </si>
  <si>
    <t>vreddy7</t>
  </si>
  <si>
    <t>vreddy7@csc.com</t>
  </si>
  <si>
    <t>cchaubey</t>
  </si>
  <si>
    <t>cchaubey@csc.com</t>
  </si>
  <si>
    <t>srawat23</t>
  </si>
  <si>
    <t>srawat23@csc.com</t>
  </si>
  <si>
    <t>mshamsulhaq</t>
  </si>
  <si>
    <t>mshamsulhaq@csc.com</t>
  </si>
  <si>
    <t>alodge</t>
  </si>
  <si>
    <t>alodge@csc.com</t>
  </si>
  <si>
    <t>arayban</t>
  </si>
  <si>
    <t>arayban@csc.com</t>
  </si>
  <si>
    <t>sdaggumati</t>
  </si>
  <si>
    <t>sdaggumati@csc.com</t>
  </si>
  <si>
    <t>ubhatia3</t>
  </si>
  <si>
    <t>ubhatia3@csc.com</t>
  </si>
  <si>
    <t>gadhikari</t>
  </si>
  <si>
    <t>gadhikari@csc.com</t>
  </si>
  <si>
    <t>jsingh77</t>
  </si>
  <si>
    <t>jsingh77@csc.com</t>
  </si>
  <si>
    <t>skanoongo</t>
  </si>
  <si>
    <t>skanoongo@csc.com</t>
  </si>
  <si>
    <t>svaddiparthi</t>
  </si>
  <si>
    <t>svaddiparthi@csc.com</t>
  </si>
  <si>
    <t>AUPADHYAY7</t>
  </si>
  <si>
    <t>PDWIVEDI7</t>
  </si>
  <si>
    <t>PDWIVEDI7@csc.com</t>
  </si>
  <si>
    <t>tabdali</t>
  </si>
  <si>
    <t>tabdali@csc.com</t>
  </si>
  <si>
    <t>stneelakanda</t>
  </si>
  <si>
    <t>stneelakanda@csc.com</t>
  </si>
  <si>
    <t>gsingh33</t>
  </si>
  <si>
    <t>gsingh33@csc.com</t>
  </si>
  <si>
    <t>sparasher</t>
  </si>
  <si>
    <t>sparasher@csc.com</t>
  </si>
  <si>
    <t>naniljain</t>
  </si>
  <si>
    <t>naniljain@csc.com</t>
  </si>
  <si>
    <t>dsharma72</t>
  </si>
  <si>
    <t>dsharma72@csc.com</t>
  </si>
  <si>
    <t>dphaur</t>
  </si>
  <si>
    <t>dphaur@csc.com</t>
  </si>
  <si>
    <t>DBHAVSAR</t>
  </si>
  <si>
    <r>
      <t>bgudipudi</t>
    </r>
    <r>
      <rPr>
        <sz val="11"/>
        <color theme="1"/>
        <rFont val="Calibri"/>
        <family val="2"/>
        <scheme val="minor"/>
      </rPr>
      <t> </t>
    </r>
  </si>
  <si>
    <t>bgudipudi @csc.com</t>
  </si>
  <si>
    <t>srout22</t>
  </si>
  <si>
    <t>srout22@csc.com</t>
  </si>
  <si>
    <t>NDAMERA</t>
  </si>
  <si>
    <t>SGOLI6</t>
  </si>
  <si>
    <t>SMAJETY</t>
  </si>
  <si>
    <t>CADDLA</t>
  </si>
  <si>
    <t>IVANI</t>
  </si>
  <si>
    <t>IVANI@csc.com</t>
  </si>
  <si>
    <t>APEDAPROLU</t>
  </si>
  <si>
    <t>APEDAPROLU@csc.com</t>
  </si>
  <si>
    <t>SKOSANA</t>
  </si>
  <si>
    <t>SKOSANA@csc.com</t>
  </si>
  <si>
    <t>VJAIN37</t>
  </si>
  <si>
    <t>VJAIN37@csc.com</t>
  </si>
  <si>
    <t>SMIDADALA</t>
  </si>
  <si>
    <t>SMIDADALA@csc.com</t>
  </si>
  <si>
    <t>HBAJAJ</t>
  </si>
  <si>
    <t>SCHOCKALING7</t>
  </si>
  <si>
    <t>SCHOCKALING7@csc.com</t>
  </si>
  <si>
    <t>jkumar42</t>
  </si>
  <si>
    <t>jkumar42@csc.com</t>
  </si>
  <si>
    <t>RSOWNDHAREA</t>
  </si>
  <si>
    <t>RSOWNDHAREA@csc.com</t>
  </si>
  <si>
    <t>SBHATI2</t>
  </si>
  <si>
    <t>SBHATI2@csc.com</t>
  </si>
  <si>
    <t>BCHAUHAN5</t>
  </si>
  <si>
    <t>VVERMA48</t>
  </si>
  <si>
    <t>VVERMA48@csc.com</t>
  </si>
  <si>
    <t>mpanthri</t>
  </si>
  <si>
    <t>mpanthri@csc.com</t>
  </si>
  <si>
    <t>RSETH7</t>
  </si>
  <si>
    <t>RSETH7@csc.com</t>
  </si>
  <si>
    <t>rpraveenmurt</t>
  </si>
  <si>
    <t>rpraveenmurt@csc.com</t>
  </si>
  <si>
    <t>SMUKHERJEE8</t>
  </si>
  <si>
    <t>VKUMAR73</t>
  </si>
  <si>
    <t>VKUMAR73@csc.com</t>
  </si>
  <si>
    <t>SRAMACHAND25</t>
  </si>
  <si>
    <t>SRAMACHAND25@csc.com</t>
  </si>
  <si>
    <t>MJHA5</t>
  </si>
  <si>
    <t>MJHA5@csc.com</t>
  </si>
  <si>
    <t>RANTONYSAMY</t>
  </si>
  <si>
    <t>ARAJASEKAR</t>
  </si>
  <si>
    <t>ARAJASEKAR@csc.com</t>
  </si>
  <si>
    <t>IKHAN28</t>
  </si>
  <si>
    <t>IKHAN28@csc.com</t>
  </si>
  <si>
    <t>PSAXENA22</t>
  </si>
  <si>
    <t>PSAXENA22@csc.com</t>
  </si>
  <si>
    <t>BTHOMAS44</t>
  </si>
  <si>
    <t>BTHOMAS44@csc.com</t>
  </si>
  <si>
    <t>CVERMA3</t>
  </si>
  <si>
    <t>CVERMA3@csc.com</t>
  </si>
  <si>
    <t>LTANEJA</t>
  </si>
  <si>
    <t>LTANEJA@csc.com</t>
  </si>
  <si>
    <t>VSRIVASTAV26</t>
  </si>
  <si>
    <t>HKUMAR39</t>
  </si>
  <si>
    <t>ASHARMA354</t>
  </si>
  <si>
    <t>DBHUIYA</t>
  </si>
  <si>
    <t>ddebsharma</t>
  </si>
  <si>
    <t>ddebsharma@csc.com</t>
  </si>
  <si>
    <t>vselvaraj8</t>
  </si>
  <si>
    <t>vselvaraj8@csc.com</t>
  </si>
  <si>
    <t>smadnani</t>
  </si>
  <si>
    <t>smadnani@csc.com</t>
  </si>
  <si>
    <t>hkumar41</t>
  </si>
  <si>
    <t>hkumar41@csc.com</t>
  </si>
  <si>
    <t>wempati3</t>
  </si>
  <si>
    <t>wempati3@csc.com</t>
  </si>
  <si>
    <t>averma82</t>
  </si>
  <si>
    <t>averma82@csc.com</t>
  </si>
  <si>
    <t>RSINGHAL6</t>
  </si>
  <si>
    <t>RSINGHAL6@csc.com</t>
  </si>
  <si>
    <t>VCHELLADURA3</t>
  </si>
  <si>
    <t>VCHELLADURA3@csc.com</t>
  </si>
  <si>
    <t xml:space="preserve">rsahu9 </t>
  </si>
  <si>
    <t>rsahu9@csc.com</t>
  </si>
  <si>
    <t>NSHARMA74</t>
  </si>
  <si>
    <t>NSHARMA74@csc.com</t>
  </si>
  <si>
    <t>MMISHRA34</t>
  </si>
  <si>
    <t>MMISHRA34@csc.com</t>
  </si>
  <si>
    <t>SOZA3</t>
  </si>
  <si>
    <t>SOZA3@csc.com</t>
  </si>
  <si>
    <t>MSONI7</t>
  </si>
  <si>
    <t>MSONI7@csc.com</t>
  </si>
  <si>
    <t>vyuvaraj</t>
  </si>
  <si>
    <t>vyuvaraj@csc.com</t>
  </si>
  <si>
    <t>sfouzia</t>
  </si>
  <si>
    <t>sfouzia@csc.com</t>
  </si>
  <si>
    <t>masad</t>
  </si>
  <si>
    <t>masad@csc.com</t>
  </si>
  <si>
    <t>achaudhary23</t>
  </si>
  <si>
    <t>achaudhary23@csc.com</t>
  </si>
  <si>
    <t>MPALRAJ</t>
  </si>
  <si>
    <t>MPALRAJ@csc.com</t>
  </si>
  <si>
    <t>ngokara</t>
  </si>
  <si>
    <t>ngokara@csc.com</t>
  </si>
  <si>
    <t>sthangavel6</t>
  </si>
  <si>
    <t>sthangavel6@csc.com</t>
  </si>
  <si>
    <t>AMOHANTY8</t>
  </si>
  <si>
    <t>AMOHANTY8@csc.com</t>
  </si>
  <si>
    <t>RSWAROOP</t>
  </si>
  <si>
    <t>ARANGALA</t>
  </si>
  <si>
    <t>ARANGALA@csc.com</t>
  </si>
  <si>
    <t>rgautam4</t>
  </si>
  <si>
    <t>rgautam4@csc.com</t>
  </si>
  <si>
    <t>VGALANDE</t>
  </si>
  <si>
    <t>VGALANDE@csc.com</t>
  </si>
  <si>
    <t>VVINODKUMARS</t>
  </si>
  <si>
    <t>VVINODKUMARS@csc.com</t>
  </si>
  <si>
    <t>RCHANDRASHE3</t>
  </si>
  <si>
    <t>RCHANDRASHE3@csc.com</t>
  </si>
  <si>
    <t>VSATHYANARA2</t>
  </si>
  <si>
    <t>VSATHYANARA2@csc.com</t>
  </si>
  <si>
    <t>SDEGA</t>
  </si>
  <si>
    <t>SDEGA@csc.com</t>
  </si>
  <si>
    <t>VKOTAGIRI</t>
  </si>
  <si>
    <t>VKOTAGIRI@csc.com</t>
  </si>
  <si>
    <t>Sjayakumar5</t>
  </si>
  <si>
    <t>Sjayakumar5@csc.com</t>
  </si>
  <si>
    <t>vnanduri</t>
  </si>
  <si>
    <t>Kakhil</t>
  </si>
  <si>
    <t>Kakhil@csc.com</t>
  </si>
  <si>
    <t>pkatravullap</t>
  </si>
  <si>
    <t>pkatravullap@csc.com</t>
  </si>
  <si>
    <t>vsharma46</t>
  </si>
  <si>
    <t>vsharma46@csc.com</t>
  </si>
  <si>
    <t>Ddoshi</t>
  </si>
  <si>
    <t>Ddoshi@csc.com</t>
  </si>
  <si>
    <t>JMohapatra3</t>
  </si>
  <si>
    <t>JMohapatra3@csc.com</t>
  </si>
  <si>
    <t>kmallel</t>
  </si>
  <si>
    <t>kmallel@csc.com</t>
  </si>
  <si>
    <t>gdwivedi7</t>
  </si>
  <si>
    <t>gdwivedi7@csc.com</t>
  </si>
  <si>
    <t>skumar293</t>
  </si>
  <si>
    <t>skumar293@csc.com</t>
  </si>
  <si>
    <t>svinod2</t>
  </si>
  <si>
    <t>svinod2@csc.com</t>
  </si>
  <si>
    <t>MMOHSINKOLAR</t>
  </si>
  <si>
    <t>MMOHSINKOLAR@csc.com</t>
  </si>
  <si>
    <t>NABRAHAM</t>
  </si>
  <si>
    <t>SSEKAR27</t>
  </si>
  <si>
    <t>sarumugam30</t>
  </si>
  <si>
    <t>sarumugam30@csc.com</t>
  </si>
  <si>
    <t>ganchal</t>
  </si>
  <si>
    <t>ganchal@csc.com</t>
  </si>
  <si>
    <t>rverma23</t>
  </si>
  <si>
    <t>rverma23@csc.com</t>
  </si>
  <si>
    <t>sshivkumarsh</t>
  </si>
  <si>
    <t>sshivkumarsh@csc.com</t>
  </si>
  <si>
    <t>rsadanandan</t>
  </si>
  <si>
    <t>rsadanandan@csc.com</t>
  </si>
  <si>
    <t>ShortID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</si>
  <si>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</si>
  <si>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</si>
  <si>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</si>
  <si>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</si>
  <si>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</si>
  <si>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</si>
  <si>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</si>
  <si>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</si>
  <si>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</si>
  <si>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</si>
  <si>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</si>
  <si>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</si>
  <si>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</si>
  <si>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</si>
  <si>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</si>
  <si>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</si>
  <si>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D%$&amp;01_00f208c49f30469ab9275e26d24e7a5e</t>
  </si>
  <si>
    <t>Model AUC based on Test Set</t>
  </si>
  <si>
    <t>Target</t>
  </si>
  <si>
    <t>Highest AUC</t>
  </si>
  <si>
    <t>Decision Tree</t>
  </si>
  <si>
    <t>Ada Boosting</t>
  </si>
  <si>
    <t>Random Forest</t>
  </si>
  <si>
    <t>Logistic Regression</t>
  </si>
  <si>
    <t>Highest Algorithm</t>
  </si>
  <si>
    <t>POD Manager</t>
  </si>
  <si>
    <t>mencabonavaz</t>
  </si>
  <si>
    <t>SSHARMA251</t>
  </si>
  <si>
    <t>RSAHU9</t>
  </si>
  <si>
    <t>VBHARDWAJ3</t>
  </si>
  <si>
    <t>Region 2</t>
  </si>
  <si>
    <t>MBC US</t>
  </si>
  <si>
    <t>Hyderabad</t>
  </si>
  <si>
    <t>Noida</t>
  </si>
  <si>
    <t>4 levels</t>
  </si>
  <si>
    <t>5 levels</t>
  </si>
  <si>
    <t>2 levels</t>
  </si>
  <si>
    <t>Classes</t>
  </si>
  <si>
    <t>Variable</t>
  </si>
  <si>
    <t>Accuracy Rate</t>
  </si>
  <si>
    <t>Boosting</t>
  </si>
  <si>
    <t>Highest Accuracy Rate</t>
  </si>
  <si>
    <t>GLM</t>
  </si>
  <si>
    <t xml:space="preserve">       MeanDecreaseAccuracy MeanDecreaseGini</t>
  </si>
  <si>
    <t>Region            2.8913996         6.264071</t>
  </si>
  <si>
    <t>Wave              0.9680916         2.473667</t>
  </si>
  <si>
    <t>Color             2.7976606         7.904551</t>
  </si>
  <si>
    <t>Q2               24.5574174        18.865745</t>
  </si>
  <si>
    <t>Q3               15.6590556        11.105277</t>
  </si>
  <si>
    <t>Q4               13.4714630         9.644384</t>
  </si>
  <si>
    <t>Q5               14.3410333         3.743212</t>
  </si>
  <si>
    <t>Q6                1.0353291         2.366613</t>
  </si>
  <si>
    <t>Q7                7.5592374         3.867629</t>
  </si>
  <si>
    <t>Q8                2.1499834         2.263058</t>
  </si>
  <si>
    <t>Q9               12.1376821         5.467772</t>
  </si>
  <si>
    <t>Q10              12.2501226         3.664622</t>
  </si>
  <si>
    <t>Q11              14.7783035         9.942841</t>
  </si>
  <si>
    <t>Q13               2.4814440         4.008014</t>
  </si>
  <si>
    <t>Q14               7.7680248         4.087059</t>
  </si>
  <si>
    <t>Q15               4.1496597         3.449170</t>
  </si>
  <si>
    <t>Q16               7.6148793         3.406402</t>
  </si>
  <si>
    <t>MeanDecreaseAccuracy</t>
  </si>
  <si>
    <t>1st Quartile</t>
  </si>
  <si>
    <t>2nd Quartile</t>
  </si>
  <si>
    <t>3rd Quartile</t>
  </si>
  <si>
    <t>Influence</t>
  </si>
  <si>
    <t>1st</t>
  </si>
  <si>
    <t>2nd</t>
  </si>
  <si>
    <t>3rd</t>
  </si>
  <si>
    <t>4th</t>
  </si>
  <si>
    <t>5th</t>
  </si>
  <si>
    <t xml:space="preserve">    Color No Yes Yes.Prop Question</t>
  </si>
  <si>
    <t>1    Blue 27  92    77.31        1</t>
  </si>
  <si>
    <t>2   Brown  8   9    52.94        1</t>
  </si>
  <si>
    <t>3  Orange 35 110    75.86        1</t>
  </si>
  <si>
    <t>4  Purple 29 174    85.71        1</t>
  </si>
  <si>
    <t>5  Yellow 32 184    85.19        1</t>
  </si>
  <si>
    <t>6    Blue 27  92    77.31        2</t>
  </si>
  <si>
    <t>7   Brown  9   8    47.06        2</t>
  </si>
  <si>
    <t>8  Orange 44 101    69.66        2</t>
  </si>
  <si>
    <t>9  Purple 36 167    82.27        2</t>
  </si>
  <si>
    <t>10 Yellow 30 186    86.11        2</t>
  </si>
  <si>
    <t>11   Blue 35  84    70.59        3</t>
  </si>
  <si>
    <t>12  Brown  8   9    52.94        3</t>
  </si>
  <si>
    <t>13 Orange 45 100    68.97        3</t>
  </si>
  <si>
    <t>14 Purple 58 145    71.43        3</t>
  </si>
  <si>
    <t>15 Yellow 49 167    77.31        3</t>
  </si>
  <si>
    <t>16   Blue 39  80    67.23        4</t>
  </si>
  <si>
    <t>17  Brown  9   8    47.06        4</t>
  </si>
  <si>
    <t>18 Orange 46  99    68.28        4</t>
  </si>
  <si>
    <t>19 Purple 60 143    70.44        4</t>
  </si>
  <si>
    <t>20 Yellow 48 168    77.78        4</t>
  </si>
  <si>
    <t>21   Blue 26  93    78.15        5</t>
  </si>
  <si>
    <t>22  Brown  7  10    58.82        5</t>
  </si>
  <si>
    <t>23 Orange 32 113    77.93        5</t>
  </si>
  <si>
    <t>24 Purple 32 171    84.24        5</t>
  </si>
  <si>
    <t>25 Yellow 40 176    81.48        5</t>
  </si>
  <si>
    <t>26   Blue 21  98    82.35        6</t>
  </si>
  <si>
    <t>27  Brown  5  12    70.59        6</t>
  </si>
  <si>
    <t>28 Orange 35 110    75.86        6</t>
  </si>
  <si>
    <t>29 Purple 29 174    85.71        6</t>
  </si>
  <si>
    <t>30 Yellow 26 190    87.96        6</t>
  </si>
  <si>
    <t>31   Blue 44  75    63.03        7</t>
  </si>
  <si>
    <t>32  Brown  9   8    47.06        7</t>
  </si>
  <si>
    <t>33 Orange 55  90    62.07        7</t>
  </si>
  <si>
    <t>34 Purple 56 147    72.41        7</t>
  </si>
  <si>
    <t>35 Yellow 54 162    75.00        7</t>
  </si>
  <si>
    <t>36   Blue 29  90    75.63        8</t>
  </si>
  <si>
    <t>37  Brown  6  11    64.71        8</t>
  </si>
  <si>
    <t>38 Orange 42 103    71.03        8</t>
  </si>
  <si>
    <t>39 Purple 37 166    81.77        8</t>
  </si>
  <si>
    <t>40 Yellow 34 182    84.26        8</t>
  </si>
  <si>
    <t>41   Blue 33  86    72.27        9</t>
  </si>
  <si>
    <t>42  Brown  7  10    58.82        9</t>
  </si>
  <si>
    <t>43 Orange 40 105    72.41        9</t>
  </si>
  <si>
    <t>44 Purple 45 158    77.83        9</t>
  </si>
  <si>
    <t>45 Yellow 26 190    87.96        9</t>
  </si>
  <si>
    <t>46   Blue 21  98    82.35       10</t>
  </si>
  <si>
    <t>47  Brown  6  11    64.71       10</t>
  </si>
  <si>
    <t>48 Orange 34 111    76.55       10</t>
  </si>
  <si>
    <t>49 Purple 32 171    84.24       10</t>
  </si>
  <si>
    <t>50 Yellow 20 196    90.74       10</t>
  </si>
  <si>
    <t>51   Blue 19 100    84.03       11</t>
  </si>
  <si>
    <t>52  Brown  5  12    70.59       11</t>
  </si>
  <si>
    <t>53 Orange 32 113    77.93       11</t>
  </si>
  <si>
    <t>54 Purple 24 179    88.18       11</t>
  </si>
  <si>
    <t>55 Yellow 17 199    92.13       11</t>
  </si>
  <si>
    <t>56   Blue  8 111    93.28       12</t>
  </si>
  <si>
    <t>57  Brown  2  15    88.24       12</t>
  </si>
  <si>
    <t>58 Orange 22 123    84.83       12</t>
  </si>
  <si>
    <t>59 Purple 11 192    94.58       12</t>
  </si>
  <si>
    <t>60 Yellow 18 198    91.67       12</t>
  </si>
  <si>
    <t>61   Blue 36  83    69.75       13</t>
  </si>
  <si>
    <t>62  Brown  9   8    47.06       13</t>
  </si>
  <si>
    <t>63 Orange 46  99    68.28       13</t>
  </si>
  <si>
    <t>64 Purple 51 152    74.88       13</t>
  </si>
  <si>
    <t>65 Yellow 56 160    74.07       13</t>
  </si>
  <si>
    <t>66   Blue 38  81    68.07       14</t>
  </si>
  <si>
    <t>67  Brown  8   9    52.94       14</t>
  </si>
  <si>
    <t>68 Orange 46  99    68.28       14</t>
  </si>
  <si>
    <t>69 Purple 41 162    79.80       14</t>
  </si>
  <si>
    <t>70 Yellow 42 174    80.56       14</t>
  </si>
  <si>
    <t>71   Blue 21  98    82.35       15</t>
  </si>
  <si>
    <t>72  Brown  3  14    82.35       15</t>
  </si>
  <si>
    <t>73 Orange 33 112    77.24       15</t>
  </si>
  <si>
    <t>74 Purple 33 170    83.74       15</t>
  </si>
  <si>
    <t>75 Yellow 29 187    86.57       15</t>
  </si>
  <si>
    <t>76   Blue 52  67    56.30       16</t>
  </si>
  <si>
    <t>77  Brown 12   5    29.41       16</t>
  </si>
  <si>
    <t>78 Orange 49  96    66.21       16</t>
  </si>
  <si>
    <t>79 Purple 71 132    65.02       16</t>
  </si>
  <si>
    <t>80 Yellow 63 153    70.83       16</t>
  </si>
  <si>
    <t>Yes.Prop</t>
  </si>
  <si>
    <t>Question</t>
  </si>
  <si>
    <t>MeanDecreaseGini</t>
  </si>
  <si>
    <t>Role Modelling</t>
  </si>
  <si>
    <t>Fostering Understanding and Commitment</t>
  </si>
  <si>
    <t>Developing Talent and Skills</t>
  </si>
  <si>
    <t>Reinforcing with Formal Mechanisms</t>
  </si>
  <si>
    <t>Additional Categories</t>
  </si>
  <si>
    <t xml:space="preserve">          No   Yes MeanDecreaseAccuracy MeanDecreaseGini</t>
  </si>
  <si>
    <t>Sum</t>
  </si>
  <si>
    <t>Q1 = 92.22%</t>
  </si>
  <si>
    <t>Q3 = 91.45%</t>
  </si>
  <si>
    <t>Q4 = 94.04%</t>
  </si>
  <si>
    <t>Q5 = 91.46%</t>
  </si>
  <si>
    <t>Q13 = 90.99%</t>
  </si>
  <si>
    <t>Q13    41.20 75.93                82.29            27.85</t>
  </si>
  <si>
    <t>Q14    17.07 32.79                37.67            13.70</t>
  </si>
  <si>
    <t>Q3     17.53 23.18                30.06             9.47</t>
  </si>
  <si>
    <t>Q4     17.28 14.23                21.70            13.05</t>
  </si>
  <si>
    <t>Q9     17.27  7.49                18.39             6.65</t>
  </si>
  <si>
    <t>Q7      5.13 16.62                17.62             6.72</t>
  </si>
  <si>
    <t>Region  6.95 14.60                16.52             8.47</t>
  </si>
  <si>
    <t>Q2     12.47  9.37                15.94             5.35</t>
  </si>
  <si>
    <t>Q1     10.78 10.63                15.48             5.11</t>
  </si>
  <si>
    <t>Color  11.02  9.98                15.13            10.90</t>
  </si>
  <si>
    <t>Q15    11.59  9.21                14.65             4.30</t>
  </si>
  <si>
    <t>Q5      1.31 13.12                13.59             3.07</t>
  </si>
  <si>
    <t>Q8      4.04  9.84                11.59             2.78</t>
  </si>
  <si>
    <t>Q6     -0.26 12.43                10.96             2.96</t>
  </si>
  <si>
    <t>Q10     6.54  7.71                10.56             2.28</t>
  </si>
  <si>
    <t>Q12    -2.11  9.13                 8.00             1.96</t>
  </si>
  <si>
    <t>Q11     2.79  2.96                 4.22             1.64</t>
  </si>
  <si>
    <t>Wave    6.28 -3.09                 2.74             3.02</t>
  </si>
  <si>
    <t>Q16 = 91.17%</t>
  </si>
  <si>
    <t>Adrian S Cuyugan_7143_CSC_Windows (32-bit) NT 6.01_ESMPJ1-084_acuyugan$$$27032015</t>
  </si>
  <si>
    <t>"h_l!64617"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</si>
</sst>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4D4D4C"/>
      <name val="Consolas"/>
      <family val="3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4D4D4C"/>
      <name val="Consolas"/>
      <family val="3"/>
    </font>
    <font>
      <b/>
      <sz val="8"/>
      <color theme="4"/>
      <name val="Calibri"/>
      <family val="2"/>
      <scheme val="minor"/>
    </font>
    <font>
      <b/>
      <sz val="8"/>
      <color theme="6"/>
      <name val="Calibri"/>
      <family val="2"/>
      <scheme val="minor"/>
    </font>
    <font>
      <b/>
      <sz val="8"/>
      <color theme="7"/>
      <name val="Calibri"/>
      <family val="2"/>
      <scheme val="minor"/>
    </font>
    <font>
      <b/>
      <sz val="8"/>
      <color theme="8"/>
      <name val="Calibri"/>
      <family val="2"/>
      <scheme val="minor"/>
    </font>
    <font>
      <b/>
      <sz val="8"/>
      <color theme="9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18" fillId="33" borderId="0" xfId="0" applyFont="1" applyFill="1" applyAlignment="1">
      <alignment wrapText="1"/>
    </xf>
    <xf numFmtId="0" fontId="18" fillId="33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9" fontId="18" fillId="0" borderId="0" xfId="0" applyNumberFormat="1" applyFont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0" fontId="0" fillId="0" borderId="11" xfId="0" applyBorder="1"/>
    <xf numFmtId="0" fontId="0" fillId="0" borderId="11" xfId="0" applyFont="1" applyFill="1" applyBorder="1" applyAlignment="1">
      <alignment horizontal="left"/>
    </xf>
    <xf numFmtId="0" fontId="16" fillId="0" borderId="11" xfId="0" applyFont="1" applyBorder="1"/>
    <xf numFmtId="0" fontId="16" fillId="0" borderId="11" xfId="0" applyFont="1" applyFill="1" applyBorder="1"/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33" borderId="0" xfId="0" applyFont="1" applyFill="1" applyBorder="1" applyAlignment="1">
      <alignment horizontal="center" vertical="center"/>
    </xf>
    <xf numFmtId="0" fontId="19" fillId="33" borderId="0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9" fontId="0" fillId="0" borderId="0" xfId="0" applyNumberFormat="1"/>
    <xf numFmtId="22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4" fontId="18" fillId="0" borderId="0" xfId="0" applyNumberFormat="1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9" fillId="35" borderId="0" xfId="0" applyFont="1" applyFill="1" applyAlignment="1">
      <alignment vertical="center"/>
    </xf>
    <xf numFmtId="0" fontId="19" fillId="36" borderId="0" xfId="0" applyFont="1" applyFill="1" applyAlignment="1">
      <alignment vertical="center"/>
    </xf>
    <xf numFmtId="0" fontId="18" fillId="0" borderId="0" xfId="0" applyFont="1"/>
    <xf numFmtId="164" fontId="19" fillId="0" borderId="0" xfId="0" applyNumberFormat="1" applyFont="1" applyAlignment="1">
      <alignment horizontal="center" vertical="center"/>
    </xf>
    <xf numFmtId="0" fontId="0" fillId="0" borderId="0" xfId="0" applyFont="1" applyFill="1" applyBorder="1" applyAlignment="1">
      <alignment horizontal="left"/>
    </xf>
    <xf numFmtId="0" fontId="0" fillId="0" borderId="0" xfId="0" applyBorder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4" fontId="20" fillId="0" borderId="0" xfId="42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1" fillId="0" borderId="0" xfId="42" applyNumberFormat="1" applyFont="1" applyAlignment="1">
      <alignment horizontal="center" vertical="center"/>
    </xf>
    <xf numFmtId="164" fontId="20" fillId="0" borderId="0" xfId="0" applyNumberFormat="1" applyFont="1" applyAlignment="1">
      <alignment horizontal="left" vertical="center"/>
    </xf>
    <xf numFmtId="0" fontId="19" fillId="35" borderId="0" xfId="0" applyFont="1" applyFill="1" applyAlignment="1">
      <alignment horizontal="center" vertical="center" wrapText="1"/>
    </xf>
    <xf numFmtId="2" fontId="0" fillId="0" borderId="0" xfId="0" applyNumberFormat="1"/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2" fontId="23" fillId="0" borderId="0" xfId="0" applyNumberFormat="1" applyFont="1"/>
    <xf numFmtId="0" fontId="18" fillId="37" borderId="0" xfId="0" applyFont="1" applyFill="1" applyAlignment="1">
      <alignment vertical="top" wrapText="1"/>
    </xf>
    <xf numFmtId="0" fontId="18" fillId="38" borderId="0" xfId="0" applyFont="1" applyFill="1" applyAlignment="1">
      <alignment vertical="top" wrapText="1"/>
    </xf>
    <xf numFmtId="0" fontId="18" fillId="39" borderId="0" xfId="0" applyFont="1" applyFill="1" applyAlignment="1">
      <alignment vertical="top" wrapText="1"/>
    </xf>
    <xf numFmtId="0" fontId="18" fillId="40" borderId="0" xfId="0" applyFont="1" applyFill="1" applyAlignment="1">
      <alignment vertical="top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horizontal="center" wrapText="1"/>
    </xf>
    <xf numFmtId="0" fontId="23" fillId="0" borderId="0" xfId="0" applyNumberFormat="1" applyFont="1" applyAlignment="1">
      <alignment horizontal="center"/>
    </xf>
    <xf numFmtId="0" fontId="23" fillId="0" borderId="0" xfId="0" applyNumberFormat="1" applyFont="1"/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21" fillId="0" borderId="0" xfId="42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0" fontId="0" fillId="0" borderId="0" xfId="42" applyNumberFormat="1" applyFont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37">
    <dxf>
      <font>
        <color rgb="FF9C0006"/>
      </font>
      <fill>
        <patternFill>
          <bgColor rgb="FFFFC7CE"/>
        </patternFill>
      </fill>
    </dxf>
    <dxf>
      <fill>
        <patternFill>
          <bgColor rgb="FFFFCC99"/>
        </patternFill>
      </fill>
    </dxf>
    <dxf>
      <font>
        <color auto="1"/>
      </font>
      <fill>
        <patternFill>
          <bgColor rgb="FFFF999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C99"/>
        </patternFill>
      </fill>
    </dxf>
    <dxf>
      <font>
        <color auto="1"/>
      </font>
      <fill>
        <patternFill>
          <bgColor rgb="FFFF999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</font>
    </dxf>
    <dxf>
      <font>
        <strike/>
      </font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49998474074526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C99"/>
        </patternFill>
      </fill>
    </dxf>
    <dxf>
      <font>
        <color auto="1"/>
      </font>
      <fill>
        <patternFill>
          <bgColor rgb="FFFF9999"/>
        </patternFill>
      </fill>
    </dxf>
    <dxf>
      <font>
        <strike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3300"/>
      <color rgb="FFFFCC00"/>
      <color rgb="FFFFFF99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Sheet3!$G$2</c:f>
              <c:strCache>
                <c:ptCount val="1"/>
                <c:pt idx="0">
                  <c:v>Blue</c:v>
                </c:pt>
              </c:strCache>
            </c:strRef>
          </c:tx>
          <c:spPr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Sheet3!$L$2:$L$17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Sheet3!$K$2:$K$17</c:f>
              <c:numCache>
                <c:formatCode>General</c:formatCode>
                <c:ptCount val="16"/>
                <c:pt idx="0">
                  <c:v>77.31</c:v>
                </c:pt>
                <c:pt idx="1">
                  <c:v>77.31</c:v>
                </c:pt>
                <c:pt idx="2">
                  <c:v>70.59</c:v>
                </c:pt>
                <c:pt idx="3">
                  <c:v>67.23</c:v>
                </c:pt>
                <c:pt idx="4">
                  <c:v>78.150000000000006</c:v>
                </c:pt>
                <c:pt idx="5">
                  <c:v>82.35</c:v>
                </c:pt>
                <c:pt idx="6">
                  <c:v>63.03</c:v>
                </c:pt>
                <c:pt idx="7">
                  <c:v>75.63</c:v>
                </c:pt>
                <c:pt idx="8">
                  <c:v>72.27</c:v>
                </c:pt>
                <c:pt idx="9">
                  <c:v>82.35</c:v>
                </c:pt>
                <c:pt idx="10">
                  <c:v>84.03</c:v>
                </c:pt>
                <c:pt idx="11">
                  <c:v>93.28</c:v>
                </c:pt>
                <c:pt idx="12">
                  <c:v>69.75</c:v>
                </c:pt>
                <c:pt idx="13">
                  <c:v>68.069999999999993</c:v>
                </c:pt>
                <c:pt idx="14">
                  <c:v>82.35</c:v>
                </c:pt>
                <c:pt idx="15">
                  <c:v>56.3</c:v>
                </c:pt>
              </c:numCache>
            </c:numRef>
          </c:val>
        </c:ser>
        <c:ser>
          <c:idx val="1"/>
          <c:order val="1"/>
          <c:tx>
            <c:strRef>
              <c:f>Sheet3!$G$18</c:f>
              <c:strCache>
                <c:ptCount val="1"/>
                <c:pt idx="0">
                  <c:v>Brown</c:v>
                </c:pt>
              </c:strCache>
            </c:strRef>
          </c:tx>
          <c:spPr>
            <a:ln w="9525" cap="flat" cmpd="sng" algn="ctr">
              <a:solidFill>
                <a:srgbClr val="66330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Sheet3!$K$18:$K$33</c:f>
              <c:numCache>
                <c:formatCode>General</c:formatCode>
                <c:ptCount val="16"/>
                <c:pt idx="0">
                  <c:v>52.94</c:v>
                </c:pt>
                <c:pt idx="1">
                  <c:v>47.06</c:v>
                </c:pt>
                <c:pt idx="2">
                  <c:v>52.94</c:v>
                </c:pt>
                <c:pt idx="3">
                  <c:v>47.06</c:v>
                </c:pt>
                <c:pt idx="4">
                  <c:v>58.82</c:v>
                </c:pt>
                <c:pt idx="5">
                  <c:v>70.59</c:v>
                </c:pt>
                <c:pt idx="6">
                  <c:v>47.06</c:v>
                </c:pt>
                <c:pt idx="7">
                  <c:v>64.709999999999994</c:v>
                </c:pt>
                <c:pt idx="8">
                  <c:v>58.82</c:v>
                </c:pt>
                <c:pt idx="9">
                  <c:v>64.709999999999994</c:v>
                </c:pt>
                <c:pt idx="10">
                  <c:v>70.59</c:v>
                </c:pt>
                <c:pt idx="11">
                  <c:v>88.24</c:v>
                </c:pt>
                <c:pt idx="12">
                  <c:v>47.06</c:v>
                </c:pt>
                <c:pt idx="13">
                  <c:v>52.94</c:v>
                </c:pt>
                <c:pt idx="14">
                  <c:v>82.35</c:v>
                </c:pt>
                <c:pt idx="15">
                  <c:v>29.41</c:v>
                </c:pt>
              </c:numCache>
            </c:numRef>
          </c:val>
        </c:ser>
        <c:ser>
          <c:idx val="2"/>
          <c:order val="2"/>
          <c:tx>
            <c:strRef>
              <c:f>Sheet3!$G$34</c:f>
              <c:strCache>
                <c:ptCount val="1"/>
                <c:pt idx="0">
                  <c:v>Orange</c:v>
                </c:pt>
              </c:strCache>
            </c:strRef>
          </c:tx>
          <c:spPr>
            <a:ln w="9525" cap="flat" cmpd="sng" algn="ctr">
              <a:solidFill>
                <a:schemeClr val="accent6">
                  <a:lumMod val="7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Sheet3!$K$34:$K$49</c:f>
              <c:numCache>
                <c:formatCode>General</c:formatCode>
                <c:ptCount val="16"/>
                <c:pt idx="0">
                  <c:v>75.86</c:v>
                </c:pt>
                <c:pt idx="1">
                  <c:v>69.66</c:v>
                </c:pt>
                <c:pt idx="2">
                  <c:v>68.97</c:v>
                </c:pt>
                <c:pt idx="3">
                  <c:v>68.28</c:v>
                </c:pt>
                <c:pt idx="4">
                  <c:v>77.930000000000007</c:v>
                </c:pt>
                <c:pt idx="5">
                  <c:v>75.86</c:v>
                </c:pt>
                <c:pt idx="6">
                  <c:v>62.07</c:v>
                </c:pt>
                <c:pt idx="7">
                  <c:v>71.03</c:v>
                </c:pt>
                <c:pt idx="8">
                  <c:v>72.41</c:v>
                </c:pt>
                <c:pt idx="9">
                  <c:v>76.55</c:v>
                </c:pt>
                <c:pt idx="10">
                  <c:v>77.930000000000007</c:v>
                </c:pt>
                <c:pt idx="11">
                  <c:v>84.83</c:v>
                </c:pt>
                <c:pt idx="12">
                  <c:v>68.28</c:v>
                </c:pt>
                <c:pt idx="13">
                  <c:v>68.28</c:v>
                </c:pt>
                <c:pt idx="14">
                  <c:v>77.239999999999995</c:v>
                </c:pt>
                <c:pt idx="15">
                  <c:v>66.209999999999994</c:v>
                </c:pt>
              </c:numCache>
            </c:numRef>
          </c:val>
        </c:ser>
        <c:ser>
          <c:idx val="3"/>
          <c:order val="3"/>
          <c:tx>
            <c:strRef>
              <c:f>Sheet3!$G$50</c:f>
              <c:strCache>
                <c:ptCount val="1"/>
                <c:pt idx="0">
                  <c:v>Purple</c:v>
                </c:pt>
              </c:strCache>
            </c:strRef>
          </c:tx>
          <c:spPr>
            <a:ln w="9525" cap="flat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Sheet3!$K$50:$K$65</c:f>
              <c:numCache>
                <c:formatCode>General</c:formatCode>
                <c:ptCount val="16"/>
                <c:pt idx="0">
                  <c:v>85.71</c:v>
                </c:pt>
                <c:pt idx="1">
                  <c:v>82.27</c:v>
                </c:pt>
                <c:pt idx="2">
                  <c:v>71.430000000000007</c:v>
                </c:pt>
                <c:pt idx="3">
                  <c:v>70.44</c:v>
                </c:pt>
                <c:pt idx="4">
                  <c:v>84.24</c:v>
                </c:pt>
                <c:pt idx="5">
                  <c:v>85.71</c:v>
                </c:pt>
                <c:pt idx="6">
                  <c:v>72.41</c:v>
                </c:pt>
                <c:pt idx="7">
                  <c:v>81.77</c:v>
                </c:pt>
                <c:pt idx="8">
                  <c:v>77.83</c:v>
                </c:pt>
                <c:pt idx="9">
                  <c:v>84.24</c:v>
                </c:pt>
                <c:pt idx="10">
                  <c:v>88.18</c:v>
                </c:pt>
                <c:pt idx="11">
                  <c:v>94.58</c:v>
                </c:pt>
                <c:pt idx="12">
                  <c:v>74.88</c:v>
                </c:pt>
                <c:pt idx="13">
                  <c:v>79.8</c:v>
                </c:pt>
                <c:pt idx="14">
                  <c:v>83.74</c:v>
                </c:pt>
                <c:pt idx="15">
                  <c:v>65.02</c:v>
                </c:pt>
              </c:numCache>
            </c:numRef>
          </c:val>
        </c:ser>
        <c:ser>
          <c:idx val="4"/>
          <c:order val="4"/>
          <c:tx>
            <c:strRef>
              <c:f>Sheet3!$G$66</c:f>
              <c:strCache>
                <c:ptCount val="1"/>
                <c:pt idx="0">
                  <c:v>Yellow</c:v>
                </c:pt>
              </c:strCache>
            </c:strRef>
          </c:tx>
          <c:spPr>
            <a:ln w="9525" cap="flat" cmpd="sng" algn="ctr">
              <a:solidFill>
                <a:srgbClr val="FFCC0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Sheet3!$K$66:$K$81</c:f>
              <c:numCache>
                <c:formatCode>General</c:formatCode>
                <c:ptCount val="16"/>
                <c:pt idx="0">
                  <c:v>85.19</c:v>
                </c:pt>
                <c:pt idx="1">
                  <c:v>86.11</c:v>
                </c:pt>
                <c:pt idx="2">
                  <c:v>77.31</c:v>
                </c:pt>
                <c:pt idx="3">
                  <c:v>77.78</c:v>
                </c:pt>
                <c:pt idx="4">
                  <c:v>81.48</c:v>
                </c:pt>
                <c:pt idx="5">
                  <c:v>87.96</c:v>
                </c:pt>
                <c:pt idx="6">
                  <c:v>75</c:v>
                </c:pt>
                <c:pt idx="7">
                  <c:v>84.26</c:v>
                </c:pt>
                <c:pt idx="8">
                  <c:v>87.96</c:v>
                </c:pt>
                <c:pt idx="9">
                  <c:v>90.74</c:v>
                </c:pt>
                <c:pt idx="10">
                  <c:v>92.13</c:v>
                </c:pt>
                <c:pt idx="11">
                  <c:v>91.67</c:v>
                </c:pt>
                <c:pt idx="12">
                  <c:v>74.069999999999993</c:v>
                </c:pt>
                <c:pt idx="13">
                  <c:v>80.56</c:v>
                </c:pt>
                <c:pt idx="14">
                  <c:v>86.57</c:v>
                </c:pt>
                <c:pt idx="15">
                  <c:v>70.83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78400"/>
        <c:axId val="195088384"/>
      </c:radarChart>
      <c:catAx>
        <c:axId val="1950784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5088384"/>
        <c:crosses val="autoZero"/>
        <c:auto val="1"/>
        <c:lblAlgn val="ctr"/>
        <c:lblOffset val="100"/>
        <c:noMultiLvlLbl val="0"/>
      </c:catAx>
      <c:valAx>
        <c:axId val="195088384"/>
        <c:scaling>
          <c:orientation val="minMax"/>
          <c:max val="100"/>
          <c:min val="2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crossAx val="1950784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Radar!$T$3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Radar!$S$4:$S$21</c:f>
            </c:strRef>
          </c:cat>
          <c:val>
            <c:numRef>
              <c:f>Radar!$T$4:$T$21</c:f>
            </c:numRef>
          </c:val>
        </c:ser>
        <c:ser>
          <c:idx val="1"/>
          <c:order val="1"/>
          <c:tx>
            <c:strRef>
              <c:f>Radar!$U$3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Radar!$S$4:$S$21</c:f>
            </c:strRef>
          </c:cat>
          <c:val>
            <c:numRef>
              <c:f>Radar!$U$4:$U$21</c:f>
            </c:numRef>
          </c:val>
        </c:ser>
        <c:ser>
          <c:idx val="2"/>
          <c:order val="2"/>
          <c:tx>
            <c:strRef>
              <c:f>Radar!$V$3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Radar!$S$4:$S$21</c:f>
            </c:strRef>
          </c:cat>
          <c:val>
            <c:numRef>
              <c:f>Radar!$V$4:$V$21</c:f>
            </c:numRef>
          </c:val>
        </c:ser>
        <c:ser>
          <c:idx val="3"/>
          <c:order val="3"/>
          <c:tx>
            <c:strRef>
              <c:f>Radar!$W$3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Radar!$S$4:$S$21</c:f>
            </c:strRef>
          </c:cat>
          <c:val>
            <c:numRef>
              <c:f>Radar!$W$4:$W$21</c:f>
            </c:numRef>
          </c:val>
        </c:ser>
        <c:ser>
          <c:idx val="4"/>
          <c:order val="4"/>
          <c:tx>
            <c:strRef>
              <c:f>Radar!$X$3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Radar!$S$4:$S$21</c:f>
            </c:strRef>
          </c:cat>
          <c:val>
            <c:numRef>
              <c:f>Radar!$X$4:$X$21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5600"/>
        <c:axId val="54107136"/>
      </c:radarChart>
      <c:catAx>
        <c:axId val="541056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4107136"/>
        <c:crosses val="autoZero"/>
        <c:auto val="1"/>
        <c:lblAlgn val="ctr"/>
        <c:lblOffset val="100"/>
        <c:noMultiLvlLbl val="0"/>
      </c:catAx>
      <c:valAx>
        <c:axId val="541071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410560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Radar!$AA$3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Radar!$Z$4:$Z$21</c:f>
            </c:strRef>
          </c:cat>
          <c:val>
            <c:numRef>
              <c:f>Radar!$AA$4:$AA$21</c:f>
            </c:numRef>
          </c:val>
        </c:ser>
        <c:ser>
          <c:idx val="1"/>
          <c:order val="1"/>
          <c:tx>
            <c:strRef>
              <c:f>Radar!$AB$3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Radar!$AB$4:$AB$21</c:f>
            </c:numRef>
          </c:val>
        </c:ser>
        <c:ser>
          <c:idx val="2"/>
          <c:order val="2"/>
          <c:tx>
            <c:strRef>
              <c:f>Radar!$AC$3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Radar!$AC$4:$AC$21</c:f>
            </c:numRef>
          </c:val>
        </c:ser>
        <c:ser>
          <c:idx val="3"/>
          <c:order val="3"/>
          <c:tx>
            <c:strRef>
              <c:f>Radar!$AD$3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Radar!$AD$4:$AD$21</c:f>
            </c:numRef>
          </c:val>
        </c:ser>
        <c:ser>
          <c:idx val="4"/>
          <c:order val="4"/>
          <c:tx>
            <c:strRef>
              <c:f>Radar!$AE$3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Radar!$AE$4:$AE$21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2208"/>
        <c:axId val="54232192"/>
      </c:radarChart>
      <c:catAx>
        <c:axId val="542222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4232192"/>
        <c:crosses val="autoZero"/>
        <c:auto val="1"/>
        <c:lblAlgn val="ctr"/>
        <c:lblOffset val="100"/>
        <c:noMultiLvlLbl val="0"/>
      </c:catAx>
      <c:valAx>
        <c:axId val="542321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422220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Radar!$AH$3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Radar!$AG$4:$AG$21</c:f>
            </c:strRef>
          </c:cat>
          <c:val>
            <c:numRef>
              <c:f>Radar!$AH$4:$AH$21</c:f>
            </c:numRef>
          </c:val>
        </c:ser>
        <c:ser>
          <c:idx val="1"/>
          <c:order val="1"/>
          <c:tx>
            <c:strRef>
              <c:f>Radar!$AI$3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Radar!$AI$4:$AI$21</c:f>
            </c:numRef>
          </c:val>
        </c:ser>
        <c:ser>
          <c:idx val="2"/>
          <c:order val="2"/>
          <c:tx>
            <c:strRef>
              <c:f>Radar!$AJ$3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Radar!$AJ$4:$AJ$21</c:f>
            </c:numRef>
          </c:val>
        </c:ser>
        <c:ser>
          <c:idx val="3"/>
          <c:order val="3"/>
          <c:tx>
            <c:strRef>
              <c:f>Radar!$AK$3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Radar!$AK$4:$AK$21</c:f>
            </c:numRef>
          </c:val>
        </c:ser>
        <c:ser>
          <c:idx val="4"/>
          <c:order val="4"/>
          <c:tx>
            <c:strRef>
              <c:f>Radar!$AL$3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Radar!$AL$4:$AL$21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6192"/>
        <c:axId val="54150272"/>
      </c:radarChart>
      <c:catAx>
        <c:axId val="541361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4150272"/>
        <c:crosses val="autoZero"/>
        <c:auto val="1"/>
        <c:lblAlgn val="ctr"/>
        <c:lblOffset val="100"/>
        <c:noMultiLvlLbl val="0"/>
      </c:catAx>
      <c:valAx>
        <c:axId val="541502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4136192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Radar!$AO$3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Radar!$AN$4:$AN$21</c:f>
            </c:strRef>
          </c:cat>
          <c:val>
            <c:numRef>
              <c:f>Radar!$AO$4:$AO$21</c:f>
            </c:numRef>
          </c:val>
        </c:ser>
        <c:ser>
          <c:idx val="1"/>
          <c:order val="1"/>
          <c:tx>
            <c:strRef>
              <c:f>Radar!$AP$3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Radar!$AP$4:$AP$21</c:f>
            </c:numRef>
          </c:val>
        </c:ser>
        <c:ser>
          <c:idx val="2"/>
          <c:order val="2"/>
          <c:tx>
            <c:strRef>
              <c:f>Radar!$AQ$3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Radar!$AQ$4:$AQ$21</c:f>
            </c:numRef>
          </c:val>
        </c:ser>
        <c:ser>
          <c:idx val="3"/>
          <c:order val="3"/>
          <c:tx>
            <c:strRef>
              <c:f>Radar!$AR$3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Radar!$AR$4:$AR$21</c:f>
            </c:numRef>
          </c:val>
        </c:ser>
        <c:ser>
          <c:idx val="4"/>
          <c:order val="4"/>
          <c:tx>
            <c:strRef>
              <c:f>Radar!$AS$3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Radar!$AS$4:$AS$21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2400"/>
        <c:axId val="53228288"/>
      </c:radarChart>
      <c:catAx>
        <c:axId val="532224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3228288"/>
        <c:crosses val="autoZero"/>
        <c:auto val="1"/>
        <c:lblAlgn val="ctr"/>
        <c:lblOffset val="100"/>
        <c:noMultiLvlLbl val="0"/>
      </c:catAx>
      <c:valAx>
        <c:axId val="53228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322240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Radar!$AH$3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Radar!$AG$4:$AG$21</c:f>
            </c:strRef>
          </c:cat>
          <c:val>
            <c:numRef>
              <c:f>Radar!$AH$4:$AH$21</c:f>
            </c:numRef>
          </c:val>
        </c:ser>
        <c:ser>
          <c:idx val="1"/>
          <c:order val="1"/>
          <c:tx>
            <c:strRef>
              <c:f>Radar!$AI$3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Radar!$AI$4:$AI$21</c:f>
            </c:numRef>
          </c:val>
        </c:ser>
        <c:ser>
          <c:idx val="2"/>
          <c:order val="2"/>
          <c:tx>
            <c:strRef>
              <c:f>Radar!$AJ$3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Radar!$AJ$4:$AJ$21</c:f>
            </c:numRef>
          </c:val>
        </c:ser>
        <c:ser>
          <c:idx val="3"/>
          <c:order val="3"/>
          <c:tx>
            <c:strRef>
              <c:f>Radar!$AK$3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Radar!$AK$4:$AK$21</c:f>
            </c:numRef>
          </c:val>
        </c:ser>
        <c:ser>
          <c:idx val="4"/>
          <c:order val="4"/>
          <c:tx>
            <c:strRef>
              <c:f>Radar!$AL$3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Radar!$AL$4:$AL$21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94208"/>
        <c:axId val="53295744"/>
      </c:radarChart>
      <c:catAx>
        <c:axId val="532942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3295744"/>
        <c:crosses val="autoZero"/>
        <c:auto val="1"/>
        <c:lblAlgn val="ctr"/>
        <c:lblOffset val="100"/>
        <c:noMultiLvlLbl val="0"/>
      </c:catAx>
      <c:valAx>
        <c:axId val="532957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329420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Radar!$AA$3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Radar!$Z$4:$Z$21</c:f>
            </c:strRef>
          </c:cat>
          <c:val>
            <c:numRef>
              <c:f>Radar!$AA$4:$AA$21</c:f>
            </c:numRef>
          </c:val>
        </c:ser>
        <c:ser>
          <c:idx val="1"/>
          <c:order val="1"/>
          <c:tx>
            <c:strRef>
              <c:f>Radar!$AB$3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Radar!$AB$4:$AB$21</c:f>
            </c:numRef>
          </c:val>
        </c:ser>
        <c:ser>
          <c:idx val="2"/>
          <c:order val="2"/>
          <c:tx>
            <c:strRef>
              <c:f>Radar!$AC$3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Radar!$AC$4:$AC$21</c:f>
            </c:numRef>
          </c:val>
        </c:ser>
        <c:ser>
          <c:idx val="3"/>
          <c:order val="3"/>
          <c:tx>
            <c:strRef>
              <c:f>Radar!$AD$3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Radar!$AD$4:$AD$21</c:f>
            </c:numRef>
          </c:val>
        </c:ser>
        <c:ser>
          <c:idx val="4"/>
          <c:order val="4"/>
          <c:tx>
            <c:strRef>
              <c:f>Radar!$AE$3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Radar!$AE$4:$AE$21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43360"/>
        <c:axId val="53344896"/>
      </c:radarChart>
      <c:catAx>
        <c:axId val="533433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3344896"/>
        <c:crosses val="autoZero"/>
        <c:auto val="1"/>
        <c:lblAlgn val="ctr"/>
        <c:lblOffset val="100"/>
        <c:noMultiLvlLbl val="0"/>
      </c:catAx>
      <c:valAx>
        <c:axId val="533448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334336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Radar!$AV$3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Radar!$AU$4:$AU$21</c:f>
            </c:strRef>
          </c:cat>
          <c:val>
            <c:numRef>
              <c:f>Radar!$AV$4:$AV$21</c:f>
            </c:numRef>
          </c:val>
        </c:ser>
        <c:ser>
          <c:idx val="1"/>
          <c:order val="1"/>
          <c:tx>
            <c:strRef>
              <c:f>Radar!$AW$3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Radar!$AU$4:$AU$21</c:f>
            </c:strRef>
          </c:cat>
          <c:val>
            <c:numRef>
              <c:f>Radar!$AW$4:$AW$21</c:f>
            </c:numRef>
          </c:val>
        </c:ser>
        <c:ser>
          <c:idx val="2"/>
          <c:order val="2"/>
          <c:tx>
            <c:strRef>
              <c:f>Radar!$AX$3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Radar!$AU$4:$AU$21</c:f>
            </c:strRef>
          </c:cat>
          <c:val>
            <c:numRef>
              <c:f>Radar!$AX$4:$AX$21</c:f>
            </c:numRef>
          </c:val>
        </c:ser>
        <c:ser>
          <c:idx val="3"/>
          <c:order val="3"/>
          <c:tx>
            <c:strRef>
              <c:f>Radar!$AY$3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Radar!$AU$4:$AU$21</c:f>
            </c:strRef>
          </c:cat>
          <c:val>
            <c:numRef>
              <c:f>Radar!$AY$4:$AY$21</c:f>
            </c:numRef>
          </c:val>
        </c:ser>
        <c:ser>
          <c:idx val="4"/>
          <c:order val="4"/>
          <c:tx>
            <c:strRef>
              <c:f>Radar!$AZ$3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Radar!$AU$4:$AU$21</c:f>
            </c:strRef>
          </c:cat>
          <c:val>
            <c:numRef>
              <c:f>Radar!$AZ$4:$AZ$21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07104"/>
        <c:axId val="53425280"/>
      </c:radarChart>
      <c:catAx>
        <c:axId val="534071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3425280"/>
        <c:crosses val="autoZero"/>
        <c:auto val="1"/>
        <c:lblAlgn val="ctr"/>
        <c:lblOffset val="100"/>
        <c:noMultiLvlLbl val="0"/>
      </c:catAx>
      <c:valAx>
        <c:axId val="534252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340710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Radar!$AO$3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Radar!$AN$4:$AN$21</c:f>
            </c:strRef>
          </c:cat>
          <c:val>
            <c:numRef>
              <c:f>Radar!$AO$4:$AO$21</c:f>
            </c:numRef>
          </c:val>
        </c:ser>
        <c:ser>
          <c:idx val="1"/>
          <c:order val="1"/>
          <c:tx>
            <c:strRef>
              <c:f>Radar!$AP$3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Radar!$AP$4:$AP$21</c:f>
            </c:numRef>
          </c:val>
        </c:ser>
        <c:ser>
          <c:idx val="2"/>
          <c:order val="2"/>
          <c:tx>
            <c:strRef>
              <c:f>Radar!$AQ$3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Radar!$AQ$4:$AQ$21</c:f>
            </c:numRef>
          </c:val>
        </c:ser>
        <c:ser>
          <c:idx val="3"/>
          <c:order val="3"/>
          <c:tx>
            <c:strRef>
              <c:f>Radar!$AR$3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Radar!$AR$4:$AR$21</c:f>
            </c:numRef>
          </c:val>
        </c:ser>
        <c:ser>
          <c:idx val="4"/>
          <c:order val="4"/>
          <c:tx>
            <c:strRef>
              <c:f>Radar!$AS$3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Radar!$AN$4:$AN$21</c:f>
            </c:strRef>
          </c:cat>
          <c:val>
            <c:numRef>
              <c:f>Radar!$AS$4:$AS$21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70720"/>
        <c:axId val="53472256"/>
      </c:radarChart>
      <c:catAx>
        <c:axId val="534707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3472256"/>
        <c:crosses val="autoZero"/>
        <c:auto val="1"/>
        <c:lblAlgn val="ctr"/>
        <c:lblOffset val="100"/>
        <c:noMultiLvlLbl val="0"/>
      </c:catAx>
      <c:valAx>
        <c:axId val="534722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5347072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Radar!$AH$3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Radar!$AG$4:$AG$21</c:f>
            </c:strRef>
          </c:cat>
          <c:val>
            <c:numRef>
              <c:f>Radar!$AH$4:$AH$21</c:f>
            </c:numRef>
          </c:val>
        </c:ser>
        <c:ser>
          <c:idx val="1"/>
          <c:order val="1"/>
          <c:tx>
            <c:strRef>
              <c:f>Radar!$AI$3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Radar!$AI$4:$AI$21</c:f>
            </c:numRef>
          </c:val>
        </c:ser>
        <c:ser>
          <c:idx val="2"/>
          <c:order val="2"/>
          <c:tx>
            <c:strRef>
              <c:f>Radar!$AJ$3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Radar!$AJ$4:$AJ$21</c:f>
            </c:numRef>
          </c:val>
        </c:ser>
        <c:ser>
          <c:idx val="3"/>
          <c:order val="3"/>
          <c:tx>
            <c:strRef>
              <c:f>Radar!$AK$3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Radar!$AK$4:$AK$21</c:f>
            </c:numRef>
          </c:val>
        </c:ser>
        <c:ser>
          <c:idx val="4"/>
          <c:order val="4"/>
          <c:tx>
            <c:strRef>
              <c:f>Radar!$AL$3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Radar!$AG$4:$AG$21</c:f>
            </c:strRef>
          </c:cat>
          <c:val>
            <c:numRef>
              <c:f>Radar!$AL$4:$AL$21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25440"/>
        <c:axId val="196531328"/>
      </c:radarChart>
      <c:catAx>
        <c:axId val="1965254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531328"/>
        <c:crosses val="autoZero"/>
        <c:auto val="1"/>
        <c:lblAlgn val="ctr"/>
        <c:lblOffset val="100"/>
        <c:noMultiLvlLbl val="0"/>
      </c:catAx>
      <c:valAx>
        <c:axId val="1965313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19652544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Radar!$AA$3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Radar!$Z$4:$Z$21</c:f>
            </c:strRef>
          </c:cat>
          <c:val>
            <c:numRef>
              <c:f>Radar!$AA$4:$AA$21</c:f>
            </c:numRef>
          </c:val>
        </c:ser>
        <c:ser>
          <c:idx val="1"/>
          <c:order val="1"/>
          <c:tx>
            <c:strRef>
              <c:f>Radar!$AB$3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Radar!$AB$4:$AB$21</c:f>
            </c:numRef>
          </c:val>
        </c:ser>
        <c:ser>
          <c:idx val="2"/>
          <c:order val="2"/>
          <c:tx>
            <c:strRef>
              <c:f>Radar!$AC$3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Radar!$AC$4:$AC$21</c:f>
            </c:numRef>
          </c:val>
        </c:ser>
        <c:ser>
          <c:idx val="3"/>
          <c:order val="3"/>
          <c:tx>
            <c:strRef>
              <c:f>Radar!$AD$3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Radar!$AD$4:$AD$21</c:f>
            </c:numRef>
          </c:val>
        </c:ser>
        <c:ser>
          <c:idx val="4"/>
          <c:order val="4"/>
          <c:tx>
            <c:strRef>
              <c:f>Radar!$AE$3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Radar!$Z$4:$Z$21</c:f>
            </c:strRef>
          </c:cat>
          <c:val>
            <c:numRef>
              <c:f>Radar!$AE$4:$AE$21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38592"/>
        <c:axId val="196640128"/>
      </c:radarChart>
      <c:catAx>
        <c:axId val="1966385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6640128"/>
        <c:crosses val="autoZero"/>
        <c:auto val="1"/>
        <c:lblAlgn val="ctr"/>
        <c:lblOffset val="100"/>
        <c:noMultiLvlLbl val="0"/>
      </c:catAx>
      <c:valAx>
        <c:axId val="19664012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196638592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Radar!$BC$3</c:f>
              <c:strCache>
                <c:ptCount val="1"/>
                <c:pt idx="0">
                  <c:v>Role Modelling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cat>
            <c:strRef>
              <c:f>Radar!$BB$4:$BB$21</c:f>
              <c:strCache>
                <c:ptCount val="1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Color</c:v>
                </c:pt>
                <c:pt idx="16">
                  <c:v>Region</c:v>
                </c:pt>
                <c:pt idx="17">
                  <c:v>Wave</c:v>
                </c:pt>
              </c:strCache>
            </c:strRef>
          </c:cat>
          <c:val>
            <c:numRef>
              <c:f>Radar!$BC$4:$BC$21</c:f>
              <c:numCache>
                <c:formatCode>General</c:formatCode>
                <c:ptCount val="18"/>
                <c:pt idx="0">
                  <c:v>15.48</c:v>
                </c:pt>
                <c:pt idx="1">
                  <c:v>15.94</c:v>
                </c:pt>
                <c:pt idx="2">
                  <c:v>30.06</c:v>
                </c:pt>
                <c:pt idx="3">
                  <c:v>21.7</c:v>
                </c:pt>
              </c:numCache>
            </c:numRef>
          </c:val>
        </c:ser>
        <c:ser>
          <c:idx val="1"/>
          <c:order val="1"/>
          <c:tx>
            <c:strRef>
              <c:f>Radar!$BD$3</c:f>
              <c:strCache>
                <c:ptCount val="1"/>
                <c:pt idx="0">
                  <c:v>Fostering Understanding and Commitment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rgbClr val="00B05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Radar!$BB$4:$BB$21</c:f>
              <c:strCache>
                <c:ptCount val="1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Color</c:v>
                </c:pt>
                <c:pt idx="16">
                  <c:v>Region</c:v>
                </c:pt>
                <c:pt idx="17">
                  <c:v>Wave</c:v>
                </c:pt>
              </c:strCache>
            </c:strRef>
          </c:cat>
          <c:val>
            <c:numRef>
              <c:f>Radar!$BD$4:$BD$21</c:f>
              <c:numCache>
                <c:formatCode>General</c:formatCode>
                <c:ptCount val="18"/>
                <c:pt idx="4">
                  <c:v>13.59</c:v>
                </c:pt>
                <c:pt idx="5">
                  <c:v>10.96</c:v>
                </c:pt>
                <c:pt idx="6">
                  <c:v>17.62</c:v>
                </c:pt>
                <c:pt idx="7">
                  <c:v>11.59</c:v>
                </c:pt>
              </c:numCache>
            </c:numRef>
          </c:val>
        </c:ser>
        <c:ser>
          <c:idx val="2"/>
          <c:order val="2"/>
          <c:tx>
            <c:strRef>
              <c:f>Radar!$BE$3</c:f>
              <c:strCache>
                <c:ptCount val="1"/>
                <c:pt idx="0">
                  <c:v>Developing Talent and Skills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700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Radar!$BB$4:$BB$21</c:f>
              <c:strCache>
                <c:ptCount val="1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Color</c:v>
                </c:pt>
                <c:pt idx="16">
                  <c:v>Region</c:v>
                </c:pt>
                <c:pt idx="17">
                  <c:v>Wave</c:v>
                </c:pt>
              </c:strCache>
            </c:strRef>
          </c:cat>
          <c:val>
            <c:numRef>
              <c:f>Radar!$BE$4:$BE$21</c:f>
              <c:numCache>
                <c:formatCode>General</c:formatCode>
                <c:ptCount val="18"/>
                <c:pt idx="8">
                  <c:v>18.39</c:v>
                </c:pt>
                <c:pt idx="9">
                  <c:v>10.56</c:v>
                </c:pt>
                <c:pt idx="10">
                  <c:v>4.22</c:v>
                </c:pt>
                <c:pt idx="11">
                  <c:v>8</c:v>
                </c:pt>
              </c:numCache>
            </c:numRef>
          </c:val>
        </c:ser>
        <c:ser>
          <c:idx val="3"/>
          <c:order val="3"/>
          <c:tx>
            <c:strRef>
              <c:f>Radar!$BF$3</c:f>
              <c:strCache>
                <c:ptCount val="1"/>
                <c:pt idx="0">
                  <c:v>Reinforcing with Formal Mechanisms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Radar!$BB$4:$BB$21</c:f>
              <c:strCache>
                <c:ptCount val="1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Color</c:v>
                </c:pt>
                <c:pt idx="16">
                  <c:v>Region</c:v>
                </c:pt>
                <c:pt idx="17">
                  <c:v>Wave</c:v>
                </c:pt>
              </c:strCache>
            </c:strRef>
          </c:cat>
          <c:val>
            <c:numRef>
              <c:f>Radar!$BF$4:$BF$21</c:f>
              <c:numCache>
                <c:formatCode>General</c:formatCode>
                <c:ptCount val="18"/>
                <c:pt idx="12">
                  <c:v>82.29</c:v>
                </c:pt>
                <c:pt idx="13">
                  <c:v>37.67</c:v>
                </c:pt>
                <c:pt idx="14">
                  <c:v>14.65</c:v>
                </c:pt>
              </c:numCache>
            </c:numRef>
          </c:val>
        </c:ser>
        <c:ser>
          <c:idx val="4"/>
          <c:order val="4"/>
          <c:tx>
            <c:strRef>
              <c:f>Radar!$BG$3</c:f>
              <c:strCache>
                <c:ptCount val="1"/>
                <c:pt idx="0">
                  <c:v>Additional Categories</c:v>
                </c:pt>
              </c:strCache>
            </c:strRef>
          </c:tx>
          <c:dLbls>
            <c:numFmt formatCode="#,##0" sourceLinked="0"/>
            <c:txPr>
              <a:bodyPr/>
              <a:lstStyle/>
              <a:p>
                <a:pPr>
                  <a:defRPr sz="60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Radar!$BB$4:$BB$21</c:f>
              <c:strCache>
                <c:ptCount val="1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Color</c:v>
                </c:pt>
                <c:pt idx="16">
                  <c:v>Region</c:v>
                </c:pt>
                <c:pt idx="17">
                  <c:v>Wave</c:v>
                </c:pt>
              </c:strCache>
            </c:strRef>
          </c:cat>
          <c:val>
            <c:numRef>
              <c:f>Radar!$BG$4:$BG$21</c:f>
              <c:numCache>
                <c:formatCode>General</c:formatCode>
                <c:ptCount val="18"/>
                <c:pt idx="15">
                  <c:v>15.13</c:v>
                </c:pt>
                <c:pt idx="16">
                  <c:v>16.52</c:v>
                </c:pt>
                <c:pt idx="17">
                  <c:v>2.74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49664"/>
        <c:axId val="235251200"/>
      </c:radarChart>
      <c:catAx>
        <c:axId val="2352496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35251200"/>
        <c:crosses val="autoZero"/>
        <c:auto val="1"/>
        <c:lblAlgn val="ctr"/>
        <c:lblOffset val="100"/>
        <c:noMultiLvlLbl val="0"/>
      </c:catAx>
      <c:valAx>
        <c:axId val="2352512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235249664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589148</xdr:colOff>
      <xdr:row>1</xdr:row>
      <xdr:rowOff>119061</xdr:rowOff>
    </xdr:from>
    <xdr:to>
      <xdr:col>20</xdr:col>
      <xdr:colOff>284349</xdr:colOff>
      <xdr:row>24</xdr:row>
      <xdr:rowOff>100852</xdr:rowOff>
    </xdr:to>
    <xdr:graphicFrame macro="">
      <xdr:nvGraphicFramePr>
        <xdr:cNvPr id="3" name="Chart 2" descr=" +[@h_l!//1]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235323</xdr:colOff>
      <xdr:row>1</xdr:row>
      <xdr:rowOff>0</xdr:rowOff>
    </xdr:from>
    <xdr:to>
      <xdr:col>29</xdr:col>
      <xdr:colOff>112059</xdr:colOff>
      <xdr:row>25</xdr:row>
      <xdr:rowOff>161334</xdr:rowOff>
    </xdr:to>
    <xdr:pic>
      <xdr:nvPicPr>
        <xdr:cNvPr id="5" name="Picture 4" descr=" +[@h_l!//2]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232" r="8975"/>
        <a:stretch/>
      </xdr:blipFill>
      <xdr:spPr>
        <a:xfrm>
          <a:off x="12337676" y="190500"/>
          <a:ext cx="5322795" cy="4733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342900</xdr:colOff>
      <xdr:row>22</xdr:row>
      <xdr:rowOff>28575</xdr:rowOff>
    </xdr:from>
    <xdr:to>
      <xdr:col>54</xdr:col>
      <xdr:colOff>219075</xdr:colOff>
      <xdr:row>51</xdr:row>
      <xdr:rowOff>0</xdr:rowOff>
    </xdr:to>
    <xdr:graphicFrame macro="">
      <xdr:nvGraphicFramePr>
        <xdr:cNvPr id="3" name="Chart 2" descr=" +[@h_l!/:I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21</xdr:row>
      <xdr:rowOff>38100</xdr:rowOff>
    </xdr:from>
    <xdr:to>
      <xdr:col>54</xdr:col>
      <xdr:colOff>971550</xdr:colOff>
      <xdr:row>50</xdr:row>
      <xdr:rowOff>9525</xdr:rowOff>
    </xdr:to>
    <xdr:graphicFrame macro="">
      <xdr:nvGraphicFramePr>
        <xdr:cNvPr id="4" name="Chart 3" descr=" +[@h_l!/:J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323850</xdr:colOff>
      <xdr:row>22</xdr:row>
      <xdr:rowOff>57150</xdr:rowOff>
    </xdr:from>
    <xdr:to>
      <xdr:col>55</xdr:col>
      <xdr:colOff>600075</xdr:colOff>
      <xdr:row>51</xdr:row>
      <xdr:rowOff>28575</xdr:rowOff>
    </xdr:to>
    <xdr:graphicFrame macro="">
      <xdr:nvGraphicFramePr>
        <xdr:cNvPr id="6" name="Chart 5" descr=" +[@h_l!/:K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39</xdr:col>
      <xdr:colOff>323850</xdr:colOff>
      <xdr:row>22</xdr:row>
      <xdr:rowOff>57150</xdr:rowOff>
    </xdr:from>
    <xdr:ext cx="4114800" cy="4114800"/>
    <xdr:graphicFrame macro="">
      <xdr:nvGraphicFramePr>
        <xdr:cNvPr id="8" name="Chart 7" descr=" +[@h_l!/:M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39</xdr:col>
      <xdr:colOff>323850</xdr:colOff>
      <xdr:row>22</xdr:row>
      <xdr:rowOff>57150</xdr:rowOff>
    </xdr:from>
    <xdr:ext cx="4114800" cy="4114800"/>
    <xdr:graphicFrame macro="">
      <xdr:nvGraphicFramePr>
        <xdr:cNvPr id="9" name="Chart 8" descr=" +[@h_l!/:N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40</xdr:col>
      <xdr:colOff>0</xdr:colOff>
      <xdr:row>21</xdr:row>
      <xdr:rowOff>38100</xdr:rowOff>
    </xdr:from>
    <xdr:ext cx="4114800" cy="4114800"/>
    <xdr:graphicFrame macro="">
      <xdr:nvGraphicFramePr>
        <xdr:cNvPr id="10" name="Chart 9" descr=" +[@h_l!/:O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46</xdr:col>
      <xdr:colOff>323850</xdr:colOff>
      <xdr:row>22</xdr:row>
      <xdr:rowOff>57150</xdr:rowOff>
    </xdr:from>
    <xdr:ext cx="4114800" cy="4114800"/>
    <xdr:graphicFrame macro="">
      <xdr:nvGraphicFramePr>
        <xdr:cNvPr id="11" name="Chart 10" descr=" +[@h_l!/:P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46</xdr:col>
      <xdr:colOff>323850</xdr:colOff>
      <xdr:row>22</xdr:row>
      <xdr:rowOff>57150</xdr:rowOff>
    </xdr:from>
    <xdr:ext cx="4114800" cy="4114800"/>
    <xdr:graphicFrame macro="">
      <xdr:nvGraphicFramePr>
        <xdr:cNvPr id="12" name="Chart 11" descr=" +[@h_l!/:Q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46</xdr:col>
      <xdr:colOff>323850</xdr:colOff>
      <xdr:row>22</xdr:row>
      <xdr:rowOff>57150</xdr:rowOff>
    </xdr:from>
    <xdr:ext cx="4114800" cy="4114800"/>
    <xdr:graphicFrame macro="">
      <xdr:nvGraphicFramePr>
        <xdr:cNvPr id="13" name="Chart 12" descr=" +[@h_l!/:R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47</xdr:col>
      <xdr:colOff>0</xdr:colOff>
      <xdr:row>21</xdr:row>
      <xdr:rowOff>38100</xdr:rowOff>
    </xdr:from>
    <xdr:ext cx="4114800" cy="4114800"/>
    <xdr:graphicFrame macro="">
      <xdr:nvGraphicFramePr>
        <xdr:cNvPr id="14" name="Chart 13" descr=" +[@h_l!/:S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53</xdr:col>
      <xdr:colOff>323850</xdr:colOff>
      <xdr:row>22</xdr:row>
      <xdr:rowOff>57150</xdr:rowOff>
    </xdr:from>
    <xdr:ext cx="4114800" cy="4114800"/>
    <xdr:graphicFrame macro="">
      <xdr:nvGraphicFramePr>
        <xdr:cNvPr id="15" name="Chart 14" descr=" +[@h_l!/:T]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sahu9@csc.com" TargetMode="External"/><Relationship Id="rId3" Type="http://schemas.openxmlformats.org/officeDocument/2006/relationships/hyperlink" Target="mailto:nbandlagudem@csc.com" TargetMode="External"/><Relationship Id="rId7" Type="http://schemas.openxmlformats.org/officeDocument/2006/relationships/hyperlink" Target="mailto:ssharma251@csc.com" TargetMode="External"/><Relationship Id="rId2" Type="http://schemas.openxmlformats.org/officeDocument/2006/relationships/hyperlink" Target="mailto:pmalik3@csc.com" TargetMode="External"/><Relationship Id="rId1" Type="http://schemas.openxmlformats.org/officeDocument/2006/relationships/hyperlink" Target="mailto:msethuraman@csc.com" TargetMode="External"/><Relationship Id="rId6" Type="http://schemas.openxmlformats.org/officeDocument/2006/relationships/hyperlink" Target="mailto:mencabonavaz@csc.com" TargetMode="External"/><Relationship Id="rId5" Type="http://schemas.openxmlformats.org/officeDocument/2006/relationships/hyperlink" Target="mailto:lannavarapu2@csc.com" TargetMode="External"/><Relationship Id="rId10" Type="http://schemas.openxmlformats.org/officeDocument/2006/relationships/customProperty" Target="../customProperty2.bin"/><Relationship Id="rId4" Type="http://schemas.openxmlformats.org/officeDocument/2006/relationships/hyperlink" Target="mailto:rgoneni@csc.com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35"/>
  <sheetViews>
    <sheetView showGridLines="0" tabSelected="1" topLeftCell="A649" zoomScale="115" zoomScaleNormal="115" workbookViewId="0">
      <selection activeCell="B735" sqref="B735"/>
    </sheetView>
  </sheetViews>
  <sheetFormatPr defaultRowHeight="15" x14ac:dyDescent="0.25"/>
  <cols>
    <col min="1" max="1" width="23.28515625" bestFit="1" customWidth="1"/>
    <col min="2" max="2" width="16.28515625" customWidth="1"/>
    <col min="3" max="3" width="12.28515625" customWidth="1"/>
    <col min="4" max="4" width="16.28515625" customWidth="1"/>
    <col min="5" max="5" width="6.5703125" customWidth="1"/>
    <col min="6" max="6" width="10.85546875" customWidth="1"/>
    <col min="7" max="7" width="9.28515625" customWidth="1"/>
    <col min="8" max="8" width="10.5703125" customWidth="1"/>
    <col min="9" max="9" width="12.42578125" customWidth="1"/>
    <col min="10" max="10" width="9.42578125" bestFit="1" customWidth="1"/>
    <col min="11" max="11" width="8" customWidth="1"/>
    <col min="12" max="12" width="9.42578125" bestFit="1" customWidth="1"/>
    <col min="13" max="13" width="8" customWidth="1"/>
    <col min="14" max="14" width="9.42578125" bestFit="1" customWidth="1"/>
    <col min="15" max="15" width="8" customWidth="1"/>
    <col min="16" max="16" width="9.42578125" bestFit="1" customWidth="1"/>
    <col min="17" max="17" width="8" customWidth="1"/>
    <col min="18" max="18" width="9.42578125" bestFit="1" customWidth="1"/>
    <col min="19" max="19" width="8" customWidth="1"/>
    <col min="20" max="20" width="9.42578125" bestFit="1" customWidth="1"/>
    <col min="21" max="21" width="8" customWidth="1"/>
    <col min="22" max="22" width="9.42578125" bestFit="1" customWidth="1"/>
    <col min="23" max="23" width="8" customWidth="1"/>
    <col min="24" max="24" width="9.42578125" bestFit="1" customWidth="1"/>
    <col min="25" max="25" width="8" customWidth="1"/>
    <col min="26" max="26" width="10.42578125" bestFit="1" customWidth="1"/>
    <col min="27" max="27" width="9" customWidth="1"/>
    <col min="28" max="28" width="10.42578125" bestFit="1" customWidth="1"/>
    <col min="29" max="29" width="9" customWidth="1"/>
    <col min="30" max="30" width="10.42578125" bestFit="1" customWidth="1"/>
    <col min="31" max="31" width="9" customWidth="1"/>
    <col min="32" max="32" width="10.42578125" bestFit="1" customWidth="1"/>
    <col min="33" max="33" width="9" customWidth="1"/>
    <col min="34" max="34" width="10.42578125" bestFit="1" customWidth="1"/>
    <col min="35" max="35" width="9" customWidth="1"/>
    <col min="36" max="36" width="10.42578125" bestFit="1" customWidth="1"/>
    <col min="37" max="37" width="9" customWidth="1"/>
    <col min="38" max="38" width="10.42578125" bestFit="1" customWidth="1"/>
    <col min="39" max="39" width="9" customWidth="1"/>
    <col min="40" max="40" width="12.5703125" bestFit="1" customWidth="1"/>
  </cols>
  <sheetData>
    <row r="1" spans="1:12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x14ac:dyDescent="0.25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x14ac:dyDescent="0.25">
      <c r="A4" s="1" t="s">
        <v>2</v>
      </c>
      <c r="B4" s="67" t="s">
        <v>3</v>
      </c>
      <c r="C4" s="67"/>
      <c r="D4" s="67"/>
      <c r="E4" s="68"/>
      <c r="F4" s="68"/>
      <c r="G4" s="68"/>
      <c r="H4" s="68"/>
      <c r="I4" s="68"/>
      <c r="J4" s="69" t="s">
        <v>4</v>
      </c>
      <c r="K4" s="69"/>
      <c r="L4" s="69"/>
    </row>
    <row r="5" spans="1:12" x14ac:dyDescent="0.25">
      <c r="A5" s="69" t="s">
        <v>5</v>
      </c>
      <c r="B5" s="69"/>
      <c r="C5" s="69"/>
      <c r="D5" s="69"/>
      <c r="E5" s="69"/>
      <c r="F5" s="69"/>
      <c r="G5" s="69"/>
      <c r="H5" s="69"/>
      <c r="I5" s="69"/>
      <c r="J5" s="2" t="s">
        <v>6</v>
      </c>
      <c r="K5" s="2" t="s">
        <v>7</v>
      </c>
      <c r="L5" s="2" t="s">
        <v>8</v>
      </c>
    </row>
    <row r="6" spans="1:12" x14ac:dyDescent="0.25">
      <c r="A6" s="53" t="s">
        <v>9</v>
      </c>
      <c r="B6" s="66" t="s">
        <v>10</v>
      </c>
      <c r="C6" s="66"/>
      <c r="D6" s="66"/>
      <c r="E6" s="66"/>
      <c r="F6" s="66"/>
      <c r="G6" s="66"/>
      <c r="H6" s="66"/>
      <c r="I6" s="66"/>
      <c r="J6" s="5">
        <v>1</v>
      </c>
      <c r="K6" s="5">
        <v>566</v>
      </c>
      <c r="L6" s="5">
        <v>0.8</v>
      </c>
    </row>
    <row r="7" spans="1:12" x14ac:dyDescent="0.25">
      <c r="A7" s="53" t="s">
        <v>11</v>
      </c>
      <c r="B7" s="66" t="s">
        <v>12</v>
      </c>
      <c r="C7" s="66"/>
      <c r="D7" s="66"/>
      <c r="E7" s="66"/>
      <c r="F7" s="66"/>
      <c r="G7" s="66"/>
      <c r="H7" s="66"/>
      <c r="I7" s="66"/>
      <c r="J7" s="5">
        <v>1</v>
      </c>
      <c r="K7" s="5">
        <v>553</v>
      </c>
      <c r="L7" s="5">
        <v>0.8</v>
      </c>
    </row>
    <row r="8" spans="1:12" x14ac:dyDescent="0.25">
      <c r="A8" s="53" t="s">
        <v>13</v>
      </c>
      <c r="B8" s="66" t="s">
        <v>14</v>
      </c>
      <c r="C8" s="66"/>
      <c r="D8" s="66"/>
      <c r="E8" s="66"/>
      <c r="F8" s="66"/>
      <c r="G8" s="66"/>
      <c r="H8" s="66"/>
      <c r="I8" s="66"/>
      <c r="J8" s="5">
        <v>1</v>
      </c>
      <c r="K8" s="5">
        <v>502</v>
      </c>
      <c r="L8" s="5">
        <v>0.7</v>
      </c>
    </row>
    <row r="9" spans="1:12" x14ac:dyDescent="0.25">
      <c r="A9" s="53" t="s">
        <v>15</v>
      </c>
      <c r="B9" s="66" t="s">
        <v>16</v>
      </c>
      <c r="C9" s="66"/>
      <c r="D9" s="66"/>
      <c r="E9" s="66"/>
      <c r="F9" s="66"/>
      <c r="G9" s="66"/>
      <c r="H9" s="66"/>
      <c r="I9" s="66"/>
      <c r="J9" s="5">
        <v>1</v>
      </c>
      <c r="K9" s="5">
        <v>496</v>
      </c>
      <c r="L9" s="5">
        <v>0.7</v>
      </c>
    </row>
    <row r="10" spans="1:12" x14ac:dyDescent="0.25">
      <c r="A10" s="54" t="s">
        <v>17</v>
      </c>
      <c r="B10" s="66" t="s">
        <v>18</v>
      </c>
      <c r="C10" s="66"/>
      <c r="D10" s="66"/>
      <c r="E10" s="66"/>
      <c r="F10" s="66"/>
      <c r="G10" s="66"/>
      <c r="H10" s="66"/>
      <c r="I10" s="66"/>
      <c r="J10" s="5">
        <v>1</v>
      </c>
      <c r="K10" s="5">
        <v>560</v>
      </c>
      <c r="L10" s="5">
        <v>0.8</v>
      </c>
    </row>
    <row r="11" spans="1:12" x14ac:dyDescent="0.25">
      <c r="A11" s="54" t="s">
        <v>19</v>
      </c>
      <c r="B11" s="66" t="s">
        <v>20</v>
      </c>
      <c r="C11" s="66"/>
      <c r="D11" s="66"/>
      <c r="E11" s="66"/>
      <c r="F11" s="66"/>
      <c r="G11" s="66"/>
      <c r="H11" s="66"/>
      <c r="I11" s="66"/>
      <c r="J11" s="5">
        <v>1</v>
      </c>
      <c r="K11" s="5">
        <v>581</v>
      </c>
      <c r="L11" s="5">
        <v>0.8</v>
      </c>
    </row>
    <row r="12" spans="1:12" x14ac:dyDescent="0.25">
      <c r="A12" s="54" t="s">
        <v>21</v>
      </c>
      <c r="B12" s="66" t="s">
        <v>22</v>
      </c>
      <c r="C12" s="66"/>
      <c r="D12" s="66"/>
      <c r="E12" s="66"/>
      <c r="F12" s="66"/>
      <c r="G12" s="66"/>
      <c r="H12" s="66"/>
      <c r="I12" s="66"/>
      <c r="J12" s="5">
        <v>1</v>
      </c>
      <c r="K12" s="5">
        <v>479</v>
      </c>
      <c r="L12" s="5">
        <v>0.7</v>
      </c>
    </row>
    <row r="13" spans="1:12" x14ac:dyDescent="0.25">
      <c r="A13" s="54" t="s">
        <v>23</v>
      </c>
      <c r="B13" s="66" t="s">
        <v>24</v>
      </c>
      <c r="C13" s="66"/>
      <c r="D13" s="66"/>
      <c r="E13" s="66"/>
      <c r="F13" s="66"/>
      <c r="G13" s="66"/>
      <c r="H13" s="66"/>
      <c r="I13" s="66"/>
      <c r="J13" s="5">
        <v>1</v>
      </c>
      <c r="K13" s="5">
        <v>549</v>
      </c>
      <c r="L13" s="5">
        <v>0.8</v>
      </c>
    </row>
    <row r="14" spans="1:12" x14ac:dyDescent="0.25">
      <c r="A14" s="56" t="s">
        <v>25</v>
      </c>
      <c r="B14" s="66" t="s">
        <v>26</v>
      </c>
      <c r="C14" s="66"/>
      <c r="D14" s="66"/>
      <c r="E14" s="66"/>
      <c r="F14" s="66"/>
      <c r="G14" s="66"/>
      <c r="H14" s="66"/>
      <c r="I14" s="66"/>
      <c r="J14" s="5">
        <v>1</v>
      </c>
      <c r="K14" s="5">
        <v>546</v>
      </c>
      <c r="L14" s="5">
        <v>0.8</v>
      </c>
    </row>
    <row r="15" spans="1:12" x14ac:dyDescent="0.25">
      <c r="A15" s="56" t="s">
        <v>27</v>
      </c>
      <c r="B15" s="66" t="s">
        <v>28</v>
      </c>
      <c r="C15" s="66"/>
      <c r="D15" s="66"/>
      <c r="E15" s="66"/>
      <c r="F15" s="66"/>
      <c r="G15" s="66"/>
      <c r="H15" s="66"/>
      <c r="I15" s="66"/>
      <c r="J15" s="5">
        <v>1</v>
      </c>
      <c r="K15" s="5">
        <v>585</v>
      </c>
      <c r="L15" s="5">
        <v>0.8</v>
      </c>
    </row>
    <row r="16" spans="1:12" x14ac:dyDescent="0.25">
      <c r="A16" s="56" t="s">
        <v>29</v>
      </c>
      <c r="B16" s="66" t="s">
        <v>30</v>
      </c>
      <c r="C16" s="66"/>
      <c r="D16" s="66"/>
      <c r="E16" s="66"/>
      <c r="F16" s="66"/>
      <c r="G16" s="66"/>
      <c r="H16" s="66"/>
      <c r="I16" s="66"/>
      <c r="J16" s="5">
        <v>1</v>
      </c>
      <c r="K16" s="5">
        <v>600</v>
      </c>
      <c r="L16" s="5">
        <v>0.9</v>
      </c>
    </row>
    <row r="17" spans="1:13" x14ac:dyDescent="0.25">
      <c r="A17" s="56" t="s">
        <v>31</v>
      </c>
      <c r="B17" s="66" t="s">
        <v>32</v>
      </c>
      <c r="C17" s="66"/>
      <c r="D17" s="66"/>
      <c r="E17" s="66"/>
      <c r="F17" s="66"/>
      <c r="G17" s="66"/>
      <c r="H17" s="66"/>
      <c r="I17" s="66"/>
      <c r="J17" s="5">
        <v>1</v>
      </c>
      <c r="K17" s="5">
        <v>637</v>
      </c>
      <c r="L17" s="5">
        <v>0.9</v>
      </c>
    </row>
    <row r="18" spans="1:13" x14ac:dyDescent="0.25">
      <c r="A18" s="55" t="s">
        <v>33</v>
      </c>
      <c r="B18" s="66" t="s">
        <v>34</v>
      </c>
      <c r="C18" s="66"/>
      <c r="D18" s="66"/>
      <c r="E18" s="66"/>
      <c r="F18" s="66"/>
      <c r="G18" s="66"/>
      <c r="H18" s="66"/>
      <c r="I18" s="66"/>
      <c r="J18" s="5">
        <v>1</v>
      </c>
      <c r="K18" s="5">
        <v>500</v>
      </c>
      <c r="L18" s="5">
        <v>0.7</v>
      </c>
    </row>
    <row r="19" spans="1:13" x14ac:dyDescent="0.25">
      <c r="A19" s="55" t="s">
        <v>35</v>
      </c>
      <c r="B19" s="66" t="s">
        <v>36</v>
      </c>
      <c r="C19" s="66"/>
      <c r="D19" s="66"/>
      <c r="E19" s="66"/>
      <c r="F19" s="66"/>
      <c r="G19" s="66"/>
      <c r="H19" s="66"/>
      <c r="I19" s="66"/>
      <c r="J19" s="5">
        <v>1</v>
      </c>
      <c r="K19" s="5">
        <v>522</v>
      </c>
      <c r="L19" s="5">
        <v>0.7</v>
      </c>
    </row>
    <row r="20" spans="1:13" x14ac:dyDescent="0.25">
      <c r="A20" s="55" t="s">
        <v>37</v>
      </c>
      <c r="B20" s="66" t="s">
        <v>38</v>
      </c>
      <c r="C20" s="66"/>
      <c r="D20" s="66"/>
      <c r="E20" s="66"/>
      <c r="F20" s="66"/>
      <c r="G20" s="66"/>
      <c r="H20" s="66"/>
      <c r="I20" s="66"/>
      <c r="J20" s="5">
        <v>1</v>
      </c>
      <c r="K20" s="5">
        <v>579</v>
      </c>
      <c r="L20" s="5">
        <v>0.8</v>
      </c>
    </row>
    <row r="21" spans="1:13" x14ac:dyDescent="0.25">
      <c r="A21" s="55" t="s">
        <v>39</v>
      </c>
      <c r="B21" s="66" t="s">
        <v>40</v>
      </c>
      <c r="C21" s="66"/>
      <c r="D21" s="66"/>
      <c r="E21" s="66"/>
      <c r="F21" s="66"/>
      <c r="G21" s="66"/>
      <c r="H21" s="66"/>
      <c r="I21" s="66"/>
      <c r="J21" s="5">
        <v>1</v>
      </c>
      <c r="K21" s="5">
        <v>451</v>
      </c>
      <c r="L21" s="5">
        <v>0.6</v>
      </c>
    </row>
    <row r="22" spans="1:13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</row>
    <row r="23" spans="1:13" x14ac:dyDescent="0.25">
      <c r="A23" s="70"/>
      <c r="B23" s="70"/>
      <c r="C23" s="70"/>
      <c r="D23" s="70"/>
      <c r="E23" s="70"/>
      <c r="F23" s="70"/>
      <c r="G23" s="70"/>
      <c r="H23" s="70"/>
      <c r="I23" s="2" t="s">
        <v>41</v>
      </c>
      <c r="J23" s="2">
        <v>16</v>
      </c>
      <c r="K23" s="2">
        <v>8706</v>
      </c>
      <c r="L23" s="2">
        <v>12.5</v>
      </c>
      <c r="M23" s="2">
        <v>11216</v>
      </c>
    </row>
    <row r="24" spans="1:13" x14ac:dyDescent="0.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</row>
    <row r="25" spans="1:13" x14ac:dyDescent="0.25">
      <c r="A25" s="69" t="s">
        <v>42</v>
      </c>
      <c r="B25" s="69"/>
      <c r="C25" s="69"/>
      <c r="D25" s="70"/>
      <c r="E25" s="70"/>
      <c r="F25" s="70"/>
      <c r="G25" s="70"/>
      <c r="H25" s="70"/>
      <c r="I25" s="70"/>
      <c r="J25" s="70"/>
      <c r="K25" s="70"/>
      <c r="L25" s="70"/>
    </row>
    <row r="26" spans="1:13" x14ac:dyDescent="0.25">
      <c r="A26" s="4" t="s">
        <v>43</v>
      </c>
      <c r="B26" s="3"/>
      <c r="C26" s="4">
        <v>1467</v>
      </c>
      <c r="D26" s="70"/>
      <c r="E26" s="70"/>
      <c r="F26" s="70"/>
      <c r="G26" s="70"/>
      <c r="H26" s="70"/>
      <c r="I26" s="70"/>
      <c r="J26" s="70"/>
      <c r="K26" s="70"/>
      <c r="L26" s="70"/>
    </row>
    <row r="27" spans="1:13" x14ac:dyDescent="0.25">
      <c r="A27" s="4" t="s">
        <v>44</v>
      </c>
      <c r="B27" s="3"/>
      <c r="C27" s="4">
        <v>697</v>
      </c>
      <c r="D27" s="73"/>
      <c r="E27" s="73"/>
      <c r="F27" s="73"/>
      <c r="G27" s="73"/>
      <c r="H27" s="73"/>
      <c r="I27" s="73"/>
      <c r="J27" s="73"/>
      <c r="K27" s="73"/>
      <c r="L27" s="73"/>
    </row>
    <row r="28" spans="1:13" x14ac:dyDescent="0.25">
      <c r="A28" s="4" t="s">
        <v>45</v>
      </c>
      <c r="B28" s="3"/>
      <c r="C28" s="6">
        <v>0.47</v>
      </c>
      <c r="D28" s="70"/>
      <c r="E28" s="70"/>
      <c r="F28" s="70"/>
      <c r="G28" s="70"/>
      <c r="H28" s="70"/>
      <c r="I28" s="70"/>
      <c r="J28" s="70"/>
      <c r="K28" s="70"/>
      <c r="L28" s="70"/>
    </row>
    <row r="29" spans="1:13" x14ac:dyDescent="0.25">
      <c r="A29" s="4" t="s">
        <v>46</v>
      </c>
      <c r="B29" s="3"/>
      <c r="C29" s="6">
        <v>1</v>
      </c>
      <c r="D29" s="70"/>
      <c r="E29" s="70"/>
      <c r="F29" s="70"/>
      <c r="G29" s="70"/>
      <c r="H29" s="70"/>
      <c r="I29" s="70"/>
      <c r="J29" s="70"/>
      <c r="K29" s="70"/>
      <c r="L29" s="70"/>
    </row>
    <row r="30" spans="1:13" x14ac:dyDescent="0.25">
      <c r="A30" s="4" t="s">
        <v>47</v>
      </c>
      <c r="B30" s="3"/>
      <c r="C30" s="6">
        <v>0</v>
      </c>
      <c r="D30" s="70"/>
      <c r="E30" s="70"/>
      <c r="F30" s="70"/>
      <c r="G30" s="70"/>
      <c r="H30" s="70"/>
      <c r="I30" s="70"/>
      <c r="J30" s="70"/>
      <c r="K30" s="70"/>
      <c r="L30" s="70"/>
    </row>
    <row r="31" spans="1:13" x14ac:dyDescent="0.25">
      <c r="A31" s="4" t="s">
        <v>48</v>
      </c>
      <c r="B31" s="3"/>
      <c r="C31" s="4" t="s">
        <v>49</v>
      </c>
      <c r="D31" s="70"/>
      <c r="E31" s="70"/>
      <c r="F31" s="70"/>
      <c r="G31" s="70"/>
      <c r="H31" s="70"/>
      <c r="I31" s="70"/>
      <c r="J31" s="70"/>
      <c r="K31" s="70"/>
      <c r="L31" s="70"/>
    </row>
    <row r="32" spans="1:13" x14ac:dyDescent="0.25">
      <c r="A32" s="4" t="s">
        <v>50</v>
      </c>
      <c r="B32" s="3"/>
      <c r="C32" s="4" t="s">
        <v>51</v>
      </c>
      <c r="D32" s="70"/>
      <c r="E32" s="70"/>
      <c r="F32" s="70"/>
      <c r="G32" s="70"/>
      <c r="H32" s="70"/>
      <c r="I32" s="70"/>
      <c r="J32" s="70"/>
      <c r="K32" s="70"/>
      <c r="L32" s="70"/>
    </row>
    <row r="33" spans="1:40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</row>
    <row r="34" spans="1:40" ht="15" customHeight="1" x14ac:dyDescent="0.25">
      <c r="A34" s="7" t="s">
        <v>52</v>
      </c>
      <c r="B34" s="7" t="s">
        <v>53</v>
      </c>
      <c r="C34" s="7" t="s">
        <v>54</v>
      </c>
      <c r="D34" s="7" t="s">
        <v>55</v>
      </c>
      <c r="E34" s="7" t="s">
        <v>56</v>
      </c>
      <c r="F34" s="7" t="s">
        <v>57</v>
      </c>
      <c r="G34" s="7" t="s">
        <v>58</v>
      </c>
      <c r="H34" s="7" t="s">
        <v>59</v>
      </c>
      <c r="I34" s="7" t="s">
        <v>60</v>
      </c>
      <c r="J34" s="7" t="s">
        <v>61</v>
      </c>
      <c r="K34" s="7" t="s">
        <v>62</v>
      </c>
      <c r="L34" s="7" t="s">
        <v>63</v>
      </c>
      <c r="M34" s="7" t="s">
        <v>64</v>
      </c>
      <c r="N34" s="7" t="s">
        <v>65</v>
      </c>
      <c r="O34" s="7" t="s">
        <v>66</v>
      </c>
      <c r="P34" s="7" t="s">
        <v>67</v>
      </c>
      <c r="Q34" s="7" t="s">
        <v>68</v>
      </c>
      <c r="R34" s="7" t="s">
        <v>69</v>
      </c>
      <c r="S34" s="7" t="s">
        <v>70</v>
      </c>
      <c r="T34" s="7" t="s">
        <v>71</v>
      </c>
      <c r="U34" s="7" t="s">
        <v>72</v>
      </c>
      <c r="V34" s="7" t="s">
        <v>73</v>
      </c>
      <c r="W34" s="7" t="s">
        <v>74</v>
      </c>
      <c r="X34" s="7" t="s">
        <v>75</v>
      </c>
      <c r="Y34" s="7" t="s">
        <v>76</v>
      </c>
      <c r="Z34" s="7" t="s">
        <v>77</v>
      </c>
      <c r="AA34" s="7" t="s">
        <v>78</v>
      </c>
      <c r="AB34" s="7" t="s">
        <v>79</v>
      </c>
      <c r="AC34" s="7" t="s">
        <v>80</v>
      </c>
      <c r="AD34" s="7" t="s">
        <v>81</v>
      </c>
      <c r="AE34" s="7" t="s">
        <v>82</v>
      </c>
      <c r="AF34" s="7" t="s">
        <v>83</v>
      </c>
      <c r="AG34" s="7" t="s">
        <v>84</v>
      </c>
      <c r="AH34" s="7" t="s">
        <v>85</v>
      </c>
      <c r="AI34" s="7" t="s">
        <v>86</v>
      </c>
      <c r="AJ34" s="7" t="s">
        <v>87</v>
      </c>
      <c r="AK34" s="7" t="s">
        <v>88</v>
      </c>
      <c r="AL34" s="7" t="s">
        <v>89</v>
      </c>
      <c r="AM34" s="7" t="s">
        <v>90</v>
      </c>
      <c r="AN34" s="7" t="s">
        <v>91</v>
      </c>
    </row>
    <row r="35" spans="1:40" x14ac:dyDescent="0.25">
      <c r="A35" s="8" t="s">
        <v>92</v>
      </c>
      <c r="B35" s="9">
        <v>42033.65</v>
      </c>
      <c r="C35" s="8">
        <v>0</v>
      </c>
      <c r="D35" s="9">
        <v>42033.65347222222</v>
      </c>
      <c r="E35" s="8" t="s">
        <v>93</v>
      </c>
      <c r="F35" s="8">
        <v>8</v>
      </c>
      <c r="G35" s="8" t="s">
        <v>94</v>
      </c>
      <c r="H35" s="8" t="s">
        <v>95</v>
      </c>
      <c r="I35" s="8">
        <v>1</v>
      </c>
      <c r="J35" s="8" t="s">
        <v>95</v>
      </c>
      <c r="K35" s="8">
        <v>1</v>
      </c>
      <c r="L35" s="8" t="s">
        <v>94</v>
      </c>
      <c r="M35" s="8">
        <v>0</v>
      </c>
      <c r="N35" s="8" t="s">
        <v>94</v>
      </c>
      <c r="O35" s="8">
        <v>0</v>
      </c>
      <c r="P35" s="8" t="s">
        <v>94</v>
      </c>
      <c r="Q35" s="8">
        <v>0</v>
      </c>
      <c r="R35" s="8" t="s">
        <v>94</v>
      </c>
      <c r="S35" s="8">
        <v>0</v>
      </c>
      <c r="T35" s="8" t="s">
        <v>94</v>
      </c>
      <c r="U35" s="8">
        <v>0</v>
      </c>
      <c r="V35" s="8" t="s">
        <v>95</v>
      </c>
      <c r="W35" s="8">
        <v>1</v>
      </c>
      <c r="X35" s="8" t="s">
        <v>94</v>
      </c>
      <c r="Y35" s="8">
        <v>0</v>
      </c>
      <c r="Z35" s="8" t="s">
        <v>95</v>
      </c>
      <c r="AA35" s="8">
        <v>1</v>
      </c>
      <c r="AB35" s="8" t="s">
        <v>95</v>
      </c>
      <c r="AC35" s="8">
        <v>1</v>
      </c>
      <c r="AD35" s="8" t="s">
        <v>95</v>
      </c>
      <c r="AE35" s="8">
        <v>1</v>
      </c>
      <c r="AF35" s="8" t="s">
        <v>95</v>
      </c>
      <c r="AG35" s="8">
        <v>1</v>
      </c>
      <c r="AH35" s="8" t="s">
        <v>94</v>
      </c>
      <c r="AI35" s="8">
        <v>0</v>
      </c>
      <c r="AJ35" s="8" t="s">
        <v>95</v>
      </c>
      <c r="AK35" s="8">
        <v>1</v>
      </c>
      <c r="AL35" s="8" t="s">
        <v>94</v>
      </c>
      <c r="AM35" s="8">
        <v>0</v>
      </c>
      <c r="AN35" s="8">
        <v>8</v>
      </c>
    </row>
    <row r="36" spans="1:40" x14ac:dyDescent="0.25">
      <c r="A36" s="8" t="s">
        <v>96</v>
      </c>
      <c r="B36" s="9">
        <v>42033.652083333334</v>
      </c>
      <c r="C36" s="8">
        <v>0</v>
      </c>
      <c r="D36" s="9">
        <v>42033.659722222219</v>
      </c>
      <c r="E36" s="8" t="s">
        <v>93</v>
      </c>
      <c r="F36" s="8">
        <v>13</v>
      </c>
      <c r="G36" s="8" t="s">
        <v>94</v>
      </c>
      <c r="H36" s="8" t="s">
        <v>95</v>
      </c>
      <c r="I36" s="8">
        <v>1</v>
      </c>
      <c r="J36" s="8" t="s">
        <v>95</v>
      </c>
      <c r="K36" s="8">
        <v>1</v>
      </c>
      <c r="L36" s="8" t="s">
        <v>95</v>
      </c>
      <c r="M36" s="8">
        <v>1</v>
      </c>
      <c r="N36" s="8" t="s">
        <v>95</v>
      </c>
      <c r="O36" s="8">
        <v>1</v>
      </c>
      <c r="P36" s="8" t="s">
        <v>95</v>
      </c>
      <c r="Q36" s="8">
        <v>1</v>
      </c>
      <c r="R36" s="8" t="s">
        <v>95</v>
      </c>
      <c r="S36" s="8">
        <v>1</v>
      </c>
      <c r="T36" s="8" t="s">
        <v>95</v>
      </c>
      <c r="U36" s="8">
        <v>1</v>
      </c>
      <c r="V36" s="8" t="s">
        <v>95</v>
      </c>
      <c r="W36" s="8">
        <v>1</v>
      </c>
      <c r="X36" s="8" t="s">
        <v>94</v>
      </c>
      <c r="Y36" s="8">
        <v>0</v>
      </c>
      <c r="Z36" s="8" t="s">
        <v>95</v>
      </c>
      <c r="AA36" s="8">
        <v>1</v>
      </c>
      <c r="AB36" s="8" t="s">
        <v>95</v>
      </c>
      <c r="AC36" s="8">
        <v>1</v>
      </c>
      <c r="AD36" s="8" t="s">
        <v>95</v>
      </c>
      <c r="AE36" s="8">
        <v>1</v>
      </c>
      <c r="AF36" s="8" t="s">
        <v>94</v>
      </c>
      <c r="AG36" s="8">
        <v>0</v>
      </c>
      <c r="AH36" s="8" t="s">
        <v>94</v>
      </c>
      <c r="AI36" s="8">
        <v>0</v>
      </c>
      <c r="AJ36" s="8" t="s">
        <v>95</v>
      </c>
      <c r="AK36" s="8">
        <v>1</v>
      </c>
      <c r="AL36" s="8" t="s">
        <v>95</v>
      </c>
      <c r="AM36" s="8">
        <v>1</v>
      </c>
      <c r="AN36" s="8">
        <v>13</v>
      </c>
    </row>
    <row r="37" spans="1:40" x14ac:dyDescent="0.25">
      <c r="A37" s="8" t="s">
        <v>97</v>
      </c>
      <c r="B37" s="9">
        <v>42033.661111111112</v>
      </c>
      <c r="C37" s="8">
        <v>0</v>
      </c>
      <c r="D37" s="9">
        <v>42033.662499999999</v>
      </c>
      <c r="E37" s="8" t="s">
        <v>93</v>
      </c>
      <c r="F37" s="8">
        <v>9</v>
      </c>
      <c r="G37" s="8" t="s">
        <v>94</v>
      </c>
      <c r="H37" s="8" t="s">
        <v>95</v>
      </c>
      <c r="I37" s="8">
        <v>1</v>
      </c>
      <c r="J37" s="8" t="s">
        <v>94</v>
      </c>
      <c r="K37" s="8">
        <v>0</v>
      </c>
      <c r="L37" s="8" t="s">
        <v>94</v>
      </c>
      <c r="M37" s="8">
        <v>0</v>
      </c>
      <c r="N37" s="8" t="s">
        <v>94</v>
      </c>
      <c r="O37" s="8">
        <v>0</v>
      </c>
      <c r="P37" s="8" t="s">
        <v>95</v>
      </c>
      <c r="Q37" s="8">
        <v>1</v>
      </c>
      <c r="R37" s="8" t="s">
        <v>95</v>
      </c>
      <c r="S37" s="8">
        <v>1</v>
      </c>
      <c r="T37" s="8" t="s">
        <v>94</v>
      </c>
      <c r="U37" s="8">
        <v>0</v>
      </c>
      <c r="V37" s="8" t="s">
        <v>95</v>
      </c>
      <c r="W37" s="8">
        <v>1</v>
      </c>
      <c r="X37" s="8" t="s">
        <v>95</v>
      </c>
      <c r="Y37" s="8">
        <v>1</v>
      </c>
      <c r="Z37" s="8" t="s">
        <v>95</v>
      </c>
      <c r="AA37" s="8">
        <v>1</v>
      </c>
      <c r="AB37" s="8" t="s">
        <v>95</v>
      </c>
      <c r="AC37" s="8">
        <v>1</v>
      </c>
      <c r="AD37" s="8" t="s">
        <v>95</v>
      </c>
      <c r="AE37" s="8">
        <v>1</v>
      </c>
      <c r="AF37" s="8" t="s">
        <v>94</v>
      </c>
      <c r="AG37" s="8">
        <v>0</v>
      </c>
      <c r="AH37" s="8" t="s">
        <v>94</v>
      </c>
      <c r="AI37" s="8">
        <v>0</v>
      </c>
      <c r="AJ37" s="8" t="s">
        <v>95</v>
      </c>
      <c r="AK37" s="8">
        <v>1</v>
      </c>
      <c r="AL37" s="8" t="s">
        <v>94</v>
      </c>
      <c r="AM37" s="8">
        <v>0</v>
      </c>
      <c r="AN37" s="8">
        <v>9</v>
      </c>
    </row>
    <row r="38" spans="1:40" x14ac:dyDescent="0.25">
      <c r="A38" s="8" t="s">
        <v>98</v>
      </c>
      <c r="B38" s="9">
        <v>42033.651388888888</v>
      </c>
      <c r="C38" s="8">
        <v>0</v>
      </c>
      <c r="D38" s="9">
        <v>42033.664583333331</v>
      </c>
      <c r="E38" s="8" t="s">
        <v>93</v>
      </c>
      <c r="F38" s="8">
        <v>16</v>
      </c>
      <c r="G38" s="8" t="s">
        <v>94</v>
      </c>
      <c r="H38" s="8" t="s">
        <v>95</v>
      </c>
      <c r="I38" s="8">
        <v>1</v>
      </c>
      <c r="J38" s="8" t="s">
        <v>95</v>
      </c>
      <c r="K38" s="8">
        <v>1</v>
      </c>
      <c r="L38" s="8" t="s">
        <v>95</v>
      </c>
      <c r="M38" s="8">
        <v>1</v>
      </c>
      <c r="N38" s="8" t="s">
        <v>95</v>
      </c>
      <c r="O38" s="8">
        <v>1</v>
      </c>
      <c r="P38" s="8" t="s">
        <v>95</v>
      </c>
      <c r="Q38" s="8">
        <v>1</v>
      </c>
      <c r="R38" s="8" t="s">
        <v>95</v>
      </c>
      <c r="S38" s="8">
        <v>1</v>
      </c>
      <c r="T38" s="8" t="s">
        <v>95</v>
      </c>
      <c r="U38" s="8">
        <v>1</v>
      </c>
      <c r="V38" s="8" t="s">
        <v>95</v>
      </c>
      <c r="W38" s="8">
        <v>1</v>
      </c>
      <c r="X38" s="8" t="s">
        <v>95</v>
      </c>
      <c r="Y38" s="8">
        <v>1</v>
      </c>
      <c r="Z38" s="8" t="s">
        <v>95</v>
      </c>
      <c r="AA38" s="8">
        <v>1</v>
      </c>
      <c r="AB38" s="8" t="s">
        <v>95</v>
      </c>
      <c r="AC38" s="8">
        <v>1</v>
      </c>
      <c r="AD38" s="8" t="s">
        <v>95</v>
      </c>
      <c r="AE38" s="8">
        <v>1</v>
      </c>
      <c r="AF38" s="8" t="s">
        <v>95</v>
      </c>
      <c r="AG38" s="8">
        <v>1</v>
      </c>
      <c r="AH38" s="8" t="s">
        <v>95</v>
      </c>
      <c r="AI38" s="8">
        <v>1</v>
      </c>
      <c r="AJ38" s="8" t="s">
        <v>95</v>
      </c>
      <c r="AK38" s="8">
        <v>1</v>
      </c>
      <c r="AL38" s="8" t="s">
        <v>95</v>
      </c>
      <c r="AM38" s="8">
        <v>1</v>
      </c>
      <c r="AN38" s="8">
        <v>16</v>
      </c>
    </row>
    <row r="39" spans="1:40" x14ac:dyDescent="0.25">
      <c r="A39" s="8" t="s">
        <v>99</v>
      </c>
      <c r="B39" s="9">
        <v>42033.65347222222</v>
      </c>
      <c r="C39" s="8">
        <v>0</v>
      </c>
      <c r="D39" s="9">
        <v>42033.666666666664</v>
      </c>
      <c r="E39" s="8" t="s">
        <v>93</v>
      </c>
      <c r="F39" s="8">
        <v>16</v>
      </c>
      <c r="G39" s="8" t="s">
        <v>94</v>
      </c>
      <c r="H39" s="8" t="s">
        <v>95</v>
      </c>
      <c r="I39" s="8">
        <v>1</v>
      </c>
      <c r="J39" s="8" t="s">
        <v>95</v>
      </c>
      <c r="K39" s="8">
        <v>1</v>
      </c>
      <c r="L39" s="8" t="s">
        <v>95</v>
      </c>
      <c r="M39" s="8">
        <v>1</v>
      </c>
      <c r="N39" s="8" t="s">
        <v>95</v>
      </c>
      <c r="O39" s="8">
        <v>1</v>
      </c>
      <c r="P39" s="8" t="s">
        <v>95</v>
      </c>
      <c r="Q39" s="8">
        <v>1</v>
      </c>
      <c r="R39" s="8" t="s">
        <v>95</v>
      </c>
      <c r="S39" s="8">
        <v>1</v>
      </c>
      <c r="T39" s="8" t="s">
        <v>95</v>
      </c>
      <c r="U39" s="8">
        <v>1</v>
      </c>
      <c r="V39" s="8" t="s">
        <v>95</v>
      </c>
      <c r="W39" s="8">
        <v>1</v>
      </c>
      <c r="X39" s="8" t="s">
        <v>95</v>
      </c>
      <c r="Y39" s="8">
        <v>1</v>
      </c>
      <c r="Z39" s="8" t="s">
        <v>95</v>
      </c>
      <c r="AA39" s="8">
        <v>1</v>
      </c>
      <c r="AB39" s="8" t="s">
        <v>95</v>
      </c>
      <c r="AC39" s="8">
        <v>1</v>
      </c>
      <c r="AD39" s="8" t="s">
        <v>95</v>
      </c>
      <c r="AE39" s="8">
        <v>1</v>
      </c>
      <c r="AF39" s="8" t="s">
        <v>95</v>
      </c>
      <c r="AG39" s="8">
        <v>1</v>
      </c>
      <c r="AH39" s="8" t="s">
        <v>95</v>
      </c>
      <c r="AI39" s="8">
        <v>1</v>
      </c>
      <c r="AJ39" s="8" t="s">
        <v>95</v>
      </c>
      <c r="AK39" s="8">
        <v>1</v>
      </c>
      <c r="AL39" s="8" t="s">
        <v>95</v>
      </c>
      <c r="AM39" s="8">
        <v>1</v>
      </c>
      <c r="AN39" s="8">
        <v>16</v>
      </c>
    </row>
    <row r="40" spans="1:40" x14ac:dyDescent="0.25">
      <c r="A40" s="8" t="s">
        <v>100</v>
      </c>
      <c r="B40" s="9">
        <v>42033.651388888888</v>
      </c>
      <c r="C40" s="8">
        <v>0</v>
      </c>
      <c r="D40" s="9">
        <v>42033.666666666664</v>
      </c>
      <c r="E40" s="8" t="s">
        <v>93</v>
      </c>
      <c r="F40" s="8">
        <v>1</v>
      </c>
      <c r="G40" s="8" t="s">
        <v>94</v>
      </c>
      <c r="H40" s="8" t="s">
        <v>94</v>
      </c>
      <c r="I40" s="8">
        <v>0</v>
      </c>
      <c r="J40" s="8" t="s">
        <v>94</v>
      </c>
      <c r="K40" s="8">
        <v>0</v>
      </c>
      <c r="L40" s="8" t="s">
        <v>94</v>
      </c>
      <c r="M40" s="8">
        <v>0</v>
      </c>
      <c r="N40" s="8" t="s">
        <v>94</v>
      </c>
      <c r="O40" s="8">
        <v>0</v>
      </c>
      <c r="P40" s="8" t="s">
        <v>94</v>
      </c>
      <c r="Q40" s="8">
        <v>0</v>
      </c>
      <c r="R40" s="8" t="s">
        <v>95</v>
      </c>
      <c r="S40" s="8">
        <v>1</v>
      </c>
      <c r="T40" s="8" t="s">
        <v>94</v>
      </c>
      <c r="U40" s="8">
        <v>0</v>
      </c>
      <c r="V40" s="8" t="s">
        <v>94</v>
      </c>
      <c r="W40" s="8">
        <v>0</v>
      </c>
      <c r="X40" s="8" t="s">
        <v>94</v>
      </c>
      <c r="Y40" s="8">
        <v>0</v>
      </c>
      <c r="Z40" s="8" t="s">
        <v>94</v>
      </c>
      <c r="AA40" s="8">
        <v>0</v>
      </c>
      <c r="AB40" s="8" t="s">
        <v>94</v>
      </c>
      <c r="AC40" s="8">
        <v>0</v>
      </c>
      <c r="AD40" s="8" t="s">
        <v>94</v>
      </c>
      <c r="AE40" s="8">
        <v>0</v>
      </c>
      <c r="AF40" s="8" t="s">
        <v>94</v>
      </c>
      <c r="AG40" s="8">
        <v>0</v>
      </c>
      <c r="AH40" s="8" t="s">
        <v>94</v>
      </c>
      <c r="AI40" s="8">
        <v>0</v>
      </c>
      <c r="AJ40" s="8" t="s">
        <v>94</v>
      </c>
      <c r="AK40" s="8">
        <v>0</v>
      </c>
      <c r="AL40" s="8" t="s">
        <v>94</v>
      </c>
      <c r="AM40" s="8">
        <v>0</v>
      </c>
      <c r="AN40" s="8">
        <v>1</v>
      </c>
    </row>
    <row r="41" spans="1:40" x14ac:dyDescent="0.25">
      <c r="A41" s="8" t="s">
        <v>101</v>
      </c>
      <c r="B41" s="9">
        <v>42033.65</v>
      </c>
      <c r="C41" s="8">
        <v>0</v>
      </c>
      <c r="D41" s="9">
        <v>42033.668055555558</v>
      </c>
      <c r="E41" s="8" t="s">
        <v>93</v>
      </c>
      <c r="F41" s="8">
        <v>15</v>
      </c>
      <c r="G41" s="8" t="s">
        <v>94</v>
      </c>
      <c r="H41" s="8" t="s">
        <v>95</v>
      </c>
      <c r="I41" s="8">
        <v>1</v>
      </c>
      <c r="J41" s="8" t="s">
        <v>95</v>
      </c>
      <c r="K41" s="8">
        <v>1</v>
      </c>
      <c r="L41" s="8" t="s">
        <v>95</v>
      </c>
      <c r="M41" s="8">
        <v>1</v>
      </c>
      <c r="N41" s="8" t="s">
        <v>95</v>
      </c>
      <c r="O41" s="8">
        <v>1</v>
      </c>
      <c r="P41" s="8" t="s">
        <v>95</v>
      </c>
      <c r="Q41" s="8">
        <v>1</v>
      </c>
      <c r="R41" s="8" t="s">
        <v>95</v>
      </c>
      <c r="S41" s="8">
        <v>1</v>
      </c>
      <c r="T41" s="8" t="s">
        <v>95</v>
      </c>
      <c r="U41" s="8">
        <v>1</v>
      </c>
      <c r="V41" s="8" t="s">
        <v>95</v>
      </c>
      <c r="W41" s="8">
        <v>1</v>
      </c>
      <c r="X41" s="8" t="s">
        <v>95</v>
      </c>
      <c r="Y41" s="8">
        <v>1</v>
      </c>
      <c r="Z41" s="8" t="s">
        <v>95</v>
      </c>
      <c r="AA41" s="8">
        <v>1</v>
      </c>
      <c r="AB41" s="8" t="s">
        <v>95</v>
      </c>
      <c r="AC41" s="8">
        <v>1</v>
      </c>
      <c r="AD41" s="8" t="s">
        <v>95</v>
      </c>
      <c r="AE41" s="8">
        <v>1</v>
      </c>
      <c r="AF41" s="8" t="s">
        <v>95</v>
      </c>
      <c r="AG41" s="8">
        <v>1</v>
      </c>
      <c r="AH41" s="8" t="s">
        <v>95</v>
      </c>
      <c r="AI41" s="8">
        <v>1</v>
      </c>
      <c r="AJ41" s="8" t="s">
        <v>94</v>
      </c>
      <c r="AK41" s="8">
        <v>0</v>
      </c>
      <c r="AL41" s="8" t="s">
        <v>95</v>
      </c>
      <c r="AM41" s="8">
        <v>1</v>
      </c>
      <c r="AN41" s="8">
        <v>15</v>
      </c>
    </row>
    <row r="42" spans="1:40" x14ac:dyDescent="0.25">
      <c r="A42" s="8" t="s">
        <v>102</v>
      </c>
      <c r="B42" s="9">
        <v>42033.668055555558</v>
      </c>
      <c r="C42" s="8">
        <v>0</v>
      </c>
      <c r="D42" s="9">
        <v>42033.676388888889</v>
      </c>
      <c r="E42" s="8" t="s">
        <v>93</v>
      </c>
      <c r="F42" s="8">
        <v>16</v>
      </c>
      <c r="G42" s="8" t="s">
        <v>94</v>
      </c>
      <c r="H42" s="8" t="s">
        <v>95</v>
      </c>
      <c r="I42" s="8">
        <v>1</v>
      </c>
      <c r="J42" s="8" t="s">
        <v>95</v>
      </c>
      <c r="K42" s="8">
        <v>1</v>
      </c>
      <c r="L42" s="8" t="s">
        <v>95</v>
      </c>
      <c r="M42" s="8">
        <v>1</v>
      </c>
      <c r="N42" s="8" t="s">
        <v>95</v>
      </c>
      <c r="O42" s="8">
        <v>1</v>
      </c>
      <c r="P42" s="8" t="s">
        <v>95</v>
      </c>
      <c r="Q42" s="8">
        <v>1</v>
      </c>
      <c r="R42" s="8" t="s">
        <v>95</v>
      </c>
      <c r="S42" s="8">
        <v>1</v>
      </c>
      <c r="T42" s="8" t="s">
        <v>95</v>
      </c>
      <c r="U42" s="8">
        <v>1</v>
      </c>
      <c r="V42" s="8" t="s">
        <v>95</v>
      </c>
      <c r="W42" s="8">
        <v>1</v>
      </c>
      <c r="X42" s="8" t="s">
        <v>95</v>
      </c>
      <c r="Y42" s="8">
        <v>1</v>
      </c>
      <c r="Z42" s="8" t="s">
        <v>95</v>
      </c>
      <c r="AA42" s="8">
        <v>1</v>
      </c>
      <c r="AB42" s="8" t="s">
        <v>95</v>
      </c>
      <c r="AC42" s="8">
        <v>1</v>
      </c>
      <c r="AD42" s="8" t="s">
        <v>95</v>
      </c>
      <c r="AE42" s="8">
        <v>1</v>
      </c>
      <c r="AF42" s="8" t="s">
        <v>95</v>
      </c>
      <c r="AG42" s="8">
        <v>1</v>
      </c>
      <c r="AH42" s="8" t="s">
        <v>95</v>
      </c>
      <c r="AI42" s="8">
        <v>1</v>
      </c>
      <c r="AJ42" s="8" t="s">
        <v>95</v>
      </c>
      <c r="AK42" s="8">
        <v>1</v>
      </c>
      <c r="AL42" s="8" t="s">
        <v>95</v>
      </c>
      <c r="AM42" s="8">
        <v>1</v>
      </c>
      <c r="AN42" s="8">
        <v>16</v>
      </c>
    </row>
    <row r="43" spans="1:40" x14ac:dyDescent="0.25">
      <c r="A43" s="8" t="s">
        <v>103</v>
      </c>
      <c r="B43" s="9">
        <v>42033.668749999997</v>
      </c>
      <c r="C43" s="8">
        <v>0</v>
      </c>
      <c r="D43" s="9">
        <v>42033.677777777775</v>
      </c>
      <c r="E43" s="8" t="s">
        <v>93</v>
      </c>
      <c r="F43" s="8">
        <v>16</v>
      </c>
      <c r="G43" s="8" t="s">
        <v>94</v>
      </c>
      <c r="H43" s="8" t="s">
        <v>95</v>
      </c>
      <c r="I43" s="8">
        <v>1</v>
      </c>
      <c r="J43" s="8" t="s">
        <v>95</v>
      </c>
      <c r="K43" s="8">
        <v>1</v>
      </c>
      <c r="L43" s="8" t="s">
        <v>95</v>
      </c>
      <c r="M43" s="8">
        <v>1</v>
      </c>
      <c r="N43" s="8" t="s">
        <v>95</v>
      </c>
      <c r="O43" s="8">
        <v>1</v>
      </c>
      <c r="P43" s="8" t="s">
        <v>95</v>
      </c>
      <c r="Q43" s="8">
        <v>1</v>
      </c>
      <c r="R43" s="8" t="s">
        <v>95</v>
      </c>
      <c r="S43" s="8">
        <v>1</v>
      </c>
      <c r="T43" s="8" t="s">
        <v>95</v>
      </c>
      <c r="U43" s="8">
        <v>1</v>
      </c>
      <c r="V43" s="8" t="s">
        <v>95</v>
      </c>
      <c r="W43" s="8">
        <v>1</v>
      </c>
      <c r="X43" s="8" t="s">
        <v>95</v>
      </c>
      <c r="Y43" s="8">
        <v>1</v>
      </c>
      <c r="Z43" s="8" t="s">
        <v>95</v>
      </c>
      <c r="AA43" s="8">
        <v>1</v>
      </c>
      <c r="AB43" s="8" t="s">
        <v>95</v>
      </c>
      <c r="AC43" s="8">
        <v>1</v>
      </c>
      <c r="AD43" s="8" t="s">
        <v>95</v>
      </c>
      <c r="AE43" s="8">
        <v>1</v>
      </c>
      <c r="AF43" s="8" t="s">
        <v>95</v>
      </c>
      <c r="AG43" s="8">
        <v>1</v>
      </c>
      <c r="AH43" s="8" t="s">
        <v>95</v>
      </c>
      <c r="AI43" s="8">
        <v>1</v>
      </c>
      <c r="AJ43" s="8" t="s">
        <v>95</v>
      </c>
      <c r="AK43" s="8">
        <v>1</v>
      </c>
      <c r="AL43" s="8" t="s">
        <v>95</v>
      </c>
      <c r="AM43" s="8">
        <v>1</v>
      </c>
      <c r="AN43" s="8">
        <v>16</v>
      </c>
    </row>
    <row r="44" spans="1:40" x14ac:dyDescent="0.25">
      <c r="A44" s="8" t="s">
        <v>104</v>
      </c>
      <c r="B44" s="9">
        <v>42033.666666666664</v>
      </c>
      <c r="C44" s="8">
        <v>0</v>
      </c>
      <c r="D44" s="9">
        <v>42033.679861111108</v>
      </c>
      <c r="E44" s="8" t="s">
        <v>93</v>
      </c>
      <c r="F44" s="8">
        <v>16</v>
      </c>
      <c r="G44" s="8" t="s">
        <v>94</v>
      </c>
      <c r="H44" s="8" t="s">
        <v>95</v>
      </c>
      <c r="I44" s="8">
        <v>1</v>
      </c>
      <c r="J44" s="8" t="s">
        <v>95</v>
      </c>
      <c r="K44" s="8">
        <v>1</v>
      </c>
      <c r="L44" s="8" t="s">
        <v>95</v>
      </c>
      <c r="M44" s="8">
        <v>1</v>
      </c>
      <c r="N44" s="8" t="s">
        <v>95</v>
      </c>
      <c r="O44" s="8">
        <v>1</v>
      </c>
      <c r="P44" s="8" t="s">
        <v>95</v>
      </c>
      <c r="Q44" s="8">
        <v>1</v>
      </c>
      <c r="R44" s="8" t="s">
        <v>95</v>
      </c>
      <c r="S44" s="8">
        <v>1</v>
      </c>
      <c r="T44" s="8" t="s">
        <v>95</v>
      </c>
      <c r="U44" s="8">
        <v>1</v>
      </c>
      <c r="V44" s="8" t="s">
        <v>95</v>
      </c>
      <c r="W44" s="8">
        <v>1</v>
      </c>
      <c r="X44" s="8" t="s">
        <v>95</v>
      </c>
      <c r="Y44" s="8">
        <v>1</v>
      </c>
      <c r="Z44" s="8" t="s">
        <v>95</v>
      </c>
      <c r="AA44" s="8">
        <v>1</v>
      </c>
      <c r="AB44" s="8" t="s">
        <v>95</v>
      </c>
      <c r="AC44" s="8">
        <v>1</v>
      </c>
      <c r="AD44" s="8" t="s">
        <v>95</v>
      </c>
      <c r="AE44" s="8">
        <v>1</v>
      </c>
      <c r="AF44" s="8" t="s">
        <v>95</v>
      </c>
      <c r="AG44" s="8">
        <v>1</v>
      </c>
      <c r="AH44" s="8" t="s">
        <v>95</v>
      </c>
      <c r="AI44" s="8">
        <v>1</v>
      </c>
      <c r="AJ44" s="8" t="s">
        <v>95</v>
      </c>
      <c r="AK44" s="8">
        <v>1</v>
      </c>
      <c r="AL44" s="8" t="s">
        <v>95</v>
      </c>
      <c r="AM44" s="8">
        <v>1</v>
      </c>
      <c r="AN44" s="8">
        <v>16</v>
      </c>
    </row>
    <row r="45" spans="1:40" x14ac:dyDescent="0.25">
      <c r="A45" s="8" t="s">
        <v>105</v>
      </c>
      <c r="B45" s="9">
        <v>42033.668055555558</v>
      </c>
      <c r="C45" s="8">
        <v>0</v>
      </c>
      <c r="D45" s="9">
        <v>42033.679861111108</v>
      </c>
      <c r="E45" s="8" t="s">
        <v>93</v>
      </c>
      <c r="F45" s="8">
        <v>10</v>
      </c>
      <c r="G45" s="8" t="s">
        <v>94</v>
      </c>
      <c r="H45" s="8" t="s">
        <v>95</v>
      </c>
      <c r="I45" s="8">
        <v>1</v>
      </c>
      <c r="J45" s="8" t="s">
        <v>94</v>
      </c>
      <c r="K45" s="8">
        <v>0</v>
      </c>
      <c r="L45" s="8" t="s">
        <v>94</v>
      </c>
      <c r="M45" s="8">
        <v>0</v>
      </c>
      <c r="N45" s="8" t="s">
        <v>94</v>
      </c>
      <c r="O45" s="8">
        <v>0</v>
      </c>
      <c r="P45" s="8" t="s">
        <v>95</v>
      </c>
      <c r="Q45" s="8">
        <v>1</v>
      </c>
      <c r="R45" s="8" t="s">
        <v>95</v>
      </c>
      <c r="S45" s="8">
        <v>1</v>
      </c>
      <c r="T45" s="8" t="s">
        <v>94</v>
      </c>
      <c r="U45" s="8">
        <v>0</v>
      </c>
      <c r="V45" s="8" t="s">
        <v>95</v>
      </c>
      <c r="W45" s="8">
        <v>1</v>
      </c>
      <c r="X45" s="8" t="s">
        <v>94</v>
      </c>
      <c r="Y45" s="8">
        <v>0</v>
      </c>
      <c r="Z45" s="8" t="s">
        <v>95</v>
      </c>
      <c r="AA45" s="8">
        <v>1</v>
      </c>
      <c r="AB45" s="8" t="s">
        <v>95</v>
      </c>
      <c r="AC45" s="8">
        <v>1</v>
      </c>
      <c r="AD45" s="8" t="s">
        <v>95</v>
      </c>
      <c r="AE45" s="8">
        <v>1</v>
      </c>
      <c r="AF45" s="8" t="s">
        <v>95</v>
      </c>
      <c r="AG45" s="8">
        <v>1</v>
      </c>
      <c r="AH45" s="8" t="s">
        <v>95</v>
      </c>
      <c r="AI45" s="8">
        <v>1</v>
      </c>
      <c r="AJ45" s="8" t="s">
        <v>95</v>
      </c>
      <c r="AK45" s="8">
        <v>1</v>
      </c>
      <c r="AL45" s="8" t="s">
        <v>94</v>
      </c>
      <c r="AM45" s="8">
        <v>0</v>
      </c>
      <c r="AN45" s="8">
        <v>10</v>
      </c>
    </row>
    <row r="46" spans="1:40" x14ac:dyDescent="0.25">
      <c r="A46" s="8" t="s">
        <v>106</v>
      </c>
      <c r="B46" s="9">
        <v>42033.650694444441</v>
      </c>
      <c r="C46" s="8">
        <v>0</v>
      </c>
      <c r="D46" s="9">
        <v>42033.683333333334</v>
      </c>
      <c r="E46" s="8" t="s">
        <v>93</v>
      </c>
      <c r="F46" s="8">
        <v>15</v>
      </c>
      <c r="G46" s="8" t="s">
        <v>94</v>
      </c>
      <c r="H46" s="8" t="s">
        <v>95</v>
      </c>
      <c r="I46" s="8">
        <v>1</v>
      </c>
      <c r="J46" s="8" t="s">
        <v>95</v>
      </c>
      <c r="K46" s="8">
        <v>1</v>
      </c>
      <c r="L46" s="8" t="s">
        <v>95</v>
      </c>
      <c r="M46" s="8">
        <v>1</v>
      </c>
      <c r="N46" s="8" t="s">
        <v>94</v>
      </c>
      <c r="O46" s="8">
        <v>0</v>
      </c>
      <c r="P46" s="8" t="s">
        <v>95</v>
      </c>
      <c r="Q46" s="8">
        <v>1</v>
      </c>
      <c r="R46" s="8" t="s">
        <v>95</v>
      </c>
      <c r="S46" s="8">
        <v>1</v>
      </c>
      <c r="T46" s="8" t="s">
        <v>95</v>
      </c>
      <c r="U46" s="8">
        <v>1</v>
      </c>
      <c r="V46" s="8" t="s">
        <v>95</v>
      </c>
      <c r="W46" s="8">
        <v>1</v>
      </c>
      <c r="X46" s="8" t="s">
        <v>95</v>
      </c>
      <c r="Y46" s="8">
        <v>1</v>
      </c>
      <c r="Z46" s="8" t="s">
        <v>95</v>
      </c>
      <c r="AA46" s="8">
        <v>1</v>
      </c>
      <c r="AB46" s="8" t="s">
        <v>95</v>
      </c>
      <c r="AC46" s="8">
        <v>1</v>
      </c>
      <c r="AD46" s="8" t="s">
        <v>95</v>
      </c>
      <c r="AE46" s="8">
        <v>1</v>
      </c>
      <c r="AF46" s="8" t="s">
        <v>95</v>
      </c>
      <c r="AG46" s="8">
        <v>1</v>
      </c>
      <c r="AH46" s="8" t="s">
        <v>95</v>
      </c>
      <c r="AI46" s="8">
        <v>1</v>
      </c>
      <c r="AJ46" s="8" t="s">
        <v>95</v>
      </c>
      <c r="AK46" s="8">
        <v>1</v>
      </c>
      <c r="AL46" s="8" t="s">
        <v>95</v>
      </c>
      <c r="AM46" s="8">
        <v>1</v>
      </c>
      <c r="AN46" s="8">
        <v>15</v>
      </c>
    </row>
    <row r="47" spans="1:40" x14ac:dyDescent="0.25">
      <c r="A47" s="8" t="s">
        <v>107</v>
      </c>
      <c r="B47" s="9">
        <v>42033.67291666667</v>
      </c>
      <c r="C47" s="8">
        <v>0</v>
      </c>
      <c r="D47" s="9">
        <v>42033.6875</v>
      </c>
      <c r="E47" s="8" t="s">
        <v>93</v>
      </c>
      <c r="F47" s="8">
        <v>2</v>
      </c>
      <c r="G47" s="8" t="s">
        <v>94</v>
      </c>
      <c r="H47" s="8" t="s">
        <v>94</v>
      </c>
      <c r="I47" s="8">
        <v>0</v>
      </c>
      <c r="J47" s="8" t="s">
        <v>95</v>
      </c>
      <c r="K47" s="8">
        <v>1</v>
      </c>
      <c r="L47" s="8" t="s">
        <v>94</v>
      </c>
      <c r="M47" s="8">
        <v>0</v>
      </c>
      <c r="N47" s="8" t="s">
        <v>94</v>
      </c>
      <c r="O47" s="8">
        <v>0</v>
      </c>
      <c r="P47" s="8" t="s">
        <v>94</v>
      </c>
      <c r="Q47" s="8">
        <v>0</v>
      </c>
      <c r="R47" s="8" t="s">
        <v>94</v>
      </c>
      <c r="S47" s="8">
        <v>0</v>
      </c>
      <c r="T47" s="8" t="s">
        <v>94</v>
      </c>
      <c r="U47" s="8">
        <v>0</v>
      </c>
      <c r="V47" s="8" t="s">
        <v>94</v>
      </c>
      <c r="W47" s="8">
        <v>0</v>
      </c>
      <c r="X47" s="8" t="s">
        <v>94</v>
      </c>
      <c r="Y47" s="8">
        <v>0</v>
      </c>
      <c r="Z47" s="8" t="s">
        <v>94</v>
      </c>
      <c r="AA47" s="8">
        <v>0</v>
      </c>
      <c r="AB47" s="8" t="s">
        <v>94</v>
      </c>
      <c r="AC47" s="8">
        <v>0</v>
      </c>
      <c r="AD47" s="8" t="s">
        <v>95</v>
      </c>
      <c r="AE47" s="8">
        <v>1</v>
      </c>
      <c r="AF47" s="8" t="s">
        <v>94</v>
      </c>
      <c r="AG47" s="8">
        <v>0</v>
      </c>
      <c r="AH47" s="8" t="s">
        <v>94</v>
      </c>
      <c r="AI47" s="8">
        <v>0</v>
      </c>
      <c r="AJ47" s="8" t="s">
        <v>94</v>
      </c>
      <c r="AK47" s="8">
        <v>0</v>
      </c>
      <c r="AL47" s="8" t="s">
        <v>94</v>
      </c>
      <c r="AM47" s="8">
        <v>0</v>
      </c>
      <c r="AN47" s="8">
        <v>2</v>
      </c>
    </row>
    <row r="48" spans="1:40" x14ac:dyDescent="0.25">
      <c r="A48" s="8" t="s">
        <v>108</v>
      </c>
      <c r="B48" s="9">
        <v>42033.65</v>
      </c>
      <c r="C48" s="8">
        <v>0</v>
      </c>
      <c r="D48" s="9">
        <v>42033.69027777778</v>
      </c>
      <c r="E48" s="8" t="s">
        <v>93</v>
      </c>
      <c r="F48" s="8">
        <v>10</v>
      </c>
      <c r="G48" s="8" t="s">
        <v>94</v>
      </c>
      <c r="H48" s="8" t="s">
        <v>94</v>
      </c>
      <c r="I48" s="8">
        <v>0</v>
      </c>
      <c r="J48" s="8" t="s">
        <v>94</v>
      </c>
      <c r="K48" s="8">
        <v>0</v>
      </c>
      <c r="L48" s="8" t="s">
        <v>94</v>
      </c>
      <c r="M48" s="8">
        <v>0</v>
      </c>
      <c r="N48" s="8" t="s">
        <v>94</v>
      </c>
      <c r="O48" s="8">
        <v>0</v>
      </c>
      <c r="P48" s="8" t="s">
        <v>95</v>
      </c>
      <c r="Q48" s="8">
        <v>1</v>
      </c>
      <c r="R48" s="8" t="s">
        <v>95</v>
      </c>
      <c r="S48" s="8">
        <v>1</v>
      </c>
      <c r="T48" s="8" t="s">
        <v>95</v>
      </c>
      <c r="U48" s="8">
        <v>1</v>
      </c>
      <c r="V48" s="8" t="s">
        <v>95</v>
      </c>
      <c r="W48" s="8">
        <v>1</v>
      </c>
      <c r="X48" s="8" t="s">
        <v>95</v>
      </c>
      <c r="Y48" s="8">
        <v>1</v>
      </c>
      <c r="Z48" s="8" t="s">
        <v>95</v>
      </c>
      <c r="AA48" s="8">
        <v>1</v>
      </c>
      <c r="AB48" s="8" t="s">
        <v>95</v>
      </c>
      <c r="AC48" s="8">
        <v>1</v>
      </c>
      <c r="AD48" s="8" t="s">
        <v>95</v>
      </c>
      <c r="AE48" s="8">
        <v>1</v>
      </c>
      <c r="AF48" s="8" t="s">
        <v>94</v>
      </c>
      <c r="AG48" s="8">
        <v>0</v>
      </c>
      <c r="AH48" s="8" t="s">
        <v>95</v>
      </c>
      <c r="AI48" s="8">
        <v>1</v>
      </c>
      <c r="AJ48" s="8" t="s">
        <v>95</v>
      </c>
      <c r="AK48" s="8">
        <v>1</v>
      </c>
      <c r="AL48" s="8" t="s">
        <v>94</v>
      </c>
      <c r="AM48" s="8">
        <v>0</v>
      </c>
      <c r="AN48" s="8">
        <v>10</v>
      </c>
    </row>
    <row r="49" spans="1:40" x14ac:dyDescent="0.25">
      <c r="A49" s="8" t="s">
        <v>109</v>
      </c>
      <c r="B49" s="9">
        <v>42033.652083333334</v>
      </c>
      <c r="C49" s="8">
        <v>0</v>
      </c>
      <c r="D49" s="9">
        <v>42033.690972222219</v>
      </c>
      <c r="E49" s="8" t="s">
        <v>93</v>
      </c>
      <c r="F49" s="8">
        <v>16</v>
      </c>
      <c r="G49" s="8" t="s">
        <v>94</v>
      </c>
      <c r="H49" s="8" t="s">
        <v>95</v>
      </c>
      <c r="I49" s="8">
        <v>1</v>
      </c>
      <c r="J49" s="8" t="s">
        <v>95</v>
      </c>
      <c r="K49" s="8">
        <v>1</v>
      </c>
      <c r="L49" s="8" t="s">
        <v>95</v>
      </c>
      <c r="M49" s="8">
        <v>1</v>
      </c>
      <c r="N49" s="8" t="s">
        <v>95</v>
      </c>
      <c r="O49" s="8">
        <v>1</v>
      </c>
      <c r="P49" s="8" t="s">
        <v>95</v>
      </c>
      <c r="Q49" s="8">
        <v>1</v>
      </c>
      <c r="R49" s="8" t="s">
        <v>95</v>
      </c>
      <c r="S49" s="8">
        <v>1</v>
      </c>
      <c r="T49" s="8" t="s">
        <v>95</v>
      </c>
      <c r="U49" s="8">
        <v>1</v>
      </c>
      <c r="V49" s="8" t="s">
        <v>95</v>
      </c>
      <c r="W49" s="8">
        <v>1</v>
      </c>
      <c r="X49" s="8" t="s">
        <v>95</v>
      </c>
      <c r="Y49" s="8">
        <v>1</v>
      </c>
      <c r="Z49" s="8" t="s">
        <v>95</v>
      </c>
      <c r="AA49" s="8">
        <v>1</v>
      </c>
      <c r="AB49" s="8" t="s">
        <v>95</v>
      </c>
      <c r="AC49" s="8">
        <v>1</v>
      </c>
      <c r="AD49" s="8" t="s">
        <v>95</v>
      </c>
      <c r="AE49" s="8">
        <v>1</v>
      </c>
      <c r="AF49" s="8" t="s">
        <v>95</v>
      </c>
      <c r="AG49" s="8">
        <v>1</v>
      </c>
      <c r="AH49" s="8" t="s">
        <v>95</v>
      </c>
      <c r="AI49" s="8">
        <v>1</v>
      </c>
      <c r="AJ49" s="8" t="s">
        <v>95</v>
      </c>
      <c r="AK49" s="8">
        <v>1</v>
      </c>
      <c r="AL49" s="8" t="s">
        <v>95</v>
      </c>
      <c r="AM49" s="8">
        <v>1</v>
      </c>
      <c r="AN49" s="8">
        <v>16</v>
      </c>
    </row>
    <row r="50" spans="1:40" x14ac:dyDescent="0.25">
      <c r="A50" s="8" t="s">
        <v>110</v>
      </c>
      <c r="B50" s="9">
        <v>42033.670138888891</v>
      </c>
      <c r="C50" s="8">
        <v>0</v>
      </c>
      <c r="D50" s="9">
        <v>42033.693055555559</v>
      </c>
      <c r="E50" s="8" t="s">
        <v>93</v>
      </c>
      <c r="F50" s="8">
        <v>15</v>
      </c>
      <c r="G50" s="8" t="s">
        <v>94</v>
      </c>
      <c r="H50" s="8" t="s">
        <v>95</v>
      </c>
      <c r="I50" s="8">
        <v>1</v>
      </c>
      <c r="J50" s="8" t="s">
        <v>95</v>
      </c>
      <c r="K50" s="8">
        <v>1</v>
      </c>
      <c r="L50" s="8" t="s">
        <v>95</v>
      </c>
      <c r="M50" s="8">
        <v>1</v>
      </c>
      <c r="N50" s="8" t="s">
        <v>95</v>
      </c>
      <c r="O50" s="8">
        <v>1</v>
      </c>
      <c r="P50" s="8" t="s">
        <v>95</v>
      </c>
      <c r="Q50" s="8">
        <v>1</v>
      </c>
      <c r="R50" s="8" t="s">
        <v>95</v>
      </c>
      <c r="S50" s="8">
        <v>1</v>
      </c>
      <c r="T50" s="8" t="s">
        <v>94</v>
      </c>
      <c r="U50" s="8">
        <v>0</v>
      </c>
      <c r="V50" s="8" t="s">
        <v>95</v>
      </c>
      <c r="W50" s="8">
        <v>1</v>
      </c>
      <c r="X50" s="8" t="s">
        <v>95</v>
      </c>
      <c r="Y50" s="8">
        <v>1</v>
      </c>
      <c r="Z50" s="8" t="s">
        <v>95</v>
      </c>
      <c r="AA50" s="8">
        <v>1</v>
      </c>
      <c r="AB50" s="8" t="s">
        <v>95</v>
      </c>
      <c r="AC50" s="8">
        <v>1</v>
      </c>
      <c r="AD50" s="8" t="s">
        <v>95</v>
      </c>
      <c r="AE50" s="8">
        <v>1</v>
      </c>
      <c r="AF50" s="8" t="s">
        <v>95</v>
      </c>
      <c r="AG50" s="8">
        <v>1</v>
      </c>
      <c r="AH50" s="8" t="s">
        <v>95</v>
      </c>
      <c r="AI50" s="8">
        <v>1</v>
      </c>
      <c r="AJ50" s="8" t="s">
        <v>95</v>
      </c>
      <c r="AK50" s="8">
        <v>1</v>
      </c>
      <c r="AL50" s="8" t="s">
        <v>95</v>
      </c>
      <c r="AM50" s="8">
        <v>1</v>
      </c>
      <c r="AN50" s="8">
        <v>15</v>
      </c>
    </row>
    <row r="51" spans="1:40" x14ac:dyDescent="0.25">
      <c r="A51" s="8" t="s">
        <v>111</v>
      </c>
      <c r="B51" s="9">
        <v>42033.685416666667</v>
      </c>
      <c r="C51" s="8">
        <v>0</v>
      </c>
      <c r="D51" s="9">
        <v>42033.709027777775</v>
      </c>
      <c r="E51" s="8" t="s">
        <v>93</v>
      </c>
      <c r="F51" s="8">
        <v>16</v>
      </c>
      <c r="G51" s="8" t="s">
        <v>94</v>
      </c>
      <c r="H51" s="8" t="s">
        <v>95</v>
      </c>
      <c r="I51" s="8">
        <v>1</v>
      </c>
      <c r="J51" s="8" t="s">
        <v>95</v>
      </c>
      <c r="K51" s="8">
        <v>1</v>
      </c>
      <c r="L51" s="8" t="s">
        <v>95</v>
      </c>
      <c r="M51" s="8">
        <v>1</v>
      </c>
      <c r="N51" s="8" t="s">
        <v>95</v>
      </c>
      <c r="O51" s="8">
        <v>1</v>
      </c>
      <c r="P51" s="8" t="s">
        <v>95</v>
      </c>
      <c r="Q51" s="8">
        <v>1</v>
      </c>
      <c r="R51" s="8" t="s">
        <v>95</v>
      </c>
      <c r="S51" s="8">
        <v>1</v>
      </c>
      <c r="T51" s="8" t="s">
        <v>95</v>
      </c>
      <c r="U51" s="8">
        <v>1</v>
      </c>
      <c r="V51" s="8" t="s">
        <v>95</v>
      </c>
      <c r="W51" s="8">
        <v>1</v>
      </c>
      <c r="X51" s="8" t="s">
        <v>95</v>
      </c>
      <c r="Y51" s="8">
        <v>1</v>
      </c>
      <c r="Z51" s="8" t="s">
        <v>95</v>
      </c>
      <c r="AA51" s="8">
        <v>1</v>
      </c>
      <c r="AB51" s="8" t="s">
        <v>95</v>
      </c>
      <c r="AC51" s="8">
        <v>1</v>
      </c>
      <c r="AD51" s="8" t="s">
        <v>95</v>
      </c>
      <c r="AE51" s="8">
        <v>1</v>
      </c>
      <c r="AF51" s="8" t="s">
        <v>95</v>
      </c>
      <c r="AG51" s="8">
        <v>1</v>
      </c>
      <c r="AH51" s="8" t="s">
        <v>95</v>
      </c>
      <c r="AI51" s="8">
        <v>1</v>
      </c>
      <c r="AJ51" s="8" t="s">
        <v>95</v>
      </c>
      <c r="AK51" s="8">
        <v>1</v>
      </c>
      <c r="AL51" s="8" t="s">
        <v>95</v>
      </c>
      <c r="AM51" s="8">
        <v>1</v>
      </c>
      <c r="AN51" s="8">
        <v>16</v>
      </c>
    </row>
    <row r="52" spans="1:40" x14ac:dyDescent="0.25">
      <c r="A52" s="8" t="s">
        <v>112</v>
      </c>
      <c r="B52" s="9">
        <v>42033.673611111109</v>
      </c>
      <c r="C52" s="8">
        <v>0</v>
      </c>
      <c r="D52" s="9">
        <v>42033.713194444441</v>
      </c>
      <c r="E52" s="8" t="s">
        <v>93</v>
      </c>
      <c r="F52" s="8">
        <v>16</v>
      </c>
      <c r="G52" s="8" t="s">
        <v>94</v>
      </c>
      <c r="H52" s="8" t="s">
        <v>95</v>
      </c>
      <c r="I52" s="8">
        <v>1</v>
      </c>
      <c r="J52" s="8" t="s">
        <v>95</v>
      </c>
      <c r="K52" s="8">
        <v>1</v>
      </c>
      <c r="L52" s="8" t="s">
        <v>95</v>
      </c>
      <c r="M52" s="8">
        <v>1</v>
      </c>
      <c r="N52" s="8" t="s">
        <v>95</v>
      </c>
      <c r="O52" s="8">
        <v>1</v>
      </c>
      <c r="P52" s="8" t="s">
        <v>95</v>
      </c>
      <c r="Q52" s="8">
        <v>1</v>
      </c>
      <c r="R52" s="8" t="s">
        <v>95</v>
      </c>
      <c r="S52" s="8">
        <v>1</v>
      </c>
      <c r="T52" s="8" t="s">
        <v>95</v>
      </c>
      <c r="U52" s="8">
        <v>1</v>
      </c>
      <c r="V52" s="8" t="s">
        <v>95</v>
      </c>
      <c r="W52" s="8">
        <v>1</v>
      </c>
      <c r="X52" s="8" t="s">
        <v>95</v>
      </c>
      <c r="Y52" s="8">
        <v>1</v>
      </c>
      <c r="Z52" s="8" t="s">
        <v>95</v>
      </c>
      <c r="AA52" s="8">
        <v>1</v>
      </c>
      <c r="AB52" s="8" t="s">
        <v>95</v>
      </c>
      <c r="AC52" s="8">
        <v>1</v>
      </c>
      <c r="AD52" s="8" t="s">
        <v>95</v>
      </c>
      <c r="AE52" s="8">
        <v>1</v>
      </c>
      <c r="AF52" s="8" t="s">
        <v>95</v>
      </c>
      <c r="AG52" s="8">
        <v>1</v>
      </c>
      <c r="AH52" s="8" t="s">
        <v>95</v>
      </c>
      <c r="AI52" s="8">
        <v>1</v>
      </c>
      <c r="AJ52" s="8" t="s">
        <v>95</v>
      </c>
      <c r="AK52" s="8">
        <v>1</v>
      </c>
      <c r="AL52" s="8" t="s">
        <v>95</v>
      </c>
      <c r="AM52" s="8">
        <v>1</v>
      </c>
      <c r="AN52" s="8">
        <v>16</v>
      </c>
    </row>
    <row r="53" spans="1:40" x14ac:dyDescent="0.25">
      <c r="A53" s="8" t="s">
        <v>113</v>
      </c>
      <c r="B53" s="9">
        <v>42033.677777777775</v>
      </c>
      <c r="C53" s="8">
        <v>0</v>
      </c>
      <c r="D53" s="9">
        <v>42033.714583333334</v>
      </c>
      <c r="E53" s="8" t="s">
        <v>93</v>
      </c>
      <c r="F53" s="8">
        <v>13</v>
      </c>
      <c r="G53" s="8" t="s">
        <v>94</v>
      </c>
      <c r="H53" s="8" t="s">
        <v>95</v>
      </c>
      <c r="I53" s="8">
        <v>1</v>
      </c>
      <c r="J53" s="8" t="s">
        <v>95</v>
      </c>
      <c r="K53" s="8">
        <v>1</v>
      </c>
      <c r="L53" s="8" t="s">
        <v>95</v>
      </c>
      <c r="M53" s="8">
        <v>1</v>
      </c>
      <c r="N53" s="8" t="s">
        <v>95</v>
      </c>
      <c r="O53" s="8">
        <v>1</v>
      </c>
      <c r="P53" s="8" t="s">
        <v>95</v>
      </c>
      <c r="Q53" s="8">
        <v>1</v>
      </c>
      <c r="R53" s="8" t="s">
        <v>95</v>
      </c>
      <c r="S53" s="8">
        <v>1</v>
      </c>
      <c r="T53" s="8" t="s">
        <v>95</v>
      </c>
      <c r="U53" s="8">
        <v>1</v>
      </c>
      <c r="V53" s="8" t="s">
        <v>95</v>
      </c>
      <c r="W53" s="8">
        <v>1</v>
      </c>
      <c r="X53" s="8" t="s">
        <v>95</v>
      </c>
      <c r="Y53" s="8">
        <v>1</v>
      </c>
      <c r="Z53" s="8" t="s">
        <v>95</v>
      </c>
      <c r="AA53" s="8">
        <v>1</v>
      </c>
      <c r="AB53" s="8" t="s">
        <v>95</v>
      </c>
      <c r="AC53" s="8">
        <v>1</v>
      </c>
      <c r="AD53" s="8" t="s">
        <v>95</v>
      </c>
      <c r="AE53" s="8">
        <v>1</v>
      </c>
      <c r="AF53" s="8" t="s">
        <v>94</v>
      </c>
      <c r="AG53" s="8">
        <v>0</v>
      </c>
      <c r="AH53" s="8" t="s">
        <v>94</v>
      </c>
      <c r="AI53" s="8">
        <v>0</v>
      </c>
      <c r="AJ53" s="8" t="s">
        <v>95</v>
      </c>
      <c r="AK53" s="8">
        <v>1</v>
      </c>
      <c r="AL53" s="8" t="s">
        <v>94</v>
      </c>
      <c r="AM53" s="8">
        <v>0</v>
      </c>
      <c r="AN53" s="8">
        <v>13</v>
      </c>
    </row>
    <row r="54" spans="1:40" x14ac:dyDescent="0.25">
      <c r="A54" s="8" t="s">
        <v>114</v>
      </c>
      <c r="B54" s="9">
        <v>42033.679861111108</v>
      </c>
      <c r="C54" s="8">
        <v>0</v>
      </c>
      <c r="D54" s="9">
        <v>42033.726388888892</v>
      </c>
      <c r="E54" s="8" t="s">
        <v>93</v>
      </c>
      <c r="F54" s="8">
        <v>1</v>
      </c>
      <c r="G54" s="8" t="s">
        <v>94</v>
      </c>
      <c r="H54" s="8" t="s">
        <v>94</v>
      </c>
      <c r="I54" s="8">
        <v>0</v>
      </c>
      <c r="J54" s="8" t="s">
        <v>94</v>
      </c>
      <c r="K54" s="8">
        <v>0</v>
      </c>
      <c r="L54" s="8" t="s">
        <v>94</v>
      </c>
      <c r="M54" s="8">
        <v>0</v>
      </c>
      <c r="N54" s="8" t="s">
        <v>94</v>
      </c>
      <c r="O54" s="8">
        <v>0</v>
      </c>
      <c r="P54" s="8" t="s">
        <v>94</v>
      </c>
      <c r="Q54" s="8">
        <v>0</v>
      </c>
      <c r="R54" s="8" t="s">
        <v>94</v>
      </c>
      <c r="S54" s="8">
        <v>0</v>
      </c>
      <c r="T54" s="8" t="s">
        <v>94</v>
      </c>
      <c r="U54" s="8">
        <v>0</v>
      </c>
      <c r="V54" s="8" t="s">
        <v>94</v>
      </c>
      <c r="W54" s="8">
        <v>0</v>
      </c>
      <c r="X54" s="8" t="s">
        <v>94</v>
      </c>
      <c r="Y54" s="8">
        <v>0</v>
      </c>
      <c r="Z54" s="8" t="s">
        <v>94</v>
      </c>
      <c r="AA54" s="8">
        <v>0</v>
      </c>
      <c r="AB54" s="8" t="s">
        <v>94</v>
      </c>
      <c r="AC54" s="8">
        <v>0</v>
      </c>
      <c r="AD54" s="8" t="s">
        <v>95</v>
      </c>
      <c r="AE54" s="8">
        <v>1</v>
      </c>
      <c r="AF54" s="8" t="s">
        <v>94</v>
      </c>
      <c r="AG54" s="8">
        <v>0</v>
      </c>
      <c r="AH54" s="8" t="s">
        <v>94</v>
      </c>
      <c r="AI54" s="8">
        <v>0</v>
      </c>
      <c r="AJ54" s="8" t="s">
        <v>94</v>
      </c>
      <c r="AK54" s="8">
        <v>0</v>
      </c>
      <c r="AL54" s="8" t="s">
        <v>94</v>
      </c>
      <c r="AM54" s="8">
        <v>0</v>
      </c>
      <c r="AN54" s="8">
        <v>1</v>
      </c>
    </row>
    <row r="55" spans="1:40" x14ac:dyDescent="0.25">
      <c r="A55" s="8" t="s">
        <v>115</v>
      </c>
      <c r="B55" s="9">
        <v>42033.682638888888</v>
      </c>
      <c r="C55" s="8">
        <v>0</v>
      </c>
      <c r="D55" s="9">
        <v>42033.742361111108</v>
      </c>
      <c r="E55" s="8" t="s">
        <v>93</v>
      </c>
      <c r="F55" s="8">
        <v>16</v>
      </c>
      <c r="G55" s="8" t="s">
        <v>94</v>
      </c>
      <c r="H55" s="8" t="s">
        <v>95</v>
      </c>
      <c r="I55" s="8">
        <v>1</v>
      </c>
      <c r="J55" s="8" t="s">
        <v>95</v>
      </c>
      <c r="K55" s="8">
        <v>1</v>
      </c>
      <c r="L55" s="8" t="s">
        <v>95</v>
      </c>
      <c r="M55" s="8">
        <v>1</v>
      </c>
      <c r="N55" s="8" t="s">
        <v>95</v>
      </c>
      <c r="O55" s="8">
        <v>1</v>
      </c>
      <c r="P55" s="8" t="s">
        <v>95</v>
      </c>
      <c r="Q55" s="8">
        <v>1</v>
      </c>
      <c r="R55" s="8" t="s">
        <v>95</v>
      </c>
      <c r="S55" s="8">
        <v>1</v>
      </c>
      <c r="T55" s="8" t="s">
        <v>95</v>
      </c>
      <c r="U55" s="8">
        <v>1</v>
      </c>
      <c r="V55" s="8" t="s">
        <v>95</v>
      </c>
      <c r="W55" s="8">
        <v>1</v>
      </c>
      <c r="X55" s="8" t="s">
        <v>95</v>
      </c>
      <c r="Y55" s="8">
        <v>1</v>
      </c>
      <c r="Z55" s="8" t="s">
        <v>95</v>
      </c>
      <c r="AA55" s="8">
        <v>1</v>
      </c>
      <c r="AB55" s="8" t="s">
        <v>95</v>
      </c>
      <c r="AC55" s="8">
        <v>1</v>
      </c>
      <c r="AD55" s="8" t="s">
        <v>95</v>
      </c>
      <c r="AE55" s="8">
        <v>1</v>
      </c>
      <c r="AF55" s="8" t="s">
        <v>95</v>
      </c>
      <c r="AG55" s="8">
        <v>1</v>
      </c>
      <c r="AH55" s="8" t="s">
        <v>95</v>
      </c>
      <c r="AI55" s="8">
        <v>1</v>
      </c>
      <c r="AJ55" s="8" t="s">
        <v>95</v>
      </c>
      <c r="AK55" s="8">
        <v>1</v>
      </c>
      <c r="AL55" s="8" t="s">
        <v>95</v>
      </c>
      <c r="AM55" s="8">
        <v>1</v>
      </c>
      <c r="AN55" s="8">
        <v>16</v>
      </c>
    </row>
    <row r="56" spans="1:40" x14ac:dyDescent="0.25">
      <c r="A56" s="8" t="s">
        <v>116</v>
      </c>
      <c r="B56" s="9">
        <v>42033.654861111114</v>
      </c>
      <c r="C56" s="8">
        <v>0</v>
      </c>
      <c r="D56" s="9">
        <v>42033.742361111108</v>
      </c>
      <c r="E56" s="8" t="s">
        <v>93</v>
      </c>
      <c r="F56" s="8">
        <v>10</v>
      </c>
      <c r="G56" s="8" t="s">
        <v>94</v>
      </c>
      <c r="H56" s="8" t="s">
        <v>95</v>
      </c>
      <c r="I56" s="8">
        <v>1</v>
      </c>
      <c r="J56" s="8" t="s">
        <v>95</v>
      </c>
      <c r="K56" s="8">
        <v>1</v>
      </c>
      <c r="L56" s="8" t="s">
        <v>95</v>
      </c>
      <c r="M56" s="8">
        <v>1</v>
      </c>
      <c r="N56" s="8" t="s">
        <v>94</v>
      </c>
      <c r="O56" s="8">
        <v>0</v>
      </c>
      <c r="P56" s="8" t="s">
        <v>95</v>
      </c>
      <c r="Q56" s="8">
        <v>1</v>
      </c>
      <c r="R56" s="8" t="s">
        <v>95</v>
      </c>
      <c r="S56" s="8">
        <v>1</v>
      </c>
      <c r="T56" s="8" t="s">
        <v>94</v>
      </c>
      <c r="U56" s="8">
        <v>0</v>
      </c>
      <c r="V56" s="8" t="s">
        <v>94</v>
      </c>
      <c r="W56" s="8">
        <v>0</v>
      </c>
      <c r="X56" s="8" t="s">
        <v>94</v>
      </c>
      <c r="Y56" s="8">
        <v>0</v>
      </c>
      <c r="Z56" s="8" t="s">
        <v>95</v>
      </c>
      <c r="AA56" s="8">
        <v>1</v>
      </c>
      <c r="AB56" s="8" t="s">
        <v>95</v>
      </c>
      <c r="AC56" s="8">
        <v>1</v>
      </c>
      <c r="AD56" s="8" t="s">
        <v>95</v>
      </c>
      <c r="AE56" s="8">
        <v>1</v>
      </c>
      <c r="AF56" s="8" t="s">
        <v>95</v>
      </c>
      <c r="AG56" s="8">
        <v>1</v>
      </c>
      <c r="AH56" s="8" t="s">
        <v>95</v>
      </c>
      <c r="AI56" s="8">
        <v>1</v>
      </c>
      <c r="AJ56" s="8" t="s">
        <v>94</v>
      </c>
      <c r="AK56" s="8">
        <v>0</v>
      </c>
      <c r="AL56" s="8" t="s">
        <v>94</v>
      </c>
      <c r="AM56" s="8">
        <v>0</v>
      </c>
      <c r="AN56" s="8">
        <v>10</v>
      </c>
    </row>
    <row r="57" spans="1:40" x14ac:dyDescent="0.25">
      <c r="A57" s="8" t="s">
        <v>117</v>
      </c>
      <c r="B57" s="9">
        <v>42033.65902777778</v>
      </c>
      <c r="C57" s="8">
        <v>0</v>
      </c>
      <c r="D57" s="9">
        <v>42033.752083333333</v>
      </c>
      <c r="E57" s="8" t="s">
        <v>93</v>
      </c>
      <c r="F57" s="8">
        <v>15</v>
      </c>
      <c r="G57" s="8" t="s">
        <v>94</v>
      </c>
      <c r="H57" s="8" t="s">
        <v>95</v>
      </c>
      <c r="I57" s="8">
        <v>1</v>
      </c>
      <c r="J57" s="8" t="s">
        <v>95</v>
      </c>
      <c r="K57" s="8">
        <v>1</v>
      </c>
      <c r="L57" s="8" t="s">
        <v>95</v>
      </c>
      <c r="M57" s="8">
        <v>1</v>
      </c>
      <c r="N57" s="8" t="s">
        <v>95</v>
      </c>
      <c r="O57" s="8">
        <v>1</v>
      </c>
      <c r="P57" s="8" t="s">
        <v>95</v>
      </c>
      <c r="Q57" s="8">
        <v>1</v>
      </c>
      <c r="R57" s="8" t="s">
        <v>95</v>
      </c>
      <c r="S57" s="8">
        <v>1</v>
      </c>
      <c r="T57" s="8" t="s">
        <v>95</v>
      </c>
      <c r="U57" s="8">
        <v>1</v>
      </c>
      <c r="V57" s="8" t="s">
        <v>95</v>
      </c>
      <c r="W57" s="8">
        <v>1</v>
      </c>
      <c r="X57" s="8" t="s">
        <v>95</v>
      </c>
      <c r="Y57" s="8">
        <v>1</v>
      </c>
      <c r="Z57" s="8" t="s">
        <v>95</v>
      </c>
      <c r="AA57" s="8">
        <v>1</v>
      </c>
      <c r="AB57" s="8" t="s">
        <v>95</v>
      </c>
      <c r="AC57" s="8">
        <v>1</v>
      </c>
      <c r="AD57" s="8" t="s">
        <v>95</v>
      </c>
      <c r="AE57" s="8">
        <v>1</v>
      </c>
      <c r="AF57" s="8" t="s">
        <v>95</v>
      </c>
      <c r="AG57" s="8">
        <v>1</v>
      </c>
      <c r="AH57" s="8" t="s">
        <v>94</v>
      </c>
      <c r="AI57" s="8">
        <v>0</v>
      </c>
      <c r="AJ57" s="8" t="s">
        <v>95</v>
      </c>
      <c r="AK57" s="8">
        <v>1</v>
      </c>
      <c r="AL57" s="8" t="s">
        <v>95</v>
      </c>
      <c r="AM57" s="8">
        <v>1</v>
      </c>
      <c r="AN57" s="8">
        <v>15</v>
      </c>
    </row>
    <row r="58" spans="1:40" x14ac:dyDescent="0.25">
      <c r="A58" s="8" t="s">
        <v>118</v>
      </c>
      <c r="B58" s="9">
        <v>42033.652083333334</v>
      </c>
      <c r="C58" s="8">
        <v>0</v>
      </c>
      <c r="D58" s="9">
        <v>42033.754166666666</v>
      </c>
      <c r="E58" s="8" t="s">
        <v>93</v>
      </c>
      <c r="F58" s="8">
        <v>14</v>
      </c>
      <c r="G58" s="8" t="s">
        <v>94</v>
      </c>
      <c r="H58" s="8" t="s">
        <v>94</v>
      </c>
      <c r="I58" s="8">
        <v>0</v>
      </c>
      <c r="J58" s="8" t="s">
        <v>95</v>
      </c>
      <c r="K58" s="8">
        <v>1</v>
      </c>
      <c r="L58" s="8" t="s">
        <v>94</v>
      </c>
      <c r="M58" s="8">
        <v>0</v>
      </c>
      <c r="N58" s="8" t="s">
        <v>95</v>
      </c>
      <c r="O58" s="8">
        <v>1</v>
      </c>
      <c r="P58" s="8" t="s">
        <v>95</v>
      </c>
      <c r="Q58" s="8">
        <v>1</v>
      </c>
      <c r="R58" s="8" t="s">
        <v>95</v>
      </c>
      <c r="S58" s="8">
        <v>1</v>
      </c>
      <c r="T58" s="8" t="s">
        <v>95</v>
      </c>
      <c r="U58" s="8">
        <v>1</v>
      </c>
      <c r="V58" s="8" t="s">
        <v>95</v>
      </c>
      <c r="W58" s="8">
        <v>1</v>
      </c>
      <c r="X58" s="8" t="s">
        <v>95</v>
      </c>
      <c r="Y58" s="8">
        <v>1</v>
      </c>
      <c r="Z58" s="8" t="s">
        <v>95</v>
      </c>
      <c r="AA58" s="8">
        <v>1</v>
      </c>
      <c r="AB58" s="8" t="s">
        <v>95</v>
      </c>
      <c r="AC58" s="8">
        <v>1</v>
      </c>
      <c r="AD58" s="8" t="s">
        <v>95</v>
      </c>
      <c r="AE58" s="8">
        <v>1</v>
      </c>
      <c r="AF58" s="8" t="s">
        <v>95</v>
      </c>
      <c r="AG58" s="8">
        <v>1</v>
      </c>
      <c r="AH58" s="8" t="s">
        <v>95</v>
      </c>
      <c r="AI58" s="8">
        <v>1</v>
      </c>
      <c r="AJ58" s="8" t="s">
        <v>95</v>
      </c>
      <c r="AK58" s="8">
        <v>1</v>
      </c>
      <c r="AL58" s="8" t="s">
        <v>95</v>
      </c>
      <c r="AM58" s="8">
        <v>1</v>
      </c>
      <c r="AN58" s="8">
        <v>14</v>
      </c>
    </row>
    <row r="59" spans="1:40" x14ac:dyDescent="0.25">
      <c r="A59" s="8" t="s">
        <v>119</v>
      </c>
      <c r="B59" s="9">
        <v>42033.65</v>
      </c>
      <c r="C59" s="8">
        <v>0</v>
      </c>
      <c r="D59" s="9">
        <v>42033.755555555559</v>
      </c>
      <c r="E59" s="8" t="s">
        <v>93</v>
      </c>
      <c r="F59" s="8">
        <v>7</v>
      </c>
      <c r="G59" s="8" t="s">
        <v>94</v>
      </c>
      <c r="H59" s="8" t="s">
        <v>94</v>
      </c>
      <c r="I59" s="8">
        <v>0</v>
      </c>
      <c r="J59" s="8" t="s">
        <v>94</v>
      </c>
      <c r="K59" s="8">
        <v>0</v>
      </c>
      <c r="L59" s="8" t="s">
        <v>94</v>
      </c>
      <c r="M59" s="8">
        <v>0</v>
      </c>
      <c r="N59" s="8" t="s">
        <v>94</v>
      </c>
      <c r="O59" s="8">
        <v>0</v>
      </c>
      <c r="P59" s="8" t="s">
        <v>94</v>
      </c>
      <c r="Q59" s="8">
        <v>0</v>
      </c>
      <c r="R59" s="8" t="s">
        <v>94</v>
      </c>
      <c r="S59" s="8">
        <v>0</v>
      </c>
      <c r="T59" s="8" t="s">
        <v>95</v>
      </c>
      <c r="U59" s="8">
        <v>1</v>
      </c>
      <c r="V59" s="8" t="s">
        <v>95</v>
      </c>
      <c r="W59" s="8">
        <v>1</v>
      </c>
      <c r="X59" s="8" t="s">
        <v>95</v>
      </c>
      <c r="Y59" s="8">
        <v>1</v>
      </c>
      <c r="Z59" s="8" t="s">
        <v>95</v>
      </c>
      <c r="AA59" s="8">
        <v>1</v>
      </c>
      <c r="AB59" s="8" t="s">
        <v>95</v>
      </c>
      <c r="AC59" s="8">
        <v>1</v>
      </c>
      <c r="AD59" s="8" t="s">
        <v>95</v>
      </c>
      <c r="AE59" s="8">
        <v>1</v>
      </c>
      <c r="AF59" s="8" t="s">
        <v>94</v>
      </c>
      <c r="AG59" s="8">
        <v>0</v>
      </c>
      <c r="AH59" s="8" t="s">
        <v>94</v>
      </c>
      <c r="AI59" s="8">
        <v>0</v>
      </c>
      <c r="AJ59" s="8" t="s">
        <v>95</v>
      </c>
      <c r="AK59" s="8">
        <v>1</v>
      </c>
      <c r="AL59" s="8" t="s">
        <v>94</v>
      </c>
      <c r="AM59" s="8">
        <v>0</v>
      </c>
      <c r="AN59" s="8">
        <v>7</v>
      </c>
    </row>
    <row r="60" spans="1:40" x14ac:dyDescent="0.25">
      <c r="A60" s="8" t="s">
        <v>120</v>
      </c>
      <c r="B60" s="9">
        <v>42033.668055555558</v>
      </c>
      <c r="C60" s="8">
        <v>0</v>
      </c>
      <c r="D60" s="9">
        <v>42033.759027777778</v>
      </c>
      <c r="E60" s="8" t="s">
        <v>93</v>
      </c>
      <c r="F60" s="8">
        <v>14</v>
      </c>
      <c r="G60" s="8" t="s">
        <v>94</v>
      </c>
      <c r="H60" s="8" t="s">
        <v>95</v>
      </c>
      <c r="I60" s="8">
        <v>1</v>
      </c>
      <c r="J60" s="8" t="s">
        <v>95</v>
      </c>
      <c r="K60" s="8">
        <v>1</v>
      </c>
      <c r="L60" s="8" t="s">
        <v>95</v>
      </c>
      <c r="M60" s="8">
        <v>1</v>
      </c>
      <c r="N60" s="8" t="s">
        <v>95</v>
      </c>
      <c r="O60" s="8">
        <v>1</v>
      </c>
      <c r="P60" s="8" t="s">
        <v>94</v>
      </c>
      <c r="Q60" s="8">
        <v>0</v>
      </c>
      <c r="R60" s="8" t="s">
        <v>95</v>
      </c>
      <c r="S60" s="8">
        <v>1</v>
      </c>
      <c r="T60" s="8" t="s">
        <v>94</v>
      </c>
      <c r="U60" s="8">
        <v>0</v>
      </c>
      <c r="V60" s="8" t="s">
        <v>95</v>
      </c>
      <c r="W60" s="8">
        <v>1</v>
      </c>
      <c r="X60" s="8" t="s">
        <v>95</v>
      </c>
      <c r="Y60" s="8">
        <v>1</v>
      </c>
      <c r="Z60" s="8" t="s">
        <v>95</v>
      </c>
      <c r="AA60" s="8">
        <v>1</v>
      </c>
      <c r="AB60" s="8" t="s">
        <v>95</v>
      </c>
      <c r="AC60" s="8">
        <v>1</v>
      </c>
      <c r="AD60" s="8" t="s">
        <v>95</v>
      </c>
      <c r="AE60" s="8">
        <v>1</v>
      </c>
      <c r="AF60" s="8" t="s">
        <v>95</v>
      </c>
      <c r="AG60" s="8">
        <v>1</v>
      </c>
      <c r="AH60" s="8" t="s">
        <v>95</v>
      </c>
      <c r="AI60" s="8">
        <v>1</v>
      </c>
      <c r="AJ60" s="8" t="s">
        <v>95</v>
      </c>
      <c r="AK60" s="8">
        <v>1</v>
      </c>
      <c r="AL60" s="8" t="s">
        <v>95</v>
      </c>
      <c r="AM60" s="8">
        <v>1</v>
      </c>
      <c r="AN60" s="8">
        <v>14</v>
      </c>
    </row>
    <row r="61" spans="1:40" x14ac:dyDescent="0.25">
      <c r="A61" s="8" t="s">
        <v>121</v>
      </c>
      <c r="B61" s="9">
        <v>42033.65347222222</v>
      </c>
      <c r="C61" s="8">
        <v>0</v>
      </c>
      <c r="D61" s="9">
        <v>42033.759722222225</v>
      </c>
      <c r="E61" s="8" t="s">
        <v>93</v>
      </c>
      <c r="F61" s="8">
        <v>15</v>
      </c>
      <c r="G61" s="8" t="s">
        <v>94</v>
      </c>
      <c r="H61" s="8" t="s">
        <v>95</v>
      </c>
      <c r="I61" s="8">
        <v>1</v>
      </c>
      <c r="J61" s="8" t="s">
        <v>95</v>
      </c>
      <c r="K61" s="8">
        <v>1</v>
      </c>
      <c r="L61" s="8" t="s">
        <v>94</v>
      </c>
      <c r="M61" s="8">
        <v>0</v>
      </c>
      <c r="N61" s="8" t="s">
        <v>95</v>
      </c>
      <c r="O61" s="8">
        <v>1</v>
      </c>
      <c r="P61" s="8" t="s">
        <v>95</v>
      </c>
      <c r="Q61" s="8">
        <v>1</v>
      </c>
      <c r="R61" s="8" t="s">
        <v>95</v>
      </c>
      <c r="S61" s="8">
        <v>1</v>
      </c>
      <c r="T61" s="8" t="s">
        <v>95</v>
      </c>
      <c r="U61" s="8">
        <v>1</v>
      </c>
      <c r="V61" s="8" t="s">
        <v>95</v>
      </c>
      <c r="W61" s="8">
        <v>1</v>
      </c>
      <c r="X61" s="8" t="s">
        <v>95</v>
      </c>
      <c r="Y61" s="8">
        <v>1</v>
      </c>
      <c r="Z61" s="8" t="s">
        <v>95</v>
      </c>
      <c r="AA61" s="8">
        <v>1</v>
      </c>
      <c r="AB61" s="8" t="s">
        <v>95</v>
      </c>
      <c r="AC61" s="8">
        <v>1</v>
      </c>
      <c r="AD61" s="8" t="s">
        <v>95</v>
      </c>
      <c r="AE61" s="8">
        <v>1</v>
      </c>
      <c r="AF61" s="8" t="s">
        <v>95</v>
      </c>
      <c r="AG61" s="8">
        <v>1</v>
      </c>
      <c r="AH61" s="8" t="s">
        <v>95</v>
      </c>
      <c r="AI61" s="8">
        <v>1</v>
      </c>
      <c r="AJ61" s="8" t="s">
        <v>95</v>
      </c>
      <c r="AK61" s="8">
        <v>1</v>
      </c>
      <c r="AL61" s="8" t="s">
        <v>95</v>
      </c>
      <c r="AM61" s="8">
        <v>1</v>
      </c>
      <c r="AN61" s="8">
        <v>15</v>
      </c>
    </row>
    <row r="62" spans="1:40" x14ac:dyDescent="0.25">
      <c r="A62" s="8" t="s">
        <v>122</v>
      </c>
      <c r="B62" s="9">
        <v>42033.656944444447</v>
      </c>
      <c r="C62" s="8">
        <v>0</v>
      </c>
      <c r="D62" s="9">
        <v>42033.775000000001</v>
      </c>
      <c r="E62" s="8" t="s">
        <v>93</v>
      </c>
      <c r="F62" s="8">
        <v>16</v>
      </c>
      <c r="G62" s="8" t="s">
        <v>94</v>
      </c>
      <c r="H62" s="8" t="s">
        <v>95</v>
      </c>
      <c r="I62" s="8">
        <v>1</v>
      </c>
      <c r="J62" s="8" t="s">
        <v>95</v>
      </c>
      <c r="K62" s="8">
        <v>1</v>
      </c>
      <c r="L62" s="8" t="s">
        <v>95</v>
      </c>
      <c r="M62" s="8">
        <v>1</v>
      </c>
      <c r="N62" s="8" t="s">
        <v>95</v>
      </c>
      <c r="O62" s="8">
        <v>1</v>
      </c>
      <c r="P62" s="8" t="s">
        <v>95</v>
      </c>
      <c r="Q62" s="8">
        <v>1</v>
      </c>
      <c r="R62" s="8" t="s">
        <v>95</v>
      </c>
      <c r="S62" s="8">
        <v>1</v>
      </c>
      <c r="T62" s="8" t="s">
        <v>95</v>
      </c>
      <c r="U62" s="8">
        <v>1</v>
      </c>
      <c r="V62" s="8" t="s">
        <v>95</v>
      </c>
      <c r="W62" s="8">
        <v>1</v>
      </c>
      <c r="X62" s="8" t="s">
        <v>95</v>
      </c>
      <c r="Y62" s="8">
        <v>1</v>
      </c>
      <c r="Z62" s="8" t="s">
        <v>95</v>
      </c>
      <c r="AA62" s="8">
        <v>1</v>
      </c>
      <c r="AB62" s="8" t="s">
        <v>95</v>
      </c>
      <c r="AC62" s="8">
        <v>1</v>
      </c>
      <c r="AD62" s="8" t="s">
        <v>95</v>
      </c>
      <c r="AE62" s="8">
        <v>1</v>
      </c>
      <c r="AF62" s="8" t="s">
        <v>95</v>
      </c>
      <c r="AG62" s="8">
        <v>1</v>
      </c>
      <c r="AH62" s="8" t="s">
        <v>95</v>
      </c>
      <c r="AI62" s="8">
        <v>1</v>
      </c>
      <c r="AJ62" s="8" t="s">
        <v>95</v>
      </c>
      <c r="AK62" s="8">
        <v>1</v>
      </c>
      <c r="AL62" s="8" t="s">
        <v>95</v>
      </c>
      <c r="AM62" s="8">
        <v>1</v>
      </c>
      <c r="AN62" s="8">
        <v>16</v>
      </c>
    </row>
    <row r="63" spans="1:40" x14ac:dyDescent="0.25">
      <c r="A63" s="8" t="s">
        <v>123</v>
      </c>
      <c r="B63" s="9">
        <v>42033.668749999997</v>
      </c>
      <c r="C63" s="8">
        <v>0</v>
      </c>
      <c r="D63" s="9">
        <v>42033.775694444441</v>
      </c>
      <c r="E63" s="8" t="s">
        <v>93</v>
      </c>
      <c r="F63" s="8">
        <v>16</v>
      </c>
      <c r="G63" s="8" t="s">
        <v>94</v>
      </c>
      <c r="H63" s="8" t="s">
        <v>95</v>
      </c>
      <c r="I63" s="8">
        <v>1</v>
      </c>
      <c r="J63" s="8" t="s">
        <v>95</v>
      </c>
      <c r="K63" s="8">
        <v>1</v>
      </c>
      <c r="L63" s="8" t="s">
        <v>95</v>
      </c>
      <c r="M63" s="8">
        <v>1</v>
      </c>
      <c r="N63" s="8" t="s">
        <v>95</v>
      </c>
      <c r="O63" s="8">
        <v>1</v>
      </c>
      <c r="P63" s="8" t="s">
        <v>95</v>
      </c>
      <c r="Q63" s="8">
        <v>1</v>
      </c>
      <c r="R63" s="8" t="s">
        <v>95</v>
      </c>
      <c r="S63" s="8">
        <v>1</v>
      </c>
      <c r="T63" s="8" t="s">
        <v>95</v>
      </c>
      <c r="U63" s="8">
        <v>1</v>
      </c>
      <c r="V63" s="8" t="s">
        <v>95</v>
      </c>
      <c r="W63" s="8">
        <v>1</v>
      </c>
      <c r="X63" s="8" t="s">
        <v>95</v>
      </c>
      <c r="Y63" s="8">
        <v>1</v>
      </c>
      <c r="Z63" s="8" t="s">
        <v>95</v>
      </c>
      <c r="AA63" s="8">
        <v>1</v>
      </c>
      <c r="AB63" s="8" t="s">
        <v>95</v>
      </c>
      <c r="AC63" s="8">
        <v>1</v>
      </c>
      <c r="AD63" s="8" t="s">
        <v>95</v>
      </c>
      <c r="AE63" s="8">
        <v>1</v>
      </c>
      <c r="AF63" s="8" t="s">
        <v>95</v>
      </c>
      <c r="AG63" s="8">
        <v>1</v>
      </c>
      <c r="AH63" s="8" t="s">
        <v>95</v>
      </c>
      <c r="AI63" s="8">
        <v>1</v>
      </c>
      <c r="AJ63" s="8" t="s">
        <v>95</v>
      </c>
      <c r="AK63" s="8">
        <v>1</v>
      </c>
      <c r="AL63" s="8" t="s">
        <v>95</v>
      </c>
      <c r="AM63" s="8">
        <v>1</v>
      </c>
      <c r="AN63" s="8">
        <v>16</v>
      </c>
    </row>
    <row r="64" spans="1:40" x14ac:dyDescent="0.25">
      <c r="A64" s="8" t="s">
        <v>124</v>
      </c>
      <c r="B64" s="9">
        <v>42033.652777777781</v>
      </c>
      <c r="C64" s="8">
        <v>0</v>
      </c>
      <c r="D64" s="9">
        <v>42033.777083333334</v>
      </c>
      <c r="E64" s="8" t="s">
        <v>93</v>
      </c>
      <c r="F64" s="8">
        <v>14</v>
      </c>
      <c r="G64" s="8" t="s">
        <v>94</v>
      </c>
      <c r="H64" s="8" t="s">
        <v>95</v>
      </c>
      <c r="I64" s="8">
        <v>1</v>
      </c>
      <c r="J64" s="8" t="s">
        <v>95</v>
      </c>
      <c r="K64" s="8">
        <v>1</v>
      </c>
      <c r="L64" s="8" t="s">
        <v>95</v>
      </c>
      <c r="M64" s="8">
        <v>1</v>
      </c>
      <c r="N64" s="8" t="s">
        <v>95</v>
      </c>
      <c r="O64" s="8">
        <v>1</v>
      </c>
      <c r="P64" s="8" t="s">
        <v>95</v>
      </c>
      <c r="Q64" s="8">
        <v>1</v>
      </c>
      <c r="R64" s="8" t="s">
        <v>95</v>
      </c>
      <c r="S64" s="8">
        <v>1</v>
      </c>
      <c r="T64" s="8" t="s">
        <v>95</v>
      </c>
      <c r="U64" s="8">
        <v>1</v>
      </c>
      <c r="V64" s="8" t="s">
        <v>95</v>
      </c>
      <c r="W64" s="8">
        <v>1</v>
      </c>
      <c r="X64" s="8" t="s">
        <v>95</v>
      </c>
      <c r="Y64" s="8">
        <v>1</v>
      </c>
      <c r="Z64" s="8" t="s">
        <v>95</v>
      </c>
      <c r="AA64" s="8">
        <v>1</v>
      </c>
      <c r="AB64" s="8" t="s">
        <v>95</v>
      </c>
      <c r="AC64" s="8">
        <v>1</v>
      </c>
      <c r="AD64" s="8" t="s">
        <v>95</v>
      </c>
      <c r="AE64" s="8">
        <v>1</v>
      </c>
      <c r="AF64" s="8" t="s">
        <v>94</v>
      </c>
      <c r="AG64" s="8">
        <v>0</v>
      </c>
      <c r="AH64" s="8" t="s">
        <v>95</v>
      </c>
      <c r="AI64" s="8">
        <v>1</v>
      </c>
      <c r="AJ64" s="8" t="s">
        <v>95</v>
      </c>
      <c r="AK64" s="8">
        <v>1</v>
      </c>
      <c r="AL64" s="8" t="s">
        <v>94</v>
      </c>
      <c r="AM64" s="8">
        <v>0</v>
      </c>
      <c r="AN64" s="8">
        <v>14</v>
      </c>
    </row>
    <row r="65" spans="1:40" x14ac:dyDescent="0.25">
      <c r="A65" s="8" t="s">
        <v>125</v>
      </c>
      <c r="B65" s="9">
        <v>42033.652083333334</v>
      </c>
      <c r="C65" s="8">
        <v>0</v>
      </c>
      <c r="D65" s="9">
        <v>42033.804166666669</v>
      </c>
      <c r="E65" s="8" t="s">
        <v>93</v>
      </c>
      <c r="F65" s="8">
        <v>7</v>
      </c>
      <c r="G65" s="8" t="s">
        <v>94</v>
      </c>
      <c r="H65" s="8" t="s">
        <v>94</v>
      </c>
      <c r="I65" s="8">
        <v>0</v>
      </c>
      <c r="J65" s="8" t="s">
        <v>95</v>
      </c>
      <c r="K65" s="8">
        <v>1</v>
      </c>
      <c r="L65" s="8" t="s">
        <v>94</v>
      </c>
      <c r="M65" s="8">
        <v>0</v>
      </c>
      <c r="N65" s="8" t="s">
        <v>94</v>
      </c>
      <c r="O65" s="8">
        <v>0</v>
      </c>
      <c r="P65" s="8" t="s">
        <v>95</v>
      </c>
      <c r="Q65" s="8">
        <v>1</v>
      </c>
      <c r="R65" s="8" t="s">
        <v>95</v>
      </c>
      <c r="S65" s="8">
        <v>1</v>
      </c>
      <c r="T65" s="8" t="s">
        <v>94</v>
      </c>
      <c r="U65" s="8">
        <v>0</v>
      </c>
      <c r="V65" s="8" t="s">
        <v>94</v>
      </c>
      <c r="W65" s="8">
        <v>0</v>
      </c>
      <c r="X65" s="8" t="s">
        <v>94</v>
      </c>
      <c r="Y65" s="8">
        <v>0</v>
      </c>
      <c r="Z65" s="8" t="s">
        <v>94</v>
      </c>
      <c r="AA65" s="8">
        <v>0</v>
      </c>
      <c r="AB65" s="8" t="s">
        <v>95</v>
      </c>
      <c r="AC65" s="8">
        <v>1</v>
      </c>
      <c r="AD65" s="8" t="s">
        <v>95</v>
      </c>
      <c r="AE65" s="8">
        <v>1</v>
      </c>
      <c r="AF65" s="8" t="s">
        <v>95</v>
      </c>
      <c r="AG65" s="8">
        <v>1</v>
      </c>
      <c r="AH65" s="8" t="s">
        <v>94</v>
      </c>
      <c r="AI65" s="8">
        <v>0</v>
      </c>
      <c r="AJ65" s="8" t="s">
        <v>95</v>
      </c>
      <c r="AK65" s="8">
        <v>1</v>
      </c>
      <c r="AL65" s="8" t="s">
        <v>94</v>
      </c>
      <c r="AM65" s="8">
        <v>0</v>
      </c>
      <c r="AN65" s="8">
        <v>7</v>
      </c>
    </row>
    <row r="66" spans="1:40" x14ac:dyDescent="0.25">
      <c r="A66" s="8" t="s">
        <v>126</v>
      </c>
      <c r="B66" s="9">
        <v>42033.652777777781</v>
      </c>
      <c r="C66" s="8">
        <v>0</v>
      </c>
      <c r="D66" s="9">
        <v>42033.808333333334</v>
      </c>
      <c r="E66" s="8" t="s">
        <v>93</v>
      </c>
      <c r="F66" s="8">
        <v>16</v>
      </c>
      <c r="G66" s="8" t="s">
        <v>94</v>
      </c>
      <c r="H66" s="8" t="s">
        <v>95</v>
      </c>
      <c r="I66" s="8">
        <v>1</v>
      </c>
      <c r="J66" s="8" t="s">
        <v>95</v>
      </c>
      <c r="K66" s="8">
        <v>1</v>
      </c>
      <c r="L66" s="8" t="s">
        <v>95</v>
      </c>
      <c r="M66" s="8">
        <v>1</v>
      </c>
      <c r="N66" s="8" t="s">
        <v>95</v>
      </c>
      <c r="O66" s="8">
        <v>1</v>
      </c>
      <c r="P66" s="8" t="s">
        <v>95</v>
      </c>
      <c r="Q66" s="8">
        <v>1</v>
      </c>
      <c r="R66" s="8" t="s">
        <v>95</v>
      </c>
      <c r="S66" s="8">
        <v>1</v>
      </c>
      <c r="T66" s="8" t="s">
        <v>95</v>
      </c>
      <c r="U66" s="8">
        <v>1</v>
      </c>
      <c r="V66" s="8" t="s">
        <v>95</v>
      </c>
      <c r="W66" s="8">
        <v>1</v>
      </c>
      <c r="X66" s="8" t="s">
        <v>95</v>
      </c>
      <c r="Y66" s="8">
        <v>1</v>
      </c>
      <c r="Z66" s="8" t="s">
        <v>95</v>
      </c>
      <c r="AA66" s="8">
        <v>1</v>
      </c>
      <c r="AB66" s="8" t="s">
        <v>95</v>
      </c>
      <c r="AC66" s="8">
        <v>1</v>
      </c>
      <c r="AD66" s="8" t="s">
        <v>95</v>
      </c>
      <c r="AE66" s="8">
        <v>1</v>
      </c>
      <c r="AF66" s="8" t="s">
        <v>95</v>
      </c>
      <c r="AG66" s="8">
        <v>1</v>
      </c>
      <c r="AH66" s="8" t="s">
        <v>95</v>
      </c>
      <c r="AI66" s="8">
        <v>1</v>
      </c>
      <c r="AJ66" s="8" t="s">
        <v>95</v>
      </c>
      <c r="AK66" s="8">
        <v>1</v>
      </c>
      <c r="AL66" s="8" t="s">
        <v>95</v>
      </c>
      <c r="AM66" s="8">
        <v>1</v>
      </c>
      <c r="AN66" s="8">
        <v>16</v>
      </c>
    </row>
    <row r="67" spans="1:40" x14ac:dyDescent="0.25">
      <c r="A67" s="8" t="s">
        <v>127</v>
      </c>
      <c r="B67" s="9">
        <v>42033.652083333334</v>
      </c>
      <c r="C67" s="8">
        <v>0</v>
      </c>
      <c r="D67" s="9">
        <v>42033.817361111112</v>
      </c>
      <c r="E67" s="8" t="s">
        <v>93</v>
      </c>
      <c r="F67" s="8">
        <v>13</v>
      </c>
      <c r="G67" s="8" t="s">
        <v>94</v>
      </c>
      <c r="H67" s="8" t="s">
        <v>95</v>
      </c>
      <c r="I67" s="8">
        <v>1</v>
      </c>
      <c r="J67" s="8" t="s">
        <v>95</v>
      </c>
      <c r="K67" s="8">
        <v>1</v>
      </c>
      <c r="L67" s="8" t="s">
        <v>95</v>
      </c>
      <c r="M67" s="8">
        <v>1</v>
      </c>
      <c r="N67" s="8" t="s">
        <v>94</v>
      </c>
      <c r="O67" s="8">
        <v>0</v>
      </c>
      <c r="P67" s="8" t="s">
        <v>95</v>
      </c>
      <c r="Q67" s="8">
        <v>1</v>
      </c>
      <c r="R67" s="8" t="s">
        <v>95</v>
      </c>
      <c r="S67" s="8">
        <v>1</v>
      </c>
      <c r="T67" s="8" t="s">
        <v>94</v>
      </c>
      <c r="U67" s="8">
        <v>0</v>
      </c>
      <c r="V67" s="8" t="s">
        <v>95</v>
      </c>
      <c r="W67" s="8">
        <v>1</v>
      </c>
      <c r="X67" s="8" t="s">
        <v>94</v>
      </c>
      <c r="Y67" s="8">
        <v>0</v>
      </c>
      <c r="Z67" s="8" t="s">
        <v>95</v>
      </c>
      <c r="AA67" s="8">
        <v>1</v>
      </c>
      <c r="AB67" s="8" t="s">
        <v>95</v>
      </c>
      <c r="AC67" s="8">
        <v>1</v>
      </c>
      <c r="AD67" s="8" t="s">
        <v>95</v>
      </c>
      <c r="AE67" s="8">
        <v>1</v>
      </c>
      <c r="AF67" s="8" t="s">
        <v>95</v>
      </c>
      <c r="AG67" s="8">
        <v>1</v>
      </c>
      <c r="AH67" s="8" t="s">
        <v>95</v>
      </c>
      <c r="AI67" s="8">
        <v>1</v>
      </c>
      <c r="AJ67" s="8" t="s">
        <v>95</v>
      </c>
      <c r="AK67" s="8">
        <v>1</v>
      </c>
      <c r="AL67" s="8" t="s">
        <v>95</v>
      </c>
      <c r="AM67" s="8">
        <v>1</v>
      </c>
      <c r="AN67" s="8">
        <v>13</v>
      </c>
    </row>
    <row r="68" spans="1:40" x14ac:dyDescent="0.25">
      <c r="A68" s="8" t="s">
        <v>128</v>
      </c>
      <c r="B68" s="9">
        <v>42033.652777777781</v>
      </c>
      <c r="C68" s="8">
        <v>0</v>
      </c>
      <c r="D68" s="9">
        <v>42033.818055555559</v>
      </c>
      <c r="E68" s="8" t="s">
        <v>93</v>
      </c>
      <c r="F68" s="8">
        <v>14</v>
      </c>
      <c r="G68" s="8" t="s">
        <v>94</v>
      </c>
      <c r="H68" s="8" t="s">
        <v>94</v>
      </c>
      <c r="I68" s="8">
        <v>0</v>
      </c>
      <c r="J68" s="8" t="s">
        <v>95</v>
      </c>
      <c r="K68" s="8">
        <v>1</v>
      </c>
      <c r="L68" s="8" t="s">
        <v>95</v>
      </c>
      <c r="M68" s="8">
        <v>1</v>
      </c>
      <c r="N68" s="8" t="s">
        <v>95</v>
      </c>
      <c r="O68" s="8">
        <v>1</v>
      </c>
      <c r="P68" s="8" t="s">
        <v>94</v>
      </c>
      <c r="Q68" s="8">
        <v>0</v>
      </c>
      <c r="R68" s="8" t="s">
        <v>95</v>
      </c>
      <c r="S68" s="8">
        <v>1</v>
      </c>
      <c r="T68" s="8" t="s">
        <v>95</v>
      </c>
      <c r="U68" s="8">
        <v>1</v>
      </c>
      <c r="V68" s="8" t="s">
        <v>95</v>
      </c>
      <c r="W68" s="8">
        <v>1</v>
      </c>
      <c r="X68" s="8" t="s">
        <v>95</v>
      </c>
      <c r="Y68" s="8">
        <v>1</v>
      </c>
      <c r="Z68" s="8" t="s">
        <v>95</v>
      </c>
      <c r="AA68" s="8">
        <v>1</v>
      </c>
      <c r="AB68" s="8" t="s">
        <v>95</v>
      </c>
      <c r="AC68" s="8">
        <v>1</v>
      </c>
      <c r="AD68" s="8" t="s">
        <v>95</v>
      </c>
      <c r="AE68" s="8">
        <v>1</v>
      </c>
      <c r="AF68" s="8" t="s">
        <v>95</v>
      </c>
      <c r="AG68" s="8">
        <v>1</v>
      </c>
      <c r="AH68" s="8" t="s">
        <v>95</v>
      </c>
      <c r="AI68" s="8">
        <v>1</v>
      </c>
      <c r="AJ68" s="8" t="s">
        <v>95</v>
      </c>
      <c r="AK68" s="8">
        <v>1</v>
      </c>
      <c r="AL68" s="8" t="s">
        <v>95</v>
      </c>
      <c r="AM68" s="8">
        <v>1</v>
      </c>
      <c r="AN68" s="8">
        <v>14</v>
      </c>
    </row>
    <row r="69" spans="1:40" x14ac:dyDescent="0.25">
      <c r="A69" s="8" t="s">
        <v>129</v>
      </c>
      <c r="B69" s="9">
        <v>42033.677083333336</v>
      </c>
      <c r="C69" s="8">
        <v>0</v>
      </c>
      <c r="D69" s="9">
        <v>42033.826388888891</v>
      </c>
      <c r="E69" s="8" t="s">
        <v>93</v>
      </c>
      <c r="F69" s="8">
        <v>16</v>
      </c>
      <c r="G69" s="8" t="s">
        <v>94</v>
      </c>
      <c r="H69" s="8" t="s">
        <v>95</v>
      </c>
      <c r="I69" s="8">
        <v>1</v>
      </c>
      <c r="J69" s="8" t="s">
        <v>95</v>
      </c>
      <c r="K69" s="8">
        <v>1</v>
      </c>
      <c r="L69" s="8" t="s">
        <v>95</v>
      </c>
      <c r="M69" s="8">
        <v>1</v>
      </c>
      <c r="N69" s="8" t="s">
        <v>95</v>
      </c>
      <c r="O69" s="8">
        <v>1</v>
      </c>
      <c r="P69" s="8" t="s">
        <v>95</v>
      </c>
      <c r="Q69" s="8">
        <v>1</v>
      </c>
      <c r="R69" s="8" t="s">
        <v>95</v>
      </c>
      <c r="S69" s="8">
        <v>1</v>
      </c>
      <c r="T69" s="8" t="s">
        <v>95</v>
      </c>
      <c r="U69" s="8">
        <v>1</v>
      </c>
      <c r="V69" s="8" t="s">
        <v>95</v>
      </c>
      <c r="W69" s="8">
        <v>1</v>
      </c>
      <c r="X69" s="8" t="s">
        <v>95</v>
      </c>
      <c r="Y69" s="8">
        <v>1</v>
      </c>
      <c r="Z69" s="8" t="s">
        <v>95</v>
      </c>
      <c r="AA69" s="8">
        <v>1</v>
      </c>
      <c r="AB69" s="8" t="s">
        <v>95</v>
      </c>
      <c r="AC69" s="8">
        <v>1</v>
      </c>
      <c r="AD69" s="8" t="s">
        <v>95</v>
      </c>
      <c r="AE69" s="8">
        <v>1</v>
      </c>
      <c r="AF69" s="8" t="s">
        <v>95</v>
      </c>
      <c r="AG69" s="8">
        <v>1</v>
      </c>
      <c r="AH69" s="8" t="s">
        <v>95</v>
      </c>
      <c r="AI69" s="8">
        <v>1</v>
      </c>
      <c r="AJ69" s="8" t="s">
        <v>95</v>
      </c>
      <c r="AK69" s="8">
        <v>1</v>
      </c>
      <c r="AL69" s="8" t="s">
        <v>95</v>
      </c>
      <c r="AM69" s="8">
        <v>1</v>
      </c>
      <c r="AN69" s="8">
        <v>16</v>
      </c>
    </row>
    <row r="70" spans="1:40" x14ac:dyDescent="0.25">
      <c r="A70" s="8" t="s">
        <v>130</v>
      </c>
      <c r="B70" s="9">
        <v>42033.675000000003</v>
      </c>
      <c r="C70" s="8">
        <v>0</v>
      </c>
      <c r="D70" s="9">
        <v>42033.833333333336</v>
      </c>
      <c r="E70" s="8" t="s">
        <v>93</v>
      </c>
      <c r="F70" s="8">
        <v>7</v>
      </c>
      <c r="G70" s="8" t="s">
        <v>94</v>
      </c>
      <c r="H70" s="8" t="s">
        <v>95</v>
      </c>
      <c r="I70" s="8">
        <v>1</v>
      </c>
      <c r="J70" s="8" t="s">
        <v>95</v>
      </c>
      <c r="K70" s="8">
        <v>1</v>
      </c>
      <c r="L70" s="8" t="s">
        <v>94</v>
      </c>
      <c r="M70" s="8">
        <v>0</v>
      </c>
      <c r="N70" s="8" t="s">
        <v>94</v>
      </c>
      <c r="O70" s="8">
        <v>0</v>
      </c>
      <c r="P70" s="8" t="s">
        <v>95</v>
      </c>
      <c r="Q70" s="8">
        <v>1</v>
      </c>
      <c r="R70" s="8" t="s">
        <v>95</v>
      </c>
      <c r="S70" s="8">
        <v>1</v>
      </c>
      <c r="T70" s="8" t="s">
        <v>94</v>
      </c>
      <c r="U70" s="8">
        <v>0</v>
      </c>
      <c r="V70" s="8" t="s">
        <v>94</v>
      </c>
      <c r="W70" s="8">
        <v>0</v>
      </c>
      <c r="X70" s="8" t="s">
        <v>94</v>
      </c>
      <c r="Y70" s="8">
        <v>0</v>
      </c>
      <c r="Z70" s="8" t="s">
        <v>94</v>
      </c>
      <c r="AA70" s="8">
        <v>0</v>
      </c>
      <c r="AB70" s="8" t="s">
        <v>95</v>
      </c>
      <c r="AC70" s="8">
        <v>1</v>
      </c>
      <c r="AD70" s="8" t="s">
        <v>95</v>
      </c>
      <c r="AE70" s="8">
        <v>1</v>
      </c>
      <c r="AF70" s="8" t="s">
        <v>94</v>
      </c>
      <c r="AG70" s="8">
        <v>0</v>
      </c>
      <c r="AH70" s="8" t="s">
        <v>94</v>
      </c>
      <c r="AI70" s="8">
        <v>0</v>
      </c>
      <c r="AJ70" s="8" t="s">
        <v>95</v>
      </c>
      <c r="AK70" s="8">
        <v>1</v>
      </c>
      <c r="AL70" s="8" t="s">
        <v>94</v>
      </c>
      <c r="AM70" s="8">
        <v>0</v>
      </c>
      <c r="AN70" s="8">
        <v>7</v>
      </c>
    </row>
    <row r="71" spans="1:40" x14ac:dyDescent="0.25">
      <c r="A71" s="8" t="s">
        <v>131</v>
      </c>
      <c r="B71" s="9">
        <v>42033.654861111114</v>
      </c>
      <c r="C71" s="8">
        <v>0</v>
      </c>
      <c r="D71" s="9">
        <v>42033.856249999997</v>
      </c>
      <c r="E71" s="8" t="s">
        <v>93</v>
      </c>
      <c r="F71" s="8">
        <v>16</v>
      </c>
      <c r="G71" s="8" t="s">
        <v>94</v>
      </c>
      <c r="H71" s="8" t="s">
        <v>95</v>
      </c>
      <c r="I71" s="8">
        <v>1</v>
      </c>
      <c r="J71" s="8" t="s">
        <v>95</v>
      </c>
      <c r="K71" s="8">
        <v>1</v>
      </c>
      <c r="L71" s="8" t="s">
        <v>95</v>
      </c>
      <c r="M71" s="8">
        <v>1</v>
      </c>
      <c r="N71" s="8" t="s">
        <v>95</v>
      </c>
      <c r="O71" s="8">
        <v>1</v>
      </c>
      <c r="P71" s="8" t="s">
        <v>95</v>
      </c>
      <c r="Q71" s="8">
        <v>1</v>
      </c>
      <c r="R71" s="8" t="s">
        <v>95</v>
      </c>
      <c r="S71" s="8">
        <v>1</v>
      </c>
      <c r="T71" s="8" t="s">
        <v>95</v>
      </c>
      <c r="U71" s="8">
        <v>1</v>
      </c>
      <c r="V71" s="8" t="s">
        <v>95</v>
      </c>
      <c r="W71" s="8">
        <v>1</v>
      </c>
      <c r="X71" s="8" t="s">
        <v>95</v>
      </c>
      <c r="Y71" s="8">
        <v>1</v>
      </c>
      <c r="Z71" s="8" t="s">
        <v>95</v>
      </c>
      <c r="AA71" s="8">
        <v>1</v>
      </c>
      <c r="AB71" s="8" t="s">
        <v>95</v>
      </c>
      <c r="AC71" s="8">
        <v>1</v>
      </c>
      <c r="AD71" s="8" t="s">
        <v>95</v>
      </c>
      <c r="AE71" s="8">
        <v>1</v>
      </c>
      <c r="AF71" s="8" t="s">
        <v>95</v>
      </c>
      <c r="AG71" s="8">
        <v>1</v>
      </c>
      <c r="AH71" s="8" t="s">
        <v>95</v>
      </c>
      <c r="AI71" s="8">
        <v>1</v>
      </c>
      <c r="AJ71" s="8" t="s">
        <v>95</v>
      </c>
      <c r="AK71" s="8">
        <v>1</v>
      </c>
      <c r="AL71" s="8" t="s">
        <v>95</v>
      </c>
      <c r="AM71" s="8">
        <v>1</v>
      </c>
      <c r="AN71" s="8">
        <v>16</v>
      </c>
    </row>
    <row r="72" spans="1:40" x14ac:dyDescent="0.25">
      <c r="A72" s="8" t="s">
        <v>132</v>
      </c>
      <c r="B72" s="9">
        <v>42033.674305555556</v>
      </c>
      <c r="C72" s="8">
        <v>0</v>
      </c>
      <c r="D72" s="9">
        <v>42033.859722222223</v>
      </c>
      <c r="E72" s="8" t="s">
        <v>93</v>
      </c>
      <c r="F72" s="8">
        <v>14</v>
      </c>
      <c r="G72" s="8" t="s">
        <v>94</v>
      </c>
      <c r="H72" s="8" t="s">
        <v>95</v>
      </c>
      <c r="I72" s="8">
        <v>1</v>
      </c>
      <c r="J72" s="8" t="s">
        <v>95</v>
      </c>
      <c r="K72" s="8">
        <v>1</v>
      </c>
      <c r="L72" s="8" t="s">
        <v>95</v>
      </c>
      <c r="M72" s="8">
        <v>1</v>
      </c>
      <c r="N72" s="8" t="s">
        <v>95</v>
      </c>
      <c r="O72" s="8">
        <v>1</v>
      </c>
      <c r="P72" s="8" t="s">
        <v>95</v>
      </c>
      <c r="Q72" s="8">
        <v>1</v>
      </c>
      <c r="R72" s="8" t="s">
        <v>95</v>
      </c>
      <c r="S72" s="8">
        <v>1</v>
      </c>
      <c r="T72" s="8" t="s">
        <v>95</v>
      </c>
      <c r="U72" s="8">
        <v>1</v>
      </c>
      <c r="V72" s="8" t="s">
        <v>95</v>
      </c>
      <c r="W72" s="8">
        <v>1</v>
      </c>
      <c r="X72" s="8" t="s">
        <v>95</v>
      </c>
      <c r="Y72" s="8">
        <v>1</v>
      </c>
      <c r="Z72" s="8" t="s">
        <v>95</v>
      </c>
      <c r="AA72" s="8">
        <v>1</v>
      </c>
      <c r="AB72" s="8" t="s">
        <v>95</v>
      </c>
      <c r="AC72" s="8">
        <v>1</v>
      </c>
      <c r="AD72" s="8" t="s">
        <v>95</v>
      </c>
      <c r="AE72" s="8">
        <v>1</v>
      </c>
      <c r="AF72" s="8" t="s">
        <v>94</v>
      </c>
      <c r="AG72" s="8">
        <v>0</v>
      </c>
      <c r="AH72" s="8" t="s">
        <v>95</v>
      </c>
      <c r="AI72" s="8">
        <v>1</v>
      </c>
      <c r="AJ72" s="8" t="s">
        <v>95</v>
      </c>
      <c r="AK72" s="8">
        <v>1</v>
      </c>
      <c r="AL72" s="8" t="s">
        <v>94</v>
      </c>
      <c r="AM72" s="8">
        <v>0</v>
      </c>
      <c r="AN72" s="8">
        <v>14</v>
      </c>
    </row>
    <row r="73" spans="1:40" x14ac:dyDescent="0.25">
      <c r="A73" s="8" t="s">
        <v>133</v>
      </c>
      <c r="B73" s="9">
        <v>42033.651388888888</v>
      </c>
      <c r="C73" s="8">
        <v>0</v>
      </c>
      <c r="D73" s="9">
        <v>42033.870138888888</v>
      </c>
      <c r="E73" s="8" t="s">
        <v>93</v>
      </c>
      <c r="F73" s="8">
        <v>15</v>
      </c>
      <c r="G73" s="8" t="s">
        <v>94</v>
      </c>
      <c r="H73" s="8" t="s">
        <v>95</v>
      </c>
      <c r="I73" s="8">
        <v>1</v>
      </c>
      <c r="J73" s="8" t="s">
        <v>95</v>
      </c>
      <c r="K73" s="8">
        <v>1</v>
      </c>
      <c r="L73" s="8" t="s">
        <v>95</v>
      </c>
      <c r="M73" s="8">
        <v>1</v>
      </c>
      <c r="N73" s="8" t="s">
        <v>95</v>
      </c>
      <c r="O73" s="8">
        <v>1</v>
      </c>
      <c r="P73" s="8" t="s">
        <v>95</v>
      </c>
      <c r="Q73" s="8">
        <v>1</v>
      </c>
      <c r="R73" s="8" t="s">
        <v>95</v>
      </c>
      <c r="S73" s="8">
        <v>1</v>
      </c>
      <c r="T73" s="8" t="s">
        <v>95</v>
      </c>
      <c r="U73" s="8">
        <v>1</v>
      </c>
      <c r="V73" s="8" t="s">
        <v>95</v>
      </c>
      <c r="W73" s="8">
        <v>1</v>
      </c>
      <c r="X73" s="8" t="s">
        <v>95</v>
      </c>
      <c r="Y73" s="8">
        <v>1</v>
      </c>
      <c r="Z73" s="8" t="s">
        <v>95</v>
      </c>
      <c r="AA73" s="8">
        <v>1</v>
      </c>
      <c r="AB73" s="8" t="s">
        <v>95</v>
      </c>
      <c r="AC73" s="8">
        <v>1</v>
      </c>
      <c r="AD73" s="8" t="s">
        <v>95</v>
      </c>
      <c r="AE73" s="8">
        <v>1</v>
      </c>
      <c r="AF73" s="8" t="s">
        <v>95</v>
      </c>
      <c r="AG73" s="8">
        <v>1</v>
      </c>
      <c r="AH73" s="8" t="s">
        <v>95</v>
      </c>
      <c r="AI73" s="8">
        <v>1</v>
      </c>
      <c r="AJ73" s="8" t="s">
        <v>95</v>
      </c>
      <c r="AK73" s="8">
        <v>1</v>
      </c>
      <c r="AL73" s="8" t="s">
        <v>94</v>
      </c>
      <c r="AM73" s="8">
        <v>0</v>
      </c>
      <c r="AN73" s="8">
        <v>15</v>
      </c>
    </row>
    <row r="74" spans="1:40" x14ac:dyDescent="0.25">
      <c r="A74" s="8" t="s">
        <v>134</v>
      </c>
      <c r="B74" s="9">
        <v>42033.659722222219</v>
      </c>
      <c r="C74" s="8">
        <v>0</v>
      </c>
      <c r="D74" s="9">
        <v>42033.886111111111</v>
      </c>
      <c r="E74" s="8" t="s">
        <v>93</v>
      </c>
      <c r="F74" s="8">
        <v>6</v>
      </c>
      <c r="G74" s="8" t="s">
        <v>94</v>
      </c>
      <c r="H74" s="8" t="s">
        <v>95</v>
      </c>
      <c r="I74" s="8">
        <v>1</v>
      </c>
      <c r="J74" s="8" t="s">
        <v>94</v>
      </c>
      <c r="K74" s="8">
        <v>0</v>
      </c>
      <c r="L74" s="8" t="s">
        <v>94</v>
      </c>
      <c r="M74" s="8">
        <v>0</v>
      </c>
      <c r="N74" s="8" t="s">
        <v>94</v>
      </c>
      <c r="O74" s="8">
        <v>0</v>
      </c>
      <c r="P74" s="8" t="s">
        <v>94</v>
      </c>
      <c r="Q74" s="8">
        <v>0</v>
      </c>
      <c r="R74" s="8" t="s">
        <v>95</v>
      </c>
      <c r="S74" s="8">
        <v>1</v>
      </c>
      <c r="T74" s="8" t="s">
        <v>94</v>
      </c>
      <c r="U74" s="8">
        <v>0</v>
      </c>
      <c r="V74" s="8" t="s">
        <v>94</v>
      </c>
      <c r="W74" s="8">
        <v>0</v>
      </c>
      <c r="X74" s="8" t="s">
        <v>94</v>
      </c>
      <c r="Y74" s="8">
        <v>0</v>
      </c>
      <c r="Z74" s="8" t="s">
        <v>95</v>
      </c>
      <c r="AA74" s="8">
        <v>1</v>
      </c>
      <c r="AB74" s="8" t="s">
        <v>95</v>
      </c>
      <c r="AC74" s="8">
        <v>1</v>
      </c>
      <c r="AD74" s="8" t="s">
        <v>95</v>
      </c>
      <c r="AE74" s="8">
        <v>1</v>
      </c>
      <c r="AF74" s="8" t="s">
        <v>94</v>
      </c>
      <c r="AG74" s="8">
        <v>0</v>
      </c>
      <c r="AH74" s="8" t="s">
        <v>95</v>
      </c>
      <c r="AI74" s="8">
        <v>1</v>
      </c>
      <c r="AJ74" s="8" t="s">
        <v>94</v>
      </c>
      <c r="AK74" s="8">
        <v>0</v>
      </c>
      <c r="AL74" s="8" t="s">
        <v>94</v>
      </c>
      <c r="AM74" s="8">
        <v>0</v>
      </c>
      <c r="AN74" s="8">
        <v>6</v>
      </c>
    </row>
    <row r="75" spans="1:40" x14ac:dyDescent="0.25">
      <c r="A75" s="8" t="s">
        <v>135</v>
      </c>
      <c r="B75" s="9">
        <v>42033.672222222223</v>
      </c>
      <c r="C75" s="8">
        <v>0</v>
      </c>
      <c r="D75" s="9">
        <v>42033.888194444444</v>
      </c>
      <c r="E75" s="8" t="s">
        <v>93</v>
      </c>
      <c r="F75" s="8">
        <v>16</v>
      </c>
      <c r="G75" s="8" t="s">
        <v>94</v>
      </c>
      <c r="H75" s="8" t="s">
        <v>95</v>
      </c>
      <c r="I75" s="8">
        <v>1</v>
      </c>
      <c r="J75" s="8" t="s">
        <v>95</v>
      </c>
      <c r="K75" s="8">
        <v>1</v>
      </c>
      <c r="L75" s="8" t="s">
        <v>95</v>
      </c>
      <c r="M75" s="8">
        <v>1</v>
      </c>
      <c r="N75" s="8" t="s">
        <v>95</v>
      </c>
      <c r="O75" s="8">
        <v>1</v>
      </c>
      <c r="P75" s="8" t="s">
        <v>95</v>
      </c>
      <c r="Q75" s="8">
        <v>1</v>
      </c>
      <c r="R75" s="8" t="s">
        <v>95</v>
      </c>
      <c r="S75" s="8">
        <v>1</v>
      </c>
      <c r="T75" s="8" t="s">
        <v>95</v>
      </c>
      <c r="U75" s="8">
        <v>1</v>
      </c>
      <c r="V75" s="8" t="s">
        <v>95</v>
      </c>
      <c r="W75" s="8">
        <v>1</v>
      </c>
      <c r="X75" s="8" t="s">
        <v>95</v>
      </c>
      <c r="Y75" s="8">
        <v>1</v>
      </c>
      <c r="Z75" s="8" t="s">
        <v>95</v>
      </c>
      <c r="AA75" s="8">
        <v>1</v>
      </c>
      <c r="AB75" s="8" t="s">
        <v>95</v>
      </c>
      <c r="AC75" s="8">
        <v>1</v>
      </c>
      <c r="AD75" s="8" t="s">
        <v>95</v>
      </c>
      <c r="AE75" s="8">
        <v>1</v>
      </c>
      <c r="AF75" s="8" t="s">
        <v>95</v>
      </c>
      <c r="AG75" s="8">
        <v>1</v>
      </c>
      <c r="AH75" s="8" t="s">
        <v>95</v>
      </c>
      <c r="AI75" s="8">
        <v>1</v>
      </c>
      <c r="AJ75" s="8" t="s">
        <v>95</v>
      </c>
      <c r="AK75" s="8">
        <v>1</v>
      </c>
      <c r="AL75" s="8" t="s">
        <v>95</v>
      </c>
      <c r="AM75" s="8">
        <v>1</v>
      </c>
      <c r="AN75" s="8">
        <v>16</v>
      </c>
    </row>
    <row r="76" spans="1:40" x14ac:dyDescent="0.25">
      <c r="A76" s="8" t="s">
        <v>136</v>
      </c>
      <c r="B76" s="9">
        <v>42033.659722222219</v>
      </c>
      <c r="C76" s="8">
        <v>0</v>
      </c>
      <c r="D76" s="9">
        <v>42033.888888888891</v>
      </c>
      <c r="E76" s="8" t="s">
        <v>93</v>
      </c>
      <c r="F76" s="8">
        <v>10</v>
      </c>
      <c r="G76" s="8" t="s">
        <v>94</v>
      </c>
      <c r="H76" s="8" t="s">
        <v>94</v>
      </c>
      <c r="I76" s="8">
        <v>0</v>
      </c>
      <c r="J76" s="8" t="s">
        <v>95</v>
      </c>
      <c r="K76" s="8">
        <v>1</v>
      </c>
      <c r="L76" s="8" t="s">
        <v>94</v>
      </c>
      <c r="M76" s="8">
        <v>0</v>
      </c>
      <c r="N76" s="8" t="s">
        <v>94</v>
      </c>
      <c r="O76" s="8">
        <v>0</v>
      </c>
      <c r="P76" s="8" t="s">
        <v>95</v>
      </c>
      <c r="Q76" s="8">
        <v>1</v>
      </c>
      <c r="R76" s="8" t="s">
        <v>95</v>
      </c>
      <c r="S76" s="8">
        <v>1</v>
      </c>
      <c r="T76" s="8" t="s">
        <v>95</v>
      </c>
      <c r="U76" s="8">
        <v>1</v>
      </c>
      <c r="V76" s="8" t="s">
        <v>95</v>
      </c>
      <c r="W76" s="8">
        <v>1</v>
      </c>
      <c r="X76" s="8" t="s">
        <v>94</v>
      </c>
      <c r="Y76" s="8">
        <v>0</v>
      </c>
      <c r="Z76" s="8" t="s">
        <v>95</v>
      </c>
      <c r="AA76" s="8">
        <v>1</v>
      </c>
      <c r="AB76" s="8" t="s">
        <v>94</v>
      </c>
      <c r="AC76" s="8">
        <v>0</v>
      </c>
      <c r="AD76" s="8" t="s">
        <v>95</v>
      </c>
      <c r="AE76" s="8">
        <v>1</v>
      </c>
      <c r="AF76" s="8" t="s">
        <v>94</v>
      </c>
      <c r="AG76" s="8">
        <v>0</v>
      </c>
      <c r="AH76" s="8" t="s">
        <v>95</v>
      </c>
      <c r="AI76" s="8">
        <v>1</v>
      </c>
      <c r="AJ76" s="8" t="s">
        <v>95</v>
      </c>
      <c r="AK76" s="8">
        <v>1</v>
      </c>
      <c r="AL76" s="8" t="s">
        <v>95</v>
      </c>
      <c r="AM76" s="8">
        <v>1</v>
      </c>
      <c r="AN76" s="8">
        <v>10</v>
      </c>
    </row>
    <row r="77" spans="1:40" x14ac:dyDescent="0.25">
      <c r="A77" s="8" t="s">
        <v>137</v>
      </c>
      <c r="B77" s="9">
        <v>42033.682638888888</v>
      </c>
      <c r="C77" s="8">
        <v>0</v>
      </c>
      <c r="D77" s="9">
        <v>42033.895833333336</v>
      </c>
      <c r="E77" s="8" t="s">
        <v>93</v>
      </c>
      <c r="F77" s="8">
        <v>16</v>
      </c>
      <c r="G77" s="8" t="s">
        <v>94</v>
      </c>
      <c r="H77" s="8" t="s">
        <v>95</v>
      </c>
      <c r="I77" s="8">
        <v>1</v>
      </c>
      <c r="J77" s="8" t="s">
        <v>95</v>
      </c>
      <c r="K77" s="8">
        <v>1</v>
      </c>
      <c r="L77" s="8" t="s">
        <v>95</v>
      </c>
      <c r="M77" s="8">
        <v>1</v>
      </c>
      <c r="N77" s="8" t="s">
        <v>95</v>
      </c>
      <c r="O77" s="8">
        <v>1</v>
      </c>
      <c r="P77" s="8" t="s">
        <v>95</v>
      </c>
      <c r="Q77" s="8">
        <v>1</v>
      </c>
      <c r="R77" s="8" t="s">
        <v>95</v>
      </c>
      <c r="S77" s="8">
        <v>1</v>
      </c>
      <c r="T77" s="8" t="s">
        <v>95</v>
      </c>
      <c r="U77" s="8">
        <v>1</v>
      </c>
      <c r="V77" s="8" t="s">
        <v>95</v>
      </c>
      <c r="W77" s="8">
        <v>1</v>
      </c>
      <c r="X77" s="8" t="s">
        <v>95</v>
      </c>
      <c r="Y77" s="8">
        <v>1</v>
      </c>
      <c r="Z77" s="8" t="s">
        <v>95</v>
      </c>
      <c r="AA77" s="8">
        <v>1</v>
      </c>
      <c r="AB77" s="8" t="s">
        <v>95</v>
      </c>
      <c r="AC77" s="8">
        <v>1</v>
      </c>
      <c r="AD77" s="8" t="s">
        <v>95</v>
      </c>
      <c r="AE77" s="8">
        <v>1</v>
      </c>
      <c r="AF77" s="8" t="s">
        <v>95</v>
      </c>
      <c r="AG77" s="8">
        <v>1</v>
      </c>
      <c r="AH77" s="8" t="s">
        <v>95</v>
      </c>
      <c r="AI77" s="8">
        <v>1</v>
      </c>
      <c r="AJ77" s="8" t="s">
        <v>95</v>
      </c>
      <c r="AK77" s="8">
        <v>1</v>
      </c>
      <c r="AL77" s="8" t="s">
        <v>95</v>
      </c>
      <c r="AM77" s="8">
        <v>1</v>
      </c>
      <c r="AN77" s="8">
        <v>16</v>
      </c>
    </row>
    <row r="78" spans="1:40" x14ac:dyDescent="0.25">
      <c r="A78" s="8" t="s">
        <v>138</v>
      </c>
      <c r="B78" s="9">
        <v>42033.65625</v>
      </c>
      <c r="C78" s="8">
        <v>0</v>
      </c>
      <c r="D78" s="9">
        <v>42033.900694444441</v>
      </c>
      <c r="E78" s="8" t="s">
        <v>93</v>
      </c>
      <c r="F78" s="8">
        <v>8</v>
      </c>
      <c r="G78" s="8" t="s">
        <v>94</v>
      </c>
      <c r="H78" s="8" t="s">
        <v>95</v>
      </c>
      <c r="I78" s="8">
        <v>1</v>
      </c>
      <c r="J78" s="8" t="s">
        <v>95</v>
      </c>
      <c r="K78" s="8">
        <v>1</v>
      </c>
      <c r="L78" s="8" t="s">
        <v>95</v>
      </c>
      <c r="M78" s="8">
        <v>1</v>
      </c>
      <c r="N78" s="8" t="s">
        <v>94</v>
      </c>
      <c r="O78" s="8">
        <v>0</v>
      </c>
      <c r="P78" s="8" t="s">
        <v>94</v>
      </c>
      <c r="Q78" s="8">
        <v>0</v>
      </c>
      <c r="R78" s="8" t="s">
        <v>95</v>
      </c>
      <c r="S78" s="8">
        <v>1</v>
      </c>
      <c r="T78" s="8" t="s">
        <v>94</v>
      </c>
      <c r="U78" s="8">
        <v>0</v>
      </c>
      <c r="V78" s="8" t="s">
        <v>94</v>
      </c>
      <c r="W78" s="8">
        <v>0</v>
      </c>
      <c r="X78" s="8" t="s">
        <v>94</v>
      </c>
      <c r="Y78" s="8">
        <v>0</v>
      </c>
      <c r="Z78" s="8" t="s">
        <v>94</v>
      </c>
      <c r="AA78" s="8">
        <v>0</v>
      </c>
      <c r="AB78" s="8" t="s">
        <v>94</v>
      </c>
      <c r="AC78" s="8">
        <v>0</v>
      </c>
      <c r="AD78" s="8" t="s">
        <v>95</v>
      </c>
      <c r="AE78" s="8">
        <v>1</v>
      </c>
      <c r="AF78" s="8" t="s">
        <v>95</v>
      </c>
      <c r="AG78" s="8">
        <v>1</v>
      </c>
      <c r="AH78" s="8" t="s">
        <v>94</v>
      </c>
      <c r="AI78" s="8">
        <v>0</v>
      </c>
      <c r="AJ78" s="8" t="s">
        <v>95</v>
      </c>
      <c r="AK78" s="8">
        <v>1</v>
      </c>
      <c r="AL78" s="8" t="s">
        <v>95</v>
      </c>
      <c r="AM78" s="8">
        <v>1</v>
      </c>
      <c r="AN78" s="8">
        <v>8</v>
      </c>
    </row>
    <row r="79" spans="1:40" x14ac:dyDescent="0.25">
      <c r="A79" s="8" t="s">
        <v>139</v>
      </c>
      <c r="B79" s="9">
        <v>42033.679166666669</v>
      </c>
      <c r="C79" s="8">
        <v>0</v>
      </c>
      <c r="D79" s="9">
        <v>42033.914583333331</v>
      </c>
      <c r="E79" s="8" t="s">
        <v>93</v>
      </c>
      <c r="F79" s="8">
        <v>15</v>
      </c>
      <c r="G79" s="8" t="s">
        <v>94</v>
      </c>
      <c r="H79" s="8" t="s">
        <v>95</v>
      </c>
      <c r="I79" s="8">
        <v>1</v>
      </c>
      <c r="J79" s="8" t="s">
        <v>95</v>
      </c>
      <c r="K79" s="8">
        <v>1</v>
      </c>
      <c r="L79" s="8" t="s">
        <v>95</v>
      </c>
      <c r="M79" s="8">
        <v>1</v>
      </c>
      <c r="N79" s="8" t="s">
        <v>95</v>
      </c>
      <c r="O79" s="8">
        <v>1</v>
      </c>
      <c r="P79" s="8" t="s">
        <v>95</v>
      </c>
      <c r="Q79" s="8">
        <v>1</v>
      </c>
      <c r="R79" s="8" t="s">
        <v>95</v>
      </c>
      <c r="S79" s="8">
        <v>1</v>
      </c>
      <c r="T79" s="8" t="s">
        <v>95</v>
      </c>
      <c r="U79" s="8">
        <v>1</v>
      </c>
      <c r="V79" s="8" t="s">
        <v>95</v>
      </c>
      <c r="W79" s="8">
        <v>1</v>
      </c>
      <c r="X79" s="8" t="s">
        <v>95</v>
      </c>
      <c r="Y79" s="8">
        <v>1</v>
      </c>
      <c r="Z79" s="8" t="s">
        <v>95</v>
      </c>
      <c r="AA79" s="8">
        <v>1</v>
      </c>
      <c r="AB79" s="8" t="s">
        <v>95</v>
      </c>
      <c r="AC79" s="8">
        <v>1</v>
      </c>
      <c r="AD79" s="8" t="s">
        <v>95</v>
      </c>
      <c r="AE79" s="8">
        <v>1</v>
      </c>
      <c r="AF79" s="8" t="s">
        <v>95</v>
      </c>
      <c r="AG79" s="8">
        <v>1</v>
      </c>
      <c r="AH79" s="8" t="s">
        <v>95</v>
      </c>
      <c r="AI79" s="8">
        <v>1</v>
      </c>
      <c r="AJ79" s="8" t="s">
        <v>95</v>
      </c>
      <c r="AK79" s="8">
        <v>1</v>
      </c>
      <c r="AL79" s="8" t="s">
        <v>94</v>
      </c>
      <c r="AM79" s="8">
        <v>0</v>
      </c>
      <c r="AN79" s="8">
        <v>15</v>
      </c>
    </row>
    <row r="80" spans="1:40" x14ac:dyDescent="0.25">
      <c r="A80" s="8" t="s">
        <v>140</v>
      </c>
      <c r="B80" s="9">
        <v>42033.654166666667</v>
      </c>
      <c r="C80" s="8">
        <v>0</v>
      </c>
      <c r="D80" s="9">
        <v>42033.92083333333</v>
      </c>
      <c r="E80" s="8" t="s">
        <v>93</v>
      </c>
      <c r="F80" s="8">
        <v>10</v>
      </c>
      <c r="G80" s="8" t="s">
        <v>94</v>
      </c>
      <c r="H80" s="8" t="s">
        <v>95</v>
      </c>
      <c r="I80" s="8">
        <v>1</v>
      </c>
      <c r="J80" s="8" t="s">
        <v>94</v>
      </c>
      <c r="K80" s="8">
        <v>0</v>
      </c>
      <c r="L80" s="8" t="s">
        <v>95</v>
      </c>
      <c r="M80" s="8">
        <v>1</v>
      </c>
      <c r="N80" s="8" t="s">
        <v>95</v>
      </c>
      <c r="O80" s="8">
        <v>1</v>
      </c>
      <c r="P80" s="8" t="s">
        <v>95</v>
      </c>
      <c r="Q80" s="8">
        <v>1</v>
      </c>
      <c r="R80" s="8" t="s">
        <v>95</v>
      </c>
      <c r="S80" s="8">
        <v>1</v>
      </c>
      <c r="T80" s="8" t="s">
        <v>94</v>
      </c>
      <c r="U80" s="8">
        <v>0</v>
      </c>
      <c r="V80" s="8" t="s">
        <v>95</v>
      </c>
      <c r="W80" s="8">
        <v>1</v>
      </c>
      <c r="X80" s="8" t="s">
        <v>94</v>
      </c>
      <c r="Y80" s="8">
        <v>0</v>
      </c>
      <c r="Z80" s="8" t="s">
        <v>95</v>
      </c>
      <c r="AA80" s="8">
        <v>1</v>
      </c>
      <c r="AB80" s="8" t="s">
        <v>95</v>
      </c>
      <c r="AC80" s="8">
        <v>1</v>
      </c>
      <c r="AD80" s="8" t="s">
        <v>95</v>
      </c>
      <c r="AE80" s="8">
        <v>1</v>
      </c>
      <c r="AF80" s="8" t="s">
        <v>94</v>
      </c>
      <c r="AG80" s="8">
        <v>0</v>
      </c>
      <c r="AH80" s="8" t="s">
        <v>94</v>
      </c>
      <c r="AI80" s="8">
        <v>0</v>
      </c>
      <c r="AJ80" s="8" t="s">
        <v>94</v>
      </c>
      <c r="AK80" s="8">
        <v>0</v>
      </c>
      <c r="AL80" s="8" t="s">
        <v>95</v>
      </c>
      <c r="AM80" s="8">
        <v>1</v>
      </c>
      <c r="AN80" s="8">
        <v>10</v>
      </c>
    </row>
    <row r="81" spans="1:40" x14ac:dyDescent="0.25">
      <c r="A81" s="8" t="s">
        <v>141</v>
      </c>
      <c r="B81" s="9">
        <v>42033.671527777777</v>
      </c>
      <c r="C81" s="8">
        <v>0</v>
      </c>
      <c r="D81" s="9">
        <v>42033.927083333336</v>
      </c>
      <c r="E81" s="8" t="s">
        <v>93</v>
      </c>
      <c r="F81" s="8">
        <v>0</v>
      </c>
      <c r="G81" s="8" t="s">
        <v>94</v>
      </c>
      <c r="H81" s="8" t="s">
        <v>94</v>
      </c>
      <c r="I81" s="8">
        <v>0</v>
      </c>
      <c r="J81" s="8" t="s">
        <v>94</v>
      </c>
      <c r="K81" s="8">
        <v>0</v>
      </c>
      <c r="L81" s="8" t="s">
        <v>94</v>
      </c>
      <c r="M81" s="8">
        <v>0</v>
      </c>
      <c r="N81" s="8" t="s">
        <v>94</v>
      </c>
      <c r="O81" s="8">
        <v>0</v>
      </c>
      <c r="P81" s="8" t="s">
        <v>94</v>
      </c>
      <c r="Q81" s="8">
        <v>0</v>
      </c>
      <c r="R81" s="8" t="s">
        <v>94</v>
      </c>
      <c r="S81" s="8">
        <v>0</v>
      </c>
      <c r="T81" s="8" t="s">
        <v>94</v>
      </c>
      <c r="U81" s="8">
        <v>0</v>
      </c>
      <c r="V81" s="8" t="s">
        <v>94</v>
      </c>
      <c r="W81" s="8">
        <v>0</v>
      </c>
      <c r="X81" s="8" t="s">
        <v>94</v>
      </c>
      <c r="Y81" s="8">
        <v>0</v>
      </c>
      <c r="Z81" s="8" t="s">
        <v>94</v>
      </c>
      <c r="AA81" s="8">
        <v>0</v>
      </c>
      <c r="AB81" s="8" t="s">
        <v>94</v>
      </c>
      <c r="AC81" s="8">
        <v>0</v>
      </c>
      <c r="AD81" s="8" t="s">
        <v>94</v>
      </c>
      <c r="AE81" s="8">
        <v>0</v>
      </c>
      <c r="AF81" s="8" t="s">
        <v>94</v>
      </c>
      <c r="AG81" s="8">
        <v>0</v>
      </c>
      <c r="AH81" s="8" t="s">
        <v>94</v>
      </c>
      <c r="AI81" s="8">
        <v>0</v>
      </c>
      <c r="AJ81" s="8" t="s">
        <v>94</v>
      </c>
      <c r="AK81" s="8">
        <v>0</v>
      </c>
      <c r="AL81" s="8" t="s">
        <v>94</v>
      </c>
      <c r="AM81" s="8">
        <v>0</v>
      </c>
      <c r="AN81" s="8">
        <v>0</v>
      </c>
    </row>
    <row r="82" spans="1:40" x14ac:dyDescent="0.25">
      <c r="A82" s="8" t="s">
        <v>142</v>
      </c>
      <c r="B82" s="9">
        <v>42033.654861111114</v>
      </c>
      <c r="C82" s="8">
        <v>0</v>
      </c>
      <c r="D82" s="9">
        <v>42033.929861111108</v>
      </c>
      <c r="E82" s="8" t="s">
        <v>93</v>
      </c>
      <c r="F82" s="8">
        <v>11</v>
      </c>
      <c r="G82" s="8" t="s">
        <v>94</v>
      </c>
      <c r="H82" s="8" t="s">
        <v>95</v>
      </c>
      <c r="I82" s="8">
        <v>1</v>
      </c>
      <c r="J82" s="8" t="s">
        <v>95</v>
      </c>
      <c r="K82" s="8">
        <v>1</v>
      </c>
      <c r="L82" s="8" t="s">
        <v>95</v>
      </c>
      <c r="M82" s="8">
        <v>1</v>
      </c>
      <c r="N82" s="8" t="s">
        <v>95</v>
      </c>
      <c r="O82" s="8">
        <v>1</v>
      </c>
      <c r="P82" s="8" t="s">
        <v>94</v>
      </c>
      <c r="Q82" s="8">
        <v>0</v>
      </c>
      <c r="R82" s="8" t="s">
        <v>95</v>
      </c>
      <c r="S82" s="8">
        <v>1</v>
      </c>
      <c r="T82" s="8" t="s">
        <v>94</v>
      </c>
      <c r="U82" s="8">
        <v>0</v>
      </c>
      <c r="V82" s="8" t="s">
        <v>94</v>
      </c>
      <c r="W82" s="8">
        <v>0</v>
      </c>
      <c r="X82" s="8" t="s">
        <v>95</v>
      </c>
      <c r="Y82" s="8">
        <v>1</v>
      </c>
      <c r="Z82" s="8" t="s">
        <v>95</v>
      </c>
      <c r="AA82" s="8">
        <v>1</v>
      </c>
      <c r="AB82" s="8" t="s">
        <v>95</v>
      </c>
      <c r="AC82" s="8">
        <v>1</v>
      </c>
      <c r="AD82" s="8" t="s">
        <v>95</v>
      </c>
      <c r="AE82" s="8">
        <v>1</v>
      </c>
      <c r="AF82" s="8" t="s">
        <v>95</v>
      </c>
      <c r="AG82" s="8">
        <v>1</v>
      </c>
      <c r="AH82" s="8" t="s">
        <v>95</v>
      </c>
      <c r="AI82" s="8">
        <v>1</v>
      </c>
      <c r="AJ82" s="8" t="s">
        <v>94</v>
      </c>
      <c r="AK82" s="8">
        <v>0</v>
      </c>
      <c r="AL82" s="8" t="s">
        <v>94</v>
      </c>
      <c r="AM82" s="8">
        <v>0</v>
      </c>
      <c r="AN82" s="8">
        <v>11</v>
      </c>
    </row>
    <row r="83" spans="1:40" x14ac:dyDescent="0.25">
      <c r="A83" s="8" t="s">
        <v>143</v>
      </c>
      <c r="B83" s="9">
        <v>42033.681250000001</v>
      </c>
      <c r="C83" s="8">
        <v>0</v>
      </c>
      <c r="D83" s="9">
        <v>42033.929861111108</v>
      </c>
      <c r="E83" s="8" t="s">
        <v>93</v>
      </c>
      <c r="F83" s="8">
        <v>13</v>
      </c>
      <c r="G83" s="8" t="s">
        <v>94</v>
      </c>
      <c r="H83" s="8" t="s">
        <v>95</v>
      </c>
      <c r="I83" s="8">
        <v>1</v>
      </c>
      <c r="J83" s="8" t="s">
        <v>95</v>
      </c>
      <c r="K83" s="8">
        <v>1</v>
      </c>
      <c r="L83" s="8" t="s">
        <v>95</v>
      </c>
      <c r="M83" s="8">
        <v>1</v>
      </c>
      <c r="N83" s="8" t="s">
        <v>95</v>
      </c>
      <c r="O83" s="8">
        <v>1</v>
      </c>
      <c r="P83" s="8" t="s">
        <v>95</v>
      </c>
      <c r="Q83" s="8">
        <v>1</v>
      </c>
      <c r="R83" s="8" t="s">
        <v>95</v>
      </c>
      <c r="S83" s="8">
        <v>1</v>
      </c>
      <c r="T83" s="8" t="s">
        <v>94</v>
      </c>
      <c r="U83" s="8">
        <v>0</v>
      </c>
      <c r="V83" s="8" t="s">
        <v>94</v>
      </c>
      <c r="W83" s="8">
        <v>0</v>
      </c>
      <c r="X83" s="8" t="s">
        <v>95</v>
      </c>
      <c r="Y83" s="8">
        <v>1</v>
      </c>
      <c r="Z83" s="8" t="s">
        <v>95</v>
      </c>
      <c r="AA83" s="8">
        <v>1</v>
      </c>
      <c r="AB83" s="8" t="s">
        <v>95</v>
      </c>
      <c r="AC83" s="8">
        <v>1</v>
      </c>
      <c r="AD83" s="8" t="s">
        <v>95</v>
      </c>
      <c r="AE83" s="8">
        <v>1</v>
      </c>
      <c r="AF83" s="8" t="s">
        <v>95</v>
      </c>
      <c r="AG83" s="8">
        <v>1</v>
      </c>
      <c r="AH83" s="8" t="s">
        <v>94</v>
      </c>
      <c r="AI83" s="8">
        <v>0</v>
      </c>
      <c r="AJ83" s="8" t="s">
        <v>95</v>
      </c>
      <c r="AK83" s="8">
        <v>1</v>
      </c>
      <c r="AL83" s="8" t="s">
        <v>95</v>
      </c>
      <c r="AM83" s="8">
        <v>1</v>
      </c>
      <c r="AN83" s="8">
        <v>13</v>
      </c>
    </row>
    <row r="84" spans="1:40" x14ac:dyDescent="0.25">
      <c r="A84" s="8" t="s">
        <v>144</v>
      </c>
      <c r="B84" s="9">
        <v>42033.682638888888</v>
      </c>
      <c r="C84" s="8">
        <v>0</v>
      </c>
      <c r="D84" s="9">
        <v>42033.933333333334</v>
      </c>
      <c r="E84" s="8" t="s">
        <v>93</v>
      </c>
      <c r="F84" s="8">
        <v>16</v>
      </c>
      <c r="G84" s="8" t="s">
        <v>94</v>
      </c>
      <c r="H84" s="8" t="s">
        <v>95</v>
      </c>
      <c r="I84" s="8">
        <v>1</v>
      </c>
      <c r="J84" s="8" t="s">
        <v>95</v>
      </c>
      <c r="K84" s="8">
        <v>1</v>
      </c>
      <c r="L84" s="8" t="s">
        <v>95</v>
      </c>
      <c r="M84" s="8">
        <v>1</v>
      </c>
      <c r="N84" s="8" t="s">
        <v>95</v>
      </c>
      <c r="O84" s="8">
        <v>1</v>
      </c>
      <c r="P84" s="8" t="s">
        <v>95</v>
      </c>
      <c r="Q84" s="8">
        <v>1</v>
      </c>
      <c r="R84" s="8" t="s">
        <v>95</v>
      </c>
      <c r="S84" s="8">
        <v>1</v>
      </c>
      <c r="T84" s="8" t="s">
        <v>95</v>
      </c>
      <c r="U84" s="8">
        <v>1</v>
      </c>
      <c r="V84" s="8" t="s">
        <v>95</v>
      </c>
      <c r="W84" s="8">
        <v>1</v>
      </c>
      <c r="X84" s="8" t="s">
        <v>95</v>
      </c>
      <c r="Y84" s="8">
        <v>1</v>
      </c>
      <c r="Z84" s="8" t="s">
        <v>95</v>
      </c>
      <c r="AA84" s="8">
        <v>1</v>
      </c>
      <c r="AB84" s="8" t="s">
        <v>95</v>
      </c>
      <c r="AC84" s="8">
        <v>1</v>
      </c>
      <c r="AD84" s="8" t="s">
        <v>95</v>
      </c>
      <c r="AE84" s="8">
        <v>1</v>
      </c>
      <c r="AF84" s="8" t="s">
        <v>95</v>
      </c>
      <c r="AG84" s="8">
        <v>1</v>
      </c>
      <c r="AH84" s="8" t="s">
        <v>95</v>
      </c>
      <c r="AI84" s="8">
        <v>1</v>
      </c>
      <c r="AJ84" s="8" t="s">
        <v>95</v>
      </c>
      <c r="AK84" s="8">
        <v>1</v>
      </c>
      <c r="AL84" s="8" t="s">
        <v>95</v>
      </c>
      <c r="AM84" s="8">
        <v>1</v>
      </c>
      <c r="AN84" s="8">
        <v>16</v>
      </c>
    </row>
    <row r="85" spans="1:40" x14ac:dyDescent="0.25">
      <c r="A85" s="8" t="s">
        <v>145</v>
      </c>
      <c r="B85" s="9">
        <v>42033.679861111108</v>
      </c>
      <c r="C85" s="8">
        <v>0</v>
      </c>
      <c r="D85" s="9">
        <v>42033.936805555553</v>
      </c>
      <c r="E85" s="8" t="s">
        <v>93</v>
      </c>
      <c r="F85" s="8">
        <v>13</v>
      </c>
      <c r="G85" s="8" t="s">
        <v>94</v>
      </c>
      <c r="H85" s="8" t="s">
        <v>95</v>
      </c>
      <c r="I85" s="8">
        <v>1</v>
      </c>
      <c r="J85" s="8" t="s">
        <v>95</v>
      </c>
      <c r="K85" s="8">
        <v>1</v>
      </c>
      <c r="L85" s="8" t="s">
        <v>94</v>
      </c>
      <c r="M85" s="8">
        <v>0</v>
      </c>
      <c r="N85" s="8" t="s">
        <v>95</v>
      </c>
      <c r="O85" s="8">
        <v>1</v>
      </c>
      <c r="P85" s="8" t="s">
        <v>95</v>
      </c>
      <c r="Q85" s="8">
        <v>1</v>
      </c>
      <c r="R85" s="8" t="s">
        <v>95</v>
      </c>
      <c r="S85" s="8">
        <v>1</v>
      </c>
      <c r="T85" s="8" t="s">
        <v>94</v>
      </c>
      <c r="U85" s="8">
        <v>0</v>
      </c>
      <c r="V85" s="8" t="s">
        <v>95</v>
      </c>
      <c r="W85" s="8">
        <v>1</v>
      </c>
      <c r="X85" s="8" t="s">
        <v>95</v>
      </c>
      <c r="Y85" s="8">
        <v>1</v>
      </c>
      <c r="Z85" s="8" t="s">
        <v>95</v>
      </c>
      <c r="AA85" s="8">
        <v>1</v>
      </c>
      <c r="AB85" s="8" t="s">
        <v>95</v>
      </c>
      <c r="AC85" s="8">
        <v>1</v>
      </c>
      <c r="AD85" s="8" t="s">
        <v>95</v>
      </c>
      <c r="AE85" s="8">
        <v>1</v>
      </c>
      <c r="AF85" s="8" t="s">
        <v>95</v>
      </c>
      <c r="AG85" s="8">
        <v>1</v>
      </c>
      <c r="AH85" s="8" t="s">
        <v>94</v>
      </c>
      <c r="AI85" s="8">
        <v>0</v>
      </c>
      <c r="AJ85" s="8" t="s">
        <v>95</v>
      </c>
      <c r="AK85" s="8">
        <v>1</v>
      </c>
      <c r="AL85" s="8" t="s">
        <v>95</v>
      </c>
      <c r="AM85" s="8">
        <v>1</v>
      </c>
      <c r="AN85" s="8">
        <v>13</v>
      </c>
    </row>
    <row r="86" spans="1:40" x14ac:dyDescent="0.25">
      <c r="A86" s="8" t="s">
        <v>146</v>
      </c>
      <c r="B86" s="9">
        <v>42033.654861111114</v>
      </c>
      <c r="C86" s="8">
        <v>0</v>
      </c>
      <c r="D86" s="9">
        <v>42033.941666666666</v>
      </c>
      <c r="E86" s="8" t="s">
        <v>93</v>
      </c>
      <c r="F86" s="8">
        <v>9</v>
      </c>
      <c r="G86" s="8" t="s">
        <v>94</v>
      </c>
      <c r="H86" s="8" t="s">
        <v>94</v>
      </c>
      <c r="I86" s="8">
        <v>0</v>
      </c>
      <c r="J86" s="8" t="s">
        <v>95</v>
      </c>
      <c r="K86" s="8">
        <v>1</v>
      </c>
      <c r="L86" s="8" t="s">
        <v>95</v>
      </c>
      <c r="M86" s="8">
        <v>1</v>
      </c>
      <c r="N86" s="8" t="s">
        <v>94</v>
      </c>
      <c r="O86" s="8">
        <v>0</v>
      </c>
      <c r="P86" s="8" t="s">
        <v>94</v>
      </c>
      <c r="Q86" s="8">
        <v>0</v>
      </c>
      <c r="R86" s="8" t="s">
        <v>94</v>
      </c>
      <c r="S86" s="8">
        <v>0</v>
      </c>
      <c r="T86" s="8" t="s">
        <v>94</v>
      </c>
      <c r="U86" s="8">
        <v>0</v>
      </c>
      <c r="V86" s="8" t="s">
        <v>94</v>
      </c>
      <c r="W86" s="8">
        <v>0</v>
      </c>
      <c r="X86" s="8" t="s">
        <v>95</v>
      </c>
      <c r="Y86" s="8">
        <v>1</v>
      </c>
      <c r="Z86" s="8" t="s">
        <v>95</v>
      </c>
      <c r="AA86" s="8">
        <v>1</v>
      </c>
      <c r="AB86" s="8" t="s">
        <v>95</v>
      </c>
      <c r="AC86" s="8">
        <v>1</v>
      </c>
      <c r="AD86" s="8" t="s">
        <v>95</v>
      </c>
      <c r="AE86" s="8">
        <v>1</v>
      </c>
      <c r="AF86" s="8" t="s">
        <v>95</v>
      </c>
      <c r="AG86" s="8">
        <v>1</v>
      </c>
      <c r="AH86" s="8" t="s">
        <v>95</v>
      </c>
      <c r="AI86" s="8">
        <v>1</v>
      </c>
      <c r="AJ86" s="8" t="s">
        <v>94</v>
      </c>
      <c r="AK86" s="8">
        <v>0</v>
      </c>
      <c r="AL86" s="8" t="s">
        <v>95</v>
      </c>
      <c r="AM86" s="8">
        <v>1</v>
      </c>
      <c r="AN86" s="8">
        <v>9</v>
      </c>
    </row>
    <row r="87" spans="1:40" ht="26.25" x14ac:dyDescent="0.25">
      <c r="A87" s="8" t="s">
        <v>147</v>
      </c>
      <c r="B87" s="9">
        <v>42033.675694444442</v>
      </c>
      <c r="C87" s="8">
        <v>0</v>
      </c>
      <c r="D87" s="9">
        <v>42033.945833333331</v>
      </c>
      <c r="E87" s="8" t="s">
        <v>93</v>
      </c>
      <c r="F87" s="8">
        <v>1</v>
      </c>
      <c r="G87" s="8" t="s">
        <v>94</v>
      </c>
      <c r="H87" s="8" t="s">
        <v>94</v>
      </c>
      <c r="I87" s="8">
        <v>0</v>
      </c>
      <c r="J87" s="8" t="s">
        <v>94</v>
      </c>
      <c r="K87" s="8">
        <v>0</v>
      </c>
      <c r="L87" s="8" t="s">
        <v>94</v>
      </c>
      <c r="M87" s="8">
        <v>0</v>
      </c>
      <c r="N87" s="8" t="s">
        <v>94</v>
      </c>
      <c r="O87" s="8">
        <v>0</v>
      </c>
      <c r="P87" s="8" t="s">
        <v>94</v>
      </c>
      <c r="Q87" s="8">
        <v>0</v>
      </c>
      <c r="R87" s="8" t="s">
        <v>95</v>
      </c>
      <c r="S87" s="8">
        <v>1</v>
      </c>
      <c r="T87" s="8" t="s">
        <v>94</v>
      </c>
      <c r="U87" s="8">
        <v>0</v>
      </c>
      <c r="V87" s="8" t="s">
        <v>94</v>
      </c>
      <c r="W87" s="8">
        <v>0</v>
      </c>
      <c r="X87" s="8" t="s">
        <v>94</v>
      </c>
      <c r="Y87" s="8">
        <v>0</v>
      </c>
      <c r="Z87" s="8" t="s">
        <v>94</v>
      </c>
      <c r="AA87" s="8">
        <v>0</v>
      </c>
      <c r="AB87" s="8" t="s">
        <v>94</v>
      </c>
      <c r="AC87" s="8">
        <v>0</v>
      </c>
      <c r="AD87" s="8" t="s">
        <v>94</v>
      </c>
      <c r="AE87" s="8">
        <v>0</v>
      </c>
      <c r="AF87" s="8" t="s">
        <v>94</v>
      </c>
      <c r="AG87" s="8">
        <v>0</v>
      </c>
      <c r="AH87" s="8" t="s">
        <v>94</v>
      </c>
      <c r="AI87" s="8">
        <v>0</v>
      </c>
      <c r="AJ87" s="8" t="s">
        <v>94</v>
      </c>
      <c r="AK87" s="8">
        <v>0</v>
      </c>
      <c r="AL87" s="8" t="s">
        <v>94</v>
      </c>
      <c r="AM87" s="8">
        <v>0</v>
      </c>
      <c r="AN87" s="8">
        <v>1</v>
      </c>
    </row>
    <row r="88" spans="1:40" x14ac:dyDescent="0.25">
      <c r="A88" s="8" t="s">
        <v>148</v>
      </c>
      <c r="B88" s="9">
        <v>42033.652777777781</v>
      </c>
      <c r="C88" s="8">
        <v>0</v>
      </c>
      <c r="D88" s="9">
        <v>42033.946527777778</v>
      </c>
      <c r="E88" s="8" t="s">
        <v>93</v>
      </c>
      <c r="F88" s="8">
        <v>2</v>
      </c>
      <c r="G88" s="8" t="s">
        <v>94</v>
      </c>
      <c r="H88" s="8" t="s">
        <v>94</v>
      </c>
      <c r="I88" s="8">
        <v>0</v>
      </c>
      <c r="J88" s="8" t="s">
        <v>94</v>
      </c>
      <c r="K88" s="8">
        <v>0</v>
      </c>
      <c r="L88" s="8" t="s">
        <v>94</v>
      </c>
      <c r="M88" s="8">
        <v>0</v>
      </c>
      <c r="N88" s="8" t="s">
        <v>94</v>
      </c>
      <c r="O88" s="8">
        <v>0</v>
      </c>
      <c r="P88" s="8" t="s">
        <v>94</v>
      </c>
      <c r="Q88" s="8">
        <v>0</v>
      </c>
      <c r="R88" s="8" t="s">
        <v>94</v>
      </c>
      <c r="S88" s="8">
        <v>0</v>
      </c>
      <c r="T88" s="8" t="s">
        <v>94</v>
      </c>
      <c r="U88" s="8">
        <v>0</v>
      </c>
      <c r="V88" s="8" t="s">
        <v>94</v>
      </c>
      <c r="W88" s="8">
        <v>0</v>
      </c>
      <c r="X88" s="8" t="s">
        <v>95</v>
      </c>
      <c r="Y88" s="8">
        <v>1</v>
      </c>
      <c r="Z88" s="8" t="s">
        <v>94</v>
      </c>
      <c r="AA88" s="8">
        <v>0</v>
      </c>
      <c r="AB88" s="8" t="s">
        <v>94</v>
      </c>
      <c r="AC88" s="8">
        <v>0</v>
      </c>
      <c r="AD88" s="8" t="s">
        <v>95</v>
      </c>
      <c r="AE88" s="8">
        <v>1</v>
      </c>
      <c r="AF88" s="8" t="s">
        <v>94</v>
      </c>
      <c r="AG88" s="8">
        <v>0</v>
      </c>
      <c r="AH88" s="8" t="s">
        <v>94</v>
      </c>
      <c r="AI88" s="8">
        <v>0</v>
      </c>
      <c r="AJ88" s="8" t="s">
        <v>94</v>
      </c>
      <c r="AK88" s="8">
        <v>0</v>
      </c>
      <c r="AL88" s="8" t="s">
        <v>94</v>
      </c>
      <c r="AM88" s="8">
        <v>0</v>
      </c>
      <c r="AN88" s="8">
        <v>2</v>
      </c>
    </row>
    <row r="89" spans="1:40" x14ac:dyDescent="0.25">
      <c r="A89" s="8" t="s">
        <v>149</v>
      </c>
      <c r="B89" s="9">
        <v>42033.651388888888</v>
      </c>
      <c r="C89" s="8">
        <v>0</v>
      </c>
      <c r="D89" s="9">
        <v>42033.947916666664</v>
      </c>
      <c r="E89" s="8" t="s">
        <v>93</v>
      </c>
      <c r="F89" s="8">
        <v>6</v>
      </c>
      <c r="G89" s="8" t="s">
        <v>94</v>
      </c>
      <c r="H89" s="8" t="s">
        <v>95</v>
      </c>
      <c r="I89" s="8">
        <v>1</v>
      </c>
      <c r="J89" s="8" t="s">
        <v>94</v>
      </c>
      <c r="K89" s="8">
        <v>0</v>
      </c>
      <c r="L89" s="8" t="s">
        <v>94</v>
      </c>
      <c r="M89" s="8">
        <v>0</v>
      </c>
      <c r="N89" s="8" t="s">
        <v>94</v>
      </c>
      <c r="O89" s="8">
        <v>0</v>
      </c>
      <c r="P89" s="8" t="s">
        <v>94</v>
      </c>
      <c r="Q89" s="8">
        <v>0</v>
      </c>
      <c r="R89" s="8" t="s">
        <v>95</v>
      </c>
      <c r="S89" s="8">
        <v>1</v>
      </c>
      <c r="T89" s="8" t="s">
        <v>94</v>
      </c>
      <c r="U89" s="8">
        <v>0</v>
      </c>
      <c r="V89" s="8" t="s">
        <v>94</v>
      </c>
      <c r="W89" s="8">
        <v>0</v>
      </c>
      <c r="X89" s="8" t="s">
        <v>94</v>
      </c>
      <c r="Y89" s="8">
        <v>0</v>
      </c>
      <c r="Z89" s="8" t="s">
        <v>94</v>
      </c>
      <c r="AA89" s="8">
        <v>0</v>
      </c>
      <c r="AB89" s="8" t="s">
        <v>95</v>
      </c>
      <c r="AC89" s="8">
        <v>1</v>
      </c>
      <c r="AD89" s="8" t="s">
        <v>95</v>
      </c>
      <c r="AE89" s="8">
        <v>1</v>
      </c>
      <c r="AF89" s="8" t="s">
        <v>94</v>
      </c>
      <c r="AG89" s="8">
        <v>0</v>
      </c>
      <c r="AH89" s="8" t="s">
        <v>95</v>
      </c>
      <c r="AI89" s="8">
        <v>1</v>
      </c>
      <c r="AJ89" s="8" t="s">
        <v>95</v>
      </c>
      <c r="AK89" s="8">
        <v>1</v>
      </c>
      <c r="AL89" s="8" t="s">
        <v>94</v>
      </c>
      <c r="AM89" s="8">
        <v>0</v>
      </c>
      <c r="AN89" s="8">
        <v>6</v>
      </c>
    </row>
    <row r="90" spans="1:40" x14ac:dyDescent="0.25">
      <c r="A90" s="8" t="s">
        <v>150</v>
      </c>
      <c r="B90" s="9">
        <v>42033.675694444442</v>
      </c>
      <c r="C90" s="8">
        <v>0</v>
      </c>
      <c r="D90" s="9">
        <v>42033.948611111111</v>
      </c>
      <c r="E90" s="8" t="s">
        <v>93</v>
      </c>
      <c r="F90" s="8">
        <v>7</v>
      </c>
      <c r="G90" s="8" t="s">
        <v>94</v>
      </c>
      <c r="H90" s="8" t="s">
        <v>94</v>
      </c>
      <c r="I90" s="8">
        <v>0</v>
      </c>
      <c r="J90" s="8" t="s">
        <v>95</v>
      </c>
      <c r="K90" s="8">
        <v>1</v>
      </c>
      <c r="L90" s="8" t="s">
        <v>94</v>
      </c>
      <c r="M90" s="8">
        <v>0</v>
      </c>
      <c r="N90" s="8" t="s">
        <v>94</v>
      </c>
      <c r="O90" s="8">
        <v>0</v>
      </c>
      <c r="P90" s="8" t="s">
        <v>94</v>
      </c>
      <c r="Q90" s="8">
        <v>0</v>
      </c>
      <c r="R90" s="8" t="s">
        <v>94</v>
      </c>
      <c r="S90" s="8">
        <v>0</v>
      </c>
      <c r="T90" s="8" t="s">
        <v>94</v>
      </c>
      <c r="U90" s="8">
        <v>0</v>
      </c>
      <c r="V90" s="8" t="s">
        <v>94</v>
      </c>
      <c r="W90" s="8">
        <v>0</v>
      </c>
      <c r="X90" s="8" t="s">
        <v>95</v>
      </c>
      <c r="Y90" s="8">
        <v>1</v>
      </c>
      <c r="Z90" s="8" t="s">
        <v>95</v>
      </c>
      <c r="AA90" s="8">
        <v>1</v>
      </c>
      <c r="AB90" s="8" t="s">
        <v>94</v>
      </c>
      <c r="AC90" s="8">
        <v>0</v>
      </c>
      <c r="AD90" s="8" t="s">
        <v>95</v>
      </c>
      <c r="AE90" s="8">
        <v>1</v>
      </c>
      <c r="AF90" s="8" t="s">
        <v>95</v>
      </c>
      <c r="AG90" s="8">
        <v>1</v>
      </c>
      <c r="AH90" s="8" t="s">
        <v>94</v>
      </c>
      <c r="AI90" s="8">
        <v>0</v>
      </c>
      <c r="AJ90" s="8" t="s">
        <v>95</v>
      </c>
      <c r="AK90" s="8">
        <v>1</v>
      </c>
      <c r="AL90" s="8" t="s">
        <v>95</v>
      </c>
      <c r="AM90" s="8">
        <v>1</v>
      </c>
      <c r="AN90" s="8">
        <v>7</v>
      </c>
    </row>
    <row r="91" spans="1:40" x14ac:dyDescent="0.25">
      <c r="A91" s="8" t="s">
        <v>151</v>
      </c>
      <c r="B91" s="9">
        <v>42033.656944444447</v>
      </c>
      <c r="C91" s="8">
        <v>0</v>
      </c>
      <c r="D91" s="9">
        <v>42033.949305555558</v>
      </c>
      <c r="E91" s="8" t="s">
        <v>93</v>
      </c>
      <c r="F91" s="8">
        <v>16</v>
      </c>
      <c r="G91" s="8" t="s">
        <v>94</v>
      </c>
      <c r="H91" s="8" t="s">
        <v>95</v>
      </c>
      <c r="I91" s="8">
        <v>1</v>
      </c>
      <c r="J91" s="8" t="s">
        <v>95</v>
      </c>
      <c r="K91" s="8">
        <v>1</v>
      </c>
      <c r="L91" s="8" t="s">
        <v>95</v>
      </c>
      <c r="M91" s="8">
        <v>1</v>
      </c>
      <c r="N91" s="8" t="s">
        <v>95</v>
      </c>
      <c r="O91" s="8">
        <v>1</v>
      </c>
      <c r="P91" s="8" t="s">
        <v>95</v>
      </c>
      <c r="Q91" s="8">
        <v>1</v>
      </c>
      <c r="R91" s="8" t="s">
        <v>95</v>
      </c>
      <c r="S91" s="8">
        <v>1</v>
      </c>
      <c r="T91" s="8" t="s">
        <v>95</v>
      </c>
      <c r="U91" s="8">
        <v>1</v>
      </c>
      <c r="V91" s="8" t="s">
        <v>95</v>
      </c>
      <c r="W91" s="8">
        <v>1</v>
      </c>
      <c r="X91" s="8" t="s">
        <v>95</v>
      </c>
      <c r="Y91" s="8">
        <v>1</v>
      </c>
      <c r="Z91" s="8" t="s">
        <v>95</v>
      </c>
      <c r="AA91" s="8">
        <v>1</v>
      </c>
      <c r="AB91" s="8" t="s">
        <v>95</v>
      </c>
      <c r="AC91" s="8">
        <v>1</v>
      </c>
      <c r="AD91" s="8" t="s">
        <v>95</v>
      </c>
      <c r="AE91" s="8">
        <v>1</v>
      </c>
      <c r="AF91" s="8" t="s">
        <v>95</v>
      </c>
      <c r="AG91" s="8">
        <v>1</v>
      </c>
      <c r="AH91" s="8" t="s">
        <v>95</v>
      </c>
      <c r="AI91" s="8">
        <v>1</v>
      </c>
      <c r="AJ91" s="8" t="s">
        <v>95</v>
      </c>
      <c r="AK91" s="8">
        <v>1</v>
      </c>
      <c r="AL91" s="8" t="s">
        <v>95</v>
      </c>
      <c r="AM91" s="8">
        <v>1</v>
      </c>
      <c r="AN91" s="8">
        <v>16</v>
      </c>
    </row>
    <row r="92" spans="1:40" x14ac:dyDescent="0.25">
      <c r="A92" s="8" t="s">
        <v>152</v>
      </c>
      <c r="B92" s="9">
        <v>42033.658333333333</v>
      </c>
      <c r="C92" s="8">
        <v>0</v>
      </c>
      <c r="D92" s="9">
        <v>42033.951388888891</v>
      </c>
      <c r="E92" s="8" t="s">
        <v>93</v>
      </c>
      <c r="F92" s="8">
        <v>7</v>
      </c>
      <c r="G92" s="8" t="s">
        <v>94</v>
      </c>
      <c r="H92" s="8" t="s">
        <v>94</v>
      </c>
      <c r="I92" s="8">
        <v>0</v>
      </c>
      <c r="J92" s="8" t="s">
        <v>95</v>
      </c>
      <c r="K92" s="8">
        <v>1</v>
      </c>
      <c r="L92" s="8" t="s">
        <v>94</v>
      </c>
      <c r="M92" s="8">
        <v>0</v>
      </c>
      <c r="N92" s="8" t="s">
        <v>95</v>
      </c>
      <c r="O92" s="8">
        <v>1</v>
      </c>
      <c r="P92" s="8" t="s">
        <v>94</v>
      </c>
      <c r="Q92" s="8">
        <v>0</v>
      </c>
      <c r="R92" s="8" t="s">
        <v>95</v>
      </c>
      <c r="S92" s="8">
        <v>1</v>
      </c>
      <c r="T92" s="8" t="s">
        <v>94</v>
      </c>
      <c r="U92" s="8">
        <v>0</v>
      </c>
      <c r="V92" s="8" t="s">
        <v>95</v>
      </c>
      <c r="W92" s="8">
        <v>1</v>
      </c>
      <c r="X92" s="8" t="s">
        <v>94</v>
      </c>
      <c r="Y92" s="8">
        <v>0</v>
      </c>
      <c r="Z92" s="8" t="s">
        <v>94</v>
      </c>
      <c r="AA92" s="8">
        <v>0</v>
      </c>
      <c r="AB92" s="8" t="s">
        <v>94</v>
      </c>
      <c r="AC92" s="8">
        <v>0</v>
      </c>
      <c r="AD92" s="8" t="s">
        <v>94</v>
      </c>
      <c r="AE92" s="8">
        <v>0</v>
      </c>
      <c r="AF92" s="8" t="s">
        <v>94</v>
      </c>
      <c r="AG92" s="8">
        <v>0</v>
      </c>
      <c r="AH92" s="8" t="s">
        <v>95</v>
      </c>
      <c r="AI92" s="8">
        <v>1</v>
      </c>
      <c r="AJ92" s="8" t="s">
        <v>95</v>
      </c>
      <c r="AK92" s="8">
        <v>1</v>
      </c>
      <c r="AL92" s="8" t="s">
        <v>95</v>
      </c>
      <c r="AM92" s="8">
        <v>1</v>
      </c>
      <c r="AN92" s="8">
        <v>7</v>
      </c>
    </row>
    <row r="93" spans="1:40" x14ac:dyDescent="0.25">
      <c r="A93" s="8" t="s">
        <v>153</v>
      </c>
      <c r="B93" s="9">
        <v>42033.681944444441</v>
      </c>
      <c r="C93" s="8">
        <v>0</v>
      </c>
      <c r="D93" s="9">
        <v>42033.956250000003</v>
      </c>
      <c r="E93" s="8" t="s">
        <v>93</v>
      </c>
      <c r="F93" s="8">
        <v>9</v>
      </c>
      <c r="G93" s="8" t="s">
        <v>94</v>
      </c>
      <c r="H93" s="8" t="s">
        <v>95</v>
      </c>
      <c r="I93" s="8">
        <v>1</v>
      </c>
      <c r="J93" s="8" t="s">
        <v>95</v>
      </c>
      <c r="K93" s="8">
        <v>1</v>
      </c>
      <c r="L93" s="8" t="s">
        <v>94</v>
      </c>
      <c r="M93" s="8">
        <v>0</v>
      </c>
      <c r="N93" s="8" t="s">
        <v>94</v>
      </c>
      <c r="O93" s="8">
        <v>0</v>
      </c>
      <c r="P93" s="8" t="s">
        <v>95</v>
      </c>
      <c r="Q93" s="8">
        <v>1</v>
      </c>
      <c r="R93" s="8" t="s">
        <v>95</v>
      </c>
      <c r="S93" s="8">
        <v>1</v>
      </c>
      <c r="T93" s="8" t="s">
        <v>94</v>
      </c>
      <c r="U93" s="8">
        <v>0</v>
      </c>
      <c r="V93" s="8" t="s">
        <v>94</v>
      </c>
      <c r="W93" s="8">
        <v>0</v>
      </c>
      <c r="X93" s="8" t="s">
        <v>95</v>
      </c>
      <c r="Y93" s="8">
        <v>1</v>
      </c>
      <c r="Z93" s="8" t="s">
        <v>95</v>
      </c>
      <c r="AA93" s="8">
        <v>1</v>
      </c>
      <c r="AB93" s="8" t="s">
        <v>95</v>
      </c>
      <c r="AC93" s="8">
        <v>1</v>
      </c>
      <c r="AD93" s="8" t="s">
        <v>95</v>
      </c>
      <c r="AE93" s="8">
        <v>1</v>
      </c>
      <c r="AF93" s="8" t="s">
        <v>94</v>
      </c>
      <c r="AG93" s="8">
        <v>0</v>
      </c>
      <c r="AH93" s="8" t="s">
        <v>94</v>
      </c>
      <c r="AI93" s="8">
        <v>0</v>
      </c>
      <c r="AJ93" s="8" t="s">
        <v>95</v>
      </c>
      <c r="AK93" s="8">
        <v>1</v>
      </c>
      <c r="AL93" s="8" t="s">
        <v>94</v>
      </c>
      <c r="AM93" s="8">
        <v>0</v>
      </c>
      <c r="AN93" s="8">
        <v>9</v>
      </c>
    </row>
    <row r="94" spans="1:40" x14ac:dyDescent="0.25">
      <c r="A94" s="8" t="s">
        <v>154</v>
      </c>
      <c r="B94" s="9">
        <v>42033.655555555553</v>
      </c>
      <c r="C94" s="8">
        <v>0</v>
      </c>
      <c r="D94" s="9">
        <v>42033.956250000003</v>
      </c>
      <c r="E94" s="8" t="s">
        <v>93</v>
      </c>
      <c r="F94" s="8">
        <v>12</v>
      </c>
      <c r="G94" s="8" t="s">
        <v>94</v>
      </c>
      <c r="H94" s="8" t="s">
        <v>95</v>
      </c>
      <c r="I94" s="8">
        <v>1</v>
      </c>
      <c r="J94" s="8" t="s">
        <v>95</v>
      </c>
      <c r="K94" s="8">
        <v>1</v>
      </c>
      <c r="L94" s="8" t="s">
        <v>95</v>
      </c>
      <c r="M94" s="8">
        <v>1</v>
      </c>
      <c r="N94" s="8" t="s">
        <v>95</v>
      </c>
      <c r="O94" s="8">
        <v>1</v>
      </c>
      <c r="P94" s="8" t="s">
        <v>95</v>
      </c>
      <c r="Q94" s="8">
        <v>1</v>
      </c>
      <c r="R94" s="8" t="s">
        <v>95</v>
      </c>
      <c r="S94" s="8">
        <v>1</v>
      </c>
      <c r="T94" s="8" t="s">
        <v>94</v>
      </c>
      <c r="U94" s="8">
        <v>0</v>
      </c>
      <c r="V94" s="8" t="s">
        <v>95</v>
      </c>
      <c r="W94" s="8">
        <v>1</v>
      </c>
      <c r="X94" s="8" t="s">
        <v>95</v>
      </c>
      <c r="Y94" s="8">
        <v>1</v>
      </c>
      <c r="Z94" s="8" t="s">
        <v>94</v>
      </c>
      <c r="AA94" s="8">
        <v>0</v>
      </c>
      <c r="AB94" s="8" t="s">
        <v>95</v>
      </c>
      <c r="AC94" s="8">
        <v>1</v>
      </c>
      <c r="AD94" s="8" t="s">
        <v>95</v>
      </c>
      <c r="AE94" s="8">
        <v>1</v>
      </c>
      <c r="AF94" s="8" t="s">
        <v>94</v>
      </c>
      <c r="AG94" s="8">
        <v>0</v>
      </c>
      <c r="AH94" s="8" t="s">
        <v>94</v>
      </c>
      <c r="AI94" s="8">
        <v>0</v>
      </c>
      <c r="AJ94" s="8" t="s">
        <v>95</v>
      </c>
      <c r="AK94" s="8">
        <v>1</v>
      </c>
      <c r="AL94" s="8" t="s">
        <v>95</v>
      </c>
      <c r="AM94" s="8">
        <v>1</v>
      </c>
      <c r="AN94" s="8">
        <v>12</v>
      </c>
    </row>
    <row r="95" spans="1:40" x14ac:dyDescent="0.25">
      <c r="A95" s="8" t="s">
        <v>155</v>
      </c>
      <c r="B95" s="9">
        <v>42033.677083333336</v>
      </c>
      <c r="C95" s="8">
        <v>0</v>
      </c>
      <c r="D95" s="9">
        <v>42033.956250000003</v>
      </c>
      <c r="E95" s="8" t="s">
        <v>93</v>
      </c>
      <c r="F95" s="8">
        <v>16</v>
      </c>
      <c r="G95" s="8" t="s">
        <v>94</v>
      </c>
      <c r="H95" s="8" t="s">
        <v>95</v>
      </c>
      <c r="I95" s="8">
        <v>1</v>
      </c>
      <c r="J95" s="8" t="s">
        <v>95</v>
      </c>
      <c r="K95" s="8">
        <v>1</v>
      </c>
      <c r="L95" s="8" t="s">
        <v>95</v>
      </c>
      <c r="M95" s="8">
        <v>1</v>
      </c>
      <c r="N95" s="8" t="s">
        <v>95</v>
      </c>
      <c r="O95" s="8">
        <v>1</v>
      </c>
      <c r="P95" s="8" t="s">
        <v>95</v>
      </c>
      <c r="Q95" s="8">
        <v>1</v>
      </c>
      <c r="R95" s="8" t="s">
        <v>95</v>
      </c>
      <c r="S95" s="8">
        <v>1</v>
      </c>
      <c r="T95" s="8" t="s">
        <v>95</v>
      </c>
      <c r="U95" s="8">
        <v>1</v>
      </c>
      <c r="V95" s="8" t="s">
        <v>95</v>
      </c>
      <c r="W95" s="8">
        <v>1</v>
      </c>
      <c r="X95" s="8" t="s">
        <v>95</v>
      </c>
      <c r="Y95" s="8">
        <v>1</v>
      </c>
      <c r="Z95" s="8" t="s">
        <v>95</v>
      </c>
      <c r="AA95" s="8">
        <v>1</v>
      </c>
      <c r="AB95" s="8" t="s">
        <v>95</v>
      </c>
      <c r="AC95" s="8">
        <v>1</v>
      </c>
      <c r="AD95" s="8" t="s">
        <v>95</v>
      </c>
      <c r="AE95" s="8">
        <v>1</v>
      </c>
      <c r="AF95" s="8" t="s">
        <v>95</v>
      </c>
      <c r="AG95" s="8">
        <v>1</v>
      </c>
      <c r="AH95" s="8" t="s">
        <v>95</v>
      </c>
      <c r="AI95" s="8">
        <v>1</v>
      </c>
      <c r="AJ95" s="8" t="s">
        <v>95</v>
      </c>
      <c r="AK95" s="8">
        <v>1</v>
      </c>
      <c r="AL95" s="8" t="s">
        <v>95</v>
      </c>
      <c r="AM95" s="8">
        <v>1</v>
      </c>
      <c r="AN95" s="8">
        <v>16</v>
      </c>
    </row>
    <row r="96" spans="1:40" x14ac:dyDescent="0.25">
      <c r="A96" s="8" t="s">
        <v>156</v>
      </c>
      <c r="B96" s="9">
        <v>42033.673611111109</v>
      </c>
      <c r="C96" s="8">
        <v>0</v>
      </c>
      <c r="D96" s="9">
        <v>42033.959027777775</v>
      </c>
      <c r="E96" s="8" t="s">
        <v>93</v>
      </c>
      <c r="F96" s="8">
        <v>5</v>
      </c>
      <c r="G96" s="8" t="s">
        <v>94</v>
      </c>
      <c r="H96" s="8" t="s">
        <v>95</v>
      </c>
      <c r="I96" s="8">
        <v>1</v>
      </c>
      <c r="J96" s="8" t="s">
        <v>95</v>
      </c>
      <c r="K96" s="8">
        <v>1</v>
      </c>
      <c r="L96" s="8" t="s">
        <v>94</v>
      </c>
      <c r="M96" s="8">
        <v>0</v>
      </c>
      <c r="N96" s="8" t="s">
        <v>94</v>
      </c>
      <c r="O96" s="8">
        <v>0</v>
      </c>
      <c r="P96" s="8" t="s">
        <v>94</v>
      </c>
      <c r="Q96" s="8">
        <v>0</v>
      </c>
      <c r="R96" s="8" t="s">
        <v>94</v>
      </c>
      <c r="S96" s="8">
        <v>0</v>
      </c>
      <c r="T96" s="8" t="s">
        <v>94</v>
      </c>
      <c r="U96" s="8">
        <v>0</v>
      </c>
      <c r="V96" s="8" t="s">
        <v>94</v>
      </c>
      <c r="W96" s="8">
        <v>0</v>
      </c>
      <c r="X96" s="8" t="s">
        <v>94</v>
      </c>
      <c r="Y96" s="8">
        <v>0</v>
      </c>
      <c r="Z96" s="8" t="s">
        <v>95</v>
      </c>
      <c r="AA96" s="8">
        <v>1</v>
      </c>
      <c r="AB96" s="8" t="s">
        <v>95</v>
      </c>
      <c r="AC96" s="8">
        <v>1</v>
      </c>
      <c r="AD96" s="8" t="s">
        <v>95</v>
      </c>
      <c r="AE96" s="8">
        <v>1</v>
      </c>
      <c r="AF96" s="8" t="s">
        <v>94</v>
      </c>
      <c r="AG96" s="8">
        <v>0</v>
      </c>
      <c r="AH96" s="8" t="s">
        <v>94</v>
      </c>
      <c r="AI96" s="8">
        <v>0</v>
      </c>
      <c r="AJ96" s="8" t="s">
        <v>94</v>
      </c>
      <c r="AK96" s="8">
        <v>0</v>
      </c>
      <c r="AL96" s="8" t="s">
        <v>94</v>
      </c>
      <c r="AM96" s="8">
        <v>0</v>
      </c>
      <c r="AN96" s="8">
        <v>5</v>
      </c>
    </row>
    <row r="97" spans="1:40" x14ac:dyDescent="0.25">
      <c r="A97" s="8" t="s">
        <v>157</v>
      </c>
      <c r="B97" s="9">
        <v>42033.65</v>
      </c>
      <c r="C97" s="8">
        <v>0</v>
      </c>
      <c r="D97" s="9">
        <v>42033.964583333334</v>
      </c>
      <c r="E97" s="8" t="s">
        <v>93</v>
      </c>
      <c r="F97" s="8">
        <v>12</v>
      </c>
      <c r="G97" s="8" t="s">
        <v>94</v>
      </c>
      <c r="H97" s="8" t="s">
        <v>95</v>
      </c>
      <c r="I97" s="8">
        <v>1</v>
      </c>
      <c r="J97" s="8" t="s">
        <v>94</v>
      </c>
      <c r="K97" s="8">
        <v>0</v>
      </c>
      <c r="L97" s="8" t="s">
        <v>95</v>
      </c>
      <c r="M97" s="8">
        <v>1</v>
      </c>
      <c r="N97" s="8" t="s">
        <v>95</v>
      </c>
      <c r="O97" s="8">
        <v>1</v>
      </c>
      <c r="P97" s="8" t="s">
        <v>95</v>
      </c>
      <c r="Q97" s="8">
        <v>1</v>
      </c>
      <c r="R97" s="8" t="s">
        <v>95</v>
      </c>
      <c r="S97" s="8">
        <v>1</v>
      </c>
      <c r="T97" s="8" t="s">
        <v>95</v>
      </c>
      <c r="U97" s="8">
        <v>1</v>
      </c>
      <c r="V97" s="8" t="s">
        <v>95</v>
      </c>
      <c r="W97" s="8">
        <v>1</v>
      </c>
      <c r="X97" s="8" t="s">
        <v>95</v>
      </c>
      <c r="Y97" s="8">
        <v>1</v>
      </c>
      <c r="Z97" s="8" t="s">
        <v>95</v>
      </c>
      <c r="AA97" s="8">
        <v>1</v>
      </c>
      <c r="AB97" s="8" t="s">
        <v>95</v>
      </c>
      <c r="AC97" s="8">
        <v>1</v>
      </c>
      <c r="AD97" s="8" t="s">
        <v>95</v>
      </c>
      <c r="AE97" s="8">
        <v>1</v>
      </c>
      <c r="AF97" s="8" t="s">
        <v>94</v>
      </c>
      <c r="AG97" s="8">
        <v>0</v>
      </c>
      <c r="AH97" s="8" t="s">
        <v>94</v>
      </c>
      <c r="AI97" s="8">
        <v>0</v>
      </c>
      <c r="AJ97" s="8" t="s">
        <v>95</v>
      </c>
      <c r="AK97" s="8">
        <v>1</v>
      </c>
      <c r="AL97" s="8" t="s">
        <v>94</v>
      </c>
      <c r="AM97" s="8">
        <v>0</v>
      </c>
      <c r="AN97" s="8">
        <v>12</v>
      </c>
    </row>
    <row r="98" spans="1:40" x14ac:dyDescent="0.25">
      <c r="A98" s="8" t="s">
        <v>158</v>
      </c>
      <c r="B98" s="9">
        <v>42033.677083333336</v>
      </c>
      <c r="C98" s="8">
        <v>0</v>
      </c>
      <c r="D98" s="9">
        <v>42033.964583333334</v>
      </c>
      <c r="E98" s="8" t="s">
        <v>93</v>
      </c>
      <c r="F98" s="8">
        <v>14</v>
      </c>
      <c r="G98" s="8" t="s">
        <v>94</v>
      </c>
      <c r="H98" s="8" t="s">
        <v>95</v>
      </c>
      <c r="I98" s="8">
        <v>1</v>
      </c>
      <c r="J98" s="8" t="s">
        <v>95</v>
      </c>
      <c r="K98" s="8">
        <v>1</v>
      </c>
      <c r="L98" s="8" t="s">
        <v>95</v>
      </c>
      <c r="M98" s="8">
        <v>1</v>
      </c>
      <c r="N98" s="8" t="s">
        <v>95</v>
      </c>
      <c r="O98" s="8">
        <v>1</v>
      </c>
      <c r="P98" s="8" t="s">
        <v>95</v>
      </c>
      <c r="Q98" s="8">
        <v>1</v>
      </c>
      <c r="R98" s="8" t="s">
        <v>95</v>
      </c>
      <c r="S98" s="8">
        <v>1</v>
      </c>
      <c r="T98" s="8" t="s">
        <v>95</v>
      </c>
      <c r="U98" s="8">
        <v>1</v>
      </c>
      <c r="V98" s="8" t="s">
        <v>94</v>
      </c>
      <c r="W98" s="8">
        <v>0</v>
      </c>
      <c r="X98" s="8" t="s">
        <v>94</v>
      </c>
      <c r="Y98" s="8">
        <v>0</v>
      </c>
      <c r="Z98" s="8" t="s">
        <v>95</v>
      </c>
      <c r="AA98" s="8">
        <v>1</v>
      </c>
      <c r="AB98" s="8" t="s">
        <v>95</v>
      </c>
      <c r="AC98" s="8">
        <v>1</v>
      </c>
      <c r="AD98" s="8" t="s">
        <v>95</v>
      </c>
      <c r="AE98" s="8">
        <v>1</v>
      </c>
      <c r="AF98" s="8" t="s">
        <v>95</v>
      </c>
      <c r="AG98" s="8">
        <v>1</v>
      </c>
      <c r="AH98" s="8" t="s">
        <v>95</v>
      </c>
      <c r="AI98" s="8">
        <v>1</v>
      </c>
      <c r="AJ98" s="8" t="s">
        <v>95</v>
      </c>
      <c r="AK98" s="8">
        <v>1</v>
      </c>
      <c r="AL98" s="8" t="s">
        <v>95</v>
      </c>
      <c r="AM98" s="8">
        <v>1</v>
      </c>
      <c r="AN98" s="8">
        <v>14</v>
      </c>
    </row>
    <row r="99" spans="1:40" x14ac:dyDescent="0.25">
      <c r="A99" s="8" t="s">
        <v>159</v>
      </c>
      <c r="B99" s="9">
        <v>42033.665972222225</v>
      </c>
      <c r="C99" s="8">
        <v>0</v>
      </c>
      <c r="D99" s="9">
        <v>42033.964583333334</v>
      </c>
      <c r="E99" s="8" t="s">
        <v>93</v>
      </c>
      <c r="F99" s="8">
        <v>16</v>
      </c>
      <c r="G99" s="8" t="s">
        <v>94</v>
      </c>
      <c r="H99" s="8" t="s">
        <v>95</v>
      </c>
      <c r="I99" s="8">
        <v>1</v>
      </c>
      <c r="J99" s="8" t="s">
        <v>95</v>
      </c>
      <c r="K99" s="8">
        <v>1</v>
      </c>
      <c r="L99" s="8" t="s">
        <v>95</v>
      </c>
      <c r="M99" s="8">
        <v>1</v>
      </c>
      <c r="N99" s="8" t="s">
        <v>95</v>
      </c>
      <c r="O99" s="8">
        <v>1</v>
      </c>
      <c r="P99" s="8" t="s">
        <v>95</v>
      </c>
      <c r="Q99" s="8">
        <v>1</v>
      </c>
      <c r="R99" s="8" t="s">
        <v>95</v>
      </c>
      <c r="S99" s="8">
        <v>1</v>
      </c>
      <c r="T99" s="8" t="s">
        <v>95</v>
      </c>
      <c r="U99" s="8">
        <v>1</v>
      </c>
      <c r="V99" s="8" t="s">
        <v>95</v>
      </c>
      <c r="W99" s="8">
        <v>1</v>
      </c>
      <c r="X99" s="8" t="s">
        <v>95</v>
      </c>
      <c r="Y99" s="8">
        <v>1</v>
      </c>
      <c r="Z99" s="8" t="s">
        <v>95</v>
      </c>
      <c r="AA99" s="8">
        <v>1</v>
      </c>
      <c r="AB99" s="8" t="s">
        <v>95</v>
      </c>
      <c r="AC99" s="8">
        <v>1</v>
      </c>
      <c r="AD99" s="8" t="s">
        <v>95</v>
      </c>
      <c r="AE99" s="8">
        <v>1</v>
      </c>
      <c r="AF99" s="8" t="s">
        <v>95</v>
      </c>
      <c r="AG99" s="8">
        <v>1</v>
      </c>
      <c r="AH99" s="8" t="s">
        <v>95</v>
      </c>
      <c r="AI99" s="8">
        <v>1</v>
      </c>
      <c r="AJ99" s="8" t="s">
        <v>95</v>
      </c>
      <c r="AK99" s="8">
        <v>1</v>
      </c>
      <c r="AL99" s="8" t="s">
        <v>95</v>
      </c>
      <c r="AM99" s="8">
        <v>1</v>
      </c>
      <c r="AN99" s="8">
        <v>16</v>
      </c>
    </row>
    <row r="100" spans="1:40" x14ac:dyDescent="0.25">
      <c r="A100" s="8" t="s">
        <v>160</v>
      </c>
      <c r="B100" s="9">
        <v>42033.659722222219</v>
      </c>
      <c r="C100" s="8">
        <v>0</v>
      </c>
      <c r="D100" s="9">
        <v>42033.96597222222</v>
      </c>
      <c r="E100" s="8" t="s">
        <v>93</v>
      </c>
      <c r="F100" s="8">
        <v>1</v>
      </c>
      <c r="G100" s="8" t="s">
        <v>94</v>
      </c>
      <c r="H100" s="8" t="s">
        <v>94</v>
      </c>
      <c r="I100" s="8">
        <v>0</v>
      </c>
      <c r="J100" s="8" t="s">
        <v>94</v>
      </c>
      <c r="K100" s="8">
        <v>0</v>
      </c>
      <c r="L100" s="8" t="s">
        <v>94</v>
      </c>
      <c r="M100" s="8">
        <v>0</v>
      </c>
      <c r="N100" s="8" t="s">
        <v>94</v>
      </c>
      <c r="O100" s="8">
        <v>0</v>
      </c>
      <c r="P100" s="8" t="s">
        <v>94</v>
      </c>
      <c r="Q100" s="8">
        <v>0</v>
      </c>
      <c r="R100" s="8" t="s">
        <v>95</v>
      </c>
      <c r="S100" s="8">
        <v>1</v>
      </c>
      <c r="T100" s="8" t="s">
        <v>94</v>
      </c>
      <c r="U100" s="8">
        <v>0</v>
      </c>
      <c r="V100" s="8" t="s">
        <v>94</v>
      </c>
      <c r="W100" s="8">
        <v>0</v>
      </c>
      <c r="X100" s="8" t="s">
        <v>94</v>
      </c>
      <c r="Y100" s="8">
        <v>0</v>
      </c>
      <c r="Z100" s="8" t="s">
        <v>94</v>
      </c>
      <c r="AA100" s="8">
        <v>0</v>
      </c>
      <c r="AB100" s="8" t="s">
        <v>94</v>
      </c>
      <c r="AC100" s="8">
        <v>0</v>
      </c>
      <c r="AD100" s="8" t="s">
        <v>94</v>
      </c>
      <c r="AE100" s="8">
        <v>0</v>
      </c>
      <c r="AF100" s="8" t="s">
        <v>94</v>
      </c>
      <c r="AG100" s="8">
        <v>0</v>
      </c>
      <c r="AH100" s="8" t="s">
        <v>94</v>
      </c>
      <c r="AI100" s="8">
        <v>0</v>
      </c>
      <c r="AJ100" s="8" t="s">
        <v>94</v>
      </c>
      <c r="AK100" s="8">
        <v>0</v>
      </c>
      <c r="AL100" s="8" t="s">
        <v>94</v>
      </c>
      <c r="AM100" s="8">
        <v>0</v>
      </c>
      <c r="AN100" s="8">
        <v>1</v>
      </c>
    </row>
    <row r="101" spans="1:40" x14ac:dyDescent="0.25">
      <c r="A101" s="8" t="s">
        <v>161</v>
      </c>
      <c r="B101" s="9">
        <v>42033.680555555555</v>
      </c>
      <c r="C101" s="8">
        <v>0</v>
      </c>
      <c r="D101" s="9">
        <v>42033.966666666667</v>
      </c>
      <c r="E101" s="8" t="s">
        <v>93</v>
      </c>
      <c r="F101" s="8">
        <v>7</v>
      </c>
      <c r="G101" s="8" t="s">
        <v>94</v>
      </c>
      <c r="H101" s="8" t="s">
        <v>94</v>
      </c>
      <c r="I101" s="8">
        <v>0</v>
      </c>
      <c r="J101" s="8" t="s">
        <v>94</v>
      </c>
      <c r="K101" s="8">
        <v>0</v>
      </c>
      <c r="L101" s="8" t="s">
        <v>94</v>
      </c>
      <c r="M101" s="8">
        <v>0</v>
      </c>
      <c r="N101" s="8" t="s">
        <v>94</v>
      </c>
      <c r="O101" s="8">
        <v>0</v>
      </c>
      <c r="P101" s="8" t="s">
        <v>94</v>
      </c>
      <c r="Q101" s="8">
        <v>0</v>
      </c>
      <c r="R101" s="8" t="s">
        <v>95</v>
      </c>
      <c r="S101" s="8">
        <v>1</v>
      </c>
      <c r="T101" s="8" t="s">
        <v>94</v>
      </c>
      <c r="U101" s="8">
        <v>0</v>
      </c>
      <c r="V101" s="8" t="s">
        <v>94</v>
      </c>
      <c r="W101" s="8">
        <v>0</v>
      </c>
      <c r="X101" s="8" t="s">
        <v>95</v>
      </c>
      <c r="Y101" s="8">
        <v>1</v>
      </c>
      <c r="Z101" s="8" t="s">
        <v>95</v>
      </c>
      <c r="AA101" s="8">
        <v>1</v>
      </c>
      <c r="AB101" s="8" t="s">
        <v>95</v>
      </c>
      <c r="AC101" s="8">
        <v>1</v>
      </c>
      <c r="AD101" s="8" t="s">
        <v>95</v>
      </c>
      <c r="AE101" s="8">
        <v>1</v>
      </c>
      <c r="AF101" s="8" t="s">
        <v>95</v>
      </c>
      <c r="AG101" s="8">
        <v>1</v>
      </c>
      <c r="AH101" s="8" t="s">
        <v>94</v>
      </c>
      <c r="AI101" s="8">
        <v>0</v>
      </c>
      <c r="AJ101" s="8" t="s">
        <v>95</v>
      </c>
      <c r="AK101" s="8">
        <v>1</v>
      </c>
      <c r="AL101" s="8" t="s">
        <v>94</v>
      </c>
      <c r="AM101" s="8">
        <v>0</v>
      </c>
      <c r="AN101" s="8">
        <v>7</v>
      </c>
    </row>
    <row r="102" spans="1:40" x14ac:dyDescent="0.25">
      <c r="A102" s="8" t="s">
        <v>162</v>
      </c>
      <c r="B102" s="9">
        <v>42033.65902777778</v>
      </c>
      <c r="C102" s="8">
        <v>0</v>
      </c>
      <c r="D102" s="9">
        <v>42033.969444444447</v>
      </c>
      <c r="E102" s="8" t="s">
        <v>93</v>
      </c>
      <c r="F102" s="8">
        <v>0</v>
      </c>
      <c r="G102" s="8" t="s">
        <v>94</v>
      </c>
      <c r="H102" s="8" t="s">
        <v>94</v>
      </c>
      <c r="I102" s="8">
        <v>0</v>
      </c>
      <c r="J102" s="8" t="s">
        <v>94</v>
      </c>
      <c r="K102" s="8">
        <v>0</v>
      </c>
      <c r="L102" s="8" t="s">
        <v>94</v>
      </c>
      <c r="M102" s="8">
        <v>0</v>
      </c>
      <c r="N102" s="8" t="s">
        <v>94</v>
      </c>
      <c r="O102" s="8">
        <v>0</v>
      </c>
      <c r="P102" s="8" t="s">
        <v>94</v>
      </c>
      <c r="Q102" s="8">
        <v>0</v>
      </c>
      <c r="R102" s="8" t="s">
        <v>94</v>
      </c>
      <c r="S102" s="8">
        <v>0</v>
      </c>
      <c r="T102" s="8" t="s">
        <v>94</v>
      </c>
      <c r="U102" s="8">
        <v>0</v>
      </c>
      <c r="V102" s="8" t="s">
        <v>94</v>
      </c>
      <c r="W102" s="8">
        <v>0</v>
      </c>
      <c r="X102" s="8" t="s">
        <v>94</v>
      </c>
      <c r="Y102" s="8">
        <v>0</v>
      </c>
      <c r="Z102" s="8" t="s">
        <v>94</v>
      </c>
      <c r="AA102" s="8">
        <v>0</v>
      </c>
      <c r="AB102" s="8" t="s">
        <v>94</v>
      </c>
      <c r="AC102" s="8">
        <v>0</v>
      </c>
      <c r="AD102" s="8" t="s">
        <v>94</v>
      </c>
      <c r="AE102" s="8">
        <v>0</v>
      </c>
      <c r="AF102" s="8" t="s">
        <v>94</v>
      </c>
      <c r="AG102" s="8">
        <v>0</v>
      </c>
      <c r="AH102" s="8" t="s">
        <v>94</v>
      </c>
      <c r="AI102" s="8">
        <v>0</v>
      </c>
      <c r="AJ102" s="8" t="s">
        <v>94</v>
      </c>
      <c r="AK102" s="8">
        <v>0</v>
      </c>
      <c r="AL102" s="8" t="s">
        <v>94</v>
      </c>
      <c r="AM102" s="8">
        <v>0</v>
      </c>
      <c r="AN102" s="8">
        <v>0</v>
      </c>
    </row>
    <row r="103" spans="1:40" x14ac:dyDescent="0.25">
      <c r="A103" s="8" t="s">
        <v>163</v>
      </c>
      <c r="B103" s="9">
        <v>42033.678472222222</v>
      </c>
      <c r="C103" s="8">
        <v>0</v>
      </c>
      <c r="D103" s="9">
        <v>42033.970138888886</v>
      </c>
      <c r="E103" s="8" t="s">
        <v>93</v>
      </c>
      <c r="F103" s="8">
        <v>16</v>
      </c>
      <c r="G103" s="8" t="s">
        <v>94</v>
      </c>
      <c r="H103" s="8" t="s">
        <v>95</v>
      </c>
      <c r="I103" s="8">
        <v>1</v>
      </c>
      <c r="J103" s="8" t="s">
        <v>95</v>
      </c>
      <c r="K103" s="8">
        <v>1</v>
      </c>
      <c r="L103" s="8" t="s">
        <v>95</v>
      </c>
      <c r="M103" s="8">
        <v>1</v>
      </c>
      <c r="N103" s="8" t="s">
        <v>95</v>
      </c>
      <c r="O103" s="8">
        <v>1</v>
      </c>
      <c r="P103" s="8" t="s">
        <v>95</v>
      </c>
      <c r="Q103" s="8">
        <v>1</v>
      </c>
      <c r="R103" s="8" t="s">
        <v>95</v>
      </c>
      <c r="S103" s="8">
        <v>1</v>
      </c>
      <c r="T103" s="8" t="s">
        <v>95</v>
      </c>
      <c r="U103" s="8">
        <v>1</v>
      </c>
      <c r="V103" s="8" t="s">
        <v>95</v>
      </c>
      <c r="W103" s="8">
        <v>1</v>
      </c>
      <c r="X103" s="8" t="s">
        <v>95</v>
      </c>
      <c r="Y103" s="8">
        <v>1</v>
      </c>
      <c r="Z103" s="8" t="s">
        <v>95</v>
      </c>
      <c r="AA103" s="8">
        <v>1</v>
      </c>
      <c r="AB103" s="8" t="s">
        <v>95</v>
      </c>
      <c r="AC103" s="8">
        <v>1</v>
      </c>
      <c r="AD103" s="8" t="s">
        <v>95</v>
      </c>
      <c r="AE103" s="8">
        <v>1</v>
      </c>
      <c r="AF103" s="8" t="s">
        <v>95</v>
      </c>
      <c r="AG103" s="8">
        <v>1</v>
      </c>
      <c r="AH103" s="8" t="s">
        <v>95</v>
      </c>
      <c r="AI103" s="8">
        <v>1</v>
      </c>
      <c r="AJ103" s="8" t="s">
        <v>95</v>
      </c>
      <c r="AK103" s="8">
        <v>1</v>
      </c>
      <c r="AL103" s="8" t="s">
        <v>95</v>
      </c>
      <c r="AM103" s="8">
        <v>1</v>
      </c>
      <c r="AN103" s="8">
        <v>16</v>
      </c>
    </row>
    <row r="104" spans="1:40" x14ac:dyDescent="0.25">
      <c r="A104" s="8" t="s">
        <v>164</v>
      </c>
      <c r="B104" s="9">
        <v>42033.669444444444</v>
      </c>
      <c r="C104" s="8">
        <v>0</v>
      </c>
      <c r="D104" s="9">
        <v>42033.972916666666</v>
      </c>
      <c r="E104" s="8" t="s">
        <v>93</v>
      </c>
      <c r="F104" s="8">
        <v>16</v>
      </c>
      <c r="G104" s="8" t="s">
        <v>94</v>
      </c>
      <c r="H104" s="8" t="s">
        <v>95</v>
      </c>
      <c r="I104" s="8">
        <v>1</v>
      </c>
      <c r="J104" s="8" t="s">
        <v>95</v>
      </c>
      <c r="K104" s="8">
        <v>1</v>
      </c>
      <c r="L104" s="8" t="s">
        <v>95</v>
      </c>
      <c r="M104" s="8">
        <v>1</v>
      </c>
      <c r="N104" s="8" t="s">
        <v>95</v>
      </c>
      <c r="O104" s="8">
        <v>1</v>
      </c>
      <c r="P104" s="8" t="s">
        <v>95</v>
      </c>
      <c r="Q104" s="8">
        <v>1</v>
      </c>
      <c r="R104" s="8" t="s">
        <v>95</v>
      </c>
      <c r="S104" s="8">
        <v>1</v>
      </c>
      <c r="T104" s="8" t="s">
        <v>95</v>
      </c>
      <c r="U104" s="8">
        <v>1</v>
      </c>
      <c r="V104" s="8" t="s">
        <v>95</v>
      </c>
      <c r="W104" s="8">
        <v>1</v>
      </c>
      <c r="X104" s="8" t="s">
        <v>95</v>
      </c>
      <c r="Y104" s="8">
        <v>1</v>
      </c>
      <c r="Z104" s="8" t="s">
        <v>95</v>
      </c>
      <c r="AA104" s="8">
        <v>1</v>
      </c>
      <c r="AB104" s="8" t="s">
        <v>95</v>
      </c>
      <c r="AC104" s="8">
        <v>1</v>
      </c>
      <c r="AD104" s="8" t="s">
        <v>95</v>
      </c>
      <c r="AE104" s="8">
        <v>1</v>
      </c>
      <c r="AF104" s="8" t="s">
        <v>95</v>
      </c>
      <c r="AG104" s="8">
        <v>1</v>
      </c>
      <c r="AH104" s="8" t="s">
        <v>95</v>
      </c>
      <c r="AI104" s="8">
        <v>1</v>
      </c>
      <c r="AJ104" s="8" t="s">
        <v>95</v>
      </c>
      <c r="AK104" s="8">
        <v>1</v>
      </c>
      <c r="AL104" s="8" t="s">
        <v>95</v>
      </c>
      <c r="AM104" s="8">
        <v>1</v>
      </c>
      <c r="AN104" s="8">
        <v>16</v>
      </c>
    </row>
    <row r="105" spans="1:40" x14ac:dyDescent="0.25">
      <c r="A105" s="8" t="s">
        <v>165</v>
      </c>
      <c r="B105" s="9">
        <v>42033.674305555556</v>
      </c>
      <c r="C105" s="8">
        <v>0</v>
      </c>
      <c r="D105" s="9">
        <v>42033.976388888892</v>
      </c>
      <c r="E105" s="8" t="s">
        <v>93</v>
      </c>
      <c r="F105" s="8">
        <v>15</v>
      </c>
      <c r="G105" s="8" t="s">
        <v>94</v>
      </c>
      <c r="H105" s="8" t="s">
        <v>95</v>
      </c>
      <c r="I105" s="8">
        <v>1</v>
      </c>
      <c r="J105" s="8" t="s">
        <v>95</v>
      </c>
      <c r="K105" s="8">
        <v>1</v>
      </c>
      <c r="L105" s="8" t="s">
        <v>95</v>
      </c>
      <c r="M105" s="8">
        <v>1</v>
      </c>
      <c r="N105" s="8" t="s">
        <v>95</v>
      </c>
      <c r="O105" s="8">
        <v>1</v>
      </c>
      <c r="P105" s="8" t="s">
        <v>95</v>
      </c>
      <c r="Q105" s="8">
        <v>1</v>
      </c>
      <c r="R105" s="8" t="s">
        <v>95</v>
      </c>
      <c r="S105" s="8">
        <v>1</v>
      </c>
      <c r="T105" s="8" t="s">
        <v>95</v>
      </c>
      <c r="U105" s="8">
        <v>1</v>
      </c>
      <c r="V105" s="8" t="s">
        <v>95</v>
      </c>
      <c r="W105" s="8">
        <v>1</v>
      </c>
      <c r="X105" s="8" t="s">
        <v>95</v>
      </c>
      <c r="Y105" s="8">
        <v>1</v>
      </c>
      <c r="Z105" s="8" t="s">
        <v>95</v>
      </c>
      <c r="AA105" s="8">
        <v>1</v>
      </c>
      <c r="AB105" s="8" t="s">
        <v>95</v>
      </c>
      <c r="AC105" s="8">
        <v>1</v>
      </c>
      <c r="AD105" s="8" t="s">
        <v>95</v>
      </c>
      <c r="AE105" s="8">
        <v>1</v>
      </c>
      <c r="AF105" s="8" t="s">
        <v>95</v>
      </c>
      <c r="AG105" s="8">
        <v>1</v>
      </c>
      <c r="AH105" s="8" t="s">
        <v>95</v>
      </c>
      <c r="AI105" s="8">
        <v>1</v>
      </c>
      <c r="AJ105" s="8" t="s">
        <v>95</v>
      </c>
      <c r="AK105" s="8">
        <v>1</v>
      </c>
      <c r="AL105" s="8" t="s">
        <v>94</v>
      </c>
      <c r="AM105" s="8">
        <v>0</v>
      </c>
      <c r="AN105" s="8">
        <v>15</v>
      </c>
    </row>
    <row r="106" spans="1:40" x14ac:dyDescent="0.25">
      <c r="A106" s="8" t="s">
        <v>166</v>
      </c>
      <c r="B106" s="9">
        <v>42033.675694444442</v>
      </c>
      <c r="C106" s="8">
        <v>0</v>
      </c>
      <c r="D106" s="9">
        <v>42033.979166666664</v>
      </c>
      <c r="E106" s="8" t="s">
        <v>93</v>
      </c>
      <c r="F106" s="8">
        <v>16</v>
      </c>
      <c r="G106" s="8" t="s">
        <v>94</v>
      </c>
      <c r="H106" s="8" t="s">
        <v>95</v>
      </c>
      <c r="I106" s="8">
        <v>1</v>
      </c>
      <c r="J106" s="8" t="s">
        <v>95</v>
      </c>
      <c r="K106" s="8">
        <v>1</v>
      </c>
      <c r="L106" s="8" t="s">
        <v>95</v>
      </c>
      <c r="M106" s="8">
        <v>1</v>
      </c>
      <c r="N106" s="8" t="s">
        <v>95</v>
      </c>
      <c r="O106" s="8">
        <v>1</v>
      </c>
      <c r="P106" s="8" t="s">
        <v>95</v>
      </c>
      <c r="Q106" s="8">
        <v>1</v>
      </c>
      <c r="R106" s="8" t="s">
        <v>95</v>
      </c>
      <c r="S106" s="8">
        <v>1</v>
      </c>
      <c r="T106" s="8" t="s">
        <v>95</v>
      </c>
      <c r="U106" s="8">
        <v>1</v>
      </c>
      <c r="V106" s="8" t="s">
        <v>95</v>
      </c>
      <c r="W106" s="8">
        <v>1</v>
      </c>
      <c r="X106" s="8" t="s">
        <v>95</v>
      </c>
      <c r="Y106" s="8">
        <v>1</v>
      </c>
      <c r="Z106" s="8" t="s">
        <v>95</v>
      </c>
      <c r="AA106" s="8">
        <v>1</v>
      </c>
      <c r="AB106" s="8" t="s">
        <v>95</v>
      </c>
      <c r="AC106" s="8">
        <v>1</v>
      </c>
      <c r="AD106" s="8" t="s">
        <v>95</v>
      </c>
      <c r="AE106" s="8">
        <v>1</v>
      </c>
      <c r="AF106" s="8" t="s">
        <v>95</v>
      </c>
      <c r="AG106" s="8">
        <v>1</v>
      </c>
      <c r="AH106" s="8" t="s">
        <v>95</v>
      </c>
      <c r="AI106" s="8">
        <v>1</v>
      </c>
      <c r="AJ106" s="8" t="s">
        <v>95</v>
      </c>
      <c r="AK106" s="8">
        <v>1</v>
      </c>
      <c r="AL106" s="8" t="s">
        <v>95</v>
      </c>
      <c r="AM106" s="8">
        <v>1</v>
      </c>
      <c r="AN106" s="8">
        <v>16</v>
      </c>
    </row>
    <row r="107" spans="1:40" x14ac:dyDescent="0.25">
      <c r="A107" s="8" t="s">
        <v>167</v>
      </c>
      <c r="B107" s="9">
        <v>42033.674305555556</v>
      </c>
      <c r="C107" s="8">
        <v>0</v>
      </c>
      <c r="D107" s="9">
        <v>42033.981944444444</v>
      </c>
      <c r="E107" s="8" t="s">
        <v>93</v>
      </c>
      <c r="F107" s="8">
        <v>16</v>
      </c>
      <c r="G107" s="8" t="s">
        <v>94</v>
      </c>
      <c r="H107" s="8" t="s">
        <v>95</v>
      </c>
      <c r="I107" s="8">
        <v>1</v>
      </c>
      <c r="J107" s="8" t="s">
        <v>95</v>
      </c>
      <c r="K107" s="8">
        <v>1</v>
      </c>
      <c r="L107" s="8" t="s">
        <v>95</v>
      </c>
      <c r="M107" s="8">
        <v>1</v>
      </c>
      <c r="N107" s="8" t="s">
        <v>95</v>
      </c>
      <c r="O107" s="8">
        <v>1</v>
      </c>
      <c r="P107" s="8" t="s">
        <v>95</v>
      </c>
      <c r="Q107" s="8">
        <v>1</v>
      </c>
      <c r="R107" s="8" t="s">
        <v>95</v>
      </c>
      <c r="S107" s="8">
        <v>1</v>
      </c>
      <c r="T107" s="8" t="s">
        <v>95</v>
      </c>
      <c r="U107" s="8">
        <v>1</v>
      </c>
      <c r="V107" s="8" t="s">
        <v>95</v>
      </c>
      <c r="W107" s="8">
        <v>1</v>
      </c>
      <c r="X107" s="8" t="s">
        <v>95</v>
      </c>
      <c r="Y107" s="8">
        <v>1</v>
      </c>
      <c r="Z107" s="8" t="s">
        <v>95</v>
      </c>
      <c r="AA107" s="8">
        <v>1</v>
      </c>
      <c r="AB107" s="8" t="s">
        <v>95</v>
      </c>
      <c r="AC107" s="8">
        <v>1</v>
      </c>
      <c r="AD107" s="8" t="s">
        <v>95</v>
      </c>
      <c r="AE107" s="8">
        <v>1</v>
      </c>
      <c r="AF107" s="8" t="s">
        <v>95</v>
      </c>
      <c r="AG107" s="8">
        <v>1</v>
      </c>
      <c r="AH107" s="8" t="s">
        <v>95</v>
      </c>
      <c r="AI107" s="8">
        <v>1</v>
      </c>
      <c r="AJ107" s="8" t="s">
        <v>95</v>
      </c>
      <c r="AK107" s="8">
        <v>1</v>
      </c>
      <c r="AL107" s="8" t="s">
        <v>95</v>
      </c>
      <c r="AM107" s="8">
        <v>1</v>
      </c>
      <c r="AN107" s="8">
        <v>16</v>
      </c>
    </row>
    <row r="108" spans="1:40" x14ac:dyDescent="0.25">
      <c r="A108" s="8" t="s">
        <v>168</v>
      </c>
      <c r="B108" s="9">
        <v>42033.657638888886</v>
      </c>
      <c r="C108" s="8">
        <v>0</v>
      </c>
      <c r="D108" s="9">
        <v>42033.982638888891</v>
      </c>
      <c r="E108" s="8" t="s">
        <v>93</v>
      </c>
      <c r="F108" s="8">
        <v>3</v>
      </c>
      <c r="G108" s="8" t="s">
        <v>94</v>
      </c>
      <c r="H108" s="8" t="s">
        <v>95</v>
      </c>
      <c r="I108" s="8">
        <v>1</v>
      </c>
      <c r="J108" s="8" t="s">
        <v>94</v>
      </c>
      <c r="K108" s="8">
        <v>0</v>
      </c>
      <c r="L108" s="8" t="s">
        <v>94</v>
      </c>
      <c r="M108" s="8">
        <v>0</v>
      </c>
      <c r="N108" s="8" t="s">
        <v>94</v>
      </c>
      <c r="O108" s="8">
        <v>0</v>
      </c>
      <c r="P108" s="8" t="s">
        <v>94</v>
      </c>
      <c r="Q108" s="8">
        <v>0</v>
      </c>
      <c r="R108" s="8" t="s">
        <v>95</v>
      </c>
      <c r="S108" s="8">
        <v>1</v>
      </c>
      <c r="T108" s="8" t="s">
        <v>94</v>
      </c>
      <c r="U108" s="8">
        <v>0</v>
      </c>
      <c r="V108" s="8" t="s">
        <v>94</v>
      </c>
      <c r="W108" s="8">
        <v>0</v>
      </c>
      <c r="X108" s="8" t="s">
        <v>94</v>
      </c>
      <c r="Y108" s="8">
        <v>0</v>
      </c>
      <c r="Z108" s="8" t="s">
        <v>95</v>
      </c>
      <c r="AA108" s="8">
        <v>1</v>
      </c>
      <c r="AB108" s="8" t="s">
        <v>94</v>
      </c>
      <c r="AC108" s="8">
        <v>0</v>
      </c>
      <c r="AD108" s="8" t="s">
        <v>94</v>
      </c>
      <c r="AE108" s="8">
        <v>0</v>
      </c>
      <c r="AF108" s="8" t="s">
        <v>94</v>
      </c>
      <c r="AG108" s="8">
        <v>0</v>
      </c>
      <c r="AH108" s="8" t="s">
        <v>94</v>
      </c>
      <c r="AI108" s="8">
        <v>0</v>
      </c>
      <c r="AJ108" s="8" t="s">
        <v>94</v>
      </c>
      <c r="AK108" s="8">
        <v>0</v>
      </c>
      <c r="AL108" s="8" t="s">
        <v>94</v>
      </c>
      <c r="AM108" s="8">
        <v>0</v>
      </c>
      <c r="AN108" s="8">
        <v>3</v>
      </c>
    </row>
    <row r="109" spans="1:40" x14ac:dyDescent="0.25">
      <c r="A109" s="8" t="s">
        <v>169</v>
      </c>
      <c r="B109" s="9">
        <v>42033.678472222222</v>
      </c>
      <c r="C109" s="8">
        <v>0</v>
      </c>
      <c r="D109" s="9">
        <v>42033.984027777777</v>
      </c>
      <c r="E109" s="8" t="s">
        <v>93</v>
      </c>
      <c r="F109" s="8">
        <v>6</v>
      </c>
      <c r="G109" s="8" t="s">
        <v>94</v>
      </c>
      <c r="H109" s="8" t="s">
        <v>94</v>
      </c>
      <c r="I109" s="8">
        <v>0</v>
      </c>
      <c r="J109" s="8" t="s">
        <v>94</v>
      </c>
      <c r="K109" s="8">
        <v>0</v>
      </c>
      <c r="L109" s="8" t="s">
        <v>94</v>
      </c>
      <c r="M109" s="8">
        <v>0</v>
      </c>
      <c r="N109" s="8" t="s">
        <v>94</v>
      </c>
      <c r="O109" s="8">
        <v>0</v>
      </c>
      <c r="P109" s="8" t="s">
        <v>95</v>
      </c>
      <c r="Q109" s="8">
        <v>1</v>
      </c>
      <c r="R109" s="8" t="s">
        <v>94</v>
      </c>
      <c r="S109" s="8">
        <v>0</v>
      </c>
      <c r="T109" s="8" t="s">
        <v>94</v>
      </c>
      <c r="U109" s="8">
        <v>0</v>
      </c>
      <c r="V109" s="8" t="s">
        <v>95</v>
      </c>
      <c r="W109" s="8">
        <v>1</v>
      </c>
      <c r="X109" s="8" t="s">
        <v>95</v>
      </c>
      <c r="Y109" s="8">
        <v>1</v>
      </c>
      <c r="Z109" s="8" t="s">
        <v>95</v>
      </c>
      <c r="AA109" s="8">
        <v>1</v>
      </c>
      <c r="AB109" s="8" t="s">
        <v>95</v>
      </c>
      <c r="AC109" s="8">
        <v>1</v>
      </c>
      <c r="AD109" s="8" t="s">
        <v>94</v>
      </c>
      <c r="AE109" s="8">
        <v>0</v>
      </c>
      <c r="AF109" s="8" t="s">
        <v>94</v>
      </c>
      <c r="AG109" s="8">
        <v>0</v>
      </c>
      <c r="AH109" s="8" t="s">
        <v>94</v>
      </c>
      <c r="AI109" s="8">
        <v>0</v>
      </c>
      <c r="AJ109" s="8" t="s">
        <v>95</v>
      </c>
      <c r="AK109" s="8">
        <v>1</v>
      </c>
      <c r="AL109" s="8" t="s">
        <v>94</v>
      </c>
      <c r="AM109" s="8">
        <v>0</v>
      </c>
      <c r="AN109" s="8">
        <v>6</v>
      </c>
    </row>
    <row r="110" spans="1:40" x14ac:dyDescent="0.25">
      <c r="A110" s="8" t="s">
        <v>170</v>
      </c>
      <c r="B110" s="9">
        <v>42033.668055555558</v>
      </c>
      <c r="C110" s="8">
        <v>0</v>
      </c>
      <c r="D110" s="9">
        <v>42033.984722222223</v>
      </c>
      <c r="E110" s="8" t="s">
        <v>93</v>
      </c>
      <c r="F110" s="8">
        <v>16</v>
      </c>
      <c r="G110" s="8" t="s">
        <v>94</v>
      </c>
      <c r="H110" s="8" t="s">
        <v>95</v>
      </c>
      <c r="I110" s="8">
        <v>1</v>
      </c>
      <c r="J110" s="8" t="s">
        <v>95</v>
      </c>
      <c r="K110" s="8">
        <v>1</v>
      </c>
      <c r="L110" s="8" t="s">
        <v>95</v>
      </c>
      <c r="M110" s="8">
        <v>1</v>
      </c>
      <c r="N110" s="8" t="s">
        <v>95</v>
      </c>
      <c r="O110" s="8">
        <v>1</v>
      </c>
      <c r="P110" s="8" t="s">
        <v>95</v>
      </c>
      <c r="Q110" s="8">
        <v>1</v>
      </c>
      <c r="R110" s="8" t="s">
        <v>95</v>
      </c>
      <c r="S110" s="8">
        <v>1</v>
      </c>
      <c r="T110" s="8" t="s">
        <v>95</v>
      </c>
      <c r="U110" s="8">
        <v>1</v>
      </c>
      <c r="V110" s="8" t="s">
        <v>95</v>
      </c>
      <c r="W110" s="8">
        <v>1</v>
      </c>
      <c r="X110" s="8" t="s">
        <v>95</v>
      </c>
      <c r="Y110" s="8">
        <v>1</v>
      </c>
      <c r="Z110" s="8" t="s">
        <v>95</v>
      </c>
      <c r="AA110" s="8">
        <v>1</v>
      </c>
      <c r="AB110" s="8" t="s">
        <v>95</v>
      </c>
      <c r="AC110" s="8">
        <v>1</v>
      </c>
      <c r="AD110" s="8" t="s">
        <v>95</v>
      </c>
      <c r="AE110" s="8">
        <v>1</v>
      </c>
      <c r="AF110" s="8" t="s">
        <v>95</v>
      </c>
      <c r="AG110" s="8">
        <v>1</v>
      </c>
      <c r="AH110" s="8" t="s">
        <v>95</v>
      </c>
      <c r="AI110" s="8">
        <v>1</v>
      </c>
      <c r="AJ110" s="8" t="s">
        <v>95</v>
      </c>
      <c r="AK110" s="8">
        <v>1</v>
      </c>
      <c r="AL110" s="8" t="s">
        <v>95</v>
      </c>
      <c r="AM110" s="8">
        <v>1</v>
      </c>
      <c r="AN110" s="8">
        <v>16</v>
      </c>
    </row>
    <row r="111" spans="1:40" x14ac:dyDescent="0.25">
      <c r="A111" s="8" t="s">
        <v>171</v>
      </c>
      <c r="B111" s="9">
        <v>42033.655555555553</v>
      </c>
      <c r="C111" s="8">
        <v>0</v>
      </c>
      <c r="D111" s="9">
        <v>42033.987500000003</v>
      </c>
      <c r="E111" s="8" t="s">
        <v>93</v>
      </c>
      <c r="F111" s="8">
        <v>16</v>
      </c>
      <c r="G111" s="8" t="s">
        <v>94</v>
      </c>
      <c r="H111" s="8" t="s">
        <v>95</v>
      </c>
      <c r="I111" s="8">
        <v>1</v>
      </c>
      <c r="J111" s="8" t="s">
        <v>95</v>
      </c>
      <c r="K111" s="8">
        <v>1</v>
      </c>
      <c r="L111" s="8" t="s">
        <v>95</v>
      </c>
      <c r="M111" s="8">
        <v>1</v>
      </c>
      <c r="N111" s="8" t="s">
        <v>95</v>
      </c>
      <c r="O111" s="8">
        <v>1</v>
      </c>
      <c r="P111" s="8" t="s">
        <v>95</v>
      </c>
      <c r="Q111" s="8">
        <v>1</v>
      </c>
      <c r="R111" s="8" t="s">
        <v>95</v>
      </c>
      <c r="S111" s="8">
        <v>1</v>
      </c>
      <c r="T111" s="8" t="s">
        <v>95</v>
      </c>
      <c r="U111" s="8">
        <v>1</v>
      </c>
      <c r="V111" s="8" t="s">
        <v>95</v>
      </c>
      <c r="W111" s="8">
        <v>1</v>
      </c>
      <c r="X111" s="8" t="s">
        <v>95</v>
      </c>
      <c r="Y111" s="8">
        <v>1</v>
      </c>
      <c r="Z111" s="8" t="s">
        <v>95</v>
      </c>
      <c r="AA111" s="8">
        <v>1</v>
      </c>
      <c r="AB111" s="8" t="s">
        <v>95</v>
      </c>
      <c r="AC111" s="8">
        <v>1</v>
      </c>
      <c r="AD111" s="8" t="s">
        <v>95</v>
      </c>
      <c r="AE111" s="8">
        <v>1</v>
      </c>
      <c r="AF111" s="8" t="s">
        <v>95</v>
      </c>
      <c r="AG111" s="8">
        <v>1</v>
      </c>
      <c r="AH111" s="8" t="s">
        <v>95</v>
      </c>
      <c r="AI111" s="8">
        <v>1</v>
      </c>
      <c r="AJ111" s="8" t="s">
        <v>95</v>
      </c>
      <c r="AK111" s="8">
        <v>1</v>
      </c>
      <c r="AL111" s="8" t="s">
        <v>95</v>
      </c>
      <c r="AM111" s="8">
        <v>1</v>
      </c>
      <c r="AN111" s="8">
        <v>16</v>
      </c>
    </row>
    <row r="112" spans="1:40" x14ac:dyDescent="0.25">
      <c r="A112" s="8" t="s">
        <v>172</v>
      </c>
      <c r="B112" s="9">
        <v>42033.683333333334</v>
      </c>
      <c r="C112" s="8">
        <v>0</v>
      </c>
      <c r="D112" s="9">
        <v>42033.988194444442</v>
      </c>
      <c r="E112" s="8" t="s">
        <v>93</v>
      </c>
      <c r="F112" s="8">
        <v>16</v>
      </c>
      <c r="G112" s="8" t="s">
        <v>94</v>
      </c>
      <c r="H112" s="8" t="s">
        <v>95</v>
      </c>
      <c r="I112" s="8">
        <v>1</v>
      </c>
      <c r="J112" s="8" t="s">
        <v>95</v>
      </c>
      <c r="K112" s="8">
        <v>1</v>
      </c>
      <c r="L112" s="8" t="s">
        <v>95</v>
      </c>
      <c r="M112" s="8">
        <v>1</v>
      </c>
      <c r="N112" s="8" t="s">
        <v>95</v>
      </c>
      <c r="O112" s="8">
        <v>1</v>
      </c>
      <c r="P112" s="8" t="s">
        <v>95</v>
      </c>
      <c r="Q112" s="8">
        <v>1</v>
      </c>
      <c r="R112" s="8" t="s">
        <v>95</v>
      </c>
      <c r="S112" s="8">
        <v>1</v>
      </c>
      <c r="T112" s="8" t="s">
        <v>95</v>
      </c>
      <c r="U112" s="8">
        <v>1</v>
      </c>
      <c r="V112" s="8" t="s">
        <v>95</v>
      </c>
      <c r="W112" s="8">
        <v>1</v>
      </c>
      <c r="X112" s="8" t="s">
        <v>95</v>
      </c>
      <c r="Y112" s="8">
        <v>1</v>
      </c>
      <c r="Z112" s="8" t="s">
        <v>95</v>
      </c>
      <c r="AA112" s="8">
        <v>1</v>
      </c>
      <c r="AB112" s="8" t="s">
        <v>95</v>
      </c>
      <c r="AC112" s="8">
        <v>1</v>
      </c>
      <c r="AD112" s="8" t="s">
        <v>95</v>
      </c>
      <c r="AE112" s="8">
        <v>1</v>
      </c>
      <c r="AF112" s="8" t="s">
        <v>95</v>
      </c>
      <c r="AG112" s="8">
        <v>1</v>
      </c>
      <c r="AH112" s="8" t="s">
        <v>95</v>
      </c>
      <c r="AI112" s="8">
        <v>1</v>
      </c>
      <c r="AJ112" s="8" t="s">
        <v>95</v>
      </c>
      <c r="AK112" s="8">
        <v>1</v>
      </c>
      <c r="AL112" s="8" t="s">
        <v>95</v>
      </c>
      <c r="AM112" s="8">
        <v>1</v>
      </c>
      <c r="AN112" s="8">
        <v>16</v>
      </c>
    </row>
    <row r="113" spans="1:40" x14ac:dyDescent="0.25">
      <c r="A113" s="8" t="s">
        <v>173</v>
      </c>
      <c r="B113" s="9">
        <v>42033.677777777775</v>
      </c>
      <c r="C113" s="8">
        <v>0</v>
      </c>
      <c r="D113" s="9">
        <v>42033.988194444442</v>
      </c>
      <c r="E113" s="8" t="s">
        <v>93</v>
      </c>
      <c r="F113" s="8">
        <v>11</v>
      </c>
      <c r="G113" s="8" t="s">
        <v>94</v>
      </c>
      <c r="H113" s="8" t="s">
        <v>94</v>
      </c>
      <c r="I113" s="8">
        <v>0</v>
      </c>
      <c r="J113" s="8" t="s">
        <v>94</v>
      </c>
      <c r="K113" s="8">
        <v>0</v>
      </c>
      <c r="L113" s="8" t="s">
        <v>94</v>
      </c>
      <c r="M113" s="8">
        <v>0</v>
      </c>
      <c r="N113" s="8" t="s">
        <v>95</v>
      </c>
      <c r="O113" s="8">
        <v>1</v>
      </c>
      <c r="P113" s="8" t="s">
        <v>95</v>
      </c>
      <c r="Q113" s="8">
        <v>1</v>
      </c>
      <c r="R113" s="8" t="s">
        <v>94</v>
      </c>
      <c r="S113" s="8">
        <v>0</v>
      </c>
      <c r="T113" s="8" t="s">
        <v>95</v>
      </c>
      <c r="U113" s="8">
        <v>1</v>
      </c>
      <c r="V113" s="8" t="s">
        <v>95</v>
      </c>
      <c r="W113" s="8">
        <v>1</v>
      </c>
      <c r="X113" s="8" t="s">
        <v>95</v>
      </c>
      <c r="Y113" s="8">
        <v>1</v>
      </c>
      <c r="Z113" s="8" t="s">
        <v>95</v>
      </c>
      <c r="AA113" s="8">
        <v>1</v>
      </c>
      <c r="AB113" s="8" t="s">
        <v>94</v>
      </c>
      <c r="AC113" s="8">
        <v>0</v>
      </c>
      <c r="AD113" s="8" t="s">
        <v>95</v>
      </c>
      <c r="AE113" s="8">
        <v>1</v>
      </c>
      <c r="AF113" s="8" t="s">
        <v>95</v>
      </c>
      <c r="AG113" s="8">
        <v>1</v>
      </c>
      <c r="AH113" s="8" t="s">
        <v>95</v>
      </c>
      <c r="AI113" s="8">
        <v>1</v>
      </c>
      <c r="AJ113" s="8" t="s">
        <v>95</v>
      </c>
      <c r="AK113" s="8">
        <v>1</v>
      </c>
      <c r="AL113" s="8" t="s">
        <v>95</v>
      </c>
      <c r="AM113" s="8">
        <v>1</v>
      </c>
      <c r="AN113" s="8">
        <v>11</v>
      </c>
    </row>
    <row r="114" spans="1:40" x14ac:dyDescent="0.25">
      <c r="A114" s="8" t="s">
        <v>174</v>
      </c>
      <c r="B114" s="9">
        <v>42033.675000000003</v>
      </c>
      <c r="C114" s="8">
        <v>0</v>
      </c>
      <c r="D114" s="9">
        <v>42033.988888888889</v>
      </c>
      <c r="E114" s="8" t="s">
        <v>93</v>
      </c>
      <c r="F114" s="8">
        <v>15</v>
      </c>
      <c r="G114" s="8" t="s">
        <v>94</v>
      </c>
      <c r="H114" s="8" t="s">
        <v>95</v>
      </c>
      <c r="I114" s="8">
        <v>1</v>
      </c>
      <c r="J114" s="8" t="s">
        <v>95</v>
      </c>
      <c r="K114" s="8">
        <v>1</v>
      </c>
      <c r="L114" s="8" t="s">
        <v>95</v>
      </c>
      <c r="M114" s="8">
        <v>1</v>
      </c>
      <c r="N114" s="8" t="s">
        <v>95</v>
      </c>
      <c r="O114" s="8">
        <v>1</v>
      </c>
      <c r="P114" s="8" t="s">
        <v>95</v>
      </c>
      <c r="Q114" s="8">
        <v>1</v>
      </c>
      <c r="R114" s="8" t="s">
        <v>94</v>
      </c>
      <c r="S114" s="8">
        <v>0</v>
      </c>
      <c r="T114" s="8" t="s">
        <v>95</v>
      </c>
      <c r="U114" s="8">
        <v>1</v>
      </c>
      <c r="V114" s="8" t="s">
        <v>95</v>
      </c>
      <c r="W114" s="8">
        <v>1</v>
      </c>
      <c r="X114" s="8" t="s">
        <v>95</v>
      </c>
      <c r="Y114" s="8">
        <v>1</v>
      </c>
      <c r="Z114" s="8" t="s">
        <v>95</v>
      </c>
      <c r="AA114" s="8">
        <v>1</v>
      </c>
      <c r="AB114" s="8" t="s">
        <v>95</v>
      </c>
      <c r="AC114" s="8">
        <v>1</v>
      </c>
      <c r="AD114" s="8" t="s">
        <v>95</v>
      </c>
      <c r="AE114" s="8">
        <v>1</v>
      </c>
      <c r="AF114" s="8" t="s">
        <v>95</v>
      </c>
      <c r="AG114" s="8">
        <v>1</v>
      </c>
      <c r="AH114" s="8" t="s">
        <v>95</v>
      </c>
      <c r="AI114" s="8">
        <v>1</v>
      </c>
      <c r="AJ114" s="8" t="s">
        <v>95</v>
      </c>
      <c r="AK114" s="8">
        <v>1</v>
      </c>
      <c r="AL114" s="8" t="s">
        <v>95</v>
      </c>
      <c r="AM114" s="8">
        <v>1</v>
      </c>
      <c r="AN114" s="8">
        <v>15</v>
      </c>
    </row>
    <row r="115" spans="1:40" x14ac:dyDescent="0.25">
      <c r="A115" s="8" t="s">
        <v>175</v>
      </c>
      <c r="B115" s="9">
        <v>42033.666666666664</v>
      </c>
      <c r="C115" s="8">
        <v>0</v>
      </c>
      <c r="D115" s="9">
        <v>42033.988888888889</v>
      </c>
      <c r="E115" s="8" t="s">
        <v>93</v>
      </c>
      <c r="F115" s="8">
        <v>11</v>
      </c>
      <c r="G115" s="8" t="s">
        <v>94</v>
      </c>
      <c r="H115" s="8" t="s">
        <v>94</v>
      </c>
      <c r="I115" s="8">
        <v>0</v>
      </c>
      <c r="J115" s="8" t="s">
        <v>95</v>
      </c>
      <c r="K115" s="8">
        <v>1</v>
      </c>
      <c r="L115" s="8" t="s">
        <v>94</v>
      </c>
      <c r="M115" s="8">
        <v>0</v>
      </c>
      <c r="N115" s="8" t="s">
        <v>95</v>
      </c>
      <c r="O115" s="8">
        <v>1</v>
      </c>
      <c r="P115" s="8" t="s">
        <v>94</v>
      </c>
      <c r="Q115" s="8">
        <v>0</v>
      </c>
      <c r="R115" s="8" t="s">
        <v>95</v>
      </c>
      <c r="S115" s="8">
        <v>1</v>
      </c>
      <c r="T115" s="8" t="s">
        <v>95</v>
      </c>
      <c r="U115" s="8">
        <v>1</v>
      </c>
      <c r="V115" s="8" t="s">
        <v>95</v>
      </c>
      <c r="W115" s="8">
        <v>1</v>
      </c>
      <c r="X115" s="8" t="s">
        <v>95</v>
      </c>
      <c r="Y115" s="8">
        <v>1</v>
      </c>
      <c r="Z115" s="8" t="s">
        <v>95</v>
      </c>
      <c r="AA115" s="8">
        <v>1</v>
      </c>
      <c r="AB115" s="8" t="s">
        <v>95</v>
      </c>
      <c r="AC115" s="8">
        <v>1</v>
      </c>
      <c r="AD115" s="8" t="s">
        <v>95</v>
      </c>
      <c r="AE115" s="8">
        <v>1</v>
      </c>
      <c r="AF115" s="8" t="s">
        <v>94</v>
      </c>
      <c r="AG115" s="8">
        <v>0</v>
      </c>
      <c r="AH115" s="8" t="s">
        <v>95</v>
      </c>
      <c r="AI115" s="8">
        <v>1</v>
      </c>
      <c r="AJ115" s="8" t="s">
        <v>95</v>
      </c>
      <c r="AK115" s="8">
        <v>1</v>
      </c>
      <c r="AL115" s="8" t="s">
        <v>94</v>
      </c>
      <c r="AM115" s="8">
        <v>0</v>
      </c>
      <c r="AN115" s="8">
        <v>11</v>
      </c>
    </row>
    <row r="116" spans="1:40" x14ac:dyDescent="0.25">
      <c r="A116" s="8" t="s">
        <v>176</v>
      </c>
      <c r="B116" s="9">
        <v>42033.68472222222</v>
      </c>
      <c r="C116" s="8">
        <v>0</v>
      </c>
      <c r="D116" s="9">
        <v>42033.988888888889</v>
      </c>
      <c r="E116" s="8" t="s">
        <v>93</v>
      </c>
      <c r="F116" s="8">
        <v>16</v>
      </c>
      <c r="G116" s="8" t="s">
        <v>94</v>
      </c>
      <c r="H116" s="8" t="s">
        <v>95</v>
      </c>
      <c r="I116" s="8">
        <v>1</v>
      </c>
      <c r="J116" s="8" t="s">
        <v>95</v>
      </c>
      <c r="K116" s="8">
        <v>1</v>
      </c>
      <c r="L116" s="8" t="s">
        <v>95</v>
      </c>
      <c r="M116" s="8">
        <v>1</v>
      </c>
      <c r="N116" s="8" t="s">
        <v>95</v>
      </c>
      <c r="O116" s="8">
        <v>1</v>
      </c>
      <c r="P116" s="8" t="s">
        <v>95</v>
      </c>
      <c r="Q116" s="8">
        <v>1</v>
      </c>
      <c r="R116" s="8" t="s">
        <v>95</v>
      </c>
      <c r="S116" s="8">
        <v>1</v>
      </c>
      <c r="T116" s="8" t="s">
        <v>95</v>
      </c>
      <c r="U116" s="8">
        <v>1</v>
      </c>
      <c r="V116" s="8" t="s">
        <v>95</v>
      </c>
      <c r="W116" s="8">
        <v>1</v>
      </c>
      <c r="X116" s="8" t="s">
        <v>95</v>
      </c>
      <c r="Y116" s="8">
        <v>1</v>
      </c>
      <c r="Z116" s="8" t="s">
        <v>95</v>
      </c>
      <c r="AA116" s="8">
        <v>1</v>
      </c>
      <c r="AB116" s="8" t="s">
        <v>95</v>
      </c>
      <c r="AC116" s="8">
        <v>1</v>
      </c>
      <c r="AD116" s="8" t="s">
        <v>95</v>
      </c>
      <c r="AE116" s="8">
        <v>1</v>
      </c>
      <c r="AF116" s="8" t="s">
        <v>95</v>
      </c>
      <c r="AG116" s="8">
        <v>1</v>
      </c>
      <c r="AH116" s="8" t="s">
        <v>95</v>
      </c>
      <c r="AI116" s="8">
        <v>1</v>
      </c>
      <c r="AJ116" s="8" t="s">
        <v>95</v>
      </c>
      <c r="AK116" s="8">
        <v>1</v>
      </c>
      <c r="AL116" s="8" t="s">
        <v>95</v>
      </c>
      <c r="AM116" s="8">
        <v>1</v>
      </c>
      <c r="AN116" s="8">
        <v>16</v>
      </c>
    </row>
    <row r="117" spans="1:40" x14ac:dyDescent="0.25">
      <c r="A117" s="8" t="s">
        <v>177</v>
      </c>
      <c r="B117" s="9">
        <v>42033.677777777775</v>
      </c>
      <c r="C117" s="8">
        <v>0</v>
      </c>
      <c r="D117" s="9">
        <v>42033.993750000001</v>
      </c>
      <c r="E117" s="8" t="s">
        <v>93</v>
      </c>
      <c r="F117" s="8">
        <v>16</v>
      </c>
      <c r="G117" s="8" t="s">
        <v>94</v>
      </c>
      <c r="H117" s="8" t="s">
        <v>95</v>
      </c>
      <c r="I117" s="8">
        <v>1</v>
      </c>
      <c r="J117" s="8" t="s">
        <v>95</v>
      </c>
      <c r="K117" s="8">
        <v>1</v>
      </c>
      <c r="L117" s="8" t="s">
        <v>95</v>
      </c>
      <c r="M117" s="8">
        <v>1</v>
      </c>
      <c r="N117" s="8" t="s">
        <v>95</v>
      </c>
      <c r="O117" s="8">
        <v>1</v>
      </c>
      <c r="P117" s="8" t="s">
        <v>95</v>
      </c>
      <c r="Q117" s="8">
        <v>1</v>
      </c>
      <c r="R117" s="8" t="s">
        <v>95</v>
      </c>
      <c r="S117" s="8">
        <v>1</v>
      </c>
      <c r="T117" s="8" t="s">
        <v>95</v>
      </c>
      <c r="U117" s="8">
        <v>1</v>
      </c>
      <c r="V117" s="8" t="s">
        <v>95</v>
      </c>
      <c r="W117" s="8">
        <v>1</v>
      </c>
      <c r="X117" s="8" t="s">
        <v>95</v>
      </c>
      <c r="Y117" s="8">
        <v>1</v>
      </c>
      <c r="Z117" s="8" t="s">
        <v>95</v>
      </c>
      <c r="AA117" s="8">
        <v>1</v>
      </c>
      <c r="AB117" s="8" t="s">
        <v>95</v>
      </c>
      <c r="AC117" s="8">
        <v>1</v>
      </c>
      <c r="AD117" s="8" t="s">
        <v>95</v>
      </c>
      <c r="AE117" s="8">
        <v>1</v>
      </c>
      <c r="AF117" s="8" t="s">
        <v>95</v>
      </c>
      <c r="AG117" s="8">
        <v>1</v>
      </c>
      <c r="AH117" s="8" t="s">
        <v>95</v>
      </c>
      <c r="AI117" s="8">
        <v>1</v>
      </c>
      <c r="AJ117" s="8" t="s">
        <v>95</v>
      </c>
      <c r="AK117" s="8">
        <v>1</v>
      </c>
      <c r="AL117" s="8" t="s">
        <v>95</v>
      </c>
      <c r="AM117" s="8">
        <v>1</v>
      </c>
      <c r="AN117" s="8">
        <v>16</v>
      </c>
    </row>
    <row r="118" spans="1:40" x14ac:dyDescent="0.25">
      <c r="A118" s="8" t="s">
        <v>178</v>
      </c>
      <c r="B118" s="9">
        <v>42033.654166666667</v>
      </c>
      <c r="C118" s="8">
        <v>0</v>
      </c>
      <c r="D118" s="9">
        <v>42034</v>
      </c>
      <c r="E118" s="8" t="s">
        <v>93</v>
      </c>
      <c r="F118" s="8">
        <v>15</v>
      </c>
      <c r="G118" s="8" t="s">
        <v>94</v>
      </c>
      <c r="H118" s="8" t="s">
        <v>95</v>
      </c>
      <c r="I118" s="8">
        <v>1</v>
      </c>
      <c r="J118" s="8" t="s">
        <v>95</v>
      </c>
      <c r="K118" s="8">
        <v>1</v>
      </c>
      <c r="L118" s="8" t="s">
        <v>95</v>
      </c>
      <c r="M118" s="8">
        <v>1</v>
      </c>
      <c r="N118" s="8" t="s">
        <v>95</v>
      </c>
      <c r="O118" s="8">
        <v>1</v>
      </c>
      <c r="P118" s="8" t="s">
        <v>95</v>
      </c>
      <c r="Q118" s="8">
        <v>1</v>
      </c>
      <c r="R118" s="8" t="s">
        <v>94</v>
      </c>
      <c r="S118" s="8">
        <v>0</v>
      </c>
      <c r="T118" s="8" t="s">
        <v>95</v>
      </c>
      <c r="U118" s="8">
        <v>1</v>
      </c>
      <c r="V118" s="8" t="s">
        <v>95</v>
      </c>
      <c r="W118" s="8">
        <v>1</v>
      </c>
      <c r="X118" s="8" t="s">
        <v>95</v>
      </c>
      <c r="Y118" s="8">
        <v>1</v>
      </c>
      <c r="Z118" s="8" t="s">
        <v>95</v>
      </c>
      <c r="AA118" s="8">
        <v>1</v>
      </c>
      <c r="AB118" s="8" t="s">
        <v>95</v>
      </c>
      <c r="AC118" s="8">
        <v>1</v>
      </c>
      <c r="AD118" s="8" t="s">
        <v>95</v>
      </c>
      <c r="AE118" s="8">
        <v>1</v>
      </c>
      <c r="AF118" s="8" t="s">
        <v>95</v>
      </c>
      <c r="AG118" s="8">
        <v>1</v>
      </c>
      <c r="AH118" s="8" t="s">
        <v>95</v>
      </c>
      <c r="AI118" s="8">
        <v>1</v>
      </c>
      <c r="AJ118" s="8" t="s">
        <v>95</v>
      </c>
      <c r="AK118" s="8">
        <v>1</v>
      </c>
      <c r="AL118" s="8" t="s">
        <v>95</v>
      </c>
      <c r="AM118" s="8">
        <v>1</v>
      </c>
      <c r="AN118" s="8">
        <v>15</v>
      </c>
    </row>
    <row r="119" spans="1:40" x14ac:dyDescent="0.25">
      <c r="A119" s="8" t="s">
        <v>179</v>
      </c>
      <c r="B119" s="9">
        <v>42033.679166666669</v>
      </c>
      <c r="C119" s="8">
        <v>0</v>
      </c>
      <c r="D119" s="9">
        <v>42034</v>
      </c>
      <c r="E119" s="8" t="s">
        <v>93</v>
      </c>
      <c r="F119" s="8">
        <v>12</v>
      </c>
      <c r="G119" s="8" t="s">
        <v>94</v>
      </c>
      <c r="H119" s="8" t="s">
        <v>95</v>
      </c>
      <c r="I119" s="8">
        <v>1</v>
      </c>
      <c r="J119" s="8" t="s">
        <v>95</v>
      </c>
      <c r="K119" s="8">
        <v>1</v>
      </c>
      <c r="L119" s="8" t="s">
        <v>95</v>
      </c>
      <c r="M119" s="8">
        <v>1</v>
      </c>
      <c r="N119" s="8" t="s">
        <v>95</v>
      </c>
      <c r="O119" s="8">
        <v>1</v>
      </c>
      <c r="P119" s="8" t="s">
        <v>95</v>
      </c>
      <c r="Q119" s="8">
        <v>1</v>
      </c>
      <c r="R119" s="8" t="s">
        <v>94</v>
      </c>
      <c r="S119" s="8">
        <v>0</v>
      </c>
      <c r="T119" s="8" t="s">
        <v>95</v>
      </c>
      <c r="U119" s="8">
        <v>1</v>
      </c>
      <c r="V119" s="8" t="s">
        <v>95</v>
      </c>
      <c r="W119" s="8">
        <v>1</v>
      </c>
      <c r="X119" s="8" t="s">
        <v>95</v>
      </c>
      <c r="Y119" s="8">
        <v>1</v>
      </c>
      <c r="Z119" s="8" t="s">
        <v>95</v>
      </c>
      <c r="AA119" s="8">
        <v>1</v>
      </c>
      <c r="AB119" s="8" t="s">
        <v>95</v>
      </c>
      <c r="AC119" s="8">
        <v>1</v>
      </c>
      <c r="AD119" s="8" t="s">
        <v>95</v>
      </c>
      <c r="AE119" s="8">
        <v>1</v>
      </c>
      <c r="AF119" s="8" t="s">
        <v>94</v>
      </c>
      <c r="AG119" s="8">
        <v>0</v>
      </c>
      <c r="AH119" s="8" t="s">
        <v>94</v>
      </c>
      <c r="AI119" s="8">
        <v>0</v>
      </c>
      <c r="AJ119" s="8" t="s">
        <v>95</v>
      </c>
      <c r="AK119" s="8">
        <v>1</v>
      </c>
      <c r="AL119" s="8" t="s">
        <v>94</v>
      </c>
      <c r="AM119" s="8">
        <v>0</v>
      </c>
      <c r="AN119" s="8">
        <v>12</v>
      </c>
    </row>
    <row r="120" spans="1:40" x14ac:dyDescent="0.25">
      <c r="A120" s="8" t="s">
        <v>180</v>
      </c>
      <c r="B120" s="9">
        <v>42033.674305555556</v>
      </c>
      <c r="C120" s="8">
        <v>0</v>
      </c>
      <c r="D120" s="9">
        <v>42034</v>
      </c>
      <c r="E120" s="8" t="s">
        <v>93</v>
      </c>
      <c r="F120" s="8">
        <v>6</v>
      </c>
      <c r="G120" s="8" t="s">
        <v>94</v>
      </c>
      <c r="H120" s="8" t="s">
        <v>94</v>
      </c>
      <c r="I120" s="8">
        <v>0</v>
      </c>
      <c r="J120" s="8" t="s">
        <v>95</v>
      </c>
      <c r="K120" s="8">
        <v>1</v>
      </c>
      <c r="L120" s="8" t="s">
        <v>94</v>
      </c>
      <c r="M120" s="8">
        <v>0</v>
      </c>
      <c r="N120" s="8" t="s">
        <v>94</v>
      </c>
      <c r="O120" s="8">
        <v>0</v>
      </c>
      <c r="P120" s="8" t="s">
        <v>94</v>
      </c>
      <c r="Q120" s="8">
        <v>0</v>
      </c>
      <c r="R120" s="8" t="s">
        <v>95</v>
      </c>
      <c r="S120" s="8">
        <v>1</v>
      </c>
      <c r="T120" s="8" t="s">
        <v>94</v>
      </c>
      <c r="U120" s="8">
        <v>0</v>
      </c>
      <c r="V120" s="8" t="s">
        <v>94</v>
      </c>
      <c r="W120" s="8">
        <v>0</v>
      </c>
      <c r="X120" s="8" t="s">
        <v>95</v>
      </c>
      <c r="Y120" s="8">
        <v>1</v>
      </c>
      <c r="Z120" s="8" t="s">
        <v>95</v>
      </c>
      <c r="AA120" s="8">
        <v>1</v>
      </c>
      <c r="AB120" s="8" t="s">
        <v>95</v>
      </c>
      <c r="AC120" s="8">
        <v>1</v>
      </c>
      <c r="AD120" s="8" t="s">
        <v>95</v>
      </c>
      <c r="AE120" s="8">
        <v>1</v>
      </c>
      <c r="AF120" s="8" t="s">
        <v>94</v>
      </c>
      <c r="AG120" s="8">
        <v>0</v>
      </c>
      <c r="AH120" s="8" t="s">
        <v>94</v>
      </c>
      <c r="AI120" s="8">
        <v>0</v>
      </c>
      <c r="AJ120" s="8" t="s">
        <v>94</v>
      </c>
      <c r="AK120" s="8">
        <v>0</v>
      </c>
      <c r="AL120" s="8" t="s">
        <v>94</v>
      </c>
      <c r="AM120" s="8">
        <v>0</v>
      </c>
      <c r="AN120" s="8">
        <v>6</v>
      </c>
    </row>
    <row r="121" spans="1:40" x14ac:dyDescent="0.25">
      <c r="A121" s="8" t="s">
        <v>181</v>
      </c>
      <c r="B121" s="9">
        <v>42033.659722222219</v>
      </c>
      <c r="C121" s="8">
        <v>0</v>
      </c>
      <c r="D121" s="9">
        <v>42034.004166666666</v>
      </c>
      <c r="E121" s="8" t="s">
        <v>93</v>
      </c>
      <c r="F121" s="8">
        <v>13</v>
      </c>
      <c r="G121" s="8" t="s">
        <v>94</v>
      </c>
      <c r="H121" s="8" t="s">
        <v>95</v>
      </c>
      <c r="I121" s="8">
        <v>1</v>
      </c>
      <c r="J121" s="8" t="s">
        <v>95</v>
      </c>
      <c r="K121" s="8">
        <v>1</v>
      </c>
      <c r="L121" s="8" t="s">
        <v>95</v>
      </c>
      <c r="M121" s="8">
        <v>1</v>
      </c>
      <c r="N121" s="8" t="s">
        <v>95</v>
      </c>
      <c r="O121" s="8">
        <v>1</v>
      </c>
      <c r="P121" s="8" t="s">
        <v>95</v>
      </c>
      <c r="Q121" s="8">
        <v>1</v>
      </c>
      <c r="R121" s="8" t="s">
        <v>95</v>
      </c>
      <c r="S121" s="8">
        <v>1</v>
      </c>
      <c r="T121" s="8" t="s">
        <v>95</v>
      </c>
      <c r="U121" s="8">
        <v>1</v>
      </c>
      <c r="V121" s="8" t="s">
        <v>95</v>
      </c>
      <c r="W121" s="8">
        <v>1</v>
      </c>
      <c r="X121" s="8" t="s">
        <v>94</v>
      </c>
      <c r="Y121" s="8">
        <v>0</v>
      </c>
      <c r="Z121" s="8" t="s">
        <v>95</v>
      </c>
      <c r="AA121" s="8">
        <v>1</v>
      </c>
      <c r="AB121" s="8" t="s">
        <v>95</v>
      </c>
      <c r="AC121" s="8">
        <v>1</v>
      </c>
      <c r="AD121" s="8" t="s">
        <v>95</v>
      </c>
      <c r="AE121" s="8">
        <v>1</v>
      </c>
      <c r="AF121" s="8" t="s">
        <v>94</v>
      </c>
      <c r="AG121" s="8">
        <v>0</v>
      </c>
      <c r="AH121" s="8" t="s">
        <v>95</v>
      </c>
      <c r="AI121" s="8">
        <v>1</v>
      </c>
      <c r="AJ121" s="8" t="s">
        <v>95</v>
      </c>
      <c r="AK121" s="8">
        <v>1</v>
      </c>
      <c r="AL121" s="8" t="s">
        <v>94</v>
      </c>
      <c r="AM121" s="8">
        <v>0</v>
      </c>
      <c r="AN121" s="8">
        <v>13</v>
      </c>
    </row>
    <row r="122" spans="1:40" x14ac:dyDescent="0.25">
      <c r="A122" s="8" t="s">
        <v>182</v>
      </c>
      <c r="B122" s="9">
        <v>42033.675000000003</v>
      </c>
      <c r="C122" s="8">
        <v>0</v>
      </c>
      <c r="D122" s="9">
        <v>42034.004166666666</v>
      </c>
      <c r="E122" s="8" t="s">
        <v>93</v>
      </c>
      <c r="F122" s="8">
        <v>8</v>
      </c>
      <c r="G122" s="8" t="s">
        <v>94</v>
      </c>
      <c r="H122" s="8" t="s">
        <v>94</v>
      </c>
      <c r="I122" s="8">
        <v>0</v>
      </c>
      <c r="J122" s="8" t="s">
        <v>95</v>
      </c>
      <c r="K122" s="8">
        <v>1</v>
      </c>
      <c r="L122" s="8" t="s">
        <v>94</v>
      </c>
      <c r="M122" s="8">
        <v>0</v>
      </c>
      <c r="N122" s="8" t="s">
        <v>94</v>
      </c>
      <c r="O122" s="8">
        <v>0</v>
      </c>
      <c r="P122" s="8" t="s">
        <v>95</v>
      </c>
      <c r="Q122" s="8">
        <v>1</v>
      </c>
      <c r="R122" s="8" t="s">
        <v>95</v>
      </c>
      <c r="S122" s="8">
        <v>1</v>
      </c>
      <c r="T122" s="8" t="s">
        <v>95</v>
      </c>
      <c r="U122" s="8">
        <v>1</v>
      </c>
      <c r="V122" s="8" t="s">
        <v>95</v>
      </c>
      <c r="W122" s="8">
        <v>1</v>
      </c>
      <c r="X122" s="8" t="s">
        <v>94</v>
      </c>
      <c r="Y122" s="8">
        <v>0</v>
      </c>
      <c r="Z122" s="8" t="s">
        <v>94</v>
      </c>
      <c r="AA122" s="8">
        <v>0</v>
      </c>
      <c r="AB122" s="8" t="s">
        <v>94</v>
      </c>
      <c r="AC122" s="8">
        <v>0</v>
      </c>
      <c r="AD122" s="8" t="s">
        <v>95</v>
      </c>
      <c r="AE122" s="8">
        <v>1</v>
      </c>
      <c r="AF122" s="8" t="s">
        <v>94</v>
      </c>
      <c r="AG122" s="8">
        <v>0</v>
      </c>
      <c r="AH122" s="8" t="s">
        <v>95</v>
      </c>
      <c r="AI122" s="8">
        <v>1</v>
      </c>
      <c r="AJ122" s="8" t="s">
        <v>95</v>
      </c>
      <c r="AK122" s="8">
        <v>1</v>
      </c>
      <c r="AL122" s="8" t="s">
        <v>94</v>
      </c>
      <c r="AM122" s="8">
        <v>0</v>
      </c>
      <c r="AN122" s="8">
        <v>8</v>
      </c>
    </row>
    <row r="123" spans="1:40" x14ac:dyDescent="0.25">
      <c r="A123" s="8" t="s">
        <v>183</v>
      </c>
      <c r="B123" s="9">
        <v>42033.65902777778</v>
      </c>
      <c r="C123" s="8">
        <v>0</v>
      </c>
      <c r="D123" s="9">
        <v>42034.009722222225</v>
      </c>
      <c r="E123" s="8" t="s">
        <v>93</v>
      </c>
      <c r="F123" s="8">
        <v>5</v>
      </c>
      <c r="G123" s="8" t="s">
        <v>94</v>
      </c>
      <c r="H123" s="8" t="s">
        <v>94</v>
      </c>
      <c r="I123" s="8">
        <v>0</v>
      </c>
      <c r="J123" s="8" t="s">
        <v>94</v>
      </c>
      <c r="K123" s="8">
        <v>0</v>
      </c>
      <c r="L123" s="8" t="s">
        <v>94</v>
      </c>
      <c r="M123" s="8">
        <v>0</v>
      </c>
      <c r="N123" s="8" t="s">
        <v>94</v>
      </c>
      <c r="O123" s="8">
        <v>0</v>
      </c>
      <c r="P123" s="8" t="s">
        <v>95</v>
      </c>
      <c r="Q123" s="8">
        <v>1</v>
      </c>
      <c r="R123" s="8" t="s">
        <v>94</v>
      </c>
      <c r="S123" s="8">
        <v>0</v>
      </c>
      <c r="T123" s="8" t="s">
        <v>94</v>
      </c>
      <c r="U123" s="8">
        <v>0</v>
      </c>
      <c r="V123" s="8" t="s">
        <v>94</v>
      </c>
      <c r="W123" s="8">
        <v>0</v>
      </c>
      <c r="X123" s="8" t="s">
        <v>95</v>
      </c>
      <c r="Y123" s="8">
        <v>1</v>
      </c>
      <c r="Z123" s="8" t="s">
        <v>95</v>
      </c>
      <c r="AA123" s="8">
        <v>1</v>
      </c>
      <c r="AB123" s="8" t="s">
        <v>95</v>
      </c>
      <c r="AC123" s="8">
        <v>1</v>
      </c>
      <c r="AD123" s="8" t="s">
        <v>94</v>
      </c>
      <c r="AE123" s="8">
        <v>0</v>
      </c>
      <c r="AF123" s="8" t="s">
        <v>95</v>
      </c>
      <c r="AG123" s="8">
        <v>1</v>
      </c>
      <c r="AH123" s="8" t="s">
        <v>94</v>
      </c>
      <c r="AI123" s="8">
        <v>0</v>
      </c>
      <c r="AJ123" s="8" t="s">
        <v>94</v>
      </c>
      <c r="AK123" s="8">
        <v>0</v>
      </c>
      <c r="AL123" s="8" t="s">
        <v>94</v>
      </c>
      <c r="AM123" s="8">
        <v>0</v>
      </c>
      <c r="AN123" s="8">
        <v>5</v>
      </c>
    </row>
    <row r="124" spans="1:40" x14ac:dyDescent="0.25">
      <c r="A124" s="8" t="s">
        <v>184</v>
      </c>
      <c r="B124" s="9">
        <v>42033.659722222219</v>
      </c>
      <c r="C124" s="8">
        <v>0</v>
      </c>
      <c r="D124" s="9">
        <v>42034.011111111111</v>
      </c>
      <c r="E124" s="8" t="s">
        <v>93</v>
      </c>
      <c r="F124" s="8">
        <v>7</v>
      </c>
      <c r="G124" s="8" t="s">
        <v>94</v>
      </c>
      <c r="H124" s="8" t="s">
        <v>95</v>
      </c>
      <c r="I124" s="8">
        <v>1</v>
      </c>
      <c r="J124" s="8" t="s">
        <v>94</v>
      </c>
      <c r="K124" s="8">
        <v>0</v>
      </c>
      <c r="L124" s="8" t="s">
        <v>94</v>
      </c>
      <c r="M124" s="8">
        <v>0</v>
      </c>
      <c r="N124" s="8" t="s">
        <v>94</v>
      </c>
      <c r="O124" s="8">
        <v>0</v>
      </c>
      <c r="P124" s="8" t="s">
        <v>95</v>
      </c>
      <c r="Q124" s="8">
        <v>1</v>
      </c>
      <c r="R124" s="8" t="s">
        <v>95</v>
      </c>
      <c r="S124" s="8">
        <v>1</v>
      </c>
      <c r="T124" s="8" t="s">
        <v>94</v>
      </c>
      <c r="U124" s="8">
        <v>0</v>
      </c>
      <c r="V124" s="8" t="s">
        <v>95</v>
      </c>
      <c r="W124" s="8">
        <v>1</v>
      </c>
      <c r="X124" s="8" t="s">
        <v>94</v>
      </c>
      <c r="Y124" s="8">
        <v>0</v>
      </c>
      <c r="Z124" s="8" t="s">
        <v>95</v>
      </c>
      <c r="AA124" s="8">
        <v>1</v>
      </c>
      <c r="AB124" s="8" t="s">
        <v>95</v>
      </c>
      <c r="AC124" s="8">
        <v>1</v>
      </c>
      <c r="AD124" s="8" t="s">
        <v>95</v>
      </c>
      <c r="AE124" s="8">
        <v>1</v>
      </c>
      <c r="AF124" s="8" t="s">
        <v>94</v>
      </c>
      <c r="AG124" s="8">
        <v>0</v>
      </c>
      <c r="AH124" s="8" t="s">
        <v>94</v>
      </c>
      <c r="AI124" s="8">
        <v>0</v>
      </c>
      <c r="AJ124" s="8" t="s">
        <v>94</v>
      </c>
      <c r="AK124" s="8">
        <v>0</v>
      </c>
      <c r="AL124" s="8" t="s">
        <v>94</v>
      </c>
      <c r="AM124" s="8">
        <v>0</v>
      </c>
      <c r="AN124" s="8">
        <v>7</v>
      </c>
    </row>
    <row r="125" spans="1:40" x14ac:dyDescent="0.25">
      <c r="A125" s="8" t="s">
        <v>185</v>
      </c>
      <c r="B125" s="9">
        <v>42033.650694444441</v>
      </c>
      <c r="C125" s="8">
        <v>0</v>
      </c>
      <c r="D125" s="9">
        <v>42034.012499999997</v>
      </c>
      <c r="E125" s="8" t="s">
        <v>93</v>
      </c>
      <c r="F125" s="8">
        <v>15</v>
      </c>
      <c r="G125" s="8" t="s">
        <v>94</v>
      </c>
      <c r="H125" s="8" t="s">
        <v>95</v>
      </c>
      <c r="I125" s="8">
        <v>1</v>
      </c>
      <c r="J125" s="8" t="s">
        <v>95</v>
      </c>
      <c r="K125" s="8">
        <v>1</v>
      </c>
      <c r="L125" s="8" t="s">
        <v>95</v>
      </c>
      <c r="M125" s="8">
        <v>1</v>
      </c>
      <c r="N125" s="8" t="s">
        <v>95</v>
      </c>
      <c r="O125" s="8">
        <v>1</v>
      </c>
      <c r="P125" s="8" t="s">
        <v>95</v>
      </c>
      <c r="Q125" s="8">
        <v>1</v>
      </c>
      <c r="R125" s="8" t="s">
        <v>95</v>
      </c>
      <c r="S125" s="8">
        <v>1</v>
      </c>
      <c r="T125" s="8" t="s">
        <v>95</v>
      </c>
      <c r="U125" s="8">
        <v>1</v>
      </c>
      <c r="V125" s="8" t="s">
        <v>95</v>
      </c>
      <c r="W125" s="8">
        <v>1</v>
      </c>
      <c r="X125" s="8" t="s">
        <v>95</v>
      </c>
      <c r="Y125" s="8">
        <v>1</v>
      </c>
      <c r="Z125" s="8" t="s">
        <v>95</v>
      </c>
      <c r="AA125" s="8">
        <v>1</v>
      </c>
      <c r="AB125" s="8" t="s">
        <v>95</v>
      </c>
      <c r="AC125" s="8">
        <v>1</v>
      </c>
      <c r="AD125" s="8" t="s">
        <v>95</v>
      </c>
      <c r="AE125" s="8">
        <v>1</v>
      </c>
      <c r="AF125" s="8" t="s">
        <v>95</v>
      </c>
      <c r="AG125" s="8">
        <v>1</v>
      </c>
      <c r="AH125" s="8" t="s">
        <v>94</v>
      </c>
      <c r="AI125" s="8">
        <v>0</v>
      </c>
      <c r="AJ125" s="8" t="s">
        <v>95</v>
      </c>
      <c r="AK125" s="8">
        <v>1</v>
      </c>
      <c r="AL125" s="8" t="s">
        <v>95</v>
      </c>
      <c r="AM125" s="8">
        <v>1</v>
      </c>
      <c r="AN125" s="8">
        <v>15</v>
      </c>
    </row>
    <row r="126" spans="1:40" x14ac:dyDescent="0.25">
      <c r="A126" s="8" t="s">
        <v>186</v>
      </c>
      <c r="B126" s="9">
        <v>42033.657638888886</v>
      </c>
      <c r="C126" s="8">
        <v>0</v>
      </c>
      <c r="D126" s="9">
        <v>42034.012499999997</v>
      </c>
      <c r="E126" s="8" t="s">
        <v>93</v>
      </c>
      <c r="F126" s="8">
        <v>5</v>
      </c>
      <c r="G126" s="8" t="s">
        <v>94</v>
      </c>
      <c r="H126" s="8" t="s">
        <v>94</v>
      </c>
      <c r="I126" s="8">
        <v>0</v>
      </c>
      <c r="J126" s="8" t="s">
        <v>94</v>
      </c>
      <c r="K126" s="8">
        <v>0</v>
      </c>
      <c r="L126" s="8" t="s">
        <v>94</v>
      </c>
      <c r="M126" s="8">
        <v>0</v>
      </c>
      <c r="N126" s="8" t="s">
        <v>94</v>
      </c>
      <c r="O126" s="8">
        <v>0</v>
      </c>
      <c r="P126" s="8" t="s">
        <v>95</v>
      </c>
      <c r="Q126" s="8">
        <v>1</v>
      </c>
      <c r="R126" s="8" t="s">
        <v>95</v>
      </c>
      <c r="S126" s="8">
        <v>1</v>
      </c>
      <c r="T126" s="8" t="s">
        <v>95</v>
      </c>
      <c r="U126" s="8">
        <v>1</v>
      </c>
      <c r="V126" s="8" t="s">
        <v>94</v>
      </c>
      <c r="W126" s="8">
        <v>0</v>
      </c>
      <c r="X126" s="8" t="s">
        <v>94</v>
      </c>
      <c r="Y126" s="8">
        <v>0</v>
      </c>
      <c r="Z126" s="8" t="s">
        <v>95</v>
      </c>
      <c r="AA126" s="8">
        <v>1</v>
      </c>
      <c r="AB126" s="8" t="s">
        <v>95</v>
      </c>
      <c r="AC126" s="8">
        <v>1</v>
      </c>
      <c r="AD126" s="8" t="s">
        <v>94</v>
      </c>
      <c r="AE126" s="8">
        <v>0</v>
      </c>
      <c r="AF126" s="8" t="s">
        <v>94</v>
      </c>
      <c r="AG126" s="8">
        <v>0</v>
      </c>
      <c r="AH126" s="8" t="s">
        <v>94</v>
      </c>
      <c r="AI126" s="8">
        <v>0</v>
      </c>
      <c r="AJ126" s="8" t="s">
        <v>94</v>
      </c>
      <c r="AK126" s="8">
        <v>0</v>
      </c>
      <c r="AL126" s="8" t="s">
        <v>94</v>
      </c>
      <c r="AM126" s="8">
        <v>0</v>
      </c>
      <c r="AN126" s="8">
        <v>5</v>
      </c>
    </row>
    <row r="127" spans="1:40" x14ac:dyDescent="0.25">
      <c r="A127" s="8" t="s">
        <v>187</v>
      </c>
      <c r="B127" s="9">
        <v>42033.675694444442</v>
      </c>
      <c r="C127" s="8">
        <v>0</v>
      </c>
      <c r="D127" s="9">
        <v>42034.013194444444</v>
      </c>
      <c r="E127" s="8" t="s">
        <v>93</v>
      </c>
      <c r="F127" s="8">
        <v>10</v>
      </c>
      <c r="G127" s="8" t="s">
        <v>94</v>
      </c>
      <c r="H127" s="8" t="s">
        <v>95</v>
      </c>
      <c r="I127" s="8">
        <v>1</v>
      </c>
      <c r="J127" s="8" t="s">
        <v>95</v>
      </c>
      <c r="K127" s="8">
        <v>1</v>
      </c>
      <c r="L127" s="8" t="s">
        <v>94</v>
      </c>
      <c r="M127" s="8">
        <v>0</v>
      </c>
      <c r="N127" s="8" t="s">
        <v>95</v>
      </c>
      <c r="O127" s="8">
        <v>1</v>
      </c>
      <c r="P127" s="8" t="s">
        <v>94</v>
      </c>
      <c r="Q127" s="8">
        <v>0</v>
      </c>
      <c r="R127" s="8" t="s">
        <v>94</v>
      </c>
      <c r="S127" s="8">
        <v>0</v>
      </c>
      <c r="T127" s="8" t="s">
        <v>94</v>
      </c>
      <c r="U127" s="8">
        <v>0</v>
      </c>
      <c r="V127" s="8" t="s">
        <v>94</v>
      </c>
      <c r="W127" s="8">
        <v>0</v>
      </c>
      <c r="X127" s="8" t="s">
        <v>95</v>
      </c>
      <c r="Y127" s="8">
        <v>1</v>
      </c>
      <c r="Z127" s="8" t="s">
        <v>95</v>
      </c>
      <c r="AA127" s="8">
        <v>1</v>
      </c>
      <c r="AB127" s="8" t="s">
        <v>95</v>
      </c>
      <c r="AC127" s="8">
        <v>1</v>
      </c>
      <c r="AD127" s="8" t="s">
        <v>95</v>
      </c>
      <c r="AE127" s="8">
        <v>1</v>
      </c>
      <c r="AF127" s="8" t="s">
        <v>95</v>
      </c>
      <c r="AG127" s="8">
        <v>1</v>
      </c>
      <c r="AH127" s="8" t="s">
        <v>95</v>
      </c>
      <c r="AI127" s="8">
        <v>1</v>
      </c>
      <c r="AJ127" s="8" t="s">
        <v>94</v>
      </c>
      <c r="AK127" s="8">
        <v>0</v>
      </c>
      <c r="AL127" s="8" t="s">
        <v>95</v>
      </c>
      <c r="AM127" s="8">
        <v>1</v>
      </c>
      <c r="AN127" s="8">
        <v>10</v>
      </c>
    </row>
    <row r="128" spans="1:40" x14ac:dyDescent="0.25">
      <c r="A128" s="8" t="s">
        <v>188</v>
      </c>
      <c r="B128" s="9">
        <v>42033.657638888886</v>
      </c>
      <c r="C128" s="8">
        <v>0</v>
      </c>
      <c r="D128" s="9">
        <v>42034.019444444442</v>
      </c>
      <c r="E128" s="8" t="s">
        <v>93</v>
      </c>
      <c r="F128" s="8">
        <v>15</v>
      </c>
      <c r="G128" s="8" t="s">
        <v>94</v>
      </c>
      <c r="H128" s="8" t="s">
        <v>95</v>
      </c>
      <c r="I128" s="8">
        <v>1</v>
      </c>
      <c r="J128" s="8" t="s">
        <v>95</v>
      </c>
      <c r="K128" s="8">
        <v>1</v>
      </c>
      <c r="L128" s="8" t="s">
        <v>94</v>
      </c>
      <c r="M128" s="8">
        <v>0</v>
      </c>
      <c r="N128" s="8" t="s">
        <v>95</v>
      </c>
      <c r="O128" s="8">
        <v>1</v>
      </c>
      <c r="P128" s="8" t="s">
        <v>95</v>
      </c>
      <c r="Q128" s="8">
        <v>1</v>
      </c>
      <c r="R128" s="8" t="s">
        <v>95</v>
      </c>
      <c r="S128" s="8">
        <v>1</v>
      </c>
      <c r="T128" s="8" t="s">
        <v>95</v>
      </c>
      <c r="U128" s="8">
        <v>1</v>
      </c>
      <c r="V128" s="8" t="s">
        <v>95</v>
      </c>
      <c r="W128" s="8">
        <v>1</v>
      </c>
      <c r="X128" s="8" t="s">
        <v>95</v>
      </c>
      <c r="Y128" s="8">
        <v>1</v>
      </c>
      <c r="Z128" s="8" t="s">
        <v>95</v>
      </c>
      <c r="AA128" s="8">
        <v>1</v>
      </c>
      <c r="AB128" s="8" t="s">
        <v>95</v>
      </c>
      <c r="AC128" s="8">
        <v>1</v>
      </c>
      <c r="AD128" s="8" t="s">
        <v>95</v>
      </c>
      <c r="AE128" s="8">
        <v>1</v>
      </c>
      <c r="AF128" s="8" t="s">
        <v>95</v>
      </c>
      <c r="AG128" s="8">
        <v>1</v>
      </c>
      <c r="AH128" s="8" t="s">
        <v>95</v>
      </c>
      <c r="AI128" s="8">
        <v>1</v>
      </c>
      <c r="AJ128" s="8" t="s">
        <v>95</v>
      </c>
      <c r="AK128" s="8">
        <v>1</v>
      </c>
      <c r="AL128" s="8" t="s">
        <v>95</v>
      </c>
      <c r="AM128" s="8">
        <v>1</v>
      </c>
      <c r="AN128" s="8">
        <v>15</v>
      </c>
    </row>
    <row r="129" spans="1:40" x14ac:dyDescent="0.25">
      <c r="A129" s="8" t="s">
        <v>189</v>
      </c>
      <c r="B129" s="9">
        <v>42033.660416666666</v>
      </c>
      <c r="C129" s="8">
        <v>0</v>
      </c>
      <c r="D129" s="9">
        <v>42034.022222222222</v>
      </c>
      <c r="E129" s="8" t="s">
        <v>93</v>
      </c>
      <c r="F129" s="8">
        <v>7</v>
      </c>
      <c r="G129" s="8" t="s">
        <v>94</v>
      </c>
      <c r="H129" s="8" t="s">
        <v>94</v>
      </c>
      <c r="I129" s="8">
        <v>0</v>
      </c>
      <c r="J129" s="8" t="s">
        <v>94</v>
      </c>
      <c r="K129" s="8">
        <v>0</v>
      </c>
      <c r="L129" s="8" t="s">
        <v>94</v>
      </c>
      <c r="M129" s="8">
        <v>0</v>
      </c>
      <c r="N129" s="8" t="s">
        <v>94</v>
      </c>
      <c r="O129" s="8">
        <v>0</v>
      </c>
      <c r="P129" s="8" t="s">
        <v>95</v>
      </c>
      <c r="Q129" s="8">
        <v>1</v>
      </c>
      <c r="R129" s="8" t="s">
        <v>95</v>
      </c>
      <c r="S129" s="8">
        <v>1</v>
      </c>
      <c r="T129" s="8" t="s">
        <v>95</v>
      </c>
      <c r="U129" s="8">
        <v>1</v>
      </c>
      <c r="V129" s="8" t="s">
        <v>95</v>
      </c>
      <c r="W129" s="8">
        <v>1</v>
      </c>
      <c r="X129" s="8" t="s">
        <v>94</v>
      </c>
      <c r="Y129" s="8">
        <v>0</v>
      </c>
      <c r="Z129" s="8" t="s">
        <v>94</v>
      </c>
      <c r="AA129" s="8">
        <v>0</v>
      </c>
      <c r="AB129" s="8" t="s">
        <v>94</v>
      </c>
      <c r="AC129" s="8">
        <v>0</v>
      </c>
      <c r="AD129" s="8" t="s">
        <v>95</v>
      </c>
      <c r="AE129" s="8">
        <v>1</v>
      </c>
      <c r="AF129" s="8" t="s">
        <v>94</v>
      </c>
      <c r="AG129" s="8">
        <v>0</v>
      </c>
      <c r="AH129" s="8" t="s">
        <v>95</v>
      </c>
      <c r="AI129" s="8">
        <v>1</v>
      </c>
      <c r="AJ129" s="8" t="s">
        <v>95</v>
      </c>
      <c r="AK129" s="8">
        <v>1</v>
      </c>
      <c r="AL129" s="8" t="s">
        <v>94</v>
      </c>
      <c r="AM129" s="8">
        <v>0</v>
      </c>
      <c r="AN129" s="8">
        <v>7</v>
      </c>
    </row>
    <row r="130" spans="1:40" x14ac:dyDescent="0.25">
      <c r="A130" s="8" t="s">
        <v>190</v>
      </c>
      <c r="B130" s="9">
        <v>42033.655555555553</v>
      </c>
      <c r="C130" s="8">
        <v>0</v>
      </c>
      <c r="D130" s="9">
        <v>42034.024305555555</v>
      </c>
      <c r="E130" s="8" t="s">
        <v>93</v>
      </c>
      <c r="F130" s="8">
        <v>14</v>
      </c>
      <c r="G130" s="8" t="s">
        <v>94</v>
      </c>
      <c r="H130" s="8" t="s">
        <v>95</v>
      </c>
      <c r="I130" s="8">
        <v>1</v>
      </c>
      <c r="J130" s="8" t="s">
        <v>94</v>
      </c>
      <c r="K130" s="8">
        <v>0</v>
      </c>
      <c r="L130" s="8" t="s">
        <v>95</v>
      </c>
      <c r="M130" s="8">
        <v>1</v>
      </c>
      <c r="N130" s="8" t="s">
        <v>95</v>
      </c>
      <c r="O130" s="8">
        <v>1</v>
      </c>
      <c r="P130" s="8" t="s">
        <v>95</v>
      </c>
      <c r="Q130" s="8">
        <v>1</v>
      </c>
      <c r="R130" s="8" t="s">
        <v>95</v>
      </c>
      <c r="S130" s="8">
        <v>1</v>
      </c>
      <c r="T130" s="8" t="s">
        <v>95</v>
      </c>
      <c r="U130" s="8">
        <v>1</v>
      </c>
      <c r="V130" s="8" t="s">
        <v>95</v>
      </c>
      <c r="W130" s="8">
        <v>1</v>
      </c>
      <c r="X130" s="8" t="s">
        <v>95</v>
      </c>
      <c r="Y130" s="8">
        <v>1</v>
      </c>
      <c r="Z130" s="8" t="s">
        <v>95</v>
      </c>
      <c r="AA130" s="8">
        <v>1</v>
      </c>
      <c r="AB130" s="8" t="s">
        <v>95</v>
      </c>
      <c r="AC130" s="8">
        <v>1</v>
      </c>
      <c r="AD130" s="8" t="s">
        <v>95</v>
      </c>
      <c r="AE130" s="8">
        <v>1</v>
      </c>
      <c r="AF130" s="8" t="s">
        <v>94</v>
      </c>
      <c r="AG130" s="8">
        <v>0</v>
      </c>
      <c r="AH130" s="8" t="s">
        <v>95</v>
      </c>
      <c r="AI130" s="8">
        <v>1</v>
      </c>
      <c r="AJ130" s="8" t="s">
        <v>95</v>
      </c>
      <c r="AK130" s="8">
        <v>1</v>
      </c>
      <c r="AL130" s="8" t="s">
        <v>95</v>
      </c>
      <c r="AM130" s="8">
        <v>1</v>
      </c>
      <c r="AN130" s="8">
        <v>14</v>
      </c>
    </row>
    <row r="131" spans="1:40" x14ac:dyDescent="0.25">
      <c r="A131" s="8" t="s">
        <v>191</v>
      </c>
      <c r="B131" s="9">
        <v>42033.676388888889</v>
      </c>
      <c r="C131" s="8">
        <v>0</v>
      </c>
      <c r="D131" s="9">
        <v>42034.025000000001</v>
      </c>
      <c r="E131" s="8" t="s">
        <v>93</v>
      </c>
      <c r="F131" s="8">
        <v>16</v>
      </c>
      <c r="G131" s="8" t="s">
        <v>94</v>
      </c>
      <c r="H131" s="8" t="s">
        <v>95</v>
      </c>
      <c r="I131" s="8">
        <v>1</v>
      </c>
      <c r="J131" s="8" t="s">
        <v>95</v>
      </c>
      <c r="K131" s="8">
        <v>1</v>
      </c>
      <c r="L131" s="8" t="s">
        <v>95</v>
      </c>
      <c r="M131" s="8">
        <v>1</v>
      </c>
      <c r="N131" s="8" t="s">
        <v>95</v>
      </c>
      <c r="O131" s="8">
        <v>1</v>
      </c>
      <c r="P131" s="8" t="s">
        <v>95</v>
      </c>
      <c r="Q131" s="8">
        <v>1</v>
      </c>
      <c r="R131" s="8" t="s">
        <v>95</v>
      </c>
      <c r="S131" s="8">
        <v>1</v>
      </c>
      <c r="T131" s="8" t="s">
        <v>95</v>
      </c>
      <c r="U131" s="8">
        <v>1</v>
      </c>
      <c r="V131" s="8" t="s">
        <v>95</v>
      </c>
      <c r="W131" s="8">
        <v>1</v>
      </c>
      <c r="X131" s="8" t="s">
        <v>95</v>
      </c>
      <c r="Y131" s="8">
        <v>1</v>
      </c>
      <c r="Z131" s="8" t="s">
        <v>95</v>
      </c>
      <c r="AA131" s="8">
        <v>1</v>
      </c>
      <c r="AB131" s="8" t="s">
        <v>95</v>
      </c>
      <c r="AC131" s="8">
        <v>1</v>
      </c>
      <c r="AD131" s="8" t="s">
        <v>95</v>
      </c>
      <c r="AE131" s="8">
        <v>1</v>
      </c>
      <c r="AF131" s="8" t="s">
        <v>95</v>
      </c>
      <c r="AG131" s="8">
        <v>1</v>
      </c>
      <c r="AH131" s="8" t="s">
        <v>95</v>
      </c>
      <c r="AI131" s="8">
        <v>1</v>
      </c>
      <c r="AJ131" s="8" t="s">
        <v>95</v>
      </c>
      <c r="AK131" s="8">
        <v>1</v>
      </c>
      <c r="AL131" s="8" t="s">
        <v>95</v>
      </c>
      <c r="AM131" s="8">
        <v>1</v>
      </c>
      <c r="AN131" s="8">
        <v>16</v>
      </c>
    </row>
    <row r="132" spans="1:40" x14ac:dyDescent="0.25">
      <c r="A132" s="8" t="s">
        <v>192</v>
      </c>
      <c r="B132" s="9">
        <v>42033.658333333333</v>
      </c>
      <c r="C132" s="8">
        <v>0</v>
      </c>
      <c r="D132" s="9">
        <v>42034.029861111114</v>
      </c>
      <c r="E132" s="8" t="s">
        <v>93</v>
      </c>
      <c r="F132" s="8">
        <v>12</v>
      </c>
      <c r="G132" s="8" t="s">
        <v>94</v>
      </c>
      <c r="H132" s="8" t="s">
        <v>95</v>
      </c>
      <c r="I132" s="8">
        <v>1</v>
      </c>
      <c r="J132" s="8" t="s">
        <v>95</v>
      </c>
      <c r="K132" s="8">
        <v>1</v>
      </c>
      <c r="L132" s="8" t="s">
        <v>95</v>
      </c>
      <c r="M132" s="8">
        <v>1</v>
      </c>
      <c r="N132" s="8" t="s">
        <v>95</v>
      </c>
      <c r="O132" s="8">
        <v>1</v>
      </c>
      <c r="P132" s="8" t="s">
        <v>95</v>
      </c>
      <c r="Q132" s="8">
        <v>1</v>
      </c>
      <c r="R132" s="8" t="s">
        <v>95</v>
      </c>
      <c r="S132" s="8">
        <v>1</v>
      </c>
      <c r="T132" s="8" t="s">
        <v>95</v>
      </c>
      <c r="U132" s="8">
        <v>1</v>
      </c>
      <c r="V132" s="8" t="s">
        <v>95</v>
      </c>
      <c r="W132" s="8">
        <v>1</v>
      </c>
      <c r="X132" s="8" t="s">
        <v>94</v>
      </c>
      <c r="Y132" s="8">
        <v>0</v>
      </c>
      <c r="Z132" s="8" t="s">
        <v>95</v>
      </c>
      <c r="AA132" s="8">
        <v>1</v>
      </c>
      <c r="AB132" s="8" t="s">
        <v>95</v>
      </c>
      <c r="AC132" s="8">
        <v>1</v>
      </c>
      <c r="AD132" s="8" t="s">
        <v>95</v>
      </c>
      <c r="AE132" s="8">
        <v>1</v>
      </c>
      <c r="AF132" s="8" t="s">
        <v>94</v>
      </c>
      <c r="AG132" s="8">
        <v>0</v>
      </c>
      <c r="AH132" s="8" t="s">
        <v>95</v>
      </c>
      <c r="AI132" s="8">
        <v>1</v>
      </c>
      <c r="AJ132" s="8" t="s">
        <v>94</v>
      </c>
      <c r="AK132" s="8">
        <v>0</v>
      </c>
      <c r="AL132" s="8" t="s">
        <v>94</v>
      </c>
      <c r="AM132" s="8">
        <v>0</v>
      </c>
      <c r="AN132" s="8">
        <v>12</v>
      </c>
    </row>
    <row r="133" spans="1:40" x14ac:dyDescent="0.25">
      <c r="A133" s="8" t="s">
        <v>193</v>
      </c>
      <c r="B133" s="9">
        <v>42033.677777777775</v>
      </c>
      <c r="C133" s="8">
        <v>0</v>
      </c>
      <c r="D133" s="9">
        <v>42034.03402777778</v>
      </c>
      <c r="E133" s="8" t="s">
        <v>93</v>
      </c>
      <c r="F133" s="8">
        <v>16</v>
      </c>
      <c r="G133" s="8" t="s">
        <v>94</v>
      </c>
      <c r="H133" s="8" t="s">
        <v>95</v>
      </c>
      <c r="I133" s="8">
        <v>1</v>
      </c>
      <c r="J133" s="8" t="s">
        <v>95</v>
      </c>
      <c r="K133" s="8">
        <v>1</v>
      </c>
      <c r="L133" s="8" t="s">
        <v>95</v>
      </c>
      <c r="M133" s="8">
        <v>1</v>
      </c>
      <c r="N133" s="8" t="s">
        <v>95</v>
      </c>
      <c r="O133" s="8">
        <v>1</v>
      </c>
      <c r="P133" s="8" t="s">
        <v>95</v>
      </c>
      <c r="Q133" s="8">
        <v>1</v>
      </c>
      <c r="R133" s="8" t="s">
        <v>95</v>
      </c>
      <c r="S133" s="8">
        <v>1</v>
      </c>
      <c r="T133" s="8" t="s">
        <v>95</v>
      </c>
      <c r="U133" s="8">
        <v>1</v>
      </c>
      <c r="V133" s="8" t="s">
        <v>95</v>
      </c>
      <c r="W133" s="8">
        <v>1</v>
      </c>
      <c r="X133" s="8" t="s">
        <v>95</v>
      </c>
      <c r="Y133" s="8">
        <v>1</v>
      </c>
      <c r="Z133" s="8" t="s">
        <v>95</v>
      </c>
      <c r="AA133" s="8">
        <v>1</v>
      </c>
      <c r="AB133" s="8" t="s">
        <v>95</v>
      </c>
      <c r="AC133" s="8">
        <v>1</v>
      </c>
      <c r="AD133" s="8" t="s">
        <v>95</v>
      </c>
      <c r="AE133" s="8">
        <v>1</v>
      </c>
      <c r="AF133" s="8" t="s">
        <v>95</v>
      </c>
      <c r="AG133" s="8">
        <v>1</v>
      </c>
      <c r="AH133" s="8" t="s">
        <v>95</v>
      </c>
      <c r="AI133" s="8">
        <v>1</v>
      </c>
      <c r="AJ133" s="8" t="s">
        <v>95</v>
      </c>
      <c r="AK133" s="8">
        <v>1</v>
      </c>
      <c r="AL133" s="8" t="s">
        <v>95</v>
      </c>
      <c r="AM133" s="8">
        <v>1</v>
      </c>
      <c r="AN133" s="8">
        <v>16</v>
      </c>
    </row>
    <row r="134" spans="1:40" x14ac:dyDescent="0.25">
      <c r="A134" s="8" t="s">
        <v>194</v>
      </c>
      <c r="B134" s="9">
        <v>42033.659722222219</v>
      </c>
      <c r="C134" s="8">
        <v>0</v>
      </c>
      <c r="D134" s="9">
        <v>42034.035416666666</v>
      </c>
      <c r="E134" s="8" t="s">
        <v>93</v>
      </c>
      <c r="F134" s="8">
        <v>16</v>
      </c>
      <c r="G134" s="8" t="s">
        <v>94</v>
      </c>
      <c r="H134" s="8" t="s">
        <v>95</v>
      </c>
      <c r="I134" s="8">
        <v>1</v>
      </c>
      <c r="J134" s="8" t="s">
        <v>95</v>
      </c>
      <c r="K134" s="8">
        <v>1</v>
      </c>
      <c r="L134" s="8" t="s">
        <v>95</v>
      </c>
      <c r="M134" s="8">
        <v>1</v>
      </c>
      <c r="N134" s="8" t="s">
        <v>95</v>
      </c>
      <c r="O134" s="8">
        <v>1</v>
      </c>
      <c r="P134" s="8" t="s">
        <v>95</v>
      </c>
      <c r="Q134" s="8">
        <v>1</v>
      </c>
      <c r="R134" s="8" t="s">
        <v>95</v>
      </c>
      <c r="S134" s="8">
        <v>1</v>
      </c>
      <c r="T134" s="8" t="s">
        <v>95</v>
      </c>
      <c r="U134" s="8">
        <v>1</v>
      </c>
      <c r="V134" s="8" t="s">
        <v>95</v>
      </c>
      <c r="W134" s="8">
        <v>1</v>
      </c>
      <c r="X134" s="8" t="s">
        <v>95</v>
      </c>
      <c r="Y134" s="8">
        <v>1</v>
      </c>
      <c r="Z134" s="8" t="s">
        <v>95</v>
      </c>
      <c r="AA134" s="8">
        <v>1</v>
      </c>
      <c r="AB134" s="8" t="s">
        <v>95</v>
      </c>
      <c r="AC134" s="8">
        <v>1</v>
      </c>
      <c r="AD134" s="8" t="s">
        <v>95</v>
      </c>
      <c r="AE134" s="8">
        <v>1</v>
      </c>
      <c r="AF134" s="8" t="s">
        <v>95</v>
      </c>
      <c r="AG134" s="8">
        <v>1</v>
      </c>
      <c r="AH134" s="8" t="s">
        <v>95</v>
      </c>
      <c r="AI134" s="8">
        <v>1</v>
      </c>
      <c r="AJ134" s="8" t="s">
        <v>95</v>
      </c>
      <c r="AK134" s="8">
        <v>1</v>
      </c>
      <c r="AL134" s="8" t="s">
        <v>95</v>
      </c>
      <c r="AM134" s="8">
        <v>1</v>
      </c>
      <c r="AN134" s="8">
        <v>16</v>
      </c>
    </row>
    <row r="135" spans="1:40" x14ac:dyDescent="0.25">
      <c r="A135" s="8" t="s">
        <v>195</v>
      </c>
      <c r="B135" s="9">
        <v>42033.658333333333</v>
      </c>
      <c r="C135" s="8">
        <v>0</v>
      </c>
      <c r="D135" s="9">
        <v>42034.035416666666</v>
      </c>
      <c r="E135" s="8" t="s">
        <v>93</v>
      </c>
      <c r="F135" s="8">
        <v>16</v>
      </c>
      <c r="G135" s="8" t="s">
        <v>94</v>
      </c>
      <c r="H135" s="8" t="s">
        <v>95</v>
      </c>
      <c r="I135" s="8">
        <v>1</v>
      </c>
      <c r="J135" s="8" t="s">
        <v>95</v>
      </c>
      <c r="K135" s="8">
        <v>1</v>
      </c>
      <c r="L135" s="8" t="s">
        <v>95</v>
      </c>
      <c r="M135" s="8">
        <v>1</v>
      </c>
      <c r="N135" s="8" t="s">
        <v>95</v>
      </c>
      <c r="O135" s="8">
        <v>1</v>
      </c>
      <c r="P135" s="8" t="s">
        <v>95</v>
      </c>
      <c r="Q135" s="8">
        <v>1</v>
      </c>
      <c r="R135" s="8" t="s">
        <v>95</v>
      </c>
      <c r="S135" s="8">
        <v>1</v>
      </c>
      <c r="T135" s="8" t="s">
        <v>95</v>
      </c>
      <c r="U135" s="8">
        <v>1</v>
      </c>
      <c r="V135" s="8" t="s">
        <v>95</v>
      </c>
      <c r="W135" s="8">
        <v>1</v>
      </c>
      <c r="X135" s="8" t="s">
        <v>95</v>
      </c>
      <c r="Y135" s="8">
        <v>1</v>
      </c>
      <c r="Z135" s="8" t="s">
        <v>95</v>
      </c>
      <c r="AA135" s="8">
        <v>1</v>
      </c>
      <c r="AB135" s="8" t="s">
        <v>95</v>
      </c>
      <c r="AC135" s="8">
        <v>1</v>
      </c>
      <c r="AD135" s="8" t="s">
        <v>95</v>
      </c>
      <c r="AE135" s="8">
        <v>1</v>
      </c>
      <c r="AF135" s="8" t="s">
        <v>95</v>
      </c>
      <c r="AG135" s="8">
        <v>1</v>
      </c>
      <c r="AH135" s="8" t="s">
        <v>95</v>
      </c>
      <c r="AI135" s="8">
        <v>1</v>
      </c>
      <c r="AJ135" s="8" t="s">
        <v>95</v>
      </c>
      <c r="AK135" s="8">
        <v>1</v>
      </c>
      <c r="AL135" s="8" t="s">
        <v>95</v>
      </c>
      <c r="AM135" s="8">
        <v>1</v>
      </c>
      <c r="AN135" s="8">
        <v>16</v>
      </c>
    </row>
    <row r="136" spans="1:40" x14ac:dyDescent="0.25">
      <c r="A136" s="8" t="s">
        <v>196</v>
      </c>
      <c r="B136" s="9">
        <v>42033.65902777778</v>
      </c>
      <c r="C136" s="8">
        <v>0</v>
      </c>
      <c r="D136" s="9">
        <v>42034.035416666666</v>
      </c>
      <c r="E136" s="8" t="s">
        <v>93</v>
      </c>
      <c r="F136" s="8">
        <v>15</v>
      </c>
      <c r="G136" s="8" t="s">
        <v>94</v>
      </c>
      <c r="H136" s="8" t="s">
        <v>94</v>
      </c>
      <c r="I136" s="8">
        <v>0</v>
      </c>
      <c r="J136" s="8" t="s">
        <v>95</v>
      </c>
      <c r="K136" s="8">
        <v>1</v>
      </c>
      <c r="L136" s="8" t="s">
        <v>95</v>
      </c>
      <c r="M136" s="8">
        <v>1</v>
      </c>
      <c r="N136" s="8" t="s">
        <v>95</v>
      </c>
      <c r="O136" s="8">
        <v>1</v>
      </c>
      <c r="P136" s="8" t="s">
        <v>95</v>
      </c>
      <c r="Q136" s="8">
        <v>1</v>
      </c>
      <c r="R136" s="8" t="s">
        <v>95</v>
      </c>
      <c r="S136" s="8">
        <v>1</v>
      </c>
      <c r="T136" s="8" t="s">
        <v>95</v>
      </c>
      <c r="U136" s="8">
        <v>1</v>
      </c>
      <c r="V136" s="8" t="s">
        <v>95</v>
      </c>
      <c r="W136" s="8">
        <v>1</v>
      </c>
      <c r="X136" s="8" t="s">
        <v>95</v>
      </c>
      <c r="Y136" s="8">
        <v>1</v>
      </c>
      <c r="Z136" s="8" t="s">
        <v>95</v>
      </c>
      <c r="AA136" s="8">
        <v>1</v>
      </c>
      <c r="AB136" s="8" t="s">
        <v>95</v>
      </c>
      <c r="AC136" s="8">
        <v>1</v>
      </c>
      <c r="AD136" s="8" t="s">
        <v>95</v>
      </c>
      <c r="AE136" s="8">
        <v>1</v>
      </c>
      <c r="AF136" s="8" t="s">
        <v>95</v>
      </c>
      <c r="AG136" s="8">
        <v>1</v>
      </c>
      <c r="AH136" s="8" t="s">
        <v>95</v>
      </c>
      <c r="AI136" s="8">
        <v>1</v>
      </c>
      <c r="AJ136" s="8" t="s">
        <v>95</v>
      </c>
      <c r="AK136" s="8">
        <v>1</v>
      </c>
      <c r="AL136" s="8" t="s">
        <v>95</v>
      </c>
      <c r="AM136" s="8">
        <v>1</v>
      </c>
      <c r="AN136" s="8">
        <v>15</v>
      </c>
    </row>
    <row r="137" spans="1:40" x14ac:dyDescent="0.25">
      <c r="A137" s="8" t="s">
        <v>197</v>
      </c>
      <c r="B137" s="9">
        <v>42033.677777777775</v>
      </c>
      <c r="C137" s="8">
        <v>0</v>
      </c>
      <c r="D137" s="9">
        <v>42034.043055555558</v>
      </c>
      <c r="E137" s="8" t="s">
        <v>93</v>
      </c>
      <c r="F137" s="8">
        <v>16</v>
      </c>
      <c r="G137" s="8" t="s">
        <v>94</v>
      </c>
      <c r="H137" s="8" t="s">
        <v>95</v>
      </c>
      <c r="I137" s="8">
        <v>1</v>
      </c>
      <c r="J137" s="8" t="s">
        <v>95</v>
      </c>
      <c r="K137" s="8">
        <v>1</v>
      </c>
      <c r="L137" s="8" t="s">
        <v>95</v>
      </c>
      <c r="M137" s="8">
        <v>1</v>
      </c>
      <c r="N137" s="8" t="s">
        <v>95</v>
      </c>
      <c r="O137" s="8">
        <v>1</v>
      </c>
      <c r="P137" s="8" t="s">
        <v>95</v>
      </c>
      <c r="Q137" s="8">
        <v>1</v>
      </c>
      <c r="R137" s="8" t="s">
        <v>95</v>
      </c>
      <c r="S137" s="8">
        <v>1</v>
      </c>
      <c r="T137" s="8" t="s">
        <v>95</v>
      </c>
      <c r="U137" s="8">
        <v>1</v>
      </c>
      <c r="V137" s="8" t="s">
        <v>95</v>
      </c>
      <c r="W137" s="8">
        <v>1</v>
      </c>
      <c r="X137" s="8" t="s">
        <v>95</v>
      </c>
      <c r="Y137" s="8">
        <v>1</v>
      </c>
      <c r="Z137" s="8" t="s">
        <v>95</v>
      </c>
      <c r="AA137" s="8">
        <v>1</v>
      </c>
      <c r="AB137" s="8" t="s">
        <v>95</v>
      </c>
      <c r="AC137" s="8">
        <v>1</v>
      </c>
      <c r="AD137" s="8" t="s">
        <v>95</v>
      </c>
      <c r="AE137" s="8">
        <v>1</v>
      </c>
      <c r="AF137" s="8" t="s">
        <v>95</v>
      </c>
      <c r="AG137" s="8">
        <v>1</v>
      </c>
      <c r="AH137" s="8" t="s">
        <v>95</v>
      </c>
      <c r="AI137" s="8">
        <v>1</v>
      </c>
      <c r="AJ137" s="8" t="s">
        <v>95</v>
      </c>
      <c r="AK137" s="8">
        <v>1</v>
      </c>
      <c r="AL137" s="8" t="s">
        <v>95</v>
      </c>
      <c r="AM137" s="8">
        <v>1</v>
      </c>
      <c r="AN137" s="8">
        <v>16</v>
      </c>
    </row>
    <row r="138" spans="1:40" x14ac:dyDescent="0.25">
      <c r="A138" s="8" t="s">
        <v>198</v>
      </c>
      <c r="B138" s="9">
        <v>42033.655555555553</v>
      </c>
      <c r="C138" s="8">
        <v>0</v>
      </c>
      <c r="D138" s="9">
        <v>42034.043749999997</v>
      </c>
      <c r="E138" s="8" t="s">
        <v>93</v>
      </c>
      <c r="F138" s="8">
        <v>16</v>
      </c>
      <c r="G138" s="8" t="s">
        <v>94</v>
      </c>
      <c r="H138" s="8" t="s">
        <v>95</v>
      </c>
      <c r="I138" s="8">
        <v>1</v>
      </c>
      <c r="J138" s="8" t="s">
        <v>95</v>
      </c>
      <c r="K138" s="8">
        <v>1</v>
      </c>
      <c r="L138" s="8" t="s">
        <v>95</v>
      </c>
      <c r="M138" s="8">
        <v>1</v>
      </c>
      <c r="N138" s="8" t="s">
        <v>95</v>
      </c>
      <c r="O138" s="8">
        <v>1</v>
      </c>
      <c r="P138" s="8" t="s">
        <v>95</v>
      </c>
      <c r="Q138" s="8">
        <v>1</v>
      </c>
      <c r="R138" s="8" t="s">
        <v>95</v>
      </c>
      <c r="S138" s="8">
        <v>1</v>
      </c>
      <c r="T138" s="8" t="s">
        <v>95</v>
      </c>
      <c r="U138" s="8">
        <v>1</v>
      </c>
      <c r="V138" s="8" t="s">
        <v>95</v>
      </c>
      <c r="W138" s="8">
        <v>1</v>
      </c>
      <c r="X138" s="8" t="s">
        <v>95</v>
      </c>
      <c r="Y138" s="8">
        <v>1</v>
      </c>
      <c r="Z138" s="8" t="s">
        <v>95</v>
      </c>
      <c r="AA138" s="8">
        <v>1</v>
      </c>
      <c r="AB138" s="8" t="s">
        <v>95</v>
      </c>
      <c r="AC138" s="8">
        <v>1</v>
      </c>
      <c r="AD138" s="8" t="s">
        <v>95</v>
      </c>
      <c r="AE138" s="8">
        <v>1</v>
      </c>
      <c r="AF138" s="8" t="s">
        <v>95</v>
      </c>
      <c r="AG138" s="8">
        <v>1</v>
      </c>
      <c r="AH138" s="8" t="s">
        <v>95</v>
      </c>
      <c r="AI138" s="8">
        <v>1</v>
      </c>
      <c r="AJ138" s="8" t="s">
        <v>95</v>
      </c>
      <c r="AK138" s="8">
        <v>1</v>
      </c>
      <c r="AL138" s="8" t="s">
        <v>95</v>
      </c>
      <c r="AM138" s="8">
        <v>1</v>
      </c>
      <c r="AN138" s="8">
        <v>16</v>
      </c>
    </row>
    <row r="139" spans="1:40" x14ac:dyDescent="0.25">
      <c r="A139" s="8" t="s">
        <v>199</v>
      </c>
      <c r="B139" s="9">
        <v>42033.675000000003</v>
      </c>
      <c r="C139" s="8">
        <v>0</v>
      </c>
      <c r="D139" s="9">
        <v>42034.051388888889</v>
      </c>
      <c r="E139" s="8" t="s">
        <v>93</v>
      </c>
      <c r="F139" s="8">
        <v>11</v>
      </c>
      <c r="G139" s="8" t="s">
        <v>94</v>
      </c>
      <c r="H139" s="8" t="s">
        <v>95</v>
      </c>
      <c r="I139" s="8">
        <v>1</v>
      </c>
      <c r="J139" s="8" t="s">
        <v>94</v>
      </c>
      <c r="K139" s="8">
        <v>0</v>
      </c>
      <c r="L139" s="8" t="s">
        <v>95</v>
      </c>
      <c r="M139" s="8">
        <v>1</v>
      </c>
      <c r="N139" s="8" t="s">
        <v>94</v>
      </c>
      <c r="O139" s="8">
        <v>0</v>
      </c>
      <c r="P139" s="8" t="s">
        <v>94</v>
      </c>
      <c r="Q139" s="8">
        <v>0</v>
      </c>
      <c r="R139" s="8" t="s">
        <v>95</v>
      </c>
      <c r="S139" s="8">
        <v>1</v>
      </c>
      <c r="T139" s="8" t="s">
        <v>94</v>
      </c>
      <c r="U139" s="8">
        <v>0</v>
      </c>
      <c r="V139" s="8" t="s">
        <v>95</v>
      </c>
      <c r="W139" s="8">
        <v>1</v>
      </c>
      <c r="X139" s="8" t="s">
        <v>95</v>
      </c>
      <c r="Y139" s="8">
        <v>1</v>
      </c>
      <c r="Z139" s="8" t="s">
        <v>95</v>
      </c>
      <c r="AA139" s="8">
        <v>1</v>
      </c>
      <c r="AB139" s="8" t="s">
        <v>95</v>
      </c>
      <c r="AC139" s="8">
        <v>1</v>
      </c>
      <c r="AD139" s="8" t="s">
        <v>95</v>
      </c>
      <c r="AE139" s="8">
        <v>1</v>
      </c>
      <c r="AF139" s="8" t="s">
        <v>94</v>
      </c>
      <c r="AG139" s="8">
        <v>0</v>
      </c>
      <c r="AH139" s="8" t="s">
        <v>95</v>
      </c>
      <c r="AI139" s="8">
        <v>1</v>
      </c>
      <c r="AJ139" s="8" t="s">
        <v>95</v>
      </c>
      <c r="AK139" s="8">
        <v>1</v>
      </c>
      <c r="AL139" s="8" t="s">
        <v>95</v>
      </c>
      <c r="AM139" s="8">
        <v>1</v>
      </c>
      <c r="AN139" s="8">
        <v>11</v>
      </c>
    </row>
    <row r="140" spans="1:40" x14ac:dyDescent="0.25">
      <c r="A140" s="8" t="s">
        <v>200</v>
      </c>
      <c r="B140" s="9">
        <v>42033.658333333333</v>
      </c>
      <c r="C140" s="8">
        <v>0</v>
      </c>
      <c r="D140" s="9">
        <v>42034.060416666667</v>
      </c>
      <c r="E140" s="8" t="s">
        <v>93</v>
      </c>
      <c r="F140" s="8">
        <v>9</v>
      </c>
      <c r="G140" s="8" t="s">
        <v>94</v>
      </c>
      <c r="H140" s="8" t="s">
        <v>95</v>
      </c>
      <c r="I140" s="8">
        <v>1</v>
      </c>
      <c r="J140" s="8" t="s">
        <v>94</v>
      </c>
      <c r="K140" s="8">
        <v>0</v>
      </c>
      <c r="L140" s="8" t="s">
        <v>94</v>
      </c>
      <c r="M140" s="8">
        <v>0</v>
      </c>
      <c r="N140" s="8" t="s">
        <v>94</v>
      </c>
      <c r="O140" s="8">
        <v>0</v>
      </c>
      <c r="P140" s="8" t="s">
        <v>95</v>
      </c>
      <c r="Q140" s="8">
        <v>1</v>
      </c>
      <c r="R140" s="8" t="s">
        <v>95</v>
      </c>
      <c r="S140" s="8">
        <v>1</v>
      </c>
      <c r="T140" s="8" t="s">
        <v>94</v>
      </c>
      <c r="U140" s="8">
        <v>0</v>
      </c>
      <c r="V140" s="8" t="s">
        <v>95</v>
      </c>
      <c r="W140" s="8">
        <v>1</v>
      </c>
      <c r="X140" s="8" t="s">
        <v>95</v>
      </c>
      <c r="Y140" s="8">
        <v>1</v>
      </c>
      <c r="Z140" s="8" t="s">
        <v>95</v>
      </c>
      <c r="AA140" s="8">
        <v>1</v>
      </c>
      <c r="AB140" s="8" t="s">
        <v>94</v>
      </c>
      <c r="AC140" s="8">
        <v>0</v>
      </c>
      <c r="AD140" s="8" t="s">
        <v>95</v>
      </c>
      <c r="AE140" s="8">
        <v>1</v>
      </c>
      <c r="AF140" s="8" t="s">
        <v>94</v>
      </c>
      <c r="AG140" s="8">
        <v>0</v>
      </c>
      <c r="AH140" s="8" t="s">
        <v>95</v>
      </c>
      <c r="AI140" s="8">
        <v>1</v>
      </c>
      <c r="AJ140" s="8" t="s">
        <v>95</v>
      </c>
      <c r="AK140" s="8">
        <v>1</v>
      </c>
      <c r="AL140" s="8" t="s">
        <v>94</v>
      </c>
      <c r="AM140" s="8">
        <v>0</v>
      </c>
      <c r="AN140" s="8">
        <v>9</v>
      </c>
    </row>
    <row r="141" spans="1:40" x14ac:dyDescent="0.25">
      <c r="A141" s="8" t="s">
        <v>201</v>
      </c>
      <c r="B141" s="9">
        <v>42033.660416666666</v>
      </c>
      <c r="C141" s="8">
        <v>0</v>
      </c>
      <c r="D141" s="9">
        <v>42034.063194444447</v>
      </c>
      <c r="E141" s="8" t="s">
        <v>93</v>
      </c>
      <c r="F141" s="8">
        <v>1</v>
      </c>
      <c r="G141" s="8" t="s">
        <v>94</v>
      </c>
      <c r="H141" s="8" t="s">
        <v>94</v>
      </c>
      <c r="I141" s="8">
        <v>0</v>
      </c>
      <c r="J141" s="8" t="s">
        <v>94</v>
      </c>
      <c r="K141" s="8">
        <v>0</v>
      </c>
      <c r="L141" s="8" t="s">
        <v>94</v>
      </c>
      <c r="M141" s="8">
        <v>0</v>
      </c>
      <c r="N141" s="8" t="s">
        <v>94</v>
      </c>
      <c r="O141" s="8">
        <v>0</v>
      </c>
      <c r="P141" s="8" t="s">
        <v>94</v>
      </c>
      <c r="Q141" s="8">
        <v>0</v>
      </c>
      <c r="R141" s="8" t="s">
        <v>95</v>
      </c>
      <c r="S141" s="8">
        <v>1</v>
      </c>
      <c r="T141" s="8" t="s">
        <v>94</v>
      </c>
      <c r="U141" s="8">
        <v>0</v>
      </c>
      <c r="V141" s="8" t="s">
        <v>94</v>
      </c>
      <c r="W141" s="8">
        <v>0</v>
      </c>
      <c r="X141" s="8" t="s">
        <v>94</v>
      </c>
      <c r="Y141" s="8">
        <v>0</v>
      </c>
      <c r="Z141" s="8" t="s">
        <v>94</v>
      </c>
      <c r="AA141" s="8">
        <v>0</v>
      </c>
      <c r="AB141" s="8" t="s">
        <v>94</v>
      </c>
      <c r="AC141" s="8">
        <v>0</v>
      </c>
      <c r="AD141" s="8" t="s">
        <v>94</v>
      </c>
      <c r="AE141" s="8">
        <v>0</v>
      </c>
      <c r="AF141" s="8" t="s">
        <v>94</v>
      </c>
      <c r="AG141" s="8">
        <v>0</v>
      </c>
      <c r="AH141" s="8" t="s">
        <v>94</v>
      </c>
      <c r="AI141" s="8">
        <v>0</v>
      </c>
      <c r="AJ141" s="8" t="s">
        <v>94</v>
      </c>
      <c r="AK141" s="8">
        <v>0</v>
      </c>
      <c r="AL141" s="8" t="s">
        <v>94</v>
      </c>
      <c r="AM141" s="8">
        <v>0</v>
      </c>
      <c r="AN141" s="8">
        <v>1</v>
      </c>
    </row>
    <row r="142" spans="1:40" x14ac:dyDescent="0.25">
      <c r="A142" s="8" t="s">
        <v>202</v>
      </c>
      <c r="B142" s="9">
        <v>42033.659722222219</v>
      </c>
      <c r="C142" s="8">
        <v>0</v>
      </c>
      <c r="D142" s="9">
        <v>42034.064583333333</v>
      </c>
      <c r="E142" s="8" t="s">
        <v>93</v>
      </c>
      <c r="F142" s="8">
        <v>16</v>
      </c>
      <c r="G142" s="8" t="s">
        <v>94</v>
      </c>
      <c r="H142" s="8" t="s">
        <v>95</v>
      </c>
      <c r="I142" s="8">
        <v>1</v>
      </c>
      <c r="J142" s="8" t="s">
        <v>95</v>
      </c>
      <c r="K142" s="8">
        <v>1</v>
      </c>
      <c r="L142" s="8" t="s">
        <v>95</v>
      </c>
      <c r="M142" s="8">
        <v>1</v>
      </c>
      <c r="N142" s="8" t="s">
        <v>95</v>
      </c>
      <c r="O142" s="8">
        <v>1</v>
      </c>
      <c r="P142" s="8" t="s">
        <v>95</v>
      </c>
      <c r="Q142" s="8">
        <v>1</v>
      </c>
      <c r="R142" s="8" t="s">
        <v>95</v>
      </c>
      <c r="S142" s="8">
        <v>1</v>
      </c>
      <c r="T142" s="8" t="s">
        <v>95</v>
      </c>
      <c r="U142" s="8">
        <v>1</v>
      </c>
      <c r="V142" s="8" t="s">
        <v>95</v>
      </c>
      <c r="W142" s="8">
        <v>1</v>
      </c>
      <c r="X142" s="8" t="s">
        <v>95</v>
      </c>
      <c r="Y142" s="8">
        <v>1</v>
      </c>
      <c r="Z142" s="8" t="s">
        <v>95</v>
      </c>
      <c r="AA142" s="8">
        <v>1</v>
      </c>
      <c r="AB142" s="8" t="s">
        <v>95</v>
      </c>
      <c r="AC142" s="8">
        <v>1</v>
      </c>
      <c r="AD142" s="8" t="s">
        <v>95</v>
      </c>
      <c r="AE142" s="8">
        <v>1</v>
      </c>
      <c r="AF142" s="8" t="s">
        <v>95</v>
      </c>
      <c r="AG142" s="8">
        <v>1</v>
      </c>
      <c r="AH142" s="8" t="s">
        <v>95</v>
      </c>
      <c r="AI142" s="8">
        <v>1</v>
      </c>
      <c r="AJ142" s="8" t="s">
        <v>95</v>
      </c>
      <c r="AK142" s="8">
        <v>1</v>
      </c>
      <c r="AL142" s="8" t="s">
        <v>95</v>
      </c>
      <c r="AM142" s="8">
        <v>1</v>
      </c>
      <c r="AN142" s="8">
        <v>16</v>
      </c>
    </row>
    <row r="143" spans="1:40" x14ac:dyDescent="0.25">
      <c r="A143" s="8" t="s">
        <v>203</v>
      </c>
      <c r="B143" s="9">
        <v>42033.669444444444</v>
      </c>
      <c r="C143" s="8">
        <v>0</v>
      </c>
      <c r="D143" s="9">
        <v>42034.073611111111</v>
      </c>
      <c r="E143" s="8" t="s">
        <v>93</v>
      </c>
      <c r="F143" s="8">
        <v>16</v>
      </c>
      <c r="G143" s="8" t="s">
        <v>94</v>
      </c>
      <c r="H143" s="8" t="s">
        <v>95</v>
      </c>
      <c r="I143" s="8">
        <v>1</v>
      </c>
      <c r="J143" s="8" t="s">
        <v>95</v>
      </c>
      <c r="K143" s="8">
        <v>1</v>
      </c>
      <c r="L143" s="8" t="s">
        <v>95</v>
      </c>
      <c r="M143" s="8">
        <v>1</v>
      </c>
      <c r="N143" s="8" t="s">
        <v>95</v>
      </c>
      <c r="O143" s="8">
        <v>1</v>
      </c>
      <c r="P143" s="8" t="s">
        <v>95</v>
      </c>
      <c r="Q143" s="8">
        <v>1</v>
      </c>
      <c r="R143" s="8" t="s">
        <v>95</v>
      </c>
      <c r="S143" s="8">
        <v>1</v>
      </c>
      <c r="T143" s="8" t="s">
        <v>95</v>
      </c>
      <c r="U143" s="8">
        <v>1</v>
      </c>
      <c r="V143" s="8" t="s">
        <v>95</v>
      </c>
      <c r="W143" s="8">
        <v>1</v>
      </c>
      <c r="X143" s="8" t="s">
        <v>95</v>
      </c>
      <c r="Y143" s="8">
        <v>1</v>
      </c>
      <c r="Z143" s="8" t="s">
        <v>95</v>
      </c>
      <c r="AA143" s="8">
        <v>1</v>
      </c>
      <c r="AB143" s="8" t="s">
        <v>95</v>
      </c>
      <c r="AC143" s="8">
        <v>1</v>
      </c>
      <c r="AD143" s="8" t="s">
        <v>95</v>
      </c>
      <c r="AE143" s="8">
        <v>1</v>
      </c>
      <c r="AF143" s="8" t="s">
        <v>95</v>
      </c>
      <c r="AG143" s="8">
        <v>1</v>
      </c>
      <c r="AH143" s="8" t="s">
        <v>95</v>
      </c>
      <c r="AI143" s="8">
        <v>1</v>
      </c>
      <c r="AJ143" s="8" t="s">
        <v>95</v>
      </c>
      <c r="AK143" s="8">
        <v>1</v>
      </c>
      <c r="AL143" s="8" t="s">
        <v>95</v>
      </c>
      <c r="AM143" s="8">
        <v>1</v>
      </c>
      <c r="AN143" s="8">
        <v>16</v>
      </c>
    </row>
    <row r="144" spans="1:40" x14ac:dyDescent="0.25">
      <c r="A144" s="8" t="s">
        <v>204</v>
      </c>
      <c r="B144" s="9">
        <v>42033.655555555553</v>
      </c>
      <c r="C144" s="8">
        <v>0</v>
      </c>
      <c r="D144" s="9">
        <v>42034.07708333333</v>
      </c>
      <c r="E144" s="8" t="s">
        <v>93</v>
      </c>
      <c r="F144" s="8">
        <v>16</v>
      </c>
      <c r="G144" s="8" t="s">
        <v>94</v>
      </c>
      <c r="H144" s="8" t="s">
        <v>95</v>
      </c>
      <c r="I144" s="8">
        <v>1</v>
      </c>
      <c r="J144" s="8" t="s">
        <v>95</v>
      </c>
      <c r="K144" s="8">
        <v>1</v>
      </c>
      <c r="L144" s="8" t="s">
        <v>95</v>
      </c>
      <c r="M144" s="8">
        <v>1</v>
      </c>
      <c r="N144" s="8" t="s">
        <v>95</v>
      </c>
      <c r="O144" s="8">
        <v>1</v>
      </c>
      <c r="P144" s="8" t="s">
        <v>95</v>
      </c>
      <c r="Q144" s="8">
        <v>1</v>
      </c>
      <c r="R144" s="8" t="s">
        <v>95</v>
      </c>
      <c r="S144" s="8">
        <v>1</v>
      </c>
      <c r="T144" s="8" t="s">
        <v>95</v>
      </c>
      <c r="U144" s="8">
        <v>1</v>
      </c>
      <c r="V144" s="8" t="s">
        <v>95</v>
      </c>
      <c r="W144" s="8">
        <v>1</v>
      </c>
      <c r="X144" s="8" t="s">
        <v>95</v>
      </c>
      <c r="Y144" s="8">
        <v>1</v>
      </c>
      <c r="Z144" s="8" t="s">
        <v>95</v>
      </c>
      <c r="AA144" s="8">
        <v>1</v>
      </c>
      <c r="AB144" s="8" t="s">
        <v>95</v>
      </c>
      <c r="AC144" s="8">
        <v>1</v>
      </c>
      <c r="AD144" s="8" t="s">
        <v>95</v>
      </c>
      <c r="AE144" s="8">
        <v>1</v>
      </c>
      <c r="AF144" s="8" t="s">
        <v>95</v>
      </c>
      <c r="AG144" s="8">
        <v>1</v>
      </c>
      <c r="AH144" s="8" t="s">
        <v>95</v>
      </c>
      <c r="AI144" s="8">
        <v>1</v>
      </c>
      <c r="AJ144" s="8" t="s">
        <v>95</v>
      </c>
      <c r="AK144" s="8">
        <v>1</v>
      </c>
      <c r="AL144" s="8" t="s">
        <v>95</v>
      </c>
      <c r="AM144" s="8">
        <v>1</v>
      </c>
      <c r="AN144" s="8">
        <v>16</v>
      </c>
    </row>
    <row r="145" spans="1:40" x14ac:dyDescent="0.25">
      <c r="A145" s="8" t="s">
        <v>205</v>
      </c>
      <c r="B145" s="9">
        <v>42033.674305555556</v>
      </c>
      <c r="C145" s="8">
        <v>0</v>
      </c>
      <c r="D145" s="9">
        <v>42034.081250000003</v>
      </c>
      <c r="E145" s="8" t="s">
        <v>93</v>
      </c>
      <c r="F145" s="8">
        <v>11</v>
      </c>
      <c r="G145" s="8" t="s">
        <v>94</v>
      </c>
      <c r="H145" s="8" t="s">
        <v>94</v>
      </c>
      <c r="I145" s="8">
        <v>0</v>
      </c>
      <c r="J145" s="8" t="s">
        <v>94</v>
      </c>
      <c r="K145" s="8">
        <v>0</v>
      </c>
      <c r="L145" s="8" t="s">
        <v>95</v>
      </c>
      <c r="M145" s="8">
        <v>1</v>
      </c>
      <c r="N145" s="8" t="s">
        <v>94</v>
      </c>
      <c r="O145" s="8">
        <v>0</v>
      </c>
      <c r="P145" s="8" t="s">
        <v>95</v>
      </c>
      <c r="Q145" s="8">
        <v>1</v>
      </c>
      <c r="R145" s="8" t="s">
        <v>95</v>
      </c>
      <c r="S145" s="8">
        <v>1</v>
      </c>
      <c r="T145" s="8" t="s">
        <v>95</v>
      </c>
      <c r="U145" s="8">
        <v>1</v>
      </c>
      <c r="V145" s="8" t="s">
        <v>95</v>
      </c>
      <c r="W145" s="8">
        <v>1</v>
      </c>
      <c r="X145" s="8" t="s">
        <v>95</v>
      </c>
      <c r="Y145" s="8">
        <v>1</v>
      </c>
      <c r="Z145" s="8" t="s">
        <v>95</v>
      </c>
      <c r="AA145" s="8">
        <v>1</v>
      </c>
      <c r="AB145" s="8" t="s">
        <v>95</v>
      </c>
      <c r="AC145" s="8">
        <v>1</v>
      </c>
      <c r="AD145" s="8" t="s">
        <v>95</v>
      </c>
      <c r="AE145" s="8">
        <v>1</v>
      </c>
      <c r="AF145" s="8" t="s">
        <v>94</v>
      </c>
      <c r="AG145" s="8">
        <v>0</v>
      </c>
      <c r="AH145" s="8" t="s">
        <v>95</v>
      </c>
      <c r="AI145" s="8">
        <v>1</v>
      </c>
      <c r="AJ145" s="8" t="s">
        <v>95</v>
      </c>
      <c r="AK145" s="8">
        <v>1</v>
      </c>
      <c r="AL145" s="8" t="s">
        <v>94</v>
      </c>
      <c r="AM145" s="8">
        <v>0</v>
      </c>
      <c r="AN145" s="8">
        <v>11</v>
      </c>
    </row>
    <row r="146" spans="1:40" x14ac:dyDescent="0.25">
      <c r="A146" s="8" t="s">
        <v>206</v>
      </c>
      <c r="B146" s="9">
        <v>42033.670138888891</v>
      </c>
      <c r="C146" s="8">
        <v>0</v>
      </c>
      <c r="D146" s="9">
        <v>42034.087500000001</v>
      </c>
      <c r="E146" s="8" t="s">
        <v>93</v>
      </c>
      <c r="F146" s="8">
        <v>14</v>
      </c>
      <c r="G146" s="8" t="s">
        <v>94</v>
      </c>
      <c r="H146" s="8" t="s">
        <v>95</v>
      </c>
      <c r="I146" s="8">
        <v>1</v>
      </c>
      <c r="J146" s="8" t="s">
        <v>95</v>
      </c>
      <c r="K146" s="8">
        <v>1</v>
      </c>
      <c r="L146" s="8" t="s">
        <v>95</v>
      </c>
      <c r="M146" s="8">
        <v>1</v>
      </c>
      <c r="N146" s="8" t="s">
        <v>95</v>
      </c>
      <c r="O146" s="8">
        <v>1</v>
      </c>
      <c r="P146" s="8" t="s">
        <v>95</v>
      </c>
      <c r="Q146" s="8">
        <v>1</v>
      </c>
      <c r="R146" s="8" t="s">
        <v>95</v>
      </c>
      <c r="S146" s="8">
        <v>1</v>
      </c>
      <c r="T146" s="8" t="s">
        <v>95</v>
      </c>
      <c r="U146" s="8">
        <v>1</v>
      </c>
      <c r="V146" s="8" t="s">
        <v>95</v>
      </c>
      <c r="W146" s="8">
        <v>1</v>
      </c>
      <c r="X146" s="8" t="s">
        <v>95</v>
      </c>
      <c r="Y146" s="8">
        <v>1</v>
      </c>
      <c r="Z146" s="8" t="s">
        <v>95</v>
      </c>
      <c r="AA146" s="8">
        <v>1</v>
      </c>
      <c r="AB146" s="8" t="s">
        <v>95</v>
      </c>
      <c r="AC146" s="8">
        <v>1</v>
      </c>
      <c r="AD146" s="8" t="s">
        <v>95</v>
      </c>
      <c r="AE146" s="8">
        <v>1</v>
      </c>
      <c r="AF146" s="8" t="s">
        <v>94</v>
      </c>
      <c r="AG146" s="8">
        <v>0</v>
      </c>
      <c r="AH146" s="8" t="s">
        <v>94</v>
      </c>
      <c r="AI146" s="8">
        <v>0</v>
      </c>
      <c r="AJ146" s="8" t="s">
        <v>95</v>
      </c>
      <c r="AK146" s="8">
        <v>1</v>
      </c>
      <c r="AL146" s="8" t="s">
        <v>95</v>
      </c>
      <c r="AM146" s="8">
        <v>1</v>
      </c>
      <c r="AN146" s="8">
        <v>14</v>
      </c>
    </row>
    <row r="147" spans="1:40" x14ac:dyDescent="0.25">
      <c r="A147" s="8" t="s">
        <v>207</v>
      </c>
      <c r="B147" s="9">
        <v>42033.670138888891</v>
      </c>
      <c r="C147" s="8">
        <v>0</v>
      </c>
      <c r="D147" s="9">
        <v>42034.088194444441</v>
      </c>
      <c r="E147" s="8" t="s">
        <v>93</v>
      </c>
      <c r="F147" s="8">
        <v>16</v>
      </c>
      <c r="G147" s="8" t="s">
        <v>94</v>
      </c>
      <c r="H147" s="8" t="s">
        <v>95</v>
      </c>
      <c r="I147" s="8">
        <v>1</v>
      </c>
      <c r="J147" s="8" t="s">
        <v>95</v>
      </c>
      <c r="K147" s="8">
        <v>1</v>
      </c>
      <c r="L147" s="8" t="s">
        <v>95</v>
      </c>
      <c r="M147" s="8">
        <v>1</v>
      </c>
      <c r="N147" s="8" t="s">
        <v>95</v>
      </c>
      <c r="O147" s="8">
        <v>1</v>
      </c>
      <c r="P147" s="8" t="s">
        <v>95</v>
      </c>
      <c r="Q147" s="8">
        <v>1</v>
      </c>
      <c r="R147" s="8" t="s">
        <v>95</v>
      </c>
      <c r="S147" s="8">
        <v>1</v>
      </c>
      <c r="T147" s="8" t="s">
        <v>95</v>
      </c>
      <c r="U147" s="8">
        <v>1</v>
      </c>
      <c r="V147" s="8" t="s">
        <v>95</v>
      </c>
      <c r="W147" s="8">
        <v>1</v>
      </c>
      <c r="X147" s="8" t="s">
        <v>95</v>
      </c>
      <c r="Y147" s="8">
        <v>1</v>
      </c>
      <c r="Z147" s="8" t="s">
        <v>95</v>
      </c>
      <c r="AA147" s="8">
        <v>1</v>
      </c>
      <c r="AB147" s="8" t="s">
        <v>95</v>
      </c>
      <c r="AC147" s="8">
        <v>1</v>
      </c>
      <c r="AD147" s="8" t="s">
        <v>95</v>
      </c>
      <c r="AE147" s="8">
        <v>1</v>
      </c>
      <c r="AF147" s="8" t="s">
        <v>95</v>
      </c>
      <c r="AG147" s="8">
        <v>1</v>
      </c>
      <c r="AH147" s="8" t="s">
        <v>95</v>
      </c>
      <c r="AI147" s="8">
        <v>1</v>
      </c>
      <c r="AJ147" s="8" t="s">
        <v>95</v>
      </c>
      <c r="AK147" s="8">
        <v>1</v>
      </c>
      <c r="AL147" s="8" t="s">
        <v>95</v>
      </c>
      <c r="AM147" s="8">
        <v>1</v>
      </c>
      <c r="AN147" s="8">
        <v>16</v>
      </c>
    </row>
    <row r="148" spans="1:40" x14ac:dyDescent="0.25">
      <c r="A148" s="8" t="s">
        <v>208</v>
      </c>
      <c r="B148" s="9">
        <v>42033.67083333333</v>
      </c>
      <c r="C148" s="8">
        <v>0</v>
      </c>
      <c r="D148" s="9">
        <v>42034.088888888888</v>
      </c>
      <c r="E148" s="8" t="s">
        <v>93</v>
      </c>
      <c r="F148" s="8">
        <v>16</v>
      </c>
      <c r="G148" s="8" t="s">
        <v>94</v>
      </c>
      <c r="H148" s="8" t="s">
        <v>95</v>
      </c>
      <c r="I148" s="8">
        <v>1</v>
      </c>
      <c r="J148" s="8" t="s">
        <v>95</v>
      </c>
      <c r="K148" s="8">
        <v>1</v>
      </c>
      <c r="L148" s="8" t="s">
        <v>95</v>
      </c>
      <c r="M148" s="8">
        <v>1</v>
      </c>
      <c r="N148" s="8" t="s">
        <v>95</v>
      </c>
      <c r="O148" s="8">
        <v>1</v>
      </c>
      <c r="P148" s="8" t="s">
        <v>95</v>
      </c>
      <c r="Q148" s="8">
        <v>1</v>
      </c>
      <c r="R148" s="8" t="s">
        <v>95</v>
      </c>
      <c r="S148" s="8">
        <v>1</v>
      </c>
      <c r="T148" s="8" t="s">
        <v>95</v>
      </c>
      <c r="U148" s="8">
        <v>1</v>
      </c>
      <c r="V148" s="8" t="s">
        <v>95</v>
      </c>
      <c r="W148" s="8">
        <v>1</v>
      </c>
      <c r="X148" s="8" t="s">
        <v>95</v>
      </c>
      <c r="Y148" s="8">
        <v>1</v>
      </c>
      <c r="Z148" s="8" t="s">
        <v>95</v>
      </c>
      <c r="AA148" s="8">
        <v>1</v>
      </c>
      <c r="AB148" s="8" t="s">
        <v>95</v>
      </c>
      <c r="AC148" s="8">
        <v>1</v>
      </c>
      <c r="AD148" s="8" t="s">
        <v>95</v>
      </c>
      <c r="AE148" s="8">
        <v>1</v>
      </c>
      <c r="AF148" s="8" t="s">
        <v>95</v>
      </c>
      <c r="AG148" s="8">
        <v>1</v>
      </c>
      <c r="AH148" s="8" t="s">
        <v>95</v>
      </c>
      <c r="AI148" s="8">
        <v>1</v>
      </c>
      <c r="AJ148" s="8" t="s">
        <v>95</v>
      </c>
      <c r="AK148" s="8">
        <v>1</v>
      </c>
      <c r="AL148" s="8" t="s">
        <v>95</v>
      </c>
      <c r="AM148" s="8">
        <v>1</v>
      </c>
      <c r="AN148" s="8">
        <v>16</v>
      </c>
    </row>
    <row r="149" spans="1:40" x14ac:dyDescent="0.25">
      <c r="A149" s="8" t="s">
        <v>209</v>
      </c>
      <c r="B149" s="9">
        <v>42033.680555555555</v>
      </c>
      <c r="C149" s="8">
        <v>0</v>
      </c>
      <c r="D149" s="9">
        <v>42034.09652777778</v>
      </c>
      <c r="E149" s="8" t="s">
        <v>93</v>
      </c>
      <c r="F149" s="8">
        <v>16</v>
      </c>
      <c r="G149" s="8" t="s">
        <v>94</v>
      </c>
      <c r="H149" s="8" t="s">
        <v>95</v>
      </c>
      <c r="I149" s="8">
        <v>1</v>
      </c>
      <c r="J149" s="8" t="s">
        <v>95</v>
      </c>
      <c r="K149" s="8">
        <v>1</v>
      </c>
      <c r="L149" s="8" t="s">
        <v>95</v>
      </c>
      <c r="M149" s="8">
        <v>1</v>
      </c>
      <c r="N149" s="8" t="s">
        <v>95</v>
      </c>
      <c r="O149" s="8">
        <v>1</v>
      </c>
      <c r="P149" s="8" t="s">
        <v>95</v>
      </c>
      <c r="Q149" s="8">
        <v>1</v>
      </c>
      <c r="R149" s="8" t="s">
        <v>95</v>
      </c>
      <c r="S149" s="8">
        <v>1</v>
      </c>
      <c r="T149" s="8" t="s">
        <v>95</v>
      </c>
      <c r="U149" s="8">
        <v>1</v>
      </c>
      <c r="V149" s="8" t="s">
        <v>95</v>
      </c>
      <c r="W149" s="8">
        <v>1</v>
      </c>
      <c r="X149" s="8" t="s">
        <v>95</v>
      </c>
      <c r="Y149" s="8">
        <v>1</v>
      </c>
      <c r="Z149" s="8" t="s">
        <v>95</v>
      </c>
      <c r="AA149" s="8">
        <v>1</v>
      </c>
      <c r="AB149" s="8" t="s">
        <v>95</v>
      </c>
      <c r="AC149" s="8">
        <v>1</v>
      </c>
      <c r="AD149" s="8" t="s">
        <v>95</v>
      </c>
      <c r="AE149" s="8">
        <v>1</v>
      </c>
      <c r="AF149" s="8" t="s">
        <v>95</v>
      </c>
      <c r="AG149" s="8">
        <v>1</v>
      </c>
      <c r="AH149" s="8" t="s">
        <v>95</v>
      </c>
      <c r="AI149" s="8">
        <v>1</v>
      </c>
      <c r="AJ149" s="8" t="s">
        <v>95</v>
      </c>
      <c r="AK149" s="8">
        <v>1</v>
      </c>
      <c r="AL149" s="8" t="s">
        <v>95</v>
      </c>
      <c r="AM149" s="8">
        <v>1</v>
      </c>
      <c r="AN149" s="8">
        <v>16</v>
      </c>
    </row>
    <row r="150" spans="1:40" x14ac:dyDescent="0.25">
      <c r="A150" s="8" t="s">
        <v>210</v>
      </c>
      <c r="B150" s="9">
        <v>42033.668749999997</v>
      </c>
      <c r="C150" s="8">
        <v>0</v>
      </c>
      <c r="D150" s="9">
        <v>42034.097222222219</v>
      </c>
      <c r="E150" s="8" t="s">
        <v>93</v>
      </c>
      <c r="F150" s="8">
        <v>8</v>
      </c>
      <c r="G150" s="8" t="s">
        <v>94</v>
      </c>
      <c r="H150" s="8" t="s">
        <v>94</v>
      </c>
      <c r="I150" s="8">
        <v>0</v>
      </c>
      <c r="J150" s="8" t="s">
        <v>94</v>
      </c>
      <c r="K150" s="8">
        <v>0</v>
      </c>
      <c r="L150" s="8" t="s">
        <v>94</v>
      </c>
      <c r="M150" s="8">
        <v>0</v>
      </c>
      <c r="N150" s="8" t="s">
        <v>94</v>
      </c>
      <c r="O150" s="8">
        <v>0</v>
      </c>
      <c r="P150" s="8" t="s">
        <v>95</v>
      </c>
      <c r="Q150" s="8">
        <v>1</v>
      </c>
      <c r="R150" s="8" t="s">
        <v>95</v>
      </c>
      <c r="S150" s="8">
        <v>1</v>
      </c>
      <c r="T150" s="8" t="s">
        <v>94</v>
      </c>
      <c r="U150" s="8">
        <v>0</v>
      </c>
      <c r="V150" s="8" t="s">
        <v>94</v>
      </c>
      <c r="W150" s="8">
        <v>0</v>
      </c>
      <c r="X150" s="8" t="s">
        <v>95</v>
      </c>
      <c r="Y150" s="8">
        <v>1</v>
      </c>
      <c r="Z150" s="8" t="s">
        <v>95</v>
      </c>
      <c r="AA150" s="8">
        <v>1</v>
      </c>
      <c r="AB150" s="8" t="s">
        <v>95</v>
      </c>
      <c r="AC150" s="8">
        <v>1</v>
      </c>
      <c r="AD150" s="8" t="s">
        <v>95</v>
      </c>
      <c r="AE150" s="8">
        <v>1</v>
      </c>
      <c r="AF150" s="8" t="s">
        <v>95</v>
      </c>
      <c r="AG150" s="8">
        <v>1</v>
      </c>
      <c r="AH150" s="8" t="s">
        <v>95</v>
      </c>
      <c r="AI150" s="8">
        <v>1</v>
      </c>
      <c r="AJ150" s="8" t="s">
        <v>94</v>
      </c>
      <c r="AK150" s="8">
        <v>0</v>
      </c>
      <c r="AL150" s="8" t="s">
        <v>94</v>
      </c>
      <c r="AM150" s="8">
        <v>0</v>
      </c>
      <c r="AN150" s="8">
        <v>8</v>
      </c>
    </row>
    <row r="151" spans="1:40" x14ac:dyDescent="0.25">
      <c r="A151" s="8" t="s">
        <v>211</v>
      </c>
      <c r="B151" s="9">
        <v>42033.681944444441</v>
      </c>
      <c r="C151" s="8">
        <v>0</v>
      </c>
      <c r="D151" s="9">
        <v>42034.1</v>
      </c>
      <c r="E151" s="8" t="s">
        <v>93</v>
      </c>
      <c r="F151" s="8">
        <v>9</v>
      </c>
      <c r="G151" s="8" t="s">
        <v>94</v>
      </c>
      <c r="H151" s="8" t="s">
        <v>95</v>
      </c>
      <c r="I151" s="8">
        <v>1</v>
      </c>
      <c r="J151" s="8" t="s">
        <v>95</v>
      </c>
      <c r="K151" s="8">
        <v>1</v>
      </c>
      <c r="L151" s="8" t="s">
        <v>95</v>
      </c>
      <c r="M151" s="8">
        <v>1</v>
      </c>
      <c r="N151" s="8" t="s">
        <v>94</v>
      </c>
      <c r="O151" s="8">
        <v>0</v>
      </c>
      <c r="P151" s="8" t="s">
        <v>95</v>
      </c>
      <c r="Q151" s="8">
        <v>1</v>
      </c>
      <c r="R151" s="8" t="s">
        <v>95</v>
      </c>
      <c r="S151" s="8">
        <v>1</v>
      </c>
      <c r="T151" s="8" t="s">
        <v>95</v>
      </c>
      <c r="U151" s="8">
        <v>1</v>
      </c>
      <c r="V151" s="8" t="s">
        <v>94</v>
      </c>
      <c r="W151" s="8">
        <v>0</v>
      </c>
      <c r="X151" s="8" t="s">
        <v>94</v>
      </c>
      <c r="Y151" s="8">
        <v>0</v>
      </c>
      <c r="Z151" s="8" t="s">
        <v>94</v>
      </c>
      <c r="AA151" s="8">
        <v>0</v>
      </c>
      <c r="AB151" s="8" t="s">
        <v>94</v>
      </c>
      <c r="AC151" s="8">
        <v>0</v>
      </c>
      <c r="AD151" s="8" t="s">
        <v>95</v>
      </c>
      <c r="AE151" s="8">
        <v>1</v>
      </c>
      <c r="AF151" s="8" t="s">
        <v>95</v>
      </c>
      <c r="AG151" s="8">
        <v>1</v>
      </c>
      <c r="AH151" s="8" t="s">
        <v>94</v>
      </c>
      <c r="AI151" s="8">
        <v>0</v>
      </c>
      <c r="AJ151" s="8" t="s">
        <v>95</v>
      </c>
      <c r="AK151" s="8">
        <v>1</v>
      </c>
      <c r="AL151" s="8" t="s">
        <v>94</v>
      </c>
      <c r="AM151" s="8">
        <v>0</v>
      </c>
      <c r="AN151" s="8">
        <v>9</v>
      </c>
    </row>
    <row r="152" spans="1:40" x14ac:dyDescent="0.25">
      <c r="A152" s="8" t="s">
        <v>212</v>
      </c>
      <c r="B152" s="9">
        <v>42033.654861111114</v>
      </c>
      <c r="C152" s="8">
        <v>0</v>
      </c>
      <c r="D152" s="9">
        <v>42034.104166666664</v>
      </c>
      <c r="E152" s="8" t="s">
        <v>93</v>
      </c>
      <c r="F152" s="8">
        <v>16</v>
      </c>
      <c r="G152" s="8" t="s">
        <v>94</v>
      </c>
      <c r="H152" s="8" t="s">
        <v>95</v>
      </c>
      <c r="I152" s="8">
        <v>1</v>
      </c>
      <c r="J152" s="8" t="s">
        <v>95</v>
      </c>
      <c r="K152" s="8">
        <v>1</v>
      </c>
      <c r="L152" s="8" t="s">
        <v>95</v>
      </c>
      <c r="M152" s="8">
        <v>1</v>
      </c>
      <c r="N152" s="8" t="s">
        <v>95</v>
      </c>
      <c r="O152" s="8">
        <v>1</v>
      </c>
      <c r="P152" s="8" t="s">
        <v>95</v>
      </c>
      <c r="Q152" s="8">
        <v>1</v>
      </c>
      <c r="R152" s="8" t="s">
        <v>95</v>
      </c>
      <c r="S152" s="8">
        <v>1</v>
      </c>
      <c r="T152" s="8" t="s">
        <v>95</v>
      </c>
      <c r="U152" s="8">
        <v>1</v>
      </c>
      <c r="V152" s="8" t="s">
        <v>95</v>
      </c>
      <c r="W152" s="8">
        <v>1</v>
      </c>
      <c r="X152" s="8" t="s">
        <v>95</v>
      </c>
      <c r="Y152" s="8">
        <v>1</v>
      </c>
      <c r="Z152" s="8" t="s">
        <v>95</v>
      </c>
      <c r="AA152" s="8">
        <v>1</v>
      </c>
      <c r="AB152" s="8" t="s">
        <v>95</v>
      </c>
      <c r="AC152" s="8">
        <v>1</v>
      </c>
      <c r="AD152" s="8" t="s">
        <v>95</v>
      </c>
      <c r="AE152" s="8">
        <v>1</v>
      </c>
      <c r="AF152" s="8" t="s">
        <v>95</v>
      </c>
      <c r="AG152" s="8">
        <v>1</v>
      </c>
      <c r="AH152" s="8" t="s">
        <v>95</v>
      </c>
      <c r="AI152" s="8">
        <v>1</v>
      </c>
      <c r="AJ152" s="8" t="s">
        <v>95</v>
      </c>
      <c r="AK152" s="8">
        <v>1</v>
      </c>
      <c r="AL152" s="8" t="s">
        <v>95</v>
      </c>
      <c r="AM152" s="8">
        <v>1</v>
      </c>
      <c r="AN152" s="8">
        <v>16</v>
      </c>
    </row>
    <row r="153" spans="1:40" x14ac:dyDescent="0.25">
      <c r="A153" s="8" t="s">
        <v>213</v>
      </c>
      <c r="B153" s="9">
        <v>42033.652777777781</v>
      </c>
      <c r="C153" s="8">
        <v>0</v>
      </c>
      <c r="D153" s="9">
        <v>42034.106944444444</v>
      </c>
      <c r="E153" s="8" t="s">
        <v>93</v>
      </c>
      <c r="F153" s="8">
        <v>16</v>
      </c>
      <c r="G153" s="8" t="s">
        <v>94</v>
      </c>
      <c r="H153" s="8" t="s">
        <v>95</v>
      </c>
      <c r="I153" s="8">
        <v>1</v>
      </c>
      <c r="J153" s="8" t="s">
        <v>95</v>
      </c>
      <c r="K153" s="8">
        <v>1</v>
      </c>
      <c r="L153" s="8" t="s">
        <v>95</v>
      </c>
      <c r="M153" s="8">
        <v>1</v>
      </c>
      <c r="N153" s="8" t="s">
        <v>95</v>
      </c>
      <c r="O153" s="8">
        <v>1</v>
      </c>
      <c r="P153" s="8" t="s">
        <v>95</v>
      </c>
      <c r="Q153" s="8">
        <v>1</v>
      </c>
      <c r="R153" s="8" t="s">
        <v>95</v>
      </c>
      <c r="S153" s="8">
        <v>1</v>
      </c>
      <c r="T153" s="8" t="s">
        <v>95</v>
      </c>
      <c r="U153" s="8">
        <v>1</v>
      </c>
      <c r="V153" s="8" t="s">
        <v>95</v>
      </c>
      <c r="W153" s="8">
        <v>1</v>
      </c>
      <c r="X153" s="8" t="s">
        <v>95</v>
      </c>
      <c r="Y153" s="8">
        <v>1</v>
      </c>
      <c r="Z153" s="8" t="s">
        <v>95</v>
      </c>
      <c r="AA153" s="8">
        <v>1</v>
      </c>
      <c r="AB153" s="8" t="s">
        <v>95</v>
      </c>
      <c r="AC153" s="8">
        <v>1</v>
      </c>
      <c r="AD153" s="8" t="s">
        <v>95</v>
      </c>
      <c r="AE153" s="8">
        <v>1</v>
      </c>
      <c r="AF153" s="8" t="s">
        <v>95</v>
      </c>
      <c r="AG153" s="8">
        <v>1</v>
      </c>
      <c r="AH153" s="8" t="s">
        <v>95</v>
      </c>
      <c r="AI153" s="8">
        <v>1</v>
      </c>
      <c r="AJ153" s="8" t="s">
        <v>95</v>
      </c>
      <c r="AK153" s="8">
        <v>1</v>
      </c>
      <c r="AL153" s="8" t="s">
        <v>95</v>
      </c>
      <c r="AM153" s="8">
        <v>1</v>
      </c>
      <c r="AN153" s="8">
        <v>16</v>
      </c>
    </row>
    <row r="154" spans="1:40" x14ac:dyDescent="0.25">
      <c r="A154" s="8" t="s">
        <v>214</v>
      </c>
      <c r="B154" s="9">
        <v>42033.677083333336</v>
      </c>
      <c r="C154" s="8">
        <v>0</v>
      </c>
      <c r="D154" s="9">
        <v>42034.10833333333</v>
      </c>
      <c r="E154" s="8" t="s">
        <v>93</v>
      </c>
      <c r="F154" s="8">
        <v>14</v>
      </c>
      <c r="G154" s="8" t="s">
        <v>94</v>
      </c>
      <c r="H154" s="8" t="s">
        <v>95</v>
      </c>
      <c r="I154" s="8">
        <v>1</v>
      </c>
      <c r="J154" s="8" t="s">
        <v>94</v>
      </c>
      <c r="K154" s="8">
        <v>0</v>
      </c>
      <c r="L154" s="8" t="s">
        <v>94</v>
      </c>
      <c r="M154" s="8">
        <v>0</v>
      </c>
      <c r="N154" s="8" t="s">
        <v>95</v>
      </c>
      <c r="O154" s="8">
        <v>1</v>
      </c>
      <c r="P154" s="8" t="s">
        <v>95</v>
      </c>
      <c r="Q154" s="8">
        <v>1</v>
      </c>
      <c r="R154" s="8" t="s">
        <v>95</v>
      </c>
      <c r="S154" s="8">
        <v>1</v>
      </c>
      <c r="T154" s="8" t="s">
        <v>95</v>
      </c>
      <c r="U154" s="8">
        <v>1</v>
      </c>
      <c r="V154" s="8" t="s">
        <v>95</v>
      </c>
      <c r="W154" s="8">
        <v>1</v>
      </c>
      <c r="X154" s="8" t="s">
        <v>95</v>
      </c>
      <c r="Y154" s="8">
        <v>1</v>
      </c>
      <c r="Z154" s="8" t="s">
        <v>95</v>
      </c>
      <c r="AA154" s="8">
        <v>1</v>
      </c>
      <c r="AB154" s="8" t="s">
        <v>95</v>
      </c>
      <c r="AC154" s="8">
        <v>1</v>
      </c>
      <c r="AD154" s="8" t="s">
        <v>95</v>
      </c>
      <c r="AE154" s="8">
        <v>1</v>
      </c>
      <c r="AF154" s="8" t="s">
        <v>95</v>
      </c>
      <c r="AG154" s="8">
        <v>1</v>
      </c>
      <c r="AH154" s="8" t="s">
        <v>95</v>
      </c>
      <c r="AI154" s="8">
        <v>1</v>
      </c>
      <c r="AJ154" s="8" t="s">
        <v>95</v>
      </c>
      <c r="AK154" s="8">
        <v>1</v>
      </c>
      <c r="AL154" s="8" t="s">
        <v>95</v>
      </c>
      <c r="AM154" s="8">
        <v>1</v>
      </c>
      <c r="AN154" s="8">
        <v>14</v>
      </c>
    </row>
    <row r="155" spans="1:40" x14ac:dyDescent="0.25">
      <c r="A155" s="8" t="s">
        <v>215</v>
      </c>
      <c r="B155" s="9">
        <v>42033.662499999999</v>
      </c>
      <c r="C155" s="8">
        <v>0</v>
      </c>
      <c r="D155" s="9">
        <v>42034.116666666669</v>
      </c>
      <c r="E155" s="8" t="s">
        <v>93</v>
      </c>
      <c r="F155" s="8">
        <v>6</v>
      </c>
      <c r="G155" s="8" t="s">
        <v>94</v>
      </c>
      <c r="H155" s="8" t="s">
        <v>94</v>
      </c>
      <c r="I155" s="8">
        <v>0</v>
      </c>
      <c r="J155" s="8" t="s">
        <v>94</v>
      </c>
      <c r="K155" s="8">
        <v>0</v>
      </c>
      <c r="L155" s="8" t="s">
        <v>95</v>
      </c>
      <c r="M155" s="8">
        <v>1</v>
      </c>
      <c r="N155" s="8" t="s">
        <v>94</v>
      </c>
      <c r="O155" s="8">
        <v>0</v>
      </c>
      <c r="P155" s="8" t="s">
        <v>94</v>
      </c>
      <c r="Q155" s="8">
        <v>0</v>
      </c>
      <c r="R155" s="8" t="s">
        <v>94</v>
      </c>
      <c r="S155" s="8">
        <v>0</v>
      </c>
      <c r="T155" s="8" t="s">
        <v>94</v>
      </c>
      <c r="U155" s="8">
        <v>0</v>
      </c>
      <c r="V155" s="8" t="s">
        <v>95</v>
      </c>
      <c r="W155" s="8">
        <v>1</v>
      </c>
      <c r="X155" s="8" t="s">
        <v>95</v>
      </c>
      <c r="Y155" s="8">
        <v>1</v>
      </c>
      <c r="Z155" s="8" t="s">
        <v>95</v>
      </c>
      <c r="AA155" s="8">
        <v>1</v>
      </c>
      <c r="AB155" s="8" t="s">
        <v>95</v>
      </c>
      <c r="AC155" s="8">
        <v>1</v>
      </c>
      <c r="AD155" s="8" t="s">
        <v>95</v>
      </c>
      <c r="AE155" s="8">
        <v>1</v>
      </c>
      <c r="AF155" s="8" t="s">
        <v>94</v>
      </c>
      <c r="AG155" s="8">
        <v>0</v>
      </c>
      <c r="AH155" s="8" t="s">
        <v>94</v>
      </c>
      <c r="AI155" s="8">
        <v>0</v>
      </c>
      <c r="AJ155" s="8" t="s">
        <v>94</v>
      </c>
      <c r="AK155" s="8">
        <v>0</v>
      </c>
      <c r="AL155" s="8" t="s">
        <v>94</v>
      </c>
      <c r="AM155" s="8">
        <v>0</v>
      </c>
      <c r="AN155" s="8">
        <v>6</v>
      </c>
    </row>
    <row r="156" spans="1:40" x14ac:dyDescent="0.25">
      <c r="A156" s="8" t="s">
        <v>216</v>
      </c>
      <c r="B156" s="9">
        <v>42033.665972222225</v>
      </c>
      <c r="C156" s="8">
        <v>0</v>
      </c>
      <c r="D156" s="9">
        <v>42034.138888888891</v>
      </c>
      <c r="E156" s="8" t="s">
        <v>93</v>
      </c>
      <c r="F156" s="8">
        <v>4</v>
      </c>
      <c r="G156" s="8" t="s">
        <v>94</v>
      </c>
      <c r="H156" s="8" t="s">
        <v>94</v>
      </c>
      <c r="I156" s="8">
        <v>0</v>
      </c>
      <c r="J156" s="8" t="s">
        <v>94</v>
      </c>
      <c r="K156" s="8">
        <v>0</v>
      </c>
      <c r="L156" s="8" t="s">
        <v>94</v>
      </c>
      <c r="M156" s="8">
        <v>0</v>
      </c>
      <c r="N156" s="8" t="s">
        <v>94</v>
      </c>
      <c r="O156" s="8">
        <v>0</v>
      </c>
      <c r="P156" s="8" t="s">
        <v>94</v>
      </c>
      <c r="Q156" s="8">
        <v>0</v>
      </c>
      <c r="R156" s="8" t="s">
        <v>95</v>
      </c>
      <c r="S156" s="8">
        <v>1</v>
      </c>
      <c r="T156" s="8" t="s">
        <v>94</v>
      </c>
      <c r="U156" s="8">
        <v>0</v>
      </c>
      <c r="V156" s="8" t="s">
        <v>95</v>
      </c>
      <c r="W156" s="8">
        <v>1</v>
      </c>
      <c r="X156" s="8" t="s">
        <v>94</v>
      </c>
      <c r="Y156" s="8">
        <v>0</v>
      </c>
      <c r="Z156" s="8" t="s">
        <v>94</v>
      </c>
      <c r="AA156" s="8">
        <v>0</v>
      </c>
      <c r="AB156" s="8" t="s">
        <v>94</v>
      </c>
      <c r="AC156" s="8">
        <v>0</v>
      </c>
      <c r="AD156" s="8" t="s">
        <v>94</v>
      </c>
      <c r="AE156" s="8">
        <v>0</v>
      </c>
      <c r="AF156" s="8" t="s">
        <v>94</v>
      </c>
      <c r="AG156" s="8">
        <v>0</v>
      </c>
      <c r="AH156" s="8" t="s">
        <v>95</v>
      </c>
      <c r="AI156" s="8">
        <v>1</v>
      </c>
      <c r="AJ156" s="8" t="s">
        <v>95</v>
      </c>
      <c r="AK156" s="8">
        <v>1</v>
      </c>
      <c r="AL156" s="8" t="s">
        <v>94</v>
      </c>
      <c r="AM156" s="8">
        <v>0</v>
      </c>
      <c r="AN156" s="8">
        <v>4</v>
      </c>
    </row>
    <row r="157" spans="1:40" x14ac:dyDescent="0.25">
      <c r="A157" s="8" t="s">
        <v>217</v>
      </c>
      <c r="B157" s="9">
        <v>42033.661805555559</v>
      </c>
      <c r="C157" s="8">
        <v>0</v>
      </c>
      <c r="D157" s="9">
        <v>42034.144444444442</v>
      </c>
      <c r="E157" s="8" t="s">
        <v>93</v>
      </c>
      <c r="F157" s="8">
        <v>13</v>
      </c>
      <c r="G157" s="8" t="s">
        <v>94</v>
      </c>
      <c r="H157" s="8" t="s">
        <v>95</v>
      </c>
      <c r="I157" s="8">
        <v>1</v>
      </c>
      <c r="J157" s="8" t="s">
        <v>95</v>
      </c>
      <c r="K157" s="8">
        <v>1</v>
      </c>
      <c r="L157" s="8" t="s">
        <v>95</v>
      </c>
      <c r="M157" s="8">
        <v>1</v>
      </c>
      <c r="N157" s="8" t="s">
        <v>95</v>
      </c>
      <c r="O157" s="8">
        <v>1</v>
      </c>
      <c r="P157" s="8" t="s">
        <v>95</v>
      </c>
      <c r="Q157" s="8">
        <v>1</v>
      </c>
      <c r="R157" s="8" t="s">
        <v>95</v>
      </c>
      <c r="S157" s="8">
        <v>1</v>
      </c>
      <c r="T157" s="8" t="s">
        <v>94</v>
      </c>
      <c r="U157" s="8">
        <v>0</v>
      </c>
      <c r="V157" s="8" t="s">
        <v>95</v>
      </c>
      <c r="W157" s="8">
        <v>1</v>
      </c>
      <c r="X157" s="8" t="s">
        <v>95</v>
      </c>
      <c r="Y157" s="8">
        <v>1</v>
      </c>
      <c r="Z157" s="8" t="s">
        <v>95</v>
      </c>
      <c r="AA157" s="8">
        <v>1</v>
      </c>
      <c r="AB157" s="8" t="s">
        <v>95</v>
      </c>
      <c r="AC157" s="8">
        <v>1</v>
      </c>
      <c r="AD157" s="8" t="s">
        <v>94</v>
      </c>
      <c r="AE157" s="8">
        <v>0</v>
      </c>
      <c r="AF157" s="8" t="s">
        <v>95</v>
      </c>
      <c r="AG157" s="8">
        <v>1</v>
      </c>
      <c r="AH157" s="8" t="s">
        <v>95</v>
      </c>
      <c r="AI157" s="8">
        <v>1</v>
      </c>
      <c r="AJ157" s="8" t="s">
        <v>95</v>
      </c>
      <c r="AK157" s="8">
        <v>1</v>
      </c>
      <c r="AL157" s="8" t="s">
        <v>94</v>
      </c>
      <c r="AM157" s="8">
        <v>0</v>
      </c>
      <c r="AN157" s="8">
        <v>13</v>
      </c>
    </row>
    <row r="158" spans="1:40" x14ac:dyDescent="0.25">
      <c r="A158" s="8" t="s">
        <v>218</v>
      </c>
      <c r="B158" s="9">
        <v>42033.650694444441</v>
      </c>
      <c r="C158" s="8">
        <v>0</v>
      </c>
      <c r="D158" s="9">
        <v>42034.150694444441</v>
      </c>
      <c r="E158" s="8" t="s">
        <v>93</v>
      </c>
      <c r="F158" s="8">
        <v>7</v>
      </c>
      <c r="G158" s="8" t="s">
        <v>94</v>
      </c>
      <c r="H158" s="8" t="s">
        <v>95</v>
      </c>
      <c r="I158" s="8">
        <v>1</v>
      </c>
      <c r="J158" s="8" t="s">
        <v>95</v>
      </c>
      <c r="K158" s="8">
        <v>1</v>
      </c>
      <c r="L158" s="8" t="s">
        <v>94</v>
      </c>
      <c r="M158" s="8">
        <v>0</v>
      </c>
      <c r="N158" s="8" t="s">
        <v>94</v>
      </c>
      <c r="O158" s="8">
        <v>0</v>
      </c>
      <c r="P158" s="8" t="s">
        <v>95</v>
      </c>
      <c r="Q158" s="8">
        <v>1</v>
      </c>
      <c r="R158" s="8" t="s">
        <v>95</v>
      </c>
      <c r="S158" s="8">
        <v>1</v>
      </c>
      <c r="T158" s="8" t="s">
        <v>94</v>
      </c>
      <c r="U158" s="8">
        <v>0</v>
      </c>
      <c r="V158" s="8" t="s">
        <v>94</v>
      </c>
      <c r="W158" s="8">
        <v>0</v>
      </c>
      <c r="X158" s="8" t="s">
        <v>94</v>
      </c>
      <c r="Y158" s="8">
        <v>0</v>
      </c>
      <c r="Z158" s="8" t="s">
        <v>94</v>
      </c>
      <c r="AA158" s="8">
        <v>0</v>
      </c>
      <c r="AB158" s="8" t="s">
        <v>94</v>
      </c>
      <c r="AC158" s="8">
        <v>0</v>
      </c>
      <c r="AD158" s="8" t="s">
        <v>95</v>
      </c>
      <c r="AE158" s="8">
        <v>1</v>
      </c>
      <c r="AF158" s="8" t="s">
        <v>95</v>
      </c>
      <c r="AG158" s="8">
        <v>1</v>
      </c>
      <c r="AH158" s="8" t="s">
        <v>94</v>
      </c>
      <c r="AI158" s="8">
        <v>0</v>
      </c>
      <c r="AJ158" s="8" t="s">
        <v>95</v>
      </c>
      <c r="AK158" s="8">
        <v>1</v>
      </c>
      <c r="AL158" s="8" t="s">
        <v>94</v>
      </c>
      <c r="AM158" s="8">
        <v>0</v>
      </c>
      <c r="AN158" s="8">
        <v>7</v>
      </c>
    </row>
    <row r="159" spans="1:40" x14ac:dyDescent="0.25">
      <c r="A159" s="8" t="s">
        <v>219</v>
      </c>
      <c r="B159" s="9">
        <v>42033.675000000003</v>
      </c>
      <c r="C159" s="8">
        <v>0</v>
      </c>
      <c r="D159" s="9">
        <v>42034.154166666667</v>
      </c>
      <c r="E159" s="8" t="s">
        <v>93</v>
      </c>
      <c r="F159" s="8">
        <v>16</v>
      </c>
      <c r="G159" s="8" t="s">
        <v>94</v>
      </c>
      <c r="H159" s="8" t="s">
        <v>95</v>
      </c>
      <c r="I159" s="8">
        <v>1</v>
      </c>
      <c r="J159" s="8" t="s">
        <v>95</v>
      </c>
      <c r="K159" s="8">
        <v>1</v>
      </c>
      <c r="L159" s="8" t="s">
        <v>95</v>
      </c>
      <c r="M159" s="8">
        <v>1</v>
      </c>
      <c r="N159" s="8" t="s">
        <v>95</v>
      </c>
      <c r="O159" s="8">
        <v>1</v>
      </c>
      <c r="P159" s="8" t="s">
        <v>95</v>
      </c>
      <c r="Q159" s="8">
        <v>1</v>
      </c>
      <c r="R159" s="8" t="s">
        <v>95</v>
      </c>
      <c r="S159" s="8">
        <v>1</v>
      </c>
      <c r="T159" s="8" t="s">
        <v>95</v>
      </c>
      <c r="U159" s="8">
        <v>1</v>
      </c>
      <c r="V159" s="8" t="s">
        <v>95</v>
      </c>
      <c r="W159" s="8">
        <v>1</v>
      </c>
      <c r="X159" s="8" t="s">
        <v>95</v>
      </c>
      <c r="Y159" s="8">
        <v>1</v>
      </c>
      <c r="Z159" s="8" t="s">
        <v>95</v>
      </c>
      <c r="AA159" s="8">
        <v>1</v>
      </c>
      <c r="AB159" s="8" t="s">
        <v>95</v>
      </c>
      <c r="AC159" s="8">
        <v>1</v>
      </c>
      <c r="AD159" s="8" t="s">
        <v>95</v>
      </c>
      <c r="AE159" s="8">
        <v>1</v>
      </c>
      <c r="AF159" s="8" t="s">
        <v>95</v>
      </c>
      <c r="AG159" s="8">
        <v>1</v>
      </c>
      <c r="AH159" s="8" t="s">
        <v>95</v>
      </c>
      <c r="AI159" s="8">
        <v>1</v>
      </c>
      <c r="AJ159" s="8" t="s">
        <v>95</v>
      </c>
      <c r="AK159" s="8">
        <v>1</v>
      </c>
      <c r="AL159" s="8" t="s">
        <v>95</v>
      </c>
      <c r="AM159" s="8">
        <v>1</v>
      </c>
      <c r="AN159" s="8">
        <v>16</v>
      </c>
    </row>
    <row r="160" spans="1:40" x14ac:dyDescent="0.25">
      <c r="A160" s="8" t="s">
        <v>220</v>
      </c>
      <c r="B160" s="9">
        <v>42033.668055555558</v>
      </c>
      <c r="C160" s="8">
        <v>0</v>
      </c>
      <c r="D160" s="9">
        <v>42034.163194444445</v>
      </c>
      <c r="E160" s="8" t="s">
        <v>93</v>
      </c>
      <c r="F160" s="8">
        <v>12</v>
      </c>
      <c r="G160" s="8" t="s">
        <v>94</v>
      </c>
      <c r="H160" s="8" t="s">
        <v>95</v>
      </c>
      <c r="I160" s="8">
        <v>1</v>
      </c>
      <c r="J160" s="8" t="s">
        <v>95</v>
      </c>
      <c r="K160" s="8">
        <v>1</v>
      </c>
      <c r="L160" s="8" t="s">
        <v>94</v>
      </c>
      <c r="M160" s="8">
        <v>0</v>
      </c>
      <c r="N160" s="8" t="s">
        <v>94</v>
      </c>
      <c r="O160" s="8">
        <v>0</v>
      </c>
      <c r="P160" s="8" t="s">
        <v>95</v>
      </c>
      <c r="Q160" s="8">
        <v>1</v>
      </c>
      <c r="R160" s="8" t="s">
        <v>95</v>
      </c>
      <c r="S160" s="8">
        <v>1</v>
      </c>
      <c r="T160" s="8" t="s">
        <v>94</v>
      </c>
      <c r="U160" s="8">
        <v>0</v>
      </c>
      <c r="V160" s="8" t="s">
        <v>95</v>
      </c>
      <c r="W160" s="8">
        <v>1</v>
      </c>
      <c r="X160" s="8" t="s">
        <v>95</v>
      </c>
      <c r="Y160" s="8">
        <v>1</v>
      </c>
      <c r="Z160" s="8" t="s">
        <v>95</v>
      </c>
      <c r="AA160" s="8">
        <v>1</v>
      </c>
      <c r="AB160" s="8" t="s">
        <v>95</v>
      </c>
      <c r="AC160" s="8">
        <v>1</v>
      </c>
      <c r="AD160" s="8" t="s">
        <v>95</v>
      </c>
      <c r="AE160" s="8">
        <v>1</v>
      </c>
      <c r="AF160" s="8" t="s">
        <v>95</v>
      </c>
      <c r="AG160" s="8">
        <v>1</v>
      </c>
      <c r="AH160" s="8" t="s">
        <v>95</v>
      </c>
      <c r="AI160" s="8">
        <v>1</v>
      </c>
      <c r="AJ160" s="8" t="s">
        <v>94</v>
      </c>
      <c r="AK160" s="8">
        <v>0</v>
      </c>
      <c r="AL160" s="8" t="s">
        <v>95</v>
      </c>
      <c r="AM160" s="8">
        <v>1</v>
      </c>
      <c r="AN160" s="8">
        <v>12</v>
      </c>
    </row>
    <row r="161" spans="1:40" x14ac:dyDescent="0.25">
      <c r="A161" s="8" t="s">
        <v>221</v>
      </c>
      <c r="B161" s="9">
        <v>42033.675000000003</v>
      </c>
      <c r="C161" s="8">
        <v>0</v>
      </c>
      <c r="D161" s="9">
        <v>42034.165972222225</v>
      </c>
      <c r="E161" s="8" t="s">
        <v>93</v>
      </c>
      <c r="F161" s="8">
        <v>16</v>
      </c>
      <c r="G161" s="8" t="s">
        <v>94</v>
      </c>
      <c r="H161" s="8" t="s">
        <v>95</v>
      </c>
      <c r="I161" s="8">
        <v>1</v>
      </c>
      <c r="J161" s="8" t="s">
        <v>95</v>
      </c>
      <c r="K161" s="8">
        <v>1</v>
      </c>
      <c r="L161" s="8" t="s">
        <v>95</v>
      </c>
      <c r="M161" s="8">
        <v>1</v>
      </c>
      <c r="N161" s="8" t="s">
        <v>95</v>
      </c>
      <c r="O161" s="8">
        <v>1</v>
      </c>
      <c r="P161" s="8" t="s">
        <v>95</v>
      </c>
      <c r="Q161" s="8">
        <v>1</v>
      </c>
      <c r="R161" s="8" t="s">
        <v>95</v>
      </c>
      <c r="S161" s="8">
        <v>1</v>
      </c>
      <c r="T161" s="8" t="s">
        <v>95</v>
      </c>
      <c r="U161" s="8">
        <v>1</v>
      </c>
      <c r="V161" s="8" t="s">
        <v>95</v>
      </c>
      <c r="W161" s="8">
        <v>1</v>
      </c>
      <c r="X161" s="8" t="s">
        <v>95</v>
      </c>
      <c r="Y161" s="8">
        <v>1</v>
      </c>
      <c r="Z161" s="8" t="s">
        <v>95</v>
      </c>
      <c r="AA161" s="8">
        <v>1</v>
      </c>
      <c r="AB161" s="8" t="s">
        <v>95</v>
      </c>
      <c r="AC161" s="8">
        <v>1</v>
      </c>
      <c r="AD161" s="8" t="s">
        <v>95</v>
      </c>
      <c r="AE161" s="8">
        <v>1</v>
      </c>
      <c r="AF161" s="8" t="s">
        <v>95</v>
      </c>
      <c r="AG161" s="8">
        <v>1</v>
      </c>
      <c r="AH161" s="8" t="s">
        <v>95</v>
      </c>
      <c r="AI161" s="8">
        <v>1</v>
      </c>
      <c r="AJ161" s="8" t="s">
        <v>95</v>
      </c>
      <c r="AK161" s="8">
        <v>1</v>
      </c>
      <c r="AL161" s="8" t="s">
        <v>95</v>
      </c>
      <c r="AM161" s="8">
        <v>1</v>
      </c>
      <c r="AN161" s="8">
        <v>16</v>
      </c>
    </row>
    <row r="162" spans="1:40" x14ac:dyDescent="0.25">
      <c r="A162" s="8" t="s">
        <v>222</v>
      </c>
      <c r="B162" s="9">
        <v>42033.682638888888</v>
      </c>
      <c r="C162" s="8">
        <v>0</v>
      </c>
      <c r="D162" s="9">
        <v>42034.168055555558</v>
      </c>
      <c r="E162" s="8" t="s">
        <v>93</v>
      </c>
      <c r="F162" s="8">
        <v>16</v>
      </c>
      <c r="G162" s="8" t="s">
        <v>94</v>
      </c>
      <c r="H162" s="8" t="s">
        <v>95</v>
      </c>
      <c r="I162" s="8">
        <v>1</v>
      </c>
      <c r="J162" s="8" t="s">
        <v>95</v>
      </c>
      <c r="K162" s="8">
        <v>1</v>
      </c>
      <c r="L162" s="8" t="s">
        <v>95</v>
      </c>
      <c r="M162" s="8">
        <v>1</v>
      </c>
      <c r="N162" s="8" t="s">
        <v>95</v>
      </c>
      <c r="O162" s="8">
        <v>1</v>
      </c>
      <c r="P162" s="8" t="s">
        <v>95</v>
      </c>
      <c r="Q162" s="8">
        <v>1</v>
      </c>
      <c r="R162" s="8" t="s">
        <v>95</v>
      </c>
      <c r="S162" s="8">
        <v>1</v>
      </c>
      <c r="T162" s="8" t="s">
        <v>95</v>
      </c>
      <c r="U162" s="8">
        <v>1</v>
      </c>
      <c r="V162" s="8" t="s">
        <v>95</v>
      </c>
      <c r="W162" s="8">
        <v>1</v>
      </c>
      <c r="X162" s="8" t="s">
        <v>95</v>
      </c>
      <c r="Y162" s="8">
        <v>1</v>
      </c>
      <c r="Z162" s="8" t="s">
        <v>95</v>
      </c>
      <c r="AA162" s="8">
        <v>1</v>
      </c>
      <c r="AB162" s="8" t="s">
        <v>95</v>
      </c>
      <c r="AC162" s="8">
        <v>1</v>
      </c>
      <c r="AD162" s="8" t="s">
        <v>95</v>
      </c>
      <c r="AE162" s="8">
        <v>1</v>
      </c>
      <c r="AF162" s="8" t="s">
        <v>95</v>
      </c>
      <c r="AG162" s="8">
        <v>1</v>
      </c>
      <c r="AH162" s="8" t="s">
        <v>95</v>
      </c>
      <c r="AI162" s="8">
        <v>1</v>
      </c>
      <c r="AJ162" s="8" t="s">
        <v>95</v>
      </c>
      <c r="AK162" s="8">
        <v>1</v>
      </c>
      <c r="AL162" s="8" t="s">
        <v>95</v>
      </c>
      <c r="AM162" s="8">
        <v>1</v>
      </c>
      <c r="AN162" s="8">
        <v>16</v>
      </c>
    </row>
    <row r="163" spans="1:40" x14ac:dyDescent="0.25">
      <c r="A163" s="8" t="s">
        <v>223</v>
      </c>
      <c r="B163" s="9">
        <v>42033.67083333333</v>
      </c>
      <c r="C163" s="8">
        <v>0</v>
      </c>
      <c r="D163" s="9">
        <v>42034.175000000003</v>
      </c>
      <c r="E163" s="8" t="s">
        <v>93</v>
      </c>
      <c r="F163" s="8">
        <v>16</v>
      </c>
      <c r="G163" s="8" t="s">
        <v>94</v>
      </c>
      <c r="H163" s="8" t="s">
        <v>95</v>
      </c>
      <c r="I163" s="8">
        <v>1</v>
      </c>
      <c r="J163" s="8" t="s">
        <v>95</v>
      </c>
      <c r="K163" s="8">
        <v>1</v>
      </c>
      <c r="L163" s="8" t="s">
        <v>95</v>
      </c>
      <c r="M163" s="8">
        <v>1</v>
      </c>
      <c r="N163" s="8" t="s">
        <v>95</v>
      </c>
      <c r="O163" s="8">
        <v>1</v>
      </c>
      <c r="P163" s="8" t="s">
        <v>95</v>
      </c>
      <c r="Q163" s="8">
        <v>1</v>
      </c>
      <c r="R163" s="8" t="s">
        <v>95</v>
      </c>
      <c r="S163" s="8">
        <v>1</v>
      </c>
      <c r="T163" s="8" t="s">
        <v>95</v>
      </c>
      <c r="U163" s="8">
        <v>1</v>
      </c>
      <c r="V163" s="8" t="s">
        <v>95</v>
      </c>
      <c r="W163" s="8">
        <v>1</v>
      </c>
      <c r="X163" s="8" t="s">
        <v>95</v>
      </c>
      <c r="Y163" s="8">
        <v>1</v>
      </c>
      <c r="Z163" s="8" t="s">
        <v>95</v>
      </c>
      <c r="AA163" s="8">
        <v>1</v>
      </c>
      <c r="AB163" s="8" t="s">
        <v>95</v>
      </c>
      <c r="AC163" s="8">
        <v>1</v>
      </c>
      <c r="AD163" s="8" t="s">
        <v>95</v>
      </c>
      <c r="AE163" s="8">
        <v>1</v>
      </c>
      <c r="AF163" s="8" t="s">
        <v>95</v>
      </c>
      <c r="AG163" s="8">
        <v>1</v>
      </c>
      <c r="AH163" s="8" t="s">
        <v>95</v>
      </c>
      <c r="AI163" s="8">
        <v>1</v>
      </c>
      <c r="AJ163" s="8" t="s">
        <v>95</v>
      </c>
      <c r="AK163" s="8">
        <v>1</v>
      </c>
      <c r="AL163" s="8" t="s">
        <v>95</v>
      </c>
      <c r="AM163" s="8">
        <v>1</v>
      </c>
      <c r="AN163" s="8">
        <v>16</v>
      </c>
    </row>
    <row r="164" spans="1:40" x14ac:dyDescent="0.25">
      <c r="A164" s="8" t="s">
        <v>224</v>
      </c>
      <c r="B164" s="9">
        <v>42033.655555555553</v>
      </c>
      <c r="C164" s="8">
        <v>0</v>
      </c>
      <c r="D164" s="9">
        <v>42034.175694444442</v>
      </c>
      <c r="E164" s="8" t="s">
        <v>93</v>
      </c>
      <c r="F164" s="8">
        <v>16</v>
      </c>
      <c r="G164" s="8" t="s">
        <v>94</v>
      </c>
      <c r="H164" s="8" t="s">
        <v>95</v>
      </c>
      <c r="I164" s="8">
        <v>1</v>
      </c>
      <c r="J164" s="8" t="s">
        <v>95</v>
      </c>
      <c r="K164" s="8">
        <v>1</v>
      </c>
      <c r="L164" s="8" t="s">
        <v>95</v>
      </c>
      <c r="M164" s="8">
        <v>1</v>
      </c>
      <c r="N164" s="8" t="s">
        <v>95</v>
      </c>
      <c r="O164" s="8">
        <v>1</v>
      </c>
      <c r="P164" s="8" t="s">
        <v>95</v>
      </c>
      <c r="Q164" s="8">
        <v>1</v>
      </c>
      <c r="R164" s="8" t="s">
        <v>95</v>
      </c>
      <c r="S164" s="8">
        <v>1</v>
      </c>
      <c r="T164" s="8" t="s">
        <v>95</v>
      </c>
      <c r="U164" s="8">
        <v>1</v>
      </c>
      <c r="V164" s="8" t="s">
        <v>95</v>
      </c>
      <c r="W164" s="8">
        <v>1</v>
      </c>
      <c r="X164" s="8" t="s">
        <v>95</v>
      </c>
      <c r="Y164" s="8">
        <v>1</v>
      </c>
      <c r="Z164" s="8" t="s">
        <v>95</v>
      </c>
      <c r="AA164" s="8">
        <v>1</v>
      </c>
      <c r="AB164" s="8" t="s">
        <v>95</v>
      </c>
      <c r="AC164" s="8">
        <v>1</v>
      </c>
      <c r="AD164" s="8" t="s">
        <v>95</v>
      </c>
      <c r="AE164" s="8">
        <v>1</v>
      </c>
      <c r="AF164" s="8" t="s">
        <v>95</v>
      </c>
      <c r="AG164" s="8">
        <v>1</v>
      </c>
      <c r="AH164" s="8" t="s">
        <v>95</v>
      </c>
      <c r="AI164" s="8">
        <v>1</v>
      </c>
      <c r="AJ164" s="8" t="s">
        <v>95</v>
      </c>
      <c r="AK164" s="8">
        <v>1</v>
      </c>
      <c r="AL164" s="8" t="s">
        <v>95</v>
      </c>
      <c r="AM164" s="8">
        <v>1</v>
      </c>
      <c r="AN164" s="8">
        <v>16</v>
      </c>
    </row>
    <row r="165" spans="1:40" x14ac:dyDescent="0.25">
      <c r="A165" s="8" t="s">
        <v>225</v>
      </c>
      <c r="B165" s="9">
        <v>42033.655555555553</v>
      </c>
      <c r="C165" s="8">
        <v>0</v>
      </c>
      <c r="D165" s="9">
        <v>42034.177777777775</v>
      </c>
      <c r="E165" s="8" t="s">
        <v>93</v>
      </c>
      <c r="F165" s="8">
        <v>16</v>
      </c>
      <c r="G165" s="8" t="s">
        <v>94</v>
      </c>
      <c r="H165" s="8" t="s">
        <v>95</v>
      </c>
      <c r="I165" s="8">
        <v>1</v>
      </c>
      <c r="J165" s="8" t="s">
        <v>95</v>
      </c>
      <c r="K165" s="8">
        <v>1</v>
      </c>
      <c r="L165" s="8" t="s">
        <v>95</v>
      </c>
      <c r="M165" s="8">
        <v>1</v>
      </c>
      <c r="N165" s="8" t="s">
        <v>95</v>
      </c>
      <c r="O165" s="8">
        <v>1</v>
      </c>
      <c r="P165" s="8" t="s">
        <v>95</v>
      </c>
      <c r="Q165" s="8">
        <v>1</v>
      </c>
      <c r="R165" s="8" t="s">
        <v>95</v>
      </c>
      <c r="S165" s="8">
        <v>1</v>
      </c>
      <c r="T165" s="8" t="s">
        <v>95</v>
      </c>
      <c r="U165" s="8">
        <v>1</v>
      </c>
      <c r="V165" s="8" t="s">
        <v>95</v>
      </c>
      <c r="W165" s="8">
        <v>1</v>
      </c>
      <c r="X165" s="8" t="s">
        <v>95</v>
      </c>
      <c r="Y165" s="8">
        <v>1</v>
      </c>
      <c r="Z165" s="8" t="s">
        <v>95</v>
      </c>
      <c r="AA165" s="8">
        <v>1</v>
      </c>
      <c r="AB165" s="8" t="s">
        <v>95</v>
      </c>
      <c r="AC165" s="8">
        <v>1</v>
      </c>
      <c r="AD165" s="8" t="s">
        <v>95</v>
      </c>
      <c r="AE165" s="8">
        <v>1</v>
      </c>
      <c r="AF165" s="8" t="s">
        <v>95</v>
      </c>
      <c r="AG165" s="8">
        <v>1</v>
      </c>
      <c r="AH165" s="8" t="s">
        <v>95</v>
      </c>
      <c r="AI165" s="8">
        <v>1</v>
      </c>
      <c r="AJ165" s="8" t="s">
        <v>95</v>
      </c>
      <c r="AK165" s="8">
        <v>1</v>
      </c>
      <c r="AL165" s="8" t="s">
        <v>95</v>
      </c>
      <c r="AM165" s="8">
        <v>1</v>
      </c>
      <c r="AN165" s="8">
        <v>16</v>
      </c>
    </row>
    <row r="166" spans="1:40" x14ac:dyDescent="0.25">
      <c r="A166" s="8" t="s">
        <v>226</v>
      </c>
      <c r="B166" s="9">
        <v>42033.669444444444</v>
      </c>
      <c r="C166" s="8">
        <v>0</v>
      </c>
      <c r="D166" s="9">
        <v>42034.177777777775</v>
      </c>
      <c r="E166" s="8" t="s">
        <v>93</v>
      </c>
      <c r="F166" s="8">
        <v>16</v>
      </c>
      <c r="G166" s="8" t="s">
        <v>94</v>
      </c>
      <c r="H166" s="8" t="s">
        <v>95</v>
      </c>
      <c r="I166" s="8">
        <v>1</v>
      </c>
      <c r="J166" s="8" t="s">
        <v>95</v>
      </c>
      <c r="K166" s="8">
        <v>1</v>
      </c>
      <c r="L166" s="8" t="s">
        <v>95</v>
      </c>
      <c r="M166" s="8">
        <v>1</v>
      </c>
      <c r="N166" s="8" t="s">
        <v>95</v>
      </c>
      <c r="O166" s="8">
        <v>1</v>
      </c>
      <c r="P166" s="8" t="s">
        <v>95</v>
      </c>
      <c r="Q166" s="8">
        <v>1</v>
      </c>
      <c r="R166" s="8" t="s">
        <v>95</v>
      </c>
      <c r="S166" s="8">
        <v>1</v>
      </c>
      <c r="T166" s="8" t="s">
        <v>95</v>
      </c>
      <c r="U166" s="8">
        <v>1</v>
      </c>
      <c r="V166" s="8" t="s">
        <v>95</v>
      </c>
      <c r="W166" s="8">
        <v>1</v>
      </c>
      <c r="X166" s="8" t="s">
        <v>95</v>
      </c>
      <c r="Y166" s="8">
        <v>1</v>
      </c>
      <c r="Z166" s="8" t="s">
        <v>95</v>
      </c>
      <c r="AA166" s="8">
        <v>1</v>
      </c>
      <c r="AB166" s="8" t="s">
        <v>95</v>
      </c>
      <c r="AC166" s="8">
        <v>1</v>
      </c>
      <c r="AD166" s="8" t="s">
        <v>95</v>
      </c>
      <c r="AE166" s="8">
        <v>1</v>
      </c>
      <c r="AF166" s="8" t="s">
        <v>95</v>
      </c>
      <c r="AG166" s="8">
        <v>1</v>
      </c>
      <c r="AH166" s="8" t="s">
        <v>95</v>
      </c>
      <c r="AI166" s="8">
        <v>1</v>
      </c>
      <c r="AJ166" s="8" t="s">
        <v>95</v>
      </c>
      <c r="AK166" s="8">
        <v>1</v>
      </c>
      <c r="AL166" s="8" t="s">
        <v>95</v>
      </c>
      <c r="AM166" s="8">
        <v>1</v>
      </c>
      <c r="AN166" s="8">
        <v>16</v>
      </c>
    </row>
    <row r="167" spans="1:40" x14ac:dyDescent="0.25">
      <c r="A167" s="8" t="s">
        <v>227</v>
      </c>
      <c r="B167" s="9">
        <v>42033.665277777778</v>
      </c>
      <c r="C167" s="8">
        <v>0</v>
      </c>
      <c r="D167" s="9">
        <v>42034.178472222222</v>
      </c>
      <c r="E167" s="8" t="s">
        <v>93</v>
      </c>
      <c r="F167" s="8">
        <v>11</v>
      </c>
      <c r="G167" s="8" t="s">
        <v>94</v>
      </c>
      <c r="H167" s="8" t="s">
        <v>95</v>
      </c>
      <c r="I167" s="8">
        <v>1</v>
      </c>
      <c r="J167" s="8" t="s">
        <v>94</v>
      </c>
      <c r="K167" s="8">
        <v>0</v>
      </c>
      <c r="L167" s="8" t="s">
        <v>95</v>
      </c>
      <c r="M167" s="8">
        <v>1</v>
      </c>
      <c r="N167" s="8" t="s">
        <v>95</v>
      </c>
      <c r="O167" s="8">
        <v>1</v>
      </c>
      <c r="P167" s="8" t="s">
        <v>95</v>
      </c>
      <c r="Q167" s="8">
        <v>1</v>
      </c>
      <c r="R167" s="8" t="s">
        <v>94</v>
      </c>
      <c r="S167" s="8">
        <v>0</v>
      </c>
      <c r="T167" s="8" t="s">
        <v>94</v>
      </c>
      <c r="U167" s="8">
        <v>0</v>
      </c>
      <c r="V167" s="8" t="s">
        <v>95</v>
      </c>
      <c r="W167" s="8">
        <v>1</v>
      </c>
      <c r="X167" s="8" t="s">
        <v>95</v>
      </c>
      <c r="Y167" s="8">
        <v>1</v>
      </c>
      <c r="Z167" s="8" t="s">
        <v>95</v>
      </c>
      <c r="AA167" s="8">
        <v>1</v>
      </c>
      <c r="AB167" s="8" t="s">
        <v>95</v>
      </c>
      <c r="AC167" s="8">
        <v>1</v>
      </c>
      <c r="AD167" s="8" t="s">
        <v>94</v>
      </c>
      <c r="AE167" s="8">
        <v>0</v>
      </c>
      <c r="AF167" s="8" t="s">
        <v>94</v>
      </c>
      <c r="AG167" s="8">
        <v>0</v>
      </c>
      <c r="AH167" s="8" t="s">
        <v>95</v>
      </c>
      <c r="AI167" s="8">
        <v>1</v>
      </c>
      <c r="AJ167" s="8" t="s">
        <v>95</v>
      </c>
      <c r="AK167" s="8">
        <v>1</v>
      </c>
      <c r="AL167" s="8" t="s">
        <v>95</v>
      </c>
      <c r="AM167" s="8">
        <v>1</v>
      </c>
      <c r="AN167" s="8">
        <v>11</v>
      </c>
    </row>
    <row r="168" spans="1:40" x14ac:dyDescent="0.25">
      <c r="A168" s="8" t="s">
        <v>228</v>
      </c>
      <c r="B168" s="9">
        <v>42033.674305555556</v>
      </c>
      <c r="C168" s="8">
        <v>0</v>
      </c>
      <c r="D168" s="9">
        <v>42034.188888888886</v>
      </c>
      <c r="E168" s="8" t="s">
        <v>93</v>
      </c>
      <c r="F168" s="8">
        <v>9</v>
      </c>
      <c r="G168" s="8" t="s">
        <v>94</v>
      </c>
      <c r="H168" s="8" t="s">
        <v>94</v>
      </c>
      <c r="I168" s="8">
        <v>0</v>
      </c>
      <c r="J168" s="8" t="s">
        <v>94</v>
      </c>
      <c r="K168" s="8">
        <v>0</v>
      </c>
      <c r="L168" s="8" t="s">
        <v>94</v>
      </c>
      <c r="M168" s="8">
        <v>0</v>
      </c>
      <c r="N168" s="8" t="s">
        <v>94</v>
      </c>
      <c r="O168" s="8">
        <v>0</v>
      </c>
      <c r="P168" s="8" t="s">
        <v>95</v>
      </c>
      <c r="Q168" s="8">
        <v>1</v>
      </c>
      <c r="R168" s="8" t="s">
        <v>95</v>
      </c>
      <c r="S168" s="8">
        <v>1</v>
      </c>
      <c r="T168" s="8" t="s">
        <v>94</v>
      </c>
      <c r="U168" s="8">
        <v>0</v>
      </c>
      <c r="V168" s="8" t="s">
        <v>95</v>
      </c>
      <c r="W168" s="8">
        <v>1</v>
      </c>
      <c r="X168" s="8" t="s">
        <v>95</v>
      </c>
      <c r="Y168" s="8">
        <v>1</v>
      </c>
      <c r="Z168" s="8" t="s">
        <v>95</v>
      </c>
      <c r="AA168" s="8">
        <v>1</v>
      </c>
      <c r="AB168" s="8" t="s">
        <v>95</v>
      </c>
      <c r="AC168" s="8">
        <v>1</v>
      </c>
      <c r="AD168" s="8" t="s">
        <v>94</v>
      </c>
      <c r="AE168" s="8">
        <v>0</v>
      </c>
      <c r="AF168" s="8" t="s">
        <v>95</v>
      </c>
      <c r="AG168" s="8">
        <v>1</v>
      </c>
      <c r="AH168" s="8" t="s">
        <v>94</v>
      </c>
      <c r="AI168" s="8">
        <v>0</v>
      </c>
      <c r="AJ168" s="8" t="s">
        <v>95</v>
      </c>
      <c r="AK168" s="8">
        <v>1</v>
      </c>
      <c r="AL168" s="8" t="s">
        <v>95</v>
      </c>
      <c r="AM168" s="8">
        <v>1</v>
      </c>
      <c r="AN168" s="8">
        <v>9</v>
      </c>
    </row>
    <row r="169" spans="1:40" x14ac:dyDescent="0.25">
      <c r="A169" s="8" t="s">
        <v>229</v>
      </c>
      <c r="B169" s="9">
        <v>42033.673611111109</v>
      </c>
      <c r="C169" s="8">
        <v>0</v>
      </c>
      <c r="D169" s="9">
        <v>42034.19027777778</v>
      </c>
      <c r="E169" s="8" t="s">
        <v>93</v>
      </c>
      <c r="F169" s="8">
        <v>10</v>
      </c>
      <c r="G169" s="8" t="s">
        <v>94</v>
      </c>
      <c r="H169" s="8" t="s">
        <v>95</v>
      </c>
      <c r="I169" s="8">
        <v>1</v>
      </c>
      <c r="J169" s="8" t="s">
        <v>95</v>
      </c>
      <c r="K169" s="8">
        <v>1</v>
      </c>
      <c r="L169" s="8" t="s">
        <v>94</v>
      </c>
      <c r="M169" s="8">
        <v>0</v>
      </c>
      <c r="N169" s="8" t="s">
        <v>95</v>
      </c>
      <c r="O169" s="8">
        <v>1</v>
      </c>
      <c r="P169" s="8" t="s">
        <v>94</v>
      </c>
      <c r="Q169" s="8">
        <v>0</v>
      </c>
      <c r="R169" s="8" t="s">
        <v>95</v>
      </c>
      <c r="S169" s="8">
        <v>1</v>
      </c>
      <c r="T169" s="8" t="s">
        <v>94</v>
      </c>
      <c r="U169" s="8">
        <v>0</v>
      </c>
      <c r="V169" s="8" t="s">
        <v>94</v>
      </c>
      <c r="W169" s="8">
        <v>0</v>
      </c>
      <c r="X169" s="8" t="s">
        <v>95</v>
      </c>
      <c r="Y169" s="8">
        <v>1</v>
      </c>
      <c r="Z169" s="8" t="s">
        <v>94</v>
      </c>
      <c r="AA169" s="8">
        <v>0</v>
      </c>
      <c r="AB169" s="8" t="s">
        <v>94</v>
      </c>
      <c r="AC169" s="8">
        <v>0</v>
      </c>
      <c r="AD169" s="8" t="s">
        <v>95</v>
      </c>
      <c r="AE169" s="8">
        <v>1</v>
      </c>
      <c r="AF169" s="8" t="s">
        <v>95</v>
      </c>
      <c r="AG169" s="8">
        <v>1</v>
      </c>
      <c r="AH169" s="8" t="s">
        <v>95</v>
      </c>
      <c r="AI169" s="8">
        <v>1</v>
      </c>
      <c r="AJ169" s="8" t="s">
        <v>95</v>
      </c>
      <c r="AK169" s="8">
        <v>1</v>
      </c>
      <c r="AL169" s="8" t="s">
        <v>95</v>
      </c>
      <c r="AM169" s="8">
        <v>1</v>
      </c>
      <c r="AN169" s="8">
        <v>10</v>
      </c>
    </row>
    <row r="170" spans="1:40" x14ac:dyDescent="0.25">
      <c r="A170" s="8" t="s">
        <v>230</v>
      </c>
      <c r="B170" s="9">
        <v>42033.678472222222</v>
      </c>
      <c r="C170" s="8">
        <v>0</v>
      </c>
      <c r="D170" s="9">
        <v>42034.192361111112</v>
      </c>
      <c r="E170" s="8" t="s">
        <v>93</v>
      </c>
      <c r="F170" s="8">
        <v>16</v>
      </c>
      <c r="G170" s="8" t="s">
        <v>94</v>
      </c>
      <c r="H170" s="8" t="s">
        <v>95</v>
      </c>
      <c r="I170" s="8">
        <v>1</v>
      </c>
      <c r="J170" s="8" t="s">
        <v>95</v>
      </c>
      <c r="K170" s="8">
        <v>1</v>
      </c>
      <c r="L170" s="8" t="s">
        <v>95</v>
      </c>
      <c r="M170" s="8">
        <v>1</v>
      </c>
      <c r="N170" s="8" t="s">
        <v>95</v>
      </c>
      <c r="O170" s="8">
        <v>1</v>
      </c>
      <c r="P170" s="8" t="s">
        <v>95</v>
      </c>
      <c r="Q170" s="8">
        <v>1</v>
      </c>
      <c r="R170" s="8" t="s">
        <v>95</v>
      </c>
      <c r="S170" s="8">
        <v>1</v>
      </c>
      <c r="T170" s="8" t="s">
        <v>95</v>
      </c>
      <c r="U170" s="8">
        <v>1</v>
      </c>
      <c r="V170" s="8" t="s">
        <v>95</v>
      </c>
      <c r="W170" s="8">
        <v>1</v>
      </c>
      <c r="X170" s="8" t="s">
        <v>95</v>
      </c>
      <c r="Y170" s="8">
        <v>1</v>
      </c>
      <c r="Z170" s="8" t="s">
        <v>95</v>
      </c>
      <c r="AA170" s="8">
        <v>1</v>
      </c>
      <c r="AB170" s="8" t="s">
        <v>95</v>
      </c>
      <c r="AC170" s="8">
        <v>1</v>
      </c>
      <c r="AD170" s="8" t="s">
        <v>95</v>
      </c>
      <c r="AE170" s="8">
        <v>1</v>
      </c>
      <c r="AF170" s="8" t="s">
        <v>95</v>
      </c>
      <c r="AG170" s="8">
        <v>1</v>
      </c>
      <c r="AH170" s="8" t="s">
        <v>95</v>
      </c>
      <c r="AI170" s="8">
        <v>1</v>
      </c>
      <c r="AJ170" s="8" t="s">
        <v>95</v>
      </c>
      <c r="AK170" s="8">
        <v>1</v>
      </c>
      <c r="AL170" s="8" t="s">
        <v>95</v>
      </c>
      <c r="AM170" s="8">
        <v>1</v>
      </c>
      <c r="AN170" s="8">
        <v>16</v>
      </c>
    </row>
    <row r="171" spans="1:40" x14ac:dyDescent="0.25">
      <c r="A171" s="8" t="s">
        <v>231</v>
      </c>
      <c r="B171" s="9">
        <v>42033.675000000003</v>
      </c>
      <c r="C171" s="8">
        <v>0</v>
      </c>
      <c r="D171" s="9">
        <v>42034.193749999999</v>
      </c>
      <c r="E171" s="8" t="s">
        <v>93</v>
      </c>
      <c r="F171" s="8">
        <v>8</v>
      </c>
      <c r="G171" s="8" t="s">
        <v>94</v>
      </c>
      <c r="H171" s="8" t="s">
        <v>94</v>
      </c>
      <c r="I171" s="8">
        <v>0</v>
      </c>
      <c r="J171" s="8" t="s">
        <v>94</v>
      </c>
      <c r="K171" s="8">
        <v>0</v>
      </c>
      <c r="L171" s="8" t="s">
        <v>94</v>
      </c>
      <c r="M171" s="8">
        <v>0</v>
      </c>
      <c r="N171" s="8" t="s">
        <v>94</v>
      </c>
      <c r="O171" s="8">
        <v>0</v>
      </c>
      <c r="P171" s="8" t="s">
        <v>95</v>
      </c>
      <c r="Q171" s="8">
        <v>1</v>
      </c>
      <c r="R171" s="8" t="s">
        <v>95</v>
      </c>
      <c r="S171" s="8">
        <v>1</v>
      </c>
      <c r="T171" s="8" t="s">
        <v>94</v>
      </c>
      <c r="U171" s="8">
        <v>0</v>
      </c>
      <c r="V171" s="8" t="s">
        <v>95</v>
      </c>
      <c r="W171" s="8">
        <v>1</v>
      </c>
      <c r="X171" s="8" t="s">
        <v>94</v>
      </c>
      <c r="Y171" s="8">
        <v>0</v>
      </c>
      <c r="Z171" s="8" t="s">
        <v>95</v>
      </c>
      <c r="AA171" s="8">
        <v>1</v>
      </c>
      <c r="AB171" s="8" t="s">
        <v>95</v>
      </c>
      <c r="AC171" s="8">
        <v>1</v>
      </c>
      <c r="AD171" s="8" t="s">
        <v>95</v>
      </c>
      <c r="AE171" s="8">
        <v>1</v>
      </c>
      <c r="AF171" s="8" t="s">
        <v>94</v>
      </c>
      <c r="AG171" s="8">
        <v>0</v>
      </c>
      <c r="AH171" s="8" t="s">
        <v>95</v>
      </c>
      <c r="AI171" s="8">
        <v>1</v>
      </c>
      <c r="AJ171" s="8" t="s">
        <v>95</v>
      </c>
      <c r="AK171" s="8">
        <v>1</v>
      </c>
      <c r="AL171" s="8" t="s">
        <v>94</v>
      </c>
      <c r="AM171" s="8">
        <v>0</v>
      </c>
      <c r="AN171" s="8">
        <v>8</v>
      </c>
    </row>
    <row r="172" spans="1:40" x14ac:dyDescent="0.25">
      <c r="A172" s="8" t="s">
        <v>232</v>
      </c>
      <c r="B172" s="9">
        <v>42033.669444444444</v>
      </c>
      <c r="C172" s="8">
        <v>0</v>
      </c>
      <c r="D172" s="9">
        <v>42034.196527777778</v>
      </c>
      <c r="E172" s="8" t="s">
        <v>93</v>
      </c>
      <c r="F172" s="8">
        <v>9</v>
      </c>
      <c r="G172" s="8" t="s">
        <v>94</v>
      </c>
      <c r="H172" s="8" t="s">
        <v>95</v>
      </c>
      <c r="I172" s="8">
        <v>1</v>
      </c>
      <c r="J172" s="8" t="s">
        <v>95</v>
      </c>
      <c r="K172" s="8">
        <v>1</v>
      </c>
      <c r="L172" s="8" t="s">
        <v>95</v>
      </c>
      <c r="M172" s="8">
        <v>1</v>
      </c>
      <c r="N172" s="8" t="s">
        <v>94</v>
      </c>
      <c r="O172" s="8">
        <v>0</v>
      </c>
      <c r="P172" s="8" t="s">
        <v>95</v>
      </c>
      <c r="Q172" s="8">
        <v>1</v>
      </c>
      <c r="R172" s="8" t="s">
        <v>95</v>
      </c>
      <c r="S172" s="8">
        <v>1</v>
      </c>
      <c r="T172" s="8" t="s">
        <v>94</v>
      </c>
      <c r="U172" s="8">
        <v>0</v>
      </c>
      <c r="V172" s="8" t="s">
        <v>94</v>
      </c>
      <c r="W172" s="8">
        <v>0</v>
      </c>
      <c r="X172" s="8" t="s">
        <v>95</v>
      </c>
      <c r="Y172" s="8">
        <v>1</v>
      </c>
      <c r="Z172" s="8" t="s">
        <v>94</v>
      </c>
      <c r="AA172" s="8">
        <v>0</v>
      </c>
      <c r="AB172" s="8" t="s">
        <v>94</v>
      </c>
      <c r="AC172" s="8">
        <v>0</v>
      </c>
      <c r="AD172" s="8" t="s">
        <v>95</v>
      </c>
      <c r="AE172" s="8">
        <v>1</v>
      </c>
      <c r="AF172" s="8" t="s">
        <v>95</v>
      </c>
      <c r="AG172" s="8">
        <v>1</v>
      </c>
      <c r="AH172" s="8" t="s">
        <v>94</v>
      </c>
      <c r="AI172" s="8">
        <v>0</v>
      </c>
      <c r="AJ172" s="8" t="s">
        <v>95</v>
      </c>
      <c r="AK172" s="8">
        <v>1</v>
      </c>
      <c r="AL172" s="8" t="s">
        <v>94</v>
      </c>
      <c r="AM172" s="8">
        <v>0</v>
      </c>
      <c r="AN172" s="8">
        <v>9</v>
      </c>
    </row>
    <row r="173" spans="1:40" x14ac:dyDescent="0.25">
      <c r="A173" s="8" t="s">
        <v>233</v>
      </c>
      <c r="B173" s="9">
        <v>42033.665277777778</v>
      </c>
      <c r="C173" s="8">
        <v>0</v>
      </c>
      <c r="D173" s="9">
        <v>42034.199305555558</v>
      </c>
      <c r="E173" s="8" t="s">
        <v>93</v>
      </c>
      <c r="F173" s="8">
        <v>12</v>
      </c>
      <c r="G173" s="8" t="s">
        <v>94</v>
      </c>
      <c r="H173" s="8" t="s">
        <v>95</v>
      </c>
      <c r="I173" s="8">
        <v>1</v>
      </c>
      <c r="J173" s="8" t="s">
        <v>95</v>
      </c>
      <c r="K173" s="8">
        <v>1</v>
      </c>
      <c r="L173" s="8" t="s">
        <v>95</v>
      </c>
      <c r="M173" s="8">
        <v>1</v>
      </c>
      <c r="N173" s="8" t="s">
        <v>95</v>
      </c>
      <c r="O173" s="8">
        <v>1</v>
      </c>
      <c r="P173" s="8" t="s">
        <v>95</v>
      </c>
      <c r="Q173" s="8">
        <v>1</v>
      </c>
      <c r="R173" s="8" t="s">
        <v>95</v>
      </c>
      <c r="S173" s="8">
        <v>1</v>
      </c>
      <c r="T173" s="8" t="s">
        <v>94</v>
      </c>
      <c r="U173" s="8">
        <v>0</v>
      </c>
      <c r="V173" s="8" t="s">
        <v>95</v>
      </c>
      <c r="W173" s="8">
        <v>1</v>
      </c>
      <c r="X173" s="8" t="s">
        <v>95</v>
      </c>
      <c r="Y173" s="8">
        <v>1</v>
      </c>
      <c r="Z173" s="8" t="s">
        <v>95</v>
      </c>
      <c r="AA173" s="8">
        <v>1</v>
      </c>
      <c r="AB173" s="8" t="s">
        <v>95</v>
      </c>
      <c r="AC173" s="8">
        <v>1</v>
      </c>
      <c r="AD173" s="8" t="s">
        <v>94</v>
      </c>
      <c r="AE173" s="8">
        <v>0</v>
      </c>
      <c r="AF173" s="8" t="s">
        <v>95</v>
      </c>
      <c r="AG173" s="8">
        <v>1</v>
      </c>
      <c r="AH173" s="8" t="s">
        <v>94</v>
      </c>
      <c r="AI173" s="8">
        <v>0</v>
      </c>
      <c r="AJ173" s="8" t="s">
        <v>95</v>
      </c>
      <c r="AK173" s="8">
        <v>1</v>
      </c>
      <c r="AL173" s="8" t="s">
        <v>94</v>
      </c>
      <c r="AM173" s="8">
        <v>0</v>
      </c>
      <c r="AN173" s="8">
        <v>12</v>
      </c>
    </row>
    <row r="174" spans="1:40" x14ac:dyDescent="0.25">
      <c r="A174" s="8" t="s">
        <v>234</v>
      </c>
      <c r="B174" s="9">
        <v>42033.659722222219</v>
      </c>
      <c r="C174" s="8">
        <v>0</v>
      </c>
      <c r="D174" s="9">
        <v>42034.200694444444</v>
      </c>
      <c r="E174" s="8" t="s">
        <v>93</v>
      </c>
      <c r="F174" s="8">
        <v>16</v>
      </c>
      <c r="G174" s="8" t="s">
        <v>94</v>
      </c>
      <c r="H174" s="8" t="s">
        <v>95</v>
      </c>
      <c r="I174" s="8">
        <v>1</v>
      </c>
      <c r="J174" s="8" t="s">
        <v>95</v>
      </c>
      <c r="K174" s="8">
        <v>1</v>
      </c>
      <c r="L174" s="8" t="s">
        <v>95</v>
      </c>
      <c r="M174" s="8">
        <v>1</v>
      </c>
      <c r="N174" s="8" t="s">
        <v>95</v>
      </c>
      <c r="O174" s="8">
        <v>1</v>
      </c>
      <c r="P174" s="8" t="s">
        <v>95</v>
      </c>
      <c r="Q174" s="8">
        <v>1</v>
      </c>
      <c r="R174" s="8" t="s">
        <v>95</v>
      </c>
      <c r="S174" s="8">
        <v>1</v>
      </c>
      <c r="T174" s="8" t="s">
        <v>95</v>
      </c>
      <c r="U174" s="8">
        <v>1</v>
      </c>
      <c r="V174" s="8" t="s">
        <v>95</v>
      </c>
      <c r="W174" s="8">
        <v>1</v>
      </c>
      <c r="X174" s="8" t="s">
        <v>95</v>
      </c>
      <c r="Y174" s="8">
        <v>1</v>
      </c>
      <c r="Z174" s="8" t="s">
        <v>95</v>
      </c>
      <c r="AA174" s="8">
        <v>1</v>
      </c>
      <c r="AB174" s="8" t="s">
        <v>95</v>
      </c>
      <c r="AC174" s="8">
        <v>1</v>
      </c>
      <c r="AD174" s="8" t="s">
        <v>95</v>
      </c>
      <c r="AE174" s="8">
        <v>1</v>
      </c>
      <c r="AF174" s="8" t="s">
        <v>95</v>
      </c>
      <c r="AG174" s="8">
        <v>1</v>
      </c>
      <c r="AH174" s="8" t="s">
        <v>95</v>
      </c>
      <c r="AI174" s="8">
        <v>1</v>
      </c>
      <c r="AJ174" s="8" t="s">
        <v>95</v>
      </c>
      <c r="AK174" s="8">
        <v>1</v>
      </c>
      <c r="AL174" s="8" t="s">
        <v>95</v>
      </c>
      <c r="AM174" s="8">
        <v>1</v>
      </c>
      <c r="AN174" s="8">
        <v>16</v>
      </c>
    </row>
    <row r="175" spans="1:40" x14ac:dyDescent="0.25">
      <c r="A175" s="8" t="s">
        <v>235</v>
      </c>
      <c r="B175" s="9">
        <v>42033.685416666667</v>
      </c>
      <c r="C175" s="8">
        <v>0</v>
      </c>
      <c r="D175" s="9">
        <v>42034.204861111109</v>
      </c>
      <c r="E175" s="8" t="s">
        <v>93</v>
      </c>
      <c r="F175" s="8">
        <v>16</v>
      </c>
      <c r="G175" s="8" t="s">
        <v>94</v>
      </c>
      <c r="H175" s="8" t="s">
        <v>95</v>
      </c>
      <c r="I175" s="8">
        <v>1</v>
      </c>
      <c r="J175" s="8" t="s">
        <v>95</v>
      </c>
      <c r="K175" s="8">
        <v>1</v>
      </c>
      <c r="L175" s="8" t="s">
        <v>95</v>
      </c>
      <c r="M175" s="8">
        <v>1</v>
      </c>
      <c r="N175" s="8" t="s">
        <v>95</v>
      </c>
      <c r="O175" s="8">
        <v>1</v>
      </c>
      <c r="P175" s="8" t="s">
        <v>95</v>
      </c>
      <c r="Q175" s="8">
        <v>1</v>
      </c>
      <c r="R175" s="8" t="s">
        <v>95</v>
      </c>
      <c r="S175" s="8">
        <v>1</v>
      </c>
      <c r="T175" s="8" t="s">
        <v>95</v>
      </c>
      <c r="U175" s="8">
        <v>1</v>
      </c>
      <c r="V175" s="8" t="s">
        <v>95</v>
      </c>
      <c r="W175" s="8">
        <v>1</v>
      </c>
      <c r="X175" s="8" t="s">
        <v>95</v>
      </c>
      <c r="Y175" s="8">
        <v>1</v>
      </c>
      <c r="Z175" s="8" t="s">
        <v>95</v>
      </c>
      <c r="AA175" s="8">
        <v>1</v>
      </c>
      <c r="AB175" s="8" t="s">
        <v>95</v>
      </c>
      <c r="AC175" s="8">
        <v>1</v>
      </c>
      <c r="AD175" s="8" t="s">
        <v>95</v>
      </c>
      <c r="AE175" s="8">
        <v>1</v>
      </c>
      <c r="AF175" s="8" t="s">
        <v>95</v>
      </c>
      <c r="AG175" s="8">
        <v>1</v>
      </c>
      <c r="AH175" s="8" t="s">
        <v>95</v>
      </c>
      <c r="AI175" s="8">
        <v>1</v>
      </c>
      <c r="AJ175" s="8" t="s">
        <v>95</v>
      </c>
      <c r="AK175" s="8">
        <v>1</v>
      </c>
      <c r="AL175" s="8" t="s">
        <v>95</v>
      </c>
      <c r="AM175" s="8">
        <v>1</v>
      </c>
      <c r="AN175" s="8">
        <v>16</v>
      </c>
    </row>
    <row r="176" spans="1:40" x14ac:dyDescent="0.25">
      <c r="A176" s="8" t="s">
        <v>236</v>
      </c>
      <c r="B176" s="9">
        <v>42033.661111111112</v>
      </c>
      <c r="C176" s="8">
        <v>0</v>
      </c>
      <c r="D176" s="9">
        <v>42034.204861111109</v>
      </c>
      <c r="E176" s="8" t="s">
        <v>93</v>
      </c>
      <c r="F176" s="8">
        <v>16</v>
      </c>
      <c r="G176" s="8" t="s">
        <v>94</v>
      </c>
      <c r="H176" s="8" t="s">
        <v>95</v>
      </c>
      <c r="I176" s="8">
        <v>1</v>
      </c>
      <c r="J176" s="8" t="s">
        <v>95</v>
      </c>
      <c r="K176" s="8">
        <v>1</v>
      </c>
      <c r="L176" s="8" t="s">
        <v>95</v>
      </c>
      <c r="M176" s="8">
        <v>1</v>
      </c>
      <c r="N176" s="8" t="s">
        <v>95</v>
      </c>
      <c r="O176" s="8">
        <v>1</v>
      </c>
      <c r="P176" s="8" t="s">
        <v>95</v>
      </c>
      <c r="Q176" s="8">
        <v>1</v>
      </c>
      <c r="R176" s="8" t="s">
        <v>95</v>
      </c>
      <c r="S176" s="8">
        <v>1</v>
      </c>
      <c r="T176" s="8" t="s">
        <v>95</v>
      </c>
      <c r="U176" s="8">
        <v>1</v>
      </c>
      <c r="V176" s="8" t="s">
        <v>95</v>
      </c>
      <c r="W176" s="8">
        <v>1</v>
      </c>
      <c r="X176" s="8" t="s">
        <v>95</v>
      </c>
      <c r="Y176" s="8">
        <v>1</v>
      </c>
      <c r="Z176" s="8" t="s">
        <v>95</v>
      </c>
      <c r="AA176" s="8">
        <v>1</v>
      </c>
      <c r="AB176" s="8" t="s">
        <v>95</v>
      </c>
      <c r="AC176" s="8">
        <v>1</v>
      </c>
      <c r="AD176" s="8" t="s">
        <v>95</v>
      </c>
      <c r="AE176" s="8">
        <v>1</v>
      </c>
      <c r="AF176" s="8" t="s">
        <v>95</v>
      </c>
      <c r="AG176" s="8">
        <v>1</v>
      </c>
      <c r="AH176" s="8" t="s">
        <v>95</v>
      </c>
      <c r="AI176" s="8">
        <v>1</v>
      </c>
      <c r="AJ176" s="8" t="s">
        <v>95</v>
      </c>
      <c r="AK176" s="8">
        <v>1</v>
      </c>
      <c r="AL176" s="8" t="s">
        <v>95</v>
      </c>
      <c r="AM176" s="8">
        <v>1</v>
      </c>
      <c r="AN176" s="8">
        <v>16</v>
      </c>
    </row>
    <row r="177" spans="1:40" x14ac:dyDescent="0.25">
      <c r="A177" s="8" t="s">
        <v>237</v>
      </c>
      <c r="B177" s="9">
        <v>42033.661805555559</v>
      </c>
      <c r="C177" s="8">
        <v>0</v>
      </c>
      <c r="D177" s="9">
        <v>42034.207638888889</v>
      </c>
      <c r="E177" s="8" t="s">
        <v>93</v>
      </c>
      <c r="F177" s="8">
        <v>15</v>
      </c>
      <c r="G177" s="8" t="s">
        <v>94</v>
      </c>
      <c r="H177" s="8" t="s">
        <v>95</v>
      </c>
      <c r="I177" s="8">
        <v>1</v>
      </c>
      <c r="J177" s="8" t="s">
        <v>95</v>
      </c>
      <c r="K177" s="8">
        <v>1</v>
      </c>
      <c r="L177" s="8" t="s">
        <v>95</v>
      </c>
      <c r="M177" s="8">
        <v>1</v>
      </c>
      <c r="N177" s="8" t="s">
        <v>95</v>
      </c>
      <c r="O177" s="8">
        <v>1</v>
      </c>
      <c r="P177" s="8" t="s">
        <v>95</v>
      </c>
      <c r="Q177" s="8">
        <v>1</v>
      </c>
      <c r="R177" s="8" t="s">
        <v>95</v>
      </c>
      <c r="S177" s="8">
        <v>1</v>
      </c>
      <c r="T177" s="8" t="s">
        <v>95</v>
      </c>
      <c r="U177" s="8">
        <v>1</v>
      </c>
      <c r="V177" s="8" t="s">
        <v>95</v>
      </c>
      <c r="W177" s="8">
        <v>1</v>
      </c>
      <c r="X177" s="8" t="s">
        <v>95</v>
      </c>
      <c r="Y177" s="8">
        <v>1</v>
      </c>
      <c r="Z177" s="8" t="s">
        <v>95</v>
      </c>
      <c r="AA177" s="8">
        <v>1</v>
      </c>
      <c r="AB177" s="8" t="s">
        <v>95</v>
      </c>
      <c r="AC177" s="8">
        <v>1</v>
      </c>
      <c r="AD177" s="8" t="s">
        <v>95</v>
      </c>
      <c r="AE177" s="8">
        <v>1</v>
      </c>
      <c r="AF177" s="8" t="s">
        <v>95</v>
      </c>
      <c r="AG177" s="8">
        <v>1</v>
      </c>
      <c r="AH177" s="8" t="s">
        <v>95</v>
      </c>
      <c r="AI177" s="8">
        <v>1</v>
      </c>
      <c r="AJ177" s="8" t="s">
        <v>95</v>
      </c>
      <c r="AK177" s="8">
        <v>1</v>
      </c>
      <c r="AL177" s="8" t="s">
        <v>94</v>
      </c>
      <c r="AM177" s="8">
        <v>0</v>
      </c>
      <c r="AN177" s="8">
        <v>15</v>
      </c>
    </row>
    <row r="178" spans="1:40" x14ac:dyDescent="0.25">
      <c r="A178" s="8" t="s">
        <v>238</v>
      </c>
      <c r="B178" s="9">
        <v>42033.680555555555</v>
      </c>
      <c r="C178" s="8">
        <v>0</v>
      </c>
      <c r="D178" s="9">
        <v>42034.207638888889</v>
      </c>
      <c r="E178" s="8" t="s">
        <v>93</v>
      </c>
      <c r="F178" s="8">
        <v>6</v>
      </c>
      <c r="G178" s="8" t="s">
        <v>94</v>
      </c>
      <c r="H178" s="8" t="s">
        <v>95</v>
      </c>
      <c r="I178" s="8">
        <v>1</v>
      </c>
      <c r="J178" s="8" t="s">
        <v>94</v>
      </c>
      <c r="K178" s="8">
        <v>0</v>
      </c>
      <c r="L178" s="8" t="s">
        <v>94</v>
      </c>
      <c r="M178" s="8">
        <v>0</v>
      </c>
      <c r="N178" s="8" t="s">
        <v>94</v>
      </c>
      <c r="O178" s="8">
        <v>0</v>
      </c>
      <c r="P178" s="8" t="s">
        <v>95</v>
      </c>
      <c r="Q178" s="8">
        <v>1</v>
      </c>
      <c r="R178" s="8" t="s">
        <v>94</v>
      </c>
      <c r="S178" s="8">
        <v>0</v>
      </c>
      <c r="T178" s="8" t="s">
        <v>95</v>
      </c>
      <c r="U178" s="8">
        <v>1</v>
      </c>
      <c r="V178" s="8" t="s">
        <v>95</v>
      </c>
      <c r="W178" s="8">
        <v>1</v>
      </c>
      <c r="X178" s="8" t="s">
        <v>94</v>
      </c>
      <c r="Y178" s="8">
        <v>0</v>
      </c>
      <c r="Z178" s="8" t="s">
        <v>94</v>
      </c>
      <c r="AA178" s="8">
        <v>0</v>
      </c>
      <c r="AB178" s="8" t="s">
        <v>94</v>
      </c>
      <c r="AC178" s="8">
        <v>0</v>
      </c>
      <c r="AD178" s="8" t="s">
        <v>95</v>
      </c>
      <c r="AE178" s="8">
        <v>1</v>
      </c>
      <c r="AF178" s="8" t="s">
        <v>94</v>
      </c>
      <c r="AG178" s="8">
        <v>0</v>
      </c>
      <c r="AH178" s="8" t="s">
        <v>94</v>
      </c>
      <c r="AI178" s="8">
        <v>0</v>
      </c>
      <c r="AJ178" s="8" t="s">
        <v>95</v>
      </c>
      <c r="AK178" s="8">
        <v>1</v>
      </c>
      <c r="AL178" s="8" t="s">
        <v>94</v>
      </c>
      <c r="AM178" s="8">
        <v>0</v>
      </c>
      <c r="AN178" s="8">
        <v>6</v>
      </c>
    </row>
    <row r="179" spans="1:40" x14ac:dyDescent="0.25">
      <c r="A179" s="8" t="s">
        <v>239</v>
      </c>
      <c r="B179" s="9">
        <v>42033.665277777778</v>
      </c>
      <c r="C179" s="8">
        <v>0</v>
      </c>
      <c r="D179" s="9">
        <v>42034.208333333336</v>
      </c>
      <c r="E179" s="8" t="s">
        <v>93</v>
      </c>
      <c r="F179" s="8">
        <v>12</v>
      </c>
      <c r="G179" s="8" t="s">
        <v>94</v>
      </c>
      <c r="H179" s="8" t="s">
        <v>95</v>
      </c>
      <c r="I179" s="8">
        <v>1</v>
      </c>
      <c r="J179" s="8" t="s">
        <v>94</v>
      </c>
      <c r="K179" s="8">
        <v>0</v>
      </c>
      <c r="L179" s="8" t="s">
        <v>95</v>
      </c>
      <c r="M179" s="8">
        <v>1</v>
      </c>
      <c r="N179" s="8" t="s">
        <v>95</v>
      </c>
      <c r="O179" s="8">
        <v>1</v>
      </c>
      <c r="P179" s="8" t="s">
        <v>95</v>
      </c>
      <c r="Q179" s="8">
        <v>1</v>
      </c>
      <c r="R179" s="8" t="s">
        <v>95</v>
      </c>
      <c r="S179" s="8">
        <v>1</v>
      </c>
      <c r="T179" s="8" t="s">
        <v>95</v>
      </c>
      <c r="U179" s="8">
        <v>1</v>
      </c>
      <c r="V179" s="8" t="s">
        <v>95</v>
      </c>
      <c r="W179" s="8">
        <v>1</v>
      </c>
      <c r="X179" s="8" t="s">
        <v>95</v>
      </c>
      <c r="Y179" s="8">
        <v>1</v>
      </c>
      <c r="Z179" s="8" t="s">
        <v>95</v>
      </c>
      <c r="AA179" s="8">
        <v>1</v>
      </c>
      <c r="AB179" s="8" t="s">
        <v>95</v>
      </c>
      <c r="AC179" s="8">
        <v>1</v>
      </c>
      <c r="AD179" s="8" t="s">
        <v>94</v>
      </c>
      <c r="AE179" s="8">
        <v>0</v>
      </c>
      <c r="AF179" s="8" t="s">
        <v>94</v>
      </c>
      <c r="AG179" s="8">
        <v>0</v>
      </c>
      <c r="AH179" s="8" t="s">
        <v>94</v>
      </c>
      <c r="AI179" s="8">
        <v>0</v>
      </c>
      <c r="AJ179" s="8" t="s">
        <v>95</v>
      </c>
      <c r="AK179" s="8">
        <v>1</v>
      </c>
      <c r="AL179" s="8" t="s">
        <v>95</v>
      </c>
      <c r="AM179" s="8">
        <v>1</v>
      </c>
      <c r="AN179" s="8">
        <v>12</v>
      </c>
    </row>
    <row r="180" spans="1:40" x14ac:dyDescent="0.25">
      <c r="A180" s="8" t="s">
        <v>240</v>
      </c>
      <c r="B180" s="9">
        <v>42033.664583333331</v>
      </c>
      <c r="C180" s="8">
        <v>0</v>
      </c>
      <c r="D180" s="9">
        <v>42034.210416666669</v>
      </c>
      <c r="E180" s="8" t="s">
        <v>93</v>
      </c>
      <c r="F180" s="8">
        <v>12</v>
      </c>
      <c r="G180" s="8" t="s">
        <v>94</v>
      </c>
      <c r="H180" s="8" t="s">
        <v>95</v>
      </c>
      <c r="I180" s="8">
        <v>1</v>
      </c>
      <c r="J180" s="8" t="s">
        <v>95</v>
      </c>
      <c r="K180" s="8">
        <v>1</v>
      </c>
      <c r="L180" s="8" t="s">
        <v>95</v>
      </c>
      <c r="M180" s="8">
        <v>1</v>
      </c>
      <c r="N180" s="8" t="s">
        <v>95</v>
      </c>
      <c r="O180" s="8">
        <v>1</v>
      </c>
      <c r="P180" s="8" t="s">
        <v>95</v>
      </c>
      <c r="Q180" s="8">
        <v>1</v>
      </c>
      <c r="R180" s="8" t="s">
        <v>95</v>
      </c>
      <c r="S180" s="8">
        <v>1</v>
      </c>
      <c r="T180" s="8" t="s">
        <v>94</v>
      </c>
      <c r="U180" s="8">
        <v>0</v>
      </c>
      <c r="V180" s="8" t="s">
        <v>94</v>
      </c>
      <c r="W180" s="8">
        <v>0</v>
      </c>
      <c r="X180" s="8" t="s">
        <v>95</v>
      </c>
      <c r="Y180" s="8">
        <v>1</v>
      </c>
      <c r="Z180" s="8" t="s">
        <v>95</v>
      </c>
      <c r="AA180" s="8">
        <v>1</v>
      </c>
      <c r="AB180" s="8" t="s">
        <v>95</v>
      </c>
      <c r="AC180" s="8">
        <v>1</v>
      </c>
      <c r="AD180" s="8" t="s">
        <v>95</v>
      </c>
      <c r="AE180" s="8">
        <v>1</v>
      </c>
      <c r="AF180" s="8" t="s">
        <v>94</v>
      </c>
      <c r="AG180" s="8">
        <v>0</v>
      </c>
      <c r="AH180" s="8" t="s">
        <v>95</v>
      </c>
      <c r="AI180" s="8">
        <v>1</v>
      </c>
      <c r="AJ180" s="8" t="s">
        <v>95</v>
      </c>
      <c r="AK180" s="8">
        <v>1</v>
      </c>
      <c r="AL180" s="8" t="s">
        <v>94</v>
      </c>
      <c r="AM180" s="8">
        <v>0</v>
      </c>
      <c r="AN180" s="8">
        <v>12</v>
      </c>
    </row>
    <row r="181" spans="1:40" x14ac:dyDescent="0.25">
      <c r="A181" s="8" t="s">
        <v>241</v>
      </c>
      <c r="B181" s="9">
        <v>42033.663888888892</v>
      </c>
      <c r="C181" s="8">
        <v>0</v>
      </c>
      <c r="D181" s="9">
        <v>42034.218055555553</v>
      </c>
      <c r="E181" s="8" t="s">
        <v>93</v>
      </c>
      <c r="F181" s="8">
        <v>4</v>
      </c>
      <c r="G181" s="8" t="s">
        <v>94</v>
      </c>
      <c r="H181" s="8" t="s">
        <v>94</v>
      </c>
      <c r="I181" s="8">
        <v>0</v>
      </c>
      <c r="J181" s="8" t="s">
        <v>94</v>
      </c>
      <c r="K181" s="8">
        <v>0</v>
      </c>
      <c r="L181" s="8" t="s">
        <v>94</v>
      </c>
      <c r="M181" s="8">
        <v>0</v>
      </c>
      <c r="N181" s="8" t="s">
        <v>94</v>
      </c>
      <c r="O181" s="8">
        <v>0</v>
      </c>
      <c r="P181" s="8" t="s">
        <v>94</v>
      </c>
      <c r="Q181" s="8">
        <v>0</v>
      </c>
      <c r="R181" s="8" t="s">
        <v>94</v>
      </c>
      <c r="S181" s="8">
        <v>0</v>
      </c>
      <c r="T181" s="8" t="s">
        <v>94</v>
      </c>
      <c r="U181" s="8">
        <v>0</v>
      </c>
      <c r="V181" s="8" t="s">
        <v>94</v>
      </c>
      <c r="W181" s="8">
        <v>0</v>
      </c>
      <c r="X181" s="8" t="s">
        <v>95</v>
      </c>
      <c r="Y181" s="8">
        <v>1</v>
      </c>
      <c r="Z181" s="8" t="s">
        <v>95</v>
      </c>
      <c r="AA181" s="8">
        <v>1</v>
      </c>
      <c r="AB181" s="8" t="s">
        <v>94</v>
      </c>
      <c r="AC181" s="8">
        <v>0</v>
      </c>
      <c r="AD181" s="8" t="s">
        <v>95</v>
      </c>
      <c r="AE181" s="8">
        <v>1</v>
      </c>
      <c r="AF181" s="8" t="s">
        <v>94</v>
      </c>
      <c r="AG181" s="8">
        <v>0</v>
      </c>
      <c r="AH181" s="8" t="s">
        <v>94</v>
      </c>
      <c r="AI181" s="8">
        <v>0</v>
      </c>
      <c r="AJ181" s="8" t="s">
        <v>95</v>
      </c>
      <c r="AK181" s="8">
        <v>1</v>
      </c>
      <c r="AL181" s="8" t="s">
        <v>94</v>
      </c>
      <c r="AM181" s="8">
        <v>0</v>
      </c>
      <c r="AN181" s="8">
        <v>4</v>
      </c>
    </row>
    <row r="182" spans="1:40" x14ac:dyDescent="0.25">
      <c r="A182" s="8" t="s">
        <v>242</v>
      </c>
      <c r="B182" s="9">
        <v>42033.661805555559</v>
      </c>
      <c r="C182" s="8">
        <v>0</v>
      </c>
      <c r="D182" s="9">
        <v>42034.21875</v>
      </c>
      <c r="E182" s="8" t="s">
        <v>93</v>
      </c>
      <c r="F182" s="8">
        <v>0</v>
      </c>
      <c r="G182" s="8" t="s">
        <v>94</v>
      </c>
      <c r="H182" s="8" t="s">
        <v>94</v>
      </c>
      <c r="I182" s="8">
        <v>0</v>
      </c>
      <c r="J182" s="8" t="s">
        <v>94</v>
      </c>
      <c r="K182" s="8">
        <v>0</v>
      </c>
      <c r="L182" s="8" t="s">
        <v>94</v>
      </c>
      <c r="M182" s="8">
        <v>0</v>
      </c>
      <c r="N182" s="8" t="s">
        <v>94</v>
      </c>
      <c r="O182" s="8">
        <v>0</v>
      </c>
      <c r="P182" s="8" t="s">
        <v>94</v>
      </c>
      <c r="Q182" s="8">
        <v>0</v>
      </c>
      <c r="R182" s="8" t="s">
        <v>94</v>
      </c>
      <c r="S182" s="8">
        <v>0</v>
      </c>
      <c r="T182" s="8" t="s">
        <v>94</v>
      </c>
      <c r="U182" s="8">
        <v>0</v>
      </c>
      <c r="V182" s="8" t="s">
        <v>94</v>
      </c>
      <c r="W182" s="8">
        <v>0</v>
      </c>
      <c r="X182" s="8" t="s">
        <v>94</v>
      </c>
      <c r="Y182" s="8">
        <v>0</v>
      </c>
      <c r="Z182" s="8" t="s">
        <v>94</v>
      </c>
      <c r="AA182" s="8">
        <v>0</v>
      </c>
      <c r="AB182" s="8" t="s">
        <v>94</v>
      </c>
      <c r="AC182" s="8">
        <v>0</v>
      </c>
      <c r="AD182" s="8" t="s">
        <v>94</v>
      </c>
      <c r="AE182" s="8">
        <v>0</v>
      </c>
      <c r="AF182" s="8" t="s">
        <v>94</v>
      </c>
      <c r="AG182" s="8">
        <v>0</v>
      </c>
      <c r="AH182" s="8" t="s">
        <v>94</v>
      </c>
      <c r="AI182" s="8">
        <v>0</v>
      </c>
      <c r="AJ182" s="8" t="s">
        <v>94</v>
      </c>
      <c r="AK182" s="8">
        <v>0</v>
      </c>
      <c r="AL182" s="8" t="s">
        <v>94</v>
      </c>
      <c r="AM182" s="8">
        <v>0</v>
      </c>
      <c r="AN182" s="8">
        <v>0</v>
      </c>
    </row>
    <row r="183" spans="1:40" x14ac:dyDescent="0.25">
      <c r="A183" s="8" t="s">
        <v>243</v>
      </c>
      <c r="B183" s="9">
        <v>42033.663194444445</v>
      </c>
      <c r="C183" s="8">
        <v>0</v>
      </c>
      <c r="D183" s="9">
        <v>42034.220833333333</v>
      </c>
      <c r="E183" s="8" t="s">
        <v>93</v>
      </c>
      <c r="F183" s="8">
        <v>8</v>
      </c>
      <c r="G183" s="8" t="s">
        <v>94</v>
      </c>
      <c r="H183" s="8" t="s">
        <v>95</v>
      </c>
      <c r="I183" s="8">
        <v>1</v>
      </c>
      <c r="J183" s="8" t="s">
        <v>94</v>
      </c>
      <c r="K183" s="8">
        <v>0</v>
      </c>
      <c r="L183" s="8" t="s">
        <v>94</v>
      </c>
      <c r="M183" s="8">
        <v>0</v>
      </c>
      <c r="N183" s="8" t="s">
        <v>94</v>
      </c>
      <c r="O183" s="8">
        <v>0</v>
      </c>
      <c r="P183" s="8" t="s">
        <v>95</v>
      </c>
      <c r="Q183" s="8">
        <v>1</v>
      </c>
      <c r="R183" s="8" t="s">
        <v>95</v>
      </c>
      <c r="S183" s="8">
        <v>1</v>
      </c>
      <c r="T183" s="8" t="s">
        <v>94</v>
      </c>
      <c r="U183" s="8">
        <v>0</v>
      </c>
      <c r="V183" s="8" t="s">
        <v>95</v>
      </c>
      <c r="W183" s="8">
        <v>1</v>
      </c>
      <c r="X183" s="8" t="s">
        <v>94</v>
      </c>
      <c r="Y183" s="8">
        <v>0</v>
      </c>
      <c r="Z183" s="8" t="s">
        <v>94</v>
      </c>
      <c r="AA183" s="8">
        <v>0</v>
      </c>
      <c r="AB183" s="8" t="s">
        <v>95</v>
      </c>
      <c r="AC183" s="8">
        <v>1</v>
      </c>
      <c r="AD183" s="8" t="s">
        <v>95</v>
      </c>
      <c r="AE183" s="8">
        <v>1</v>
      </c>
      <c r="AF183" s="8" t="s">
        <v>94</v>
      </c>
      <c r="AG183" s="8">
        <v>0</v>
      </c>
      <c r="AH183" s="8" t="s">
        <v>95</v>
      </c>
      <c r="AI183" s="8">
        <v>1</v>
      </c>
      <c r="AJ183" s="8" t="s">
        <v>95</v>
      </c>
      <c r="AK183" s="8">
        <v>1</v>
      </c>
      <c r="AL183" s="8" t="s">
        <v>94</v>
      </c>
      <c r="AM183" s="8">
        <v>0</v>
      </c>
      <c r="AN183" s="8">
        <v>8</v>
      </c>
    </row>
    <row r="184" spans="1:40" x14ac:dyDescent="0.25">
      <c r="A184" s="8" t="s">
        <v>244</v>
      </c>
      <c r="B184" s="9">
        <v>42033.665972222225</v>
      </c>
      <c r="C184" s="8">
        <v>0</v>
      </c>
      <c r="D184" s="9">
        <v>42034.222916666666</v>
      </c>
      <c r="E184" s="8" t="s">
        <v>93</v>
      </c>
      <c r="F184" s="8">
        <v>16</v>
      </c>
      <c r="G184" s="8" t="s">
        <v>94</v>
      </c>
      <c r="H184" s="8" t="s">
        <v>95</v>
      </c>
      <c r="I184" s="8">
        <v>1</v>
      </c>
      <c r="J184" s="8" t="s">
        <v>95</v>
      </c>
      <c r="K184" s="8">
        <v>1</v>
      </c>
      <c r="L184" s="8" t="s">
        <v>95</v>
      </c>
      <c r="M184" s="8">
        <v>1</v>
      </c>
      <c r="N184" s="8" t="s">
        <v>95</v>
      </c>
      <c r="O184" s="8">
        <v>1</v>
      </c>
      <c r="P184" s="8" t="s">
        <v>95</v>
      </c>
      <c r="Q184" s="8">
        <v>1</v>
      </c>
      <c r="R184" s="8" t="s">
        <v>95</v>
      </c>
      <c r="S184" s="8">
        <v>1</v>
      </c>
      <c r="T184" s="8" t="s">
        <v>95</v>
      </c>
      <c r="U184" s="8">
        <v>1</v>
      </c>
      <c r="V184" s="8" t="s">
        <v>95</v>
      </c>
      <c r="W184" s="8">
        <v>1</v>
      </c>
      <c r="X184" s="8" t="s">
        <v>95</v>
      </c>
      <c r="Y184" s="8">
        <v>1</v>
      </c>
      <c r="Z184" s="8" t="s">
        <v>95</v>
      </c>
      <c r="AA184" s="8">
        <v>1</v>
      </c>
      <c r="AB184" s="8" t="s">
        <v>95</v>
      </c>
      <c r="AC184" s="8">
        <v>1</v>
      </c>
      <c r="AD184" s="8" t="s">
        <v>95</v>
      </c>
      <c r="AE184" s="8">
        <v>1</v>
      </c>
      <c r="AF184" s="8" t="s">
        <v>95</v>
      </c>
      <c r="AG184" s="8">
        <v>1</v>
      </c>
      <c r="AH184" s="8" t="s">
        <v>95</v>
      </c>
      <c r="AI184" s="8">
        <v>1</v>
      </c>
      <c r="AJ184" s="8" t="s">
        <v>95</v>
      </c>
      <c r="AK184" s="8">
        <v>1</v>
      </c>
      <c r="AL184" s="8" t="s">
        <v>95</v>
      </c>
      <c r="AM184" s="8">
        <v>1</v>
      </c>
      <c r="AN184" s="8">
        <v>16</v>
      </c>
    </row>
    <row r="185" spans="1:40" x14ac:dyDescent="0.25">
      <c r="A185" s="8" t="s">
        <v>245</v>
      </c>
      <c r="B185" s="9">
        <v>42033.661111111112</v>
      </c>
      <c r="C185" s="8">
        <v>0</v>
      </c>
      <c r="D185" s="9">
        <v>42034.227777777778</v>
      </c>
      <c r="E185" s="8" t="s">
        <v>93</v>
      </c>
      <c r="F185" s="8">
        <v>16</v>
      </c>
      <c r="G185" s="8" t="s">
        <v>94</v>
      </c>
      <c r="H185" s="8" t="s">
        <v>95</v>
      </c>
      <c r="I185" s="8">
        <v>1</v>
      </c>
      <c r="J185" s="8" t="s">
        <v>95</v>
      </c>
      <c r="K185" s="8">
        <v>1</v>
      </c>
      <c r="L185" s="8" t="s">
        <v>95</v>
      </c>
      <c r="M185" s="8">
        <v>1</v>
      </c>
      <c r="N185" s="8" t="s">
        <v>95</v>
      </c>
      <c r="O185" s="8">
        <v>1</v>
      </c>
      <c r="P185" s="8" t="s">
        <v>95</v>
      </c>
      <c r="Q185" s="8">
        <v>1</v>
      </c>
      <c r="R185" s="8" t="s">
        <v>95</v>
      </c>
      <c r="S185" s="8">
        <v>1</v>
      </c>
      <c r="T185" s="8" t="s">
        <v>95</v>
      </c>
      <c r="U185" s="8">
        <v>1</v>
      </c>
      <c r="V185" s="8" t="s">
        <v>95</v>
      </c>
      <c r="W185" s="8">
        <v>1</v>
      </c>
      <c r="X185" s="8" t="s">
        <v>95</v>
      </c>
      <c r="Y185" s="8">
        <v>1</v>
      </c>
      <c r="Z185" s="8" t="s">
        <v>95</v>
      </c>
      <c r="AA185" s="8">
        <v>1</v>
      </c>
      <c r="AB185" s="8" t="s">
        <v>95</v>
      </c>
      <c r="AC185" s="8">
        <v>1</v>
      </c>
      <c r="AD185" s="8" t="s">
        <v>95</v>
      </c>
      <c r="AE185" s="8">
        <v>1</v>
      </c>
      <c r="AF185" s="8" t="s">
        <v>95</v>
      </c>
      <c r="AG185" s="8">
        <v>1</v>
      </c>
      <c r="AH185" s="8" t="s">
        <v>95</v>
      </c>
      <c r="AI185" s="8">
        <v>1</v>
      </c>
      <c r="AJ185" s="8" t="s">
        <v>95</v>
      </c>
      <c r="AK185" s="8">
        <v>1</v>
      </c>
      <c r="AL185" s="8" t="s">
        <v>95</v>
      </c>
      <c r="AM185" s="8">
        <v>1</v>
      </c>
      <c r="AN185" s="8">
        <v>16</v>
      </c>
    </row>
    <row r="186" spans="1:40" x14ac:dyDescent="0.25">
      <c r="A186" s="8" t="s">
        <v>246</v>
      </c>
      <c r="B186" s="9">
        <v>42033.661111111112</v>
      </c>
      <c r="C186" s="8">
        <v>0</v>
      </c>
      <c r="D186" s="9">
        <v>42034.228472222225</v>
      </c>
      <c r="E186" s="8" t="s">
        <v>93</v>
      </c>
      <c r="F186" s="8">
        <v>2</v>
      </c>
      <c r="G186" s="8" t="s">
        <v>94</v>
      </c>
      <c r="H186" s="8" t="s">
        <v>94</v>
      </c>
      <c r="I186" s="8">
        <v>0</v>
      </c>
      <c r="J186" s="8" t="s">
        <v>94</v>
      </c>
      <c r="K186" s="8">
        <v>0</v>
      </c>
      <c r="L186" s="8" t="s">
        <v>94</v>
      </c>
      <c r="M186" s="8">
        <v>0</v>
      </c>
      <c r="N186" s="8" t="s">
        <v>94</v>
      </c>
      <c r="O186" s="8">
        <v>0</v>
      </c>
      <c r="P186" s="8" t="s">
        <v>95</v>
      </c>
      <c r="Q186" s="8">
        <v>1</v>
      </c>
      <c r="R186" s="8" t="s">
        <v>95</v>
      </c>
      <c r="S186" s="8">
        <v>1</v>
      </c>
      <c r="T186" s="8" t="s">
        <v>94</v>
      </c>
      <c r="U186" s="8">
        <v>0</v>
      </c>
      <c r="V186" s="8" t="s">
        <v>94</v>
      </c>
      <c r="W186" s="8">
        <v>0</v>
      </c>
      <c r="X186" s="8" t="s">
        <v>94</v>
      </c>
      <c r="Y186" s="8">
        <v>0</v>
      </c>
      <c r="Z186" s="8" t="s">
        <v>94</v>
      </c>
      <c r="AA186" s="8">
        <v>0</v>
      </c>
      <c r="AB186" s="8" t="s">
        <v>94</v>
      </c>
      <c r="AC186" s="8">
        <v>0</v>
      </c>
      <c r="AD186" s="8" t="s">
        <v>94</v>
      </c>
      <c r="AE186" s="8">
        <v>0</v>
      </c>
      <c r="AF186" s="8" t="s">
        <v>94</v>
      </c>
      <c r="AG186" s="8">
        <v>0</v>
      </c>
      <c r="AH186" s="8" t="s">
        <v>94</v>
      </c>
      <c r="AI186" s="8">
        <v>0</v>
      </c>
      <c r="AJ186" s="8" t="s">
        <v>94</v>
      </c>
      <c r="AK186" s="8">
        <v>0</v>
      </c>
      <c r="AL186" s="8" t="s">
        <v>94</v>
      </c>
      <c r="AM186" s="8">
        <v>0</v>
      </c>
      <c r="AN186" s="8">
        <v>2</v>
      </c>
    </row>
    <row r="187" spans="1:40" x14ac:dyDescent="0.25">
      <c r="A187" s="8" t="s">
        <v>247</v>
      </c>
      <c r="B187" s="9">
        <v>42033.658333333333</v>
      </c>
      <c r="C187" s="8">
        <v>0</v>
      </c>
      <c r="D187" s="9">
        <v>42034.231944444444</v>
      </c>
      <c r="E187" s="8" t="s">
        <v>93</v>
      </c>
      <c r="F187" s="8">
        <v>4</v>
      </c>
      <c r="G187" s="8" t="s">
        <v>94</v>
      </c>
      <c r="H187" s="8" t="s">
        <v>95</v>
      </c>
      <c r="I187" s="8">
        <v>1</v>
      </c>
      <c r="J187" s="8" t="s">
        <v>94</v>
      </c>
      <c r="K187" s="8">
        <v>0</v>
      </c>
      <c r="L187" s="8" t="s">
        <v>94</v>
      </c>
      <c r="M187" s="8">
        <v>0</v>
      </c>
      <c r="N187" s="8" t="s">
        <v>94</v>
      </c>
      <c r="O187" s="8">
        <v>0</v>
      </c>
      <c r="P187" s="8" t="s">
        <v>94</v>
      </c>
      <c r="Q187" s="8">
        <v>0</v>
      </c>
      <c r="R187" s="8" t="s">
        <v>95</v>
      </c>
      <c r="S187" s="8">
        <v>1</v>
      </c>
      <c r="T187" s="8" t="s">
        <v>94</v>
      </c>
      <c r="U187" s="8">
        <v>0</v>
      </c>
      <c r="V187" s="8" t="s">
        <v>94</v>
      </c>
      <c r="W187" s="8">
        <v>0</v>
      </c>
      <c r="X187" s="8" t="s">
        <v>94</v>
      </c>
      <c r="Y187" s="8">
        <v>0</v>
      </c>
      <c r="Z187" s="8" t="s">
        <v>94</v>
      </c>
      <c r="AA187" s="8">
        <v>0</v>
      </c>
      <c r="AB187" s="8" t="s">
        <v>94</v>
      </c>
      <c r="AC187" s="8">
        <v>0</v>
      </c>
      <c r="AD187" s="8" t="s">
        <v>95</v>
      </c>
      <c r="AE187" s="8">
        <v>1</v>
      </c>
      <c r="AF187" s="8" t="s">
        <v>94</v>
      </c>
      <c r="AG187" s="8">
        <v>0</v>
      </c>
      <c r="AH187" s="8" t="s">
        <v>94</v>
      </c>
      <c r="AI187" s="8">
        <v>0</v>
      </c>
      <c r="AJ187" s="8" t="s">
        <v>95</v>
      </c>
      <c r="AK187" s="8">
        <v>1</v>
      </c>
      <c r="AL187" s="8" t="s">
        <v>94</v>
      </c>
      <c r="AM187" s="8">
        <v>0</v>
      </c>
      <c r="AN187" s="8">
        <v>4</v>
      </c>
    </row>
    <row r="188" spans="1:40" x14ac:dyDescent="0.25">
      <c r="A188" s="8" t="s">
        <v>248</v>
      </c>
      <c r="B188" s="9">
        <v>42033.679166666669</v>
      </c>
      <c r="C188" s="8">
        <v>0</v>
      </c>
      <c r="D188" s="9">
        <v>42034.23333333333</v>
      </c>
      <c r="E188" s="8" t="s">
        <v>93</v>
      </c>
      <c r="F188" s="8">
        <v>16</v>
      </c>
      <c r="G188" s="8" t="s">
        <v>94</v>
      </c>
      <c r="H188" s="8" t="s">
        <v>95</v>
      </c>
      <c r="I188" s="8">
        <v>1</v>
      </c>
      <c r="J188" s="8" t="s">
        <v>95</v>
      </c>
      <c r="K188" s="8">
        <v>1</v>
      </c>
      <c r="L188" s="8" t="s">
        <v>95</v>
      </c>
      <c r="M188" s="8">
        <v>1</v>
      </c>
      <c r="N188" s="8" t="s">
        <v>95</v>
      </c>
      <c r="O188" s="8">
        <v>1</v>
      </c>
      <c r="P188" s="8" t="s">
        <v>95</v>
      </c>
      <c r="Q188" s="8">
        <v>1</v>
      </c>
      <c r="R188" s="8" t="s">
        <v>95</v>
      </c>
      <c r="S188" s="8">
        <v>1</v>
      </c>
      <c r="T188" s="8" t="s">
        <v>95</v>
      </c>
      <c r="U188" s="8">
        <v>1</v>
      </c>
      <c r="V188" s="8" t="s">
        <v>95</v>
      </c>
      <c r="W188" s="8">
        <v>1</v>
      </c>
      <c r="X188" s="8" t="s">
        <v>95</v>
      </c>
      <c r="Y188" s="8">
        <v>1</v>
      </c>
      <c r="Z188" s="8" t="s">
        <v>95</v>
      </c>
      <c r="AA188" s="8">
        <v>1</v>
      </c>
      <c r="AB188" s="8" t="s">
        <v>95</v>
      </c>
      <c r="AC188" s="8">
        <v>1</v>
      </c>
      <c r="AD188" s="8" t="s">
        <v>95</v>
      </c>
      <c r="AE188" s="8">
        <v>1</v>
      </c>
      <c r="AF188" s="8" t="s">
        <v>95</v>
      </c>
      <c r="AG188" s="8">
        <v>1</v>
      </c>
      <c r="AH188" s="8" t="s">
        <v>95</v>
      </c>
      <c r="AI188" s="8">
        <v>1</v>
      </c>
      <c r="AJ188" s="8" t="s">
        <v>95</v>
      </c>
      <c r="AK188" s="8">
        <v>1</v>
      </c>
      <c r="AL188" s="8" t="s">
        <v>95</v>
      </c>
      <c r="AM188" s="8">
        <v>1</v>
      </c>
      <c r="AN188" s="8">
        <v>16</v>
      </c>
    </row>
    <row r="189" spans="1:40" x14ac:dyDescent="0.25">
      <c r="A189" s="8" t="s">
        <v>249</v>
      </c>
      <c r="B189" s="9">
        <v>42033.661805555559</v>
      </c>
      <c r="C189" s="8">
        <v>0</v>
      </c>
      <c r="D189" s="9">
        <v>42034.236111111109</v>
      </c>
      <c r="E189" s="8" t="s">
        <v>93</v>
      </c>
      <c r="F189" s="8">
        <v>14</v>
      </c>
      <c r="G189" s="8" t="s">
        <v>94</v>
      </c>
      <c r="H189" s="8" t="s">
        <v>95</v>
      </c>
      <c r="I189" s="8">
        <v>1</v>
      </c>
      <c r="J189" s="8" t="s">
        <v>95</v>
      </c>
      <c r="K189" s="8">
        <v>1</v>
      </c>
      <c r="L189" s="8" t="s">
        <v>95</v>
      </c>
      <c r="M189" s="8">
        <v>1</v>
      </c>
      <c r="N189" s="8" t="s">
        <v>95</v>
      </c>
      <c r="O189" s="8">
        <v>1</v>
      </c>
      <c r="P189" s="8" t="s">
        <v>95</v>
      </c>
      <c r="Q189" s="8">
        <v>1</v>
      </c>
      <c r="R189" s="8" t="s">
        <v>95</v>
      </c>
      <c r="S189" s="8">
        <v>1</v>
      </c>
      <c r="T189" s="8" t="s">
        <v>95</v>
      </c>
      <c r="U189" s="8">
        <v>1</v>
      </c>
      <c r="V189" s="8" t="s">
        <v>95</v>
      </c>
      <c r="W189" s="8">
        <v>1</v>
      </c>
      <c r="X189" s="8" t="s">
        <v>95</v>
      </c>
      <c r="Y189" s="8">
        <v>1</v>
      </c>
      <c r="Z189" s="8" t="s">
        <v>95</v>
      </c>
      <c r="AA189" s="8">
        <v>1</v>
      </c>
      <c r="AB189" s="8" t="s">
        <v>95</v>
      </c>
      <c r="AC189" s="8">
        <v>1</v>
      </c>
      <c r="AD189" s="8" t="s">
        <v>95</v>
      </c>
      <c r="AE189" s="8">
        <v>1</v>
      </c>
      <c r="AF189" s="8" t="s">
        <v>94</v>
      </c>
      <c r="AG189" s="8">
        <v>0</v>
      </c>
      <c r="AH189" s="8" t="s">
        <v>95</v>
      </c>
      <c r="AI189" s="8">
        <v>1</v>
      </c>
      <c r="AJ189" s="8" t="s">
        <v>95</v>
      </c>
      <c r="AK189" s="8">
        <v>1</v>
      </c>
      <c r="AL189" s="8" t="s">
        <v>94</v>
      </c>
      <c r="AM189" s="8">
        <v>0</v>
      </c>
      <c r="AN189" s="8">
        <v>14</v>
      </c>
    </row>
    <row r="190" spans="1:40" x14ac:dyDescent="0.25">
      <c r="A190" s="8" t="s">
        <v>250</v>
      </c>
      <c r="B190" s="9">
        <v>42033.665972222225</v>
      </c>
      <c r="C190" s="8">
        <v>0</v>
      </c>
      <c r="D190" s="9">
        <v>42034.238194444442</v>
      </c>
      <c r="E190" s="8" t="s">
        <v>93</v>
      </c>
      <c r="F190" s="8">
        <v>3</v>
      </c>
      <c r="G190" s="8" t="s">
        <v>94</v>
      </c>
      <c r="H190" s="8" t="s">
        <v>94</v>
      </c>
      <c r="I190" s="8">
        <v>0</v>
      </c>
      <c r="J190" s="8" t="s">
        <v>94</v>
      </c>
      <c r="K190" s="8">
        <v>0</v>
      </c>
      <c r="L190" s="8" t="s">
        <v>94</v>
      </c>
      <c r="M190" s="8">
        <v>0</v>
      </c>
      <c r="N190" s="8" t="s">
        <v>94</v>
      </c>
      <c r="O190" s="8">
        <v>0</v>
      </c>
      <c r="P190" s="8" t="s">
        <v>94</v>
      </c>
      <c r="Q190" s="8">
        <v>0</v>
      </c>
      <c r="R190" s="8" t="s">
        <v>95</v>
      </c>
      <c r="S190" s="8">
        <v>1</v>
      </c>
      <c r="T190" s="8" t="s">
        <v>95</v>
      </c>
      <c r="U190" s="8">
        <v>1</v>
      </c>
      <c r="V190" s="8" t="s">
        <v>94</v>
      </c>
      <c r="W190" s="8">
        <v>0</v>
      </c>
      <c r="X190" s="8" t="s">
        <v>94</v>
      </c>
      <c r="Y190" s="8">
        <v>0</v>
      </c>
      <c r="Z190" s="8" t="s">
        <v>94</v>
      </c>
      <c r="AA190" s="8">
        <v>0</v>
      </c>
      <c r="AB190" s="8" t="s">
        <v>94</v>
      </c>
      <c r="AC190" s="8">
        <v>0</v>
      </c>
      <c r="AD190" s="8" t="s">
        <v>95</v>
      </c>
      <c r="AE190" s="8">
        <v>1</v>
      </c>
      <c r="AF190" s="8" t="s">
        <v>94</v>
      </c>
      <c r="AG190" s="8">
        <v>0</v>
      </c>
      <c r="AH190" s="8" t="s">
        <v>94</v>
      </c>
      <c r="AI190" s="8">
        <v>0</v>
      </c>
      <c r="AJ190" s="8" t="s">
        <v>94</v>
      </c>
      <c r="AK190" s="8">
        <v>0</v>
      </c>
      <c r="AL190" s="8" t="s">
        <v>94</v>
      </c>
      <c r="AM190" s="8">
        <v>0</v>
      </c>
      <c r="AN190" s="8">
        <v>3</v>
      </c>
    </row>
    <row r="191" spans="1:40" x14ac:dyDescent="0.25">
      <c r="A191" s="8" t="s">
        <v>251</v>
      </c>
      <c r="B191" s="9">
        <v>42033.661111111112</v>
      </c>
      <c r="C191" s="8">
        <v>0</v>
      </c>
      <c r="D191" s="9">
        <v>42034.242361111108</v>
      </c>
      <c r="E191" s="8" t="s">
        <v>93</v>
      </c>
      <c r="F191" s="8">
        <v>2</v>
      </c>
      <c r="G191" s="8" t="s">
        <v>94</v>
      </c>
      <c r="H191" s="8" t="s">
        <v>94</v>
      </c>
      <c r="I191" s="8">
        <v>0</v>
      </c>
      <c r="J191" s="8" t="s">
        <v>94</v>
      </c>
      <c r="K191" s="8">
        <v>0</v>
      </c>
      <c r="L191" s="8" t="s">
        <v>94</v>
      </c>
      <c r="M191" s="8">
        <v>0</v>
      </c>
      <c r="N191" s="8" t="s">
        <v>94</v>
      </c>
      <c r="O191" s="8">
        <v>0</v>
      </c>
      <c r="P191" s="8" t="s">
        <v>94</v>
      </c>
      <c r="Q191" s="8">
        <v>0</v>
      </c>
      <c r="R191" s="8" t="s">
        <v>94</v>
      </c>
      <c r="S191" s="8">
        <v>0</v>
      </c>
      <c r="T191" s="8" t="s">
        <v>94</v>
      </c>
      <c r="U191" s="8">
        <v>0</v>
      </c>
      <c r="V191" s="8" t="s">
        <v>94</v>
      </c>
      <c r="W191" s="8">
        <v>0</v>
      </c>
      <c r="X191" s="8" t="s">
        <v>94</v>
      </c>
      <c r="Y191" s="8">
        <v>0</v>
      </c>
      <c r="Z191" s="8" t="s">
        <v>94</v>
      </c>
      <c r="AA191" s="8">
        <v>0</v>
      </c>
      <c r="AB191" s="8" t="s">
        <v>94</v>
      </c>
      <c r="AC191" s="8">
        <v>0</v>
      </c>
      <c r="AD191" s="8" t="s">
        <v>95</v>
      </c>
      <c r="AE191" s="8">
        <v>1</v>
      </c>
      <c r="AF191" s="8" t="s">
        <v>95</v>
      </c>
      <c r="AG191" s="8">
        <v>1</v>
      </c>
      <c r="AH191" s="8" t="s">
        <v>94</v>
      </c>
      <c r="AI191" s="8">
        <v>0</v>
      </c>
      <c r="AJ191" s="8" t="s">
        <v>94</v>
      </c>
      <c r="AK191" s="8">
        <v>0</v>
      </c>
      <c r="AL191" s="8" t="s">
        <v>94</v>
      </c>
      <c r="AM191" s="8">
        <v>0</v>
      </c>
      <c r="AN191" s="8">
        <v>2</v>
      </c>
    </row>
    <row r="192" spans="1:40" x14ac:dyDescent="0.25">
      <c r="A192" s="8" t="s">
        <v>252</v>
      </c>
      <c r="B192" s="9">
        <v>42033.655555555553</v>
      </c>
      <c r="C192" s="8">
        <v>0</v>
      </c>
      <c r="D192" s="9">
        <v>42034.242361111108</v>
      </c>
      <c r="E192" s="8" t="s">
        <v>93</v>
      </c>
      <c r="F192" s="8">
        <v>16</v>
      </c>
      <c r="G192" s="8" t="s">
        <v>94</v>
      </c>
      <c r="H192" s="8" t="s">
        <v>95</v>
      </c>
      <c r="I192" s="8">
        <v>1</v>
      </c>
      <c r="J192" s="8" t="s">
        <v>95</v>
      </c>
      <c r="K192" s="8">
        <v>1</v>
      </c>
      <c r="L192" s="8" t="s">
        <v>95</v>
      </c>
      <c r="M192" s="8">
        <v>1</v>
      </c>
      <c r="N192" s="8" t="s">
        <v>95</v>
      </c>
      <c r="O192" s="8">
        <v>1</v>
      </c>
      <c r="P192" s="8" t="s">
        <v>95</v>
      </c>
      <c r="Q192" s="8">
        <v>1</v>
      </c>
      <c r="R192" s="8" t="s">
        <v>95</v>
      </c>
      <c r="S192" s="8">
        <v>1</v>
      </c>
      <c r="T192" s="8" t="s">
        <v>95</v>
      </c>
      <c r="U192" s="8">
        <v>1</v>
      </c>
      <c r="V192" s="8" t="s">
        <v>95</v>
      </c>
      <c r="W192" s="8">
        <v>1</v>
      </c>
      <c r="X192" s="8" t="s">
        <v>95</v>
      </c>
      <c r="Y192" s="8">
        <v>1</v>
      </c>
      <c r="Z192" s="8" t="s">
        <v>95</v>
      </c>
      <c r="AA192" s="8">
        <v>1</v>
      </c>
      <c r="AB192" s="8" t="s">
        <v>95</v>
      </c>
      <c r="AC192" s="8">
        <v>1</v>
      </c>
      <c r="AD192" s="8" t="s">
        <v>95</v>
      </c>
      <c r="AE192" s="8">
        <v>1</v>
      </c>
      <c r="AF192" s="8" t="s">
        <v>95</v>
      </c>
      <c r="AG192" s="8">
        <v>1</v>
      </c>
      <c r="AH192" s="8" t="s">
        <v>95</v>
      </c>
      <c r="AI192" s="8">
        <v>1</v>
      </c>
      <c r="AJ192" s="8" t="s">
        <v>95</v>
      </c>
      <c r="AK192" s="8">
        <v>1</v>
      </c>
      <c r="AL192" s="8" t="s">
        <v>95</v>
      </c>
      <c r="AM192" s="8">
        <v>1</v>
      </c>
      <c r="AN192" s="8">
        <v>16</v>
      </c>
    </row>
    <row r="193" spans="1:40" x14ac:dyDescent="0.25">
      <c r="A193" s="8" t="s">
        <v>253</v>
      </c>
      <c r="B193" s="9">
        <v>42033.683333333334</v>
      </c>
      <c r="C193" s="8">
        <v>0</v>
      </c>
      <c r="D193" s="9">
        <v>42034.243750000001</v>
      </c>
      <c r="E193" s="8" t="s">
        <v>93</v>
      </c>
      <c r="F193" s="8">
        <v>13</v>
      </c>
      <c r="G193" s="8" t="s">
        <v>94</v>
      </c>
      <c r="H193" s="8" t="s">
        <v>95</v>
      </c>
      <c r="I193" s="8">
        <v>1</v>
      </c>
      <c r="J193" s="8" t="s">
        <v>95</v>
      </c>
      <c r="K193" s="8">
        <v>1</v>
      </c>
      <c r="L193" s="8" t="s">
        <v>95</v>
      </c>
      <c r="M193" s="8">
        <v>1</v>
      </c>
      <c r="N193" s="8" t="s">
        <v>95</v>
      </c>
      <c r="O193" s="8">
        <v>1</v>
      </c>
      <c r="P193" s="8" t="s">
        <v>95</v>
      </c>
      <c r="Q193" s="8">
        <v>1</v>
      </c>
      <c r="R193" s="8" t="s">
        <v>94</v>
      </c>
      <c r="S193" s="8">
        <v>0</v>
      </c>
      <c r="T193" s="8" t="s">
        <v>94</v>
      </c>
      <c r="U193" s="8">
        <v>0</v>
      </c>
      <c r="V193" s="8" t="s">
        <v>95</v>
      </c>
      <c r="W193" s="8">
        <v>1</v>
      </c>
      <c r="X193" s="8" t="s">
        <v>95</v>
      </c>
      <c r="Y193" s="8">
        <v>1</v>
      </c>
      <c r="Z193" s="8" t="s">
        <v>95</v>
      </c>
      <c r="AA193" s="8">
        <v>1</v>
      </c>
      <c r="AB193" s="8" t="s">
        <v>95</v>
      </c>
      <c r="AC193" s="8">
        <v>1</v>
      </c>
      <c r="AD193" s="8" t="s">
        <v>95</v>
      </c>
      <c r="AE193" s="8">
        <v>1</v>
      </c>
      <c r="AF193" s="8" t="s">
        <v>95</v>
      </c>
      <c r="AG193" s="8">
        <v>1</v>
      </c>
      <c r="AH193" s="8" t="s">
        <v>95</v>
      </c>
      <c r="AI193" s="8">
        <v>1</v>
      </c>
      <c r="AJ193" s="8" t="s">
        <v>95</v>
      </c>
      <c r="AK193" s="8">
        <v>1</v>
      </c>
      <c r="AL193" s="8" t="s">
        <v>94</v>
      </c>
      <c r="AM193" s="8">
        <v>0</v>
      </c>
      <c r="AN193" s="8">
        <v>13</v>
      </c>
    </row>
    <row r="194" spans="1:40" x14ac:dyDescent="0.25">
      <c r="A194" s="8" t="s">
        <v>254</v>
      </c>
      <c r="B194" s="9">
        <v>42033.661805555559</v>
      </c>
      <c r="C194" s="8">
        <v>0</v>
      </c>
      <c r="D194" s="9">
        <v>42034.245833333334</v>
      </c>
      <c r="E194" s="8" t="s">
        <v>93</v>
      </c>
      <c r="F194" s="8">
        <v>7</v>
      </c>
      <c r="G194" s="8" t="s">
        <v>94</v>
      </c>
      <c r="H194" s="8" t="s">
        <v>95</v>
      </c>
      <c r="I194" s="8">
        <v>1</v>
      </c>
      <c r="J194" s="8" t="s">
        <v>94</v>
      </c>
      <c r="K194" s="8">
        <v>0</v>
      </c>
      <c r="L194" s="8" t="s">
        <v>95</v>
      </c>
      <c r="M194" s="8">
        <v>1</v>
      </c>
      <c r="N194" s="8" t="s">
        <v>94</v>
      </c>
      <c r="O194" s="8">
        <v>0</v>
      </c>
      <c r="P194" s="8" t="s">
        <v>94</v>
      </c>
      <c r="Q194" s="8">
        <v>0</v>
      </c>
      <c r="R194" s="8" t="s">
        <v>95</v>
      </c>
      <c r="S194" s="8">
        <v>1</v>
      </c>
      <c r="T194" s="8" t="s">
        <v>94</v>
      </c>
      <c r="U194" s="8">
        <v>0</v>
      </c>
      <c r="V194" s="8" t="s">
        <v>94</v>
      </c>
      <c r="W194" s="8">
        <v>0</v>
      </c>
      <c r="X194" s="8" t="s">
        <v>95</v>
      </c>
      <c r="Y194" s="8">
        <v>1</v>
      </c>
      <c r="Z194" s="8" t="s">
        <v>94</v>
      </c>
      <c r="AA194" s="8">
        <v>0</v>
      </c>
      <c r="AB194" s="8" t="s">
        <v>94</v>
      </c>
      <c r="AC194" s="8">
        <v>0</v>
      </c>
      <c r="AD194" s="8" t="s">
        <v>95</v>
      </c>
      <c r="AE194" s="8">
        <v>1</v>
      </c>
      <c r="AF194" s="8" t="s">
        <v>95</v>
      </c>
      <c r="AG194" s="8">
        <v>1</v>
      </c>
      <c r="AH194" s="8" t="s">
        <v>94</v>
      </c>
      <c r="AI194" s="8">
        <v>0</v>
      </c>
      <c r="AJ194" s="8" t="s">
        <v>94</v>
      </c>
      <c r="AK194" s="8">
        <v>0</v>
      </c>
      <c r="AL194" s="8" t="s">
        <v>95</v>
      </c>
      <c r="AM194" s="8">
        <v>1</v>
      </c>
      <c r="AN194" s="8">
        <v>7</v>
      </c>
    </row>
    <row r="195" spans="1:40" x14ac:dyDescent="0.25">
      <c r="A195" s="8" t="s">
        <v>255</v>
      </c>
      <c r="B195" s="9">
        <v>42033.663888888892</v>
      </c>
      <c r="C195" s="8">
        <v>0</v>
      </c>
      <c r="D195" s="9">
        <v>42034.24722222222</v>
      </c>
      <c r="E195" s="8" t="s">
        <v>93</v>
      </c>
      <c r="F195" s="8">
        <v>16</v>
      </c>
      <c r="G195" s="8" t="s">
        <v>94</v>
      </c>
      <c r="H195" s="8" t="s">
        <v>95</v>
      </c>
      <c r="I195" s="8">
        <v>1</v>
      </c>
      <c r="J195" s="8" t="s">
        <v>95</v>
      </c>
      <c r="K195" s="8">
        <v>1</v>
      </c>
      <c r="L195" s="8" t="s">
        <v>95</v>
      </c>
      <c r="M195" s="8">
        <v>1</v>
      </c>
      <c r="N195" s="8" t="s">
        <v>95</v>
      </c>
      <c r="O195" s="8">
        <v>1</v>
      </c>
      <c r="P195" s="8" t="s">
        <v>95</v>
      </c>
      <c r="Q195" s="8">
        <v>1</v>
      </c>
      <c r="R195" s="8" t="s">
        <v>95</v>
      </c>
      <c r="S195" s="8">
        <v>1</v>
      </c>
      <c r="T195" s="8" t="s">
        <v>95</v>
      </c>
      <c r="U195" s="8">
        <v>1</v>
      </c>
      <c r="V195" s="8" t="s">
        <v>95</v>
      </c>
      <c r="W195" s="8">
        <v>1</v>
      </c>
      <c r="X195" s="8" t="s">
        <v>95</v>
      </c>
      <c r="Y195" s="8">
        <v>1</v>
      </c>
      <c r="Z195" s="8" t="s">
        <v>95</v>
      </c>
      <c r="AA195" s="8">
        <v>1</v>
      </c>
      <c r="AB195" s="8" t="s">
        <v>95</v>
      </c>
      <c r="AC195" s="8">
        <v>1</v>
      </c>
      <c r="AD195" s="8" t="s">
        <v>95</v>
      </c>
      <c r="AE195" s="8">
        <v>1</v>
      </c>
      <c r="AF195" s="8" t="s">
        <v>95</v>
      </c>
      <c r="AG195" s="8">
        <v>1</v>
      </c>
      <c r="AH195" s="8" t="s">
        <v>95</v>
      </c>
      <c r="AI195" s="8">
        <v>1</v>
      </c>
      <c r="AJ195" s="8" t="s">
        <v>95</v>
      </c>
      <c r="AK195" s="8">
        <v>1</v>
      </c>
      <c r="AL195" s="8" t="s">
        <v>95</v>
      </c>
      <c r="AM195" s="8">
        <v>1</v>
      </c>
      <c r="AN195" s="8">
        <v>16</v>
      </c>
    </row>
    <row r="196" spans="1:40" x14ac:dyDescent="0.25">
      <c r="A196" s="8" t="s">
        <v>256</v>
      </c>
      <c r="B196" s="9">
        <v>42033.657638888886</v>
      </c>
      <c r="C196" s="8">
        <v>0</v>
      </c>
      <c r="D196" s="9">
        <v>42034.249305555553</v>
      </c>
      <c r="E196" s="8" t="s">
        <v>93</v>
      </c>
      <c r="F196" s="8">
        <v>16</v>
      </c>
      <c r="G196" s="8" t="s">
        <v>94</v>
      </c>
      <c r="H196" s="8" t="s">
        <v>95</v>
      </c>
      <c r="I196" s="8">
        <v>1</v>
      </c>
      <c r="J196" s="8" t="s">
        <v>95</v>
      </c>
      <c r="K196" s="8">
        <v>1</v>
      </c>
      <c r="L196" s="8" t="s">
        <v>95</v>
      </c>
      <c r="M196" s="8">
        <v>1</v>
      </c>
      <c r="N196" s="8" t="s">
        <v>95</v>
      </c>
      <c r="O196" s="8">
        <v>1</v>
      </c>
      <c r="P196" s="8" t="s">
        <v>95</v>
      </c>
      <c r="Q196" s="8">
        <v>1</v>
      </c>
      <c r="R196" s="8" t="s">
        <v>95</v>
      </c>
      <c r="S196" s="8">
        <v>1</v>
      </c>
      <c r="T196" s="8" t="s">
        <v>95</v>
      </c>
      <c r="U196" s="8">
        <v>1</v>
      </c>
      <c r="V196" s="8" t="s">
        <v>95</v>
      </c>
      <c r="W196" s="8">
        <v>1</v>
      </c>
      <c r="X196" s="8" t="s">
        <v>95</v>
      </c>
      <c r="Y196" s="8">
        <v>1</v>
      </c>
      <c r="Z196" s="8" t="s">
        <v>95</v>
      </c>
      <c r="AA196" s="8">
        <v>1</v>
      </c>
      <c r="AB196" s="8" t="s">
        <v>95</v>
      </c>
      <c r="AC196" s="8">
        <v>1</v>
      </c>
      <c r="AD196" s="8" t="s">
        <v>95</v>
      </c>
      <c r="AE196" s="8">
        <v>1</v>
      </c>
      <c r="AF196" s="8" t="s">
        <v>95</v>
      </c>
      <c r="AG196" s="8">
        <v>1</v>
      </c>
      <c r="AH196" s="8" t="s">
        <v>95</v>
      </c>
      <c r="AI196" s="8">
        <v>1</v>
      </c>
      <c r="AJ196" s="8" t="s">
        <v>95</v>
      </c>
      <c r="AK196" s="8">
        <v>1</v>
      </c>
      <c r="AL196" s="8" t="s">
        <v>95</v>
      </c>
      <c r="AM196" s="8">
        <v>1</v>
      </c>
      <c r="AN196" s="8">
        <v>16</v>
      </c>
    </row>
    <row r="197" spans="1:40" x14ac:dyDescent="0.25">
      <c r="A197" s="8" t="s">
        <v>257</v>
      </c>
      <c r="B197" s="9">
        <v>42033.681250000001</v>
      </c>
      <c r="C197" s="8">
        <v>0</v>
      </c>
      <c r="D197" s="9">
        <v>42034.252083333333</v>
      </c>
      <c r="E197" s="8" t="s">
        <v>93</v>
      </c>
      <c r="F197" s="8">
        <v>16</v>
      </c>
      <c r="G197" s="8" t="s">
        <v>94</v>
      </c>
      <c r="H197" s="8" t="s">
        <v>95</v>
      </c>
      <c r="I197" s="8">
        <v>1</v>
      </c>
      <c r="J197" s="8" t="s">
        <v>95</v>
      </c>
      <c r="K197" s="8">
        <v>1</v>
      </c>
      <c r="L197" s="8" t="s">
        <v>95</v>
      </c>
      <c r="M197" s="8">
        <v>1</v>
      </c>
      <c r="N197" s="8" t="s">
        <v>95</v>
      </c>
      <c r="O197" s="8">
        <v>1</v>
      </c>
      <c r="P197" s="8" t="s">
        <v>95</v>
      </c>
      <c r="Q197" s="8">
        <v>1</v>
      </c>
      <c r="R197" s="8" t="s">
        <v>95</v>
      </c>
      <c r="S197" s="8">
        <v>1</v>
      </c>
      <c r="T197" s="8" t="s">
        <v>95</v>
      </c>
      <c r="U197" s="8">
        <v>1</v>
      </c>
      <c r="V197" s="8" t="s">
        <v>95</v>
      </c>
      <c r="W197" s="8">
        <v>1</v>
      </c>
      <c r="X197" s="8" t="s">
        <v>95</v>
      </c>
      <c r="Y197" s="8">
        <v>1</v>
      </c>
      <c r="Z197" s="8" t="s">
        <v>95</v>
      </c>
      <c r="AA197" s="8">
        <v>1</v>
      </c>
      <c r="AB197" s="8" t="s">
        <v>95</v>
      </c>
      <c r="AC197" s="8">
        <v>1</v>
      </c>
      <c r="AD197" s="8" t="s">
        <v>95</v>
      </c>
      <c r="AE197" s="8">
        <v>1</v>
      </c>
      <c r="AF197" s="8" t="s">
        <v>95</v>
      </c>
      <c r="AG197" s="8">
        <v>1</v>
      </c>
      <c r="AH197" s="8" t="s">
        <v>95</v>
      </c>
      <c r="AI197" s="8">
        <v>1</v>
      </c>
      <c r="AJ197" s="8" t="s">
        <v>95</v>
      </c>
      <c r="AK197" s="8">
        <v>1</v>
      </c>
      <c r="AL197" s="8" t="s">
        <v>95</v>
      </c>
      <c r="AM197" s="8">
        <v>1</v>
      </c>
      <c r="AN197" s="8">
        <v>16</v>
      </c>
    </row>
    <row r="198" spans="1:40" x14ac:dyDescent="0.25">
      <c r="A198" s="8" t="s">
        <v>258</v>
      </c>
      <c r="B198" s="9">
        <v>42033.655555555553</v>
      </c>
      <c r="C198" s="8">
        <v>0</v>
      </c>
      <c r="D198" s="9">
        <v>42034.252083333333</v>
      </c>
      <c r="E198" s="8" t="s">
        <v>93</v>
      </c>
      <c r="F198" s="8">
        <v>16</v>
      </c>
      <c r="G198" s="8" t="s">
        <v>94</v>
      </c>
      <c r="H198" s="8" t="s">
        <v>95</v>
      </c>
      <c r="I198" s="8">
        <v>1</v>
      </c>
      <c r="J198" s="8" t="s">
        <v>95</v>
      </c>
      <c r="K198" s="8">
        <v>1</v>
      </c>
      <c r="L198" s="8" t="s">
        <v>95</v>
      </c>
      <c r="M198" s="8">
        <v>1</v>
      </c>
      <c r="N198" s="8" t="s">
        <v>95</v>
      </c>
      <c r="O198" s="8">
        <v>1</v>
      </c>
      <c r="P198" s="8" t="s">
        <v>95</v>
      </c>
      <c r="Q198" s="8">
        <v>1</v>
      </c>
      <c r="R198" s="8" t="s">
        <v>95</v>
      </c>
      <c r="S198" s="8">
        <v>1</v>
      </c>
      <c r="T198" s="8" t="s">
        <v>95</v>
      </c>
      <c r="U198" s="8">
        <v>1</v>
      </c>
      <c r="V198" s="8" t="s">
        <v>95</v>
      </c>
      <c r="W198" s="8">
        <v>1</v>
      </c>
      <c r="X198" s="8" t="s">
        <v>95</v>
      </c>
      <c r="Y198" s="8">
        <v>1</v>
      </c>
      <c r="Z198" s="8" t="s">
        <v>95</v>
      </c>
      <c r="AA198" s="8">
        <v>1</v>
      </c>
      <c r="AB198" s="8" t="s">
        <v>95</v>
      </c>
      <c r="AC198" s="8">
        <v>1</v>
      </c>
      <c r="AD198" s="8" t="s">
        <v>95</v>
      </c>
      <c r="AE198" s="8">
        <v>1</v>
      </c>
      <c r="AF198" s="8" t="s">
        <v>95</v>
      </c>
      <c r="AG198" s="8">
        <v>1</v>
      </c>
      <c r="AH198" s="8" t="s">
        <v>95</v>
      </c>
      <c r="AI198" s="8">
        <v>1</v>
      </c>
      <c r="AJ198" s="8" t="s">
        <v>95</v>
      </c>
      <c r="AK198" s="8">
        <v>1</v>
      </c>
      <c r="AL198" s="8" t="s">
        <v>95</v>
      </c>
      <c r="AM198" s="8">
        <v>1</v>
      </c>
      <c r="AN198" s="8">
        <v>16</v>
      </c>
    </row>
    <row r="199" spans="1:40" x14ac:dyDescent="0.25">
      <c r="A199" s="8" t="s">
        <v>259</v>
      </c>
      <c r="B199" s="9">
        <v>42033.654861111114</v>
      </c>
      <c r="C199" s="8">
        <v>0</v>
      </c>
      <c r="D199" s="9">
        <v>42034.256944444445</v>
      </c>
      <c r="E199" s="8" t="s">
        <v>93</v>
      </c>
      <c r="F199" s="8">
        <v>16</v>
      </c>
      <c r="G199" s="8" t="s">
        <v>94</v>
      </c>
      <c r="H199" s="8" t="s">
        <v>95</v>
      </c>
      <c r="I199" s="8">
        <v>1</v>
      </c>
      <c r="J199" s="8" t="s">
        <v>95</v>
      </c>
      <c r="K199" s="8">
        <v>1</v>
      </c>
      <c r="L199" s="8" t="s">
        <v>95</v>
      </c>
      <c r="M199" s="8">
        <v>1</v>
      </c>
      <c r="N199" s="8" t="s">
        <v>95</v>
      </c>
      <c r="O199" s="8">
        <v>1</v>
      </c>
      <c r="P199" s="8" t="s">
        <v>95</v>
      </c>
      <c r="Q199" s="8">
        <v>1</v>
      </c>
      <c r="R199" s="8" t="s">
        <v>95</v>
      </c>
      <c r="S199" s="8">
        <v>1</v>
      </c>
      <c r="T199" s="8" t="s">
        <v>95</v>
      </c>
      <c r="U199" s="8">
        <v>1</v>
      </c>
      <c r="V199" s="8" t="s">
        <v>95</v>
      </c>
      <c r="W199" s="8">
        <v>1</v>
      </c>
      <c r="X199" s="8" t="s">
        <v>95</v>
      </c>
      <c r="Y199" s="8">
        <v>1</v>
      </c>
      <c r="Z199" s="8" t="s">
        <v>95</v>
      </c>
      <c r="AA199" s="8">
        <v>1</v>
      </c>
      <c r="AB199" s="8" t="s">
        <v>95</v>
      </c>
      <c r="AC199" s="8">
        <v>1</v>
      </c>
      <c r="AD199" s="8" t="s">
        <v>95</v>
      </c>
      <c r="AE199" s="8">
        <v>1</v>
      </c>
      <c r="AF199" s="8" t="s">
        <v>95</v>
      </c>
      <c r="AG199" s="8">
        <v>1</v>
      </c>
      <c r="AH199" s="8" t="s">
        <v>95</v>
      </c>
      <c r="AI199" s="8">
        <v>1</v>
      </c>
      <c r="AJ199" s="8" t="s">
        <v>95</v>
      </c>
      <c r="AK199" s="8">
        <v>1</v>
      </c>
      <c r="AL199" s="8" t="s">
        <v>95</v>
      </c>
      <c r="AM199" s="8">
        <v>1</v>
      </c>
      <c r="AN199" s="8">
        <v>16</v>
      </c>
    </row>
    <row r="200" spans="1:40" x14ac:dyDescent="0.25">
      <c r="A200" s="8" t="s">
        <v>260</v>
      </c>
      <c r="B200" s="9">
        <v>42033.675694444442</v>
      </c>
      <c r="C200" s="8">
        <v>0</v>
      </c>
      <c r="D200" s="9">
        <v>42034.257638888892</v>
      </c>
      <c r="E200" s="8" t="s">
        <v>93</v>
      </c>
      <c r="F200" s="8">
        <v>9</v>
      </c>
      <c r="G200" s="8" t="s">
        <v>94</v>
      </c>
      <c r="H200" s="8" t="s">
        <v>95</v>
      </c>
      <c r="I200" s="8">
        <v>1</v>
      </c>
      <c r="J200" s="8" t="s">
        <v>95</v>
      </c>
      <c r="K200" s="8">
        <v>1</v>
      </c>
      <c r="L200" s="8" t="s">
        <v>94</v>
      </c>
      <c r="M200" s="8">
        <v>0</v>
      </c>
      <c r="N200" s="8" t="s">
        <v>94</v>
      </c>
      <c r="O200" s="8">
        <v>0</v>
      </c>
      <c r="P200" s="8" t="s">
        <v>94</v>
      </c>
      <c r="Q200" s="8">
        <v>0</v>
      </c>
      <c r="R200" s="8" t="s">
        <v>95</v>
      </c>
      <c r="S200" s="8">
        <v>1</v>
      </c>
      <c r="T200" s="8" t="s">
        <v>94</v>
      </c>
      <c r="U200" s="8">
        <v>0</v>
      </c>
      <c r="V200" s="8" t="s">
        <v>94</v>
      </c>
      <c r="W200" s="8">
        <v>0</v>
      </c>
      <c r="X200" s="8" t="s">
        <v>94</v>
      </c>
      <c r="Y200" s="8">
        <v>0</v>
      </c>
      <c r="Z200" s="8" t="s">
        <v>94</v>
      </c>
      <c r="AA200" s="8">
        <v>0</v>
      </c>
      <c r="AB200" s="8" t="s">
        <v>95</v>
      </c>
      <c r="AC200" s="8">
        <v>1</v>
      </c>
      <c r="AD200" s="8" t="s">
        <v>95</v>
      </c>
      <c r="AE200" s="8">
        <v>1</v>
      </c>
      <c r="AF200" s="8" t="s">
        <v>95</v>
      </c>
      <c r="AG200" s="8">
        <v>1</v>
      </c>
      <c r="AH200" s="8" t="s">
        <v>95</v>
      </c>
      <c r="AI200" s="8">
        <v>1</v>
      </c>
      <c r="AJ200" s="8" t="s">
        <v>95</v>
      </c>
      <c r="AK200" s="8">
        <v>1</v>
      </c>
      <c r="AL200" s="8" t="s">
        <v>95</v>
      </c>
      <c r="AM200" s="8">
        <v>1</v>
      </c>
      <c r="AN200" s="8">
        <v>9</v>
      </c>
    </row>
    <row r="201" spans="1:40" x14ac:dyDescent="0.25">
      <c r="A201" s="8" t="s">
        <v>261</v>
      </c>
      <c r="B201" s="9">
        <v>42033.652777777781</v>
      </c>
      <c r="C201" s="8">
        <v>0</v>
      </c>
      <c r="D201" s="9">
        <v>42034.26666666667</v>
      </c>
      <c r="E201" s="8" t="s">
        <v>93</v>
      </c>
      <c r="F201" s="8">
        <v>16</v>
      </c>
      <c r="G201" s="8" t="s">
        <v>94</v>
      </c>
      <c r="H201" s="8" t="s">
        <v>95</v>
      </c>
      <c r="I201" s="8">
        <v>1</v>
      </c>
      <c r="J201" s="8" t="s">
        <v>95</v>
      </c>
      <c r="K201" s="8">
        <v>1</v>
      </c>
      <c r="L201" s="8" t="s">
        <v>95</v>
      </c>
      <c r="M201" s="8">
        <v>1</v>
      </c>
      <c r="N201" s="8" t="s">
        <v>95</v>
      </c>
      <c r="O201" s="8">
        <v>1</v>
      </c>
      <c r="P201" s="8" t="s">
        <v>95</v>
      </c>
      <c r="Q201" s="8">
        <v>1</v>
      </c>
      <c r="R201" s="8" t="s">
        <v>95</v>
      </c>
      <c r="S201" s="8">
        <v>1</v>
      </c>
      <c r="T201" s="8" t="s">
        <v>95</v>
      </c>
      <c r="U201" s="8">
        <v>1</v>
      </c>
      <c r="V201" s="8" t="s">
        <v>95</v>
      </c>
      <c r="W201" s="8">
        <v>1</v>
      </c>
      <c r="X201" s="8" t="s">
        <v>95</v>
      </c>
      <c r="Y201" s="8">
        <v>1</v>
      </c>
      <c r="Z201" s="8" t="s">
        <v>95</v>
      </c>
      <c r="AA201" s="8">
        <v>1</v>
      </c>
      <c r="AB201" s="8" t="s">
        <v>95</v>
      </c>
      <c r="AC201" s="8">
        <v>1</v>
      </c>
      <c r="AD201" s="8" t="s">
        <v>95</v>
      </c>
      <c r="AE201" s="8">
        <v>1</v>
      </c>
      <c r="AF201" s="8" t="s">
        <v>95</v>
      </c>
      <c r="AG201" s="8">
        <v>1</v>
      </c>
      <c r="AH201" s="8" t="s">
        <v>95</v>
      </c>
      <c r="AI201" s="8">
        <v>1</v>
      </c>
      <c r="AJ201" s="8" t="s">
        <v>95</v>
      </c>
      <c r="AK201" s="8">
        <v>1</v>
      </c>
      <c r="AL201" s="8" t="s">
        <v>95</v>
      </c>
      <c r="AM201" s="8">
        <v>1</v>
      </c>
      <c r="AN201" s="8">
        <v>16</v>
      </c>
    </row>
    <row r="202" spans="1:40" x14ac:dyDescent="0.25">
      <c r="A202" s="8" t="s">
        <v>262</v>
      </c>
      <c r="B202" s="9">
        <v>42033.663194444445</v>
      </c>
      <c r="C202" s="8">
        <v>0</v>
      </c>
      <c r="D202" s="9">
        <v>42034.274305555555</v>
      </c>
      <c r="E202" s="8" t="s">
        <v>93</v>
      </c>
      <c r="F202" s="8">
        <v>7</v>
      </c>
      <c r="G202" s="8" t="s">
        <v>94</v>
      </c>
      <c r="H202" s="8" t="s">
        <v>95</v>
      </c>
      <c r="I202" s="8">
        <v>1</v>
      </c>
      <c r="J202" s="8" t="s">
        <v>94</v>
      </c>
      <c r="K202" s="8">
        <v>0</v>
      </c>
      <c r="L202" s="8" t="s">
        <v>94</v>
      </c>
      <c r="M202" s="8">
        <v>0</v>
      </c>
      <c r="N202" s="8" t="s">
        <v>94</v>
      </c>
      <c r="O202" s="8">
        <v>0</v>
      </c>
      <c r="P202" s="8" t="s">
        <v>95</v>
      </c>
      <c r="Q202" s="8">
        <v>1</v>
      </c>
      <c r="R202" s="8" t="s">
        <v>94</v>
      </c>
      <c r="S202" s="8">
        <v>0</v>
      </c>
      <c r="T202" s="8" t="s">
        <v>94</v>
      </c>
      <c r="U202" s="8">
        <v>0</v>
      </c>
      <c r="V202" s="8" t="s">
        <v>95</v>
      </c>
      <c r="W202" s="8">
        <v>1</v>
      </c>
      <c r="X202" s="8" t="s">
        <v>95</v>
      </c>
      <c r="Y202" s="8">
        <v>1</v>
      </c>
      <c r="Z202" s="8" t="s">
        <v>95</v>
      </c>
      <c r="AA202" s="8">
        <v>1</v>
      </c>
      <c r="AB202" s="8" t="s">
        <v>94</v>
      </c>
      <c r="AC202" s="8">
        <v>0</v>
      </c>
      <c r="AD202" s="8" t="s">
        <v>95</v>
      </c>
      <c r="AE202" s="8">
        <v>1</v>
      </c>
      <c r="AF202" s="8" t="s">
        <v>94</v>
      </c>
      <c r="AG202" s="8">
        <v>0</v>
      </c>
      <c r="AH202" s="8" t="s">
        <v>94</v>
      </c>
      <c r="AI202" s="8">
        <v>0</v>
      </c>
      <c r="AJ202" s="8" t="s">
        <v>95</v>
      </c>
      <c r="AK202" s="8">
        <v>1</v>
      </c>
      <c r="AL202" s="8" t="s">
        <v>94</v>
      </c>
      <c r="AM202" s="8">
        <v>0</v>
      </c>
      <c r="AN202" s="8">
        <v>7</v>
      </c>
    </row>
    <row r="203" spans="1:40" x14ac:dyDescent="0.25">
      <c r="A203" s="8" t="s">
        <v>263</v>
      </c>
      <c r="B203" s="9">
        <v>42033.684027777781</v>
      </c>
      <c r="C203" s="8">
        <v>0</v>
      </c>
      <c r="D203" s="9">
        <v>42034.279166666667</v>
      </c>
      <c r="E203" s="8" t="s">
        <v>93</v>
      </c>
      <c r="F203" s="8">
        <v>16</v>
      </c>
      <c r="G203" s="8" t="s">
        <v>94</v>
      </c>
      <c r="H203" s="8" t="s">
        <v>95</v>
      </c>
      <c r="I203" s="8">
        <v>1</v>
      </c>
      <c r="J203" s="8" t="s">
        <v>95</v>
      </c>
      <c r="K203" s="8">
        <v>1</v>
      </c>
      <c r="L203" s="8" t="s">
        <v>95</v>
      </c>
      <c r="M203" s="8">
        <v>1</v>
      </c>
      <c r="N203" s="8" t="s">
        <v>95</v>
      </c>
      <c r="O203" s="8">
        <v>1</v>
      </c>
      <c r="P203" s="8" t="s">
        <v>95</v>
      </c>
      <c r="Q203" s="8">
        <v>1</v>
      </c>
      <c r="R203" s="8" t="s">
        <v>95</v>
      </c>
      <c r="S203" s="8">
        <v>1</v>
      </c>
      <c r="T203" s="8" t="s">
        <v>95</v>
      </c>
      <c r="U203" s="8">
        <v>1</v>
      </c>
      <c r="V203" s="8" t="s">
        <v>95</v>
      </c>
      <c r="W203" s="8">
        <v>1</v>
      </c>
      <c r="X203" s="8" t="s">
        <v>95</v>
      </c>
      <c r="Y203" s="8">
        <v>1</v>
      </c>
      <c r="Z203" s="8" t="s">
        <v>95</v>
      </c>
      <c r="AA203" s="8">
        <v>1</v>
      </c>
      <c r="AB203" s="8" t="s">
        <v>95</v>
      </c>
      <c r="AC203" s="8">
        <v>1</v>
      </c>
      <c r="AD203" s="8" t="s">
        <v>95</v>
      </c>
      <c r="AE203" s="8">
        <v>1</v>
      </c>
      <c r="AF203" s="8" t="s">
        <v>95</v>
      </c>
      <c r="AG203" s="8">
        <v>1</v>
      </c>
      <c r="AH203" s="8" t="s">
        <v>95</v>
      </c>
      <c r="AI203" s="8">
        <v>1</v>
      </c>
      <c r="AJ203" s="8" t="s">
        <v>95</v>
      </c>
      <c r="AK203" s="8">
        <v>1</v>
      </c>
      <c r="AL203" s="8" t="s">
        <v>95</v>
      </c>
      <c r="AM203" s="8">
        <v>1</v>
      </c>
      <c r="AN203" s="8">
        <v>16</v>
      </c>
    </row>
    <row r="204" spans="1:40" x14ac:dyDescent="0.25">
      <c r="A204" s="8" t="s">
        <v>264</v>
      </c>
      <c r="B204" s="9">
        <v>42033.652777777781</v>
      </c>
      <c r="C204" s="8">
        <v>0</v>
      </c>
      <c r="D204" s="9">
        <v>42034.288888888892</v>
      </c>
      <c r="E204" s="8" t="s">
        <v>93</v>
      </c>
      <c r="F204" s="8">
        <v>16</v>
      </c>
      <c r="G204" s="8" t="s">
        <v>94</v>
      </c>
      <c r="H204" s="8" t="s">
        <v>95</v>
      </c>
      <c r="I204" s="8">
        <v>1</v>
      </c>
      <c r="J204" s="8" t="s">
        <v>95</v>
      </c>
      <c r="K204" s="8">
        <v>1</v>
      </c>
      <c r="L204" s="8" t="s">
        <v>95</v>
      </c>
      <c r="M204" s="8">
        <v>1</v>
      </c>
      <c r="N204" s="8" t="s">
        <v>95</v>
      </c>
      <c r="O204" s="8">
        <v>1</v>
      </c>
      <c r="P204" s="8" t="s">
        <v>95</v>
      </c>
      <c r="Q204" s="8">
        <v>1</v>
      </c>
      <c r="R204" s="8" t="s">
        <v>95</v>
      </c>
      <c r="S204" s="8">
        <v>1</v>
      </c>
      <c r="T204" s="8" t="s">
        <v>95</v>
      </c>
      <c r="U204" s="8">
        <v>1</v>
      </c>
      <c r="V204" s="8" t="s">
        <v>95</v>
      </c>
      <c r="W204" s="8">
        <v>1</v>
      </c>
      <c r="X204" s="8" t="s">
        <v>95</v>
      </c>
      <c r="Y204" s="8">
        <v>1</v>
      </c>
      <c r="Z204" s="8" t="s">
        <v>95</v>
      </c>
      <c r="AA204" s="8">
        <v>1</v>
      </c>
      <c r="AB204" s="8" t="s">
        <v>95</v>
      </c>
      <c r="AC204" s="8">
        <v>1</v>
      </c>
      <c r="AD204" s="8" t="s">
        <v>95</v>
      </c>
      <c r="AE204" s="8">
        <v>1</v>
      </c>
      <c r="AF204" s="8" t="s">
        <v>95</v>
      </c>
      <c r="AG204" s="8">
        <v>1</v>
      </c>
      <c r="AH204" s="8" t="s">
        <v>95</v>
      </c>
      <c r="AI204" s="8">
        <v>1</v>
      </c>
      <c r="AJ204" s="8" t="s">
        <v>95</v>
      </c>
      <c r="AK204" s="8">
        <v>1</v>
      </c>
      <c r="AL204" s="8" t="s">
        <v>95</v>
      </c>
      <c r="AM204" s="8">
        <v>1</v>
      </c>
      <c r="AN204" s="8">
        <v>16</v>
      </c>
    </row>
    <row r="205" spans="1:40" x14ac:dyDescent="0.25">
      <c r="A205" s="8" t="s">
        <v>265</v>
      </c>
      <c r="B205" s="9">
        <v>42033.679166666669</v>
      </c>
      <c r="C205" s="8">
        <v>0</v>
      </c>
      <c r="D205" s="9">
        <v>42034.288888888892</v>
      </c>
      <c r="E205" s="8" t="s">
        <v>93</v>
      </c>
      <c r="F205" s="8">
        <v>16</v>
      </c>
      <c r="G205" s="8" t="s">
        <v>94</v>
      </c>
      <c r="H205" s="8" t="s">
        <v>95</v>
      </c>
      <c r="I205" s="8">
        <v>1</v>
      </c>
      <c r="J205" s="8" t="s">
        <v>95</v>
      </c>
      <c r="K205" s="8">
        <v>1</v>
      </c>
      <c r="L205" s="8" t="s">
        <v>95</v>
      </c>
      <c r="M205" s="8">
        <v>1</v>
      </c>
      <c r="N205" s="8" t="s">
        <v>95</v>
      </c>
      <c r="O205" s="8">
        <v>1</v>
      </c>
      <c r="P205" s="8" t="s">
        <v>95</v>
      </c>
      <c r="Q205" s="8">
        <v>1</v>
      </c>
      <c r="R205" s="8" t="s">
        <v>95</v>
      </c>
      <c r="S205" s="8">
        <v>1</v>
      </c>
      <c r="T205" s="8" t="s">
        <v>95</v>
      </c>
      <c r="U205" s="8">
        <v>1</v>
      </c>
      <c r="V205" s="8" t="s">
        <v>95</v>
      </c>
      <c r="W205" s="8">
        <v>1</v>
      </c>
      <c r="X205" s="8" t="s">
        <v>95</v>
      </c>
      <c r="Y205" s="8">
        <v>1</v>
      </c>
      <c r="Z205" s="8" t="s">
        <v>95</v>
      </c>
      <c r="AA205" s="8">
        <v>1</v>
      </c>
      <c r="AB205" s="8" t="s">
        <v>95</v>
      </c>
      <c r="AC205" s="8">
        <v>1</v>
      </c>
      <c r="AD205" s="8" t="s">
        <v>95</v>
      </c>
      <c r="AE205" s="8">
        <v>1</v>
      </c>
      <c r="AF205" s="8" t="s">
        <v>95</v>
      </c>
      <c r="AG205" s="8">
        <v>1</v>
      </c>
      <c r="AH205" s="8" t="s">
        <v>95</v>
      </c>
      <c r="AI205" s="8">
        <v>1</v>
      </c>
      <c r="AJ205" s="8" t="s">
        <v>95</v>
      </c>
      <c r="AK205" s="8">
        <v>1</v>
      </c>
      <c r="AL205" s="8" t="s">
        <v>95</v>
      </c>
      <c r="AM205" s="8">
        <v>1</v>
      </c>
      <c r="AN205" s="8">
        <v>16</v>
      </c>
    </row>
    <row r="206" spans="1:40" x14ac:dyDescent="0.25">
      <c r="A206" s="8" t="s">
        <v>266</v>
      </c>
      <c r="B206" s="9">
        <v>42033.68472222222</v>
      </c>
      <c r="C206" s="8">
        <v>0</v>
      </c>
      <c r="D206" s="9">
        <v>42034.292361111111</v>
      </c>
      <c r="E206" s="8" t="s">
        <v>93</v>
      </c>
      <c r="F206" s="8">
        <v>10</v>
      </c>
      <c r="G206" s="8" t="s">
        <v>94</v>
      </c>
      <c r="H206" s="8" t="s">
        <v>95</v>
      </c>
      <c r="I206" s="8">
        <v>1</v>
      </c>
      <c r="J206" s="8" t="s">
        <v>94</v>
      </c>
      <c r="K206" s="8">
        <v>0</v>
      </c>
      <c r="L206" s="8" t="s">
        <v>94</v>
      </c>
      <c r="M206" s="8">
        <v>0</v>
      </c>
      <c r="N206" s="8" t="s">
        <v>94</v>
      </c>
      <c r="O206" s="8">
        <v>0</v>
      </c>
      <c r="P206" s="8" t="s">
        <v>94</v>
      </c>
      <c r="Q206" s="8">
        <v>0</v>
      </c>
      <c r="R206" s="8" t="s">
        <v>95</v>
      </c>
      <c r="S206" s="8">
        <v>1</v>
      </c>
      <c r="T206" s="8" t="s">
        <v>95</v>
      </c>
      <c r="U206" s="8">
        <v>1</v>
      </c>
      <c r="V206" s="8" t="s">
        <v>94</v>
      </c>
      <c r="W206" s="8">
        <v>0</v>
      </c>
      <c r="X206" s="8" t="s">
        <v>95</v>
      </c>
      <c r="Y206" s="8">
        <v>1</v>
      </c>
      <c r="Z206" s="8" t="s">
        <v>94</v>
      </c>
      <c r="AA206" s="8">
        <v>0</v>
      </c>
      <c r="AB206" s="8" t="s">
        <v>95</v>
      </c>
      <c r="AC206" s="8">
        <v>1</v>
      </c>
      <c r="AD206" s="8" t="s">
        <v>95</v>
      </c>
      <c r="AE206" s="8">
        <v>1</v>
      </c>
      <c r="AF206" s="8" t="s">
        <v>95</v>
      </c>
      <c r="AG206" s="8">
        <v>1</v>
      </c>
      <c r="AH206" s="8" t="s">
        <v>95</v>
      </c>
      <c r="AI206" s="8">
        <v>1</v>
      </c>
      <c r="AJ206" s="8" t="s">
        <v>95</v>
      </c>
      <c r="AK206" s="8">
        <v>1</v>
      </c>
      <c r="AL206" s="8" t="s">
        <v>95</v>
      </c>
      <c r="AM206" s="8">
        <v>1</v>
      </c>
      <c r="AN206" s="8">
        <v>10</v>
      </c>
    </row>
    <row r="207" spans="1:40" x14ac:dyDescent="0.25">
      <c r="A207" s="8" t="s">
        <v>267</v>
      </c>
      <c r="B207" s="9">
        <v>42033.663194444445</v>
      </c>
      <c r="C207" s="8">
        <v>0</v>
      </c>
      <c r="D207" s="9">
        <v>42034.293055555558</v>
      </c>
      <c r="E207" s="8" t="s">
        <v>93</v>
      </c>
      <c r="F207" s="8">
        <v>16</v>
      </c>
      <c r="G207" s="8" t="s">
        <v>94</v>
      </c>
      <c r="H207" s="8" t="s">
        <v>95</v>
      </c>
      <c r="I207" s="8">
        <v>1</v>
      </c>
      <c r="J207" s="8" t="s">
        <v>95</v>
      </c>
      <c r="K207" s="8">
        <v>1</v>
      </c>
      <c r="L207" s="8" t="s">
        <v>95</v>
      </c>
      <c r="M207" s="8">
        <v>1</v>
      </c>
      <c r="N207" s="8" t="s">
        <v>95</v>
      </c>
      <c r="O207" s="8">
        <v>1</v>
      </c>
      <c r="P207" s="8" t="s">
        <v>95</v>
      </c>
      <c r="Q207" s="8">
        <v>1</v>
      </c>
      <c r="R207" s="8" t="s">
        <v>95</v>
      </c>
      <c r="S207" s="8">
        <v>1</v>
      </c>
      <c r="T207" s="8" t="s">
        <v>95</v>
      </c>
      <c r="U207" s="8">
        <v>1</v>
      </c>
      <c r="V207" s="8" t="s">
        <v>95</v>
      </c>
      <c r="W207" s="8">
        <v>1</v>
      </c>
      <c r="X207" s="8" t="s">
        <v>95</v>
      </c>
      <c r="Y207" s="8">
        <v>1</v>
      </c>
      <c r="Z207" s="8" t="s">
        <v>95</v>
      </c>
      <c r="AA207" s="8">
        <v>1</v>
      </c>
      <c r="AB207" s="8" t="s">
        <v>95</v>
      </c>
      <c r="AC207" s="8">
        <v>1</v>
      </c>
      <c r="AD207" s="8" t="s">
        <v>95</v>
      </c>
      <c r="AE207" s="8">
        <v>1</v>
      </c>
      <c r="AF207" s="8" t="s">
        <v>95</v>
      </c>
      <c r="AG207" s="8">
        <v>1</v>
      </c>
      <c r="AH207" s="8" t="s">
        <v>95</v>
      </c>
      <c r="AI207" s="8">
        <v>1</v>
      </c>
      <c r="AJ207" s="8" t="s">
        <v>95</v>
      </c>
      <c r="AK207" s="8">
        <v>1</v>
      </c>
      <c r="AL207" s="8" t="s">
        <v>95</v>
      </c>
      <c r="AM207" s="8">
        <v>1</v>
      </c>
      <c r="AN207" s="8">
        <v>16</v>
      </c>
    </row>
    <row r="208" spans="1:40" x14ac:dyDescent="0.25">
      <c r="A208" s="8" t="s">
        <v>268</v>
      </c>
      <c r="B208" s="9">
        <v>42033.685416666667</v>
      </c>
      <c r="C208" s="8">
        <v>0</v>
      </c>
      <c r="D208" s="9">
        <v>42034.295138888891</v>
      </c>
      <c r="E208" s="8" t="s">
        <v>93</v>
      </c>
      <c r="F208" s="8">
        <v>9</v>
      </c>
      <c r="G208" s="8" t="s">
        <v>94</v>
      </c>
      <c r="H208" s="8" t="s">
        <v>94</v>
      </c>
      <c r="I208" s="8">
        <v>0</v>
      </c>
      <c r="J208" s="8" t="s">
        <v>94</v>
      </c>
      <c r="K208" s="8">
        <v>0</v>
      </c>
      <c r="L208" s="8" t="s">
        <v>95</v>
      </c>
      <c r="M208" s="8">
        <v>1</v>
      </c>
      <c r="N208" s="8" t="s">
        <v>94</v>
      </c>
      <c r="O208" s="8">
        <v>0</v>
      </c>
      <c r="P208" s="8" t="s">
        <v>95</v>
      </c>
      <c r="Q208" s="8">
        <v>1</v>
      </c>
      <c r="R208" s="8" t="s">
        <v>95</v>
      </c>
      <c r="S208" s="8">
        <v>1</v>
      </c>
      <c r="T208" s="8" t="s">
        <v>94</v>
      </c>
      <c r="U208" s="8">
        <v>0</v>
      </c>
      <c r="V208" s="8" t="s">
        <v>95</v>
      </c>
      <c r="W208" s="8">
        <v>1</v>
      </c>
      <c r="X208" s="8" t="s">
        <v>94</v>
      </c>
      <c r="Y208" s="8">
        <v>0</v>
      </c>
      <c r="Z208" s="8" t="s">
        <v>95</v>
      </c>
      <c r="AA208" s="8">
        <v>1</v>
      </c>
      <c r="AB208" s="8" t="s">
        <v>95</v>
      </c>
      <c r="AC208" s="8">
        <v>1</v>
      </c>
      <c r="AD208" s="8" t="s">
        <v>95</v>
      </c>
      <c r="AE208" s="8">
        <v>1</v>
      </c>
      <c r="AF208" s="8" t="s">
        <v>94</v>
      </c>
      <c r="AG208" s="8">
        <v>0</v>
      </c>
      <c r="AH208" s="8" t="s">
        <v>94</v>
      </c>
      <c r="AI208" s="8">
        <v>0</v>
      </c>
      <c r="AJ208" s="8" t="s">
        <v>95</v>
      </c>
      <c r="AK208" s="8">
        <v>1</v>
      </c>
      <c r="AL208" s="8" t="s">
        <v>95</v>
      </c>
      <c r="AM208" s="8">
        <v>1</v>
      </c>
      <c r="AN208" s="8">
        <v>9</v>
      </c>
    </row>
    <row r="209" spans="1:40" x14ac:dyDescent="0.25">
      <c r="A209" s="8" t="s">
        <v>269</v>
      </c>
      <c r="B209" s="9">
        <v>42033.68472222222</v>
      </c>
      <c r="C209" s="8">
        <v>0</v>
      </c>
      <c r="D209" s="9">
        <v>42034.29583333333</v>
      </c>
      <c r="E209" s="8" t="s">
        <v>93</v>
      </c>
      <c r="F209" s="8">
        <v>16</v>
      </c>
      <c r="G209" s="8" t="s">
        <v>94</v>
      </c>
      <c r="H209" s="8" t="s">
        <v>95</v>
      </c>
      <c r="I209" s="8">
        <v>1</v>
      </c>
      <c r="J209" s="8" t="s">
        <v>95</v>
      </c>
      <c r="K209" s="8">
        <v>1</v>
      </c>
      <c r="L209" s="8" t="s">
        <v>95</v>
      </c>
      <c r="M209" s="8">
        <v>1</v>
      </c>
      <c r="N209" s="8" t="s">
        <v>95</v>
      </c>
      <c r="O209" s="8">
        <v>1</v>
      </c>
      <c r="P209" s="8" t="s">
        <v>95</v>
      </c>
      <c r="Q209" s="8">
        <v>1</v>
      </c>
      <c r="R209" s="8" t="s">
        <v>95</v>
      </c>
      <c r="S209" s="8">
        <v>1</v>
      </c>
      <c r="T209" s="8" t="s">
        <v>95</v>
      </c>
      <c r="U209" s="8">
        <v>1</v>
      </c>
      <c r="V209" s="8" t="s">
        <v>95</v>
      </c>
      <c r="W209" s="8">
        <v>1</v>
      </c>
      <c r="X209" s="8" t="s">
        <v>95</v>
      </c>
      <c r="Y209" s="8">
        <v>1</v>
      </c>
      <c r="Z209" s="8" t="s">
        <v>95</v>
      </c>
      <c r="AA209" s="8">
        <v>1</v>
      </c>
      <c r="AB209" s="8" t="s">
        <v>95</v>
      </c>
      <c r="AC209" s="8">
        <v>1</v>
      </c>
      <c r="AD209" s="8" t="s">
        <v>95</v>
      </c>
      <c r="AE209" s="8">
        <v>1</v>
      </c>
      <c r="AF209" s="8" t="s">
        <v>95</v>
      </c>
      <c r="AG209" s="8">
        <v>1</v>
      </c>
      <c r="AH209" s="8" t="s">
        <v>95</v>
      </c>
      <c r="AI209" s="8">
        <v>1</v>
      </c>
      <c r="AJ209" s="8" t="s">
        <v>95</v>
      </c>
      <c r="AK209" s="8">
        <v>1</v>
      </c>
      <c r="AL209" s="8" t="s">
        <v>95</v>
      </c>
      <c r="AM209" s="8">
        <v>1</v>
      </c>
      <c r="AN209" s="8">
        <v>16</v>
      </c>
    </row>
    <row r="210" spans="1:40" x14ac:dyDescent="0.25">
      <c r="A210" s="8" t="s">
        <v>270</v>
      </c>
      <c r="B210" s="9">
        <v>42033.661805555559</v>
      </c>
      <c r="C210" s="8">
        <v>0</v>
      </c>
      <c r="D210" s="9">
        <v>42034.299305555556</v>
      </c>
      <c r="E210" s="8" t="s">
        <v>93</v>
      </c>
      <c r="F210" s="8">
        <v>2</v>
      </c>
      <c r="G210" s="8" t="s">
        <v>94</v>
      </c>
      <c r="H210" s="8" t="s">
        <v>94</v>
      </c>
      <c r="I210" s="8">
        <v>0</v>
      </c>
      <c r="J210" s="8" t="s">
        <v>94</v>
      </c>
      <c r="K210" s="8">
        <v>0</v>
      </c>
      <c r="L210" s="8" t="s">
        <v>94</v>
      </c>
      <c r="M210" s="8">
        <v>0</v>
      </c>
      <c r="N210" s="8" t="s">
        <v>94</v>
      </c>
      <c r="O210" s="8">
        <v>0</v>
      </c>
      <c r="P210" s="8" t="s">
        <v>94</v>
      </c>
      <c r="Q210" s="8">
        <v>0</v>
      </c>
      <c r="R210" s="8" t="s">
        <v>95</v>
      </c>
      <c r="S210" s="8">
        <v>1</v>
      </c>
      <c r="T210" s="8" t="s">
        <v>94</v>
      </c>
      <c r="U210" s="8">
        <v>0</v>
      </c>
      <c r="V210" s="8" t="s">
        <v>94</v>
      </c>
      <c r="W210" s="8">
        <v>0</v>
      </c>
      <c r="X210" s="8" t="s">
        <v>94</v>
      </c>
      <c r="Y210" s="8">
        <v>0</v>
      </c>
      <c r="Z210" s="8" t="s">
        <v>94</v>
      </c>
      <c r="AA210" s="8">
        <v>0</v>
      </c>
      <c r="AB210" s="8" t="s">
        <v>94</v>
      </c>
      <c r="AC210" s="8">
        <v>0</v>
      </c>
      <c r="AD210" s="8" t="s">
        <v>95</v>
      </c>
      <c r="AE210" s="8">
        <v>1</v>
      </c>
      <c r="AF210" s="8" t="s">
        <v>94</v>
      </c>
      <c r="AG210" s="8">
        <v>0</v>
      </c>
      <c r="AH210" s="8" t="s">
        <v>94</v>
      </c>
      <c r="AI210" s="8">
        <v>0</v>
      </c>
      <c r="AJ210" s="8" t="s">
        <v>94</v>
      </c>
      <c r="AK210" s="8">
        <v>0</v>
      </c>
      <c r="AL210" s="8" t="s">
        <v>94</v>
      </c>
      <c r="AM210" s="8">
        <v>0</v>
      </c>
      <c r="AN210" s="8">
        <v>2</v>
      </c>
    </row>
    <row r="211" spans="1:40" x14ac:dyDescent="0.25">
      <c r="A211" s="8" t="s">
        <v>271</v>
      </c>
      <c r="B211" s="9">
        <v>42033.660416666666</v>
      </c>
      <c r="C211" s="8">
        <v>0</v>
      </c>
      <c r="D211" s="9">
        <v>42034.302083333336</v>
      </c>
      <c r="E211" s="8" t="s">
        <v>93</v>
      </c>
      <c r="F211" s="8">
        <v>9</v>
      </c>
      <c r="G211" s="8" t="s">
        <v>94</v>
      </c>
      <c r="H211" s="8" t="s">
        <v>94</v>
      </c>
      <c r="I211" s="8">
        <v>0</v>
      </c>
      <c r="J211" s="8" t="s">
        <v>94</v>
      </c>
      <c r="K211" s="8">
        <v>0</v>
      </c>
      <c r="L211" s="8" t="s">
        <v>94</v>
      </c>
      <c r="M211" s="8">
        <v>0</v>
      </c>
      <c r="N211" s="8" t="s">
        <v>95</v>
      </c>
      <c r="O211" s="8">
        <v>1</v>
      </c>
      <c r="P211" s="8" t="s">
        <v>95</v>
      </c>
      <c r="Q211" s="8">
        <v>1</v>
      </c>
      <c r="R211" s="8" t="s">
        <v>95</v>
      </c>
      <c r="S211" s="8">
        <v>1</v>
      </c>
      <c r="T211" s="8" t="s">
        <v>94</v>
      </c>
      <c r="U211" s="8">
        <v>0</v>
      </c>
      <c r="V211" s="8" t="s">
        <v>95</v>
      </c>
      <c r="W211" s="8">
        <v>1</v>
      </c>
      <c r="X211" s="8" t="s">
        <v>95</v>
      </c>
      <c r="Y211" s="8">
        <v>1</v>
      </c>
      <c r="Z211" s="8" t="s">
        <v>94</v>
      </c>
      <c r="AA211" s="8">
        <v>0</v>
      </c>
      <c r="AB211" s="8" t="s">
        <v>94</v>
      </c>
      <c r="AC211" s="8">
        <v>0</v>
      </c>
      <c r="AD211" s="8" t="s">
        <v>95</v>
      </c>
      <c r="AE211" s="8">
        <v>1</v>
      </c>
      <c r="AF211" s="8" t="s">
        <v>94</v>
      </c>
      <c r="AG211" s="8">
        <v>0</v>
      </c>
      <c r="AH211" s="8" t="s">
        <v>95</v>
      </c>
      <c r="AI211" s="8">
        <v>1</v>
      </c>
      <c r="AJ211" s="8" t="s">
        <v>95</v>
      </c>
      <c r="AK211" s="8">
        <v>1</v>
      </c>
      <c r="AL211" s="8" t="s">
        <v>95</v>
      </c>
      <c r="AM211" s="8">
        <v>1</v>
      </c>
      <c r="AN211" s="8">
        <v>9</v>
      </c>
    </row>
    <row r="212" spans="1:40" x14ac:dyDescent="0.25">
      <c r="A212" s="8" t="s">
        <v>272</v>
      </c>
      <c r="B212" s="9">
        <v>42033.662499999999</v>
      </c>
      <c r="C212" s="8">
        <v>0</v>
      </c>
      <c r="D212" s="9">
        <v>42034.303472222222</v>
      </c>
      <c r="E212" s="8" t="s">
        <v>93</v>
      </c>
      <c r="F212" s="8">
        <v>4</v>
      </c>
      <c r="G212" s="8" t="s">
        <v>94</v>
      </c>
      <c r="H212" s="8" t="s">
        <v>94</v>
      </c>
      <c r="I212" s="8">
        <v>0</v>
      </c>
      <c r="J212" s="8" t="s">
        <v>94</v>
      </c>
      <c r="K212" s="8">
        <v>0</v>
      </c>
      <c r="L212" s="8" t="s">
        <v>94</v>
      </c>
      <c r="M212" s="8">
        <v>0</v>
      </c>
      <c r="N212" s="8" t="s">
        <v>94</v>
      </c>
      <c r="O212" s="8">
        <v>0</v>
      </c>
      <c r="P212" s="8" t="s">
        <v>95</v>
      </c>
      <c r="Q212" s="8">
        <v>1</v>
      </c>
      <c r="R212" s="8" t="s">
        <v>94</v>
      </c>
      <c r="S212" s="8">
        <v>0</v>
      </c>
      <c r="T212" s="8" t="s">
        <v>95</v>
      </c>
      <c r="U212" s="8">
        <v>1</v>
      </c>
      <c r="V212" s="8" t="s">
        <v>95</v>
      </c>
      <c r="W212" s="8">
        <v>1</v>
      </c>
      <c r="X212" s="8" t="s">
        <v>94</v>
      </c>
      <c r="Y212" s="8">
        <v>0</v>
      </c>
      <c r="Z212" s="8" t="s">
        <v>94</v>
      </c>
      <c r="AA212" s="8">
        <v>0</v>
      </c>
      <c r="AB212" s="8" t="s">
        <v>94</v>
      </c>
      <c r="AC212" s="8">
        <v>0</v>
      </c>
      <c r="AD212" s="8" t="s">
        <v>94</v>
      </c>
      <c r="AE212" s="8">
        <v>0</v>
      </c>
      <c r="AF212" s="8" t="s">
        <v>94</v>
      </c>
      <c r="AG212" s="8">
        <v>0</v>
      </c>
      <c r="AH212" s="8" t="s">
        <v>94</v>
      </c>
      <c r="AI212" s="8">
        <v>0</v>
      </c>
      <c r="AJ212" s="8" t="s">
        <v>95</v>
      </c>
      <c r="AK212" s="8">
        <v>1</v>
      </c>
      <c r="AL212" s="8" t="s">
        <v>94</v>
      </c>
      <c r="AM212" s="8">
        <v>0</v>
      </c>
      <c r="AN212" s="8">
        <v>4</v>
      </c>
    </row>
    <row r="213" spans="1:40" x14ac:dyDescent="0.25">
      <c r="A213" s="8" t="s">
        <v>273</v>
      </c>
      <c r="B213" s="9">
        <v>42033.684027777781</v>
      </c>
      <c r="C213" s="8">
        <v>0</v>
      </c>
      <c r="D213" s="9">
        <v>42034.308333333334</v>
      </c>
      <c r="E213" s="8" t="s">
        <v>93</v>
      </c>
      <c r="F213" s="8">
        <v>16</v>
      </c>
      <c r="G213" s="8" t="s">
        <v>94</v>
      </c>
      <c r="H213" s="8" t="s">
        <v>95</v>
      </c>
      <c r="I213" s="8">
        <v>1</v>
      </c>
      <c r="J213" s="8" t="s">
        <v>95</v>
      </c>
      <c r="K213" s="8">
        <v>1</v>
      </c>
      <c r="L213" s="8" t="s">
        <v>95</v>
      </c>
      <c r="M213" s="8">
        <v>1</v>
      </c>
      <c r="N213" s="8" t="s">
        <v>95</v>
      </c>
      <c r="O213" s="8">
        <v>1</v>
      </c>
      <c r="P213" s="8" t="s">
        <v>95</v>
      </c>
      <c r="Q213" s="8">
        <v>1</v>
      </c>
      <c r="R213" s="8" t="s">
        <v>95</v>
      </c>
      <c r="S213" s="8">
        <v>1</v>
      </c>
      <c r="T213" s="8" t="s">
        <v>95</v>
      </c>
      <c r="U213" s="8">
        <v>1</v>
      </c>
      <c r="V213" s="8" t="s">
        <v>95</v>
      </c>
      <c r="W213" s="8">
        <v>1</v>
      </c>
      <c r="X213" s="8" t="s">
        <v>95</v>
      </c>
      <c r="Y213" s="8">
        <v>1</v>
      </c>
      <c r="Z213" s="8" t="s">
        <v>95</v>
      </c>
      <c r="AA213" s="8">
        <v>1</v>
      </c>
      <c r="AB213" s="8" t="s">
        <v>95</v>
      </c>
      <c r="AC213" s="8">
        <v>1</v>
      </c>
      <c r="AD213" s="8" t="s">
        <v>95</v>
      </c>
      <c r="AE213" s="8">
        <v>1</v>
      </c>
      <c r="AF213" s="8" t="s">
        <v>95</v>
      </c>
      <c r="AG213" s="8">
        <v>1</v>
      </c>
      <c r="AH213" s="8" t="s">
        <v>95</v>
      </c>
      <c r="AI213" s="8">
        <v>1</v>
      </c>
      <c r="AJ213" s="8" t="s">
        <v>95</v>
      </c>
      <c r="AK213" s="8">
        <v>1</v>
      </c>
      <c r="AL213" s="8" t="s">
        <v>95</v>
      </c>
      <c r="AM213" s="8">
        <v>1</v>
      </c>
      <c r="AN213" s="8">
        <v>16</v>
      </c>
    </row>
    <row r="214" spans="1:40" x14ac:dyDescent="0.25">
      <c r="A214" s="8" t="s">
        <v>274</v>
      </c>
      <c r="B214" s="9">
        <v>42033.680555555555</v>
      </c>
      <c r="C214" s="8">
        <v>0</v>
      </c>
      <c r="D214" s="9">
        <v>42034.32708333333</v>
      </c>
      <c r="E214" s="8" t="s">
        <v>93</v>
      </c>
      <c r="F214" s="8">
        <v>9</v>
      </c>
      <c r="G214" s="8" t="s">
        <v>94</v>
      </c>
      <c r="H214" s="8" t="s">
        <v>95</v>
      </c>
      <c r="I214" s="8">
        <v>1</v>
      </c>
      <c r="J214" s="8" t="s">
        <v>95</v>
      </c>
      <c r="K214" s="8">
        <v>1</v>
      </c>
      <c r="L214" s="8" t="s">
        <v>94</v>
      </c>
      <c r="M214" s="8">
        <v>0</v>
      </c>
      <c r="N214" s="8" t="s">
        <v>95</v>
      </c>
      <c r="O214" s="8">
        <v>1</v>
      </c>
      <c r="P214" s="8" t="s">
        <v>94</v>
      </c>
      <c r="Q214" s="8">
        <v>0</v>
      </c>
      <c r="R214" s="8" t="s">
        <v>95</v>
      </c>
      <c r="S214" s="8">
        <v>1</v>
      </c>
      <c r="T214" s="8" t="s">
        <v>94</v>
      </c>
      <c r="U214" s="8">
        <v>0</v>
      </c>
      <c r="V214" s="8" t="s">
        <v>95</v>
      </c>
      <c r="W214" s="8">
        <v>1</v>
      </c>
      <c r="X214" s="8" t="s">
        <v>95</v>
      </c>
      <c r="Y214" s="8">
        <v>1</v>
      </c>
      <c r="Z214" s="8" t="s">
        <v>95</v>
      </c>
      <c r="AA214" s="8">
        <v>1</v>
      </c>
      <c r="AB214" s="8" t="s">
        <v>95</v>
      </c>
      <c r="AC214" s="8">
        <v>1</v>
      </c>
      <c r="AD214" s="8" t="s">
        <v>95</v>
      </c>
      <c r="AE214" s="8">
        <v>1</v>
      </c>
      <c r="AF214" s="8" t="s">
        <v>94</v>
      </c>
      <c r="AG214" s="8">
        <v>0</v>
      </c>
      <c r="AH214" s="8" t="s">
        <v>94</v>
      </c>
      <c r="AI214" s="8">
        <v>0</v>
      </c>
      <c r="AJ214" s="8" t="s">
        <v>94</v>
      </c>
      <c r="AK214" s="8">
        <v>0</v>
      </c>
      <c r="AL214" s="8" t="s">
        <v>94</v>
      </c>
      <c r="AM214" s="8">
        <v>0</v>
      </c>
      <c r="AN214" s="8">
        <v>9</v>
      </c>
    </row>
    <row r="215" spans="1:40" x14ac:dyDescent="0.25">
      <c r="A215" s="8" t="s">
        <v>275</v>
      </c>
      <c r="B215" s="9">
        <v>42033.659722222219</v>
      </c>
      <c r="C215" s="8">
        <v>0</v>
      </c>
      <c r="D215" s="9">
        <v>42034.334722222222</v>
      </c>
      <c r="E215" s="8" t="s">
        <v>93</v>
      </c>
      <c r="F215" s="8">
        <v>0</v>
      </c>
      <c r="G215" s="8" t="s">
        <v>94</v>
      </c>
      <c r="H215" s="8" t="s">
        <v>94</v>
      </c>
      <c r="I215" s="8">
        <v>0</v>
      </c>
      <c r="J215" s="8" t="s">
        <v>94</v>
      </c>
      <c r="K215" s="8">
        <v>0</v>
      </c>
      <c r="L215" s="8" t="s">
        <v>94</v>
      </c>
      <c r="M215" s="8">
        <v>0</v>
      </c>
      <c r="N215" s="8" t="s">
        <v>94</v>
      </c>
      <c r="O215" s="8">
        <v>0</v>
      </c>
      <c r="P215" s="8" t="s">
        <v>94</v>
      </c>
      <c r="Q215" s="8">
        <v>0</v>
      </c>
      <c r="R215" s="8" t="s">
        <v>94</v>
      </c>
      <c r="S215" s="8">
        <v>0</v>
      </c>
      <c r="T215" s="8" t="s">
        <v>94</v>
      </c>
      <c r="U215" s="8">
        <v>0</v>
      </c>
      <c r="V215" s="8" t="s">
        <v>94</v>
      </c>
      <c r="W215" s="8">
        <v>0</v>
      </c>
      <c r="X215" s="8" t="s">
        <v>94</v>
      </c>
      <c r="Y215" s="8">
        <v>0</v>
      </c>
      <c r="Z215" s="8" t="s">
        <v>94</v>
      </c>
      <c r="AA215" s="8">
        <v>0</v>
      </c>
      <c r="AB215" s="8" t="s">
        <v>94</v>
      </c>
      <c r="AC215" s="8">
        <v>0</v>
      </c>
      <c r="AD215" s="8" t="s">
        <v>94</v>
      </c>
      <c r="AE215" s="8">
        <v>0</v>
      </c>
      <c r="AF215" s="8" t="s">
        <v>94</v>
      </c>
      <c r="AG215" s="8">
        <v>0</v>
      </c>
      <c r="AH215" s="8" t="s">
        <v>94</v>
      </c>
      <c r="AI215" s="8">
        <v>0</v>
      </c>
      <c r="AJ215" s="8" t="s">
        <v>94</v>
      </c>
      <c r="AK215" s="8">
        <v>0</v>
      </c>
      <c r="AL215" s="8" t="s">
        <v>94</v>
      </c>
      <c r="AM215" s="8">
        <v>0</v>
      </c>
      <c r="AN215" s="8">
        <v>0</v>
      </c>
    </row>
    <row r="216" spans="1:40" x14ac:dyDescent="0.25">
      <c r="A216" s="8" t="s">
        <v>276</v>
      </c>
      <c r="B216" s="9">
        <v>42033.681944444441</v>
      </c>
      <c r="C216" s="8">
        <v>0</v>
      </c>
      <c r="D216" s="9">
        <v>42034.338194444441</v>
      </c>
      <c r="E216" s="8" t="s">
        <v>93</v>
      </c>
      <c r="F216" s="8">
        <v>16</v>
      </c>
      <c r="G216" s="8" t="s">
        <v>94</v>
      </c>
      <c r="H216" s="8" t="s">
        <v>95</v>
      </c>
      <c r="I216" s="8">
        <v>1</v>
      </c>
      <c r="J216" s="8" t="s">
        <v>95</v>
      </c>
      <c r="K216" s="8">
        <v>1</v>
      </c>
      <c r="L216" s="8" t="s">
        <v>95</v>
      </c>
      <c r="M216" s="8">
        <v>1</v>
      </c>
      <c r="N216" s="8" t="s">
        <v>95</v>
      </c>
      <c r="O216" s="8">
        <v>1</v>
      </c>
      <c r="P216" s="8" t="s">
        <v>95</v>
      </c>
      <c r="Q216" s="8">
        <v>1</v>
      </c>
      <c r="R216" s="8" t="s">
        <v>95</v>
      </c>
      <c r="S216" s="8">
        <v>1</v>
      </c>
      <c r="T216" s="8" t="s">
        <v>95</v>
      </c>
      <c r="U216" s="8">
        <v>1</v>
      </c>
      <c r="V216" s="8" t="s">
        <v>95</v>
      </c>
      <c r="W216" s="8">
        <v>1</v>
      </c>
      <c r="X216" s="8" t="s">
        <v>95</v>
      </c>
      <c r="Y216" s="8">
        <v>1</v>
      </c>
      <c r="Z216" s="8" t="s">
        <v>95</v>
      </c>
      <c r="AA216" s="8">
        <v>1</v>
      </c>
      <c r="AB216" s="8" t="s">
        <v>95</v>
      </c>
      <c r="AC216" s="8">
        <v>1</v>
      </c>
      <c r="AD216" s="8" t="s">
        <v>95</v>
      </c>
      <c r="AE216" s="8">
        <v>1</v>
      </c>
      <c r="AF216" s="8" t="s">
        <v>95</v>
      </c>
      <c r="AG216" s="8">
        <v>1</v>
      </c>
      <c r="AH216" s="8" t="s">
        <v>95</v>
      </c>
      <c r="AI216" s="8">
        <v>1</v>
      </c>
      <c r="AJ216" s="8" t="s">
        <v>95</v>
      </c>
      <c r="AK216" s="8">
        <v>1</v>
      </c>
      <c r="AL216" s="8" t="s">
        <v>95</v>
      </c>
      <c r="AM216" s="8">
        <v>1</v>
      </c>
      <c r="AN216" s="8">
        <v>16</v>
      </c>
    </row>
    <row r="217" spans="1:40" x14ac:dyDescent="0.25">
      <c r="A217" s="8" t="s">
        <v>277</v>
      </c>
      <c r="B217" s="9">
        <v>42033.663194444445</v>
      </c>
      <c r="C217" s="8">
        <v>0</v>
      </c>
      <c r="D217" s="9">
        <v>42034.349305555559</v>
      </c>
      <c r="E217" s="8" t="s">
        <v>93</v>
      </c>
      <c r="F217" s="8">
        <v>14</v>
      </c>
      <c r="G217" s="8" t="s">
        <v>94</v>
      </c>
      <c r="H217" s="8" t="s">
        <v>95</v>
      </c>
      <c r="I217" s="8">
        <v>1</v>
      </c>
      <c r="J217" s="8" t="s">
        <v>95</v>
      </c>
      <c r="K217" s="8">
        <v>1</v>
      </c>
      <c r="L217" s="8" t="s">
        <v>95</v>
      </c>
      <c r="M217" s="8">
        <v>1</v>
      </c>
      <c r="N217" s="8" t="s">
        <v>95</v>
      </c>
      <c r="O217" s="8">
        <v>1</v>
      </c>
      <c r="P217" s="8" t="s">
        <v>95</v>
      </c>
      <c r="Q217" s="8">
        <v>1</v>
      </c>
      <c r="R217" s="8" t="s">
        <v>95</v>
      </c>
      <c r="S217" s="8">
        <v>1</v>
      </c>
      <c r="T217" s="8" t="s">
        <v>95</v>
      </c>
      <c r="U217" s="8">
        <v>1</v>
      </c>
      <c r="V217" s="8" t="s">
        <v>95</v>
      </c>
      <c r="W217" s="8">
        <v>1</v>
      </c>
      <c r="X217" s="8" t="s">
        <v>95</v>
      </c>
      <c r="Y217" s="8">
        <v>1</v>
      </c>
      <c r="Z217" s="8" t="s">
        <v>95</v>
      </c>
      <c r="AA217" s="8">
        <v>1</v>
      </c>
      <c r="AB217" s="8" t="s">
        <v>95</v>
      </c>
      <c r="AC217" s="8">
        <v>1</v>
      </c>
      <c r="AD217" s="8" t="s">
        <v>94</v>
      </c>
      <c r="AE217" s="8">
        <v>0</v>
      </c>
      <c r="AF217" s="8" t="s">
        <v>95</v>
      </c>
      <c r="AG217" s="8">
        <v>1</v>
      </c>
      <c r="AH217" s="8" t="s">
        <v>95</v>
      </c>
      <c r="AI217" s="8">
        <v>1</v>
      </c>
      <c r="AJ217" s="8" t="s">
        <v>95</v>
      </c>
      <c r="AK217" s="8">
        <v>1</v>
      </c>
      <c r="AL217" s="8" t="s">
        <v>94</v>
      </c>
      <c r="AM217" s="8">
        <v>0</v>
      </c>
      <c r="AN217" s="8">
        <v>14</v>
      </c>
    </row>
    <row r="218" spans="1:40" x14ac:dyDescent="0.25">
      <c r="A218" s="8" t="s">
        <v>278</v>
      </c>
      <c r="B218" s="9">
        <v>42033.68472222222</v>
      </c>
      <c r="C218" s="8">
        <v>0</v>
      </c>
      <c r="D218" s="9">
        <v>42034.384722222225</v>
      </c>
      <c r="E218" s="8" t="s">
        <v>93</v>
      </c>
      <c r="F218" s="8">
        <v>15</v>
      </c>
      <c r="G218" s="8" t="s">
        <v>94</v>
      </c>
      <c r="H218" s="8" t="s">
        <v>95</v>
      </c>
      <c r="I218" s="8">
        <v>1</v>
      </c>
      <c r="J218" s="8" t="s">
        <v>95</v>
      </c>
      <c r="K218" s="8">
        <v>1</v>
      </c>
      <c r="L218" s="8" t="s">
        <v>95</v>
      </c>
      <c r="M218" s="8">
        <v>1</v>
      </c>
      <c r="N218" s="8" t="s">
        <v>95</v>
      </c>
      <c r="O218" s="8">
        <v>1</v>
      </c>
      <c r="P218" s="8" t="s">
        <v>95</v>
      </c>
      <c r="Q218" s="8">
        <v>1</v>
      </c>
      <c r="R218" s="8" t="s">
        <v>95</v>
      </c>
      <c r="S218" s="8">
        <v>1</v>
      </c>
      <c r="T218" s="8" t="s">
        <v>95</v>
      </c>
      <c r="U218" s="8">
        <v>1</v>
      </c>
      <c r="V218" s="8" t="s">
        <v>95</v>
      </c>
      <c r="W218" s="8">
        <v>1</v>
      </c>
      <c r="X218" s="8" t="s">
        <v>95</v>
      </c>
      <c r="Y218" s="8">
        <v>1</v>
      </c>
      <c r="Z218" s="8" t="s">
        <v>95</v>
      </c>
      <c r="AA218" s="8">
        <v>1</v>
      </c>
      <c r="AB218" s="8" t="s">
        <v>95</v>
      </c>
      <c r="AC218" s="8">
        <v>1</v>
      </c>
      <c r="AD218" s="8" t="s">
        <v>95</v>
      </c>
      <c r="AE218" s="8">
        <v>1</v>
      </c>
      <c r="AF218" s="8" t="s">
        <v>95</v>
      </c>
      <c r="AG218" s="8">
        <v>1</v>
      </c>
      <c r="AH218" s="8" t="s">
        <v>95</v>
      </c>
      <c r="AI218" s="8">
        <v>1</v>
      </c>
      <c r="AJ218" s="8" t="s">
        <v>95</v>
      </c>
      <c r="AK218" s="8">
        <v>1</v>
      </c>
      <c r="AL218" s="8" t="s">
        <v>94</v>
      </c>
      <c r="AM218" s="8">
        <v>0</v>
      </c>
      <c r="AN218" s="8">
        <v>15</v>
      </c>
    </row>
    <row r="219" spans="1:40" x14ac:dyDescent="0.25">
      <c r="A219" s="8" t="s">
        <v>279</v>
      </c>
      <c r="B219" s="9">
        <v>42033.668055555558</v>
      </c>
      <c r="C219" s="8">
        <v>0</v>
      </c>
      <c r="D219" s="9">
        <v>42034.410416666666</v>
      </c>
      <c r="E219" s="8" t="s">
        <v>93</v>
      </c>
      <c r="F219" s="8">
        <v>15</v>
      </c>
      <c r="G219" s="8" t="s">
        <v>94</v>
      </c>
      <c r="H219" s="8" t="s">
        <v>95</v>
      </c>
      <c r="I219" s="8">
        <v>1</v>
      </c>
      <c r="J219" s="8" t="s">
        <v>95</v>
      </c>
      <c r="K219" s="8">
        <v>1</v>
      </c>
      <c r="L219" s="8" t="s">
        <v>94</v>
      </c>
      <c r="M219" s="8">
        <v>0</v>
      </c>
      <c r="N219" s="8" t="s">
        <v>95</v>
      </c>
      <c r="O219" s="8">
        <v>1</v>
      </c>
      <c r="P219" s="8" t="s">
        <v>95</v>
      </c>
      <c r="Q219" s="8">
        <v>1</v>
      </c>
      <c r="R219" s="8" t="s">
        <v>95</v>
      </c>
      <c r="S219" s="8">
        <v>1</v>
      </c>
      <c r="T219" s="8" t="s">
        <v>95</v>
      </c>
      <c r="U219" s="8">
        <v>1</v>
      </c>
      <c r="V219" s="8" t="s">
        <v>95</v>
      </c>
      <c r="W219" s="8">
        <v>1</v>
      </c>
      <c r="X219" s="8" t="s">
        <v>95</v>
      </c>
      <c r="Y219" s="8">
        <v>1</v>
      </c>
      <c r="Z219" s="8" t="s">
        <v>95</v>
      </c>
      <c r="AA219" s="8">
        <v>1</v>
      </c>
      <c r="AB219" s="8" t="s">
        <v>95</v>
      </c>
      <c r="AC219" s="8">
        <v>1</v>
      </c>
      <c r="AD219" s="8" t="s">
        <v>95</v>
      </c>
      <c r="AE219" s="8">
        <v>1</v>
      </c>
      <c r="AF219" s="8" t="s">
        <v>95</v>
      </c>
      <c r="AG219" s="8">
        <v>1</v>
      </c>
      <c r="AH219" s="8" t="s">
        <v>95</v>
      </c>
      <c r="AI219" s="8">
        <v>1</v>
      </c>
      <c r="AJ219" s="8" t="s">
        <v>95</v>
      </c>
      <c r="AK219" s="8">
        <v>1</v>
      </c>
      <c r="AL219" s="8" t="s">
        <v>95</v>
      </c>
      <c r="AM219" s="8">
        <v>1</v>
      </c>
      <c r="AN219" s="8">
        <v>15</v>
      </c>
    </row>
    <row r="220" spans="1:40" x14ac:dyDescent="0.25">
      <c r="A220" s="8" t="s">
        <v>280</v>
      </c>
      <c r="B220" s="9">
        <v>42033.664583333331</v>
      </c>
      <c r="C220" s="8">
        <v>0</v>
      </c>
      <c r="D220" s="9">
        <v>42034.411805555559</v>
      </c>
      <c r="E220" s="8" t="s">
        <v>93</v>
      </c>
      <c r="F220" s="8">
        <v>0</v>
      </c>
      <c r="G220" s="8" t="s">
        <v>94</v>
      </c>
      <c r="H220" s="8" t="s">
        <v>94</v>
      </c>
      <c r="I220" s="8">
        <v>0</v>
      </c>
      <c r="J220" s="8" t="s">
        <v>94</v>
      </c>
      <c r="K220" s="8">
        <v>0</v>
      </c>
      <c r="L220" s="8" t="s">
        <v>94</v>
      </c>
      <c r="M220" s="8">
        <v>0</v>
      </c>
      <c r="N220" s="8" t="s">
        <v>94</v>
      </c>
      <c r="O220" s="8">
        <v>0</v>
      </c>
      <c r="P220" s="8" t="s">
        <v>94</v>
      </c>
      <c r="Q220" s="8">
        <v>0</v>
      </c>
      <c r="R220" s="8" t="s">
        <v>94</v>
      </c>
      <c r="S220" s="8">
        <v>0</v>
      </c>
      <c r="T220" s="8" t="s">
        <v>94</v>
      </c>
      <c r="U220" s="8">
        <v>0</v>
      </c>
      <c r="V220" s="8" t="s">
        <v>94</v>
      </c>
      <c r="W220" s="8">
        <v>0</v>
      </c>
      <c r="X220" s="8" t="s">
        <v>94</v>
      </c>
      <c r="Y220" s="8">
        <v>0</v>
      </c>
      <c r="Z220" s="8" t="s">
        <v>94</v>
      </c>
      <c r="AA220" s="8">
        <v>0</v>
      </c>
      <c r="AB220" s="8" t="s">
        <v>94</v>
      </c>
      <c r="AC220" s="8">
        <v>0</v>
      </c>
      <c r="AD220" s="8" t="s">
        <v>94</v>
      </c>
      <c r="AE220" s="8">
        <v>0</v>
      </c>
      <c r="AF220" s="8" t="s">
        <v>94</v>
      </c>
      <c r="AG220" s="8">
        <v>0</v>
      </c>
      <c r="AH220" s="8" t="s">
        <v>94</v>
      </c>
      <c r="AI220" s="8">
        <v>0</v>
      </c>
      <c r="AJ220" s="8" t="s">
        <v>94</v>
      </c>
      <c r="AK220" s="8">
        <v>0</v>
      </c>
      <c r="AL220" s="8" t="s">
        <v>94</v>
      </c>
      <c r="AM220" s="8">
        <v>0</v>
      </c>
      <c r="AN220" s="8">
        <v>0</v>
      </c>
    </row>
    <row r="221" spans="1:40" x14ac:dyDescent="0.25">
      <c r="A221" s="8" t="s">
        <v>281</v>
      </c>
      <c r="B221" s="9">
        <v>42033.67083333333</v>
      </c>
      <c r="C221" s="8">
        <v>0</v>
      </c>
      <c r="D221" s="9">
        <v>42034.426388888889</v>
      </c>
      <c r="E221" s="8" t="s">
        <v>93</v>
      </c>
      <c r="F221" s="8">
        <v>16</v>
      </c>
      <c r="G221" s="8" t="s">
        <v>94</v>
      </c>
      <c r="H221" s="8" t="s">
        <v>95</v>
      </c>
      <c r="I221" s="8">
        <v>1</v>
      </c>
      <c r="J221" s="8" t="s">
        <v>95</v>
      </c>
      <c r="K221" s="8">
        <v>1</v>
      </c>
      <c r="L221" s="8" t="s">
        <v>95</v>
      </c>
      <c r="M221" s="8">
        <v>1</v>
      </c>
      <c r="N221" s="8" t="s">
        <v>95</v>
      </c>
      <c r="O221" s="8">
        <v>1</v>
      </c>
      <c r="P221" s="8" t="s">
        <v>95</v>
      </c>
      <c r="Q221" s="8">
        <v>1</v>
      </c>
      <c r="R221" s="8" t="s">
        <v>95</v>
      </c>
      <c r="S221" s="8">
        <v>1</v>
      </c>
      <c r="T221" s="8" t="s">
        <v>95</v>
      </c>
      <c r="U221" s="8">
        <v>1</v>
      </c>
      <c r="V221" s="8" t="s">
        <v>95</v>
      </c>
      <c r="W221" s="8">
        <v>1</v>
      </c>
      <c r="X221" s="8" t="s">
        <v>95</v>
      </c>
      <c r="Y221" s="8">
        <v>1</v>
      </c>
      <c r="Z221" s="8" t="s">
        <v>95</v>
      </c>
      <c r="AA221" s="8">
        <v>1</v>
      </c>
      <c r="AB221" s="8" t="s">
        <v>95</v>
      </c>
      <c r="AC221" s="8">
        <v>1</v>
      </c>
      <c r="AD221" s="8" t="s">
        <v>95</v>
      </c>
      <c r="AE221" s="8">
        <v>1</v>
      </c>
      <c r="AF221" s="8" t="s">
        <v>95</v>
      </c>
      <c r="AG221" s="8">
        <v>1</v>
      </c>
      <c r="AH221" s="8" t="s">
        <v>95</v>
      </c>
      <c r="AI221" s="8">
        <v>1</v>
      </c>
      <c r="AJ221" s="8" t="s">
        <v>95</v>
      </c>
      <c r="AK221" s="8">
        <v>1</v>
      </c>
      <c r="AL221" s="8" t="s">
        <v>95</v>
      </c>
      <c r="AM221" s="8">
        <v>1</v>
      </c>
      <c r="AN221" s="8">
        <v>16</v>
      </c>
    </row>
    <row r="222" spans="1:40" x14ac:dyDescent="0.25">
      <c r="A222" s="8" t="s">
        <v>282</v>
      </c>
      <c r="B222" s="9">
        <v>42033.667361111111</v>
      </c>
      <c r="C222" s="8">
        <v>0</v>
      </c>
      <c r="D222" s="9">
        <v>42034.434027777781</v>
      </c>
      <c r="E222" s="8" t="s">
        <v>93</v>
      </c>
      <c r="F222" s="8">
        <v>14</v>
      </c>
      <c r="G222" s="8" t="s">
        <v>94</v>
      </c>
      <c r="H222" s="8" t="s">
        <v>95</v>
      </c>
      <c r="I222" s="8">
        <v>1</v>
      </c>
      <c r="J222" s="8" t="s">
        <v>95</v>
      </c>
      <c r="K222" s="8">
        <v>1</v>
      </c>
      <c r="L222" s="8" t="s">
        <v>95</v>
      </c>
      <c r="M222" s="8">
        <v>1</v>
      </c>
      <c r="N222" s="8" t="s">
        <v>95</v>
      </c>
      <c r="O222" s="8">
        <v>1</v>
      </c>
      <c r="P222" s="8" t="s">
        <v>95</v>
      </c>
      <c r="Q222" s="8">
        <v>1</v>
      </c>
      <c r="R222" s="8" t="s">
        <v>94</v>
      </c>
      <c r="S222" s="8">
        <v>0</v>
      </c>
      <c r="T222" s="8" t="s">
        <v>95</v>
      </c>
      <c r="U222" s="8">
        <v>1</v>
      </c>
      <c r="V222" s="8" t="s">
        <v>94</v>
      </c>
      <c r="W222" s="8">
        <v>0</v>
      </c>
      <c r="X222" s="8" t="s">
        <v>95</v>
      </c>
      <c r="Y222" s="8">
        <v>1</v>
      </c>
      <c r="Z222" s="8" t="s">
        <v>95</v>
      </c>
      <c r="AA222" s="8">
        <v>1</v>
      </c>
      <c r="AB222" s="8" t="s">
        <v>95</v>
      </c>
      <c r="AC222" s="8">
        <v>1</v>
      </c>
      <c r="AD222" s="8" t="s">
        <v>95</v>
      </c>
      <c r="AE222" s="8">
        <v>1</v>
      </c>
      <c r="AF222" s="8" t="s">
        <v>95</v>
      </c>
      <c r="AG222" s="8">
        <v>1</v>
      </c>
      <c r="AH222" s="8" t="s">
        <v>95</v>
      </c>
      <c r="AI222" s="8">
        <v>1</v>
      </c>
      <c r="AJ222" s="8" t="s">
        <v>95</v>
      </c>
      <c r="AK222" s="8">
        <v>1</v>
      </c>
      <c r="AL222" s="8" t="s">
        <v>95</v>
      </c>
      <c r="AM222" s="8">
        <v>1</v>
      </c>
      <c r="AN222" s="8">
        <v>14</v>
      </c>
    </row>
    <row r="223" spans="1:40" x14ac:dyDescent="0.25">
      <c r="A223" s="8" t="s">
        <v>283</v>
      </c>
      <c r="B223" s="9">
        <v>42033.671527777777</v>
      </c>
      <c r="C223" s="8">
        <v>0</v>
      </c>
      <c r="D223" s="9">
        <v>42034.439583333333</v>
      </c>
      <c r="E223" s="8" t="s">
        <v>93</v>
      </c>
      <c r="F223" s="8">
        <v>15</v>
      </c>
      <c r="G223" s="8" t="s">
        <v>94</v>
      </c>
      <c r="H223" s="8" t="s">
        <v>95</v>
      </c>
      <c r="I223" s="8">
        <v>1</v>
      </c>
      <c r="J223" s="8" t="s">
        <v>95</v>
      </c>
      <c r="K223" s="8">
        <v>1</v>
      </c>
      <c r="L223" s="8" t="s">
        <v>95</v>
      </c>
      <c r="M223" s="8">
        <v>1</v>
      </c>
      <c r="N223" s="8" t="s">
        <v>95</v>
      </c>
      <c r="O223" s="8">
        <v>1</v>
      </c>
      <c r="P223" s="8" t="s">
        <v>95</v>
      </c>
      <c r="Q223" s="8">
        <v>1</v>
      </c>
      <c r="R223" s="8" t="s">
        <v>95</v>
      </c>
      <c r="S223" s="8">
        <v>1</v>
      </c>
      <c r="T223" s="8" t="s">
        <v>94</v>
      </c>
      <c r="U223" s="8">
        <v>0</v>
      </c>
      <c r="V223" s="8" t="s">
        <v>95</v>
      </c>
      <c r="W223" s="8">
        <v>1</v>
      </c>
      <c r="X223" s="8" t="s">
        <v>95</v>
      </c>
      <c r="Y223" s="8">
        <v>1</v>
      </c>
      <c r="Z223" s="8" t="s">
        <v>95</v>
      </c>
      <c r="AA223" s="8">
        <v>1</v>
      </c>
      <c r="AB223" s="8" t="s">
        <v>95</v>
      </c>
      <c r="AC223" s="8">
        <v>1</v>
      </c>
      <c r="AD223" s="8" t="s">
        <v>95</v>
      </c>
      <c r="AE223" s="8">
        <v>1</v>
      </c>
      <c r="AF223" s="8" t="s">
        <v>95</v>
      </c>
      <c r="AG223" s="8">
        <v>1</v>
      </c>
      <c r="AH223" s="8" t="s">
        <v>95</v>
      </c>
      <c r="AI223" s="8">
        <v>1</v>
      </c>
      <c r="AJ223" s="8" t="s">
        <v>95</v>
      </c>
      <c r="AK223" s="8">
        <v>1</v>
      </c>
      <c r="AL223" s="8" t="s">
        <v>95</v>
      </c>
      <c r="AM223" s="8">
        <v>1</v>
      </c>
      <c r="AN223" s="8">
        <v>15</v>
      </c>
    </row>
    <row r="224" spans="1:40" x14ac:dyDescent="0.25">
      <c r="A224" s="8" t="s">
        <v>284</v>
      </c>
      <c r="B224" s="9">
        <v>42033.661805555559</v>
      </c>
      <c r="C224" s="8">
        <v>0</v>
      </c>
      <c r="D224" s="9">
        <v>42034.46597222222</v>
      </c>
      <c r="E224" s="8" t="s">
        <v>93</v>
      </c>
      <c r="F224" s="8">
        <v>3</v>
      </c>
      <c r="G224" s="8" t="s">
        <v>94</v>
      </c>
      <c r="H224" s="8" t="s">
        <v>94</v>
      </c>
      <c r="I224" s="8">
        <v>0</v>
      </c>
      <c r="J224" s="8" t="s">
        <v>94</v>
      </c>
      <c r="K224" s="8">
        <v>0</v>
      </c>
      <c r="L224" s="8" t="s">
        <v>94</v>
      </c>
      <c r="M224" s="8">
        <v>0</v>
      </c>
      <c r="N224" s="8" t="s">
        <v>94</v>
      </c>
      <c r="O224" s="8">
        <v>0</v>
      </c>
      <c r="P224" s="8" t="s">
        <v>94</v>
      </c>
      <c r="Q224" s="8">
        <v>0</v>
      </c>
      <c r="R224" s="8" t="s">
        <v>95</v>
      </c>
      <c r="S224" s="8">
        <v>1</v>
      </c>
      <c r="T224" s="8" t="s">
        <v>94</v>
      </c>
      <c r="U224" s="8">
        <v>0</v>
      </c>
      <c r="V224" s="8" t="s">
        <v>94</v>
      </c>
      <c r="W224" s="8">
        <v>0</v>
      </c>
      <c r="X224" s="8" t="s">
        <v>94</v>
      </c>
      <c r="Y224" s="8">
        <v>0</v>
      </c>
      <c r="Z224" s="8" t="s">
        <v>95</v>
      </c>
      <c r="AA224" s="8">
        <v>1</v>
      </c>
      <c r="AB224" s="8" t="s">
        <v>94</v>
      </c>
      <c r="AC224" s="8">
        <v>0</v>
      </c>
      <c r="AD224" s="8" t="s">
        <v>95</v>
      </c>
      <c r="AE224" s="8">
        <v>1</v>
      </c>
      <c r="AF224" s="8" t="s">
        <v>94</v>
      </c>
      <c r="AG224" s="8">
        <v>0</v>
      </c>
      <c r="AH224" s="8" t="s">
        <v>94</v>
      </c>
      <c r="AI224" s="8">
        <v>0</v>
      </c>
      <c r="AJ224" s="8" t="s">
        <v>94</v>
      </c>
      <c r="AK224" s="8">
        <v>0</v>
      </c>
      <c r="AL224" s="8" t="s">
        <v>94</v>
      </c>
      <c r="AM224" s="8">
        <v>0</v>
      </c>
      <c r="AN224" s="8">
        <v>3</v>
      </c>
    </row>
    <row r="225" spans="1:40" x14ac:dyDescent="0.25">
      <c r="A225" s="8" t="s">
        <v>285</v>
      </c>
      <c r="B225" s="9">
        <v>42033.662499999999</v>
      </c>
      <c r="C225" s="8">
        <v>0</v>
      </c>
      <c r="D225" s="9">
        <v>42034.50277777778</v>
      </c>
      <c r="E225" s="8" t="s">
        <v>93</v>
      </c>
      <c r="F225" s="8">
        <v>16</v>
      </c>
      <c r="G225" s="8" t="s">
        <v>94</v>
      </c>
      <c r="H225" s="8" t="s">
        <v>95</v>
      </c>
      <c r="I225" s="8">
        <v>1</v>
      </c>
      <c r="J225" s="8" t="s">
        <v>95</v>
      </c>
      <c r="K225" s="8">
        <v>1</v>
      </c>
      <c r="L225" s="8" t="s">
        <v>95</v>
      </c>
      <c r="M225" s="8">
        <v>1</v>
      </c>
      <c r="N225" s="8" t="s">
        <v>95</v>
      </c>
      <c r="O225" s="8">
        <v>1</v>
      </c>
      <c r="P225" s="8" t="s">
        <v>95</v>
      </c>
      <c r="Q225" s="8">
        <v>1</v>
      </c>
      <c r="R225" s="8" t="s">
        <v>95</v>
      </c>
      <c r="S225" s="8">
        <v>1</v>
      </c>
      <c r="T225" s="8" t="s">
        <v>95</v>
      </c>
      <c r="U225" s="8">
        <v>1</v>
      </c>
      <c r="V225" s="8" t="s">
        <v>95</v>
      </c>
      <c r="W225" s="8">
        <v>1</v>
      </c>
      <c r="X225" s="8" t="s">
        <v>95</v>
      </c>
      <c r="Y225" s="8">
        <v>1</v>
      </c>
      <c r="Z225" s="8" t="s">
        <v>95</v>
      </c>
      <c r="AA225" s="8">
        <v>1</v>
      </c>
      <c r="AB225" s="8" t="s">
        <v>95</v>
      </c>
      <c r="AC225" s="8">
        <v>1</v>
      </c>
      <c r="AD225" s="8" t="s">
        <v>95</v>
      </c>
      <c r="AE225" s="8">
        <v>1</v>
      </c>
      <c r="AF225" s="8" t="s">
        <v>95</v>
      </c>
      <c r="AG225" s="8">
        <v>1</v>
      </c>
      <c r="AH225" s="8" t="s">
        <v>95</v>
      </c>
      <c r="AI225" s="8">
        <v>1</v>
      </c>
      <c r="AJ225" s="8" t="s">
        <v>95</v>
      </c>
      <c r="AK225" s="8">
        <v>1</v>
      </c>
      <c r="AL225" s="8" t="s">
        <v>95</v>
      </c>
      <c r="AM225" s="8">
        <v>1</v>
      </c>
      <c r="AN225" s="8">
        <v>16</v>
      </c>
    </row>
    <row r="226" spans="1:40" x14ac:dyDescent="0.25">
      <c r="A226" s="8" t="s">
        <v>286</v>
      </c>
      <c r="B226" s="9">
        <v>42033.665972222225</v>
      </c>
      <c r="C226" s="8">
        <v>0</v>
      </c>
      <c r="D226" s="9">
        <v>42034.547222222223</v>
      </c>
      <c r="E226" s="8" t="s">
        <v>93</v>
      </c>
      <c r="F226" s="8">
        <v>9</v>
      </c>
      <c r="G226" s="8" t="s">
        <v>94</v>
      </c>
      <c r="H226" s="8" t="s">
        <v>94</v>
      </c>
      <c r="I226" s="8">
        <v>0</v>
      </c>
      <c r="J226" s="8" t="s">
        <v>95</v>
      </c>
      <c r="K226" s="8">
        <v>1</v>
      </c>
      <c r="L226" s="8" t="s">
        <v>95</v>
      </c>
      <c r="M226" s="8">
        <v>1</v>
      </c>
      <c r="N226" s="8" t="s">
        <v>94</v>
      </c>
      <c r="O226" s="8">
        <v>0</v>
      </c>
      <c r="P226" s="8" t="s">
        <v>95</v>
      </c>
      <c r="Q226" s="8">
        <v>1</v>
      </c>
      <c r="R226" s="8" t="s">
        <v>95</v>
      </c>
      <c r="S226" s="8">
        <v>1</v>
      </c>
      <c r="T226" s="8" t="s">
        <v>94</v>
      </c>
      <c r="U226" s="8">
        <v>0</v>
      </c>
      <c r="V226" s="8" t="s">
        <v>95</v>
      </c>
      <c r="W226" s="8">
        <v>1</v>
      </c>
      <c r="X226" s="8" t="s">
        <v>95</v>
      </c>
      <c r="Y226" s="8">
        <v>1</v>
      </c>
      <c r="Z226" s="8" t="s">
        <v>95</v>
      </c>
      <c r="AA226" s="8">
        <v>1</v>
      </c>
      <c r="AB226" s="8" t="s">
        <v>95</v>
      </c>
      <c r="AC226" s="8">
        <v>1</v>
      </c>
      <c r="AD226" s="8" t="s">
        <v>95</v>
      </c>
      <c r="AE226" s="8">
        <v>1</v>
      </c>
      <c r="AF226" s="8" t="s">
        <v>94</v>
      </c>
      <c r="AG226" s="8">
        <v>0</v>
      </c>
      <c r="AH226" s="8" t="s">
        <v>94</v>
      </c>
      <c r="AI226" s="8">
        <v>0</v>
      </c>
      <c r="AJ226" s="8" t="s">
        <v>94</v>
      </c>
      <c r="AK226" s="8">
        <v>0</v>
      </c>
      <c r="AL226" s="8" t="s">
        <v>94</v>
      </c>
      <c r="AM226" s="8">
        <v>0</v>
      </c>
      <c r="AN226" s="8">
        <v>9</v>
      </c>
    </row>
    <row r="227" spans="1:40" x14ac:dyDescent="0.25">
      <c r="A227" s="8" t="s">
        <v>287</v>
      </c>
      <c r="B227" s="9">
        <v>42033.681944444441</v>
      </c>
      <c r="C227" s="8">
        <v>0</v>
      </c>
      <c r="D227" s="9">
        <v>42034.589583333334</v>
      </c>
      <c r="E227" s="8" t="s">
        <v>93</v>
      </c>
      <c r="F227" s="8">
        <v>16</v>
      </c>
      <c r="G227" s="8" t="s">
        <v>94</v>
      </c>
      <c r="H227" s="8" t="s">
        <v>95</v>
      </c>
      <c r="I227" s="8">
        <v>1</v>
      </c>
      <c r="J227" s="8" t="s">
        <v>95</v>
      </c>
      <c r="K227" s="8">
        <v>1</v>
      </c>
      <c r="L227" s="8" t="s">
        <v>95</v>
      </c>
      <c r="M227" s="8">
        <v>1</v>
      </c>
      <c r="N227" s="8" t="s">
        <v>95</v>
      </c>
      <c r="O227" s="8">
        <v>1</v>
      </c>
      <c r="P227" s="8" t="s">
        <v>95</v>
      </c>
      <c r="Q227" s="8">
        <v>1</v>
      </c>
      <c r="R227" s="8" t="s">
        <v>95</v>
      </c>
      <c r="S227" s="8">
        <v>1</v>
      </c>
      <c r="T227" s="8" t="s">
        <v>95</v>
      </c>
      <c r="U227" s="8">
        <v>1</v>
      </c>
      <c r="V227" s="8" t="s">
        <v>95</v>
      </c>
      <c r="W227" s="8">
        <v>1</v>
      </c>
      <c r="X227" s="8" t="s">
        <v>95</v>
      </c>
      <c r="Y227" s="8">
        <v>1</v>
      </c>
      <c r="Z227" s="8" t="s">
        <v>95</v>
      </c>
      <c r="AA227" s="8">
        <v>1</v>
      </c>
      <c r="AB227" s="8" t="s">
        <v>95</v>
      </c>
      <c r="AC227" s="8">
        <v>1</v>
      </c>
      <c r="AD227" s="8" t="s">
        <v>95</v>
      </c>
      <c r="AE227" s="8">
        <v>1</v>
      </c>
      <c r="AF227" s="8" t="s">
        <v>95</v>
      </c>
      <c r="AG227" s="8">
        <v>1</v>
      </c>
      <c r="AH227" s="8" t="s">
        <v>95</v>
      </c>
      <c r="AI227" s="8">
        <v>1</v>
      </c>
      <c r="AJ227" s="8" t="s">
        <v>95</v>
      </c>
      <c r="AK227" s="8">
        <v>1</v>
      </c>
      <c r="AL227" s="8" t="s">
        <v>95</v>
      </c>
      <c r="AM227" s="8">
        <v>1</v>
      </c>
      <c r="AN227" s="8">
        <v>16</v>
      </c>
    </row>
    <row r="228" spans="1:40" x14ac:dyDescent="0.25">
      <c r="A228" s="8" t="s">
        <v>288</v>
      </c>
      <c r="B228" s="9">
        <v>42033.680555555555</v>
      </c>
      <c r="C228" s="8">
        <v>0</v>
      </c>
      <c r="D228" s="9">
        <v>42034.630555555559</v>
      </c>
      <c r="E228" s="8" t="s">
        <v>93</v>
      </c>
      <c r="F228" s="8">
        <v>14</v>
      </c>
      <c r="G228" s="8" t="s">
        <v>94</v>
      </c>
      <c r="H228" s="8" t="s">
        <v>95</v>
      </c>
      <c r="I228" s="8">
        <v>1</v>
      </c>
      <c r="J228" s="8" t="s">
        <v>95</v>
      </c>
      <c r="K228" s="8">
        <v>1</v>
      </c>
      <c r="L228" s="8" t="s">
        <v>94</v>
      </c>
      <c r="M228" s="8">
        <v>0</v>
      </c>
      <c r="N228" s="8" t="s">
        <v>95</v>
      </c>
      <c r="O228" s="8">
        <v>1</v>
      </c>
      <c r="P228" s="8" t="s">
        <v>95</v>
      </c>
      <c r="Q228" s="8">
        <v>1</v>
      </c>
      <c r="R228" s="8" t="s">
        <v>95</v>
      </c>
      <c r="S228" s="8">
        <v>1</v>
      </c>
      <c r="T228" s="8" t="s">
        <v>95</v>
      </c>
      <c r="U228" s="8">
        <v>1</v>
      </c>
      <c r="V228" s="8" t="s">
        <v>95</v>
      </c>
      <c r="W228" s="8">
        <v>1</v>
      </c>
      <c r="X228" s="8" t="s">
        <v>95</v>
      </c>
      <c r="Y228" s="8">
        <v>1</v>
      </c>
      <c r="Z228" s="8" t="s">
        <v>95</v>
      </c>
      <c r="AA228" s="8">
        <v>1</v>
      </c>
      <c r="AB228" s="8" t="s">
        <v>95</v>
      </c>
      <c r="AC228" s="8">
        <v>1</v>
      </c>
      <c r="AD228" s="8" t="s">
        <v>95</v>
      </c>
      <c r="AE228" s="8">
        <v>1</v>
      </c>
      <c r="AF228" s="8" t="s">
        <v>94</v>
      </c>
      <c r="AG228" s="8">
        <v>0</v>
      </c>
      <c r="AH228" s="8" t="s">
        <v>95</v>
      </c>
      <c r="AI228" s="8">
        <v>1</v>
      </c>
      <c r="AJ228" s="8" t="s">
        <v>95</v>
      </c>
      <c r="AK228" s="8">
        <v>1</v>
      </c>
      <c r="AL228" s="8" t="s">
        <v>95</v>
      </c>
      <c r="AM228" s="8">
        <v>1</v>
      </c>
      <c r="AN228" s="8">
        <v>14</v>
      </c>
    </row>
    <row r="229" spans="1:40" x14ac:dyDescent="0.25">
      <c r="A229" s="8" t="s">
        <v>289</v>
      </c>
      <c r="B229" s="9">
        <v>42033.65902777778</v>
      </c>
      <c r="C229" s="8">
        <v>0</v>
      </c>
      <c r="D229" s="9">
        <v>42034.656944444447</v>
      </c>
      <c r="E229" s="8" t="s">
        <v>93</v>
      </c>
      <c r="F229" s="8">
        <v>16</v>
      </c>
      <c r="G229" s="8" t="s">
        <v>94</v>
      </c>
      <c r="H229" s="8" t="s">
        <v>95</v>
      </c>
      <c r="I229" s="8">
        <v>1</v>
      </c>
      <c r="J229" s="8" t="s">
        <v>95</v>
      </c>
      <c r="K229" s="8">
        <v>1</v>
      </c>
      <c r="L229" s="8" t="s">
        <v>95</v>
      </c>
      <c r="M229" s="8">
        <v>1</v>
      </c>
      <c r="N229" s="8" t="s">
        <v>95</v>
      </c>
      <c r="O229" s="8">
        <v>1</v>
      </c>
      <c r="P229" s="8" t="s">
        <v>95</v>
      </c>
      <c r="Q229" s="8">
        <v>1</v>
      </c>
      <c r="R229" s="8" t="s">
        <v>95</v>
      </c>
      <c r="S229" s="8">
        <v>1</v>
      </c>
      <c r="T229" s="8" t="s">
        <v>95</v>
      </c>
      <c r="U229" s="8">
        <v>1</v>
      </c>
      <c r="V229" s="8" t="s">
        <v>95</v>
      </c>
      <c r="W229" s="8">
        <v>1</v>
      </c>
      <c r="X229" s="8" t="s">
        <v>95</v>
      </c>
      <c r="Y229" s="8">
        <v>1</v>
      </c>
      <c r="Z229" s="8" t="s">
        <v>95</v>
      </c>
      <c r="AA229" s="8">
        <v>1</v>
      </c>
      <c r="AB229" s="8" t="s">
        <v>95</v>
      </c>
      <c r="AC229" s="8">
        <v>1</v>
      </c>
      <c r="AD229" s="8" t="s">
        <v>95</v>
      </c>
      <c r="AE229" s="8">
        <v>1</v>
      </c>
      <c r="AF229" s="8" t="s">
        <v>95</v>
      </c>
      <c r="AG229" s="8">
        <v>1</v>
      </c>
      <c r="AH229" s="8" t="s">
        <v>95</v>
      </c>
      <c r="AI229" s="8">
        <v>1</v>
      </c>
      <c r="AJ229" s="8" t="s">
        <v>95</v>
      </c>
      <c r="AK229" s="8">
        <v>1</v>
      </c>
      <c r="AL229" s="8" t="s">
        <v>95</v>
      </c>
      <c r="AM229" s="8">
        <v>1</v>
      </c>
      <c r="AN229" s="8">
        <v>16</v>
      </c>
    </row>
    <row r="230" spans="1:40" x14ac:dyDescent="0.25">
      <c r="A230" s="8" t="s">
        <v>290</v>
      </c>
      <c r="B230" s="9">
        <v>42033.668055555558</v>
      </c>
      <c r="C230" s="8">
        <v>0</v>
      </c>
      <c r="D230" s="9">
        <v>42034.938888888886</v>
      </c>
      <c r="E230" s="8" t="s">
        <v>93</v>
      </c>
      <c r="F230" s="8">
        <v>16</v>
      </c>
      <c r="G230" s="8" t="s">
        <v>94</v>
      </c>
      <c r="H230" s="8" t="s">
        <v>95</v>
      </c>
      <c r="I230" s="8">
        <v>1</v>
      </c>
      <c r="J230" s="8" t="s">
        <v>95</v>
      </c>
      <c r="K230" s="8">
        <v>1</v>
      </c>
      <c r="L230" s="8" t="s">
        <v>95</v>
      </c>
      <c r="M230" s="8">
        <v>1</v>
      </c>
      <c r="N230" s="8" t="s">
        <v>95</v>
      </c>
      <c r="O230" s="8">
        <v>1</v>
      </c>
      <c r="P230" s="8" t="s">
        <v>95</v>
      </c>
      <c r="Q230" s="8">
        <v>1</v>
      </c>
      <c r="R230" s="8" t="s">
        <v>95</v>
      </c>
      <c r="S230" s="8">
        <v>1</v>
      </c>
      <c r="T230" s="8" t="s">
        <v>95</v>
      </c>
      <c r="U230" s="8">
        <v>1</v>
      </c>
      <c r="V230" s="8" t="s">
        <v>95</v>
      </c>
      <c r="W230" s="8">
        <v>1</v>
      </c>
      <c r="X230" s="8" t="s">
        <v>95</v>
      </c>
      <c r="Y230" s="8">
        <v>1</v>
      </c>
      <c r="Z230" s="8" t="s">
        <v>95</v>
      </c>
      <c r="AA230" s="8">
        <v>1</v>
      </c>
      <c r="AB230" s="8" t="s">
        <v>95</v>
      </c>
      <c r="AC230" s="8">
        <v>1</v>
      </c>
      <c r="AD230" s="8" t="s">
        <v>95</v>
      </c>
      <c r="AE230" s="8">
        <v>1</v>
      </c>
      <c r="AF230" s="8" t="s">
        <v>95</v>
      </c>
      <c r="AG230" s="8">
        <v>1</v>
      </c>
      <c r="AH230" s="8" t="s">
        <v>95</v>
      </c>
      <c r="AI230" s="8">
        <v>1</v>
      </c>
      <c r="AJ230" s="8" t="s">
        <v>95</v>
      </c>
      <c r="AK230" s="8">
        <v>1</v>
      </c>
      <c r="AL230" s="8" t="s">
        <v>95</v>
      </c>
      <c r="AM230" s="8">
        <v>1</v>
      </c>
      <c r="AN230" s="8">
        <v>16</v>
      </c>
    </row>
    <row r="231" spans="1:40" x14ac:dyDescent="0.25">
      <c r="A231" s="8" t="s">
        <v>291</v>
      </c>
      <c r="B231" s="9">
        <v>42033.677083333336</v>
      </c>
      <c r="C231" s="8">
        <v>0</v>
      </c>
      <c r="D231" s="9">
        <v>42035.198611111111</v>
      </c>
      <c r="E231" s="8" t="s">
        <v>93</v>
      </c>
      <c r="F231" s="8">
        <v>15</v>
      </c>
      <c r="G231" s="8" t="s">
        <v>94</v>
      </c>
      <c r="H231" s="8" t="s">
        <v>95</v>
      </c>
      <c r="I231" s="8">
        <v>1</v>
      </c>
      <c r="J231" s="8" t="s">
        <v>95</v>
      </c>
      <c r="K231" s="8">
        <v>1</v>
      </c>
      <c r="L231" s="8" t="s">
        <v>95</v>
      </c>
      <c r="M231" s="8">
        <v>1</v>
      </c>
      <c r="N231" s="8" t="s">
        <v>95</v>
      </c>
      <c r="O231" s="8">
        <v>1</v>
      </c>
      <c r="P231" s="8" t="s">
        <v>95</v>
      </c>
      <c r="Q231" s="8">
        <v>1</v>
      </c>
      <c r="R231" s="8" t="s">
        <v>95</v>
      </c>
      <c r="S231" s="8">
        <v>1</v>
      </c>
      <c r="T231" s="8" t="s">
        <v>94</v>
      </c>
      <c r="U231" s="8">
        <v>0</v>
      </c>
      <c r="V231" s="8" t="s">
        <v>95</v>
      </c>
      <c r="W231" s="8">
        <v>1</v>
      </c>
      <c r="X231" s="8" t="s">
        <v>95</v>
      </c>
      <c r="Y231" s="8">
        <v>1</v>
      </c>
      <c r="Z231" s="8" t="s">
        <v>95</v>
      </c>
      <c r="AA231" s="8">
        <v>1</v>
      </c>
      <c r="AB231" s="8" t="s">
        <v>95</v>
      </c>
      <c r="AC231" s="8">
        <v>1</v>
      </c>
      <c r="AD231" s="8" t="s">
        <v>95</v>
      </c>
      <c r="AE231" s="8">
        <v>1</v>
      </c>
      <c r="AF231" s="8" t="s">
        <v>95</v>
      </c>
      <c r="AG231" s="8">
        <v>1</v>
      </c>
      <c r="AH231" s="8" t="s">
        <v>95</v>
      </c>
      <c r="AI231" s="8">
        <v>1</v>
      </c>
      <c r="AJ231" s="8" t="s">
        <v>95</v>
      </c>
      <c r="AK231" s="8">
        <v>1</v>
      </c>
      <c r="AL231" s="8" t="s">
        <v>95</v>
      </c>
      <c r="AM231" s="8">
        <v>1</v>
      </c>
      <c r="AN231" s="8">
        <v>15</v>
      </c>
    </row>
    <row r="232" spans="1:40" x14ac:dyDescent="0.25">
      <c r="A232" s="8" t="s">
        <v>292</v>
      </c>
      <c r="B232" s="9">
        <v>42033.672222222223</v>
      </c>
      <c r="C232" s="8">
        <v>0</v>
      </c>
      <c r="D232" s="9">
        <v>42035.754166666666</v>
      </c>
      <c r="E232" s="8" t="s">
        <v>93</v>
      </c>
      <c r="F232" s="8">
        <v>16</v>
      </c>
      <c r="G232" s="8" t="s">
        <v>94</v>
      </c>
      <c r="H232" s="8" t="s">
        <v>95</v>
      </c>
      <c r="I232" s="8">
        <v>1</v>
      </c>
      <c r="J232" s="8" t="s">
        <v>95</v>
      </c>
      <c r="K232" s="8">
        <v>1</v>
      </c>
      <c r="L232" s="8" t="s">
        <v>95</v>
      </c>
      <c r="M232" s="8">
        <v>1</v>
      </c>
      <c r="N232" s="8" t="s">
        <v>95</v>
      </c>
      <c r="O232" s="8">
        <v>1</v>
      </c>
      <c r="P232" s="8" t="s">
        <v>95</v>
      </c>
      <c r="Q232" s="8">
        <v>1</v>
      </c>
      <c r="R232" s="8" t="s">
        <v>95</v>
      </c>
      <c r="S232" s="8">
        <v>1</v>
      </c>
      <c r="T232" s="8" t="s">
        <v>95</v>
      </c>
      <c r="U232" s="8">
        <v>1</v>
      </c>
      <c r="V232" s="8" t="s">
        <v>95</v>
      </c>
      <c r="W232" s="8">
        <v>1</v>
      </c>
      <c r="X232" s="8" t="s">
        <v>95</v>
      </c>
      <c r="Y232" s="8">
        <v>1</v>
      </c>
      <c r="Z232" s="8" t="s">
        <v>95</v>
      </c>
      <c r="AA232" s="8">
        <v>1</v>
      </c>
      <c r="AB232" s="8" t="s">
        <v>95</v>
      </c>
      <c r="AC232" s="8">
        <v>1</v>
      </c>
      <c r="AD232" s="8" t="s">
        <v>95</v>
      </c>
      <c r="AE232" s="8">
        <v>1</v>
      </c>
      <c r="AF232" s="8" t="s">
        <v>95</v>
      </c>
      <c r="AG232" s="8">
        <v>1</v>
      </c>
      <c r="AH232" s="8" t="s">
        <v>95</v>
      </c>
      <c r="AI232" s="8">
        <v>1</v>
      </c>
      <c r="AJ232" s="8" t="s">
        <v>95</v>
      </c>
      <c r="AK232" s="8">
        <v>1</v>
      </c>
      <c r="AL232" s="8" t="s">
        <v>95</v>
      </c>
      <c r="AM232" s="8">
        <v>1</v>
      </c>
      <c r="AN232" s="8">
        <v>16</v>
      </c>
    </row>
    <row r="233" spans="1:40" x14ac:dyDescent="0.25">
      <c r="A233" s="8" t="s">
        <v>293</v>
      </c>
      <c r="B233" s="9">
        <v>42033.659722222219</v>
      </c>
      <c r="C233" s="8">
        <v>0</v>
      </c>
      <c r="D233" s="9">
        <v>42035.981249999997</v>
      </c>
      <c r="E233" s="8" t="s">
        <v>93</v>
      </c>
      <c r="F233" s="8">
        <v>16</v>
      </c>
      <c r="G233" s="8" t="s">
        <v>94</v>
      </c>
      <c r="H233" s="8" t="s">
        <v>95</v>
      </c>
      <c r="I233" s="8">
        <v>1</v>
      </c>
      <c r="J233" s="8" t="s">
        <v>95</v>
      </c>
      <c r="K233" s="8">
        <v>1</v>
      </c>
      <c r="L233" s="8" t="s">
        <v>95</v>
      </c>
      <c r="M233" s="8">
        <v>1</v>
      </c>
      <c r="N233" s="8" t="s">
        <v>95</v>
      </c>
      <c r="O233" s="8">
        <v>1</v>
      </c>
      <c r="P233" s="8" t="s">
        <v>95</v>
      </c>
      <c r="Q233" s="8">
        <v>1</v>
      </c>
      <c r="R233" s="8" t="s">
        <v>95</v>
      </c>
      <c r="S233" s="8">
        <v>1</v>
      </c>
      <c r="T233" s="8" t="s">
        <v>95</v>
      </c>
      <c r="U233" s="8">
        <v>1</v>
      </c>
      <c r="V233" s="8" t="s">
        <v>95</v>
      </c>
      <c r="W233" s="8">
        <v>1</v>
      </c>
      <c r="X233" s="8" t="s">
        <v>95</v>
      </c>
      <c r="Y233" s="8">
        <v>1</v>
      </c>
      <c r="Z233" s="8" t="s">
        <v>95</v>
      </c>
      <c r="AA233" s="8">
        <v>1</v>
      </c>
      <c r="AB233" s="8" t="s">
        <v>95</v>
      </c>
      <c r="AC233" s="8">
        <v>1</v>
      </c>
      <c r="AD233" s="8" t="s">
        <v>95</v>
      </c>
      <c r="AE233" s="8">
        <v>1</v>
      </c>
      <c r="AF233" s="8" t="s">
        <v>95</v>
      </c>
      <c r="AG233" s="8">
        <v>1</v>
      </c>
      <c r="AH233" s="8" t="s">
        <v>95</v>
      </c>
      <c r="AI233" s="8">
        <v>1</v>
      </c>
      <c r="AJ233" s="8" t="s">
        <v>95</v>
      </c>
      <c r="AK233" s="8">
        <v>1</v>
      </c>
      <c r="AL233" s="8" t="s">
        <v>95</v>
      </c>
      <c r="AM233" s="8">
        <v>1</v>
      </c>
      <c r="AN233" s="8">
        <v>16</v>
      </c>
    </row>
    <row r="234" spans="1:40" x14ac:dyDescent="0.25">
      <c r="A234" s="8" t="s">
        <v>294</v>
      </c>
      <c r="B234" s="9">
        <v>42033.661111111112</v>
      </c>
      <c r="C234" s="8">
        <v>0</v>
      </c>
      <c r="D234" s="9">
        <v>42036.586805555555</v>
      </c>
      <c r="E234" s="8" t="s">
        <v>93</v>
      </c>
      <c r="F234" s="8">
        <v>11</v>
      </c>
      <c r="G234" s="8" t="s">
        <v>94</v>
      </c>
      <c r="H234" s="8" t="s">
        <v>95</v>
      </c>
      <c r="I234" s="8">
        <v>1</v>
      </c>
      <c r="J234" s="8" t="s">
        <v>94</v>
      </c>
      <c r="K234" s="8">
        <v>0</v>
      </c>
      <c r="L234" s="8" t="s">
        <v>95</v>
      </c>
      <c r="M234" s="8">
        <v>1</v>
      </c>
      <c r="N234" s="8" t="s">
        <v>94</v>
      </c>
      <c r="O234" s="8">
        <v>0</v>
      </c>
      <c r="P234" s="8" t="s">
        <v>95</v>
      </c>
      <c r="Q234" s="8">
        <v>1</v>
      </c>
      <c r="R234" s="8" t="s">
        <v>95</v>
      </c>
      <c r="S234" s="8">
        <v>1</v>
      </c>
      <c r="T234" s="8" t="s">
        <v>95</v>
      </c>
      <c r="U234" s="8">
        <v>1</v>
      </c>
      <c r="V234" s="8" t="s">
        <v>94</v>
      </c>
      <c r="W234" s="8">
        <v>0</v>
      </c>
      <c r="X234" s="8" t="s">
        <v>95</v>
      </c>
      <c r="Y234" s="8">
        <v>1</v>
      </c>
      <c r="Z234" s="8" t="s">
        <v>95</v>
      </c>
      <c r="AA234" s="8">
        <v>1</v>
      </c>
      <c r="AB234" s="8" t="s">
        <v>95</v>
      </c>
      <c r="AC234" s="8">
        <v>1</v>
      </c>
      <c r="AD234" s="8" t="s">
        <v>95</v>
      </c>
      <c r="AE234" s="8">
        <v>1</v>
      </c>
      <c r="AF234" s="8" t="s">
        <v>94</v>
      </c>
      <c r="AG234" s="8">
        <v>0</v>
      </c>
      <c r="AH234" s="8" t="s">
        <v>95</v>
      </c>
      <c r="AI234" s="8">
        <v>1</v>
      </c>
      <c r="AJ234" s="8" t="s">
        <v>95</v>
      </c>
      <c r="AK234" s="8">
        <v>1</v>
      </c>
      <c r="AL234" s="8" t="s">
        <v>94</v>
      </c>
      <c r="AM234" s="8">
        <v>0</v>
      </c>
      <c r="AN234" s="8">
        <v>11</v>
      </c>
    </row>
    <row r="235" spans="1:40" x14ac:dyDescent="0.25">
      <c r="A235" s="8" t="s">
        <v>295</v>
      </c>
      <c r="B235" s="9">
        <v>42033.65</v>
      </c>
      <c r="C235" s="8">
        <v>0</v>
      </c>
      <c r="D235" s="9">
        <v>42036.678472222222</v>
      </c>
      <c r="E235" s="8" t="s">
        <v>93</v>
      </c>
      <c r="F235" s="8">
        <v>9</v>
      </c>
      <c r="G235" s="8" t="s">
        <v>94</v>
      </c>
      <c r="H235" s="8" t="s">
        <v>94</v>
      </c>
      <c r="I235" s="8">
        <v>0</v>
      </c>
      <c r="J235" s="8" t="s">
        <v>95</v>
      </c>
      <c r="K235" s="8">
        <v>1</v>
      </c>
      <c r="L235" s="8" t="s">
        <v>94</v>
      </c>
      <c r="M235" s="8">
        <v>0</v>
      </c>
      <c r="N235" s="8" t="s">
        <v>94</v>
      </c>
      <c r="O235" s="8">
        <v>0</v>
      </c>
      <c r="P235" s="8" t="s">
        <v>95</v>
      </c>
      <c r="Q235" s="8">
        <v>1</v>
      </c>
      <c r="R235" s="8" t="s">
        <v>95</v>
      </c>
      <c r="S235" s="8">
        <v>1</v>
      </c>
      <c r="T235" s="8" t="s">
        <v>95</v>
      </c>
      <c r="U235" s="8">
        <v>1</v>
      </c>
      <c r="V235" s="8" t="s">
        <v>95</v>
      </c>
      <c r="W235" s="8">
        <v>1</v>
      </c>
      <c r="X235" s="8" t="s">
        <v>95</v>
      </c>
      <c r="Y235" s="8">
        <v>1</v>
      </c>
      <c r="Z235" s="8" t="s">
        <v>95</v>
      </c>
      <c r="AA235" s="8">
        <v>1</v>
      </c>
      <c r="AB235" s="8" t="s">
        <v>95</v>
      </c>
      <c r="AC235" s="8">
        <v>1</v>
      </c>
      <c r="AD235" s="8" t="s">
        <v>95</v>
      </c>
      <c r="AE235" s="8">
        <v>1</v>
      </c>
      <c r="AF235" s="8" t="s">
        <v>94</v>
      </c>
      <c r="AG235" s="8">
        <v>0</v>
      </c>
      <c r="AH235" s="8" t="s">
        <v>94</v>
      </c>
      <c r="AI235" s="8">
        <v>0</v>
      </c>
      <c r="AJ235" s="8" t="s">
        <v>94</v>
      </c>
      <c r="AK235" s="8">
        <v>0</v>
      </c>
      <c r="AL235" s="8" t="s">
        <v>94</v>
      </c>
      <c r="AM235" s="8">
        <v>0</v>
      </c>
      <c r="AN235" s="8">
        <v>9</v>
      </c>
    </row>
    <row r="236" spans="1:40" x14ac:dyDescent="0.25">
      <c r="A236" s="8" t="s">
        <v>296</v>
      </c>
      <c r="B236" s="9">
        <v>42033.650694444441</v>
      </c>
      <c r="C236" s="8">
        <v>0</v>
      </c>
      <c r="D236" s="9">
        <v>42036.681250000001</v>
      </c>
      <c r="E236" s="8" t="s">
        <v>93</v>
      </c>
      <c r="F236" s="8">
        <v>16</v>
      </c>
      <c r="G236" s="8" t="s">
        <v>94</v>
      </c>
      <c r="H236" s="8" t="s">
        <v>95</v>
      </c>
      <c r="I236" s="8">
        <v>1</v>
      </c>
      <c r="J236" s="8" t="s">
        <v>95</v>
      </c>
      <c r="K236" s="8">
        <v>1</v>
      </c>
      <c r="L236" s="8" t="s">
        <v>95</v>
      </c>
      <c r="M236" s="8">
        <v>1</v>
      </c>
      <c r="N236" s="8" t="s">
        <v>95</v>
      </c>
      <c r="O236" s="8">
        <v>1</v>
      </c>
      <c r="P236" s="8" t="s">
        <v>95</v>
      </c>
      <c r="Q236" s="8">
        <v>1</v>
      </c>
      <c r="R236" s="8" t="s">
        <v>95</v>
      </c>
      <c r="S236" s="8">
        <v>1</v>
      </c>
      <c r="T236" s="8" t="s">
        <v>95</v>
      </c>
      <c r="U236" s="8">
        <v>1</v>
      </c>
      <c r="V236" s="8" t="s">
        <v>95</v>
      </c>
      <c r="W236" s="8">
        <v>1</v>
      </c>
      <c r="X236" s="8" t="s">
        <v>95</v>
      </c>
      <c r="Y236" s="8">
        <v>1</v>
      </c>
      <c r="Z236" s="8" t="s">
        <v>95</v>
      </c>
      <c r="AA236" s="8">
        <v>1</v>
      </c>
      <c r="AB236" s="8" t="s">
        <v>95</v>
      </c>
      <c r="AC236" s="8">
        <v>1</v>
      </c>
      <c r="AD236" s="8" t="s">
        <v>95</v>
      </c>
      <c r="AE236" s="8">
        <v>1</v>
      </c>
      <c r="AF236" s="8" t="s">
        <v>95</v>
      </c>
      <c r="AG236" s="8">
        <v>1</v>
      </c>
      <c r="AH236" s="8" t="s">
        <v>95</v>
      </c>
      <c r="AI236" s="8">
        <v>1</v>
      </c>
      <c r="AJ236" s="8" t="s">
        <v>95</v>
      </c>
      <c r="AK236" s="8">
        <v>1</v>
      </c>
      <c r="AL236" s="8" t="s">
        <v>95</v>
      </c>
      <c r="AM236" s="8">
        <v>1</v>
      </c>
      <c r="AN236" s="8">
        <v>16</v>
      </c>
    </row>
    <row r="237" spans="1:40" x14ac:dyDescent="0.25">
      <c r="A237" s="8" t="s">
        <v>297</v>
      </c>
      <c r="B237" s="9">
        <v>42033.668055555558</v>
      </c>
      <c r="C237" s="8">
        <v>0</v>
      </c>
      <c r="D237" s="9">
        <v>42036.686111111114</v>
      </c>
      <c r="E237" s="8" t="s">
        <v>93</v>
      </c>
      <c r="F237" s="8">
        <v>16</v>
      </c>
      <c r="G237" s="8" t="s">
        <v>94</v>
      </c>
      <c r="H237" s="8" t="s">
        <v>95</v>
      </c>
      <c r="I237" s="8">
        <v>1</v>
      </c>
      <c r="J237" s="8" t="s">
        <v>95</v>
      </c>
      <c r="K237" s="8">
        <v>1</v>
      </c>
      <c r="L237" s="8" t="s">
        <v>95</v>
      </c>
      <c r="M237" s="8">
        <v>1</v>
      </c>
      <c r="N237" s="8" t="s">
        <v>95</v>
      </c>
      <c r="O237" s="8">
        <v>1</v>
      </c>
      <c r="P237" s="8" t="s">
        <v>95</v>
      </c>
      <c r="Q237" s="8">
        <v>1</v>
      </c>
      <c r="R237" s="8" t="s">
        <v>95</v>
      </c>
      <c r="S237" s="8">
        <v>1</v>
      </c>
      <c r="T237" s="8" t="s">
        <v>95</v>
      </c>
      <c r="U237" s="8">
        <v>1</v>
      </c>
      <c r="V237" s="8" t="s">
        <v>95</v>
      </c>
      <c r="W237" s="8">
        <v>1</v>
      </c>
      <c r="X237" s="8" t="s">
        <v>95</v>
      </c>
      <c r="Y237" s="8">
        <v>1</v>
      </c>
      <c r="Z237" s="8" t="s">
        <v>95</v>
      </c>
      <c r="AA237" s="8">
        <v>1</v>
      </c>
      <c r="AB237" s="8" t="s">
        <v>95</v>
      </c>
      <c r="AC237" s="8">
        <v>1</v>
      </c>
      <c r="AD237" s="8" t="s">
        <v>95</v>
      </c>
      <c r="AE237" s="8">
        <v>1</v>
      </c>
      <c r="AF237" s="8" t="s">
        <v>95</v>
      </c>
      <c r="AG237" s="8">
        <v>1</v>
      </c>
      <c r="AH237" s="8" t="s">
        <v>95</v>
      </c>
      <c r="AI237" s="8">
        <v>1</v>
      </c>
      <c r="AJ237" s="8" t="s">
        <v>95</v>
      </c>
      <c r="AK237" s="8">
        <v>1</v>
      </c>
      <c r="AL237" s="8" t="s">
        <v>95</v>
      </c>
      <c r="AM237" s="8">
        <v>1</v>
      </c>
      <c r="AN237" s="8">
        <v>16</v>
      </c>
    </row>
    <row r="238" spans="1:40" x14ac:dyDescent="0.25">
      <c r="A238" s="8" t="s">
        <v>298</v>
      </c>
      <c r="B238" s="9">
        <v>42033.651388888888</v>
      </c>
      <c r="C238" s="8">
        <v>0</v>
      </c>
      <c r="D238" s="9">
        <v>42036.722916666666</v>
      </c>
      <c r="E238" s="8" t="s">
        <v>93</v>
      </c>
      <c r="F238" s="8">
        <v>15</v>
      </c>
      <c r="G238" s="8" t="s">
        <v>94</v>
      </c>
      <c r="H238" s="8" t="s">
        <v>95</v>
      </c>
      <c r="I238" s="8">
        <v>1</v>
      </c>
      <c r="J238" s="8" t="s">
        <v>95</v>
      </c>
      <c r="K238" s="8">
        <v>1</v>
      </c>
      <c r="L238" s="8" t="s">
        <v>95</v>
      </c>
      <c r="M238" s="8">
        <v>1</v>
      </c>
      <c r="N238" s="8" t="s">
        <v>95</v>
      </c>
      <c r="O238" s="8">
        <v>1</v>
      </c>
      <c r="P238" s="8" t="s">
        <v>95</v>
      </c>
      <c r="Q238" s="8">
        <v>1</v>
      </c>
      <c r="R238" s="8" t="s">
        <v>95</v>
      </c>
      <c r="S238" s="8">
        <v>1</v>
      </c>
      <c r="T238" s="8" t="s">
        <v>95</v>
      </c>
      <c r="U238" s="8">
        <v>1</v>
      </c>
      <c r="V238" s="8" t="s">
        <v>95</v>
      </c>
      <c r="W238" s="8">
        <v>1</v>
      </c>
      <c r="X238" s="8" t="s">
        <v>95</v>
      </c>
      <c r="Y238" s="8">
        <v>1</v>
      </c>
      <c r="Z238" s="8" t="s">
        <v>95</v>
      </c>
      <c r="AA238" s="8">
        <v>1</v>
      </c>
      <c r="AB238" s="8" t="s">
        <v>95</v>
      </c>
      <c r="AC238" s="8">
        <v>1</v>
      </c>
      <c r="AD238" s="8" t="s">
        <v>95</v>
      </c>
      <c r="AE238" s="8">
        <v>1</v>
      </c>
      <c r="AF238" s="8" t="s">
        <v>95</v>
      </c>
      <c r="AG238" s="8">
        <v>1</v>
      </c>
      <c r="AH238" s="8" t="s">
        <v>95</v>
      </c>
      <c r="AI238" s="8">
        <v>1</v>
      </c>
      <c r="AJ238" s="8" t="s">
        <v>95</v>
      </c>
      <c r="AK238" s="8">
        <v>1</v>
      </c>
      <c r="AL238" s="8" t="s">
        <v>94</v>
      </c>
      <c r="AM238" s="8">
        <v>0</v>
      </c>
      <c r="AN238" s="8">
        <v>15</v>
      </c>
    </row>
    <row r="239" spans="1:40" x14ac:dyDescent="0.25">
      <c r="A239" s="8" t="s">
        <v>299</v>
      </c>
      <c r="B239" s="9">
        <v>42033.665972222225</v>
      </c>
      <c r="C239" s="8">
        <v>0</v>
      </c>
      <c r="D239" s="9">
        <v>42036.730555555558</v>
      </c>
      <c r="E239" s="8" t="s">
        <v>93</v>
      </c>
      <c r="F239" s="8">
        <v>16</v>
      </c>
      <c r="G239" s="8" t="s">
        <v>94</v>
      </c>
      <c r="H239" s="8" t="s">
        <v>95</v>
      </c>
      <c r="I239" s="8">
        <v>1</v>
      </c>
      <c r="J239" s="8" t="s">
        <v>95</v>
      </c>
      <c r="K239" s="8">
        <v>1</v>
      </c>
      <c r="L239" s="8" t="s">
        <v>95</v>
      </c>
      <c r="M239" s="8">
        <v>1</v>
      </c>
      <c r="N239" s="8" t="s">
        <v>95</v>
      </c>
      <c r="O239" s="8">
        <v>1</v>
      </c>
      <c r="P239" s="8" t="s">
        <v>95</v>
      </c>
      <c r="Q239" s="8">
        <v>1</v>
      </c>
      <c r="R239" s="8" t="s">
        <v>95</v>
      </c>
      <c r="S239" s="8">
        <v>1</v>
      </c>
      <c r="T239" s="8" t="s">
        <v>95</v>
      </c>
      <c r="U239" s="8">
        <v>1</v>
      </c>
      <c r="V239" s="8" t="s">
        <v>95</v>
      </c>
      <c r="W239" s="8">
        <v>1</v>
      </c>
      <c r="X239" s="8" t="s">
        <v>95</v>
      </c>
      <c r="Y239" s="8">
        <v>1</v>
      </c>
      <c r="Z239" s="8" t="s">
        <v>95</v>
      </c>
      <c r="AA239" s="8">
        <v>1</v>
      </c>
      <c r="AB239" s="8" t="s">
        <v>95</v>
      </c>
      <c r="AC239" s="8">
        <v>1</v>
      </c>
      <c r="AD239" s="8" t="s">
        <v>95</v>
      </c>
      <c r="AE239" s="8">
        <v>1</v>
      </c>
      <c r="AF239" s="8" t="s">
        <v>95</v>
      </c>
      <c r="AG239" s="8">
        <v>1</v>
      </c>
      <c r="AH239" s="8" t="s">
        <v>95</v>
      </c>
      <c r="AI239" s="8">
        <v>1</v>
      </c>
      <c r="AJ239" s="8" t="s">
        <v>95</v>
      </c>
      <c r="AK239" s="8">
        <v>1</v>
      </c>
      <c r="AL239" s="8" t="s">
        <v>95</v>
      </c>
      <c r="AM239" s="8">
        <v>1</v>
      </c>
      <c r="AN239" s="8">
        <v>16</v>
      </c>
    </row>
    <row r="240" spans="1:40" x14ac:dyDescent="0.25">
      <c r="A240" s="8" t="s">
        <v>300</v>
      </c>
      <c r="B240" s="9">
        <v>42033.674305555556</v>
      </c>
      <c r="C240" s="8">
        <v>0</v>
      </c>
      <c r="D240" s="9">
        <v>42036.738888888889</v>
      </c>
      <c r="E240" s="8" t="s">
        <v>93</v>
      </c>
      <c r="F240" s="8">
        <v>16</v>
      </c>
      <c r="G240" s="8" t="s">
        <v>94</v>
      </c>
      <c r="H240" s="8" t="s">
        <v>95</v>
      </c>
      <c r="I240" s="8">
        <v>1</v>
      </c>
      <c r="J240" s="8" t="s">
        <v>95</v>
      </c>
      <c r="K240" s="8">
        <v>1</v>
      </c>
      <c r="L240" s="8" t="s">
        <v>95</v>
      </c>
      <c r="M240" s="8">
        <v>1</v>
      </c>
      <c r="N240" s="8" t="s">
        <v>95</v>
      </c>
      <c r="O240" s="8">
        <v>1</v>
      </c>
      <c r="P240" s="8" t="s">
        <v>95</v>
      </c>
      <c r="Q240" s="8">
        <v>1</v>
      </c>
      <c r="R240" s="8" t="s">
        <v>95</v>
      </c>
      <c r="S240" s="8">
        <v>1</v>
      </c>
      <c r="T240" s="8" t="s">
        <v>95</v>
      </c>
      <c r="U240" s="8">
        <v>1</v>
      </c>
      <c r="V240" s="8" t="s">
        <v>95</v>
      </c>
      <c r="W240" s="8">
        <v>1</v>
      </c>
      <c r="X240" s="8" t="s">
        <v>95</v>
      </c>
      <c r="Y240" s="8">
        <v>1</v>
      </c>
      <c r="Z240" s="8" t="s">
        <v>95</v>
      </c>
      <c r="AA240" s="8">
        <v>1</v>
      </c>
      <c r="AB240" s="8" t="s">
        <v>95</v>
      </c>
      <c r="AC240" s="8">
        <v>1</v>
      </c>
      <c r="AD240" s="8" t="s">
        <v>95</v>
      </c>
      <c r="AE240" s="8">
        <v>1</v>
      </c>
      <c r="AF240" s="8" t="s">
        <v>95</v>
      </c>
      <c r="AG240" s="8">
        <v>1</v>
      </c>
      <c r="AH240" s="8" t="s">
        <v>95</v>
      </c>
      <c r="AI240" s="8">
        <v>1</v>
      </c>
      <c r="AJ240" s="8" t="s">
        <v>95</v>
      </c>
      <c r="AK240" s="8">
        <v>1</v>
      </c>
      <c r="AL240" s="8" t="s">
        <v>95</v>
      </c>
      <c r="AM240" s="8">
        <v>1</v>
      </c>
      <c r="AN240" s="8">
        <v>16</v>
      </c>
    </row>
    <row r="241" spans="1:40" x14ac:dyDescent="0.25">
      <c r="A241" s="8" t="s">
        <v>301</v>
      </c>
      <c r="B241" s="9">
        <v>42033.673611111109</v>
      </c>
      <c r="C241" s="8">
        <v>0</v>
      </c>
      <c r="D241" s="9">
        <v>42036.743750000001</v>
      </c>
      <c r="E241" s="8" t="s">
        <v>93</v>
      </c>
      <c r="F241" s="8">
        <v>16</v>
      </c>
      <c r="G241" s="8" t="s">
        <v>94</v>
      </c>
      <c r="H241" s="8" t="s">
        <v>95</v>
      </c>
      <c r="I241" s="8">
        <v>1</v>
      </c>
      <c r="J241" s="8" t="s">
        <v>95</v>
      </c>
      <c r="K241" s="8">
        <v>1</v>
      </c>
      <c r="L241" s="8" t="s">
        <v>95</v>
      </c>
      <c r="M241" s="8">
        <v>1</v>
      </c>
      <c r="N241" s="8" t="s">
        <v>95</v>
      </c>
      <c r="O241" s="8">
        <v>1</v>
      </c>
      <c r="P241" s="8" t="s">
        <v>95</v>
      </c>
      <c r="Q241" s="8">
        <v>1</v>
      </c>
      <c r="R241" s="8" t="s">
        <v>95</v>
      </c>
      <c r="S241" s="8">
        <v>1</v>
      </c>
      <c r="T241" s="8" t="s">
        <v>95</v>
      </c>
      <c r="U241" s="8">
        <v>1</v>
      </c>
      <c r="V241" s="8" t="s">
        <v>95</v>
      </c>
      <c r="W241" s="8">
        <v>1</v>
      </c>
      <c r="X241" s="8" t="s">
        <v>95</v>
      </c>
      <c r="Y241" s="8">
        <v>1</v>
      </c>
      <c r="Z241" s="8" t="s">
        <v>95</v>
      </c>
      <c r="AA241" s="8">
        <v>1</v>
      </c>
      <c r="AB241" s="8" t="s">
        <v>95</v>
      </c>
      <c r="AC241" s="8">
        <v>1</v>
      </c>
      <c r="AD241" s="8" t="s">
        <v>95</v>
      </c>
      <c r="AE241" s="8">
        <v>1</v>
      </c>
      <c r="AF241" s="8" t="s">
        <v>95</v>
      </c>
      <c r="AG241" s="8">
        <v>1</v>
      </c>
      <c r="AH241" s="8" t="s">
        <v>95</v>
      </c>
      <c r="AI241" s="8">
        <v>1</v>
      </c>
      <c r="AJ241" s="8" t="s">
        <v>95</v>
      </c>
      <c r="AK241" s="8">
        <v>1</v>
      </c>
      <c r="AL241" s="8" t="s">
        <v>95</v>
      </c>
      <c r="AM241" s="8">
        <v>1</v>
      </c>
      <c r="AN241" s="8">
        <v>16</v>
      </c>
    </row>
    <row r="242" spans="1:40" x14ac:dyDescent="0.25">
      <c r="A242" s="8" t="s">
        <v>302</v>
      </c>
      <c r="B242" s="9">
        <v>42033.677083333336</v>
      </c>
      <c r="C242" s="8">
        <v>0</v>
      </c>
      <c r="D242" s="9">
        <v>42036.74722222222</v>
      </c>
      <c r="E242" s="8" t="s">
        <v>93</v>
      </c>
      <c r="F242" s="8">
        <v>16</v>
      </c>
      <c r="G242" s="8" t="s">
        <v>94</v>
      </c>
      <c r="H242" s="8" t="s">
        <v>95</v>
      </c>
      <c r="I242" s="8">
        <v>1</v>
      </c>
      <c r="J242" s="8" t="s">
        <v>95</v>
      </c>
      <c r="K242" s="8">
        <v>1</v>
      </c>
      <c r="L242" s="8" t="s">
        <v>95</v>
      </c>
      <c r="M242" s="8">
        <v>1</v>
      </c>
      <c r="N242" s="8" t="s">
        <v>95</v>
      </c>
      <c r="O242" s="8">
        <v>1</v>
      </c>
      <c r="P242" s="8" t="s">
        <v>95</v>
      </c>
      <c r="Q242" s="8">
        <v>1</v>
      </c>
      <c r="R242" s="8" t="s">
        <v>95</v>
      </c>
      <c r="S242" s="8">
        <v>1</v>
      </c>
      <c r="T242" s="8" t="s">
        <v>95</v>
      </c>
      <c r="U242" s="8">
        <v>1</v>
      </c>
      <c r="V242" s="8" t="s">
        <v>95</v>
      </c>
      <c r="W242" s="8">
        <v>1</v>
      </c>
      <c r="X242" s="8" t="s">
        <v>95</v>
      </c>
      <c r="Y242" s="8">
        <v>1</v>
      </c>
      <c r="Z242" s="8" t="s">
        <v>95</v>
      </c>
      <c r="AA242" s="8">
        <v>1</v>
      </c>
      <c r="AB242" s="8" t="s">
        <v>95</v>
      </c>
      <c r="AC242" s="8">
        <v>1</v>
      </c>
      <c r="AD242" s="8" t="s">
        <v>95</v>
      </c>
      <c r="AE242" s="8">
        <v>1</v>
      </c>
      <c r="AF242" s="8" t="s">
        <v>95</v>
      </c>
      <c r="AG242" s="8">
        <v>1</v>
      </c>
      <c r="AH242" s="8" t="s">
        <v>95</v>
      </c>
      <c r="AI242" s="8">
        <v>1</v>
      </c>
      <c r="AJ242" s="8" t="s">
        <v>95</v>
      </c>
      <c r="AK242" s="8">
        <v>1</v>
      </c>
      <c r="AL242" s="8" t="s">
        <v>95</v>
      </c>
      <c r="AM242" s="8">
        <v>1</v>
      </c>
      <c r="AN242" s="8">
        <v>16</v>
      </c>
    </row>
    <row r="243" spans="1:40" x14ac:dyDescent="0.25">
      <c r="A243" s="8" t="s">
        <v>303</v>
      </c>
      <c r="B243" s="9">
        <v>42033.652083333334</v>
      </c>
      <c r="C243" s="8">
        <v>0</v>
      </c>
      <c r="D243" s="9">
        <v>42036.752083333333</v>
      </c>
      <c r="E243" s="8" t="s">
        <v>93</v>
      </c>
      <c r="F243" s="8">
        <v>14</v>
      </c>
      <c r="G243" s="8" t="s">
        <v>94</v>
      </c>
      <c r="H243" s="8" t="s">
        <v>95</v>
      </c>
      <c r="I243" s="8">
        <v>1</v>
      </c>
      <c r="J243" s="8" t="s">
        <v>95</v>
      </c>
      <c r="K243" s="8">
        <v>1</v>
      </c>
      <c r="L243" s="8" t="s">
        <v>95</v>
      </c>
      <c r="M243" s="8">
        <v>1</v>
      </c>
      <c r="N243" s="8" t="s">
        <v>95</v>
      </c>
      <c r="O243" s="8">
        <v>1</v>
      </c>
      <c r="P243" s="8" t="s">
        <v>95</v>
      </c>
      <c r="Q243" s="8">
        <v>1</v>
      </c>
      <c r="R243" s="8" t="s">
        <v>95</v>
      </c>
      <c r="S243" s="8">
        <v>1</v>
      </c>
      <c r="T243" s="8" t="s">
        <v>95</v>
      </c>
      <c r="U243" s="8">
        <v>1</v>
      </c>
      <c r="V243" s="8" t="s">
        <v>95</v>
      </c>
      <c r="W243" s="8">
        <v>1</v>
      </c>
      <c r="X243" s="8" t="s">
        <v>95</v>
      </c>
      <c r="Y243" s="8">
        <v>1</v>
      </c>
      <c r="Z243" s="8" t="s">
        <v>95</v>
      </c>
      <c r="AA243" s="8">
        <v>1</v>
      </c>
      <c r="AB243" s="8" t="s">
        <v>95</v>
      </c>
      <c r="AC243" s="8">
        <v>1</v>
      </c>
      <c r="AD243" s="8" t="s">
        <v>95</v>
      </c>
      <c r="AE243" s="8">
        <v>1</v>
      </c>
      <c r="AF243" s="8" t="s">
        <v>95</v>
      </c>
      <c r="AG243" s="8">
        <v>1</v>
      </c>
      <c r="AH243" s="8" t="s">
        <v>94</v>
      </c>
      <c r="AI243" s="8">
        <v>0</v>
      </c>
      <c r="AJ243" s="8" t="s">
        <v>95</v>
      </c>
      <c r="AK243" s="8">
        <v>1</v>
      </c>
      <c r="AL243" s="8" t="s">
        <v>94</v>
      </c>
      <c r="AM243" s="8">
        <v>0</v>
      </c>
      <c r="AN243" s="8">
        <v>14</v>
      </c>
    </row>
    <row r="244" spans="1:40" x14ac:dyDescent="0.25">
      <c r="A244" s="8" t="s">
        <v>304</v>
      </c>
      <c r="B244" s="9">
        <v>42033.654861111114</v>
      </c>
      <c r="C244" s="8">
        <v>0</v>
      </c>
      <c r="D244" s="9">
        <v>42036.763888888891</v>
      </c>
      <c r="E244" s="8" t="s">
        <v>93</v>
      </c>
      <c r="F244" s="8">
        <v>16</v>
      </c>
      <c r="G244" s="8" t="s">
        <v>94</v>
      </c>
      <c r="H244" s="8" t="s">
        <v>95</v>
      </c>
      <c r="I244" s="8">
        <v>1</v>
      </c>
      <c r="J244" s="8" t="s">
        <v>95</v>
      </c>
      <c r="K244" s="8">
        <v>1</v>
      </c>
      <c r="L244" s="8" t="s">
        <v>95</v>
      </c>
      <c r="M244" s="8">
        <v>1</v>
      </c>
      <c r="N244" s="8" t="s">
        <v>95</v>
      </c>
      <c r="O244" s="8">
        <v>1</v>
      </c>
      <c r="P244" s="8" t="s">
        <v>95</v>
      </c>
      <c r="Q244" s="8">
        <v>1</v>
      </c>
      <c r="R244" s="8" t="s">
        <v>95</v>
      </c>
      <c r="S244" s="8">
        <v>1</v>
      </c>
      <c r="T244" s="8" t="s">
        <v>95</v>
      </c>
      <c r="U244" s="8">
        <v>1</v>
      </c>
      <c r="V244" s="8" t="s">
        <v>95</v>
      </c>
      <c r="W244" s="8">
        <v>1</v>
      </c>
      <c r="X244" s="8" t="s">
        <v>95</v>
      </c>
      <c r="Y244" s="8">
        <v>1</v>
      </c>
      <c r="Z244" s="8" t="s">
        <v>95</v>
      </c>
      <c r="AA244" s="8">
        <v>1</v>
      </c>
      <c r="AB244" s="8" t="s">
        <v>95</v>
      </c>
      <c r="AC244" s="8">
        <v>1</v>
      </c>
      <c r="AD244" s="8" t="s">
        <v>95</v>
      </c>
      <c r="AE244" s="8">
        <v>1</v>
      </c>
      <c r="AF244" s="8" t="s">
        <v>95</v>
      </c>
      <c r="AG244" s="8">
        <v>1</v>
      </c>
      <c r="AH244" s="8" t="s">
        <v>95</v>
      </c>
      <c r="AI244" s="8">
        <v>1</v>
      </c>
      <c r="AJ244" s="8" t="s">
        <v>95</v>
      </c>
      <c r="AK244" s="8">
        <v>1</v>
      </c>
      <c r="AL244" s="8" t="s">
        <v>95</v>
      </c>
      <c r="AM244" s="8">
        <v>1</v>
      </c>
      <c r="AN244" s="8">
        <v>16</v>
      </c>
    </row>
    <row r="245" spans="1:40" x14ac:dyDescent="0.25">
      <c r="A245" s="8" t="s">
        <v>305</v>
      </c>
      <c r="B245" s="9">
        <v>42033.668749999997</v>
      </c>
      <c r="C245" s="8">
        <v>0</v>
      </c>
      <c r="D245" s="9">
        <v>42036.765277777777</v>
      </c>
      <c r="E245" s="8" t="s">
        <v>93</v>
      </c>
      <c r="F245" s="8">
        <v>16</v>
      </c>
      <c r="G245" s="8" t="s">
        <v>94</v>
      </c>
      <c r="H245" s="8" t="s">
        <v>95</v>
      </c>
      <c r="I245" s="8">
        <v>1</v>
      </c>
      <c r="J245" s="8" t="s">
        <v>95</v>
      </c>
      <c r="K245" s="8">
        <v>1</v>
      </c>
      <c r="L245" s="8" t="s">
        <v>95</v>
      </c>
      <c r="M245" s="8">
        <v>1</v>
      </c>
      <c r="N245" s="8" t="s">
        <v>95</v>
      </c>
      <c r="O245" s="8">
        <v>1</v>
      </c>
      <c r="P245" s="8" t="s">
        <v>95</v>
      </c>
      <c r="Q245" s="8">
        <v>1</v>
      </c>
      <c r="R245" s="8" t="s">
        <v>95</v>
      </c>
      <c r="S245" s="8">
        <v>1</v>
      </c>
      <c r="T245" s="8" t="s">
        <v>95</v>
      </c>
      <c r="U245" s="8">
        <v>1</v>
      </c>
      <c r="V245" s="8" t="s">
        <v>95</v>
      </c>
      <c r="W245" s="8">
        <v>1</v>
      </c>
      <c r="X245" s="8" t="s">
        <v>95</v>
      </c>
      <c r="Y245" s="8">
        <v>1</v>
      </c>
      <c r="Z245" s="8" t="s">
        <v>95</v>
      </c>
      <c r="AA245" s="8">
        <v>1</v>
      </c>
      <c r="AB245" s="8" t="s">
        <v>95</v>
      </c>
      <c r="AC245" s="8">
        <v>1</v>
      </c>
      <c r="AD245" s="8" t="s">
        <v>95</v>
      </c>
      <c r="AE245" s="8">
        <v>1</v>
      </c>
      <c r="AF245" s="8" t="s">
        <v>95</v>
      </c>
      <c r="AG245" s="8">
        <v>1</v>
      </c>
      <c r="AH245" s="8" t="s">
        <v>95</v>
      </c>
      <c r="AI245" s="8">
        <v>1</v>
      </c>
      <c r="AJ245" s="8" t="s">
        <v>95</v>
      </c>
      <c r="AK245" s="8">
        <v>1</v>
      </c>
      <c r="AL245" s="8" t="s">
        <v>95</v>
      </c>
      <c r="AM245" s="8">
        <v>1</v>
      </c>
      <c r="AN245" s="8">
        <v>16</v>
      </c>
    </row>
    <row r="246" spans="1:40" x14ac:dyDescent="0.25">
      <c r="A246" s="8" t="s">
        <v>306</v>
      </c>
      <c r="B246" s="9">
        <v>42033.65</v>
      </c>
      <c r="C246" s="8">
        <v>0</v>
      </c>
      <c r="D246" s="9">
        <v>42036.771527777775</v>
      </c>
      <c r="E246" s="8" t="s">
        <v>93</v>
      </c>
      <c r="F246" s="8">
        <v>15</v>
      </c>
      <c r="G246" s="8" t="s">
        <v>94</v>
      </c>
      <c r="H246" s="8" t="s">
        <v>95</v>
      </c>
      <c r="I246" s="8">
        <v>1</v>
      </c>
      <c r="J246" s="8" t="s">
        <v>95</v>
      </c>
      <c r="K246" s="8">
        <v>1</v>
      </c>
      <c r="L246" s="8" t="s">
        <v>95</v>
      </c>
      <c r="M246" s="8">
        <v>1</v>
      </c>
      <c r="N246" s="8" t="s">
        <v>95</v>
      </c>
      <c r="O246" s="8">
        <v>1</v>
      </c>
      <c r="P246" s="8" t="s">
        <v>95</v>
      </c>
      <c r="Q246" s="8">
        <v>1</v>
      </c>
      <c r="R246" s="8" t="s">
        <v>95</v>
      </c>
      <c r="S246" s="8">
        <v>1</v>
      </c>
      <c r="T246" s="8" t="s">
        <v>95</v>
      </c>
      <c r="U246" s="8">
        <v>1</v>
      </c>
      <c r="V246" s="8" t="s">
        <v>95</v>
      </c>
      <c r="W246" s="8">
        <v>1</v>
      </c>
      <c r="X246" s="8" t="s">
        <v>95</v>
      </c>
      <c r="Y246" s="8">
        <v>1</v>
      </c>
      <c r="Z246" s="8" t="s">
        <v>95</v>
      </c>
      <c r="AA246" s="8">
        <v>1</v>
      </c>
      <c r="AB246" s="8" t="s">
        <v>95</v>
      </c>
      <c r="AC246" s="8">
        <v>1</v>
      </c>
      <c r="AD246" s="8" t="s">
        <v>95</v>
      </c>
      <c r="AE246" s="8">
        <v>1</v>
      </c>
      <c r="AF246" s="8" t="s">
        <v>94</v>
      </c>
      <c r="AG246" s="8">
        <v>0</v>
      </c>
      <c r="AH246" s="8" t="s">
        <v>95</v>
      </c>
      <c r="AI246" s="8">
        <v>1</v>
      </c>
      <c r="AJ246" s="8" t="s">
        <v>95</v>
      </c>
      <c r="AK246" s="8">
        <v>1</v>
      </c>
      <c r="AL246" s="8" t="s">
        <v>95</v>
      </c>
      <c r="AM246" s="8">
        <v>1</v>
      </c>
      <c r="AN246" s="8">
        <v>15</v>
      </c>
    </row>
    <row r="247" spans="1:40" x14ac:dyDescent="0.25">
      <c r="A247" s="8" t="s">
        <v>307</v>
      </c>
      <c r="B247" s="9">
        <v>42033.651388888888</v>
      </c>
      <c r="C247" s="8">
        <v>0</v>
      </c>
      <c r="D247" s="9">
        <v>42036.775000000001</v>
      </c>
      <c r="E247" s="8" t="s">
        <v>93</v>
      </c>
      <c r="F247" s="8">
        <v>13</v>
      </c>
      <c r="G247" s="8" t="s">
        <v>94</v>
      </c>
      <c r="H247" s="8" t="s">
        <v>95</v>
      </c>
      <c r="I247" s="8">
        <v>1</v>
      </c>
      <c r="J247" s="8" t="s">
        <v>95</v>
      </c>
      <c r="K247" s="8">
        <v>1</v>
      </c>
      <c r="L247" s="8" t="s">
        <v>95</v>
      </c>
      <c r="M247" s="8">
        <v>1</v>
      </c>
      <c r="N247" s="8" t="s">
        <v>95</v>
      </c>
      <c r="O247" s="8">
        <v>1</v>
      </c>
      <c r="P247" s="8" t="s">
        <v>95</v>
      </c>
      <c r="Q247" s="8">
        <v>1</v>
      </c>
      <c r="R247" s="8" t="s">
        <v>95</v>
      </c>
      <c r="S247" s="8">
        <v>1</v>
      </c>
      <c r="T247" s="8" t="s">
        <v>94</v>
      </c>
      <c r="U247" s="8">
        <v>0</v>
      </c>
      <c r="V247" s="8" t="s">
        <v>94</v>
      </c>
      <c r="W247" s="8">
        <v>0</v>
      </c>
      <c r="X247" s="8" t="s">
        <v>94</v>
      </c>
      <c r="Y247" s="8">
        <v>0</v>
      </c>
      <c r="Z247" s="8" t="s">
        <v>95</v>
      </c>
      <c r="AA247" s="8">
        <v>1</v>
      </c>
      <c r="AB247" s="8" t="s">
        <v>95</v>
      </c>
      <c r="AC247" s="8">
        <v>1</v>
      </c>
      <c r="AD247" s="8" t="s">
        <v>95</v>
      </c>
      <c r="AE247" s="8">
        <v>1</v>
      </c>
      <c r="AF247" s="8" t="s">
        <v>95</v>
      </c>
      <c r="AG247" s="8">
        <v>1</v>
      </c>
      <c r="AH247" s="8" t="s">
        <v>95</v>
      </c>
      <c r="AI247" s="8">
        <v>1</v>
      </c>
      <c r="AJ247" s="8" t="s">
        <v>95</v>
      </c>
      <c r="AK247" s="8">
        <v>1</v>
      </c>
      <c r="AL247" s="8" t="s">
        <v>95</v>
      </c>
      <c r="AM247" s="8">
        <v>1</v>
      </c>
      <c r="AN247" s="8">
        <v>13</v>
      </c>
    </row>
    <row r="248" spans="1:40" x14ac:dyDescent="0.25">
      <c r="A248" s="8" t="s">
        <v>308</v>
      </c>
      <c r="B248" s="9">
        <v>42033.673611111109</v>
      </c>
      <c r="C248" s="8">
        <v>0</v>
      </c>
      <c r="D248" s="9">
        <v>42036.777083333334</v>
      </c>
      <c r="E248" s="8" t="s">
        <v>93</v>
      </c>
      <c r="F248" s="8">
        <v>14</v>
      </c>
      <c r="G248" s="8" t="s">
        <v>94</v>
      </c>
      <c r="H248" s="8" t="s">
        <v>95</v>
      </c>
      <c r="I248" s="8">
        <v>1</v>
      </c>
      <c r="J248" s="8" t="s">
        <v>95</v>
      </c>
      <c r="K248" s="8">
        <v>1</v>
      </c>
      <c r="L248" s="8" t="s">
        <v>95</v>
      </c>
      <c r="M248" s="8">
        <v>1</v>
      </c>
      <c r="N248" s="8" t="s">
        <v>95</v>
      </c>
      <c r="O248" s="8">
        <v>1</v>
      </c>
      <c r="P248" s="8" t="s">
        <v>95</v>
      </c>
      <c r="Q248" s="8">
        <v>1</v>
      </c>
      <c r="R248" s="8" t="s">
        <v>95</v>
      </c>
      <c r="S248" s="8">
        <v>1</v>
      </c>
      <c r="T248" s="8" t="s">
        <v>95</v>
      </c>
      <c r="U248" s="8">
        <v>1</v>
      </c>
      <c r="V248" s="8" t="s">
        <v>95</v>
      </c>
      <c r="W248" s="8">
        <v>1</v>
      </c>
      <c r="X248" s="8" t="s">
        <v>94</v>
      </c>
      <c r="Y248" s="8">
        <v>0</v>
      </c>
      <c r="Z248" s="8" t="s">
        <v>94</v>
      </c>
      <c r="AA248" s="8">
        <v>0</v>
      </c>
      <c r="AB248" s="8" t="s">
        <v>95</v>
      </c>
      <c r="AC248" s="8">
        <v>1</v>
      </c>
      <c r="AD248" s="8" t="s">
        <v>95</v>
      </c>
      <c r="AE248" s="8">
        <v>1</v>
      </c>
      <c r="AF248" s="8" t="s">
        <v>95</v>
      </c>
      <c r="AG248" s="8">
        <v>1</v>
      </c>
      <c r="AH248" s="8" t="s">
        <v>95</v>
      </c>
      <c r="AI248" s="8">
        <v>1</v>
      </c>
      <c r="AJ248" s="8" t="s">
        <v>95</v>
      </c>
      <c r="AK248" s="8">
        <v>1</v>
      </c>
      <c r="AL248" s="8" t="s">
        <v>95</v>
      </c>
      <c r="AM248" s="8">
        <v>1</v>
      </c>
      <c r="AN248" s="8">
        <v>14</v>
      </c>
    </row>
    <row r="249" spans="1:40" x14ac:dyDescent="0.25">
      <c r="A249" s="8" t="s">
        <v>309</v>
      </c>
      <c r="B249" s="9">
        <v>42033.671527777777</v>
      </c>
      <c r="C249" s="8">
        <v>0</v>
      </c>
      <c r="D249" s="9">
        <v>42036.777083333334</v>
      </c>
      <c r="E249" s="8" t="s">
        <v>93</v>
      </c>
      <c r="F249" s="8">
        <v>5</v>
      </c>
      <c r="G249" s="8" t="s">
        <v>94</v>
      </c>
      <c r="H249" s="8" t="s">
        <v>94</v>
      </c>
      <c r="I249" s="8">
        <v>0</v>
      </c>
      <c r="J249" s="8" t="s">
        <v>94</v>
      </c>
      <c r="K249" s="8">
        <v>0</v>
      </c>
      <c r="L249" s="8" t="s">
        <v>94</v>
      </c>
      <c r="M249" s="8">
        <v>0</v>
      </c>
      <c r="N249" s="8" t="s">
        <v>94</v>
      </c>
      <c r="O249" s="8">
        <v>0</v>
      </c>
      <c r="P249" s="8" t="s">
        <v>95</v>
      </c>
      <c r="Q249" s="8">
        <v>1</v>
      </c>
      <c r="R249" s="8" t="s">
        <v>94</v>
      </c>
      <c r="S249" s="8">
        <v>0</v>
      </c>
      <c r="T249" s="8" t="s">
        <v>94</v>
      </c>
      <c r="U249" s="8">
        <v>0</v>
      </c>
      <c r="V249" s="8" t="s">
        <v>94</v>
      </c>
      <c r="W249" s="8">
        <v>0</v>
      </c>
      <c r="X249" s="8" t="s">
        <v>95</v>
      </c>
      <c r="Y249" s="8">
        <v>1</v>
      </c>
      <c r="Z249" s="8" t="s">
        <v>95</v>
      </c>
      <c r="AA249" s="8">
        <v>1</v>
      </c>
      <c r="AB249" s="8" t="s">
        <v>95</v>
      </c>
      <c r="AC249" s="8">
        <v>1</v>
      </c>
      <c r="AD249" s="8" t="s">
        <v>95</v>
      </c>
      <c r="AE249" s="8">
        <v>1</v>
      </c>
      <c r="AF249" s="8" t="s">
        <v>94</v>
      </c>
      <c r="AG249" s="8">
        <v>0</v>
      </c>
      <c r="AH249" s="8" t="s">
        <v>94</v>
      </c>
      <c r="AI249" s="8">
        <v>0</v>
      </c>
      <c r="AJ249" s="8" t="s">
        <v>94</v>
      </c>
      <c r="AK249" s="8">
        <v>0</v>
      </c>
      <c r="AL249" s="8" t="s">
        <v>94</v>
      </c>
      <c r="AM249" s="8">
        <v>0</v>
      </c>
      <c r="AN249" s="8">
        <v>5</v>
      </c>
    </row>
    <row r="250" spans="1:40" x14ac:dyDescent="0.25">
      <c r="A250" s="8" t="s">
        <v>310</v>
      </c>
      <c r="B250" s="9">
        <v>42033.675694444442</v>
      </c>
      <c r="C250" s="8">
        <v>0</v>
      </c>
      <c r="D250" s="9">
        <v>42036.785416666666</v>
      </c>
      <c r="E250" s="8" t="s">
        <v>93</v>
      </c>
      <c r="F250" s="8">
        <v>13</v>
      </c>
      <c r="G250" s="8" t="s">
        <v>94</v>
      </c>
      <c r="H250" s="8" t="s">
        <v>95</v>
      </c>
      <c r="I250" s="8">
        <v>1</v>
      </c>
      <c r="J250" s="8" t="s">
        <v>95</v>
      </c>
      <c r="K250" s="8">
        <v>1</v>
      </c>
      <c r="L250" s="8" t="s">
        <v>94</v>
      </c>
      <c r="M250" s="8">
        <v>0</v>
      </c>
      <c r="N250" s="8" t="s">
        <v>94</v>
      </c>
      <c r="O250" s="8">
        <v>0</v>
      </c>
      <c r="P250" s="8" t="s">
        <v>95</v>
      </c>
      <c r="Q250" s="8">
        <v>1</v>
      </c>
      <c r="R250" s="8" t="s">
        <v>95</v>
      </c>
      <c r="S250" s="8">
        <v>1</v>
      </c>
      <c r="T250" s="8" t="s">
        <v>95</v>
      </c>
      <c r="U250" s="8">
        <v>1</v>
      </c>
      <c r="V250" s="8" t="s">
        <v>95</v>
      </c>
      <c r="W250" s="8">
        <v>1</v>
      </c>
      <c r="X250" s="8" t="s">
        <v>95</v>
      </c>
      <c r="Y250" s="8">
        <v>1</v>
      </c>
      <c r="Z250" s="8" t="s">
        <v>95</v>
      </c>
      <c r="AA250" s="8">
        <v>1</v>
      </c>
      <c r="AB250" s="8" t="s">
        <v>95</v>
      </c>
      <c r="AC250" s="8">
        <v>1</v>
      </c>
      <c r="AD250" s="8" t="s">
        <v>95</v>
      </c>
      <c r="AE250" s="8">
        <v>1</v>
      </c>
      <c r="AF250" s="8" t="s">
        <v>94</v>
      </c>
      <c r="AG250" s="8">
        <v>0</v>
      </c>
      <c r="AH250" s="8" t="s">
        <v>95</v>
      </c>
      <c r="AI250" s="8">
        <v>1</v>
      </c>
      <c r="AJ250" s="8" t="s">
        <v>95</v>
      </c>
      <c r="AK250" s="8">
        <v>1</v>
      </c>
      <c r="AL250" s="8" t="s">
        <v>95</v>
      </c>
      <c r="AM250" s="8">
        <v>1</v>
      </c>
      <c r="AN250" s="8">
        <v>13</v>
      </c>
    </row>
    <row r="251" spans="1:40" x14ac:dyDescent="0.25">
      <c r="A251" s="8" t="s">
        <v>311</v>
      </c>
      <c r="B251" s="9">
        <v>42033.663888888892</v>
      </c>
      <c r="C251" s="8">
        <v>0</v>
      </c>
      <c r="D251" s="9">
        <v>42036.786111111112</v>
      </c>
      <c r="E251" s="8" t="s">
        <v>93</v>
      </c>
      <c r="F251" s="8">
        <v>7</v>
      </c>
      <c r="G251" s="8" t="s">
        <v>94</v>
      </c>
      <c r="H251" s="8" t="s">
        <v>95</v>
      </c>
      <c r="I251" s="8">
        <v>1</v>
      </c>
      <c r="J251" s="8" t="s">
        <v>94</v>
      </c>
      <c r="K251" s="8">
        <v>0</v>
      </c>
      <c r="L251" s="8" t="s">
        <v>94</v>
      </c>
      <c r="M251" s="8">
        <v>0</v>
      </c>
      <c r="N251" s="8" t="s">
        <v>95</v>
      </c>
      <c r="O251" s="8">
        <v>1</v>
      </c>
      <c r="P251" s="8" t="s">
        <v>95</v>
      </c>
      <c r="Q251" s="8">
        <v>1</v>
      </c>
      <c r="R251" s="8" t="s">
        <v>94</v>
      </c>
      <c r="S251" s="8">
        <v>0</v>
      </c>
      <c r="T251" s="8" t="s">
        <v>94</v>
      </c>
      <c r="U251" s="8">
        <v>0</v>
      </c>
      <c r="V251" s="8" t="s">
        <v>95</v>
      </c>
      <c r="W251" s="8">
        <v>1</v>
      </c>
      <c r="X251" s="8" t="s">
        <v>94</v>
      </c>
      <c r="Y251" s="8">
        <v>0</v>
      </c>
      <c r="Z251" s="8" t="s">
        <v>95</v>
      </c>
      <c r="AA251" s="8">
        <v>1</v>
      </c>
      <c r="AB251" s="8" t="s">
        <v>95</v>
      </c>
      <c r="AC251" s="8">
        <v>1</v>
      </c>
      <c r="AD251" s="8" t="s">
        <v>95</v>
      </c>
      <c r="AE251" s="8">
        <v>1</v>
      </c>
      <c r="AF251" s="8" t="s">
        <v>94</v>
      </c>
      <c r="AG251" s="8">
        <v>0</v>
      </c>
      <c r="AH251" s="8" t="s">
        <v>94</v>
      </c>
      <c r="AI251" s="8">
        <v>0</v>
      </c>
      <c r="AJ251" s="8" t="s">
        <v>94</v>
      </c>
      <c r="AK251" s="8">
        <v>0</v>
      </c>
      <c r="AL251" s="8" t="s">
        <v>94</v>
      </c>
      <c r="AM251" s="8">
        <v>0</v>
      </c>
      <c r="AN251" s="8">
        <v>7</v>
      </c>
    </row>
    <row r="252" spans="1:40" x14ac:dyDescent="0.25">
      <c r="A252" s="8" t="s">
        <v>312</v>
      </c>
      <c r="B252" s="9">
        <v>42033.668749999997</v>
      </c>
      <c r="C252" s="8">
        <v>0</v>
      </c>
      <c r="D252" s="9">
        <v>42036.790277777778</v>
      </c>
      <c r="E252" s="8" t="s">
        <v>93</v>
      </c>
      <c r="F252" s="8">
        <v>16</v>
      </c>
      <c r="G252" s="8" t="s">
        <v>94</v>
      </c>
      <c r="H252" s="8" t="s">
        <v>95</v>
      </c>
      <c r="I252" s="8">
        <v>1</v>
      </c>
      <c r="J252" s="8" t="s">
        <v>95</v>
      </c>
      <c r="K252" s="8">
        <v>1</v>
      </c>
      <c r="L252" s="8" t="s">
        <v>95</v>
      </c>
      <c r="M252" s="8">
        <v>1</v>
      </c>
      <c r="N252" s="8" t="s">
        <v>95</v>
      </c>
      <c r="O252" s="8">
        <v>1</v>
      </c>
      <c r="P252" s="8" t="s">
        <v>95</v>
      </c>
      <c r="Q252" s="8">
        <v>1</v>
      </c>
      <c r="R252" s="8" t="s">
        <v>95</v>
      </c>
      <c r="S252" s="8">
        <v>1</v>
      </c>
      <c r="T252" s="8" t="s">
        <v>95</v>
      </c>
      <c r="U252" s="8">
        <v>1</v>
      </c>
      <c r="V252" s="8" t="s">
        <v>95</v>
      </c>
      <c r="W252" s="8">
        <v>1</v>
      </c>
      <c r="X252" s="8" t="s">
        <v>95</v>
      </c>
      <c r="Y252" s="8">
        <v>1</v>
      </c>
      <c r="Z252" s="8" t="s">
        <v>95</v>
      </c>
      <c r="AA252" s="8">
        <v>1</v>
      </c>
      <c r="AB252" s="8" t="s">
        <v>95</v>
      </c>
      <c r="AC252" s="8">
        <v>1</v>
      </c>
      <c r="AD252" s="8" t="s">
        <v>95</v>
      </c>
      <c r="AE252" s="8">
        <v>1</v>
      </c>
      <c r="AF252" s="8" t="s">
        <v>95</v>
      </c>
      <c r="AG252" s="8">
        <v>1</v>
      </c>
      <c r="AH252" s="8" t="s">
        <v>95</v>
      </c>
      <c r="AI252" s="8">
        <v>1</v>
      </c>
      <c r="AJ252" s="8" t="s">
        <v>95</v>
      </c>
      <c r="AK252" s="8">
        <v>1</v>
      </c>
      <c r="AL252" s="8" t="s">
        <v>95</v>
      </c>
      <c r="AM252" s="8">
        <v>1</v>
      </c>
      <c r="AN252" s="8">
        <v>16</v>
      </c>
    </row>
    <row r="253" spans="1:40" x14ac:dyDescent="0.25">
      <c r="A253" s="8" t="s">
        <v>313</v>
      </c>
      <c r="B253" s="9">
        <v>42033.65625</v>
      </c>
      <c r="C253" s="8">
        <v>0</v>
      </c>
      <c r="D253" s="9">
        <v>42036.793749999997</v>
      </c>
      <c r="E253" s="8" t="s">
        <v>93</v>
      </c>
      <c r="F253" s="8">
        <v>16</v>
      </c>
      <c r="G253" s="8" t="s">
        <v>94</v>
      </c>
      <c r="H253" s="8" t="s">
        <v>95</v>
      </c>
      <c r="I253" s="8">
        <v>1</v>
      </c>
      <c r="J253" s="8" t="s">
        <v>95</v>
      </c>
      <c r="K253" s="8">
        <v>1</v>
      </c>
      <c r="L253" s="8" t="s">
        <v>95</v>
      </c>
      <c r="M253" s="8">
        <v>1</v>
      </c>
      <c r="N253" s="8" t="s">
        <v>95</v>
      </c>
      <c r="O253" s="8">
        <v>1</v>
      </c>
      <c r="P253" s="8" t="s">
        <v>95</v>
      </c>
      <c r="Q253" s="8">
        <v>1</v>
      </c>
      <c r="R253" s="8" t="s">
        <v>95</v>
      </c>
      <c r="S253" s="8">
        <v>1</v>
      </c>
      <c r="T253" s="8" t="s">
        <v>95</v>
      </c>
      <c r="U253" s="8">
        <v>1</v>
      </c>
      <c r="V253" s="8" t="s">
        <v>95</v>
      </c>
      <c r="W253" s="8">
        <v>1</v>
      </c>
      <c r="X253" s="8" t="s">
        <v>95</v>
      </c>
      <c r="Y253" s="8">
        <v>1</v>
      </c>
      <c r="Z253" s="8" t="s">
        <v>95</v>
      </c>
      <c r="AA253" s="8">
        <v>1</v>
      </c>
      <c r="AB253" s="8" t="s">
        <v>95</v>
      </c>
      <c r="AC253" s="8">
        <v>1</v>
      </c>
      <c r="AD253" s="8" t="s">
        <v>95</v>
      </c>
      <c r="AE253" s="8">
        <v>1</v>
      </c>
      <c r="AF253" s="8" t="s">
        <v>95</v>
      </c>
      <c r="AG253" s="8">
        <v>1</v>
      </c>
      <c r="AH253" s="8" t="s">
        <v>95</v>
      </c>
      <c r="AI253" s="8">
        <v>1</v>
      </c>
      <c r="AJ253" s="8" t="s">
        <v>95</v>
      </c>
      <c r="AK253" s="8">
        <v>1</v>
      </c>
      <c r="AL253" s="8" t="s">
        <v>95</v>
      </c>
      <c r="AM253" s="8">
        <v>1</v>
      </c>
      <c r="AN253" s="8">
        <v>16</v>
      </c>
    </row>
    <row r="254" spans="1:40" x14ac:dyDescent="0.25">
      <c r="A254" s="8" t="s">
        <v>314</v>
      </c>
      <c r="B254" s="9">
        <v>42033.680555555555</v>
      </c>
      <c r="C254" s="8">
        <v>0</v>
      </c>
      <c r="D254" s="9">
        <v>42036.801388888889</v>
      </c>
      <c r="E254" s="8" t="s">
        <v>93</v>
      </c>
      <c r="F254" s="8">
        <v>16</v>
      </c>
      <c r="G254" s="8" t="s">
        <v>94</v>
      </c>
      <c r="H254" s="8" t="s">
        <v>95</v>
      </c>
      <c r="I254" s="8">
        <v>1</v>
      </c>
      <c r="J254" s="8" t="s">
        <v>95</v>
      </c>
      <c r="K254" s="8">
        <v>1</v>
      </c>
      <c r="L254" s="8" t="s">
        <v>95</v>
      </c>
      <c r="M254" s="8">
        <v>1</v>
      </c>
      <c r="N254" s="8" t="s">
        <v>95</v>
      </c>
      <c r="O254" s="8">
        <v>1</v>
      </c>
      <c r="P254" s="8" t="s">
        <v>95</v>
      </c>
      <c r="Q254" s="8">
        <v>1</v>
      </c>
      <c r="R254" s="8" t="s">
        <v>95</v>
      </c>
      <c r="S254" s="8">
        <v>1</v>
      </c>
      <c r="T254" s="8" t="s">
        <v>95</v>
      </c>
      <c r="U254" s="8">
        <v>1</v>
      </c>
      <c r="V254" s="8" t="s">
        <v>95</v>
      </c>
      <c r="W254" s="8">
        <v>1</v>
      </c>
      <c r="X254" s="8" t="s">
        <v>95</v>
      </c>
      <c r="Y254" s="8">
        <v>1</v>
      </c>
      <c r="Z254" s="8" t="s">
        <v>95</v>
      </c>
      <c r="AA254" s="8">
        <v>1</v>
      </c>
      <c r="AB254" s="8" t="s">
        <v>95</v>
      </c>
      <c r="AC254" s="8">
        <v>1</v>
      </c>
      <c r="AD254" s="8" t="s">
        <v>95</v>
      </c>
      <c r="AE254" s="8">
        <v>1</v>
      </c>
      <c r="AF254" s="8" t="s">
        <v>95</v>
      </c>
      <c r="AG254" s="8">
        <v>1</v>
      </c>
      <c r="AH254" s="8" t="s">
        <v>95</v>
      </c>
      <c r="AI254" s="8">
        <v>1</v>
      </c>
      <c r="AJ254" s="8" t="s">
        <v>95</v>
      </c>
      <c r="AK254" s="8">
        <v>1</v>
      </c>
      <c r="AL254" s="8" t="s">
        <v>95</v>
      </c>
      <c r="AM254" s="8">
        <v>1</v>
      </c>
      <c r="AN254" s="8">
        <v>16</v>
      </c>
    </row>
    <row r="255" spans="1:40" x14ac:dyDescent="0.25">
      <c r="A255" s="8" t="s">
        <v>315</v>
      </c>
      <c r="B255" s="9">
        <v>42033.650694444441</v>
      </c>
      <c r="C255" s="8">
        <v>0</v>
      </c>
      <c r="D255" s="9">
        <v>42036.820138888892</v>
      </c>
      <c r="E255" s="8" t="s">
        <v>93</v>
      </c>
      <c r="F255" s="8">
        <v>16</v>
      </c>
      <c r="G255" s="8" t="s">
        <v>94</v>
      </c>
      <c r="H255" s="8" t="s">
        <v>95</v>
      </c>
      <c r="I255" s="8">
        <v>1</v>
      </c>
      <c r="J255" s="8" t="s">
        <v>95</v>
      </c>
      <c r="K255" s="8">
        <v>1</v>
      </c>
      <c r="L255" s="8" t="s">
        <v>95</v>
      </c>
      <c r="M255" s="8">
        <v>1</v>
      </c>
      <c r="N255" s="8" t="s">
        <v>95</v>
      </c>
      <c r="O255" s="8">
        <v>1</v>
      </c>
      <c r="P255" s="8" t="s">
        <v>95</v>
      </c>
      <c r="Q255" s="8">
        <v>1</v>
      </c>
      <c r="R255" s="8" t="s">
        <v>95</v>
      </c>
      <c r="S255" s="8">
        <v>1</v>
      </c>
      <c r="T255" s="8" t="s">
        <v>95</v>
      </c>
      <c r="U255" s="8">
        <v>1</v>
      </c>
      <c r="V255" s="8" t="s">
        <v>95</v>
      </c>
      <c r="W255" s="8">
        <v>1</v>
      </c>
      <c r="X255" s="8" t="s">
        <v>95</v>
      </c>
      <c r="Y255" s="8">
        <v>1</v>
      </c>
      <c r="Z255" s="8" t="s">
        <v>95</v>
      </c>
      <c r="AA255" s="8">
        <v>1</v>
      </c>
      <c r="AB255" s="8" t="s">
        <v>95</v>
      </c>
      <c r="AC255" s="8">
        <v>1</v>
      </c>
      <c r="AD255" s="8" t="s">
        <v>95</v>
      </c>
      <c r="AE255" s="8">
        <v>1</v>
      </c>
      <c r="AF255" s="8" t="s">
        <v>95</v>
      </c>
      <c r="AG255" s="8">
        <v>1</v>
      </c>
      <c r="AH255" s="8" t="s">
        <v>95</v>
      </c>
      <c r="AI255" s="8">
        <v>1</v>
      </c>
      <c r="AJ255" s="8" t="s">
        <v>95</v>
      </c>
      <c r="AK255" s="8">
        <v>1</v>
      </c>
      <c r="AL255" s="8" t="s">
        <v>95</v>
      </c>
      <c r="AM255" s="8">
        <v>1</v>
      </c>
      <c r="AN255" s="8">
        <v>16</v>
      </c>
    </row>
    <row r="256" spans="1:40" x14ac:dyDescent="0.25">
      <c r="A256" s="8" t="s">
        <v>316</v>
      </c>
      <c r="B256" s="9">
        <v>42033.667361111111</v>
      </c>
      <c r="C256" s="8">
        <v>0</v>
      </c>
      <c r="D256" s="9">
        <v>42036.82708333333</v>
      </c>
      <c r="E256" s="8" t="s">
        <v>93</v>
      </c>
      <c r="F256" s="8">
        <v>16</v>
      </c>
      <c r="G256" s="8" t="s">
        <v>94</v>
      </c>
      <c r="H256" s="8" t="s">
        <v>95</v>
      </c>
      <c r="I256" s="8">
        <v>1</v>
      </c>
      <c r="J256" s="8" t="s">
        <v>95</v>
      </c>
      <c r="K256" s="8">
        <v>1</v>
      </c>
      <c r="L256" s="8" t="s">
        <v>95</v>
      </c>
      <c r="M256" s="8">
        <v>1</v>
      </c>
      <c r="N256" s="8" t="s">
        <v>95</v>
      </c>
      <c r="O256" s="8">
        <v>1</v>
      </c>
      <c r="P256" s="8" t="s">
        <v>95</v>
      </c>
      <c r="Q256" s="8">
        <v>1</v>
      </c>
      <c r="R256" s="8" t="s">
        <v>95</v>
      </c>
      <c r="S256" s="8">
        <v>1</v>
      </c>
      <c r="T256" s="8" t="s">
        <v>95</v>
      </c>
      <c r="U256" s="8">
        <v>1</v>
      </c>
      <c r="V256" s="8" t="s">
        <v>95</v>
      </c>
      <c r="W256" s="8">
        <v>1</v>
      </c>
      <c r="X256" s="8" t="s">
        <v>95</v>
      </c>
      <c r="Y256" s="8">
        <v>1</v>
      </c>
      <c r="Z256" s="8" t="s">
        <v>95</v>
      </c>
      <c r="AA256" s="8">
        <v>1</v>
      </c>
      <c r="AB256" s="8" t="s">
        <v>95</v>
      </c>
      <c r="AC256" s="8">
        <v>1</v>
      </c>
      <c r="AD256" s="8" t="s">
        <v>95</v>
      </c>
      <c r="AE256" s="8">
        <v>1</v>
      </c>
      <c r="AF256" s="8" t="s">
        <v>95</v>
      </c>
      <c r="AG256" s="8">
        <v>1</v>
      </c>
      <c r="AH256" s="8" t="s">
        <v>95</v>
      </c>
      <c r="AI256" s="8">
        <v>1</v>
      </c>
      <c r="AJ256" s="8" t="s">
        <v>95</v>
      </c>
      <c r="AK256" s="8">
        <v>1</v>
      </c>
      <c r="AL256" s="8" t="s">
        <v>95</v>
      </c>
      <c r="AM256" s="8">
        <v>1</v>
      </c>
      <c r="AN256" s="8">
        <v>16</v>
      </c>
    </row>
    <row r="257" spans="1:40" x14ac:dyDescent="0.25">
      <c r="A257" s="8" t="s">
        <v>317</v>
      </c>
      <c r="B257" s="9">
        <v>42033.663888888892</v>
      </c>
      <c r="C257" s="8">
        <v>0</v>
      </c>
      <c r="D257" s="9">
        <v>42036.836111111108</v>
      </c>
      <c r="E257" s="8" t="s">
        <v>93</v>
      </c>
      <c r="F257" s="8">
        <v>3</v>
      </c>
      <c r="G257" s="8" t="s">
        <v>94</v>
      </c>
      <c r="H257" s="8" t="s">
        <v>94</v>
      </c>
      <c r="I257" s="8">
        <v>0</v>
      </c>
      <c r="J257" s="8" t="s">
        <v>94</v>
      </c>
      <c r="K257" s="8">
        <v>0</v>
      </c>
      <c r="L257" s="8" t="s">
        <v>94</v>
      </c>
      <c r="M257" s="8">
        <v>0</v>
      </c>
      <c r="N257" s="8" t="s">
        <v>94</v>
      </c>
      <c r="O257" s="8">
        <v>0</v>
      </c>
      <c r="P257" s="8" t="s">
        <v>94</v>
      </c>
      <c r="Q257" s="8">
        <v>0</v>
      </c>
      <c r="R257" s="8" t="s">
        <v>95</v>
      </c>
      <c r="S257" s="8">
        <v>1</v>
      </c>
      <c r="T257" s="8" t="s">
        <v>94</v>
      </c>
      <c r="U257" s="8">
        <v>0</v>
      </c>
      <c r="V257" s="8" t="s">
        <v>94</v>
      </c>
      <c r="W257" s="8">
        <v>0</v>
      </c>
      <c r="X257" s="8" t="s">
        <v>94</v>
      </c>
      <c r="Y257" s="8">
        <v>0</v>
      </c>
      <c r="Z257" s="8" t="s">
        <v>94</v>
      </c>
      <c r="AA257" s="8">
        <v>0</v>
      </c>
      <c r="AB257" s="8" t="s">
        <v>94</v>
      </c>
      <c r="AC257" s="8">
        <v>0</v>
      </c>
      <c r="AD257" s="8" t="s">
        <v>95</v>
      </c>
      <c r="AE257" s="8">
        <v>1</v>
      </c>
      <c r="AF257" s="8" t="s">
        <v>94</v>
      </c>
      <c r="AG257" s="8">
        <v>0</v>
      </c>
      <c r="AH257" s="8" t="s">
        <v>94</v>
      </c>
      <c r="AI257" s="8">
        <v>0</v>
      </c>
      <c r="AJ257" s="8" t="s">
        <v>95</v>
      </c>
      <c r="AK257" s="8">
        <v>1</v>
      </c>
      <c r="AL257" s="8" t="s">
        <v>94</v>
      </c>
      <c r="AM257" s="8">
        <v>0</v>
      </c>
      <c r="AN257" s="8">
        <v>3</v>
      </c>
    </row>
    <row r="258" spans="1:40" x14ac:dyDescent="0.25">
      <c r="A258" s="8" t="s">
        <v>318</v>
      </c>
      <c r="B258" s="9">
        <v>42033.652777777781</v>
      </c>
      <c r="C258" s="8">
        <v>0</v>
      </c>
      <c r="D258" s="9">
        <v>42036.84097222222</v>
      </c>
      <c r="E258" s="8" t="s">
        <v>93</v>
      </c>
      <c r="F258" s="8">
        <v>11</v>
      </c>
      <c r="G258" s="8" t="s">
        <v>94</v>
      </c>
      <c r="H258" s="8" t="s">
        <v>94</v>
      </c>
      <c r="I258" s="8">
        <v>0</v>
      </c>
      <c r="J258" s="8" t="s">
        <v>95</v>
      </c>
      <c r="K258" s="8">
        <v>1</v>
      </c>
      <c r="L258" s="8" t="s">
        <v>95</v>
      </c>
      <c r="M258" s="8">
        <v>1</v>
      </c>
      <c r="N258" s="8" t="s">
        <v>94</v>
      </c>
      <c r="O258" s="8">
        <v>0</v>
      </c>
      <c r="P258" s="8" t="s">
        <v>95</v>
      </c>
      <c r="Q258" s="8">
        <v>1</v>
      </c>
      <c r="R258" s="8" t="s">
        <v>95</v>
      </c>
      <c r="S258" s="8">
        <v>1</v>
      </c>
      <c r="T258" s="8" t="s">
        <v>95</v>
      </c>
      <c r="U258" s="8">
        <v>1</v>
      </c>
      <c r="V258" s="8" t="s">
        <v>95</v>
      </c>
      <c r="W258" s="8">
        <v>1</v>
      </c>
      <c r="X258" s="8" t="s">
        <v>95</v>
      </c>
      <c r="Y258" s="8">
        <v>1</v>
      </c>
      <c r="Z258" s="8" t="s">
        <v>95</v>
      </c>
      <c r="AA258" s="8">
        <v>1</v>
      </c>
      <c r="AB258" s="8" t="s">
        <v>95</v>
      </c>
      <c r="AC258" s="8">
        <v>1</v>
      </c>
      <c r="AD258" s="8" t="s">
        <v>95</v>
      </c>
      <c r="AE258" s="8">
        <v>1</v>
      </c>
      <c r="AF258" s="8" t="s">
        <v>94</v>
      </c>
      <c r="AG258" s="8">
        <v>0</v>
      </c>
      <c r="AH258" s="8" t="s">
        <v>94</v>
      </c>
      <c r="AI258" s="8">
        <v>0</v>
      </c>
      <c r="AJ258" s="8" t="s">
        <v>95</v>
      </c>
      <c r="AK258" s="8">
        <v>1</v>
      </c>
      <c r="AL258" s="8" t="s">
        <v>94</v>
      </c>
      <c r="AM258" s="8">
        <v>0</v>
      </c>
      <c r="AN258" s="8">
        <v>11</v>
      </c>
    </row>
    <row r="259" spans="1:40" x14ac:dyDescent="0.25">
      <c r="A259" s="8" t="s">
        <v>319</v>
      </c>
      <c r="B259" s="9">
        <v>42033.652777777781</v>
      </c>
      <c r="C259" s="8">
        <v>0</v>
      </c>
      <c r="D259" s="9">
        <v>42036.879166666666</v>
      </c>
      <c r="E259" s="8" t="s">
        <v>93</v>
      </c>
      <c r="F259" s="8">
        <v>16</v>
      </c>
      <c r="G259" s="8" t="s">
        <v>94</v>
      </c>
      <c r="H259" s="8" t="s">
        <v>95</v>
      </c>
      <c r="I259" s="8">
        <v>1</v>
      </c>
      <c r="J259" s="8" t="s">
        <v>95</v>
      </c>
      <c r="K259" s="8">
        <v>1</v>
      </c>
      <c r="L259" s="8" t="s">
        <v>95</v>
      </c>
      <c r="M259" s="8">
        <v>1</v>
      </c>
      <c r="N259" s="8" t="s">
        <v>95</v>
      </c>
      <c r="O259" s="8">
        <v>1</v>
      </c>
      <c r="P259" s="8" t="s">
        <v>95</v>
      </c>
      <c r="Q259" s="8">
        <v>1</v>
      </c>
      <c r="R259" s="8" t="s">
        <v>95</v>
      </c>
      <c r="S259" s="8">
        <v>1</v>
      </c>
      <c r="T259" s="8" t="s">
        <v>95</v>
      </c>
      <c r="U259" s="8">
        <v>1</v>
      </c>
      <c r="V259" s="8" t="s">
        <v>95</v>
      </c>
      <c r="W259" s="8">
        <v>1</v>
      </c>
      <c r="X259" s="8" t="s">
        <v>95</v>
      </c>
      <c r="Y259" s="8">
        <v>1</v>
      </c>
      <c r="Z259" s="8" t="s">
        <v>95</v>
      </c>
      <c r="AA259" s="8">
        <v>1</v>
      </c>
      <c r="AB259" s="8" t="s">
        <v>95</v>
      </c>
      <c r="AC259" s="8">
        <v>1</v>
      </c>
      <c r="AD259" s="8" t="s">
        <v>95</v>
      </c>
      <c r="AE259" s="8">
        <v>1</v>
      </c>
      <c r="AF259" s="8" t="s">
        <v>95</v>
      </c>
      <c r="AG259" s="8">
        <v>1</v>
      </c>
      <c r="AH259" s="8" t="s">
        <v>95</v>
      </c>
      <c r="AI259" s="8">
        <v>1</v>
      </c>
      <c r="AJ259" s="8" t="s">
        <v>95</v>
      </c>
      <c r="AK259" s="8">
        <v>1</v>
      </c>
      <c r="AL259" s="8" t="s">
        <v>95</v>
      </c>
      <c r="AM259" s="8">
        <v>1</v>
      </c>
      <c r="AN259" s="8">
        <v>16</v>
      </c>
    </row>
    <row r="260" spans="1:40" x14ac:dyDescent="0.25">
      <c r="A260" s="8" t="s">
        <v>320</v>
      </c>
      <c r="B260" s="9">
        <v>42033.668055555558</v>
      </c>
      <c r="C260" s="8">
        <v>0</v>
      </c>
      <c r="D260" s="9">
        <v>42036.880555555559</v>
      </c>
      <c r="E260" s="8" t="s">
        <v>93</v>
      </c>
      <c r="F260" s="8">
        <v>7</v>
      </c>
      <c r="G260" s="8" t="s">
        <v>94</v>
      </c>
      <c r="H260" s="8" t="s">
        <v>95</v>
      </c>
      <c r="I260" s="8">
        <v>1</v>
      </c>
      <c r="J260" s="8" t="s">
        <v>94</v>
      </c>
      <c r="K260" s="8">
        <v>0</v>
      </c>
      <c r="L260" s="8" t="s">
        <v>94</v>
      </c>
      <c r="M260" s="8">
        <v>0</v>
      </c>
      <c r="N260" s="8" t="s">
        <v>95</v>
      </c>
      <c r="O260" s="8">
        <v>1</v>
      </c>
      <c r="P260" s="8" t="s">
        <v>94</v>
      </c>
      <c r="Q260" s="8">
        <v>0</v>
      </c>
      <c r="R260" s="8" t="s">
        <v>95</v>
      </c>
      <c r="S260" s="8">
        <v>1</v>
      </c>
      <c r="T260" s="8" t="s">
        <v>94</v>
      </c>
      <c r="U260" s="8">
        <v>0</v>
      </c>
      <c r="V260" s="8" t="s">
        <v>94</v>
      </c>
      <c r="W260" s="8">
        <v>0</v>
      </c>
      <c r="X260" s="8" t="s">
        <v>95</v>
      </c>
      <c r="Y260" s="8">
        <v>1</v>
      </c>
      <c r="Z260" s="8" t="s">
        <v>94</v>
      </c>
      <c r="AA260" s="8">
        <v>0</v>
      </c>
      <c r="AB260" s="8" t="s">
        <v>95</v>
      </c>
      <c r="AC260" s="8">
        <v>1</v>
      </c>
      <c r="AD260" s="8" t="s">
        <v>95</v>
      </c>
      <c r="AE260" s="8">
        <v>1</v>
      </c>
      <c r="AF260" s="8" t="s">
        <v>94</v>
      </c>
      <c r="AG260" s="8">
        <v>0</v>
      </c>
      <c r="AH260" s="8" t="s">
        <v>94</v>
      </c>
      <c r="AI260" s="8">
        <v>0</v>
      </c>
      <c r="AJ260" s="8" t="s">
        <v>95</v>
      </c>
      <c r="AK260" s="8">
        <v>1</v>
      </c>
      <c r="AL260" s="8" t="s">
        <v>94</v>
      </c>
      <c r="AM260" s="8">
        <v>0</v>
      </c>
      <c r="AN260" s="8">
        <v>7</v>
      </c>
    </row>
    <row r="261" spans="1:40" x14ac:dyDescent="0.25">
      <c r="A261" s="8" t="s">
        <v>321</v>
      </c>
      <c r="B261" s="9">
        <v>42033.65</v>
      </c>
      <c r="C261" s="8">
        <v>0</v>
      </c>
      <c r="D261" s="9">
        <v>42036.918749999997</v>
      </c>
      <c r="E261" s="8" t="s">
        <v>93</v>
      </c>
      <c r="F261" s="8">
        <v>16</v>
      </c>
      <c r="G261" s="8" t="s">
        <v>94</v>
      </c>
      <c r="H261" s="8" t="s">
        <v>95</v>
      </c>
      <c r="I261" s="8">
        <v>1</v>
      </c>
      <c r="J261" s="8" t="s">
        <v>95</v>
      </c>
      <c r="K261" s="8">
        <v>1</v>
      </c>
      <c r="L261" s="8" t="s">
        <v>95</v>
      </c>
      <c r="M261" s="8">
        <v>1</v>
      </c>
      <c r="N261" s="8" t="s">
        <v>95</v>
      </c>
      <c r="O261" s="8">
        <v>1</v>
      </c>
      <c r="P261" s="8" t="s">
        <v>95</v>
      </c>
      <c r="Q261" s="8">
        <v>1</v>
      </c>
      <c r="R261" s="8" t="s">
        <v>95</v>
      </c>
      <c r="S261" s="8">
        <v>1</v>
      </c>
      <c r="T261" s="8" t="s">
        <v>95</v>
      </c>
      <c r="U261" s="8">
        <v>1</v>
      </c>
      <c r="V261" s="8" t="s">
        <v>95</v>
      </c>
      <c r="W261" s="8">
        <v>1</v>
      </c>
      <c r="X261" s="8" t="s">
        <v>95</v>
      </c>
      <c r="Y261" s="8">
        <v>1</v>
      </c>
      <c r="Z261" s="8" t="s">
        <v>95</v>
      </c>
      <c r="AA261" s="8">
        <v>1</v>
      </c>
      <c r="AB261" s="8" t="s">
        <v>95</v>
      </c>
      <c r="AC261" s="8">
        <v>1</v>
      </c>
      <c r="AD261" s="8" t="s">
        <v>95</v>
      </c>
      <c r="AE261" s="8">
        <v>1</v>
      </c>
      <c r="AF261" s="8" t="s">
        <v>95</v>
      </c>
      <c r="AG261" s="8">
        <v>1</v>
      </c>
      <c r="AH261" s="8" t="s">
        <v>95</v>
      </c>
      <c r="AI261" s="8">
        <v>1</v>
      </c>
      <c r="AJ261" s="8" t="s">
        <v>95</v>
      </c>
      <c r="AK261" s="8">
        <v>1</v>
      </c>
      <c r="AL261" s="8" t="s">
        <v>95</v>
      </c>
      <c r="AM261" s="8">
        <v>1</v>
      </c>
      <c r="AN261" s="8">
        <v>16</v>
      </c>
    </row>
    <row r="262" spans="1:40" x14ac:dyDescent="0.25">
      <c r="A262" s="8" t="s">
        <v>322</v>
      </c>
      <c r="B262" s="9">
        <v>42033.668055555558</v>
      </c>
      <c r="C262" s="8">
        <v>0</v>
      </c>
      <c r="D262" s="9">
        <v>42036.92291666667</v>
      </c>
      <c r="E262" s="8" t="s">
        <v>93</v>
      </c>
      <c r="F262" s="8">
        <v>16</v>
      </c>
      <c r="G262" s="8" t="s">
        <v>94</v>
      </c>
      <c r="H262" s="8" t="s">
        <v>95</v>
      </c>
      <c r="I262" s="8">
        <v>1</v>
      </c>
      <c r="J262" s="8" t="s">
        <v>95</v>
      </c>
      <c r="K262" s="8">
        <v>1</v>
      </c>
      <c r="L262" s="8" t="s">
        <v>95</v>
      </c>
      <c r="M262" s="8">
        <v>1</v>
      </c>
      <c r="N262" s="8" t="s">
        <v>95</v>
      </c>
      <c r="O262" s="8">
        <v>1</v>
      </c>
      <c r="P262" s="8" t="s">
        <v>95</v>
      </c>
      <c r="Q262" s="8">
        <v>1</v>
      </c>
      <c r="R262" s="8" t="s">
        <v>95</v>
      </c>
      <c r="S262" s="8">
        <v>1</v>
      </c>
      <c r="T262" s="8" t="s">
        <v>95</v>
      </c>
      <c r="U262" s="8">
        <v>1</v>
      </c>
      <c r="V262" s="8" t="s">
        <v>95</v>
      </c>
      <c r="W262" s="8">
        <v>1</v>
      </c>
      <c r="X262" s="8" t="s">
        <v>95</v>
      </c>
      <c r="Y262" s="8">
        <v>1</v>
      </c>
      <c r="Z262" s="8" t="s">
        <v>95</v>
      </c>
      <c r="AA262" s="8">
        <v>1</v>
      </c>
      <c r="AB262" s="8" t="s">
        <v>95</v>
      </c>
      <c r="AC262" s="8">
        <v>1</v>
      </c>
      <c r="AD262" s="8" t="s">
        <v>95</v>
      </c>
      <c r="AE262" s="8">
        <v>1</v>
      </c>
      <c r="AF262" s="8" t="s">
        <v>95</v>
      </c>
      <c r="AG262" s="8">
        <v>1</v>
      </c>
      <c r="AH262" s="8" t="s">
        <v>95</v>
      </c>
      <c r="AI262" s="8">
        <v>1</v>
      </c>
      <c r="AJ262" s="8" t="s">
        <v>95</v>
      </c>
      <c r="AK262" s="8">
        <v>1</v>
      </c>
      <c r="AL262" s="8" t="s">
        <v>95</v>
      </c>
      <c r="AM262" s="8">
        <v>1</v>
      </c>
      <c r="AN262" s="8">
        <v>16</v>
      </c>
    </row>
    <row r="263" spans="1:40" x14ac:dyDescent="0.25">
      <c r="A263" s="8" t="s">
        <v>323</v>
      </c>
      <c r="B263" s="9">
        <v>42033.660416666666</v>
      </c>
      <c r="C263" s="8">
        <v>0</v>
      </c>
      <c r="D263" s="9">
        <v>42036.925694444442</v>
      </c>
      <c r="E263" s="8" t="s">
        <v>93</v>
      </c>
      <c r="F263" s="8">
        <v>9</v>
      </c>
      <c r="G263" s="8" t="s">
        <v>94</v>
      </c>
      <c r="H263" s="8" t="s">
        <v>94</v>
      </c>
      <c r="I263" s="8">
        <v>0</v>
      </c>
      <c r="J263" s="8" t="s">
        <v>95</v>
      </c>
      <c r="K263" s="8">
        <v>1</v>
      </c>
      <c r="L263" s="8" t="s">
        <v>94</v>
      </c>
      <c r="M263" s="8">
        <v>0</v>
      </c>
      <c r="N263" s="8" t="s">
        <v>94</v>
      </c>
      <c r="O263" s="8">
        <v>0</v>
      </c>
      <c r="P263" s="8" t="s">
        <v>94</v>
      </c>
      <c r="Q263" s="8">
        <v>0</v>
      </c>
      <c r="R263" s="8" t="s">
        <v>95</v>
      </c>
      <c r="S263" s="8">
        <v>1</v>
      </c>
      <c r="T263" s="8" t="s">
        <v>94</v>
      </c>
      <c r="U263" s="8">
        <v>0</v>
      </c>
      <c r="V263" s="8" t="s">
        <v>95</v>
      </c>
      <c r="W263" s="8">
        <v>1</v>
      </c>
      <c r="X263" s="8" t="s">
        <v>95</v>
      </c>
      <c r="Y263" s="8">
        <v>1</v>
      </c>
      <c r="Z263" s="8" t="s">
        <v>95</v>
      </c>
      <c r="AA263" s="8">
        <v>1</v>
      </c>
      <c r="AB263" s="8" t="s">
        <v>95</v>
      </c>
      <c r="AC263" s="8">
        <v>1</v>
      </c>
      <c r="AD263" s="8" t="s">
        <v>95</v>
      </c>
      <c r="AE263" s="8">
        <v>1</v>
      </c>
      <c r="AF263" s="8" t="s">
        <v>94</v>
      </c>
      <c r="AG263" s="8">
        <v>0</v>
      </c>
      <c r="AH263" s="8" t="s">
        <v>94</v>
      </c>
      <c r="AI263" s="8">
        <v>0</v>
      </c>
      <c r="AJ263" s="8" t="s">
        <v>95</v>
      </c>
      <c r="AK263" s="8">
        <v>1</v>
      </c>
      <c r="AL263" s="8" t="s">
        <v>95</v>
      </c>
      <c r="AM263" s="8">
        <v>1</v>
      </c>
      <c r="AN263" s="8">
        <v>9</v>
      </c>
    </row>
    <row r="264" spans="1:40" x14ac:dyDescent="0.25">
      <c r="A264" s="8" t="s">
        <v>324</v>
      </c>
      <c r="B264" s="9">
        <v>42033.656944444447</v>
      </c>
      <c r="C264" s="8">
        <v>0</v>
      </c>
      <c r="D264" s="9">
        <v>42036.925694444442</v>
      </c>
      <c r="E264" s="8" t="s">
        <v>93</v>
      </c>
      <c r="F264" s="8">
        <v>16</v>
      </c>
      <c r="G264" s="8" t="s">
        <v>94</v>
      </c>
      <c r="H264" s="8" t="s">
        <v>95</v>
      </c>
      <c r="I264" s="8">
        <v>1</v>
      </c>
      <c r="J264" s="8" t="s">
        <v>95</v>
      </c>
      <c r="K264" s="8">
        <v>1</v>
      </c>
      <c r="L264" s="8" t="s">
        <v>95</v>
      </c>
      <c r="M264" s="8">
        <v>1</v>
      </c>
      <c r="N264" s="8" t="s">
        <v>95</v>
      </c>
      <c r="O264" s="8">
        <v>1</v>
      </c>
      <c r="P264" s="8" t="s">
        <v>95</v>
      </c>
      <c r="Q264" s="8">
        <v>1</v>
      </c>
      <c r="R264" s="8" t="s">
        <v>95</v>
      </c>
      <c r="S264" s="8">
        <v>1</v>
      </c>
      <c r="T264" s="8" t="s">
        <v>95</v>
      </c>
      <c r="U264" s="8">
        <v>1</v>
      </c>
      <c r="V264" s="8" t="s">
        <v>95</v>
      </c>
      <c r="W264" s="8">
        <v>1</v>
      </c>
      <c r="X264" s="8" t="s">
        <v>95</v>
      </c>
      <c r="Y264" s="8">
        <v>1</v>
      </c>
      <c r="Z264" s="8" t="s">
        <v>95</v>
      </c>
      <c r="AA264" s="8">
        <v>1</v>
      </c>
      <c r="AB264" s="8" t="s">
        <v>95</v>
      </c>
      <c r="AC264" s="8">
        <v>1</v>
      </c>
      <c r="AD264" s="8" t="s">
        <v>95</v>
      </c>
      <c r="AE264" s="8">
        <v>1</v>
      </c>
      <c r="AF264" s="8" t="s">
        <v>95</v>
      </c>
      <c r="AG264" s="8">
        <v>1</v>
      </c>
      <c r="AH264" s="8" t="s">
        <v>95</v>
      </c>
      <c r="AI264" s="8">
        <v>1</v>
      </c>
      <c r="AJ264" s="8" t="s">
        <v>95</v>
      </c>
      <c r="AK264" s="8">
        <v>1</v>
      </c>
      <c r="AL264" s="8" t="s">
        <v>95</v>
      </c>
      <c r="AM264" s="8">
        <v>1</v>
      </c>
      <c r="AN264" s="8">
        <v>16</v>
      </c>
    </row>
    <row r="265" spans="1:40" x14ac:dyDescent="0.25">
      <c r="A265" s="8" t="s">
        <v>325</v>
      </c>
      <c r="B265" s="9">
        <v>42033.654166666667</v>
      </c>
      <c r="C265" s="8">
        <v>0</v>
      </c>
      <c r="D265" s="9">
        <v>42036.927083333336</v>
      </c>
      <c r="E265" s="8" t="s">
        <v>93</v>
      </c>
      <c r="F265" s="8">
        <v>16</v>
      </c>
      <c r="G265" s="8" t="s">
        <v>94</v>
      </c>
      <c r="H265" s="8" t="s">
        <v>95</v>
      </c>
      <c r="I265" s="8">
        <v>1</v>
      </c>
      <c r="J265" s="8" t="s">
        <v>95</v>
      </c>
      <c r="K265" s="8">
        <v>1</v>
      </c>
      <c r="L265" s="8" t="s">
        <v>95</v>
      </c>
      <c r="M265" s="8">
        <v>1</v>
      </c>
      <c r="N265" s="8" t="s">
        <v>95</v>
      </c>
      <c r="O265" s="8">
        <v>1</v>
      </c>
      <c r="P265" s="8" t="s">
        <v>95</v>
      </c>
      <c r="Q265" s="8">
        <v>1</v>
      </c>
      <c r="R265" s="8" t="s">
        <v>95</v>
      </c>
      <c r="S265" s="8">
        <v>1</v>
      </c>
      <c r="T265" s="8" t="s">
        <v>95</v>
      </c>
      <c r="U265" s="8">
        <v>1</v>
      </c>
      <c r="V265" s="8" t="s">
        <v>95</v>
      </c>
      <c r="W265" s="8">
        <v>1</v>
      </c>
      <c r="X265" s="8" t="s">
        <v>95</v>
      </c>
      <c r="Y265" s="8">
        <v>1</v>
      </c>
      <c r="Z265" s="8" t="s">
        <v>95</v>
      </c>
      <c r="AA265" s="8">
        <v>1</v>
      </c>
      <c r="AB265" s="8" t="s">
        <v>95</v>
      </c>
      <c r="AC265" s="8">
        <v>1</v>
      </c>
      <c r="AD265" s="8" t="s">
        <v>95</v>
      </c>
      <c r="AE265" s="8">
        <v>1</v>
      </c>
      <c r="AF265" s="8" t="s">
        <v>95</v>
      </c>
      <c r="AG265" s="8">
        <v>1</v>
      </c>
      <c r="AH265" s="8" t="s">
        <v>95</v>
      </c>
      <c r="AI265" s="8">
        <v>1</v>
      </c>
      <c r="AJ265" s="8" t="s">
        <v>95</v>
      </c>
      <c r="AK265" s="8">
        <v>1</v>
      </c>
      <c r="AL265" s="8" t="s">
        <v>95</v>
      </c>
      <c r="AM265" s="8">
        <v>1</v>
      </c>
      <c r="AN265" s="8">
        <v>16</v>
      </c>
    </row>
    <row r="266" spans="1:40" x14ac:dyDescent="0.25">
      <c r="A266" s="8" t="s">
        <v>326</v>
      </c>
      <c r="B266" s="9">
        <v>42033.685416666667</v>
      </c>
      <c r="C266" s="8">
        <v>0</v>
      </c>
      <c r="D266" s="9">
        <v>42036.934027777781</v>
      </c>
      <c r="E266" s="8" t="s">
        <v>93</v>
      </c>
      <c r="F266" s="8">
        <v>16</v>
      </c>
      <c r="G266" s="8" t="s">
        <v>94</v>
      </c>
      <c r="H266" s="8" t="s">
        <v>95</v>
      </c>
      <c r="I266" s="8">
        <v>1</v>
      </c>
      <c r="J266" s="8" t="s">
        <v>95</v>
      </c>
      <c r="K266" s="8">
        <v>1</v>
      </c>
      <c r="L266" s="8" t="s">
        <v>95</v>
      </c>
      <c r="M266" s="8">
        <v>1</v>
      </c>
      <c r="N266" s="8" t="s">
        <v>95</v>
      </c>
      <c r="O266" s="8">
        <v>1</v>
      </c>
      <c r="P266" s="8" t="s">
        <v>95</v>
      </c>
      <c r="Q266" s="8">
        <v>1</v>
      </c>
      <c r="R266" s="8" t="s">
        <v>95</v>
      </c>
      <c r="S266" s="8">
        <v>1</v>
      </c>
      <c r="T266" s="8" t="s">
        <v>95</v>
      </c>
      <c r="U266" s="8">
        <v>1</v>
      </c>
      <c r="V266" s="8" t="s">
        <v>95</v>
      </c>
      <c r="W266" s="8">
        <v>1</v>
      </c>
      <c r="X266" s="8" t="s">
        <v>95</v>
      </c>
      <c r="Y266" s="8">
        <v>1</v>
      </c>
      <c r="Z266" s="8" t="s">
        <v>95</v>
      </c>
      <c r="AA266" s="8">
        <v>1</v>
      </c>
      <c r="AB266" s="8" t="s">
        <v>95</v>
      </c>
      <c r="AC266" s="8">
        <v>1</v>
      </c>
      <c r="AD266" s="8" t="s">
        <v>95</v>
      </c>
      <c r="AE266" s="8">
        <v>1</v>
      </c>
      <c r="AF266" s="8" t="s">
        <v>95</v>
      </c>
      <c r="AG266" s="8">
        <v>1</v>
      </c>
      <c r="AH266" s="8" t="s">
        <v>95</v>
      </c>
      <c r="AI266" s="8">
        <v>1</v>
      </c>
      <c r="AJ266" s="8" t="s">
        <v>95</v>
      </c>
      <c r="AK266" s="8">
        <v>1</v>
      </c>
      <c r="AL266" s="8" t="s">
        <v>95</v>
      </c>
      <c r="AM266" s="8">
        <v>1</v>
      </c>
      <c r="AN266" s="8">
        <v>16</v>
      </c>
    </row>
    <row r="267" spans="1:40" x14ac:dyDescent="0.25">
      <c r="A267" s="8" t="s">
        <v>327</v>
      </c>
      <c r="B267" s="9">
        <v>42033.680555555555</v>
      </c>
      <c r="C267" s="8">
        <v>0</v>
      </c>
      <c r="D267" s="9">
        <v>42036.938888888886</v>
      </c>
      <c r="E267" s="8" t="s">
        <v>93</v>
      </c>
      <c r="F267" s="8">
        <v>16</v>
      </c>
      <c r="G267" s="8" t="s">
        <v>94</v>
      </c>
      <c r="H267" s="8" t="s">
        <v>95</v>
      </c>
      <c r="I267" s="8">
        <v>1</v>
      </c>
      <c r="J267" s="8" t="s">
        <v>95</v>
      </c>
      <c r="K267" s="8">
        <v>1</v>
      </c>
      <c r="L267" s="8" t="s">
        <v>95</v>
      </c>
      <c r="M267" s="8">
        <v>1</v>
      </c>
      <c r="N267" s="8" t="s">
        <v>95</v>
      </c>
      <c r="O267" s="8">
        <v>1</v>
      </c>
      <c r="P267" s="8" t="s">
        <v>95</v>
      </c>
      <c r="Q267" s="8">
        <v>1</v>
      </c>
      <c r="R267" s="8" t="s">
        <v>95</v>
      </c>
      <c r="S267" s="8">
        <v>1</v>
      </c>
      <c r="T267" s="8" t="s">
        <v>95</v>
      </c>
      <c r="U267" s="8">
        <v>1</v>
      </c>
      <c r="V267" s="8" t="s">
        <v>95</v>
      </c>
      <c r="W267" s="8">
        <v>1</v>
      </c>
      <c r="X267" s="8" t="s">
        <v>95</v>
      </c>
      <c r="Y267" s="8">
        <v>1</v>
      </c>
      <c r="Z267" s="8" t="s">
        <v>95</v>
      </c>
      <c r="AA267" s="8">
        <v>1</v>
      </c>
      <c r="AB267" s="8" t="s">
        <v>95</v>
      </c>
      <c r="AC267" s="8">
        <v>1</v>
      </c>
      <c r="AD267" s="8" t="s">
        <v>95</v>
      </c>
      <c r="AE267" s="8">
        <v>1</v>
      </c>
      <c r="AF267" s="8" t="s">
        <v>95</v>
      </c>
      <c r="AG267" s="8">
        <v>1</v>
      </c>
      <c r="AH267" s="8" t="s">
        <v>95</v>
      </c>
      <c r="AI267" s="8">
        <v>1</v>
      </c>
      <c r="AJ267" s="8" t="s">
        <v>95</v>
      </c>
      <c r="AK267" s="8">
        <v>1</v>
      </c>
      <c r="AL267" s="8" t="s">
        <v>95</v>
      </c>
      <c r="AM267" s="8">
        <v>1</v>
      </c>
      <c r="AN267" s="8">
        <v>16</v>
      </c>
    </row>
    <row r="268" spans="1:40" x14ac:dyDescent="0.25">
      <c r="A268" s="8" t="s">
        <v>328</v>
      </c>
      <c r="B268" s="9">
        <v>42033.675694444442</v>
      </c>
      <c r="C268" s="8">
        <v>0</v>
      </c>
      <c r="D268" s="9">
        <v>42036.943749999999</v>
      </c>
      <c r="E268" s="8" t="s">
        <v>93</v>
      </c>
      <c r="F268" s="8">
        <v>16</v>
      </c>
      <c r="G268" s="8" t="s">
        <v>94</v>
      </c>
      <c r="H268" s="8" t="s">
        <v>95</v>
      </c>
      <c r="I268" s="8">
        <v>1</v>
      </c>
      <c r="J268" s="8" t="s">
        <v>95</v>
      </c>
      <c r="K268" s="8">
        <v>1</v>
      </c>
      <c r="L268" s="8" t="s">
        <v>95</v>
      </c>
      <c r="M268" s="8">
        <v>1</v>
      </c>
      <c r="N268" s="8" t="s">
        <v>95</v>
      </c>
      <c r="O268" s="8">
        <v>1</v>
      </c>
      <c r="P268" s="8" t="s">
        <v>95</v>
      </c>
      <c r="Q268" s="8">
        <v>1</v>
      </c>
      <c r="R268" s="8" t="s">
        <v>95</v>
      </c>
      <c r="S268" s="8">
        <v>1</v>
      </c>
      <c r="T268" s="8" t="s">
        <v>95</v>
      </c>
      <c r="U268" s="8">
        <v>1</v>
      </c>
      <c r="V268" s="8" t="s">
        <v>95</v>
      </c>
      <c r="W268" s="8">
        <v>1</v>
      </c>
      <c r="X268" s="8" t="s">
        <v>95</v>
      </c>
      <c r="Y268" s="8">
        <v>1</v>
      </c>
      <c r="Z268" s="8" t="s">
        <v>95</v>
      </c>
      <c r="AA268" s="8">
        <v>1</v>
      </c>
      <c r="AB268" s="8" t="s">
        <v>95</v>
      </c>
      <c r="AC268" s="8">
        <v>1</v>
      </c>
      <c r="AD268" s="8" t="s">
        <v>95</v>
      </c>
      <c r="AE268" s="8">
        <v>1</v>
      </c>
      <c r="AF268" s="8" t="s">
        <v>95</v>
      </c>
      <c r="AG268" s="8">
        <v>1</v>
      </c>
      <c r="AH268" s="8" t="s">
        <v>95</v>
      </c>
      <c r="AI268" s="8">
        <v>1</v>
      </c>
      <c r="AJ268" s="8" t="s">
        <v>95</v>
      </c>
      <c r="AK268" s="8">
        <v>1</v>
      </c>
      <c r="AL268" s="8" t="s">
        <v>95</v>
      </c>
      <c r="AM268" s="8">
        <v>1</v>
      </c>
      <c r="AN268" s="8">
        <v>16</v>
      </c>
    </row>
    <row r="269" spans="1:40" x14ac:dyDescent="0.25">
      <c r="A269" s="8" t="s">
        <v>329</v>
      </c>
      <c r="B269" s="9">
        <v>42033.684027777781</v>
      </c>
      <c r="C269" s="8">
        <v>0</v>
      </c>
      <c r="D269" s="9">
        <v>42036.948611111111</v>
      </c>
      <c r="E269" s="8" t="s">
        <v>93</v>
      </c>
      <c r="F269" s="8">
        <v>16</v>
      </c>
      <c r="G269" s="8" t="s">
        <v>94</v>
      </c>
      <c r="H269" s="8" t="s">
        <v>95</v>
      </c>
      <c r="I269" s="8">
        <v>1</v>
      </c>
      <c r="J269" s="8" t="s">
        <v>95</v>
      </c>
      <c r="K269" s="8">
        <v>1</v>
      </c>
      <c r="L269" s="8" t="s">
        <v>95</v>
      </c>
      <c r="M269" s="8">
        <v>1</v>
      </c>
      <c r="N269" s="8" t="s">
        <v>95</v>
      </c>
      <c r="O269" s="8">
        <v>1</v>
      </c>
      <c r="P269" s="8" t="s">
        <v>95</v>
      </c>
      <c r="Q269" s="8">
        <v>1</v>
      </c>
      <c r="R269" s="8" t="s">
        <v>95</v>
      </c>
      <c r="S269" s="8">
        <v>1</v>
      </c>
      <c r="T269" s="8" t="s">
        <v>95</v>
      </c>
      <c r="U269" s="8">
        <v>1</v>
      </c>
      <c r="V269" s="8" t="s">
        <v>95</v>
      </c>
      <c r="W269" s="8">
        <v>1</v>
      </c>
      <c r="X269" s="8" t="s">
        <v>95</v>
      </c>
      <c r="Y269" s="8">
        <v>1</v>
      </c>
      <c r="Z269" s="8" t="s">
        <v>95</v>
      </c>
      <c r="AA269" s="8">
        <v>1</v>
      </c>
      <c r="AB269" s="8" t="s">
        <v>95</v>
      </c>
      <c r="AC269" s="8">
        <v>1</v>
      </c>
      <c r="AD269" s="8" t="s">
        <v>95</v>
      </c>
      <c r="AE269" s="8">
        <v>1</v>
      </c>
      <c r="AF269" s="8" t="s">
        <v>95</v>
      </c>
      <c r="AG269" s="8">
        <v>1</v>
      </c>
      <c r="AH269" s="8" t="s">
        <v>95</v>
      </c>
      <c r="AI269" s="8">
        <v>1</v>
      </c>
      <c r="AJ269" s="8" t="s">
        <v>95</v>
      </c>
      <c r="AK269" s="8">
        <v>1</v>
      </c>
      <c r="AL269" s="8" t="s">
        <v>95</v>
      </c>
      <c r="AM269" s="8">
        <v>1</v>
      </c>
      <c r="AN269" s="8">
        <v>16</v>
      </c>
    </row>
    <row r="270" spans="1:40" x14ac:dyDescent="0.25">
      <c r="A270" s="8" t="s">
        <v>330</v>
      </c>
      <c r="B270" s="9">
        <v>42033.666666666664</v>
      </c>
      <c r="C270" s="8">
        <v>0</v>
      </c>
      <c r="D270" s="9">
        <v>42036.952777777777</v>
      </c>
      <c r="E270" s="8" t="s">
        <v>93</v>
      </c>
      <c r="F270" s="8">
        <v>15</v>
      </c>
      <c r="G270" s="8" t="s">
        <v>94</v>
      </c>
      <c r="H270" s="8" t="s">
        <v>95</v>
      </c>
      <c r="I270" s="8">
        <v>1</v>
      </c>
      <c r="J270" s="8" t="s">
        <v>95</v>
      </c>
      <c r="K270" s="8">
        <v>1</v>
      </c>
      <c r="L270" s="8" t="s">
        <v>95</v>
      </c>
      <c r="M270" s="8">
        <v>1</v>
      </c>
      <c r="N270" s="8" t="s">
        <v>95</v>
      </c>
      <c r="O270" s="8">
        <v>1</v>
      </c>
      <c r="P270" s="8" t="s">
        <v>95</v>
      </c>
      <c r="Q270" s="8">
        <v>1</v>
      </c>
      <c r="R270" s="8" t="s">
        <v>95</v>
      </c>
      <c r="S270" s="8">
        <v>1</v>
      </c>
      <c r="T270" s="8" t="s">
        <v>95</v>
      </c>
      <c r="U270" s="8">
        <v>1</v>
      </c>
      <c r="V270" s="8" t="s">
        <v>95</v>
      </c>
      <c r="W270" s="8">
        <v>1</v>
      </c>
      <c r="X270" s="8" t="s">
        <v>95</v>
      </c>
      <c r="Y270" s="8">
        <v>1</v>
      </c>
      <c r="Z270" s="8" t="s">
        <v>95</v>
      </c>
      <c r="AA270" s="8">
        <v>1</v>
      </c>
      <c r="AB270" s="8" t="s">
        <v>95</v>
      </c>
      <c r="AC270" s="8">
        <v>1</v>
      </c>
      <c r="AD270" s="8" t="s">
        <v>95</v>
      </c>
      <c r="AE270" s="8">
        <v>1</v>
      </c>
      <c r="AF270" s="8" t="s">
        <v>95</v>
      </c>
      <c r="AG270" s="8">
        <v>1</v>
      </c>
      <c r="AH270" s="8" t="s">
        <v>95</v>
      </c>
      <c r="AI270" s="8">
        <v>1</v>
      </c>
      <c r="AJ270" s="8" t="s">
        <v>95</v>
      </c>
      <c r="AK270" s="8">
        <v>1</v>
      </c>
      <c r="AL270" s="8" t="s">
        <v>94</v>
      </c>
      <c r="AM270" s="8">
        <v>0</v>
      </c>
      <c r="AN270" s="8">
        <v>15</v>
      </c>
    </row>
    <row r="271" spans="1:40" x14ac:dyDescent="0.25">
      <c r="A271" s="8" t="s">
        <v>331</v>
      </c>
      <c r="B271" s="9">
        <v>42033.678472222222</v>
      </c>
      <c r="C271" s="8">
        <v>0</v>
      </c>
      <c r="D271" s="9">
        <v>42036.958333333336</v>
      </c>
      <c r="E271" s="8" t="s">
        <v>93</v>
      </c>
      <c r="F271" s="8">
        <v>14</v>
      </c>
      <c r="G271" s="8" t="s">
        <v>94</v>
      </c>
      <c r="H271" s="8" t="s">
        <v>95</v>
      </c>
      <c r="I271" s="8">
        <v>1</v>
      </c>
      <c r="J271" s="8" t="s">
        <v>95</v>
      </c>
      <c r="K271" s="8">
        <v>1</v>
      </c>
      <c r="L271" s="8" t="s">
        <v>95</v>
      </c>
      <c r="M271" s="8">
        <v>1</v>
      </c>
      <c r="N271" s="8" t="s">
        <v>95</v>
      </c>
      <c r="O271" s="8">
        <v>1</v>
      </c>
      <c r="P271" s="8" t="s">
        <v>94</v>
      </c>
      <c r="Q271" s="8">
        <v>0</v>
      </c>
      <c r="R271" s="8" t="s">
        <v>95</v>
      </c>
      <c r="S271" s="8">
        <v>1</v>
      </c>
      <c r="T271" s="8" t="s">
        <v>95</v>
      </c>
      <c r="U271" s="8">
        <v>1</v>
      </c>
      <c r="V271" s="8" t="s">
        <v>95</v>
      </c>
      <c r="W271" s="8">
        <v>1</v>
      </c>
      <c r="X271" s="8" t="s">
        <v>95</v>
      </c>
      <c r="Y271" s="8">
        <v>1</v>
      </c>
      <c r="Z271" s="8" t="s">
        <v>95</v>
      </c>
      <c r="AA271" s="8">
        <v>1</v>
      </c>
      <c r="AB271" s="8" t="s">
        <v>95</v>
      </c>
      <c r="AC271" s="8">
        <v>1</v>
      </c>
      <c r="AD271" s="8" t="s">
        <v>94</v>
      </c>
      <c r="AE271" s="8">
        <v>0</v>
      </c>
      <c r="AF271" s="8" t="s">
        <v>95</v>
      </c>
      <c r="AG271" s="8">
        <v>1</v>
      </c>
      <c r="AH271" s="8" t="s">
        <v>95</v>
      </c>
      <c r="AI271" s="8">
        <v>1</v>
      </c>
      <c r="AJ271" s="8" t="s">
        <v>95</v>
      </c>
      <c r="AK271" s="8">
        <v>1</v>
      </c>
      <c r="AL271" s="8" t="s">
        <v>95</v>
      </c>
      <c r="AM271" s="8">
        <v>1</v>
      </c>
      <c r="AN271" s="8">
        <v>14</v>
      </c>
    </row>
    <row r="272" spans="1:40" x14ac:dyDescent="0.25">
      <c r="A272" s="8" t="s">
        <v>332</v>
      </c>
      <c r="B272" s="9">
        <v>42033.684027777781</v>
      </c>
      <c r="C272" s="8">
        <v>0</v>
      </c>
      <c r="D272" s="9">
        <v>42036.968055555553</v>
      </c>
      <c r="E272" s="8" t="s">
        <v>93</v>
      </c>
      <c r="F272" s="8">
        <v>16</v>
      </c>
      <c r="G272" s="8" t="s">
        <v>94</v>
      </c>
      <c r="H272" s="8" t="s">
        <v>95</v>
      </c>
      <c r="I272" s="8">
        <v>1</v>
      </c>
      <c r="J272" s="8" t="s">
        <v>95</v>
      </c>
      <c r="K272" s="8">
        <v>1</v>
      </c>
      <c r="L272" s="8" t="s">
        <v>95</v>
      </c>
      <c r="M272" s="8">
        <v>1</v>
      </c>
      <c r="N272" s="8" t="s">
        <v>95</v>
      </c>
      <c r="O272" s="8">
        <v>1</v>
      </c>
      <c r="P272" s="8" t="s">
        <v>95</v>
      </c>
      <c r="Q272" s="8">
        <v>1</v>
      </c>
      <c r="R272" s="8" t="s">
        <v>95</v>
      </c>
      <c r="S272" s="8">
        <v>1</v>
      </c>
      <c r="T272" s="8" t="s">
        <v>95</v>
      </c>
      <c r="U272" s="8">
        <v>1</v>
      </c>
      <c r="V272" s="8" t="s">
        <v>95</v>
      </c>
      <c r="W272" s="8">
        <v>1</v>
      </c>
      <c r="X272" s="8" t="s">
        <v>95</v>
      </c>
      <c r="Y272" s="8">
        <v>1</v>
      </c>
      <c r="Z272" s="8" t="s">
        <v>95</v>
      </c>
      <c r="AA272" s="8">
        <v>1</v>
      </c>
      <c r="AB272" s="8" t="s">
        <v>95</v>
      </c>
      <c r="AC272" s="8">
        <v>1</v>
      </c>
      <c r="AD272" s="8" t="s">
        <v>95</v>
      </c>
      <c r="AE272" s="8">
        <v>1</v>
      </c>
      <c r="AF272" s="8" t="s">
        <v>95</v>
      </c>
      <c r="AG272" s="8">
        <v>1</v>
      </c>
      <c r="AH272" s="8" t="s">
        <v>95</v>
      </c>
      <c r="AI272" s="8">
        <v>1</v>
      </c>
      <c r="AJ272" s="8" t="s">
        <v>95</v>
      </c>
      <c r="AK272" s="8">
        <v>1</v>
      </c>
      <c r="AL272" s="8" t="s">
        <v>95</v>
      </c>
      <c r="AM272" s="8">
        <v>1</v>
      </c>
      <c r="AN272" s="8">
        <v>16</v>
      </c>
    </row>
    <row r="273" spans="1:40" x14ac:dyDescent="0.25">
      <c r="A273" s="8" t="s">
        <v>333</v>
      </c>
      <c r="B273" s="9">
        <v>42033.683333333334</v>
      </c>
      <c r="C273" s="8">
        <v>0</v>
      </c>
      <c r="D273" s="9">
        <v>42036.968055555553</v>
      </c>
      <c r="E273" s="8" t="s">
        <v>93</v>
      </c>
      <c r="F273" s="8">
        <v>9</v>
      </c>
      <c r="G273" s="8" t="s">
        <v>94</v>
      </c>
      <c r="H273" s="8" t="s">
        <v>95</v>
      </c>
      <c r="I273" s="8">
        <v>1</v>
      </c>
      <c r="J273" s="8" t="s">
        <v>95</v>
      </c>
      <c r="K273" s="8">
        <v>1</v>
      </c>
      <c r="L273" s="8" t="s">
        <v>94</v>
      </c>
      <c r="M273" s="8">
        <v>0</v>
      </c>
      <c r="N273" s="8" t="s">
        <v>95</v>
      </c>
      <c r="O273" s="8">
        <v>1</v>
      </c>
      <c r="P273" s="8" t="s">
        <v>95</v>
      </c>
      <c r="Q273" s="8">
        <v>1</v>
      </c>
      <c r="R273" s="8" t="s">
        <v>95</v>
      </c>
      <c r="S273" s="8">
        <v>1</v>
      </c>
      <c r="T273" s="8" t="s">
        <v>94</v>
      </c>
      <c r="U273" s="8">
        <v>0</v>
      </c>
      <c r="V273" s="8" t="s">
        <v>94</v>
      </c>
      <c r="W273" s="8">
        <v>0</v>
      </c>
      <c r="X273" s="8" t="s">
        <v>95</v>
      </c>
      <c r="Y273" s="8">
        <v>1</v>
      </c>
      <c r="Z273" s="8" t="s">
        <v>95</v>
      </c>
      <c r="AA273" s="8">
        <v>1</v>
      </c>
      <c r="AB273" s="8" t="s">
        <v>95</v>
      </c>
      <c r="AC273" s="8">
        <v>1</v>
      </c>
      <c r="AD273" s="8" t="s">
        <v>95</v>
      </c>
      <c r="AE273" s="8">
        <v>1</v>
      </c>
      <c r="AF273" s="8" t="s">
        <v>94</v>
      </c>
      <c r="AG273" s="8">
        <v>0</v>
      </c>
      <c r="AH273" s="8" t="s">
        <v>94</v>
      </c>
      <c r="AI273" s="8">
        <v>0</v>
      </c>
      <c r="AJ273" s="8" t="s">
        <v>94</v>
      </c>
      <c r="AK273" s="8">
        <v>0</v>
      </c>
      <c r="AL273" s="8" t="s">
        <v>94</v>
      </c>
      <c r="AM273" s="8">
        <v>0</v>
      </c>
      <c r="AN273" s="8">
        <v>9</v>
      </c>
    </row>
    <row r="274" spans="1:40" x14ac:dyDescent="0.25">
      <c r="A274" s="8" t="s">
        <v>334</v>
      </c>
      <c r="B274" s="9">
        <v>42033.679166666669</v>
      </c>
      <c r="C274" s="8">
        <v>0</v>
      </c>
      <c r="D274" s="9">
        <v>42036.96875</v>
      </c>
      <c r="E274" s="8" t="s">
        <v>93</v>
      </c>
      <c r="F274" s="8">
        <v>15</v>
      </c>
      <c r="G274" s="8" t="s">
        <v>94</v>
      </c>
      <c r="H274" s="8" t="s">
        <v>95</v>
      </c>
      <c r="I274" s="8">
        <v>1</v>
      </c>
      <c r="J274" s="8" t="s">
        <v>95</v>
      </c>
      <c r="K274" s="8">
        <v>1</v>
      </c>
      <c r="L274" s="8" t="s">
        <v>95</v>
      </c>
      <c r="M274" s="8">
        <v>1</v>
      </c>
      <c r="N274" s="8" t="s">
        <v>95</v>
      </c>
      <c r="O274" s="8">
        <v>1</v>
      </c>
      <c r="P274" s="8" t="s">
        <v>95</v>
      </c>
      <c r="Q274" s="8">
        <v>1</v>
      </c>
      <c r="R274" s="8" t="s">
        <v>95</v>
      </c>
      <c r="S274" s="8">
        <v>1</v>
      </c>
      <c r="T274" s="8" t="s">
        <v>94</v>
      </c>
      <c r="U274" s="8">
        <v>0</v>
      </c>
      <c r="V274" s="8" t="s">
        <v>95</v>
      </c>
      <c r="W274" s="8">
        <v>1</v>
      </c>
      <c r="X274" s="8" t="s">
        <v>95</v>
      </c>
      <c r="Y274" s="8">
        <v>1</v>
      </c>
      <c r="Z274" s="8" t="s">
        <v>95</v>
      </c>
      <c r="AA274" s="8">
        <v>1</v>
      </c>
      <c r="AB274" s="8" t="s">
        <v>95</v>
      </c>
      <c r="AC274" s="8">
        <v>1</v>
      </c>
      <c r="AD274" s="8" t="s">
        <v>95</v>
      </c>
      <c r="AE274" s="8">
        <v>1</v>
      </c>
      <c r="AF274" s="8" t="s">
        <v>95</v>
      </c>
      <c r="AG274" s="8">
        <v>1</v>
      </c>
      <c r="AH274" s="8" t="s">
        <v>95</v>
      </c>
      <c r="AI274" s="8">
        <v>1</v>
      </c>
      <c r="AJ274" s="8" t="s">
        <v>95</v>
      </c>
      <c r="AK274" s="8">
        <v>1</v>
      </c>
      <c r="AL274" s="8" t="s">
        <v>95</v>
      </c>
      <c r="AM274" s="8">
        <v>1</v>
      </c>
      <c r="AN274" s="8">
        <v>15</v>
      </c>
    </row>
    <row r="275" spans="1:40" x14ac:dyDescent="0.25">
      <c r="A275" s="8" t="s">
        <v>335</v>
      </c>
      <c r="B275" s="9">
        <v>42033.682638888888</v>
      </c>
      <c r="C275" s="8">
        <v>0</v>
      </c>
      <c r="D275" s="9">
        <v>42036.972916666666</v>
      </c>
      <c r="E275" s="8" t="s">
        <v>93</v>
      </c>
      <c r="F275" s="8">
        <v>16</v>
      </c>
      <c r="G275" s="8" t="s">
        <v>94</v>
      </c>
      <c r="H275" s="8" t="s">
        <v>95</v>
      </c>
      <c r="I275" s="8">
        <v>1</v>
      </c>
      <c r="J275" s="8" t="s">
        <v>95</v>
      </c>
      <c r="K275" s="8">
        <v>1</v>
      </c>
      <c r="L275" s="8" t="s">
        <v>95</v>
      </c>
      <c r="M275" s="8">
        <v>1</v>
      </c>
      <c r="N275" s="8" t="s">
        <v>95</v>
      </c>
      <c r="O275" s="8">
        <v>1</v>
      </c>
      <c r="P275" s="8" t="s">
        <v>95</v>
      </c>
      <c r="Q275" s="8">
        <v>1</v>
      </c>
      <c r="R275" s="8" t="s">
        <v>95</v>
      </c>
      <c r="S275" s="8">
        <v>1</v>
      </c>
      <c r="T275" s="8" t="s">
        <v>95</v>
      </c>
      <c r="U275" s="8">
        <v>1</v>
      </c>
      <c r="V275" s="8" t="s">
        <v>95</v>
      </c>
      <c r="W275" s="8">
        <v>1</v>
      </c>
      <c r="X275" s="8" t="s">
        <v>95</v>
      </c>
      <c r="Y275" s="8">
        <v>1</v>
      </c>
      <c r="Z275" s="8" t="s">
        <v>95</v>
      </c>
      <c r="AA275" s="8">
        <v>1</v>
      </c>
      <c r="AB275" s="8" t="s">
        <v>95</v>
      </c>
      <c r="AC275" s="8">
        <v>1</v>
      </c>
      <c r="AD275" s="8" t="s">
        <v>95</v>
      </c>
      <c r="AE275" s="8">
        <v>1</v>
      </c>
      <c r="AF275" s="8" t="s">
        <v>95</v>
      </c>
      <c r="AG275" s="8">
        <v>1</v>
      </c>
      <c r="AH275" s="8" t="s">
        <v>95</v>
      </c>
      <c r="AI275" s="8">
        <v>1</v>
      </c>
      <c r="AJ275" s="8" t="s">
        <v>95</v>
      </c>
      <c r="AK275" s="8">
        <v>1</v>
      </c>
      <c r="AL275" s="8" t="s">
        <v>95</v>
      </c>
      <c r="AM275" s="8">
        <v>1</v>
      </c>
      <c r="AN275" s="8">
        <v>16</v>
      </c>
    </row>
    <row r="276" spans="1:40" x14ac:dyDescent="0.25">
      <c r="A276" s="8" t="s">
        <v>336</v>
      </c>
      <c r="B276" s="9">
        <v>42033.659722222219</v>
      </c>
      <c r="C276" s="8">
        <v>0</v>
      </c>
      <c r="D276" s="9">
        <v>42036.977083333331</v>
      </c>
      <c r="E276" s="8" t="s">
        <v>93</v>
      </c>
      <c r="F276" s="8">
        <v>13</v>
      </c>
      <c r="G276" s="8" t="s">
        <v>94</v>
      </c>
      <c r="H276" s="8" t="s">
        <v>95</v>
      </c>
      <c r="I276" s="8">
        <v>1</v>
      </c>
      <c r="J276" s="8" t="s">
        <v>94</v>
      </c>
      <c r="K276" s="8">
        <v>0</v>
      </c>
      <c r="L276" s="8" t="s">
        <v>95</v>
      </c>
      <c r="M276" s="8">
        <v>1</v>
      </c>
      <c r="N276" s="8" t="s">
        <v>94</v>
      </c>
      <c r="O276" s="8">
        <v>0</v>
      </c>
      <c r="P276" s="8" t="s">
        <v>95</v>
      </c>
      <c r="Q276" s="8">
        <v>1</v>
      </c>
      <c r="R276" s="8" t="s">
        <v>95</v>
      </c>
      <c r="S276" s="8">
        <v>1</v>
      </c>
      <c r="T276" s="8" t="s">
        <v>95</v>
      </c>
      <c r="U276" s="8">
        <v>1</v>
      </c>
      <c r="V276" s="8" t="s">
        <v>95</v>
      </c>
      <c r="W276" s="8">
        <v>1</v>
      </c>
      <c r="X276" s="8" t="s">
        <v>95</v>
      </c>
      <c r="Y276" s="8">
        <v>1</v>
      </c>
      <c r="Z276" s="8" t="s">
        <v>95</v>
      </c>
      <c r="AA276" s="8">
        <v>1</v>
      </c>
      <c r="AB276" s="8" t="s">
        <v>95</v>
      </c>
      <c r="AC276" s="8">
        <v>1</v>
      </c>
      <c r="AD276" s="8" t="s">
        <v>95</v>
      </c>
      <c r="AE276" s="8">
        <v>1</v>
      </c>
      <c r="AF276" s="8" t="s">
        <v>94</v>
      </c>
      <c r="AG276" s="8">
        <v>0</v>
      </c>
      <c r="AH276" s="8" t="s">
        <v>95</v>
      </c>
      <c r="AI276" s="8">
        <v>1</v>
      </c>
      <c r="AJ276" s="8" t="s">
        <v>95</v>
      </c>
      <c r="AK276" s="8">
        <v>1</v>
      </c>
      <c r="AL276" s="8" t="s">
        <v>95</v>
      </c>
      <c r="AM276" s="8">
        <v>1</v>
      </c>
      <c r="AN276" s="8">
        <v>13</v>
      </c>
    </row>
    <row r="277" spans="1:40" x14ac:dyDescent="0.25">
      <c r="A277" s="8" t="s">
        <v>337</v>
      </c>
      <c r="B277" s="9">
        <v>42033.655555555553</v>
      </c>
      <c r="C277" s="8">
        <v>0</v>
      </c>
      <c r="D277" s="9">
        <v>42036.98333333333</v>
      </c>
      <c r="E277" s="8" t="s">
        <v>93</v>
      </c>
      <c r="F277" s="8">
        <v>9</v>
      </c>
      <c r="G277" s="8" t="s">
        <v>94</v>
      </c>
      <c r="H277" s="8" t="s">
        <v>95</v>
      </c>
      <c r="I277" s="8">
        <v>1</v>
      </c>
      <c r="J277" s="8" t="s">
        <v>95</v>
      </c>
      <c r="K277" s="8">
        <v>1</v>
      </c>
      <c r="L277" s="8" t="s">
        <v>95</v>
      </c>
      <c r="M277" s="8">
        <v>1</v>
      </c>
      <c r="N277" s="8" t="s">
        <v>95</v>
      </c>
      <c r="O277" s="8">
        <v>1</v>
      </c>
      <c r="P277" s="8" t="s">
        <v>94</v>
      </c>
      <c r="Q277" s="8">
        <v>0</v>
      </c>
      <c r="R277" s="8" t="s">
        <v>94</v>
      </c>
      <c r="S277" s="8">
        <v>0</v>
      </c>
      <c r="T277" s="8" t="s">
        <v>94</v>
      </c>
      <c r="U277" s="8">
        <v>0</v>
      </c>
      <c r="V277" s="8" t="s">
        <v>94</v>
      </c>
      <c r="W277" s="8">
        <v>0</v>
      </c>
      <c r="X277" s="8" t="s">
        <v>95</v>
      </c>
      <c r="Y277" s="8">
        <v>1</v>
      </c>
      <c r="Z277" s="8" t="s">
        <v>95</v>
      </c>
      <c r="AA277" s="8">
        <v>1</v>
      </c>
      <c r="AB277" s="8" t="s">
        <v>95</v>
      </c>
      <c r="AC277" s="8">
        <v>1</v>
      </c>
      <c r="AD277" s="8" t="s">
        <v>95</v>
      </c>
      <c r="AE277" s="8">
        <v>1</v>
      </c>
      <c r="AF277" s="8" t="s">
        <v>94</v>
      </c>
      <c r="AG277" s="8">
        <v>0</v>
      </c>
      <c r="AH277" s="8" t="s">
        <v>94</v>
      </c>
      <c r="AI277" s="8">
        <v>0</v>
      </c>
      <c r="AJ277" s="8" t="s">
        <v>94</v>
      </c>
      <c r="AK277" s="8">
        <v>0</v>
      </c>
      <c r="AL277" s="8" t="s">
        <v>95</v>
      </c>
      <c r="AM277" s="8">
        <v>1</v>
      </c>
      <c r="AN277" s="8">
        <v>9</v>
      </c>
    </row>
    <row r="278" spans="1:40" x14ac:dyDescent="0.25">
      <c r="A278" s="8" t="s">
        <v>338</v>
      </c>
      <c r="B278" s="9">
        <v>42033.681250000001</v>
      </c>
      <c r="C278" s="8">
        <v>0</v>
      </c>
      <c r="D278" s="9">
        <v>42036.984722222223</v>
      </c>
      <c r="E278" s="8" t="s">
        <v>93</v>
      </c>
      <c r="F278" s="8">
        <v>15</v>
      </c>
      <c r="G278" s="8" t="s">
        <v>94</v>
      </c>
      <c r="H278" s="8" t="s">
        <v>95</v>
      </c>
      <c r="I278" s="8">
        <v>1</v>
      </c>
      <c r="J278" s="8" t="s">
        <v>95</v>
      </c>
      <c r="K278" s="8">
        <v>1</v>
      </c>
      <c r="L278" s="8" t="s">
        <v>95</v>
      </c>
      <c r="M278" s="8">
        <v>1</v>
      </c>
      <c r="N278" s="8" t="s">
        <v>95</v>
      </c>
      <c r="O278" s="8">
        <v>1</v>
      </c>
      <c r="P278" s="8" t="s">
        <v>95</v>
      </c>
      <c r="Q278" s="8">
        <v>1</v>
      </c>
      <c r="R278" s="8" t="s">
        <v>95</v>
      </c>
      <c r="S278" s="8">
        <v>1</v>
      </c>
      <c r="T278" s="8" t="s">
        <v>95</v>
      </c>
      <c r="U278" s="8">
        <v>1</v>
      </c>
      <c r="V278" s="8" t="s">
        <v>95</v>
      </c>
      <c r="W278" s="8">
        <v>1</v>
      </c>
      <c r="X278" s="8" t="s">
        <v>94</v>
      </c>
      <c r="Y278" s="8">
        <v>0</v>
      </c>
      <c r="Z278" s="8" t="s">
        <v>95</v>
      </c>
      <c r="AA278" s="8">
        <v>1</v>
      </c>
      <c r="AB278" s="8" t="s">
        <v>95</v>
      </c>
      <c r="AC278" s="8">
        <v>1</v>
      </c>
      <c r="AD278" s="8" t="s">
        <v>95</v>
      </c>
      <c r="AE278" s="8">
        <v>1</v>
      </c>
      <c r="AF278" s="8" t="s">
        <v>95</v>
      </c>
      <c r="AG278" s="8">
        <v>1</v>
      </c>
      <c r="AH278" s="8" t="s">
        <v>95</v>
      </c>
      <c r="AI278" s="8">
        <v>1</v>
      </c>
      <c r="AJ278" s="8" t="s">
        <v>95</v>
      </c>
      <c r="AK278" s="8">
        <v>1</v>
      </c>
      <c r="AL278" s="8" t="s">
        <v>95</v>
      </c>
      <c r="AM278" s="8">
        <v>1</v>
      </c>
      <c r="AN278" s="8">
        <v>15</v>
      </c>
    </row>
    <row r="279" spans="1:40" x14ac:dyDescent="0.25">
      <c r="A279" s="8" t="s">
        <v>339</v>
      </c>
      <c r="B279" s="9">
        <v>42033.654166666667</v>
      </c>
      <c r="C279" s="8">
        <v>0</v>
      </c>
      <c r="D279" s="9">
        <v>42036.986111111109</v>
      </c>
      <c r="E279" s="8" t="s">
        <v>93</v>
      </c>
      <c r="F279" s="8">
        <v>10</v>
      </c>
      <c r="G279" s="8" t="s">
        <v>94</v>
      </c>
      <c r="H279" s="8" t="s">
        <v>95</v>
      </c>
      <c r="I279" s="8">
        <v>1</v>
      </c>
      <c r="J279" s="8" t="s">
        <v>95</v>
      </c>
      <c r="K279" s="8">
        <v>1</v>
      </c>
      <c r="L279" s="8" t="s">
        <v>95</v>
      </c>
      <c r="M279" s="8">
        <v>1</v>
      </c>
      <c r="N279" s="8" t="s">
        <v>95</v>
      </c>
      <c r="O279" s="8">
        <v>1</v>
      </c>
      <c r="P279" s="8" t="s">
        <v>95</v>
      </c>
      <c r="Q279" s="8">
        <v>1</v>
      </c>
      <c r="R279" s="8" t="s">
        <v>95</v>
      </c>
      <c r="S279" s="8">
        <v>1</v>
      </c>
      <c r="T279" s="8" t="s">
        <v>94</v>
      </c>
      <c r="U279" s="8">
        <v>0</v>
      </c>
      <c r="V279" s="8" t="s">
        <v>94</v>
      </c>
      <c r="W279" s="8">
        <v>0</v>
      </c>
      <c r="X279" s="8" t="s">
        <v>95</v>
      </c>
      <c r="Y279" s="8">
        <v>1</v>
      </c>
      <c r="Z279" s="8" t="s">
        <v>95</v>
      </c>
      <c r="AA279" s="8">
        <v>1</v>
      </c>
      <c r="AB279" s="8" t="s">
        <v>95</v>
      </c>
      <c r="AC279" s="8">
        <v>1</v>
      </c>
      <c r="AD279" s="8" t="s">
        <v>95</v>
      </c>
      <c r="AE279" s="8">
        <v>1</v>
      </c>
      <c r="AF279" s="8" t="s">
        <v>94</v>
      </c>
      <c r="AG279" s="8">
        <v>0</v>
      </c>
      <c r="AH279" s="8" t="s">
        <v>94</v>
      </c>
      <c r="AI279" s="8">
        <v>0</v>
      </c>
      <c r="AJ279" s="8" t="s">
        <v>94</v>
      </c>
      <c r="AK279" s="8">
        <v>0</v>
      </c>
      <c r="AL279" s="8" t="s">
        <v>94</v>
      </c>
      <c r="AM279" s="8">
        <v>0</v>
      </c>
      <c r="AN279" s="8">
        <v>10</v>
      </c>
    </row>
    <row r="280" spans="1:40" x14ac:dyDescent="0.25">
      <c r="A280" s="8" t="s">
        <v>340</v>
      </c>
      <c r="B280" s="9">
        <v>42033.650694444441</v>
      </c>
      <c r="C280" s="8">
        <v>0</v>
      </c>
      <c r="D280" s="9">
        <v>42036.987500000003</v>
      </c>
      <c r="E280" s="8" t="s">
        <v>93</v>
      </c>
      <c r="F280" s="8">
        <v>16</v>
      </c>
      <c r="G280" s="8" t="s">
        <v>94</v>
      </c>
      <c r="H280" s="8" t="s">
        <v>95</v>
      </c>
      <c r="I280" s="8">
        <v>1</v>
      </c>
      <c r="J280" s="8" t="s">
        <v>95</v>
      </c>
      <c r="K280" s="8">
        <v>1</v>
      </c>
      <c r="L280" s="8" t="s">
        <v>95</v>
      </c>
      <c r="M280" s="8">
        <v>1</v>
      </c>
      <c r="N280" s="8" t="s">
        <v>95</v>
      </c>
      <c r="O280" s="8">
        <v>1</v>
      </c>
      <c r="P280" s="8" t="s">
        <v>95</v>
      </c>
      <c r="Q280" s="8">
        <v>1</v>
      </c>
      <c r="R280" s="8" t="s">
        <v>95</v>
      </c>
      <c r="S280" s="8">
        <v>1</v>
      </c>
      <c r="T280" s="8" t="s">
        <v>95</v>
      </c>
      <c r="U280" s="8">
        <v>1</v>
      </c>
      <c r="V280" s="8" t="s">
        <v>95</v>
      </c>
      <c r="W280" s="8">
        <v>1</v>
      </c>
      <c r="X280" s="8" t="s">
        <v>95</v>
      </c>
      <c r="Y280" s="8">
        <v>1</v>
      </c>
      <c r="Z280" s="8" t="s">
        <v>95</v>
      </c>
      <c r="AA280" s="8">
        <v>1</v>
      </c>
      <c r="AB280" s="8" t="s">
        <v>95</v>
      </c>
      <c r="AC280" s="8">
        <v>1</v>
      </c>
      <c r="AD280" s="8" t="s">
        <v>95</v>
      </c>
      <c r="AE280" s="8">
        <v>1</v>
      </c>
      <c r="AF280" s="8" t="s">
        <v>95</v>
      </c>
      <c r="AG280" s="8">
        <v>1</v>
      </c>
      <c r="AH280" s="8" t="s">
        <v>95</v>
      </c>
      <c r="AI280" s="8">
        <v>1</v>
      </c>
      <c r="AJ280" s="8" t="s">
        <v>95</v>
      </c>
      <c r="AK280" s="8">
        <v>1</v>
      </c>
      <c r="AL280" s="8" t="s">
        <v>95</v>
      </c>
      <c r="AM280" s="8">
        <v>1</v>
      </c>
      <c r="AN280" s="8">
        <v>16</v>
      </c>
    </row>
    <row r="281" spans="1:40" x14ac:dyDescent="0.25">
      <c r="A281" s="8" t="s">
        <v>341</v>
      </c>
      <c r="B281" s="9">
        <v>42033.677777777775</v>
      </c>
      <c r="C281" s="8">
        <v>0</v>
      </c>
      <c r="D281" s="9">
        <v>42036.988888888889</v>
      </c>
      <c r="E281" s="8" t="s">
        <v>93</v>
      </c>
      <c r="F281" s="8">
        <v>16</v>
      </c>
      <c r="G281" s="8" t="s">
        <v>94</v>
      </c>
      <c r="H281" s="8" t="s">
        <v>95</v>
      </c>
      <c r="I281" s="8">
        <v>1</v>
      </c>
      <c r="J281" s="8" t="s">
        <v>95</v>
      </c>
      <c r="K281" s="8">
        <v>1</v>
      </c>
      <c r="L281" s="8" t="s">
        <v>95</v>
      </c>
      <c r="M281" s="8">
        <v>1</v>
      </c>
      <c r="N281" s="8" t="s">
        <v>95</v>
      </c>
      <c r="O281" s="8">
        <v>1</v>
      </c>
      <c r="P281" s="8" t="s">
        <v>95</v>
      </c>
      <c r="Q281" s="8">
        <v>1</v>
      </c>
      <c r="R281" s="8" t="s">
        <v>95</v>
      </c>
      <c r="S281" s="8">
        <v>1</v>
      </c>
      <c r="T281" s="8" t="s">
        <v>95</v>
      </c>
      <c r="U281" s="8">
        <v>1</v>
      </c>
      <c r="V281" s="8" t="s">
        <v>95</v>
      </c>
      <c r="W281" s="8">
        <v>1</v>
      </c>
      <c r="X281" s="8" t="s">
        <v>95</v>
      </c>
      <c r="Y281" s="8">
        <v>1</v>
      </c>
      <c r="Z281" s="8" t="s">
        <v>95</v>
      </c>
      <c r="AA281" s="8">
        <v>1</v>
      </c>
      <c r="AB281" s="8" t="s">
        <v>95</v>
      </c>
      <c r="AC281" s="8">
        <v>1</v>
      </c>
      <c r="AD281" s="8" t="s">
        <v>95</v>
      </c>
      <c r="AE281" s="8">
        <v>1</v>
      </c>
      <c r="AF281" s="8" t="s">
        <v>95</v>
      </c>
      <c r="AG281" s="8">
        <v>1</v>
      </c>
      <c r="AH281" s="8" t="s">
        <v>95</v>
      </c>
      <c r="AI281" s="8">
        <v>1</v>
      </c>
      <c r="AJ281" s="8" t="s">
        <v>95</v>
      </c>
      <c r="AK281" s="8">
        <v>1</v>
      </c>
      <c r="AL281" s="8" t="s">
        <v>95</v>
      </c>
      <c r="AM281" s="8">
        <v>1</v>
      </c>
      <c r="AN281" s="8">
        <v>16</v>
      </c>
    </row>
    <row r="282" spans="1:40" x14ac:dyDescent="0.25">
      <c r="A282" s="8" t="s">
        <v>342</v>
      </c>
      <c r="B282" s="9">
        <v>42033.677777777775</v>
      </c>
      <c r="C282" s="8">
        <v>0</v>
      </c>
      <c r="D282" s="9">
        <v>42036.990277777775</v>
      </c>
      <c r="E282" s="8" t="s">
        <v>93</v>
      </c>
      <c r="F282" s="8">
        <v>16</v>
      </c>
      <c r="G282" s="8" t="s">
        <v>94</v>
      </c>
      <c r="H282" s="8" t="s">
        <v>95</v>
      </c>
      <c r="I282" s="8">
        <v>1</v>
      </c>
      <c r="J282" s="8" t="s">
        <v>95</v>
      </c>
      <c r="K282" s="8">
        <v>1</v>
      </c>
      <c r="L282" s="8" t="s">
        <v>95</v>
      </c>
      <c r="M282" s="8">
        <v>1</v>
      </c>
      <c r="N282" s="8" t="s">
        <v>95</v>
      </c>
      <c r="O282" s="8">
        <v>1</v>
      </c>
      <c r="P282" s="8" t="s">
        <v>95</v>
      </c>
      <c r="Q282" s="8">
        <v>1</v>
      </c>
      <c r="R282" s="8" t="s">
        <v>95</v>
      </c>
      <c r="S282" s="8">
        <v>1</v>
      </c>
      <c r="T282" s="8" t="s">
        <v>95</v>
      </c>
      <c r="U282" s="8">
        <v>1</v>
      </c>
      <c r="V282" s="8" t="s">
        <v>95</v>
      </c>
      <c r="W282" s="8">
        <v>1</v>
      </c>
      <c r="X282" s="8" t="s">
        <v>95</v>
      </c>
      <c r="Y282" s="8">
        <v>1</v>
      </c>
      <c r="Z282" s="8" t="s">
        <v>95</v>
      </c>
      <c r="AA282" s="8">
        <v>1</v>
      </c>
      <c r="AB282" s="8" t="s">
        <v>95</v>
      </c>
      <c r="AC282" s="8">
        <v>1</v>
      </c>
      <c r="AD282" s="8" t="s">
        <v>95</v>
      </c>
      <c r="AE282" s="8">
        <v>1</v>
      </c>
      <c r="AF282" s="8" t="s">
        <v>95</v>
      </c>
      <c r="AG282" s="8">
        <v>1</v>
      </c>
      <c r="AH282" s="8" t="s">
        <v>95</v>
      </c>
      <c r="AI282" s="8">
        <v>1</v>
      </c>
      <c r="AJ282" s="8" t="s">
        <v>95</v>
      </c>
      <c r="AK282" s="8">
        <v>1</v>
      </c>
      <c r="AL282" s="8" t="s">
        <v>95</v>
      </c>
      <c r="AM282" s="8">
        <v>1</v>
      </c>
      <c r="AN282" s="8">
        <v>16</v>
      </c>
    </row>
    <row r="283" spans="1:40" x14ac:dyDescent="0.25">
      <c r="A283" s="8" t="s">
        <v>343</v>
      </c>
      <c r="B283" s="9">
        <v>42033.651388888888</v>
      </c>
      <c r="C283" s="8">
        <v>0</v>
      </c>
      <c r="D283" s="9">
        <v>42036.990277777775</v>
      </c>
      <c r="E283" s="8" t="s">
        <v>93</v>
      </c>
      <c r="F283" s="8">
        <v>16</v>
      </c>
      <c r="G283" s="8" t="s">
        <v>94</v>
      </c>
      <c r="H283" s="8" t="s">
        <v>95</v>
      </c>
      <c r="I283" s="8">
        <v>1</v>
      </c>
      <c r="J283" s="8" t="s">
        <v>95</v>
      </c>
      <c r="K283" s="8">
        <v>1</v>
      </c>
      <c r="L283" s="8" t="s">
        <v>95</v>
      </c>
      <c r="M283" s="8">
        <v>1</v>
      </c>
      <c r="N283" s="8" t="s">
        <v>95</v>
      </c>
      <c r="O283" s="8">
        <v>1</v>
      </c>
      <c r="P283" s="8" t="s">
        <v>95</v>
      </c>
      <c r="Q283" s="8">
        <v>1</v>
      </c>
      <c r="R283" s="8" t="s">
        <v>95</v>
      </c>
      <c r="S283" s="8">
        <v>1</v>
      </c>
      <c r="T283" s="8" t="s">
        <v>95</v>
      </c>
      <c r="U283" s="8">
        <v>1</v>
      </c>
      <c r="V283" s="8" t="s">
        <v>95</v>
      </c>
      <c r="W283" s="8">
        <v>1</v>
      </c>
      <c r="X283" s="8" t="s">
        <v>95</v>
      </c>
      <c r="Y283" s="8">
        <v>1</v>
      </c>
      <c r="Z283" s="8" t="s">
        <v>95</v>
      </c>
      <c r="AA283" s="8">
        <v>1</v>
      </c>
      <c r="AB283" s="8" t="s">
        <v>95</v>
      </c>
      <c r="AC283" s="8">
        <v>1</v>
      </c>
      <c r="AD283" s="8" t="s">
        <v>95</v>
      </c>
      <c r="AE283" s="8">
        <v>1</v>
      </c>
      <c r="AF283" s="8" t="s">
        <v>95</v>
      </c>
      <c r="AG283" s="8">
        <v>1</v>
      </c>
      <c r="AH283" s="8" t="s">
        <v>95</v>
      </c>
      <c r="AI283" s="8">
        <v>1</v>
      </c>
      <c r="AJ283" s="8" t="s">
        <v>95</v>
      </c>
      <c r="AK283" s="8">
        <v>1</v>
      </c>
      <c r="AL283" s="8" t="s">
        <v>95</v>
      </c>
      <c r="AM283" s="8">
        <v>1</v>
      </c>
      <c r="AN283" s="8">
        <v>16</v>
      </c>
    </row>
    <row r="284" spans="1:40" x14ac:dyDescent="0.25">
      <c r="A284" s="8" t="s">
        <v>344</v>
      </c>
      <c r="B284" s="9">
        <v>42033.677083333336</v>
      </c>
      <c r="C284" s="8">
        <v>0</v>
      </c>
      <c r="D284" s="9">
        <v>42036.991666666669</v>
      </c>
      <c r="E284" s="8" t="s">
        <v>93</v>
      </c>
      <c r="F284" s="8">
        <v>6</v>
      </c>
      <c r="G284" s="8" t="s">
        <v>94</v>
      </c>
      <c r="H284" s="8" t="s">
        <v>94</v>
      </c>
      <c r="I284" s="8">
        <v>0</v>
      </c>
      <c r="J284" s="8" t="s">
        <v>95</v>
      </c>
      <c r="K284" s="8">
        <v>1</v>
      </c>
      <c r="L284" s="8" t="s">
        <v>94</v>
      </c>
      <c r="M284" s="8">
        <v>0</v>
      </c>
      <c r="N284" s="8" t="s">
        <v>94</v>
      </c>
      <c r="O284" s="8">
        <v>0</v>
      </c>
      <c r="P284" s="8" t="s">
        <v>94</v>
      </c>
      <c r="Q284" s="8">
        <v>0</v>
      </c>
      <c r="R284" s="8" t="s">
        <v>95</v>
      </c>
      <c r="S284" s="8">
        <v>1</v>
      </c>
      <c r="T284" s="8" t="s">
        <v>94</v>
      </c>
      <c r="U284" s="8">
        <v>0</v>
      </c>
      <c r="V284" s="8" t="s">
        <v>94</v>
      </c>
      <c r="W284" s="8">
        <v>0</v>
      </c>
      <c r="X284" s="8" t="s">
        <v>94</v>
      </c>
      <c r="Y284" s="8">
        <v>0</v>
      </c>
      <c r="Z284" s="8" t="s">
        <v>95</v>
      </c>
      <c r="AA284" s="8">
        <v>1</v>
      </c>
      <c r="AB284" s="8" t="s">
        <v>95</v>
      </c>
      <c r="AC284" s="8">
        <v>1</v>
      </c>
      <c r="AD284" s="8" t="s">
        <v>95</v>
      </c>
      <c r="AE284" s="8">
        <v>1</v>
      </c>
      <c r="AF284" s="8" t="s">
        <v>95</v>
      </c>
      <c r="AG284" s="8">
        <v>1</v>
      </c>
      <c r="AH284" s="8" t="s">
        <v>94</v>
      </c>
      <c r="AI284" s="8">
        <v>0</v>
      </c>
      <c r="AJ284" s="8" t="s">
        <v>94</v>
      </c>
      <c r="AK284" s="8">
        <v>0</v>
      </c>
      <c r="AL284" s="8" t="s">
        <v>94</v>
      </c>
      <c r="AM284" s="8">
        <v>0</v>
      </c>
      <c r="AN284" s="8">
        <v>6</v>
      </c>
    </row>
    <row r="285" spans="1:40" x14ac:dyDescent="0.25">
      <c r="A285" s="8" t="s">
        <v>345</v>
      </c>
      <c r="B285" s="9">
        <v>42033.679861111108</v>
      </c>
      <c r="C285" s="8">
        <v>0</v>
      </c>
      <c r="D285" s="9">
        <v>42036.994444444441</v>
      </c>
      <c r="E285" s="8" t="s">
        <v>93</v>
      </c>
      <c r="F285" s="8">
        <v>16</v>
      </c>
      <c r="G285" s="8" t="s">
        <v>94</v>
      </c>
      <c r="H285" s="8" t="s">
        <v>95</v>
      </c>
      <c r="I285" s="8">
        <v>1</v>
      </c>
      <c r="J285" s="8" t="s">
        <v>95</v>
      </c>
      <c r="K285" s="8">
        <v>1</v>
      </c>
      <c r="L285" s="8" t="s">
        <v>95</v>
      </c>
      <c r="M285" s="8">
        <v>1</v>
      </c>
      <c r="N285" s="8" t="s">
        <v>95</v>
      </c>
      <c r="O285" s="8">
        <v>1</v>
      </c>
      <c r="P285" s="8" t="s">
        <v>95</v>
      </c>
      <c r="Q285" s="8">
        <v>1</v>
      </c>
      <c r="R285" s="8" t="s">
        <v>95</v>
      </c>
      <c r="S285" s="8">
        <v>1</v>
      </c>
      <c r="T285" s="8" t="s">
        <v>95</v>
      </c>
      <c r="U285" s="8">
        <v>1</v>
      </c>
      <c r="V285" s="8" t="s">
        <v>95</v>
      </c>
      <c r="W285" s="8">
        <v>1</v>
      </c>
      <c r="X285" s="8" t="s">
        <v>95</v>
      </c>
      <c r="Y285" s="8">
        <v>1</v>
      </c>
      <c r="Z285" s="8" t="s">
        <v>95</v>
      </c>
      <c r="AA285" s="8">
        <v>1</v>
      </c>
      <c r="AB285" s="8" t="s">
        <v>95</v>
      </c>
      <c r="AC285" s="8">
        <v>1</v>
      </c>
      <c r="AD285" s="8" t="s">
        <v>95</v>
      </c>
      <c r="AE285" s="8">
        <v>1</v>
      </c>
      <c r="AF285" s="8" t="s">
        <v>95</v>
      </c>
      <c r="AG285" s="8">
        <v>1</v>
      </c>
      <c r="AH285" s="8" t="s">
        <v>95</v>
      </c>
      <c r="AI285" s="8">
        <v>1</v>
      </c>
      <c r="AJ285" s="8" t="s">
        <v>95</v>
      </c>
      <c r="AK285" s="8">
        <v>1</v>
      </c>
      <c r="AL285" s="8" t="s">
        <v>95</v>
      </c>
      <c r="AM285" s="8">
        <v>1</v>
      </c>
      <c r="AN285" s="8">
        <v>16</v>
      </c>
    </row>
    <row r="286" spans="1:40" x14ac:dyDescent="0.25">
      <c r="A286" s="8" t="s">
        <v>346</v>
      </c>
      <c r="B286" s="9">
        <v>42033.683333333334</v>
      </c>
      <c r="C286" s="8">
        <v>0</v>
      </c>
      <c r="D286" s="9">
        <v>42036.99722222222</v>
      </c>
      <c r="E286" s="8" t="s">
        <v>93</v>
      </c>
      <c r="F286" s="8">
        <v>16</v>
      </c>
      <c r="G286" s="8" t="s">
        <v>94</v>
      </c>
      <c r="H286" s="8" t="s">
        <v>95</v>
      </c>
      <c r="I286" s="8">
        <v>1</v>
      </c>
      <c r="J286" s="8" t="s">
        <v>95</v>
      </c>
      <c r="K286" s="8">
        <v>1</v>
      </c>
      <c r="L286" s="8" t="s">
        <v>95</v>
      </c>
      <c r="M286" s="8">
        <v>1</v>
      </c>
      <c r="N286" s="8" t="s">
        <v>95</v>
      </c>
      <c r="O286" s="8">
        <v>1</v>
      </c>
      <c r="P286" s="8" t="s">
        <v>95</v>
      </c>
      <c r="Q286" s="8">
        <v>1</v>
      </c>
      <c r="R286" s="8" t="s">
        <v>95</v>
      </c>
      <c r="S286" s="8">
        <v>1</v>
      </c>
      <c r="T286" s="8" t="s">
        <v>95</v>
      </c>
      <c r="U286" s="8">
        <v>1</v>
      </c>
      <c r="V286" s="8" t="s">
        <v>95</v>
      </c>
      <c r="W286" s="8">
        <v>1</v>
      </c>
      <c r="X286" s="8" t="s">
        <v>95</v>
      </c>
      <c r="Y286" s="8">
        <v>1</v>
      </c>
      <c r="Z286" s="8" t="s">
        <v>95</v>
      </c>
      <c r="AA286" s="8">
        <v>1</v>
      </c>
      <c r="AB286" s="8" t="s">
        <v>95</v>
      </c>
      <c r="AC286" s="8">
        <v>1</v>
      </c>
      <c r="AD286" s="8" t="s">
        <v>95</v>
      </c>
      <c r="AE286" s="8">
        <v>1</v>
      </c>
      <c r="AF286" s="8" t="s">
        <v>95</v>
      </c>
      <c r="AG286" s="8">
        <v>1</v>
      </c>
      <c r="AH286" s="8" t="s">
        <v>95</v>
      </c>
      <c r="AI286" s="8">
        <v>1</v>
      </c>
      <c r="AJ286" s="8" t="s">
        <v>95</v>
      </c>
      <c r="AK286" s="8">
        <v>1</v>
      </c>
      <c r="AL286" s="8" t="s">
        <v>95</v>
      </c>
      <c r="AM286" s="8">
        <v>1</v>
      </c>
      <c r="AN286" s="8">
        <v>16</v>
      </c>
    </row>
    <row r="287" spans="1:40" x14ac:dyDescent="0.25">
      <c r="A287" s="8" t="s">
        <v>347</v>
      </c>
      <c r="B287" s="9">
        <v>42033.672222222223</v>
      </c>
      <c r="C287" s="8">
        <v>0</v>
      </c>
      <c r="D287" s="9">
        <v>42036.997916666667</v>
      </c>
      <c r="E287" s="8" t="s">
        <v>93</v>
      </c>
      <c r="F287" s="8">
        <v>16</v>
      </c>
      <c r="G287" s="8" t="s">
        <v>94</v>
      </c>
      <c r="H287" s="8" t="s">
        <v>95</v>
      </c>
      <c r="I287" s="8">
        <v>1</v>
      </c>
      <c r="J287" s="8" t="s">
        <v>95</v>
      </c>
      <c r="K287" s="8">
        <v>1</v>
      </c>
      <c r="L287" s="8" t="s">
        <v>95</v>
      </c>
      <c r="M287" s="8">
        <v>1</v>
      </c>
      <c r="N287" s="8" t="s">
        <v>95</v>
      </c>
      <c r="O287" s="8">
        <v>1</v>
      </c>
      <c r="P287" s="8" t="s">
        <v>95</v>
      </c>
      <c r="Q287" s="8">
        <v>1</v>
      </c>
      <c r="R287" s="8" t="s">
        <v>95</v>
      </c>
      <c r="S287" s="8">
        <v>1</v>
      </c>
      <c r="T287" s="8" t="s">
        <v>95</v>
      </c>
      <c r="U287" s="8">
        <v>1</v>
      </c>
      <c r="V287" s="8" t="s">
        <v>95</v>
      </c>
      <c r="W287" s="8">
        <v>1</v>
      </c>
      <c r="X287" s="8" t="s">
        <v>95</v>
      </c>
      <c r="Y287" s="8">
        <v>1</v>
      </c>
      <c r="Z287" s="8" t="s">
        <v>95</v>
      </c>
      <c r="AA287" s="8">
        <v>1</v>
      </c>
      <c r="AB287" s="8" t="s">
        <v>95</v>
      </c>
      <c r="AC287" s="8">
        <v>1</v>
      </c>
      <c r="AD287" s="8" t="s">
        <v>95</v>
      </c>
      <c r="AE287" s="8">
        <v>1</v>
      </c>
      <c r="AF287" s="8" t="s">
        <v>95</v>
      </c>
      <c r="AG287" s="8">
        <v>1</v>
      </c>
      <c r="AH287" s="8" t="s">
        <v>95</v>
      </c>
      <c r="AI287" s="8">
        <v>1</v>
      </c>
      <c r="AJ287" s="8" t="s">
        <v>95</v>
      </c>
      <c r="AK287" s="8">
        <v>1</v>
      </c>
      <c r="AL287" s="8" t="s">
        <v>95</v>
      </c>
      <c r="AM287" s="8">
        <v>1</v>
      </c>
      <c r="AN287" s="8">
        <v>16</v>
      </c>
    </row>
    <row r="288" spans="1:40" x14ac:dyDescent="0.25">
      <c r="A288" s="8" t="s">
        <v>348</v>
      </c>
      <c r="B288" s="9">
        <v>42033.67291666667</v>
      </c>
      <c r="C288" s="8">
        <v>0</v>
      </c>
      <c r="D288" s="9">
        <v>42036.999305555553</v>
      </c>
      <c r="E288" s="8" t="s">
        <v>93</v>
      </c>
      <c r="F288" s="8">
        <v>16</v>
      </c>
      <c r="G288" s="8" t="s">
        <v>94</v>
      </c>
      <c r="H288" s="8" t="s">
        <v>95</v>
      </c>
      <c r="I288" s="8">
        <v>1</v>
      </c>
      <c r="J288" s="8" t="s">
        <v>95</v>
      </c>
      <c r="K288" s="8">
        <v>1</v>
      </c>
      <c r="L288" s="8" t="s">
        <v>95</v>
      </c>
      <c r="M288" s="8">
        <v>1</v>
      </c>
      <c r="N288" s="8" t="s">
        <v>95</v>
      </c>
      <c r="O288" s="8">
        <v>1</v>
      </c>
      <c r="P288" s="8" t="s">
        <v>95</v>
      </c>
      <c r="Q288" s="8">
        <v>1</v>
      </c>
      <c r="R288" s="8" t="s">
        <v>95</v>
      </c>
      <c r="S288" s="8">
        <v>1</v>
      </c>
      <c r="T288" s="8" t="s">
        <v>95</v>
      </c>
      <c r="U288" s="8">
        <v>1</v>
      </c>
      <c r="V288" s="8" t="s">
        <v>95</v>
      </c>
      <c r="W288" s="8">
        <v>1</v>
      </c>
      <c r="X288" s="8" t="s">
        <v>95</v>
      </c>
      <c r="Y288" s="8">
        <v>1</v>
      </c>
      <c r="Z288" s="8" t="s">
        <v>95</v>
      </c>
      <c r="AA288" s="8">
        <v>1</v>
      </c>
      <c r="AB288" s="8" t="s">
        <v>95</v>
      </c>
      <c r="AC288" s="8">
        <v>1</v>
      </c>
      <c r="AD288" s="8" t="s">
        <v>95</v>
      </c>
      <c r="AE288" s="8">
        <v>1</v>
      </c>
      <c r="AF288" s="8" t="s">
        <v>95</v>
      </c>
      <c r="AG288" s="8">
        <v>1</v>
      </c>
      <c r="AH288" s="8" t="s">
        <v>95</v>
      </c>
      <c r="AI288" s="8">
        <v>1</v>
      </c>
      <c r="AJ288" s="8" t="s">
        <v>95</v>
      </c>
      <c r="AK288" s="8">
        <v>1</v>
      </c>
      <c r="AL288" s="8" t="s">
        <v>95</v>
      </c>
      <c r="AM288" s="8">
        <v>1</v>
      </c>
      <c r="AN288" s="8">
        <v>16</v>
      </c>
    </row>
    <row r="289" spans="1:40" x14ac:dyDescent="0.25">
      <c r="A289" s="8" t="s">
        <v>349</v>
      </c>
      <c r="B289" s="9">
        <v>42033.682638888888</v>
      </c>
      <c r="C289" s="8">
        <v>0</v>
      </c>
      <c r="D289" s="9">
        <v>42037.000694444447</v>
      </c>
      <c r="E289" s="8" t="s">
        <v>93</v>
      </c>
      <c r="F289" s="8">
        <v>16</v>
      </c>
      <c r="G289" s="8" t="s">
        <v>94</v>
      </c>
      <c r="H289" s="8" t="s">
        <v>95</v>
      </c>
      <c r="I289" s="8">
        <v>1</v>
      </c>
      <c r="J289" s="8" t="s">
        <v>95</v>
      </c>
      <c r="K289" s="8">
        <v>1</v>
      </c>
      <c r="L289" s="8" t="s">
        <v>95</v>
      </c>
      <c r="M289" s="8">
        <v>1</v>
      </c>
      <c r="N289" s="8" t="s">
        <v>95</v>
      </c>
      <c r="O289" s="8">
        <v>1</v>
      </c>
      <c r="P289" s="8" t="s">
        <v>95</v>
      </c>
      <c r="Q289" s="8">
        <v>1</v>
      </c>
      <c r="R289" s="8" t="s">
        <v>95</v>
      </c>
      <c r="S289" s="8">
        <v>1</v>
      </c>
      <c r="T289" s="8" t="s">
        <v>95</v>
      </c>
      <c r="U289" s="8">
        <v>1</v>
      </c>
      <c r="V289" s="8" t="s">
        <v>95</v>
      </c>
      <c r="W289" s="8">
        <v>1</v>
      </c>
      <c r="X289" s="8" t="s">
        <v>95</v>
      </c>
      <c r="Y289" s="8">
        <v>1</v>
      </c>
      <c r="Z289" s="8" t="s">
        <v>95</v>
      </c>
      <c r="AA289" s="8">
        <v>1</v>
      </c>
      <c r="AB289" s="8" t="s">
        <v>95</v>
      </c>
      <c r="AC289" s="8">
        <v>1</v>
      </c>
      <c r="AD289" s="8" t="s">
        <v>95</v>
      </c>
      <c r="AE289" s="8">
        <v>1</v>
      </c>
      <c r="AF289" s="8" t="s">
        <v>95</v>
      </c>
      <c r="AG289" s="8">
        <v>1</v>
      </c>
      <c r="AH289" s="8" t="s">
        <v>95</v>
      </c>
      <c r="AI289" s="8">
        <v>1</v>
      </c>
      <c r="AJ289" s="8" t="s">
        <v>95</v>
      </c>
      <c r="AK289" s="8">
        <v>1</v>
      </c>
      <c r="AL289" s="8" t="s">
        <v>95</v>
      </c>
      <c r="AM289" s="8">
        <v>1</v>
      </c>
      <c r="AN289" s="8">
        <v>16</v>
      </c>
    </row>
    <row r="290" spans="1:40" x14ac:dyDescent="0.25">
      <c r="A290" s="8" t="s">
        <v>350</v>
      </c>
      <c r="B290" s="9">
        <v>42033.681944444441</v>
      </c>
      <c r="C290" s="8">
        <v>0</v>
      </c>
      <c r="D290" s="9">
        <v>42037.001388888886</v>
      </c>
      <c r="E290" s="8" t="s">
        <v>93</v>
      </c>
      <c r="F290" s="8">
        <v>8</v>
      </c>
      <c r="G290" s="8" t="s">
        <v>94</v>
      </c>
      <c r="H290" s="8" t="s">
        <v>95</v>
      </c>
      <c r="I290" s="8">
        <v>1</v>
      </c>
      <c r="J290" s="8" t="s">
        <v>94</v>
      </c>
      <c r="K290" s="8">
        <v>0</v>
      </c>
      <c r="L290" s="8" t="s">
        <v>94</v>
      </c>
      <c r="M290" s="8">
        <v>0</v>
      </c>
      <c r="N290" s="8" t="s">
        <v>94</v>
      </c>
      <c r="O290" s="8">
        <v>0</v>
      </c>
      <c r="P290" s="8" t="s">
        <v>95</v>
      </c>
      <c r="Q290" s="8">
        <v>1</v>
      </c>
      <c r="R290" s="8" t="s">
        <v>95</v>
      </c>
      <c r="S290" s="8">
        <v>1</v>
      </c>
      <c r="T290" s="8" t="s">
        <v>95</v>
      </c>
      <c r="U290" s="8">
        <v>1</v>
      </c>
      <c r="V290" s="8" t="s">
        <v>95</v>
      </c>
      <c r="W290" s="8">
        <v>1</v>
      </c>
      <c r="X290" s="8" t="s">
        <v>94</v>
      </c>
      <c r="Y290" s="8">
        <v>0</v>
      </c>
      <c r="Z290" s="8" t="s">
        <v>94</v>
      </c>
      <c r="AA290" s="8">
        <v>0</v>
      </c>
      <c r="AB290" s="8" t="s">
        <v>94</v>
      </c>
      <c r="AC290" s="8">
        <v>0</v>
      </c>
      <c r="AD290" s="8" t="s">
        <v>95</v>
      </c>
      <c r="AE290" s="8">
        <v>1</v>
      </c>
      <c r="AF290" s="8" t="s">
        <v>95</v>
      </c>
      <c r="AG290" s="8">
        <v>1</v>
      </c>
      <c r="AH290" s="8" t="s">
        <v>95</v>
      </c>
      <c r="AI290" s="8">
        <v>1</v>
      </c>
      <c r="AJ290" s="8" t="s">
        <v>94</v>
      </c>
      <c r="AK290" s="8">
        <v>0</v>
      </c>
      <c r="AL290" s="8" t="s">
        <v>94</v>
      </c>
      <c r="AM290" s="8">
        <v>0</v>
      </c>
      <c r="AN290" s="8">
        <v>8</v>
      </c>
    </row>
    <row r="291" spans="1:40" x14ac:dyDescent="0.25">
      <c r="A291" s="8" t="s">
        <v>351</v>
      </c>
      <c r="B291" s="9">
        <v>42033.668749999997</v>
      </c>
      <c r="C291" s="8">
        <v>0</v>
      </c>
      <c r="D291" s="9">
        <v>42037.001388888886</v>
      </c>
      <c r="E291" s="8" t="s">
        <v>93</v>
      </c>
      <c r="F291" s="8">
        <v>16</v>
      </c>
      <c r="G291" s="8" t="s">
        <v>94</v>
      </c>
      <c r="H291" s="8" t="s">
        <v>95</v>
      </c>
      <c r="I291" s="8">
        <v>1</v>
      </c>
      <c r="J291" s="8" t="s">
        <v>95</v>
      </c>
      <c r="K291" s="8">
        <v>1</v>
      </c>
      <c r="L291" s="8" t="s">
        <v>95</v>
      </c>
      <c r="M291" s="8">
        <v>1</v>
      </c>
      <c r="N291" s="8" t="s">
        <v>95</v>
      </c>
      <c r="O291" s="8">
        <v>1</v>
      </c>
      <c r="P291" s="8" t="s">
        <v>95</v>
      </c>
      <c r="Q291" s="8">
        <v>1</v>
      </c>
      <c r="R291" s="8" t="s">
        <v>95</v>
      </c>
      <c r="S291" s="8">
        <v>1</v>
      </c>
      <c r="T291" s="8" t="s">
        <v>95</v>
      </c>
      <c r="U291" s="8">
        <v>1</v>
      </c>
      <c r="V291" s="8" t="s">
        <v>95</v>
      </c>
      <c r="W291" s="8">
        <v>1</v>
      </c>
      <c r="X291" s="8" t="s">
        <v>95</v>
      </c>
      <c r="Y291" s="8">
        <v>1</v>
      </c>
      <c r="Z291" s="8" t="s">
        <v>95</v>
      </c>
      <c r="AA291" s="8">
        <v>1</v>
      </c>
      <c r="AB291" s="8" t="s">
        <v>95</v>
      </c>
      <c r="AC291" s="8">
        <v>1</v>
      </c>
      <c r="AD291" s="8" t="s">
        <v>95</v>
      </c>
      <c r="AE291" s="8">
        <v>1</v>
      </c>
      <c r="AF291" s="8" t="s">
        <v>95</v>
      </c>
      <c r="AG291" s="8">
        <v>1</v>
      </c>
      <c r="AH291" s="8" t="s">
        <v>95</v>
      </c>
      <c r="AI291" s="8">
        <v>1</v>
      </c>
      <c r="AJ291" s="8" t="s">
        <v>95</v>
      </c>
      <c r="AK291" s="8">
        <v>1</v>
      </c>
      <c r="AL291" s="8" t="s">
        <v>95</v>
      </c>
      <c r="AM291" s="8">
        <v>1</v>
      </c>
      <c r="AN291" s="8">
        <v>16</v>
      </c>
    </row>
    <row r="292" spans="1:40" x14ac:dyDescent="0.25">
      <c r="A292" s="8" t="s">
        <v>352</v>
      </c>
      <c r="B292" s="9">
        <v>42033.679861111108</v>
      </c>
      <c r="C292" s="8">
        <v>0</v>
      </c>
      <c r="D292" s="9">
        <v>42037.004166666666</v>
      </c>
      <c r="E292" s="8" t="s">
        <v>93</v>
      </c>
      <c r="F292" s="8">
        <v>5</v>
      </c>
      <c r="G292" s="8" t="s">
        <v>94</v>
      </c>
      <c r="H292" s="8" t="s">
        <v>94</v>
      </c>
      <c r="I292" s="8">
        <v>0</v>
      </c>
      <c r="J292" s="8" t="s">
        <v>94</v>
      </c>
      <c r="K292" s="8">
        <v>0</v>
      </c>
      <c r="L292" s="8" t="s">
        <v>95</v>
      </c>
      <c r="M292" s="8">
        <v>1</v>
      </c>
      <c r="N292" s="8" t="s">
        <v>94</v>
      </c>
      <c r="O292" s="8">
        <v>0</v>
      </c>
      <c r="P292" s="8" t="s">
        <v>94</v>
      </c>
      <c r="Q292" s="8">
        <v>0</v>
      </c>
      <c r="R292" s="8" t="s">
        <v>95</v>
      </c>
      <c r="S292" s="8">
        <v>1</v>
      </c>
      <c r="T292" s="8" t="s">
        <v>94</v>
      </c>
      <c r="U292" s="8">
        <v>0</v>
      </c>
      <c r="V292" s="8" t="s">
        <v>94</v>
      </c>
      <c r="W292" s="8">
        <v>0</v>
      </c>
      <c r="X292" s="8" t="s">
        <v>95</v>
      </c>
      <c r="Y292" s="8">
        <v>1</v>
      </c>
      <c r="Z292" s="8" t="s">
        <v>95</v>
      </c>
      <c r="AA292" s="8">
        <v>1</v>
      </c>
      <c r="AB292" s="8" t="s">
        <v>95</v>
      </c>
      <c r="AC292" s="8">
        <v>1</v>
      </c>
      <c r="AD292" s="8" t="s">
        <v>94</v>
      </c>
      <c r="AE292" s="8">
        <v>0</v>
      </c>
      <c r="AF292" s="8" t="s">
        <v>94</v>
      </c>
      <c r="AG292" s="8">
        <v>0</v>
      </c>
      <c r="AH292" s="8" t="s">
        <v>94</v>
      </c>
      <c r="AI292" s="8">
        <v>0</v>
      </c>
      <c r="AJ292" s="8" t="s">
        <v>94</v>
      </c>
      <c r="AK292" s="8">
        <v>0</v>
      </c>
      <c r="AL292" s="8" t="s">
        <v>94</v>
      </c>
      <c r="AM292" s="8">
        <v>0</v>
      </c>
      <c r="AN292" s="8">
        <v>5</v>
      </c>
    </row>
    <row r="293" spans="1:40" x14ac:dyDescent="0.25">
      <c r="A293" s="8" t="s">
        <v>353</v>
      </c>
      <c r="B293" s="9">
        <v>42033.659722222219</v>
      </c>
      <c r="C293" s="8">
        <v>0</v>
      </c>
      <c r="D293" s="9">
        <v>42037.005555555559</v>
      </c>
      <c r="E293" s="8" t="s">
        <v>93</v>
      </c>
      <c r="F293" s="8">
        <v>8</v>
      </c>
      <c r="G293" s="8" t="s">
        <v>94</v>
      </c>
      <c r="H293" s="8" t="s">
        <v>95</v>
      </c>
      <c r="I293" s="8">
        <v>1</v>
      </c>
      <c r="J293" s="8" t="s">
        <v>95</v>
      </c>
      <c r="K293" s="8">
        <v>1</v>
      </c>
      <c r="L293" s="8" t="s">
        <v>94</v>
      </c>
      <c r="M293" s="8">
        <v>0</v>
      </c>
      <c r="N293" s="8" t="s">
        <v>94</v>
      </c>
      <c r="O293" s="8">
        <v>0</v>
      </c>
      <c r="P293" s="8" t="s">
        <v>94</v>
      </c>
      <c r="Q293" s="8">
        <v>0</v>
      </c>
      <c r="R293" s="8" t="s">
        <v>95</v>
      </c>
      <c r="S293" s="8">
        <v>1</v>
      </c>
      <c r="T293" s="8" t="s">
        <v>95</v>
      </c>
      <c r="U293" s="8">
        <v>1</v>
      </c>
      <c r="V293" s="8" t="s">
        <v>95</v>
      </c>
      <c r="W293" s="8">
        <v>1</v>
      </c>
      <c r="X293" s="8" t="s">
        <v>94</v>
      </c>
      <c r="Y293" s="8">
        <v>0</v>
      </c>
      <c r="Z293" s="8" t="s">
        <v>95</v>
      </c>
      <c r="AA293" s="8">
        <v>1</v>
      </c>
      <c r="AB293" s="8" t="s">
        <v>95</v>
      </c>
      <c r="AC293" s="8">
        <v>1</v>
      </c>
      <c r="AD293" s="8" t="s">
        <v>95</v>
      </c>
      <c r="AE293" s="8">
        <v>1</v>
      </c>
      <c r="AF293" s="8" t="s">
        <v>94</v>
      </c>
      <c r="AG293" s="8">
        <v>0</v>
      </c>
      <c r="AH293" s="8" t="s">
        <v>94</v>
      </c>
      <c r="AI293" s="8">
        <v>0</v>
      </c>
      <c r="AJ293" s="8" t="s">
        <v>94</v>
      </c>
      <c r="AK293" s="8">
        <v>0</v>
      </c>
      <c r="AL293" s="8" t="s">
        <v>94</v>
      </c>
      <c r="AM293" s="8">
        <v>0</v>
      </c>
      <c r="AN293" s="8">
        <v>8</v>
      </c>
    </row>
    <row r="294" spans="1:40" x14ac:dyDescent="0.25">
      <c r="A294" s="8" t="s">
        <v>354</v>
      </c>
      <c r="B294" s="9">
        <v>42033.658333333333</v>
      </c>
      <c r="C294" s="8">
        <v>0</v>
      </c>
      <c r="D294" s="9">
        <v>42037.006944444445</v>
      </c>
      <c r="E294" s="8" t="s">
        <v>93</v>
      </c>
      <c r="F294" s="8">
        <v>12</v>
      </c>
      <c r="G294" s="8" t="s">
        <v>94</v>
      </c>
      <c r="H294" s="8" t="s">
        <v>95</v>
      </c>
      <c r="I294" s="8">
        <v>1</v>
      </c>
      <c r="J294" s="8" t="s">
        <v>95</v>
      </c>
      <c r="K294" s="8">
        <v>1</v>
      </c>
      <c r="L294" s="8" t="s">
        <v>95</v>
      </c>
      <c r="M294" s="8">
        <v>1</v>
      </c>
      <c r="N294" s="8" t="s">
        <v>94</v>
      </c>
      <c r="O294" s="8">
        <v>0</v>
      </c>
      <c r="P294" s="8" t="s">
        <v>95</v>
      </c>
      <c r="Q294" s="8">
        <v>1</v>
      </c>
      <c r="R294" s="8" t="s">
        <v>95</v>
      </c>
      <c r="S294" s="8">
        <v>1</v>
      </c>
      <c r="T294" s="8" t="s">
        <v>95</v>
      </c>
      <c r="U294" s="8">
        <v>1</v>
      </c>
      <c r="V294" s="8" t="s">
        <v>95</v>
      </c>
      <c r="W294" s="8">
        <v>1</v>
      </c>
      <c r="X294" s="8" t="s">
        <v>94</v>
      </c>
      <c r="Y294" s="8">
        <v>0</v>
      </c>
      <c r="Z294" s="8" t="s">
        <v>95</v>
      </c>
      <c r="AA294" s="8">
        <v>1</v>
      </c>
      <c r="AB294" s="8" t="s">
        <v>95</v>
      </c>
      <c r="AC294" s="8">
        <v>1</v>
      </c>
      <c r="AD294" s="8" t="s">
        <v>95</v>
      </c>
      <c r="AE294" s="8">
        <v>1</v>
      </c>
      <c r="AF294" s="8" t="s">
        <v>94</v>
      </c>
      <c r="AG294" s="8">
        <v>0</v>
      </c>
      <c r="AH294" s="8" t="s">
        <v>95</v>
      </c>
      <c r="AI294" s="8">
        <v>1</v>
      </c>
      <c r="AJ294" s="8" t="s">
        <v>95</v>
      </c>
      <c r="AK294" s="8">
        <v>1</v>
      </c>
      <c r="AL294" s="8" t="s">
        <v>94</v>
      </c>
      <c r="AM294" s="8">
        <v>0</v>
      </c>
      <c r="AN294" s="8">
        <v>12</v>
      </c>
    </row>
    <row r="295" spans="1:40" x14ac:dyDescent="0.25">
      <c r="A295" s="8" t="s">
        <v>355</v>
      </c>
      <c r="B295" s="9">
        <v>42033.676388888889</v>
      </c>
      <c r="C295" s="8">
        <v>0</v>
      </c>
      <c r="D295" s="9">
        <v>42037.007638888892</v>
      </c>
      <c r="E295" s="8" t="s">
        <v>93</v>
      </c>
      <c r="F295" s="8">
        <v>16</v>
      </c>
      <c r="G295" s="8" t="s">
        <v>94</v>
      </c>
      <c r="H295" s="8" t="s">
        <v>95</v>
      </c>
      <c r="I295" s="8">
        <v>1</v>
      </c>
      <c r="J295" s="8" t="s">
        <v>95</v>
      </c>
      <c r="K295" s="8">
        <v>1</v>
      </c>
      <c r="L295" s="8" t="s">
        <v>95</v>
      </c>
      <c r="M295" s="8">
        <v>1</v>
      </c>
      <c r="N295" s="8" t="s">
        <v>95</v>
      </c>
      <c r="O295" s="8">
        <v>1</v>
      </c>
      <c r="P295" s="8" t="s">
        <v>95</v>
      </c>
      <c r="Q295" s="8">
        <v>1</v>
      </c>
      <c r="R295" s="8" t="s">
        <v>95</v>
      </c>
      <c r="S295" s="8">
        <v>1</v>
      </c>
      <c r="T295" s="8" t="s">
        <v>95</v>
      </c>
      <c r="U295" s="8">
        <v>1</v>
      </c>
      <c r="V295" s="8" t="s">
        <v>95</v>
      </c>
      <c r="W295" s="8">
        <v>1</v>
      </c>
      <c r="X295" s="8" t="s">
        <v>95</v>
      </c>
      <c r="Y295" s="8">
        <v>1</v>
      </c>
      <c r="Z295" s="8" t="s">
        <v>95</v>
      </c>
      <c r="AA295" s="8">
        <v>1</v>
      </c>
      <c r="AB295" s="8" t="s">
        <v>95</v>
      </c>
      <c r="AC295" s="8">
        <v>1</v>
      </c>
      <c r="AD295" s="8" t="s">
        <v>95</v>
      </c>
      <c r="AE295" s="8">
        <v>1</v>
      </c>
      <c r="AF295" s="8" t="s">
        <v>95</v>
      </c>
      <c r="AG295" s="8">
        <v>1</v>
      </c>
      <c r="AH295" s="8" t="s">
        <v>95</v>
      </c>
      <c r="AI295" s="8">
        <v>1</v>
      </c>
      <c r="AJ295" s="8" t="s">
        <v>95</v>
      </c>
      <c r="AK295" s="8">
        <v>1</v>
      </c>
      <c r="AL295" s="8" t="s">
        <v>95</v>
      </c>
      <c r="AM295" s="8">
        <v>1</v>
      </c>
      <c r="AN295" s="8">
        <v>16</v>
      </c>
    </row>
    <row r="296" spans="1:40" x14ac:dyDescent="0.25">
      <c r="A296" s="8" t="s">
        <v>356</v>
      </c>
      <c r="B296" s="9">
        <v>42033.652083333334</v>
      </c>
      <c r="C296" s="8">
        <v>0</v>
      </c>
      <c r="D296" s="9">
        <v>42037.010416666664</v>
      </c>
      <c r="E296" s="8" t="s">
        <v>93</v>
      </c>
      <c r="F296" s="8">
        <v>12</v>
      </c>
      <c r="G296" s="8" t="s">
        <v>94</v>
      </c>
      <c r="H296" s="8" t="s">
        <v>95</v>
      </c>
      <c r="I296" s="8">
        <v>1</v>
      </c>
      <c r="J296" s="8" t="s">
        <v>94</v>
      </c>
      <c r="K296" s="8">
        <v>0</v>
      </c>
      <c r="L296" s="8" t="s">
        <v>95</v>
      </c>
      <c r="M296" s="8">
        <v>1</v>
      </c>
      <c r="N296" s="8" t="s">
        <v>95</v>
      </c>
      <c r="O296" s="8">
        <v>1</v>
      </c>
      <c r="P296" s="8" t="s">
        <v>94</v>
      </c>
      <c r="Q296" s="8">
        <v>0</v>
      </c>
      <c r="R296" s="8" t="s">
        <v>95</v>
      </c>
      <c r="S296" s="8">
        <v>1</v>
      </c>
      <c r="T296" s="8" t="s">
        <v>94</v>
      </c>
      <c r="U296" s="8">
        <v>0</v>
      </c>
      <c r="V296" s="8" t="s">
        <v>95</v>
      </c>
      <c r="W296" s="8">
        <v>1</v>
      </c>
      <c r="X296" s="8" t="s">
        <v>95</v>
      </c>
      <c r="Y296" s="8">
        <v>1</v>
      </c>
      <c r="Z296" s="8" t="s">
        <v>95</v>
      </c>
      <c r="AA296" s="8">
        <v>1</v>
      </c>
      <c r="AB296" s="8" t="s">
        <v>95</v>
      </c>
      <c r="AC296" s="8">
        <v>1</v>
      </c>
      <c r="AD296" s="8" t="s">
        <v>95</v>
      </c>
      <c r="AE296" s="8">
        <v>1</v>
      </c>
      <c r="AF296" s="8" t="s">
        <v>95</v>
      </c>
      <c r="AG296" s="8">
        <v>1</v>
      </c>
      <c r="AH296" s="8" t="s">
        <v>95</v>
      </c>
      <c r="AI296" s="8">
        <v>1</v>
      </c>
      <c r="AJ296" s="8" t="s">
        <v>95</v>
      </c>
      <c r="AK296" s="8">
        <v>1</v>
      </c>
      <c r="AL296" s="8" t="s">
        <v>94</v>
      </c>
      <c r="AM296" s="8">
        <v>0</v>
      </c>
      <c r="AN296" s="8">
        <v>12</v>
      </c>
    </row>
    <row r="297" spans="1:40" x14ac:dyDescent="0.25">
      <c r="A297" s="8" t="s">
        <v>357</v>
      </c>
      <c r="B297" s="9">
        <v>42033.679166666669</v>
      </c>
      <c r="C297" s="8">
        <v>0</v>
      </c>
      <c r="D297" s="9">
        <v>42037.01458333333</v>
      </c>
      <c r="E297" s="8" t="s">
        <v>93</v>
      </c>
      <c r="F297" s="8">
        <v>9</v>
      </c>
      <c r="G297" s="8" t="s">
        <v>94</v>
      </c>
      <c r="H297" s="8" t="s">
        <v>95</v>
      </c>
      <c r="I297" s="8">
        <v>1</v>
      </c>
      <c r="J297" s="8" t="s">
        <v>95</v>
      </c>
      <c r="K297" s="8">
        <v>1</v>
      </c>
      <c r="L297" s="8" t="s">
        <v>95</v>
      </c>
      <c r="M297" s="8">
        <v>1</v>
      </c>
      <c r="N297" s="8" t="s">
        <v>94</v>
      </c>
      <c r="O297" s="8">
        <v>0</v>
      </c>
      <c r="P297" s="8" t="s">
        <v>94</v>
      </c>
      <c r="Q297" s="8">
        <v>0</v>
      </c>
      <c r="R297" s="8" t="s">
        <v>95</v>
      </c>
      <c r="S297" s="8">
        <v>1</v>
      </c>
      <c r="T297" s="8" t="s">
        <v>94</v>
      </c>
      <c r="U297" s="8">
        <v>0</v>
      </c>
      <c r="V297" s="8" t="s">
        <v>94</v>
      </c>
      <c r="W297" s="8">
        <v>0</v>
      </c>
      <c r="X297" s="8" t="s">
        <v>95</v>
      </c>
      <c r="Y297" s="8">
        <v>1</v>
      </c>
      <c r="Z297" s="8" t="s">
        <v>95</v>
      </c>
      <c r="AA297" s="8">
        <v>1</v>
      </c>
      <c r="AB297" s="8" t="s">
        <v>95</v>
      </c>
      <c r="AC297" s="8">
        <v>1</v>
      </c>
      <c r="AD297" s="8" t="s">
        <v>95</v>
      </c>
      <c r="AE297" s="8">
        <v>1</v>
      </c>
      <c r="AF297" s="8" t="s">
        <v>95</v>
      </c>
      <c r="AG297" s="8">
        <v>1</v>
      </c>
      <c r="AH297" s="8" t="s">
        <v>94</v>
      </c>
      <c r="AI297" s="8">
        <v>0</v>
      </c>
      <c r="AJ297" s="8" t="s">
        <v>94</v>
      </c>
      <c r="AK297" s="8">
        <v>0</v>
      </c>
      <c r="AL297" s="8" t="s">
        <v>94</v>
      </c>
      <c r="AM297" s="8">
        <v>0</v>
      </c>
      <c r="AN297" s="8">
        <v>9</v>
      </c>
    </row>
    <row r="298" spans="1:40" x14ac:dyDescent="0.25">
      <c r="A298" s="8" t="s">
        <v>358</v>
      </c>
      <c r="B298" s="9">
        <v>42033.654861111114</v>
      </c>
      <c r="C298" s="8">
        <v>0</v>
      </c>
      <c r="D298" s="9">
        <v>42037.015277777777</v>
      </c>
      <c r="E298" s="8" t="s">
        <v>93</v>
      </c>
      <c r="F298" s="8">
        <v>16</v>
      </c>
      <c r="G298" s="8" t="s">
        <v>94</v>
      </c>
      <c r="H298" s="8" t="s">
        <v>95</v>
      </c>
      <c r="I298" s="8">
        <v>1</v>
      </c>
      <c r="J298" s="8" t="s">
        <v>95</v>
      </c>
      <c r="K298" s="8">
        <v>1</v>
      </c>
      <c r="L298" s="8" t="s">
        <v>95</v>
      </c>
      <c r="M298" s="8">
        <v>1</v>
      </c>
      <c r="N298" s="8" t="s">
        <v>95</v>
      </c>
      <c r="O298" s="8">
        <v>1</v>
      </c>
      <c r="P298" s="8" t="s">
        <v>95</v>
      </c>
      <c r="Q298" s="8">
        <v>1</v>
      </c>
      <c r="R298" s="8" t="s">
        <v>95</v>
      </c>
      <c r="S298" s="8">
        <v>1</v>
      </c>
      <c r="T298" s="8" t="s">
        <v>95</v>
      </c>
      <c r="U298" s="8">
        <v>1</v>
      </c>
      <c r="V298" s="8" t="s">
        <v>95</v>
      </c>
      <c r="W298" s="8">
        <v>1</v>
      </c>
      <c r="X298" s="8" t="s">
        <v>95</v>
      </c>
      <c r="Y298" s="8">
        <v>1</v>
      </c>
      <c r="Z298" s="8" t="s">
        <v>95</v>
      </c>
      <c r="AA298" s="8">
        <v>1</v>
      </c>
      <c r="AB298" s="8" t="s">
        <v>95</v>
      </c>
      <c r="AC298" s="8">
        <v>1</v>
      </c>
      <c r="AD298" s="8" t="s">
        <v>95</v>
      </c>
      <c r="AE298" s="8">
        <v>1</v>
      </c>
      <c r="AF298" s="8" t="s">
        <v>95</v>
      </c>
      <c r="AG298" s="8">
        <v>1</v>
      </c>
      <c r="AH298" s="8" t="s">
        <v>95</v>
      </c>
      <c r="AI298" s="8">
        <v>1</v>
      </c>
      <c r="AJ298" s="8" t="s">
        <v>95</v>
      </c>
      <c r="AK298" s="8">
        <v>1</v>
      </c>
      <c r="AL298" s="8" t="s">
        <v>95</v>
      </c>
      <c r="AM298" s="8">
        <v>1</v>
      </c>
      <c r="AN298" s="8">
        <v>16</v>
      </c>
    </row>
    <row r="299" spans="1:40" x14ac:dyDescent="0.25">
      <c r="A299" s="8" t="s">
        <v>359</v>
      </c>
      <c r="B299" s="9">
        <v>42033.65902777778</v>
      </c>
      <c r="C299" s="8">
        <v>0</v>
      </c>
      <c r="D299" s="9">
        <v>42037.02847222222</v>
      </c>
      <c r="E299" s="8" t="s">
        <v>93</v>
      </c>
      <c r="F299" s="8">
        <v>4</v>
      </c>
      <c r="G299" s="8" t="s">
        <v>94</v>
      </c>
      <c r="H299" s="8" t="s">
        <v>94</v>
      </c>
      <c r="I299" s="8">
        <v>0</v>
      </c>
      <c r="J299" s="8" t="s">
        <v>94</v>
      </c>
      <c r="K299" s="8">
        <v>0</v>
      </c>
      <c r="L299" s="8" t="s">
        <v>95</v>
      </c>
      <c r="M299" s="8">
        <v>1</v>
      </c>
      <c r="N299" s="8" t="s">
        <v>94</v>
      </c>
      <c r="O299" s="8">
        <v>0</v>
      </c>
      <c r="P299" s="8" t="s">
        <v>94</v>
      </c>
      <c r="Q299" s="8">
        <v>0</v>
      </c>
      <c r="R299" s="8" t="s">
        <v>95</v>
      </c>
      <c r="S299" s="8">
        <v>1</v>
      </c>
      <c r="T299" s="8" t="s">
        <v>94</v>
      </c>
      <c r="U299" s="8">
        <v>0</v>
      </c>
      <c r="V299" s="8" t="s">
        <v>94</v>
      </c>
      <c r="W299" s="8">
        <v>0</v>
      </c>
      <c r="X299" s="8" t="s">
        <v>94</v>
      </c>
      <c r="Y299" s="8">
        <v>0</v>
      </c>
      <c r="Z299" s="8" t="s">
        <v>94</v>
      </c>
      <c r="AA299" s="8">
        <v>0</v>
      </c>
      <c r="AB299" s="8" t="s">
        <v>94</v>
      </c>
      <c r="AC299" s="8">
        <v>0</v>
      </c>
      <c r="AD299" s="8" t="s">
        <v>95</v>
      </c>
      <c r="AE299" s="8">
        <v>1</v>
      </c>
      <c r="AF299" s="8" t="s">
        <v>94</v>
      </c>
      <c r="AG299" s="8">
        <v>0</v>
      </c>
      <c r="AH299" s="8" t="s">
        <v>94</v>
      </c>
      <c r="AI299" s="8">
        <v>0</v>
      </c>
      <c r="AJ299" s="8" t="s">
        <v>95</v>
      </c>
      <c r="AK299" s="8">
        <v>1</v>
      </c>
      <c r="AL299" s="8" t="s">
        <v>94</v>
      </c>
      <c r="AM299" s="8">
        <v>0</v>
      </c>
      <c r="AN299" s="8">
        <v>4</v>
      </c>
    </row>
    <row r="300" spans="1:40" x14ac:dyDescent="0.25">
      <c r="A300" s="8" t="s">
        <v>360</v>
      </c>
      <c r="B300" s="9">
        <v>42033.658333333333</v>
      </c>
      <c r="C300" s="8">
        <v>0</v>
      </c>
      <c r="D300" s="9">
        <v>42037.029861111114</v>
      </c>
      <c r="E300" s="8" t="s">
        <v>93</v>
      </c>
      <c r="F300" s="8">
        <v>9</v>
      </c>
      <c r="G300" s="8" t="s">
        <v>94</v>
      </c>
      <c r="H300" s="8" t="s">
        <v>95</v>
      </c>
      <c r="I300" s="8">
        <v>1</v>
      </c>
      <c r="J300" s="8" t="s">
        <v>95</v>
      </c>
      <c r="K300" s="8">
        <v>1</v>
      </c>
      <c r="L300" s="8" t="s">
        <v>95</v>
      </c>
      <c r="M300" s="8">
        <v>1</v>
      </c>
      <c r="N300" s="8" t="s">
        <v>95</v>
      </c>
      <c r="O300" s="8">
        <v>1</v>
      </c>
      <c r="P300" s="8" t="s">
        <v>95</v>
      </c>
      <c r="Q300" s="8">
        <v>1</v>
      </c>
      <c r="R300" s="8" t="s">
        <v>95</v>
      </c>
      <c r="S300" s="8">
        <v>1</v>
      </c>
      <c r="T300" s="8" t="s">
        <v>94</v>
      </c>
      <c r="U300" s="8">
        <v>0</v>
      </c>
      <c r="V300" s="8" t="s">
        <v>95</v>
      </c>
      <c r="W300" s="8">
        <v>1</v>
      </c>
      <c r="X300" s="8" t="s">
        <v>94</v>
      </c>
      <c r="Y300" s="8">
        <v>0</v>
      </c>
      <c r="Z300" s="8" t="s">
        <v>94</v>
      </c>
      <c r="AA300" s="8">
        <v>0</v>
      </c>
      <c r="AB300" s="8" t="s">
        <v>95</v>
      </c>
      <c r="AC300" s="8">
        <v>1</v>
      </c>
      <c r="AD300" s="8" t="s">
        <v>94</v>
      </c>
      <c r="AE300" s="8">
        <v>0</v>
      </c>
      <c r="AF300" s="8" t="s">
        <v>94</v>
      </c>
      <c r="AG300" s="8">
        <v>0</v>
      </c>
      <c r="AH300" s="8" t="s">
        <v>94</v>
      </c>
      <c r="AI300" s="8">
        <v>0</v>
      </c>
      <c r="AJ300" s="8" t="s">
        <v>95</v>
      </c>
      <c r="AK300" s="8">
        <v>1</v>
      </c>
      <c r="AL300" s="8" t="s">
        <v>94</v>
      </c>
      <c r="AM300" s="8">
        <v>0</v>
      </c>
      <c r="AN300" s="8">
        <v>9</v>
      </c>
    </row>
    <row r="301" spans="1:40" x14ac:dyDescent="0.25">
      <c r="A301" s="8" t="s">
        <v>361</v>
      </c>
      <c r="B301" s="9">
        <v>42033.670138888891</v>
      </c>
      <c r="C301" s="8">
        <v>0</v>
      </c>
      <c r="D301" s="9">
        <v>42037.036111111112</v>
      </c>
      <c r="E301" s="8" t="s">
        <v>93</v>
      </c>
      <c r="F301" s="8">
        <v>15</v>
      </c>
      <c r="G301" s="8" t="s">
        <v>94</v>
      </c>
      <c r="H301" s="8" t="s">
        <v>95</v>
      </c>
      <c r="I301" s="8">
        <v>1</v>
      </c>
      <c r="J301" s="8" t="s">
        <v>95</v>
      </c>
      <c r="K301" s="8">
        <v>1</v>
      </c>
      <c r="L301" s="8" t="s">
        <v>95</v>
      </c>
      <c r="M301" s="8">
        <v>1</v>
      </c>
      <c r="N301" s="8" t="s">
        <v>95</v>
      </c>
      <c r="O301" s="8">
        <v>1</v>
      </c>
      <c r="P301" s="8" t="s">
        <v>95</v>
      </c>
      <c r="Q301" s="8">
        <v>1</v>
      </c>
      <c r="R301" s="8" t="s">
        <v>95</v>
      </c>
      <c r="S301" s="8">
        <v>1</v>
      </c>
      <c r="T301" s="8" t="s">
        <v>95</v>
      </c>
      <c r="U301" s="8">
        <v>1</v>
      </c>
      <c r="V301" s="8" t="s">
        <v>95</v>
      </c>
      <c r="W301" s="8">
        <v>1</v>
      </c>
      <c r="X301" s="8" t="s">
        <v>95</v>
      </c>
      <c r="Y301" s="8">
        <v>1</v>
      </c>
      <c r="Z301" s="8" t="s">
        <v>95</v>
      </c>
      <c r="AA301" s="8">
        <v>1</v>
      </c>
      <c r="AB301" s="8" t="s">
        <v>95</v>
      </c>
      <c r="AC301" s="8">
        <v>1</v>
      </c>
      <c r="AD301" s="8" t="s">
        <v>95</v>
      </c>
      <c r="AE301" s="8">
        <v>1</v>
      </c>
      <c r="AF301" s="8" t="s">
        <v>95</v>
      </c>
      <c r="AG301" s="8">
        <v>1</v>
      </c>
      <c r="AH301" s="8" t="s">
        <v>95</v>
      </c>
      <c r="AI301" s="8">
        <v>1</v>
      </c>
      <c r="AJ301" s="8" t="s">
        <v>95</v>
      </c>
      <c r="AK301" s="8">
        <v>1</v>
      </c>
      <c r="AL301" s="8" t="s">
        <v>94</v>
      </c>
      <c r="AM301" s="8">
        <v>0</v>
      </c>
      <c r="AN301" s="8">
        <v>15</v>
      </c>
    </row>
    <row r="302" spans="1:40" x14ac:dyDescent="0.25">
      <c r="A302" s="8" t="s">
        <v>362</v>
      </c>
      <c r="B302" s="9">
        <v>42033.678472222222</v>
      </c>
      <c r="C302" s="8">
        <v>0</v>
      </c>
      <c r="D302" s="9">
        <v>42037.046527777777</v>
      </c>
      <c r="E302" s="8" t="s">
        <v>93</v>
      </c>
      <c r="F302" s="8">
        <v>16</v>
      </c>
      <c r="G302" s="8" t="s">
        <v>94</v>
      </c>
      <c r="H302" s="8" t="s">
        <v>95</v>
      </c>
      <c r="I302" s="8">
        <v>1</v>
      </c>
      <c r="J302" s="8" t="s">
        <v>95</v>
      </c>
      <c r="K302" s="8">
        <v>1</v>
      </c>
      <c r="L302" s="8" t="s">
        <v>95</v>
      </c>
      <c r="M302" s="8">
        <v>1</v>
      </c>
      <c r="N302" s="8" t="s">
        <v>95</v>
      </c>
      <c r="O302" s="8">
        <v>1</v>
      </c>
      <c r="P302" s="8" t="s">
        <v>95</v>
      </c>
      <c r="Q302" s="8">
        <v>1</v>
      </c>
      <c r="R302" s="8" t="s">
        <v>95</v>
      </c>
      <c r="S302" s="8">
        <v>1</v>
      </c>
      <c r="T302" s="8" t="s">
        <v>95</v>
      </c>
      <c r="U302" s="8">
        <v>1</v>
      </c>
      <c r="V302" s="8" t="s">
        <v>95</v>
      </c>
      <c r="W302" s="8">
        <v>1</v>
      </c>
      <c r="X302" s="8" t="s">
        <v>95</v>
      </c>
      <c r="Y302" s="8">
        <v>1</v>
      </c>
      <c r="Z302" s="8" t="s">
        <v>95</v>
      </c>
      <c r="AA302" s="8">
        <v>1</v>
      </c>
      <c r="AB302" s="8" t="s">
        <v>95</v>
      </c>
      <c r="AC302" s="8">
        <v>1</v>
      </c>
      <c r="AD302" s="8" t="s">
        <v>95</v>
      </c>
      <c r="AE302" s="8">
        <v>1</v>
      </c>
      <c r="AF302" s="8" t="s">
        <v>95</v>
      </c>
      <c r="AG302" s="8">
        <v>1</v>
      </c>
      <c r="AH302" s="8" t="s">
        <v>95</v>
      </c>
      <c r="AI302" s="8">
        <v>1</v>
      </c>
      <c r="AJ302" s="8" t="s">
        <v>95</v>
      </c>
      <c r="AK302" s="8">
        <v>1</v>
      </c>
      <c r="AL302" s="8" t="s">
        <v>95</v>
      </c>
      <c r="AM302" s="8">
        <v>1</v>
      </c>
      <c r="AN302" s="8">
        <v>16</v>
      </c>
    </row>
    <row r="303" spans="1:40" x14ac:dyDescent="0.25">
      <c r="A303" s="8" t="s">
        <v>363</v>
      </c>
      <c r="B303" s="9">
        <v>42033.654166666667</v>
      </c>
      <c r="C303" s="8">
        <v>0</v>
      </c>
      <c r="D303" s="9">
        <v>42037.052777777775</v>
      </c>
      <c r="E303" s="8" t="s">
        <v>93</v>
      </c>
      <c r="F303" s="8">
        <v>16</v>
      </c>
      <c r="G303" s="8" t="s">
        <v>94</v>
      </c>
      <c r="H303" s="8" t="s">
        <v>95</v>
      </c>
      <c r="I303" s="8">
        <v>1</v>
      </c>
      <c r="J303" s="8" t="s">
        <v>95</v>
      </c>
      <c r="K303" s="8">
        <v>1</v>
      </c>
      <c r="L303" s="8" t="s">
        <v>95</v>
      </c>
      <c r="M303" s="8">
        <v>1</v>
      </c>
      <c r="N303" s="8" t="s">
        <v>95</v>
      </c>
      <c r="O303" s="8">
        <v>1</v>
      </c>
      <c r="P303" s="8" t="s">
        <v>95</v>
      </c>
      <c r="Q303" s="8">
        <v>1</v>
      </c>
      <c r="R303" s="8" t="s">
        <v>95</v>
      </c>
      <c r="S303" s="8">
        <v>1</v>
      </c>
      <c r="T303" s="8" t="s">
        <v>95</v>
      </c>
      <c r="U303" s="8">
        <v>1</v>
      </c>
      <c r="V303" s="8" t="s">
        <v>95</v>
      </c>
      <c r="W303" s="8">
        <v>1</v>
      </c>
      <c r="X303" s="8" t="s">
        <v>95</v>
      </c>
      <c r="Y303" s="8">
        <v>1</v>
      </c>
      <c r="Z303" s="8" t="s">
        <v>95</v>
      </c>
      <c r="AA303" s="8">
        <v>1</v>
      </c>
      <c r="AB303" s="8" t="s">
        <v>95</v>
      </c>
      <c r="AC303" s="8">
        <v>1</v>
      </c>
      <c r="AD303" s="8" t="s">
        <v>95</v>
      </c>
      <c r="AE303" s="8">
        <v>1</v>
      </c>
      <c r="AF303" s="8" t="s">
        <v>95</v>
      </c>
      <c r="AG303" s="8">
        <v>1</v>
      </c>
      <c r="AH303" s="8" t="s">
        <v>95</v>
      </c>
      <c r="AI303" s="8">
        <v>1</v>
      </c>
      <c r="AJ303" s="8" t="s">
        <v>95</v>
      </c>
      <c r="AK303" s="8">
        <v>1</v>
      </c>
      <c r="AL303" s="8" t="s">
        <v>95</v>
      </c>
      <c r="AM303" s="8">
        <v>1</v>
      </c>
      <c r="AN303" s="8">
        <v>16</v>
      </c>
    </row>
    <row r="304" spans="1:40" x14ac:dyDescent="0.25">
      <c r="A304" s="8" t="s">
        <v>364</v>
      </c>
      <c r="B304" s="9">
        <v>42033.654166666667</v>
      </c>
      <c r="C304" s="8">
        <v>0</v>
      </c>
      <c r="D304" s="9">
        <v>42037.061805555553</v>
      </c>
      <c r="E304" s="8" t="s">
        <v>93</v>
      </c>
      <c r="F304" s="8">
        <v>5</v>
      </c>
      <c r="G304" s="8" t="s">
        <v>94</v>
      </c>
      <c r="H304" s="8" t="s">
        <v>94</v>
      </c>
      <c r="I304" s="8">
        <v>0</v>
      </c>
      <c r="J304" s="8" t="s">
        <v>94</v>
      </c>
      <c r="K304" s="8">
        <v>0</v>
      </c>
      <c r="L304" s="8" t="s">
        <v>94</v>
      </c>
      <c r="M304" s="8">
        <v>0</v>
      </c>
      <c r="N304" s="8" t="s">
        <v>94</v>
      </c>
      <c r="O304" s="8">
        <v>0</v>
      </c>
      <c r="P304" s="8" t="s">
        <v>95</v>
      </c>
      <c r="Q304" s="8">
        <v>1</v>
      </c>
      <c r="R304" s="8" t="s">
        <v>95</v>
      </c>
      <c r="S304" s="8">
        <v>1</v>
      </c>
      <c r="T304" s="8" t="s">
        <v>94</v>
      </c>
      <c r="U304" s="8">
        <v>0</v>
      </c>
      <c r="V304" s="8" t="s">
        <v>95</v>
      </c>
      <c r="W304" s="8">
        <v>1</v>
      </c>
      <c r="X304" s="8" t="s">
        <v>94</v>
      </c>
      <c r="Y304" s="8">
        <v>0</v>
      </c>
      <c r="Z304" s="8" t="s">
        <v>94</v>
      </c>
      <c r="AA304" s="8">
        <v>0</v>
      </c>
      <c r="AB304" s="8" t="s">
        <v>94</v>
      </c>
      <c r="AC304" s="8">
        <v>0</v>
      </c>
      <c r="AD304" s="8" t="s">
        <v>95</v>
      </c>
      <c r="AE304" s="8">
        <v>1</v>
      </c>
      <c r="AF304" s="8" t="s">
        <v>95</v>
      </c>
      <c r="AG304" s="8">
        <v>1</v>
      </c>
      <c r="AH304" s="8" t="s">
        <v>94</v>
      </c>
      <c r="AI304" s="8">
        <v>0</v>
      </c>
      <c r="AJ304" s="8" t="s">
        <v>94</v>
      </c>
      <c r="AK304" s="8">
        <v>0</v>
      </c>
      <c r="AL304" s="8" t="s">
        <v>94</v>
      </c>
      <c r="AM304" s="8">
        <v>0</v>
      </c>
      <c r="AN304" s="8">
        <v>5</v>
      </c>
    </row>
    <row r="305" spans="1:40" x14ac:dyDescent="0.25">
      <c r="A305" s="8" t="s">
        <v>365</v>
      </c>
      <c r="B305" s="9">
        <v>42033.666666666664</v>
      </c>
      <c r="C305" s="8">
        <v>0</v>
      </c>
      <c r="D305" s="9">
        <v>42037.063194444447</v>
      </c>
      <c r="E305" s="8" t="s">
        <v>93</v>
      </c>
      <c r="F305" s="8">
        <v>6</v>
      </c>
      <c r="G305" s="8" t="s">
        <v>94</v>
      </c>
      <c r="H305" s="8" t="s">
        <v>94</v>
      </c>
      <c r="I305" s="8">
        <v>0</v>
      </c>
      <c r="J305" s="8" t="s">
        <v>94</v>
      </c>
      <c r="K305" s="8">
        <v>0</v>
      </c>
      <c r="L305" s="8" t="s">
        <v>94</v>
      </c>
      <c r="M305" s="8">
        <v>0</v>
      </c>
      <c r="N305" s="8" t="s">
        <v>94</v>
      </c>
      <c r="O305" s="8">
        <v>0</v>
      </c>
      <c r="P305" s="8" t="s">
        <v>95</v>
      </c>
      <c r="Q305" s="8">
        <v>1</v>
      </c>
      <c r="R305" s="8" t="s">
        <v>94</v>
      </c>
      <c r="S305" s="8">
        <v>0</v>
      </c>
      <c r="T305" s="8" t="s">
        <v>94</v>
      </c>
      <c r="U305" s="8">
        <v>0</v>
      </c>
      <c r="V305" s="8" t="s">
        <v>95</v>
      </c>
      <c r="W305" s="8">
        <v>1</v>
      </c>
      <c r="X305" s="8" t="s">
        <v>95</v>
      </c>
      <c r="Y305" s="8">
        <v>1</v>
      </c>
      <c r="Z305" s="8" t="s">
        <v>95</v>
      </c>
      <c r="AA305" s="8">
        <v>1</v>
      </c>
      <c r="AB305" s="8" t="s">
        <v>95</v>
      </c>
      <c r="AC305" s="8">
        <v>1</v>
      </c>
      <c r="AD305" s="8" t="s">
        <v>95</v>
      </c>
      <c r="AE305" s="8">
        <v>1</v>
      </c>
      <c r="AF305" s="8" t="s">
        <v>94</v>
      </c>
      <c r="AG305" s="8">
        <v>0</v>
      </c>
      <c r="AH305" s="8" t="s">
        <v>94</v>
      </c>
      <c r="AI305" s="8">
        <v>0</v>
      </c>
      <c r="AJ305" s="8" t="s">
        <v>94</v>
      </c>
      <c r="AK305" s="8">
        <v>0</v>
      </c>
      <c r="AL305" s="8" t="s">
        <v>94</v>
      </c>
      <c r="AM305" s="8">
        <v>0</v>
      </c>
      <c r="AN305" s="8">
        <v>6</v>
      </c>
    </row>
    <row r="306" spans="1:40" x14ac:dyDescent="0.25">
      <c r="A306" s="8" t="s">
        <v>366</v>
      </c>
      <c r="B306" s="9">
        <v>42033.680555555555</v>
      </c>
      <c r="C306" s="8">
        <v>0</v>
      </c>
      <c r="D306" s="9">
        <v>42037.075694444444</v>
      </c>
      <c r="E306" s="8" t="s">
        <v>93</v>
      </c>
      <c r="F306" s="8">
        <v>3</v>
      </c>
      <c r="G306" s="8" t="s">
        <v>94</v>
      </c>
      <c r="H306" s="8" t="s">
        <v>94</v>
      </c>
      <c r="I306" s="8">
        <v>0</v>
      </c>
      <c r="J306" s="8" t="s">
        <v>94</v>
      </c>
      <c r="K306" s="8">
        <v>0</v>
      </c>
      <c r="L306" s="8" t="s">
        <v>94</v>
      </c>
      <c r="M306" s="8">
        <v>0</v>
      </c>
      <c r="N306" s="8" t="s">
        <v>94</v>
      </c>
      <c r="O306" s="8">
        <v>0</v>
      </c>
      <c r="P306" s="8" t="s">
        <v>95</v>
      </c>
      <c r="Q306" s="8">
        <v>1</v>
      </c>
      <c r="R306" s="8" t="s">
        <v>95</v>
      </c>
      <c r="S306" s="8">
        <v>1</v>
      </c>
      <c r="T306" s="8" t="s">
        <v>94</v>
      </c>
      <c r="U306" s="8">
        <v>0</v>
      </c>
      <c r="V306" s="8" t="s">
        <v>94</v>
      </c>
      <c r="W306" s="8">
        <v>0</v>
      </c>
      <c r="X306" s="8" t="s">
        <v>94</v>
      </c>
      <c r="Y306" s="8">
        <v>0</v>
      </c>
      <c r="Z306" s="8" t="s">
        <v>94</v>
      </c>
      <c r="AA306" s="8">
        <v>0</v>
      </c>
      <c r="AB306" s="8" t="s">
        <v>94</v>
      </c>
      <c r="AC306" s="8">
        <v>0</v>
      </c>
      <c r="AD306" s="8" t="s">
        <v>95</v>
      </c>
      <c r="AE306" s="8">
        <v>1</v>
      </c>
      <c r="AF306" s="8" t="s">
        <v>94</v>
      </c>
      <c r="AG306" s="8">
        <v>0</v>
      </c>
      <c r="AH306" s="8" t="s">
        <v>94</v>
      </c>
      <c r="AI306" s="8">
        <v>0</v>
      </c>
      <c r="AJ306" s="8" t="s">
        <v>94</v>
      </c>
      <c r="AK306" s="8">
        <v>0</v>
      </c>
      <c r="AL306" s="8" t="s">
        <v>94</v>
      </c>
      <c r="AM306" s="8">
        <v>0</v>
      </c>
      <c r="AN306" s="8">
        <v>3</v>
      </c>
    </row>
    <row r="307" spans="1:40" x14ac:dyDescent="0.25">
      <c r="A307" s="8" t="s">
        <v>367</v>
      </c>
      <c r="B307" s="9">
        <v>42033.65625</v>
      </c>
      <c r="C307" s="8">
        <v>0</v>
      </c>
      <c r="D307" s="9">
        <v>42037.092361111114</v>
      </c>
      <c r="E307" s="8" t="s">
        <v>93</v>
      </c>
      <c r="F307" s="8">
        <v>16</v>
      </c>
      <c r="G307" s="8" t="s">
        <v>94</v>
      </c>
      <c r="H307" s="8" t="s">
        <v>95</v>
      </c>
      <c r="I307" s="8">
        <v>1</v>
      </c>
      <c r="J307" s="8" t="s">
        <v>95</v>
      </c>
      <c r="K307" s="8">
        <v>1</v>
      </c>
      <c r="L307" s="8" t="s">
        <v>95</v>
      </c>
      <c r="M307" s="8">
        <v>1</v>
      </c>
      <c r="N307" s="8" t="s">
        <v>95</v>
      </c>
      <c r="O307" s="8">
        <v>1</v>
      </c>
      <c r="P307" s="8" t="s">
        <v>95</v>
      </c>
      <c r="Q307" s="8">
        <v>1</v>
      </c>
      <c r="R307" s="8" t="s">
        <v>95</v>
      </c>
      <c r="S307" s="8">
        <v>1</v>
      </c>
      <c r="T307" s="8" t="s">
        <v>95</v>
      </c>
      <c r="U307" s="8">
        <v>1</v>
      </c>
      <c r="V307" s="8" t="s">
        <v>95</v>
      </c>
      <c r="W307" s="8">
        <v>1</v>
      </c>
      <c r="X307" s="8" t="s">
        <v>95</v>
      </c>
      <c r="Y307" s="8">
        <v>1</v>
      </c>
      <c r="Z307" s="8" t="s">
        <v>95</v>
      </c>
      <c r="AA307" s="8">
        <v>1</v>
      </c>
      <c r="AB307" s="8" t="s">
        <v>95</v>
      </c>
      <c r="AC307" s="8">
        <v>1</v>
      </c>
      <c r="AD307" s="8" t="s">
        <v>95</v>
      </c>
      <c r="AE307" s="8">
        <v>1</v>
      </c>
      <c r="AF307" s="8" t="s">
        <v>95</v>
      </c>
      <c r="AG307" s="8">
        <v>1</v>
      </c>
      <c r="AH307" s="8" t="s">
        <v>95</v>
      </c>
      <c r="AI307" s="8">
        <v>1</v>
      </c>
      <c r="AJ307" s="8" t="s">
        <v>95</v>
      </c>
      <c r="AK307" s="8">
        <v>1</v>
      </c>
      <c r="AL307" s="8" t="s">
        <v>95</v>
      </c>
      <c r="AM307" s="8">
        <v>1</v>
      </c>
      <c r="AN307" s="8">
        <v>16</v>
      </c>
    </row>
    <row r="308" spans="1:40" x14ac:dyDescent="0.25">
      <c r="A308" s="8" t="s">
        <v>368</v>
      </c>
      <c r="B308" s="9">
        <v>42033.683333333334</v>
      </c>
      <c r="C308" s="8">
        <v>0</v>
      </c>
      <c r="D308" s="9">
        <v>42037.104861111111</v>
      </c>
      <c r="E308" s="8" t="s">
        <v>93</v>
      </c>
      <c r="F308" s="8">
        <v>15</v>
      </c>
      <c r="G308" s="8" t="s">
        <v>94</v>
      </c>
      <c r="H308" s="8" t="s">
        <v>95</v>
      </c>
      <c r="I308" s="8">
        <v>1</v>
      </c>
      <c r="J308" s="8" t="s">
        <v>95</v>
      </c>
      <c r="K308" s="8">
        <v>1</v>
      </c>
      <c r="L308" s="8" t="s">
        <v>95</v>
      </c>
      <c r="M308" s="8">
        <v>1</v>
      </c>
      <c r="N308" s="8" t="s">
        <v>95</v>
      </c>
      <c r="O308" s="8">
        <v>1</v>
      </c>
      <c r="P308" s="8" t="s">
        <v>95</v>
      </c>
      <c r="Q308" s="8">
        <v>1</v>
      </c>
      <c r="R308" s="8" t="s">
        <v>95</v>
      </c>
      <c r="S308" s="8">
        <v>1</v>
      </c>
      <c r="T308" s="8" t="s">
        <v>95</v>
      </c>
      <c r="U308" s="8">
        <v>1</v>
      </c>
      <c r="V308" s="8" t="s">
        <v>95</v>
      </c>
      <c r="W308" s="8">
        <v>1</v>
      </c>
      <c r="X308" s="8" t="s">
        <v>95</v>
      </c>
      <c r="Y308" s="8">
        <v>1</v>
      </c>
      <c r="Z308" s="8" t="s">
        <v>95</v>
      </c>
      <c r="AA308" s="8">
        <v>1</v>
      </c>
      <c r="AB308" s="8" t="s">
        <v>95</v>
      </c>
      <c r="AC308" s="8">
        <v>1</v>
      </c>
      <c r="AD308" s="8" t="s">
        <v>95</v>
      </c>
      <c r="AE308" s="8">
        <v>1</v>
      </c>
      <c r="AF308" s="8" t="s">
        <v>95</v>
      </c>
      <c r="AG308" s="8">
        <v>1</v>
      </c>
      <c r="AH308" s="8" t="s">
        <v>95</v>
      </c>
      <c r="AI308" s="8">
        <v>1</v>
      </c>
      <c r="AJ308" s="8" t="s">
        <v>95</v>
      </c>
      <c r="AK308" s="8">
        <v>1</v>
      </c>
      <c r="AL308" s="8" t="s">
        <v>94</v>
      </c>
      <c r="AM308" s="8">
        <v>0</v>
      </c>
      <c r="AN308" s="8">
        <v>15</v>
      </c>
    </row>
    <row r="309" spans="1:40" x14ac:dyDescent="0.25">
      <c r="A309" s="8" t="s">
        <v>369</v>
      </c>
      <c r="B309" s="9">
        <v>42033.670138888891</v>
      </c>
      <c r="C309" s="8">
        <v>0</v>
      </c>
      <c r="D309" s="9">
        <v>42037.129166666666</v>
      </c>
      <c r="E309" s="8" t="s">
        <v>93</v>
      </c>
      <c r="F309" s="8">
        <v>14</v>
      </c>
      <c r="G309" s="8" t="s">
        <v>94</v>
      </c>
      <c r="H309" s="8" t="s">
        <v>95</v>
      </c>
      <c r="I309" s="8">
        <v>1</v>
      </c>
      <c r="J309" s="8" t="s">
        <v>95</v>
      </c>
      <c r="K309" s="8">
        <v>1</v>
      </c>
      <c r="L309" s="8" t="s">
        <v>95</v>
      </c>
      <c r="M309" s="8">
        <v>1</v>
      </c>
      <c r="N309" s="8" t="s">
        <v>95</v>
      </c>
      <c r="O309" s="8">
        <v>1</v>
      </c>
      <c r="P309" s="8" t="s">
        <v>95</v>
      </c>
      <c r="Q309" s="8">
        <v>1</v>
      </c>
      <c r="R309" s="8" t="s">
        <v>95</v>
      </c>
      <c r="S309" s="8">
        <v>1</v>
      </c>
      <c r="T309" s="8" t="s">
        <v>94</v>
      </c>
      <c r="U309" s="8">
        <v>0</v>
      </c>
      <c r="V309" s="8" t="s">
        <v>94</v>
      </c>
      <c r="W309" s="8">
        <v>0</v>
      </c>
      <c r="X309" s="8" t="s">
        <v>95</v>
      </c>
      <c r="Y309" s="8">
        <v>1</v>
      </c>
      <c r="Z309" s="8" t="s">
        <v>95</v>
      </c>
      <c r="AA309" s="8">
        <v>1</v>
      </c>
      <c r="AB309" s="8" t="s">
        <v>95</v>
      </c>
      <c r="AC309" s="8">
        <v>1</v>
      </c>
      <c r="AD309" s="8" t="s">
        <v>95</v>
      </c>
      <c r="AE309" s="8">
        <v>1</v>
      </c>
      <c r="AF309" s="8" t="s">
        <v>95</v>
      </c>
      <c r="AG309" s="8">
        <v>1</v>
      </c>
      <c r="AH309" s="8" t="s">
        <v>95</v>
      </c>
      <c r="AI309" s="8">
        <v>1</v>
      </c>
      <c r="AJ309" s="8" t="s">
        <v>95</v>
      </c>
      <c r="AK309" s="8">
        <v>1</v>
      </c>
      <c r="AL309" s="8" t="s">
        <v>95</v>
      </c>
      <c r="AM309" s="8">
        <v>1</v>
      </c>
      <c r="AN309" s="8">
        <v>14</v>
      </c>
    </row>
    <row r="310" spans="1:40" x14ac:dyDescent="0.25">
      <c r="A310" s="8" t="s">
        <v>370</v>
      </c>
      <c r="B310" s="9">
        <v>42033.668749999997</v>
      </c>
      <c r="C310" s="8">
        <v>0</v>
      </c>
      <c r="D310" s="9">
        <v>42037.134722222225</v>
      </c>
      <c r="E310" s="8" t="s">
        <v>93</v>
      </c>
      <c r="F310" s="8">
        <v>16</v>
      </c>
      <c r="G310" s="8" t="s">
        <v>94</v>
      </c>
      <c r="H310" s="8" t="s">
        <v>95</v>
      </c>
      <c r="I310" s="8">
        <v>1</v>
      </c>
      <c r="J310" s="8" t="s">
        <v>95</v>
      </c>
      <c r="K310" s="8">
        <v>1</v>
      </c>
      <c r="L310" s="8" t="s">
        <v>95</v>
      </c>
      <c r="M310" s="8">
        <v>1</v>
      </c>
      <c r="N310" s="8" t="s">
        <v>95</v>
      </c>
      <c r="O310" s="8">
        <v>1</v>
      </c>
      <c r="P310" s="8" t="s">
        <v>95</v>
      </c>
      <c r="Q310" s="8">
        <v>1</v>
      </c>
      <c r="R310" s="8" t="s">
        <v>95</v>
      </c>
      <c r="S310" s="8">
        <v>1</v>
      </c>
      <c r="T310" s="8" t="s">
        <v>95</v>
      </c>
      <c r="U310" s="8">
        <v>1</v>
      </c>
      <c r="V310" s="8" t="s">
        <v>95</v>
      </c>
      <c r="W310" s="8">
        <v>1</v>
      </c>
      <c r="X310" s="8" t="s">
        <v>95</v>
      </c>
      <c r="Y310" s="8">
        <v>1</v>
      </c>
      <c r="Z310" s="8" t="s">
        <v>95</v>
      </c>
      <c r="AA310" s="8">
        <v>1</v>
      </c>
      <c r="AB310" s="8" t="s">
        <v>95</v>
      </c>
      <c r="AC310" s="8">
        <v>1</v>
      </c>
      <c r="AD310" s="8" t="s">
        <v>95</v>
      </c>
      <c r="AE310" s="8">
        <v>1</v>
      </c>
      <c r="AF310" s="8" t="s">
        <v>95</v>
      </c>
      <c r="AG310" s="8">
        <v>1</v>
      </c>
      <c r="AH310" s="8" t="s">
        <v>95</v>
      </c>
      <c r="AI310" s="8">
        <v>1</v>
      </c>
      <c r="AJ310" s="8" t="s">
        <v>95</v>
      </c>
      <c r="AK310" s="8">
        <v>1</v>
      </c>
      <c r="AL310" s="8" t="s">
        <v>95</v>
      </c>
      <c r="AM310" s="8">
        <v>1</v>
      </c>
      <c r="AN310" s="8">
        <v>16</v>
      </c>
    </row>
    <row r="311" spans="1:40" x14ac:dyDescent="0.25">
      <c r="A311" s="8" t="s">
        <v>371</v>
      </c>
      <c r="B311" s="9">
        <v>42033.651388888888</v>
      </c>
      <c r="C311" s="8">
        <v>0</v>
      </c>
      <c r="D311" s="9">
        <v>42037.135416666664</v>
      </c>
      <c r="E311" s="8" t="s">
        <v>93</v>
      </c>
      <c r="F311" s="8">
        <v>12</v>
      </c>
      <c r="G311" s="8" t="s">
        <v>94</v>
      </c>
      <c r="H311" s="8" t="s">
        <v>95</v>
      </c>
      <c r="I311" s="8">
        <v>1</v>
      </c>
      <c r="J311" s="8" t="s">
        <v>95</v>
      </c>
      <c r="K311" s="8">
        <v>1</v>
      </c>
      <c r="L311" s="8" t="s">
        <v>95</v>
      </c>
      <c r="M311" s="8">
        <v>1</v>
      </c>
      <c r="N311" s="8" t="s">
        <v>95</v>
      </c>
      <c r="O311" s="8">
        <v>1</v>
      </c>
      <c r="P311" s="8" t="s">
        <v>95</v>
      </c>
      <c r="Q311" s="8">
        <v>1</v>
      </c>
      <c r="R311" s="8" t="s">
        <v>95</v>
      </c>
      <c r="S311" s="8">
        <v>1</v>
      </c>
      <c r="T311" s="8" t="s">
        <v>94</v>
      </c>
      <c r="U311" s="8">
        <v>0</v>
      </c>
      <c r="V311" s="8" t="s">
        <v>95</v>
      </c>
      <c r="W311" s="8">
        <v>1</v>
      </c>
      <c r="X311" s="8" t="s">
        <v>95</v>
      </c>
      <c r="Y311" s="8">
        <v>1</v>
      </c>
      <c r="Z311" s="8" t="s">
        <v>94</v>
      </c>
      <c r="AA311" s="8">
        <v>0</v>
      </c>
      <c r="AB311" s="8" t="s">
        <v>95</v>
      </c>
      <c r="AC311" s="8">
        <v>1</v>
      </c>
      <c r="AD311" s="8" t="s">
        <v>95</v>
      </c>
      <c r="AE311" s="8">
        <v>1</v>
      </c>
      <c r="AF311" s="8" t="s">
        <v>95</v>
      </c>
      <c r="AG311" s="8">
        <v>1</v>
      </c>
      <c r="AH311" s="8" t="s">
        <v>95</v>
      </c>
      <c r="AI311" s="8">
        <v>1</v>
      </c>
      <c r="AJ311" s="8" t="s">
        <v>94</v>
      </c>
      <c r="AK311" s="8">
        <v>0</v>
      </c>
      <c r="AL311" s="8" t="s">
        <v>94</v>
      </c>
      <c r="AM311" s="8">
        <v>0</v>
      </c>
      <c r="AN311" s="8">
        <v>12</v>
      </c>
    </row>
    <row r="312" spans="1:40" x14ac:dyDescent="0.25">
      <c r="A312" s="8" t="s">
        <v>372</v>
      </c>
      <c r="B312" s="9">
        <v>42033.672222222223</v>
      </c>
      <c r="C312" s="8">
        <v>0</v>
      </c>
      <c r="D312" s="9">
        <v>42037.161111111112</v>
      </c>
      <c r="E312" s="8" t="s">
        <v>93</v>
      </c>
      <c r="F312" s="8">
        <v>15</v>
      </c>
      <c r="G312" s="8" t="s">
        <v>94</v>
      </c>
      <c r="H312" s="8" t="s">
        <v>95</v>
      </c>
      <c r="I312" s="8">
        <v>1</v>
      </c>
      <c r="J312" s="8" t="s">
        <v>95</v>
      </c>
      <c r="K312" s="8">
        <v>1</v>
      </c>
      <c r="L312" s="8" t="s">
        <v>95</v>
      </c>
      <c r="M312" s="8">
        <v>1</v>
      </c>
      <c r="N312" s="8" t="s">
        <v>95</v>
      </c>
      <c r="O312" s="8">
        <v>1</v>
      </c>
      <c r="P312" s="8" t="s">
        <v>95</v>
      </c>
      <c r="Q312" s="8">
        <v>1</v>
      </c>
      <c r="R312" s="8" t="s">
        <v>95</v>
      </c>
      <c r="S312" s="8">
        <v>1</v>
      </c>
      <c r="T312" s="8" t="s">
        <v>95</v>
      </c>
      <c r="U312" s="8">
        <v>1</v>
      </c>
      <c r="V312" s="8" t="s">
        <v>95</v>
      </c>
      <c r="W312" s="8">
        <v>1</v>
      </c>
      <c r="X312" s="8" t="s">
        <v>95</v>
      </c>
      <c r="Y312" s="8">
        <v>1</v>
      </c>
      <c r="Z312" s="8" t="s">
        <v>95</v>
      </c>
      <c r="AA312" s="8">
        <v>1</v>
      </c>
      <c r="AB312" s="8" t="s">
        <v>95</v>
      </c>
      <c r="AC312" s="8">
        <v>1</v>
      </c>
      <c r="AD312" s="8" t="s">
        <v>95</v>
      </c>
      <c r="AE312" s="8">
        <v>1</v>
      </c>
      <c r="AF312" s="8" t="s">
        <v>94</v>
      </c>
      <c r="AG312" s="8">
        <v>0</v>
      </c>
      <c r="AH312" s="8" t="s">
        <v>95</v>
      </c>
      <c r="AI312" s="8">
        <v>1</v>
      </c>
      <c r="AJ312" s="8" t="s">
        <v>95</v>
      </c>
      <c r="AK312" s="8">
        <v>1</v>
      </c>
      <c r="AL312" s="8" t="s">
        <v>95</v>
      </c>
      <c r="AM312" s="8">
        <v>1</v>
      </c>
      <c r="AN312" s="8">
        <v>15</v>
      </c>
    </row>
    <row r="313" spans="1:40" x14ac:dyDescent="0.25">
      <c r="A313" s="8" t="s">
        <v>373</v>
      </c>
      <c r="B313" s="9">
        <v>42033.673611111109</v>
      </c>
      <c r="C313" s="8">
        <v>0</v>
      </c>
      <c r="D313" s="9">
        <v>42037.162499999999</v>
      </c>
      <c r="E313" s="8" t="s">
        <v>93</v>
      </c>
      <c r="F313" s="8">
        <v>10</v>
      </c>
      <c r="G313" s="8" t="s">
        <v>94</v>
      </c>
      <c r="H313" s="8" t="s">
        <v>95</v>
      </c>
      <c r="I313" s="8">
        <v>1</v>
      </c>
      <c r="J313" s="8" t="s">
        <v>95</v>
      </c>
      <c r="K313" s="8">
        <v>1</v>
      </c>
      <c r="L313" s="8" t="s">
        <v>94</v>
      </c>
      <c r="M313" s="8">
        <v>0</v>
      </c>
      <c r="N313" s="8" t="s">
        <v>94</v>
      </c>
      <c r="O313" s="8">
        <v>0</v>
      </c>
      <c r="P313" s="8" t="s">
        <v>94</v>
      </c>
      <c r="Q313" s="8">
        <v>0</v>
      </c>
      <c r="R313" s="8" t="s">
        <v>95</v>
      </c>
      <c r="S313" s="8">
        <v>1</v>
      </c>
      <c r="T313" s="8" t="s">
        <v>94</v>
      </c>
      <c r="U313" s="8">
        <v>0</v>
      </c>
      <c r="V313" s="8" t="s">
        <v>95</v>
      </c>
      <c r="W313" s="8">
        <v>1</v>
      </c>
      <c r="X313" s="8" t="s">
        <v>95</v>
      </c>
      <c r="Y313" s="8">
        <v>1</v>
      </c>
      <c r="Z313" s="8" t="s">
        <v>95</v>
      </c>
      <c r="AA313" s="8">
        <v>1</v>
      </c>
      <c r="AB313" s="8" t="s">
        <v>95</v>
      </c>
      <c r="AC313" s="8">
        <v>1</v>
      </c>
      <c r="AD313" s="8" t="s">
        <v>95</v>
      </c>
      <c r="AE313" s="8">
        <v>1</v>
      </c>
      <c r="AF313" s="8" t="s">
        <v>94</v>
      </c>
      <c r="AG313" s="8">
        <v>0</v>
      </c>
      <c r="AH313" s="8" t="s">
        <v>94</v>
      </c>
      <c r="AI313" s="8">
        <v>0</v>
      </c>
      <c r="AJ313" s="8" t="s">
        <v>95</v>
      </c>
      <c r="AK313" s="8">
        <v>1</v>
      </c>
      <c r="AL313" s="8" t="s">
        <v>95</v>
      </c>
      <c r="AM313" s="8">
        <v>1</v>
      </c>
      <c r="AN313" s="8">
        <v>10</v>
      </c>
    </row>
    <row r="314" spans="1:40" x14ac:dyDescent="0.25">
      <c r="A314" s="8" t="s">
        <v>374</v>
      </c>
      <c r="B314" s="9">
        <v>42033.677777777775</v>
      </c>
      <c r="C314" s="8">
        <v>0</v>
      </c>
      <c r="D314" s="9">
        <v>42037.167361111111</v>
      </c>
      <c r="E314" s="8" t="s">
        <v>93</v>
      </c>
      <c r="F314" s="8">
        <v>14</v>
      </c>
      <c r="G314" s="8" t="s">
        <v>94</v>
      </c>
      <c r="H314" s="8" t="s">
        <v>95</v>
      </c>
      <c r="I314" s="8">
        <v>1</v>
      </c>
      <c r="J314" s="8" t="s">
        <v>95</v>
      </c>
      <c r="K314" s="8">
        <v>1</v>
      </c>
      <c r="L314" s="8" t="s">
        <v>95</v>
      </c>
      <c r="M314" s="8">
        <v>1</v>
      </c>
      <c r="N314" s="8" t="s">
        <v>94</v>
      </c>
      <c r="O314" s="8">
        <v>0</v>
      </c>
      <c r="P314" s="8" t="s">
        <v>95</v>
      </c>
      <c r="Q314" s="8">
        <v>1</v>
      </c>
      <c r="R314" s="8" t="s">
        <v>95</v>
      </c>
      <c r="S314" s="8">
        <v>1</v>
      </c>
      <c r="T314" s="8" t="s">
        <v>94</v>
      </c>
      <c r="U314" s="8">
        <v>0</v>
      </c>
      <c r="V314" s="8" t="s">
        <v>95</v>
      </c>
      <c r="W314" s="8">
        <v>1</v>
      </c>
      <c r="X314" s="8" t="s">
        <v>95</v>
      </c>
      <c r="Y314" s="8">
        <v>1</v>
      </c>
      <c r="Z314" s="8" t="s">
        <v>95</v>
      </c>
      <c r="AA314" s="8">
        <v>1</v>
      </c>
      <c r="AB314" s="8" t="s">
        <v>95</v>
      </c>
      <c r="AC314" s="8">
        <v>1</v>
      </c>
      <c r="AD314" s="8" t="s">
        <v>95</v>
      </c>
      <c r="AE314" s="8">
        <v>1</v>
      </c>
      <c r="AF314" s="8" t="s">
        <v>95</v>
      </c>
      <c r="AG314" s="8">
        <v>1</v>
      </c>
      <c r="AH314" s="8" t="s">
        <v>95</v>
      </c>
      <c r="AI314" s="8">
        <v>1</v>
      </c>
      <c r="AJ314" s="8" t="s">
        <v>95</v>
      </c>
      <c r="AK314" s="8">
        <v>1</v>
      </c>
      <c r="AL314" s="8" t="s">
        <v>95</v>
      </c>
      <c r="AM314" s="8">
        <v>1</v>
      </c>
      <c r="AN314" s="8">
        <v>14</v>
      </c>
    </row>
    <row r="315" spans="1:40" x14ac:dyDescent="0.25">
      <c r="A315" s="8" t="s">
        <v>375</v>
      </c>
      <c r="B315" s="9">
        <v>42033.679166666669</v>
      </c>
      <c r="C315" s="8">
        <v>0</v>
      </c>
      <c r="D315" s="9">
        <v>42037.171527777777</v>
      </c>
      <c r="E315" s="8" t="s">
        <v>93</v>
      </c>
      <c r="F315" s="8">
        <v>16</v>
      </c>
      <c r="G315" s="8" t="s">
        <v>94</v>
      </c>
      <c r="H315" s="8" t="s">
        <v>95</v>
      </c>
      <c r="I315" s="8">
        <v>1</v>
      </c>
      <c r="J315" s="8" t="s">
        <v>95</v>
      </c>
      <c r="K315" s="8">
        <v>1</v>
      </c>
      <c r="L315" s="8" t="s">
        <v>95</v>
      </c>
      <c r="M315" s="8">
        <v>1</v>
      </c>
      <c r="N315" s="8" t="s">
        <v>95</v>
      </c>
      <c r="O315" s="8">
        <v>1</v>
      </c>
      <c r="P315" s="8" t="s">
        <v>95</v>
      </c>
      <c r="Q315" s="8">
        <v>1</v>
      </c>
      <c r="R315" s="8" t="s">
        <v>95</v>
      </c>
      <c r="S315" s="8">
        <v>1</v>
      </c>
      <c r="T315" s="8" t="s">
        <v>95</v>
      </c>
      <c r="U315" s="8">
        <v>1</v>
      </c>
      <c r="V315" s="8" t="s">
        <v>95</v>
      </c>
      <c r="W315" s="8">
        <v>1</v>
      </c>
      <c r="X315" s="8" t="s">
        <v>95</v>
      </c>
      <c r="Y315" s="8">
        <v>1</v>
      </c>
      <c r="Z315" s="8" t="s">
        <v>95</v>
      </c>
      <c r="AA315" s="8">
        <v>1</v>
      </c>
      <c r="AB315" s="8" t="s">
        <v>95</v>
      </c>
      <c r="AC315" s="8">
        <v>1</v>
      </c>
      <c r="AD315" s="8" t="s">
        <v>95</v>
      </c>
      <c r="AE315" s="8">
        <v>1</v>
      </c>
      <c r="AF315" s="8" t="s">
        <v>95</v>
      </c>
      <c r="AG315" s="8">
        <v>1</v>
      </c>
      <c r="AH315" s="8" t="s">
        <v>95</v>
      </c>
      <c r="AI315" s="8">
        <v>1</v>
      </c>
      <c r="AJ315" s="8" t="s">
        <v>95</v>
      </c>
      <c r="AK315" s="8">
        <v>1</v>
      </c>
      <c r="AL315" s="8" t="s">
        <v>95</v>
      </c>
      <c r="AM315" s="8">
        <v>1</v>
      </c>
      <c r="AN315" s="8">
        <v>16</v>
      </c>
    </row>
    <row r="316" spans="1:40" x14ac:dyDescent="0.25">
      <c r="A316" s="8" t="s">
        <v>376</v>
      </c>
      <c r="B316" s="9">
        <v>42033.654861111114</v>
      </c>
      <c r="C316" s="8">
        <v>0</v>
      </c>
      <c r="D316" s="9">
        <v>42037.17291666667</v>
      </c>
      <c r="E316" s="8" t="s">
        <v>93</v>
      </c>
      <c r="F316" s="8">
        <v>12</v>
      </c>
      <c r="G316" s="8" t="s">
        <v>94</v>
      </c>
      <c r="H316" s="8" t="s">
        <v>95</v>
      </c>
      <c r="I316" s="8">
        <v>1</v>
      </c>
      <c r="J316" s="8" t="s">
        <v>94</v>
      </c>
      <c r="K316" s="8">
        <v>0</v>
      </c>
      <c r="L316" s="8" t="s">
        <v>94</v>
      </c>
      <c r="M316" s="8">
        <v>0</v>
      </c>
      <c r="N316" s="8" t="s">
        <v>95</v>
      </c>
      <c r="O316" s="8">
        <v>1</v>
      </c>
      <c r="P316" s="8" t="s">
        <v>95</v>
      </c>
      <c r="Q316" s="8">
        <v>1</v>
      </c>
      <c r="R316" s="8" t="s">
        <v>95</v>
      </c>
      <c r="S316" s="8">
        <v>1</v>
      </c>
      <c r="T316" s="8" t="s">
        <v>95</v>
      </c>
      <c r="U316" s="8">
        <v>1</v>
      </c>
      <c r="V316" s="8" t="s">
        <v>95</v>
      </c>
      <c r="W316" s="8">
        <v>1</v>
      </c>
      <c r="X316" s="8" t="s">
        <v>94</v>
      </c>
      <c r="Y316" s="8">
        <v>0</v>
      </c>
      <c r="Z316" s="8" t="s">
        <v>94</v>
      </c>
      <c r="AA316" s="8">
        <v>0</v>
      </c>
      <c r="AB316" s="8" t="s">
        <v>95</v>
      </c>
      <c r="AC316" s="8">
        <v>1</v>
      </c>
      <c r="AD316" s="8" t="s">
        <v>95</v>
      </c>
      <c r="AE316" s="8">
        <v>1</v>
      </c>
      <c r="AF316" s="8" t="s">
        <v>95</v>
      </c>
      <c r="AG316" s="8">
        <v>1</v>
      </c>
      <c r="AH316" s="8" t="s">
        <v>95</v>
      </c>
      <c r="AI316" s="8">
        <v>1</v>
      </c>
      <c r="AJ316" s="8" t="s">
        <v>95</v>
      </c>
      <c r="AK316" s="8">
        <v>1</v>
      </c>
      <c r="AL316" s="8" t="s">
        <v>95</v>
      </c>
      <c r="AM316" s="8">
        <v>1</v>
      </c>
      <c r="AN316" s="8">
        <v>12</v>
      </c>
    </row>
    <row r="317" spans="1:40" x14ac:dyDescent="0.25">
      <c r="A317" s="8" t="s">
        <v>377</v>
      </c>
      <c r="B317" s="9">
        <v>42033.683333333334</v>
      </c>
      <c r="C317" s="8">
        <v>0</v>
      </c>
      <c r="D317" s="9">
        <v>42037.174305555556</v>
      </c>
      <c r="E317" s="8" t="s">
        <v>93</v>
      </c>
      <c r="F317" s="8">
        <v>16</v>
      </c>
      <c r="G317" s="8" t="s">
        <v>94</v>
      </c>
      <c r="H317" s="8" t="s">
        <v>95</v>
      </c>
      <c r="I317" s="8">
        <v>1</v>
      </c>
      <c r="J317" s="8" t="s">
        <v>95</v>
      </c>
      <c r="K317" s="8">
        <v>1</v>
      </c>
      <c r="L317" s="8" t="s">
        <v>95</v>
      </c>
      <c r="M317" s="8">
        <v>1</v>
      </c>
      <c r="N317" s="8" t="s">
        <v>95</v>
      </c>
      <c r="O317" s="8">
        <v>1</v>
      </c>
      <c r="P317" s="8" t="s">
        <v>95</v>
      </c>
      <c r="Q317" s="8">
        <v>1</v>
      </c>
      <c r="R317" s="8" t="s">
        <v>95</v>
      </c>
      <c r="S317" s="8">
        <v>1</v>
      </c>
      <c r="T317" s="8" t="s">
        <v>95</v>
      </c>
      <c r="U317" s="8">
        <v>1</v>
      </c>
      <c r="V317" s="8" t="s">
        <v>95</v>
      </c>
      <c r="W317" s="8">
        <v>1</v>
      </c>
      <c r="X317" s="8" t="s">
        <v>95</v>
      </c>
      <c r="Y317" s="8">
        <v>1</v>
      </c>
      <c r="Z317" s="8" t="s">
        <v>95</v>
      </c>
      <c r="AA317" s="8">
        <v>1</v>
      </c>
      <c r="AB317" s="8" t="s">
        <v>95</v>
      </c>
      <c r="AC317" s="8">
        <v>1</v>
      </c>
      <c r="AD317" s="8" t="s">
        <v>95</v>
      </c>
      <c r="AE317" s="8">
        <v>1</v>
      </c>
      <c r="AF317" s="8" t="s">
        <v>95</v>
      </c>
      <c r="AG317" s="8">
        <v>1</v>
      </c>
      <c r="AH317" s="8" t="s">
        <v>95</v>
      </c>
      <c r="AI317" s="8">
        <v>1</v>
      </c>
      <c r="AJ317" s="8" t="s">
        <v>95</v>
      </c>
      <c r="AK317" s="8">
        <v>1</v>
      </c>
      <c r="AL317" s="8" t="s">
        <v>95</v>
      </c>
      <c r="AM317" s="8">
        <v>1</v>
      </c>
      <c r="AN317" s="8">
        <v>16</v>
      </c>
    </row>
    <row r="318" spans="1:40" x14ac:dyDescent="0.25">
      <c r="A318" s="8" t="s">
        <v>378</v>
      </c>
      <c r="B318" s="9">
        <v>42033.665277777778</v>
      </c>
      <c r="C318" s="8">
        <v>0</v>
      </c>
      <c r="D318" s="9">
        <v>42037.180555555555</v>
      </c>
      <c r="E318" s="8" t="s">
        <v>93</v>
      </c>
      <c r="F318" s="8">
        <v>3</v>
      </c>
      <c r="G318" s="8" t="s">
        <v>94</v>
      </c>
      <c r="H318" s="8" t="s">
        <v>94</v>
      </c>
      <c r="I318" s="8">
        <v>0</v>
      </c>
      <c r="J318" s="8" t="s">
        <v>94</v>
      </c>
      <c r="K318" s="8">
        <v>0</v>
      </c>
      <c r="L318" s="8" t="s">
        <v>94</v>
      </c>
      <c r="M318" s="8">
        <v>0</v>
      </c>
      <c r="N318" s="8" t="s">
        <v>94</v>
      </c>
      <c r="O318" s="8">
        <v>0</v>
      </c>
      <c r="P318" s="8" t="s">
        <v>95</v>
      </c>
      <c r="Q318" s="8">
        <v>1</v>
      </c>
      <c r="R318" s="8" t="s">
        <v>94</v>
      </c>
      <c r="S318" s="8">
        <v>0</v>
      </c>
      <c r="T318" s="8" t="s">
        <v>94</v>
      </c>
      <c r="U318" s="8">
        <v>0</v>
      </c>
      <c r="V318" s="8" t="s">
        <v>94</v>
      </c>
      <c r="W318" s="8">
        <v>0</v>
      </c>
      <c r="X318" s="8" t="s">
        <v>94</v>
      </c>
      <c r="Y318" s="8">
        <v>0</v>
      </c>
      <c r="Z318" s="8" t="s">
        <v>94</v>
      </c>
      <c r="AA318" s="8">
        <v>0</v>
      </c>
      <c r="AB318" s="8" t="s">
        <v>94</v>
      </c>
      <c r="AC318" s="8">
        <v>0</v>
      </c>
      <c r="AD318" s="8" t="s">
        <v>95</v>
      </c>
      <c r="AE318" s="8">
        <v>1</v>
      </c>
      <c r="AF318" s="8" t="s">
        <v>94</v>
      </c>
      <c r="AG318" s="8">
        <v>0</v>
      </c>
      <c r="AH318" s="8" t="s">
        <v>94</v>
      </c>
      <c r="AI318" s="8">
        <v>0</v>
      </c>
      <c r="AJ318" s="8" t="s">
        <v>95</v>
      </c>
      <c r="AK318" s="8">
        <v>1</v>
      </c>
      <c r="AL318" s="8" t="s">
        <v>94</v>
      </c>
      <c r="AM318" s="8">
        <v>0</v>
      </c>
      <c r="AN318" s="8">
        <v>3</v>
      </c>
    </row>
    <row r="319" spans="1:40" x14ac:dyDescent="0.25">
      <c r="A319" s="8" t="s">
        <v>379</v>
      </c>
      <c r="B319" s="9">
        <v>42033.663888888892</v>
      </c>
      <c r="C319" s="8">
        <v>0</v>
      </c>
      <c r="D319" s="9">
        <v>42037.191666666666</v>
      </c>
      <c r="E319" s="8" t="s">
        <v>93</v>
      </c>
      <c r="F319" s="8">
        <v>7</v>
      </c>
      <c r="G319" s="8" t="s">
        <v>94</v>
      </c>
      <c r="H319" s="8" t="s">
        <v>94</v>
      </c>
      <c r="I319" s="8">
        <v>0</v>
      </c>
      <c r="J319" s="8" t="s">
        <v>94</v>
      </c>
      <c r="K319" s="8">
        <v>0</v>
      </c>
      <c r="L319" s="8" t="s">
        <v>94</v>
      </c>
      <c r="M319" s="8">
        <v>0</v>
      </c>
      <c r="N319" s="8" t="s">
        <v>95</v>
      </c>
      <c r="O319" s="8">
        <v>1</v>
      </c>
      <c r="P319" s="8" t="s">
        <v>94</v>
      </c>
      <c r="Q319" s="8">
        <v>0</v>
      </c>
      <c r="R319" s="8" t="s">
        <v>95</v>
      </c>
      <c r="S319" s="8">
        <v>1</v>
      </c>
      <c r="T319" s="8" t="s">
        <v>94</v>
      </c>
      <c r="U319" s="8">
        <v>0</v>
      </c>
      <c r="V319" s="8" t="s">
        <v>95</v>
      </c>
      <c r="W319" s="8">
        <v>1</v>
      </c>
      <c r="X319" s="8" t="s">
        <v>95</v>
      </c>
      <c r="Y319" s="8">
        <v>1</v>
      </c>
      <c r="Z319" s="8" t="s">
        <v>95</v>
      </c>
      <c r="AA319" s="8">
        <v>1</v>
      </c>
      <c r="AB319" s="8" t="s">
        <v>95</v>
      </c>
      <c r="AC319" s="8">
        <v>1</v>
      </c>
      <c r="AD319" s="8" t="s">
        <v>94</v>
      </c>
      <c r="AE319" s="8">
        <v>0</v>
      </c>
      <c r="AF319" s="8" t="s">
        <v>94</v>
      </c>
      <c r="AG319" s="8">
        <v>0</v>
      </c>
      <c r="AH319" s="8" t="s">
        <v>95</v>
      </c>
      <c r="AI319" s="8">
        <v>1</v>
      </c>
      <c r="AJ319" s="8" t="s">
        <v>94</v>
      </c>
      <c r="AK319" s="8">
        <v>0</v>
      </c>
      <c r="AL319" s="8" t="s">
        <v>94</v>
      </c>
      <c r="AM319" s="8">
        <v>0</v>
      </c>
      <c r="AN319" s="8">
        <v>7</v>
      </c>
    </row>
    <row r="320" spans="1:40" x14ac:dyDescent="0.25">
      <c r="A320" s="8" t="s">
        <v>380</v>
      </c>
      <c r="B320" s="9">
        <v>42033.664583333331</v>
      </c>
      <c r="C320" s="8">
        <v>0</v>
      </c>
      <c r="D320" s="9">
        <v>42037.197222222225</v>
      </c>
      <c r="E320" s="8" t="s">
        <v>93</v>
      </c>
      <c r="F320" s="8">
        <v>9</v>
      </c>
      <c r="G320" s="8" t="s">
        <v>94</v>
      </c>
      <c r="H320" s="8" t="s">
        <v>94</v>
      </c>
      <c r="I320" s="8">
        <v>0</v>
      </c>
      <c r="J320" s="8" t="s">
        <v>94</v>
      </c>
      <c r="K320" s="8">
        <v>0</v>
      </c>
      <c r="L320" s="8" t="s">
        <v>94</v>
      </c>
      <c r="M320" s="8">
        <v>0</v>
      </c>
      <c r="N320" s="8" t="s">
        <v>94</v>
      </c>
      <c r="O320" s="8">
        <v>0</v>
      </c>
      <c r="P320" s="8" t="s">
        <v>95</v>
      </c>
      <c r="Q320" s="8">
        <v>1</v>
      </c>
      <c r="R320" s="8" t="s">
        <v>95</v>
      </c>
      <c r="S320" s="8">
        <v>1</v>
      </c>
      <c r="T320" s="8" t="s">
        <v>95</v>
      </c>
      <c r="U320" s="8">
        <v>1</v>
      </c>
      <c r="V320" s="8" t="s">
        <v>95</v>
      </c>
      <c r="W320" s="8">
        <v>1</v>
      </c>
      <c r="X320" s="8" t="s">
        <v>94</v>
      </c>
      <c r="Y320" s="8">
        <v>0</v>
      </c>
      <c r="Z320" s="8" t="s">
        <v>94</v>
      </c>
      <c r="AA320" s="8">
        <v>0</v>
      </c>
      <c r="AB320" s="8" t="s">
        <v>95</v>
      </c>
      <c r="AC320" s="8">
        <v>1</v>
      </c>
      <c r="AD320" s="8" t="s">
        <v>95</v>
      </c>
      <c r="AE320" s="8">
        <v>1</v>
      </c>
      <c r="AF320" s="8" t="s">
        <v>95</v>
      </c>
      <c r="AG320" s="8">
        <v>1</v>
      </c>
      <c r="AH320" s="8" t="s">
        <v>95</v>
      </c>
      <c r="AI320" s="8">
        <v>1</v>
      </c>
      <c r="AJ320" s="8" t="s">
        <v>95</v>
      </c>
      <c r="AK320" s="8">
        <v>1</v>
      </c>
      <c r="AL320" s="8" t="s">
        <v>94</v>
      </c>
      <c r="AM320" s="8">
        <v>0</v>
      </c>
      <c r="AN320" s="8">
        <v>9</v>
      </c>
    </row>
    <row r="321" spans="1:40" x14ac:dyDescent="0.25">
      <c r="A321" s="8" t="s">
        <v>381</v>
      </c>
      <c r="B321" s="9">
        <v>42033.684027777781</v>
      </c>
      <c r="C321" s="8">
        <v>0</v>
      </c>
      <c r="D321" s="9">
        <v>42037.201388888891</v>
      </c>
      <c r="E321" s="8" t="s">
        <v>93</v>
      </c>
      <c r="F321" s="8">
        <v>16</v>
      </c>
      <c r="G321" s="8" t="s">
        <v>94</v>
      </c>
      <c r="H321" s="8" t="s">
        <v>95</v>
      </c>
      <c r="I321" s="8">
        <v>1</v>
      </c>
      <c r="J321" s="8" t="s">
        <v>95</v>
      </c>
      <c r="K321" s="8">
        <v>1</v>
      </c>
      <c r="L321" s="8" t="s">
        <v>95</v>
      </c>
      <c r="M321" s="8">
        <v>1</v>
      </c>
      <c r="N321" s="8" t="s">
        <v>95</v>
      </c>
      <c r="O321" s="8">
        <v>1</v>
      </c>
      <c r="P321" s="8" t="s">
        <v>95</v>
      </c>
      <c r="Q321" s="8">
        <v>1</v>
      </c>
      <c r="R321" s="8" t="s">
        <v>95</v>
      </c>
      <c r="S321" s="8">
        <v>1</v>
      </c>
      <c r="T321" s="8" t="s">
        <v>95</v>
      </c>
      <c r="U321" s="8">
        <v>1</v>
      </c>
      <c r="V321" s="8" t="s">
        <v>95</v>
      </c>
      <c r="W321" s="8">
        <v>1</v>
      </c>
      <c r="X321" s="8" t="s">
        <v>95</v>
      </c>
      <c r="Y321" s="8">
        <v>1</v>
      </c>
      <c r="Z321" s="8" t="s">
        <v>95</v>
      </c>
      <c r="AA321" s="8">
        <v>1</v>
      </c>
      <c r="AB321" s="8" t="s">
        <v>95</v>
      </c>
      <c r="AC321" s="8">
        <v>1</v>
      </c>
      <c r="AD321" s="8" t="s">
        <v>95</v>
      </c>
      <c r="AE321" s="8">
        <v>1</v>
      </c>
      <c r="AF321" s="8" t="s">
        <v>95</v>
      </c>
      <c r="AG321" s="8">
        <v>1</v>
      </c>
      <c r="AH321" s="8" t="s">
        <v>95</v>
      </c>
      <c r="AI321" s="8">
        <v>1</v>
      </c>
      <c r="AJ321" s="8" t="s">
        <v>95</v>
      </c>
      <c r="AK321" s="8">
        <v>1</v>
      </c>
      <c r="AL321" s="8" t="s">
        <v>95</v>
      </c>
      <c r="AM321" s="8">
        <v>1</v>
      </c>
      <c r="AN321" s="8">
        <v>16</v>
      </c>
    </row>
    <row r="322" spans="1:40" x14ac:dyDescent="0.25">
      <c r="A322" s="8" t="s">
        <v>382</v>
      </c>
      <c r="B322" s="9">
        <v>42033.657638888886</v>
      </c>
      <c r="C322" s="8">
        <v>0</v>
      </c>
      <c r="D322" s="9">
        <v>42037.20208333333</v>
      </c>
      <c r="E322" s="8" t="s">
        <v>93</v>
      </c>
      <c r="F322" s="8">
        <v>14</v>
      </c>
      <c r="G322" s="8" t="s">
        <v>94</v>
      </c>
      <c r="H322" s="8" t="s">
        <v>95</v>
      </c>
      <c r="I322" s="8">
        <v>1</v>
      </c>
      <c r="J322" s="8" t="s">
        <v>95</v>
      </c>
      <c r="K322" s="8">
        <v>1</v>
      </c>
      <c r="L322" s="8" t="s">
        <v>95</v>
      </c>
      <c r="M322" s="8">
        <v>1</v>
      </c>
      <c r="N322" s="8" t="s">
        <v>95</v>
      </c>
      <c r="O322" s="8">
        <v>1</v>
      </c>
      <c r="P322" s="8" t="s">
        <v>95</v>
      </c>
      <c r="Q322" s="8">
        <v>1</v>
      </c>
      <c r="R322" s="8" t="s">
        <v>94</v>
      </c>
      <c r="S322" s="8">
        <v>0</v>
      </c>
      <c r="T322" s="8" t="s">
        <v>95</v>
      </c>
      <c r="U322" s="8">
        <v>1</v>
      </c>
      <c r="V322" s="8" t="s">
        <v>95</v>
      </c>
      <c r="W322" s="8">
        <v>1</v>
      </c>
      <c r="X322" s="8" t="s">
        <v>95</v>
      </c>
      <c r="Y322" s="8">
        <v>1</v>
      </c>
      <c r="Z322" s="8" t="s">
        <v>95</v>
      </c>
      <c r="AA322" s="8">
        <v>1</v>
      </c>
      <c r="AB322" s="8" t="s">
        <v>95</v>
      </c>
      <c r="AC322" s="8">
        <v>1</v>
      </c>
      <c r="AD322" s="8" t="s">
        <v>95</v>
      </c>
      <c r="AE322" s="8">
        <v>1</v>
      </c>
      <c r="AF322" s="8" t="s">
        <v>95</v>
      </c>
      <c r="AG322" s="8">
        <v>1</v>
      </c>
      <c r="AH322" s="8" t="s">
        <v>95</v>
      </c>
      <c r="AI322" s="8">
        <v>1</v>
      </c>
      <c r="AJ322" s="8" t="s">
        <v>95</v>
      </c>
      <c r="AK322" s="8">
        <v>1</v>
      </c>
      <c r="AL322" s="8" t="s">
        <v>94</v>
      </c>
      <c r="AM322" s="8">
        <v>0</v>
      </c>
      <c r="AN322" s="8">
        <v>14</v>
      </c>
    </row>
    <row r="323" spans="1:40" x14ac:dyDescent="0.25">
      <c r="A323" s="8" t="s">
        <v>383</v>
      </c>
      <c r="B323" s="9">
        <v>42033.680555555555</v>
      </c>
      <c r="C323" s="8">
        <v>0</v>
      </c>
      <c r="D323" s="9">
        <v>42037.20208333333</v>
      </c>
      <c r="E323" s="8" t="s">
        <v>93</v>
      </c>
      <c r="F323" s="8">
        <v>11</v>
      </c>
      <c r="G323" s="8" t="s">
        <v>94</v>
      </c>
      <c r="H323" s="8" t="s">
        <v>95</v>
      </c>
      <c r="I323" s="8">
        <v>1</v>
      </c>
      <c r="J323" s="8" t="s">
        <v>95</v>
      </c>
      <c r="K323" s="8">
        <v>1</v>
      </c>
      <c r="L323" s="8" t="s">
        <v>95</v>
      </c>
      <c r="M323" s="8">
        <v>1</v>
      </c>
      <c r="N323" s="8" t="s">
        <v>94</v>
      </c>
      <c r="O323" s="8">
        <v>0</v>
      </c>
      <c r="P323" s="8" t="s">
        <v>95</v>
      </c>
      <c r="Q323" s="8">
        <v>1</v>
      </c>
      <c r="R323" s="8" t="s">
        <v>95</v>
      </c>
      <c r="S323" s="8">
        <v>1</v>
      </c>
      <c r="T323" s="8" t="s">
        <v>95</v>
      </c>
      <c r="U323" s="8">
        <v>1</v>
      </c>
      <c r="V323" s="8" t="s">
        <v>94</v>
      </c>
      <c r="W323" s="8">
        <v>0</v>
      </c>
      <c r="X323" s="8" t="s">
        <v>94</v>
      </c>
      <c r="Y323" s="8">
        <v>0</v>
      </c>
      <c r="Z323" s="8" t="s">
        <v>94</v>
      </c>
      <c r="AA323" s="8">
        <v>0</v>
      </c>
      <c r="AB323" s="8" t="s">
        <v>94</v>
      </c>
      <c r="AC323" s="8">
        <v>0</v>
      </c>
      <c r="AD323" s="8" t="s">
        <v>95</v>
      </c>
      <c r="AE323" s="8">
        <v>1</v>
      </c>
      <c r="AF323" s="8" t="s">
        <v>95</v>
      </c>
      <c r="AG323" s="8">
        <v>1</v>
      </c>
      <c r="AH323" s="8" t="s">
        <v>95</v>
      </c>
      <c r="AI323" s="8">
        <v>1</v>
      </c>
      <c r="AJ323" s="8" t="s">
        <v>95</v>
      </c>
      <c r="AK323" s="8">
        <v>1</v>
      </c>
      <c r="AL323" s="8" t="s">
        <v>95</v>
      </c>
      <c r="AM323" s="8">
        <v>1</v>
      </c>
      <c r="AN323" s="8">
        <v>11</v>
      </c>
    </row>
    <row r="324" spans="1:40" x14ac:dyDescent="0.25">
      <c r="A324" s="8" t="s">
        <v>384</v>
      </c>
      <c r="B324" s="9">
        <v>42033.679166666669</v>
      </c>
      <c r="C324" s="8">
        <v>0</v>
      </c>
      <c r="D324" s="9">
        <v>42037.211111111108</v>
      </c>
      <c r="E324" s="8" t="s">
        <v>93</v>
      </c>
      <c r="F324" s="8">
        <v>16</v>
      </c>
      <c r="G324" s="8" t="s">
        <v>94</v>
      </c>
      <c r="H324" s="8" t="s">
        <v>95</v>
      </c>
      <c r="I324" s="8">
        <v>1</v>
      </c>
      <c r="J324" s="8" t="s">
        <v>95</v>
      </c>
      <c r="K324" s="8">
        <v>1</v>
      </c>
      <c r="L324" s="8" t="s">
        <v>95</v>
      </c>
      <c r="M324" s="8">
        <v>1</v>
      </c>
      <c r="N324" s="8" t="s">
        <v>95</v>
      </c>
      <c r="O324" s="8">
        <v>1</v>
      </c>
      <c r="P324" s="8" t="s">
        <v>95</v>
      </c>
      <c r="Q324" s="8">
        <v>1</v>
      </c>
      <c r="R324" s="8" t="s">
        <v>95</v>
      </c>
      <c r="S324" s="8">
        <v>1</v>
      </c>
      <c r="T324" s="8" t="s">
        <v>95</v>
      </c>
      <c r="U324" s="8">
        <v>1</v>
      </c>
      <c r="V324" s="8" t="s">
        <v>95</v>
      </c>
      <c r="W324" s="8">
        <v>1</v>
      </c>
      <c r="X324" s="8" t="s">
        <v>95</v>
      </c>
      <c r="Y324" s="8">
        <v>1</v>
      </c>
      <c r="Z324" s="8" t="s">
        <v>95</v>
      </c>
      <c r="AA324" s="8">
        <v>1</v>
      </c>
      <c r="AB324" s="8" t="s">
        <v>95</v>
      </c>
      <c r="AC324" s="8">
        <v>1</v>
      </c>
      <c r="AD324" s="8" t="s">
        <v>95</v>
      </c>
      <c r="AE324" s="8">
        <v>1</v>
      </c>
      <c r="AF324" s="8" t="s">
        <v>95</v>
      </c>
      <c r="AG324" s="8">
        <v>1</v>
      </c>
      <c r="AH324" s="8" t="s">
        <v>95</v>
      </c>
      <c r="AI324" s="8">
        <v>1</v>
      </c>
      <c r="AJ324" s="8" t="s">
        <v>95</v>
      </c>
      <c r="AK324" s="8">
        <v>1</v>
      </c>
      <c r="AL324" s="8" t="s">
        <v>95</v>
      </c>
      <c r="AM324" s="8">
        <v>1</v>
      </c>
      <c r="AN324" s="8">
        <v>16</v>
      </c>
    </row>
    <row r="325" spans="1:40" x14ac:dyDescent="0.25">
      <c r="A325" s="8" t="s">
        <v>385</v>
      </c>
      <c r="B325" s="9">
        <v>42033.673611111109</v>
      </c>
      <c r="C325" s="8">
        <v>0</v>
      </c>
      <c r="D325" s="9">
        <v>42037.218055555553</v>
      </c>
      <c r="E325" s="8" t="s">
        <v>93</v>
      </c>
      <c r="F325" s="8">
        <v>15</v>
      </c>
      <c r="G325" s="8" t="s">
        <v>94</v>
      </c>
      <c r="H325" s="8" t="s">
        <v>95</v>
      </c>
      <c r="I325" s="8">
        <v>1</v>
      </c>
      <c r="J325" s="8" t="s">
        <v>95</v>
      </c>
      <c r="K325" s="8">
        <v>1</v>
      </c>
      <c r="L325" s="8" t="s">
        <v>95</v>
      </c>
      <c r="M325" s="8">
        <v>1</v>
      </c>
      <c r="N325" s="8" t="s">
        <v>95</v>
      </c>
      <c r="O325" s="8">
        <v>1</v>
      </c>
      <c r="P325" s="8" t="s">
        <v>95</v>
      </c>
      <c r="Q325" s="8">
        <v>1</v>
      </c>
      <c r="R325" s="8" t="s">
        <v>95</v>
      </c>
      <c r="S325" s="8">
        <v>1</v>
      </c>
      <c r="T325" s="8" t="s">
        <v>94</v>
      </c>
      <c r="U325" s="8">
        <v>0</v>
      </c>
      <c r="V325" s="8" t="s">
        <v>95</v>
      </c>
      <c r="W325" s="8">
        <v>1</v>
      </c>
      <c r="X325" s="8" t="s">
        <v>95</v>
      </c>
      <c r="Y325" s="8">
        <v>1</v>
      </c>
      <c r="Z325" s="8" t="s">
        <v>95</v>
      </c>
      <c r="AA325" s="8">
        <v>1</v>
      </c>
      <c r="AB325" s="8" t="s">
        <v>95</v>
      </c>
      <c r="AC325" s="8">
        <v>1</v>
      </c>
      <c r="AD325" s="8" t="s">
        <v>95</v>
      </c>
      <c r="AE325" s="8">
        <v>1</v>
      </c>
      <c r="AF325" s="8" t="s">
        <v>95</v>
      </c>
      <c r="AG325" s="8">
        <v>1</v>
      </c>
      <c r="AH325" s="8" t="s">
        <v>95</v>
      </c>
      <c r="AI325" s="8">
        <v>1</v>
      </c>
      <c r="AJ325" s="8" t="s">
        <v>95</v>
      </c>
      <c r="AK325" s="8">
        <v>1</v>
      </c>
      <c r="AL325" s="8" t="s">
        <v>95</v>
      </c>
      <c r="AM325" s="8">
        <v>1</v>
      </c>
      <c r="AN325" s="8">
        <v>15</v>
      </c>
    </row>
    <row r="326" spans="1:40" x14ac:dyDescent="0.25">
      <c r="A326" s="8" t="s">
        <v>386</v>
      </c>
      <c r="B326" s="9">
        <v>42033.666666666664</v>
      </c>
      <c r="C326" s="8">
        <v>0</v>
      </c>
      <c r="D326" s="9">
        <v>42037.22152777778</v>
      </c>
      <c r="E326" s="8" t="s">
        <v>93</v>
      </c>
      <c r="F326" s="8">
        <v>15</v>
      </c>
      <c r="G326" s="8" t="s">
        <v>94</v>
      </c>
      <c r="H326" s="8" t="s">
        <v>95</v>
      </c>
      <c r="I326" s="8">
        <v>1</v>
      </c>
      <c r="J326" s="8" t="s">
        <v>95</v>
      </c>
      <c r="K326" s="8">
        <v>1</v>
      </c>
      <c r="L326" s="8" t="s">
        <v>95</v>
      </c>
      <c r="M326" s="8">
        <v>1</v>
      </c>
      <c r="N326" s="8" t="s">
        <v>95</v>
      </c>
      <c r="O326" s="8">
        <v>1</v>
      </c>
      <c r="P326" s="8" t="s">
        <v>95</v>
      </c>
      <c r="Q326" s="8">
        <v>1</v>
      </c>
      <c r="R326" s="8" t="s">
        <v>95</v>
      </c>
      <c r="S326" s="8">
        <v>1</v>
      </c>
      <c r="T326" s="8" t="s">
        <v>94</v>
      </c>
      <c r="U326" s="8">
        <v>0</v>
      </c>
      <c r="V326" s="8" t="s">
        <v>95</v>
      </c>
      <c r="W326" s="8">
        <v>1</v>
      </c>
      <c r="X326" s="8" t="s">
        <v>95</v>
      </c>
      <c r="Y326" s="8">
        <v>1</v>
      </c>
      <c r="Z326" s="8" t="s">
        <v>95</v>
      </c>
      <c r="AA326" s="8">
        <v>1</v>
      </c>
      <c r="AB326" s="8" t="s">
        <v>95</v>
      </c>
      <c r="AC326" s="8">
        <v>1</v>
      </c>
      <c r="AD326" s="8" t="s">
        <v>95</v>
      </c>
      <c r="AE326" s="8">
        <v>1</v>
      </c>
      <c r="AF326" s="8" t="s">
        <v>95</v>
      </c>
      <c r="AG326" s="8">
        <v>1</v>
      </c>
      <c r="AH326" s="8" t="s">
        <v>95</v>
      </c>
      <c r="AI326" s="8">
        <v>1</v>
      </c>
      <c r="AJ326" s="8" t="s">
        <v>95</v>
      </c>
      <c r="AK326" s="8">
        <v>1</v>
      </c>
      <c r="AL326" s="8" t="s">
        <v>95</v>
      </c>
      <c r="AM326" s="8">
        <v>1</v>
      </c>
      <c r="AN326" s="8">
        <v>15</v>
      </c>
    </row>
    <row r="327" spans="1:40" x14ac:dyDescent="0.25">
      <c r="A327" s="8" t="s">
        <v>387</v>
      </c>
      <c r="B327" s="9">
        <v>42033.673611111109</v>
      </c>
      <c r="C327" s="8">
        <v>0</v>
      </c>
      <c r="D327" s="9">
        <v>42037.22152777778</v>
      </c>
      <c r="E327" s="8" t="s">
        <v>93</v>
      </c>
      <c r="F327" s="8">
        <v>16</v>
      </c>
      <c r="G327" s="8" t="s">
        <v>94</v>
      </c>
      <c r="H327" s="8" t="s">
        <v>95</v>
      </c>
      <c r="I327" s="8">
        <v>1</v>
      </c>
      <c r="J327" s="8" t="s">
        <v>95</v>
      </c>
      <c r="K327" s="8">
        <v>1</v>
      </c>
      <c r="L327" s="8" t="s">
        <v>95</v>
      </c>
      <c r="M327" s="8">
        <v>1</v>
      </c>
      <c r="N327" s="8" t="s">
        <v>95</v>
      </c>
      <c r="O327" s="8">
        <v>1</v>
      </c>
      <c r="P327" s="8" t="s">
        <v>95</v>
      </c>
      <c r="Q327" s="8">
        <v>1</v>
      </c>
      <c r="R327" s="8" t="s">
        <v>95</v>
      </c>
      <c r="S327" s="8">
        <v>1</v>
      </c>
      <c r="T327" s="8" t="s">
        <v>95</v>
      </c>
      <c r="U327" s="8">
        <v>1</v>
      </c>
      <c r="V327" s="8" t="s">
        <v>95</v>
      </c>
      <c r="W327" s="8">
        <v>1</v>
      </c>
      <c r="X327" s="8" t="s">
        <v>95</v>
      </c>
      <c r="Y327" s="8">
        <v>1</v>
      </c>
      <c r="Z327" s="8" t="s">
        <v>95</v>
      </c>
      <c r="AA327" s="8">
        <v>1</v>
      </c>
      <c r="AB327" s="8" t="s">
        <v>95</v>
      </c>
      <c r="AC327" s="8">
        <v>1</v>
      </c>
      <c r="AD327" s="8" t="s">
        <v>95</v>
      </c>
      <c r="AE327" s="8">
        <v>1</v>
      </c>
      <c r="AF327" s="8" t="s">
        <v>95</v>
      </c>
      <c r="AG327" s="8">
        <v>1</v>
      </c>
      <c r="AH327" s="8" t="s">
        <v>95</v>
      </c>
      <c r="AI327" s="8">
        <v>1</v>
      </c>
      <c r="AJ327" s="8" t="s">
        <v>95</v>
      </c>
      <c r="AK327" s="8">
        <v>1</v>
      </c>
      <c r="AL327" s="8" t="s">
        <v>95</v>
      </c>
      <c r="AM327" s="8">
        <v>1</v>
      </c>
      <c r="AN327" s="8">
        <v>16</v>
      </c>
    </row>
    <row r="328" spans="1:40" x14ac:dyDescent="0.25">
      <c r="A328" s="8" t="s">
        <v>388</v>
      </c>
      <c r="B328" s="9">
        <v>42033.654861111114</v>
      </c>
      <c r="C328" s="8">
        <v>0</v>
      </c>
      <c r="D328" s="9">
        <v>42037.243750000001</v>
      </c>
      <c r="E328" s="8" t="s">
        <v>93</v>
      </c>
      <c r="F328" s="8">
        <v>16</v>
      </c>
      <c r="G328" s="8" t="s">
        <v>94</v>
      </c>
      <c r="H328" s="8" t="s">
        <v>95</v>
      </c>
      <c r="I328" s="8">
        <v>1</v>
      </c>
      <c r="J328" s="8" t="s">
        <v>95</v>
      </c>
      <c r="K328" s="8">
        <v>1</v>
      </c>
      <c r="L328" s="8" t="s">
        <v>95</v>
      </c>
      <c r="M328" s="8">
        <v>1</v>
      </c>
      <c r="N328" s="8" t="s">
        <v>95</v>
      </c>
      <c r="O328" s="8">
        <v>1</v>
      </c>
      <c r="P328" s="8" t="s">
        <v>95</v>
      </c>
      <c r="Q328" s="8">
        <v>1</v>
      </c>
      <c r="R328" s="8" t="s">
        <v>95</v>
      </c>
      <c r="S328" s="8">
        <v>1</v>
      </c>
      <c r="T328" s="8" t="s">
        <v>95</v>
      </c>
      <c r="U328" s="8">
        <v>1</v>
      </c>
      <c r="V328" s="8" t="s">
        <v>95</v>
      </c>
      <c r="W328" s="8">
        <v>1</v>
      </c>
      <c r="X328" s="8" t="s">
        <v>95</v>
      </c>
      <c r="Y328" s="8">
        <v>1</v>
      </c>
      <c r="Z328" s="8" t="s">
        <v>95</v>
      </c>
      <c r="AA328" s="8">
        <v>1</v>
      </c>
      <c r="AB328" s="8" t="s">
        <v>95</v>
      </c>
      <c r="AC328" s="8">
        <v>1</v>
      </c>
      <c r="AD328" s="8" t="s">
        <v>95</v>
      </c>
      <c r="AE328" s="8">
        <v>1</v>
      </c>
      <c r="AF328" s="8" t="s">
        <v>95</v>
      </c>
      <c r="AG328" s="8">
        <v>1</v>
      </c>
      <c r="AH328" s="8" t="s">
        <v>95</v>
      </c>
      <c r="AI328" s="8">
        <v>1</v>
      </c>
      <c r="AJ328" s="8" t="s">
        <v>95</v>
      </c>
      <c r="AK328" s="8">
        <v>1</v>
      </c>
      <c r="AL328" s="8" t="s">
        <v>95</v>
      </c>
      <c r="AM328" s="8">
        <v>1</v>
      </c>
      <c r="AN328" s="8">
        <v>16</v>
      </c>
    </row>
    <row r="329" spans="1:40" x14ac:dyDescent="0.25">
      <c r="A329" s="8" t="s">
        <v>389</v>
      </c>
      <c r="B329" s="9">
        <v>42033.665277777778</v>
      </c>
      <c r="C329" s="8">
        <v>0</v>
      </c>
      <c r="D329" s="9">
        <v>42037.25</v>
      </c>
      <c r="E329" s="8" t="s">
        <v>93</v>
      </c>
      <c r="F329" s="8">
        <v>5</v>
      </c>
      <c r="G329" s="8" t="s">
        <v>94</v>
      </c>
      <c r="H329" s="8" t="s">
        <v>94</v>
      </c>
      <c r="I329" s="8">
        <v>0</v>
      </c>
      <c r="J329" s="8" t="s">
        <v>94</v>
      </c>
      <c r="K329" s="8">
        <v>0</v>
      </c>
      <c r="L329" s="8" t="s">
        <v>94</v>
      </c>
      <c r="M329" s="8">
        <v>0</v>
      </c>
      <c r="N329" s="8" t="s">
        <v>94</v>
      </c>
      <c r="O329" s="8">
        <v>0</v>
      </c>
      <c r="P329" s="8" t="s">
        <v>95</v>
      </c>
      <c r="Q329" s="8">
        <v>1</v>
      </c>
      <c r="R329" s="8" t="s">
        <v>95</v>
      </c>
      <c r="S329" s="8">
        <v>1</v>
      </c>
      <c r="T329" s="8" t="s">
        <v>94</v>
      </c>
      <c r="U329" s="8">
        <v>0</v>
      </c>
      <c r="V329" s="8" t="s">
        <v>95</v>
      </c>
      <c r="W329" s="8">
        <v>1</v>
      </c>
      <c r="X329" s="8" t="s">
        <v>94</v>
      </c>
      <c r="Y329" s="8">
        <v>0</v>
      </c>
      <c r="Z329" s="8" t="s">
        <v>94</v>
      </c>
      <c r="AA329" s="8">
        <v>0</v>
      </c>
      <c r="AB329" s="8" t="s">
        <v>95</v>
      </c>
      <c r="AC329" s="8">
        <v>1</v>
      </c>
      <c r="AD329" s="8" t="s">
        <v>95</v>
      </c>
      <c r="AE329" s="8">
        <v>1</v>
      </c>
      <c r="AF329" s="8" t="s">
        <v>94</v>
      </c>
      <c r="AG329" s="8">
        <v>0</v>
      </c>
      <c r="AH329" s="8" t="s">
        <v>94</v>
      </c>
      <c r="AI329" s="8">
        <v>0</v>
      </c>
      <c r="AJ329" s="8" t="s">
        <v>94</v>
      </c>
      <c r="AK329" s="8">
        <v>0</v>
      </c>
      <c r="AL329" s="8" t="s">
        <v>94</v>
      </c>
      <c r="AM329" s="8">
        <v>0</v>
      </c>
      <c r="AN329" s="8">
        <v>5</v>
      </c>
    </row>
    <row r="330" spans="1:40" x14ac:dyDescent="0.25">
      <c r="A330" s="8" t="s">
        <v>390</v>
      </c>
      <c r="B330" s="9">
        <v>42033.677777777775</v>
      </c>
      <c r="C330" s="8">
        <v>0</v>
      </c>
      <c r="D330" s="9">
        <v>42037.253472222219</v>
      </c>
      <c r="E330" s="8" t="s">
        <v>93</v>
      </c>
      <c r="F330" s="8">
        <v>16</v>
      </c>
      <c r="G330" s="8" t="s">
        <v>94</v>
      </c>
      <c r="H330" s="8" t="s">
        <v>95</v>
      </c>
      <c r="I330" s="8">
        <v>1</v>
      </c>
      <c r="J330" s="8" t="s">
        <v>95</v>
      </c>
      <c r="K330" s="8">
        <v>1</v>
      </c>
      <c r="L330" s="8" t="s">
        <v>95</v>
      </c>
      <c r="M330" s="8">
        <v>1</v>
      </c>
      <c r="N330" s="8" t="s">
        <v>95</v>
      </c>
      <c r="O330" s="8">
        <v>1</v>
      </c>
      <c r="P330" s="8" t="s">
        <v>95</v>
      </c>
      <c r="Q330" s="8">
        <v>1</v>
      </c>
      <c r="R330" s="8" t="s">
        <v>95</v>
      </c>
      <c r="S330" s="8">
        <v>1</v>
      </c>
      <c r="T330" s="8" t="s">
        <v>95</v>
      </c>
      <c r="U330" s="8">
        <v>1</v>
      </c>
      <c r="V330" s="8" t="s">
        <v>95</v>
      </c>
      <c r="W330" s="8">
        <v>1</v>
      </c>
      <c r="X330" s="8" t="s">
        <v>95</v>
      </c>
      <c r="Y330" s="8">
        <v>1</v>
      </c>
      <c r="Z330" s="8" t="s">
        <v>95</v>
      </c>
      <c r="AA330" s="8">
        <v>1</v>
      </c>
      <c r="AB330" s="8" t="s">
        <v>95</v>
      </c>
      <c r="AC330" s="8">
        <v>1</v>
      </c>
      <c r="AD330" s="8" t="s">
        <v>95</v>
      </c>
      <c r="AE330" s="8">
        <v>1</v>
      </c>
      <c r="AF330" s="8" t="s">
        <v>95</v>
      </c>
      <c r="AG330" s="8">
        <v>1</v>
      </c>
      <c r="AH330" s="8" t="s">
        <v>95</v>
      </c>
      <c r="AI330" s="8">
        <v>1</v>
      </c>
      <c r="AJ330" s="8" t="s">
        <v>95</v>
      </c>
      <c r="AK330" s="8">
        <v>1</v>
      </c>
      <c r="AL330" s="8" t="s">
        <v>95</v>
      </c>
      <c r="AM330" s="8">
        <v>1</v>
      </c>
      <c r="AN330" s="8">
        <v>16</v>
      </c>
    </row>
    <row r="331" spans="1:40" x14ac:dyDescent="0.25">
      <c r="A331" s="8" t="s">
        <v>391</v>
      </c>
      <c r="B331" s="9">
        <v>42033.658333333333</v>
      </c>
      <c r="C331" s="8">
        <v>0</v>
      </c>
      <c r="D331" s="9">
        <v>42037.259027777778</v>
      </c>
      <c r="E331" s="8" t="s">
        <v>93</v>
      </c>
      <c r="F331" s="8">
        <v>16</v>
      </c>
      <c r="G331" s="8" t="s">
        <v>94</v>
      </c>
      <c r="H331" s="8" t="s">
        <v>95</v>
      </c>
      <c r="I331" s="8">
        <v>1</v>
      </c>
      <c r="J331" s="8" t="s">
        <v>95</v>
      </c>
      <c r="K331" s="8">
        <v>1</v>
      </c>
      <c r="L331" s="8" t="s">
        <v>95</v>
      </c>
      <c r="M331" s="8">
        <v>1</v>
      </c>
      <c r="N331" s="8" t="s">
        <v>95</v>
      </c>
      <c r="O331" s="8">
        <v>1</v>
      </c>
      <c r="P331" s="8" t="s">
        <v>95</v>
      </c>
      <c r="Q331" s="8">
        <v>1</v>
      </c>
      <c r="R331" s="8" t="s">
        <v>95</v>
      </c>
      <c r="S331" s="8">
        <v>1</v>
      </c>
      <c r="T331" s="8" t="s">
        <v>95</v>
      </c>
      <c r="U331" s="8">
        <v>1</v>
      </c>
      <c r="V331" s="8" t="s">
        <v>95</v>
      </c>
      <c r="W331" s="8">
        <v>1</v>
      </c>
      <c r="X331" s="8" t="s">
        <v>95</v>
      </c>
      <c r="Y331" s="8">
        <v>1</v>
      </c>
      <c r="Z331" s="8" t="s">
        <v>95</v>
      </c>
      <c r="AA331" s="8">
        <v>1</v>
      </c>
      <c r="AB331" s="8" t="s">
        <v>95</v>
      </c>
      <c r="AC331" s="8">
        <v>1</v>
      </c>
      <c r="AD331" s="8" t="s">
        <v>95</v>
      </c>
      <c r="AE331" s="8">
        <v>1</v>
      </c>
      <c r="AF331" s="8" t="s">
        <v>95</v>
      </c>
      <c r="AG331" s="8">
        <v>1</v>
      </c>
      <c r="AH331" s="8" t="s">
        <v>95</v>
      </c>
      <c r="AI331" s="8">
        <v>1</v>
      </c>
      <c r="AJ331" s="8" t="s">
        <v>95</v>
      </c>
      <c r="AK331" s="8">
        <v>1</v>
      </c>
      <c r="AL331" s="8" t="s">
        <v>95</v>
      </c>
      <c r="AM331" s="8">
        <v>1</v>
      </c>
      <c r="AN331" s="8">
        <v>16</v>
      </c>
    </row>
    <row r="332" spans="1:40" x14ac:dyDescent="0.25">
      <c r="A332" s="8" t="s">
        <v>392</v>
      </c>
      <c r="B332" s="9">
        <v>42033.661805555559</v>
      </c>
      <c r="C332" s="8">
        <v>0</v>
      </c>
      <c r="D332" s="9">
        <v>42037.261805555558</v>
      </c>
      <c r="E332" s="8" t="s">
        <v>93</v>
      </c>
      <c r="F332" s="8">
        <v>5</v>
      </c>
      <c r="G332" s="8" t="s">
        <v>94</v>
      </c>
      <c r="H332" s="8" t="s">
        <v>94</v>
      </c>
      <c r="I332" s="8">
        <v>0</v>
      </c>
      <c r="J332" s="8" t="s">
        <v>94</v>
      </c>
      <c r="K332" s="8">
        <v>0</v>
      </c>
      <c r="L332" s="8" t="s">
        <v>94</v>
      </c>
      <c r="M332" s="8">
        <v>0</v>
      </c>
      <c r="N332" s="8" t="s">
        <v>94</v>
      </c>
      <c r="O332" s="8">
        <v>0</v>
      </c>
      <c r="P332" s="8" t="s">
        <v>94</v>
      </c>
      <c r="Q332" s="8">
        <v>0</v>
      </c>
      <c r="R332" s="8" t="s">
        <v>94</v>
      </c>
      <c r="S332" s="8">
        <v>0</v>
      </c>
      <c r="T332" s="8" t="s">
        <v>94</v>
      </c>
      <c r="U332" s="8">
        <v>0</v>
      </c>
      <c r="V332" s="8" t="s">
        <v>94</v>
      </c>
      <c r="W332" s="8">
        <v>0</v>
      </c>
      <c r="X332" s="8" t="s">
        <v>94</v>
      </c>
      <c r="Y332" s="8">
        <v>0</v>
      </c>
      <c r="Z332" s="8" t="s">
        <v>95</v>
      </c>
      <c r="AA332" s="8">
        <v>1</v>
      </c>
      <c r="AB332" s="8" t="s">
        <v>95</v>
      </c>
      <c r="AC332" s="8">
        <v>1</v>
      </c>
      <c r="AD332" s="8" t="s">
        <v>95</v>
      </c>
      <c r="AE332" s="8">
        <v>1</v>
      </c>
      <c r="AF332" s="8" t="s">
        <v>95</v>
      </c>
      <c r="AG332" s="8">
        <v>1</v>
      </c>
      <c r="AH332" s="8" t="s">
        <v>94</v>
      </c>
      <c r="AI332" s="8">
        <v>0</v>
      </c>
      <c r="AJ332" s="8" t="s">
        <v>95</v>
      </c>
      <c r="AK332" s="8">
        <v>1</v>
      </c>
      <c r="AL332" s="8" t="s">
        <v>94</v>
      </c>
      <c r="AM332" s="8">
        <v>0</v>
      </c>
      <c r="AN332" s="8">
        <v>5</v>
      </c>
    </row>
    <row r="333" spans="1:40" x14ac:dyDescent="0.25">
      <c r="A333" s="8" t="s">
        <v>393</v>
      </c>
      <c r="B333" s="9">
        <v>42033.659722222219</v>
      </c>
      <c r="C333" s="8">
        <v>0</v>
      </c>
      <c r="D333" s="9">
        <v>42037.270833333336</v>
      </c>
      <c r="E333" s="8" t="s">
        <v>93</v>
      </c>
      <c r="F333" s="8">
        <v>8</v>
      </c>
      <c r="G333" s="8" t="s">
        <v>94</v>
      </c>
      <c r="H333" s="8" t="s">
        <v>94</v>
      </c>
      <c r="I333" s="8">
        <v>0</v>
      </c>
      <c r="J333" s="8" t="s">
        <v>94</v>
      </c>
      <c r="K333" s="8">
        <v>0</v>
      </c>
      <c r="L333" s="8" t="s">
        <v>94</v>
      </c>
      <c r="M333" s="8">
        <v>0</v>
      </c>
      <c r="N333" s="8" t="s">
        <v>94</v>
      </c>
      <c r="O333" s="8">
        <v>0</v>
      </c>
      <c r="P333" s="8" t="s">
        <v>95</v>
      </c>
      <c r="Q333" s="8">
        <v>1</v>
      </c>
      <c r="R333" s="8" t="s">
        <v>95</v>
      </c>
      <c r="S333" s="8">
        <v>1</v>
      </c>
      <c r="T333" s="8" t="s">
        <v>95</v>
      </c>
      <c r="U333" s="8">
        <v>1</v>
      </c>
      <c r="V333" s="8" t="s">
        <v>95</v>
      </c>
      <c r="W333" s="8">
        <v>1</v>
      </c>
      <c r="X333" s="8" t="s">
        <v>94</v>
      </c>
      <c r="Y333" s="8">
        <v>0</v>
      </c>
      <c r="Z333" s="8" t="s">
        <v>94</v>
      </c>
      <c r="AA333" s="8">
        <v>0</v>
      </c>
      <c r="AB333" s="8" t="s">
        <v>94</v>
      </c>
      <c r="AC333" s="8">
        <v>0</v>
      </c>
      <c r="AD333" s="8" t="s">
        <v>95</v>
      </c>
      <c r="AE333" s="8">
        <v>1</v>
      </c>
      <c r="AF333" s="8" t="s">
        <v>95</v>
      </c>
      <c r="AG333" s="8">
        <v>1</v>
      </c>
      <c r="AH333" s="8" t="s">
        <v>95</v>
      </c>
      <c r="AI333" s="8">
        <v>1</v>
      </c>
      <c r="AJ333" s="8" t="s">
        <v>95</v>
      </c>
      <c r="AK333" s="8">
        <v>1</v>
      </c>
      <c r="AL333" s="8" t="s">
        <v>94</v>
      </c>
      <c r="AM333" s="8">
        <v>0</v>
      </c>
      <c r="AN333" s="8">
        <v>8</v>
      </c>
    </row>
    <row r="334" spans="1:40" x14ac:dyDescent="0.25">
      <c r="A334" s="8" t="s">
        <v>394</v>
      </c>
      <c r="B334" s="9">
        <v>42033.675000000003</v>
      </c>
      <c r="C334" s="8">
        <v>0</v>
      </c>
      <c r="D334" s="9">
        <v>42037.270833333336</v>
      </c>
      <c r="E334" s="8" t="s">
        <v>93</v>
      </c>
      <c r="F334" s="8">
        <v>16</v>
      </c>
      <c r="G334" s="8" t="s">
        <v>94</v>
      </c>
      <c r="H334" s="8" t="s">
        <v>95</v>
      </c>
      <c r="I334" s="8">
        <v>1</v>
      </c>
      <c r="J334" s="8" t="s">
        <v>95</v>
      </c>
      <c r="K334" s="8">
        <v>1</v>
      </c>
      <c r="L334" s="8" t="s">
        <v>95</v>
      </c>
      <c r="M334" s="8">
        <v>1</v>
      </c>
      <c r="N334" s="8" t="s">
        <v>95</v>
      </c>
      <c r="O334" s="8">
        <v>1</v>
      </c>
      <c r="P334" s="8" t="s">
        <v>95</v>
      </c>
      <c r="Q334" s="8">
        <v>1</v>
      </c>
      <c r="R334" s="8" t="s">
        <v>95</v>
      </c>
      <c r="S334" s="8">
        <v>1</v>
      </c>
      <c r="T334" s="8" t="s">
        <v>95</v>
      </c>
      <c r="U334" s="8">
        <v>1</v>
      </c>
      <c r="V334" s="8" t="s">
        <v>95</v>
      </c>
      <c r="W334" s="8">
        <v>1</v>
      </c>
      <c r="X334" s="8" t="s">
        <v>95</v>
      </c>
      <c r="Y334" s="8">
        <v>1</v>
      </c>
      <c r="Z334" s="8" t="s">
        <v>95</v>
      </c>
      <c r="AA334" s="8">
        <v>1</v>
      </c>
      <c r="AB334" s="8" t="s">
        <v>95</v>
      </c>
      <c r="AC334" s="8">
        <v>1</v>
      </c>
      <c r="AD334" s="8" t="s">
        <v>95</v>
      </c>
      <c r="AE334" s="8">
        <v>1</v>
      </c>
      <c r="AF334" s="8" t="s">
        <v>95</v>
      </c>
      <c r="AG334" s="8">
        <v>1</v>
      </c>
      <c r="AH334" s="8" t="s">
        <v>95</v>
      </c>
      <c r="AI334" s="8">
        <v>1</v>
      </c>
      <c r="AJ334" s="8" t="s">
        <v>95</v>
      </c>
      <c r="AK334" s="8">
        <v>1</v>
      </c>
      <c r="AL334" s="8" t="s">
        <v>95</v>
      </c>
      <c r="AM334" s="8">
        <v>1</v>
      </c>
      <c r="AN334" s="8">
        <v>16</v>
      </c>
    </row>
    <row r="335" spans="1:40" x14ac:dyDescent="0.25">
      <c r="A335" s="8" t="s">
        <v>395</v>
      </c>
      <c r="B335" s="9">
        <v>42033.663888888892</v>
      </c>
      <c r="C335" s="8">
        <v>0</v>
      </c>
      <c r="D335" s="9">
        <v>42037.272916666669</v>
      </c>
      <c r="E335" s="8" t="s">
        <v>93</v>
      </c>
      <c r="F335" s="8">
        <v>2</v>
      </c>
      <c r="G335" s="8" t="s">
        <v>94</v>
      </c>
      <c r="H335" s="8" t="s">
        <v>94</v>
      </c>
      <c r="I335" s="8">
        <v>0</v>
      </c>
      <c r="J335" s="8" t="s">
        <v>94</v>
      </c>
      <c r="K335" s="8">
        <v>0</v>
      </c>
      <c r="L335" s="8" t="s">
        <v>95</v>
      </c>
      <c r="M335" s="8">
        <v>1</v>
      </c>
      <c r="N335" s="8" t="s">
        <v>94</v>
      </c>
      <c r="O335" s="8">
        <v>0</v>
      </c>
      <c r="P335" s="8" t="s">
        <v>94</v>
      </c>
      <c r="Q335" s="8">
        <v>0</v>
      </c>
      <c r="R335" s="8" t="s">
        <v>94</v>
      </c>
      <c r="S335" s="8">
        <v>0</v>
      </c>
      <c r="T335" s="8" t="s">
        <v>94</v>
      </c>
      <c r="U335" s="8">
        <v>0</v>
      </c>
      <c r="V335" s="8" t="s">
        <v>95</v>
      </c>
      <c r="W335" s="8">
        <v>1</v>
      </c>
      <c r="X335" s="8" t="s">
        <v>94</v>
      </c>
      <c r="Y335" s="8">
        <v>0</v>
      </c>
      <c r="Z335" s="8" t="s">
        <v>94</v>
      </c>
      <c r="AA335" s="8">
        <v>0</v>
      </c>
      <c r="AB335" s="8" t="s">
        <v>94</v>
      </c>
      <c r="AC335" s="8">
        <v>0</v>
      </c>
      <c r="AD335" s="8" t="s">
        <v>94</v>
      </c>
      <c r="AE335" s="8">
        <v>0</v>
      </c>
      <c r="AF335" s="8" t="s">
        <v>94</v>
      </c>
      <c r="AG335" s="8">
        <v>0</v>
      </c>
      <c r="AH335" s="8" t="s">
        <v>94</v>
      </c>
      <c r="AI335" s="8">
        <v>0</v>
      </c>
      <c r="AJ335" s="8" t="s">
        <v>94</v>
      </c>
      <c r="AK335" s="8">
        <v>0</v>
      </c>
      <c r="AL335" s="8" t="s">
        <v>94</v>
      </c>
      <c r="AM335" s="8">
        <v>0</v>
      </c>
      <c r="AN335" s="8">
        <v>2</v>
      </c>
    </row>
    <row r="336" spans="1:40" x14ac:dyDescent="0.25">
      <c r="A336" s="8" t="s">
        <v>396</v>
      </c>
      <c r="B336" s="9">
        <v>42033.665972222225</v>
      </c>
      <c r="C336" s="8">
        <v>0</v>
      </c>
      <c r="D336" s="9">
        <v>42037.28125</v>
      </c>
      <c r="E336" s="8" t="s">
        <v>93</v>
      </c>
      <c r="F336" s="8">
        <v>11</v>
      </c>
      <c r="G336" s="8" t="s">
        <v>94</v>
      </c>
      <c r="H336" s="8" t="s">
        <v>95</v>
      </c>
      <c r="I336" s="8">
        <v>1</v>
      </c>
      <c r="J336" s="8" t="s">
        <v>94</v>
      </c>
      <c r="K336" s="8">
        <v>0</v>
      </c>
      <c r="L336" s="8" t="s">
        <v>95</v>
      </c>
      <c r="M336" s="8">
        <v>1</v>
      </c>
      <c r="N336" s="8" t="s">
        <v>94</v>
      </c>
      <c r="O336" s="8">
        <v>0</v>
      </c>
      <c r="P336" s="8" t="s">
        <v>95</v>
      </c>
      <c r="Q336" s="8">
        <v>1</v>
      </c>
      <c r="R336" s="8" t="s">
        <v>95</v>
      </c>
      <c r="S336" s="8">
        <v>1</v>
      </c>
      <c r="T336" s="8" t="s">
        <v>94</v>
      </c>
      <c r="U336" s="8">
        <v>0</v>
      </c>
      <c r="V336" s="8" t="s">
        <v>95</v>
      </c>
      <c r="W336" s="8">
        <v>1</v>
      </c>
      <c r="X336" s="8" t="s">
        <v>95</v>
      </c>
      <c r="Y336" s="8">
        <v>1</v>
      </c>
      <c r="Z336" s="8" t="s">
        <v>95</v>
      </c>
      <c r="AA336" s="8">
        <v>1</v>
      </c>
      <c r="AB336" s="8" t="s">
        <v>95</v>
      </c>
      <c r="AC336" s="8">
        <v>1</v>
      </c>
      <c r="AD336" s="8" t="s">
        <v>95</v>
      </c>
      <c r="AE336" s="8">
        <v>1</v>
      </c>
      <c r="AF336" s="8" t="s">
        <v>95</v>
      </c>
      <c r="AG336" s="8">
        <v>1</v>
      </c>
      <c r="AH336" s="8" t="s">
        <v>94</v>
      </c>
      <c r="AI336" s="8">
        <v>0</v>
      </c>
      <c r="AJ336" s="8" t="s">
        <v>95</v>
      </c>
      <c r="AK336" s="8">
        <v>1</v>
      </c>
      <c r="AL336" s="8" t="s">
        <v>94</v>
      </c>
      <c r="AM336" s="8">
        <v>0</v>
      </c>
      <c r="AN336" s="8">
        <v>11</v>
      </c>
    </row>
    <row r="337" spans="1:40" x14ac:dyDescent="0.25">
      <c r="A337" s="8" t="s">
        <v>397</v>
      </c>
      <c r="B337" s="9">
        <v>42033.661111111112</v>
      </c>
      <c r="C337" s="8">
        <v>0</v>
      </c>
      <c r="D337" s="9">
        <v>42037.292361111111</v>
      </c>
      <c r="E337" s="8" t="s">
        <v>93</v>
      </c>
      <c r="F337" s="8">
        <v>5</v>
      </c>
      <c r="G337" s="8" t="s">
        <v>94</v>
      </c>
      <c r="H337" s="8" t="s">
        <v>94</v>
      </c>
      <c r="I337" s="8">
        <v>0</v>
      </c>
      <c r="J337" s="8" t="s">
        <v>94</v>
      </c>
      <c r="K337" s="8">
        <v>0</v>
      </c>
      <c r="L337" s="8" t="s">
        <v>95</v>
      </c>
      <c r="M337" s="8">
        <v>1</v>
      </c>
      <c r="N337" s="8" t="s">
        <v>94</v>
      </c>
      <c r="O337" s="8">
        <v>0</v>
      </c>
      <c r="P337" s="8" t="s">
        <v>95</v>
      </c>
      <c r="Q337" s="8">
        <v>1</v>
      </c>
      <c r="R337" s="8" t="s">
        <v>94</v>
      </c>
      <c r="S337" s="8">
        <v>0</v>
      </c>
      <c r="T337" s="8" t="s">
        <v>94</v>
      </c>
      <c r="U337" s="8">
        <v>0</v>
      </c>
      <c r="V337" s="8" t="s">
        <v>94</v>
      </c>
      <c r="W337" s="8">
        <v>0</v>
      </c>
      <c r="X337" s="8" t="s">
        <v>94</v>
      </c>
      <c r="Y337" s="8">
        <v>0</v>
      </c>
      <c r="Z337" s="8" t="s">
        <v>94</v>
      </c>
      <c r="AA337" s="8">
        <v>0</v>
      </c>
      <c r="AB337" s="8" t="s">
        <v>94</v>
      </c>
      <c r="AC337" s="8">
        <v>0</v>
      </c>
      <c r="AD337" s="8" t="s">
        <v>95</v>
      </c>
      <c r="AE337" s="8">
        <v>1</v>
      </c>
      <c r="AF337" s="8" t="s">
        <v>94</v>
      </c>
      <c r="AG337" s="8">
        <v>0</v>
      </c>
      <c r="AH337" s="8" t="s">
        <v>94</v>
      </c>
      <c r="AI337" s="8">
        <v>0</v>
      </c>
      <c r="AJ337" s="8" t="s">
        <v>95</v>
      </c>
      <c r="AK337" s="8">
        <v>1</v>
      </c>
      <c r="AL337" s="8" t="s">
        <v>95</v>
      </c>
      <c r="AM337" s="8">
        <v>1</v>
      </c>
      <c r="AN337" s="8">
        <v>5</v>
      </c>
    </row>
    <row r="338" spans="1:40" x14ac:dyDescent="0.25">
      <c r="A338" s="8" t="s">
        <v>398</v>
      </c>
      <c r="B338" s="9">
        <v>42033.677777777775</v>
      </c>
      <c r="C338" s="8">
        <v>0</v>
      </c>
      <c r="D338" s="9">
        <v>42037.294444444444</v>
      </c>
      <c r="E338" s="8" t="s">
        <v>93</v>
      </c>
      <c r="F338" s="8">
        <v>12</v>
      </c>
      <c r="G338" s="8" t="s">
        <v>94</v>
      </c>
      <c r="H338" s="8" t="s">
        <v>95</v>
      </c>
      <c r="I338" s="8">
        <v>1</v>
      </c>
      <c r="J338" s="8" t="s">
        <v>95</v>
      </c>
      <c r="K338" s="8">
        <v>1</v>
      </c>
      <c r="L338" s="8" t="s">
        <v>95</v>
      </c>
      <c r="M338" s="8">
        <v>1</v>
      </c>
      <c r="N338" s="8" t="s">
        <v>95</v>
      </c>
      <c r="O338" s="8">
        <v>1</v>
      </c>
      <c r="P338" s="8" t="s">
        <v>95</v>
      </c>
      <c r="Q338" s="8">
        <v>1</v>
      </c>
      <c r="R338" s="8" t="s">
        <v>94</v>
      </c>
      <c r="S338" s="8">
        <v>0</v>
      </c>
      <c r="T338" s="8" t="s">
        <v>94</v>
      </c>
      <c r="U338" s="8">
        <v>0</v>
      </c>
      <c r="V338" s="8" t="s">
        <v>95</v>
      </c>
      <c r="W338" s="8">
        <v>1</v>
      </c>
      <c r="X338" s="8" t="s">
        <v>95</v>
      </c>
      <c r="Y338" s="8">
        <v>1</v>
      </c>
      <c r="Z338" s="8" t="s">
        <v>95</v>
      </c>
      <c r="AA338" s="8">
        <v>1</v>
      </c>
      <c r="AB338" s="8" t="s">
        <v>95</v>
      </c>
      <c r="AC338" s="8">
        <v>1</v>
      </c>
      <c r="AD338" s="8" t="s">
        <v>95</v>
      </c>
      <c r="AE338" s="8">
        <v>1</v>
      </c>
      <c r="AF338" s="8" t="s">
        <v>94</v>
      </c>
      <c r="AG338" s="8">
        <v>0</v>
      </c>
      <c r="AH338" s="8" t="s">
        <v>95</v>
      </c>
      <c r="AI338" s="8">
        <v>1</v>
      </c>
      <c r="AJ338" s="8" t="s">
        <v>95</v>
      </c>
      <c r="AK338" s="8">
        <v>1</v>
      </c>
      <c r="AL338" s="8" t="s">
        <v>94</v>
      </c>
      <c r="AM338" s="8">
        <v>0</v>
      </c>
      <c r="AN338" s="8">
        <v>12</v>
      </c>
    </row>
    <row r="339" spans="1:40" x14ac:dyDescent="0.25">
      <c r="A339" s="8" t="s">
        <v>399</v>
      </c>
      <c r="B339" s="9">
        <v>42033.663194444445</v>
      </c>
      <c r="C339" s="8">
        <v>0</v>
      </c>
      <c r="D339" s="9">
        <v>42037.316666666666</v>
      </c>
      <c r="E339" s="8" t="s">
        <v>93</v>
      </c>
      <c r="F339" s="8">
        <v>0</v>
      </c>
      <c r="G339" s="8" t="s">
        <v>94</v>
      </c>
      <c r="H339" s="8" t="s">
        <v>94</v>
      </c>
      <c r="I339" s="8">
        <v>0</v>
      </c>
      <c r="J339" s="8" t="s">
        <v>94</v>
      </c>
      <c r="K339" s="8">
        <v>0</v>
      </c>
      <c r="L339" s="8" t="s">
        <v>94</v>
      </c>
      <c r="M339" s="8">
        <v>0</v>
      </c>
      <c r="N339" s="8" t="s">
        <v>94</v>
      </c>
      <c r="O339" s="8">
        <v>0</v>
      </c>
      <c r="P339" s="8" t="s">
        <v>94</v>
      </c>
      <c r="Q339" s="8">
        <v>0</v>
      </c>
      <c r="R339" s="8" t="s">
        <v>94</v>
      </c>
      <c r="S339" s="8">
        <v>0</v>
      </c>
      <c r="T339" s="8" t="s">
        <v>94</v>
      </c>
      <c r="U339" s="8">
        <v>0</v>
      </c>
      <c r="V339" s="8" t="s">
        <v>94</v>
      </c>
      <c r="W339" s="8">
        <v>0</v>
      </c>
      <c r="X339" s="8" t="s">
        <v>94</v>
      </c>
      <c r="Y339" s="8">
        <v>0</v>
      </c>
      <c r="Z339" s="8" t="s">
        <v>94</v>
      </c>
      <c r="AA339" s="8">
        <v>0</v>
      </c>
      <c r="AB339" s="8" t="s">
        <v>94</v>
      </c>
      <c r="AC339" s="8">
        <v>0</v>
      </c>
      <c r="AD339" s="8" t="s">
        <v>94</v>
      </c>
      <c r="AE339" s="8">
        <v>0</v>
      </c>
      <c r="AF339" s="8" t="s">
        <v>94</v>
      </c>
      <c r="AG339" s="8">
        <v>0</v>
      </c>
      <c r="AH339" s="8" t="s">
        <v>94</v>
      </c>
      <c r="AI339" s="8">
        <v>0</v>
      </c>
      <c r="AJ339" s="8" t="s">
        <v>94</v>
      </c>
      <c r="AK339" s="8">
        <v>0</v>
      </c>
      <c r="AL339" s="8" t="s">
        <v>94</v>
      </c>
      <c r="AM339" s="8">
        <v>0</v>
      </c>
      <c r="AN339" s="8">
        <v>0</v>
      </c>
    </row>
    <row r="340" spans="1:40" x14ac:dyDescent="0.25">
      <c r="A340" s="8" t="s">
        <v>400</v>
      </c>
      <c r="B340" s="9">
        <v>42033.666666666664</v>
      </c>
      <c r="C340" s="8">
        <v>0</v>
      </c>
      <c r="D340" s="9">
        <v>42037.322222222225</v>
      </c>
      <c r="E340" s="8" t="s">
        <v>93</v>
      </c>
      <c r="F340" s="8">
        <v>15</v>
      </c>
      <c r="G340" s="8" t="s">
        <v>94</v>
      </c>
      <c r="H340" s="8" t="s">
        <v>95</v>
      </c>
      <c r="I340" s="8">
        <v>1</v>
      </c>
      <c r="J340" s="8" t="s">
        <v>95</v>
      </c>
      <c r="K340" s="8">
        <v>1</v>
      </c>
      <c r="L340" s="8" t="s">
        <v>95</v>
      </c>
      <c r="M340" s="8">
        <v>1</v>
      </c>
      <c r="N340" s="8" t="s">
        <v>95</v>
      </c>
      <c r="O340" s="8">
        <v>1</v>
      </c>
      <c r="P340" s="8" t="s">
        <v>95</v>
      </c>
      <c r="Q340" s="8">
        <v>1</v>
      </c>
      <c r="R340" s="8" t="s">
        <v>95</v>
      </c>
      <c r="S340" s="8">
        <v>1</v>
      </c>
      <c r="T340" s="8" t="s">
        <v>95</v>
      </c>
      <c r="U340" s="8">
        <v>1</v>
      </c>
      <c r="V340" s="8" t="s">
        <v>95</v>
      </c>
      <c r="W340" s="8">
        <v>1</v>
      </c>
      <c r="X340" s="8" t="s">
        <v>95</v>
      </c>
      <c r="Y340" s="8">
        <v>1</v>
      </c>
      <c r="Z340" s="8" t="s">
        <v>95</v>
      </c>
      <c r="AA340" s="8">
        <v>1</v>
      </c>
      <c r="AB340" s="8" t="s">
        <v>95</v>
      </c>
      <c r="AC340" s="8">
        <v>1</v>
      </c>
      <c r="AD340" s="8" t="s">
        <v>95</v>
      </c>
      <c r="AE340" s="8">
        <v>1</v>
      </c>
      <c r="AF340" s="8" t="s">
        <v>95</v>
      </c>
      <c r="AG340" s="8">
        <v>1</v>
      </c>
      <c r="AH340" s="8" t="s">
        <v>95</v>
      </c>
      <c r="AI340" s="8">
        <v>1</v>
      </c>
      <c r="AJ340" s="8" t="s">
        <v>95</v>
      </c>
      <c r="AK340" s="8">
        <v>1</v>
      </c>
      <c r="AL340" s="8" t="s">
        <v>94</v>
      </c>
      <c r="AM340" s="8">
        <v>0</v>
      </c>
      <c r="AN340" s="8">
        <v>15</v>
      </c>
    </row>
    <row r="341" spans="1:40" x14ac:dyDescent="0.25">
      <c r="A341" s="8" t="s">
        <v>401</v>
      </c>
      <c r="B341" s="9">
        <v>42033.667361111111</v>
      </c>
      <c r="C341" s="8">
        <v>0</v>
      </c>
      <c r="D341" s="9">
        <v>42037.338888888888</v>
      </c>
      <c r="E341" s="8" t="s">
        <v>93</v>
      </c>
      <c r="F341" s="8">
        <v>11</v>
      </c>
      <c r="G341" s="8" t="s">
        <v>94</v>
      </c>
      <c r="H341" s="8" t="s">
        <v>95</v>
      </c>
      <c r="I341" s="8">
        <v>1</v>
      </c>
      <c r="J341" s="8" t="s">
        <v>95</v>
      </c>
      <c r="K341" s="8">
        <v>1</v>
      </c>
      <c r="L341" s="8" t="s">
        <v>95</v>
      </c>
      <c r="M341" s="8">
        <v>1</v>
      </c>
      <c r="N341" s="8" t="s">
        <v>95</v>
      </c>
      <c r="O341" s="8">
        <v>1</v>
      </c>
      <c r="P341" s="8" t="s">
        <v>95</v>
      </c>
      <c r="Q341" s="8">
        <v>1</v>
      </c>
      <c r="R341" s="8" t="s">
        <v>94</v>
      </c>
      <c r="S341" s="8">
        <v>0</v>
      </c>
      <c r="T341" s="8" t="s">
        <v>94</v>
      </c>
      <c r="U341" s="8">
        <v>0</v>
      </c>
      <c r="V341" s="8" t="s">
        <v>95</v>
      </c>
      <c r="W341" s="8">
        <v>1</v>
      </c>
      <c r="X341" s="8" t="s">
        <v>95</v>
      </c>
      <c r="Y341" s="8">
        <v>1</v>
      </c>
      <c r="Z341" s="8" t="s">
        <v>95</v>
      </c>
      <c r="AA341" s="8">
        <v>1</v>
      </c>
      <c r="AB341" s="8" t="s">
        <v>95</v>
      </c>
      <c r="AC341" s="8">
        <v>1</v>
      </c>
      <c r="AD341" s="8" t="s">
        <v>94</v>
      </c>
      <c r="AE341" s="8">
        <v>0</v>
      </c>
      <c r="AF341" s="8" t="s">
        <v>95</v>
      </c>
      <c r="AG341" s="8">
        <v>1</v>
      </c>
      <c r="AH341" s="8" t="s">
        <v>94</v>
      </c>
      <c r="AI341" s="8">
        <v>0</v>
      </c>
      <c r="AJ341" s="8" t="s">
        <v>94</v>
      </c>
      <c r="AK341" s="8">
        <v>0</v>
      </c>
      <c r="AL341" s="8" t="s">
        <v>95</v>
      </c>
      <c r="AM341" s="8">
        <v>1</v>
      </c>
      <c r="AN341" s="8">
        <v>11</v>
      </c>
    </row>
    <row r="342" spans="1:40" x14ac:dyDescent="0.25">
      <c r="A342" s="8" t="s">
        <v>402</v>
      </c>
      <c r="B342" s="9">
        <v>42033.683333333334</v>
      </c>
      <c r="C342" s="8">
        <v>0</v>
      </c>
      <c r="D342" s="9">
        <v>42037.348611111112</v>
      </c>
      <c r="E342" s="8" t="s">
        <v>93</v>
      </c>
      <c r="F342" s="8">
        <v>16</v>
      </c>
      <c r="G342" s="8" t="s">
        <v>94</v>
      </c>
      <c r="H342" s="8" t="s">
        <v>95</v>
      </c>
      <c r="I342" s="8">
        <v>1</v>
      </c>
      <c r="J342" s="8" t="s">
        <v>95</v>
      </c>
      <c r="K342" s="8">
        <v>1</v>
      </c>
      <c r="L342" s="8" t="s">
        <v>95</v>
      </c>
      <c r="M342" s="8">
        <v>1</v>
      </c>
      <c r="N342" s="8" t="s">
        <v>95</v>
      </c>
      <c r="O342" s="8">
        <v>1</v>
      </c>
      <c r="P342" s="8" t="s">
        <v>95</v>
      </c>
      <c r="Q342" s="8">
        <v>1</v>
      </c>
      <c r="R342" s="8" t="s">
        <v>95</v>
      </c>
      <c r="S342" s="8">
        <v>1</v>
      </c>
      <c r="T342" s="8" t="s">
        <v>95</v>
      </c>
      <c r="U342" s="8">
        <v>1</v>
      </c>
      <c r="V342" s="8" t="s">
        <v>95</v>
      </c>
      <c r="W342" s="8">
        <v>1</v>
      </c>
      <c r="X342" s="8" t="s">
        <v>95</v>
      </c>
      <c r="Y342" s="8">
        <v>1</v>
      </c>
      <c r="Z342" s="8" t="s">
        <v>95</v>
      </c>
      <c r="AA342" s="8">
        <v>1</v>
      </c>
      <c r="AB342" s="8" t="s">
        <v>95</v>
      </c>
      <c r="AC342" s="8">
        <v>1</v>
      </c>
      <c r="AD342" s="8" t="s">
        <v>95</v>
      </c>
      <c r="AE342" s="8">
        <v>1</v>
      </c>
      <c r="AF342" s="8" t="s">
        <v>95</v>
      </c>
      <c r="AG342" s="8">
        <v>1</v>
      </c>
      <c r="AH342" s="8" t="s">
        <v>95</v>
      </c>
      <c r="AI342" s="8">
        <v>1</v>
      </c>
      <c r="AJ342" s="8" t="s">
        <v>95</v>
      </c>
      <c r="AK342" s="8">
        <v>1</v>
      </c>
      <c r="AL342" s="8" t="s">
        <v>95</v>
      </c>
      <c r="AM342" s="8">
        <v>1</v>
      </c>
      <c r="AN342" s="8">
        <v>16</v>
      </c>
    </row>
    <row r="343" spans="1:40" x14ac:dyDescent="0.25">
      <c r="A343" s="8" t="s">
        <v>403</v>
      </c>
      <c r="B343" s="9">
        <v>42033.671527777777</v>
      </c>
      <c r="C343" s="8">
        <v>0</v>
      </c>
      <c r="D343" s="9">
        <v>42037.359722222223</v>
      </c>
      <c r="E343" s="8" t="s">
        <v>93</v>
      </c>
      <c r="F343" s="8">
        <v>8</v>
      </c>
      <c r="G343" s="8" t="s">
        <v>94</v>
      </c>
      <c r="H343" s="8" t="s">
        <v>95</v>
      </c>
      <c r="I343" s="8">
        <v>1</v>
      </c>
      <c r="J343" s="8" t="s">
        <v>95</v>
      </c>
      <c r="K343" s="8">
        <v>1</v>
      </c>
      <c r="L343" s="8" t="s">
        <v>94</v>
      </c>
      <c r="M343" s="8">
        <v>0</v>
      </c>
      <c r="N343" s="8" t="s">
        <v>95</v>
      </c>
      <c r="O343" s="8">
        <v>1</v>
      </c>
      <c r="P343" s="8" t="s">
        <v>94</v>
      </c>
      <c r="Q343" s="8">
        <v>0</v>
      </c>
      <c r="R343" s="8" t="s">
        <v>94</v>
      </c>
      <c r="S343" s="8">
        <v>0</v>
      </c>
      <c r="T343" s="8" t="s">
        <v>94</v>
      </c>
      <c r="U343" s="8">
        <v>0</v>
      </c>
      <c r="V343" s="8" t="s">
        <v>95</v>
      </c>
      <c r="W343" s="8">
        <v>1</v>
      </c>
      <c r="X343" s="8" t="s">
        <v>94</v>
      </c>
      <c r="Y343" s="8">
        <v>0</v>
      </c>
      <c r="Z343" s="8" t="s">
        <v>95</v>
      </c>
      <c r="AA343" s="8">
        <v>1</v>
      </c>
      <c r="AB343" s="8" t="s">
        <v>95</v>
      </c>
      <c r="AC343" s="8">
        <v>1</v>
      </c>
      <c r="AD343" s="8" t="s">
        <v>95</v>
      </c>
      <c r="AE343" s="8">
        <v>1</v>
      </c>
      <c r="AF343" s="8" t="s">
        <v>94</v>
      </c>
      <c r="AG343" s="8">
        <v>0</v>
      </c>
      <c r="AH343" s="8" t="s">
        <v>94</v>
      </c>
      <c r="AI343" s="8">
        <v>0</v>
      </c>
      <c r="AJ343" s="8" t="s">
        <v>95</v>
      </c>
      <c r="AK343" s="8">
        <v>1</v>
      </c>
      <c r="AL343" s="8" t="s">
        <v>94</v>
      </c>
      <c r="AM343" s="8">
        <v>0</v>
      </c>
      <c r="AN343" s="8">
        <v>8</v>
      </c>
    </row>
    <row r="344" spans="1:40" x14ac:dyDescent="0.25">
      <c r="A344" s="8" t="s">
        <v>404</v>
      </c>
      <c r="B344" s="9">
        <v>42033.654166666667</v>
      </c>
      <c r="C344" s="8">
        <v>0</v>
      </c>
      <c r="D344" s="9">
        <v>42037.369444444441</v>
      </c>
      <c r="E344" s="8" t="s">
        <v>93</v>
      </c>
      <c r="F344" s="8">
        <v>16</v>
      </c>
      <c r="G344" s="8" t="s">
        <v>94</v>
      </c>
      <c r="H344" s="8" t="s">
        <v>95</v>
      </c>
      <c r="I344" s="8">
        <v>1</v>
      </c>
      <c r="J344" s="8" t="s">
        <v>95</v>
      </c>
      <c r="K344" s="8">
        <v>1</v>
      </c>
      <c r="L344" s="8" t="s">
        <v>95</v>
      </c>
      <c r="M344" s="8">
        <v>1</v>
      </c>
      <c r="N344" s="8" t="s">
        <v>95</v>
      </c>
      <c r="O344" s="8">
        <v>1</v>
      </c>
      <c r="P344" s="8" t="s">
        <v>95</v>
      </c>
      <c r="Q344" s="8">
        <v>1</v>
      </c>
      <c r="R344" s="8" t="s">
        <v>95</v>
      </c>
      <c r="S344" s="8">
        <v>1</v>
      </c>
      <c r="T344" s="8" t="s">
        <v>95</v>
      </c>
      <c r="U344" s="8">
        <v>1</v>
      </c>
      <c r="V344" s="8" t="s">
        <v>95</v>
      </c>
      <c r="W344" s="8">
        <v>1</v>
      </c>
      <c r="X344" s="8" t="s">
        <v>95</v>
      </c>
      <c r="Y344" s="8">
        <v>1</v>
      </c>
      <c r="Z344" s="8" t="s">
        <v>95</v>
      </c>
      <c r="AA344" s="8">
        <v>1</v>
      </c>
      <c r="AB344" s="8" t="s">
        <v>95</v>
      </c>
      <c r="AC344" s="8">
        <v>1</v>
      </c>
      <c r="AD344" s="8" t="s">
        <v>95</v>
      </c>
      <c r="AE344" s="8">
        <v>1</v>
      </c>
      <c r="AF344" s="8" t="s">
        <v>95</v>
      </c>
      <c r="AG344" s="8">
        <v>1</v>
      </c>
      <c r="AH344" s="8" t="s">
        <v>95</v>
      </c>
      <c r="AI344" s="8">
        <v>1</v>
      </c>
      <c r="AJ344" s="8" t="s">
        <v>95</v>
      </c>
      <c r="AK344" s="8">
        <v>1</v>
      </c>
      <c r="AL344" s="8" t="s">
        <v>95</v>
      </c>
      <c r="AM344" s="8">
        <v>1</v>
      </c>
      <c r="AN344" s="8">
        <v>16</v>
      </c>
    </row>
    <row r="345" spans="1:40" x14ac:dyDescent="0.25">
      <c r="A345" s="8" t="s">
        <v>405</v>
      </c>
      <c r="B345" s="9">
        <v>42033.671527777777</v>
      </c>
      <c r="C345" s="8">
        <v>0</v>
      </c>
      <c r="D345" s="9">
        <v>42037.390277777777</v>
      </c>
      <c r="E345" s="8" t="s">
        <v>93</v>
      </c>
      <c r="F345" s="8">
        <v>16</v>
      </c>
      <c r="G345" s="8" t="s">
        <v>94</v>
      </c>
      <c r="H345" s="8" t="s">
        <v>95</v>
      </c>
      <c r="I345" s="8">
        <v>1</v>
      </c>
      <c r="J345" s="8" t="s">
        <v>95</v>
      </c>
      <c r="K345" s="8">
        <v>1</v>
      </c>
      <c r="L345" s="8" t="s">
        <v>95</v>
      </c>
      <c r="M345" s="8">
        <v>1</v>
      </c>
      <c r="N345" s="8" t="s">
        <v>95</v>
      </c>
      <c r="O345" s="8">
        <v>1</v>
      </c>
      <c r="P345" s="8" t="s">
        <v>95</v>
      </c>
      <c r="Q345" s="8">
        <v>1</v>
      </c>
      <c r="R345" s="8" t="s">
        <v>95</v>
      </c>
      <c r="S345" s="8">
        <v>1</v>
      </c>
      <c r="T345" s="8" t="s">
        <v>95</v>
      </c>
      <c r="U345" s="8">
        <v>1</v>
      </c>
      <c r="V345" s="8" t="s">
        <v>95</v>
      </c>
      <c r="W345" s="8">
        <v>1</v>
      </c>
      <c r="X345" s="8" t="s">
        <v>95</v>
      </c>
      <c r="Y345" s="8">
        <v>1</v>
      </c>
      <c r="Z345" s="8" t="s">
        <v>95</v>
      </c>
      <c r="AA345" s="8">
        <v>1</v>
      </c>
      <c r="AB345" s="8" t="s">
        <v>95</v>
      </c>
      <c r="AC345" s="8">
        <v>1</v>
      </c>
      <c r="AD345" s="8" t="s">
        <v>95</v>
      </c>
      <c r="AE345" s="8">
        <v>1</v>
      </c>
      <c r="AF345" s="8" t="s">
        <v>95</v>
      </c>
      <c r="AG345" s="8">
        <v>1</v>
      </c>
      <c r="AH345" s="8" t="s">
        <v>95</v>
      </c>
      <c r="AI345" s="8">
        <v>1</v>
      </c>
      <c r="AJ345" s="8" t="s">
        <v>95</v>
      </c>
      <c r="AK345" s="8">
        <v>1</v>
      </c>
      <c r="AL345" s="8" t="s">
        <v>95</v>
      </c>
      <c r="AM345" s="8">
        <v>1</v>
      </c>
      <c r="AN345" s="8">
        <v>16</v>
      </c>
    </row>
    <row r="346" spans="1:40" x14ac:dyDescent="0.25">
      <c r="A346" s="8" t="s">
        <v>406</v>
      </c>
      <c r="B346" s="9">
        <v>42033.661111111112</v>
      </c>
      <c r="C346" s="8">
        <v>0</v>
      </c>
      <c r="D346" s="9">
        <v>42037.433333333334</v>
      </c>
      <c r="E346" s="8" t="s">
        <v>93</v>
      </c>
      <c r="F346" s="8">
        <v>1</v>
      </c>
      <c r="G346" s="8" t="s">
        <v>94</v>
      </c>
      <c r="H346" s="8" t="s">
        <v>94</v>
      </c>
      <c r="I346" s="8">
        <v>0</v>
      </c>
      <c r="J346" s="8" t="s">
        <v>94</v>
      </c>
      <c r="K346" s="8">
        <v>0</v>
      </c>
      <c r="L346" s="8" t="s">
        <v>94</v>
      </c>
      <c r="M346" s="8">
        <v>0</v>
      </c>
      <c r="N346" s="8" t="s">
        <v>94</v>
      </c>
      <c r="O346" s="8">
        <v>0</v>
      </c>
      <c r="P346" s="8" t="s">
        <v>94</v>
      </c>
      <c r="Q346" s="8">
        <v>0</v>
      </c>
      <c r="R346" s="8" t="s">
        <v>94</v>
      </c>
      <c r="S346" s="8">
        <v>0</v>
      </c>
      <c r="T346" s="8" t="s">
        <v>94</v>
      </c>
      <c r="U346" s="8">
        <v>0</v>
      </c>
      <c r="V346" s="8" t="s">
        <v>94</v>
      </c>
      <c r="W346" s="8">
        <v>0</v>
      </c>
      <c r="X346" s="8" t="s">
        <v>94</v>
      </c>
      <c r="Y346" s="8">
        <v>0</v>
      </c>
      <c r="Z346" s="8" t="s">
        <v>94</v>
      </c>
      <c r="AA346" s="8">
        <v>0</v>
      </c>
      <c r="AB346" s="8" t="s">
        <v>94</v>
      </c>
      <c r="AC346" s="8">
        <v>0</v>
      </c>
      <c r="AD346" s="8" t="s">
        <v>95</v>
      </c>
      <c r="AE346" s="8">
        <v>1</v>
      </c>
      <c r="AF346" s="8" t="s">
        <v>94</v>
      </c>
      <c r="AG346" s="8">
        <v>0</v>
      </c>
      <c r="AH346" s="8" t="s">
        <v>94</v>
      </c>
      <c r="AI346" s="8">
        <v>0</v>
      </c>
      <c r="AJ346" s="8" t="s">
        <v>94</v>
      </c>
      <c r="AK346" s="8">
        <v>0</v>
      </c>
      <c r="AL346" s="8" t="s">
        <v>94</v>
      </c>
      <c r="AM346" s="8">
        <v>0</v>
      </c>
      <c r="AN346" s="8">
        <v>1</v>
      </c>
    </row>
    <row r="347" spans="1:40" x14ac:dyDescent="0.25">
      <c r="A347" s="8" t="s">
        <v>407</v>
      </c>
      <c r="B347" s="9">
        <v>42033.67083333333</v>
      </c>
      <c r="C347" s="8">
        <v>0</v>
      </c>
      <c r="D347" s="9">
        <v>42037.439583333333</v>
      </c>
      <c r="E347" s="8" t="s">
        <v>93</v>
      </c>
      <c r="F347" s="8">
        <v>16</v>
      </c>
      <c r="G347" s="8" t="s">
        <v>94</v>
      </c>
      <c r="H347" s="8" t="s">
        <v>95</v>
      </c>
      <c r="I347" s="8">
        <v>1</v>
      </c>
      <c r="J347" s="8" t="s">
        <v>95</v>
      </c>
      <c r="K347" s="8">
        <v>1</v>
      </c>
      <c r="L347" s="8" t="s">
        <v>95</v>
      </c>
      <c r="M347" s="8">
        <v>1</v>
      </c>
      <c r="N347" s="8" t="s">
        <v>95</v>
      </c>
      <c r="O347" s="8">
        <v>1</v>
      </c>
      <c r="P347" s="8" t="s">
        <v>95</v>
      </c>
      <c r="Q347" s="8">
        <v>1</v>
      </c>
      <c r="R347" s="8" t="s">
        <v>95</v>
      </c>
      <c r="S347" s="8">
        <v>1</v>
      </c>
      <c r="T347" s="8" t="s">
        <v>95</v>
      </c>
      <c r="U347" s="8">
        <v>1</v>
      </c>
      <c r="V347" s="8" t="s">
        <v>95</v>
      </c>
      <c r="W347" s="8">
        <v>1</v>
      </c>
      <c r="X347" s="8" t="s">
        <v>95</v>
      </c>
      <c r="Y347" s="8">
        <v>1</v>
      </c>
      <c r="Z347" s="8" t="s">
        <v>95</v>
      </c>
      <c r="AA347" s="8">
        <v>1</v>
      </c>
      <c r="AB347" s="8" t="s">
        <v>95</v>
      </c>
      <c r="AC347" s="8">
        <v>1</v>
      </c>
      <c r="AD347" s="8" t="s">
        <v>95</v>
      </c>
      <c r="AE347" s="8">
        <v>1</v>
      </c>
      <c r="AF347" s="8" t="s">
        <v>95</v>
      </c>
      <c r="AG347" s="8">
        <v>1</v>
      </c>
      <c r="AH347" s="8" t="s">
        <v>95</v>
      </c>
      <c r="AI347" s="8">
        <v>1</v>
      </c>
      <c r="AJ347" s="8" t="s">
        <v>95</v>
      </c>
      <c r="AK347" s="8">
        <v>1</v>
      </c>
      <c r="AL347" s="8" t="s">
        <v>95</v>
      </c>
      <c r="AM347" s="8">
        <v>1</v>
      </c>
      <c r="AN347" s="8">
        <v>16</v>
      </c>
    </row>
    <row r="348" spans="1:40" x14ac:dyDescent="0.25">
      <c r="A348" s="8" t="s">
        <v>408</v>
      </c>
      <c r="B348" s="9">
        <v>42033.666666666664</v>
      </c>
      <c r="C348" s="8">
        <v>0</v>
      </c>
      <c r="D348" s="9">
        <v>42037.45416666667</v>
      </c>
      <c r="E348" s="8" t="s">
        <v>93</v>
      </c>
      <c r="F348" s="8">
        <v>16</v>
      </c>
      <c r="G348" s="8" t="s">
        <v>94</v>
      </c>
      <c r="H348" s="8" t="s">
        <v>95</v>
      </c>
      <c r="I348" s="8">
        <v>1</v>
      </c>
      <c r="J348" s="8" t="s">
        <v>95</v>
      </c>
      <c r="K348" s="8">
        <v>1</v>
      </c>
      <c r="L348" s="8" t="s">
        <v>95</v>
      </c>
      <c r="M348" s="8">
        <v>1</v>
      </c>
      <c r="N348" s="8" t="s">
        <v>95</v>
      </c>
      <c r="O348" s="8">
        <v>1</v>
      </c>
      <c r="P348" s="8" t="s">
        <v>95</v>
      </c>
      <c r="Q348" s="8">
        <v>1</v>
      </c>
      <c r="R348" s="8" t="s">
        <v>95</v>
      </c>
      <c r="S348" s="8">
        <v>1</v>
      </c>
      <c r="T348" s="8" t="s">
        <v>95</v>
      </c>
      <c r="U348" s="8">
        <v>1</v>
      </c>
      <c r="V348" s="8" t="s">
        <v>95</v>
      </c>
      <c r="W348" s="8">
        <v>1</v>
      </c>
      <c r="X348" s="8" t="s">
        <v>95</v>
      </c>
      <c r="Y348" s="8">
        <v>1</v>
      </c>
      <c r="Z348" s="8" t="s">
        <v>95</v>
      </c>
      <c r="AA348" s="8">
        <v>1</v>
      </c>
      <c r="AB348" s="8" t="s">
        <v>95</v>
      </c>
      <c r="AC348" s="8">
        <v>1</v>
      </c>
      <c r="AD348" s="8" t="s">
        <v>95</v>
      </c>
      <c r="AE348" s="8">
        <v>1</v>
      </c>
      <c r="AF348" s="8" t="s">
        <v>95</v>
      </c>
      <c r="AG348" s="8">
        <v>1</v>
      </c>
      <c r="AH348" s="8" t="s">
        <v>95</v>
      </c>
      <c r="AI348" s="8">
        <v>1</v>
      </c>
      <c r="AJ348" s="8" t="s">
        <v>95</v>
      </c>
      <c r="AK348" s="8">
        <v>1</v>
      </c>
      <c r="AL348" s="8" t="s">
        <v>95</v>
      </c>
      <c r="AM348" s="8">
        <v>1</v>
      </c>
      <c r="AN348" s="8">
        <v>16</v>
      </c>
    </row>
    <row r="349" spans="1:40" x14ac:dyDescent="0.25">
      <c r="A349" s="8" t="s">
        <v>409</v>
      </c>
      <c r="B349" s="9">
        <v>42033.664583333331</v>
      </c>
      <c r="C349" s="8">
        <v>0</v>
      </c>
      <c r="D349" s="9">
        <v>42037.511805555558</v>
      </c>
      <c r="E349" s="8" t="s">
        <v>93</v>
      </c>
      <c r="F349" s="8">
        <v>3</v>
      </c>
      <c r="G349" s="8" t="s">
        <v>94</v>
      </c>
      <c r="H349" s="8" t="s">
        <v>94</v>
      </c>
      <c r="I349" s="8">
        <v>0</v>
      </c>
      <c r="J349" s="8" t="s">
        <v>94</v>
      </c>
      <c r="K349" s="8">
        <v>0</v>
      </c>
      <c r="L349" s="8" t="s">
        <v>94</v>
      </c>
      <c r="M349" s="8">
        <v>0</v>
      </c>
      <c r="N349" s="8" t="s">
        <v>94</v>
      </c>
      <c r="O349" s="8">
        <v>0</v>
      </c>
      <c r="P349" s="8" t="s">
        <v>95</v>
      </c>
      <c r="Q349" s="8">
        <v>1</v>
      </c>
      <c r="R349" s="8" t="s">
        <v>94</v>
      </c>
      <c r="S349" s="8">
        <v>0</v>
      </c>
      <c r="T349" s="8" t="s">
        <v>94</v>
      </c>
      <c r="U349" s="8">
        <v>0</v>
      </c>
      <c r="V349" s="8" t="s">
        <v>95</v>
      </c>
      <c r="W349" s="8">
        <v>1</v>
      </c>
      <c r="X349" s="8" t="s">
        <v>94</v>
      </c>
      <c r="Y349" s="8">
        <v>0</v>
      </c>
      <c r="Z349" s="8" t="s">
        <v>94</v>
      </c>
      <c r="AA349" s="8">
        <v>0</v>
      </c>
      <c r="AB349" s="8" t="s">
        <v>94</v>
      </c>
      <c r="AC349" s="8">
        <v>0</v>
      </c>
      <c r="AD349" s="8" t="s">
        <v>94</v>
      </c>
      <c r="AE349" s="8">
        <v>0</v>
      </c>
      <c r="AF349" s="8" t="s">
        <v>94</v>
      </c>
      <c r="AG349" s="8">
        <v>0</v>
      </c>
      <c r="AH349" s="8" t="s">
        <v>95</v>
      </c>
      <c r="AI349" s="8">
        <v>1</v>
      </c>
      <c r="AJ349" s="8" t="s">
        <v>94</v>
      </c>
      <c r="AK349" s="8">
        <v>0</v>
      </c>
      <c r="AL349" s="8" t="s">
        <v>94</v>
      </c>
      <c r="AM349" s="8">
        <v>0</v>
      </c>
      <c r="AN349" s="8">
        <v>3</v>
      </c>
    </row>
    <row r="350" spans="1:40" x14ac:dyDescent="0.25">
      <c r="A350" s="8" t="s">
        <v>410</v>
      </c>
      <c r="B350" s="9">
        <v>42033.682638888888</v>
      </c>
      <c r="C350" s="8">
        <v>0</v>
      </c>
      <c r="D350" s="9">
        <v>42037.520138888889</v>
      </c>
      <c r="E350" s="8" t="s">
        <v>93</v>
      </c>
      <c r="F350" s="8">
        <v>11</v>
      </c>
      <c r="G350" s="8" t="s">
        <v>94</v>
      </c>
      <c r="H350" s="8" t="s">
        <v>94</v>
      </c>
      <c r="I350" s="8">
        <v>0</v>
      </c>
      <c r="J350" s="8" t="s">
        <v>94</v>
      </c>
      <c r="K350" s="8">
        <v>0</v>
      </c>
      <c r="L350" s="8" t="s">
        <v>94</v>
      </c>
      <c r="M350" s="8">
        <v>0</v>
      </c>
      <c r="N350" s="8" t="s">
        <v>94</v>
      </c>
      <c r="O350" s="8">
        <v>0</v>
      </c>
      <c r="P350" s="8" t="s">
        <v>95</v>
      </c>
      <c r="Q350" s="8">
        <v>1</v>
      </c>
      <c r="R350" s="8" t="s">
        <v>95</v>
      </c>
      <c r="S350" s="8">
        <v>1</v>
      </c>
      <c r="T350" s="8" t="s">
        <v>95</v>
      </c>
      <c r="U350" s="8">
        <v>1</v>
      </c>
      <c r="V350" s="8" t="s">
        <v>95</v>
      </c>
      <c r="W350" s="8">
        <v>1</v>
      </c>
      <c r="X350" s="8" t="s">
        <v>95</v>
      </c>
      <c r="Y350" s="8">
        <v>1</v>
      </c>
      <c r="Z350" s="8" t="s">
        <v>95</v>
      </c>
      <c r="AA350" s="8">
        <v>1</v>
      </c>
      <c r="AB350" s="8" t="s">
        <v>95</v>
      </c>
      <c r="AC350" s="8">
        <v>1</v>
      </c>
      <c r="AD350" s="8" t="s">
        <v>95</v>
      </c>
      <c r="AE350" s="8">
        <v>1</v>
      </c>
      <c r="AF350" s="8" t="s">
        <v>94</v>
      </c>
      <c r="AG350" s="8">
        <v>0</v>
      </c>
      <c r="AH350" s="8" t="s">
        <v>95</v>
      </c>
      <c r="AI350" s="8">
        <v>1</v>
      </c>
      <c r="AJ350" s="8" t="s">
        <v>95</v>
      </c>
      <c r="AK350" s="8">
        <v>1</v>
      </c>
      <c r="AL350" s="8" t="s">
        <v>95</v>
      </c>
      <c r="AM350" s="8">
        <v>1</v>
      </c>
      <c r="AN350" s="8">
        <v>11</v>
      </c>
    </row>
    <row r="351" spans="1:40" x14ac:dyDescent="0.25">
      <c r="A351" s="8" t="s">
        <v>411</v>
      </c>
      <c r="B351" s="9">
        <v>42033.68472222222</v>
      </c>
      <c r="C351" s="8">
        <v>0</v>
      </c>
      <c r="D351" s="9">
        <v>42038.045138888891</v>
      </c>
      <c r="E351" s="8" t="s">
        <v>93</v>
      </c>
      <c r="F351" s="8">
        <v>13</v>
      </c>
      <c r="G351" s="8" t="s">
        <v>94</v>
      </c>
      <c r="H351" s="8" t="s">
        <v>95</v>
      </c>
      <c r="I351" s="8">
        <v>1</v>
      </c>
      <c r="J351" s="8" t="s">
        <v>95</v>
      </c>
      <c r="K351" s="8">
        <v>1</v>
      </c>
      <c r="L351" s="8" t="s">
        <v>95</v>
      </c>
      <c r="M351" s="8">
        <v>1</v>
      </c>
      <c r="N351" s="8" t="s">
        <v>94</v>
      </c>
      <c r="O351" s="8">
        <v>0</v>
      </c>
      <c r="P351" s="8" t="s">
        <v>94</v>
      </c>
      <c r="Q351" s="8">
        <v>0</v>
      </c>
      <c r="R351" s="8" t="s">
        <v>94</v>
      </c>
      <c r="S351" s="8">
        <v>0</v>
      </c>
      <c r="T351" s="8" t="s">
        <v>95</v>
      </c>
      <c r="U351" s="8">
        <v>1</v>
      </c>
      <c r="V351" s="8" t="s">
        <v>95</v>
      </c>
      <c r="W351" s="8">
        <v>1</v>
      </c>
      <c r="X351" s="8" t="s">
        <v>95</v>
      </c>
      <c r="Y351" s="8">
        <v>1</v>
      </c>
      <c r="Z351" s="8" t="s">
        <v>95</v>
      </c>
      <c r="AA351" s="8">
        <v>1</v>
      </c>
      <c r="AB351" s="8" t="s">
        <v>95</v>
      </c>
      <c r="AC351" s="8">
        <v>1</v>
      </c>
      <c r="AD351" s="8" t="s">
        <v>95</v>
      </c>
      <c r="AE351" s="8">
        <v>1</v>
      </c>
      <c r="AF351" s="8" t="s">
        <v>95</v>
      </c>
      <c r="AG351" s="8">
        <v>1</v>
      </c>
      <c r="AH351" s="8" t="s">
        <v>95</v>
      </c>
      <c r="AI351" s="8">
        <v>1</v>
      </c>
      <c r="AJ351" s="8" t="s">
        <v>95</v>
      </c>
      <c r="AK351" s="8">
        <v>1</v>
      </c>
      <c r="AL351" s="8" t="s">
        <v>95</v>
      </c>
      <c r="AM351" s="8">
        <v>1</v>
      </c>
      <c r="AN351" s="8">
        <v>13</v>
      </c>
    </row>
    <row r="352" spans="1:40" x14ac:dyDescent="0.25">
      <c r="A352" s="8" t="s">
        <v>412</v>
      </c>
      <c r="B352" s="9">
        <v>42033.679166666669</v>
      </c>
      <c r="C352" s="8">
        <v>0</v>
      </c>
      <c r="D352" s="9">
        <v>42038.093055555553</v>
      </c>
      <c r="E352" s="8" t="s">
        <v>93</v>
      </c>
      <c r="F352" s="8">
        <v>15</v>
      </c>
      <c r="G352" s="8" t="s">
        <v>94</v>
      </c>
      <c r="H352" s="8" t="s">
        <v>95</v>
      </c>
      <c r="I352" s="8">
        <v>1</v>
      </c>
      <c r="J352" s="8" t="s">
        <v>95</v>
      </c>
      <c r="K352" s="8">
        <v>1</v>
      </c>
      <c r="L352" s="8" t="s">
        <v>95</v>
      </c>
      <c r="M352" s="8">
        <v>1</v>
      </c>
      <c r="N352" s="8" t="s">
        <v>95</v>
      </c>
      <c r="O352" s="8">
        <v>1</v>
      </c>
      <c r="P352" s="8" t="s">
        <v>95</v>
      </c>
      <c r="Q352" s="8">
        <v>1</v>
      </c>
      <c r="R352" s="8" t="s">
        <v>95</v>
      </c>
      <c r="S352" s="8">
        <v>1</v>
      </c>
      <c r="T352" s="8" t="s">
        <v>95</v>
      </c>
      <c r="U352" s="8">
        <v>1</v>
      </c>
      <c r="V352" s="8" t="s">
        <v>95</v>
      </c>
      <c r="W352" s="8">
        <v>1</v>
      </c>
      <c r="X352" s="8" t="s">
        <v>95</v>
      </c>
      <c r="Y352" s="8">
        <v>1</v>
      </c>
      <c r="Z352" s="8" t="s">
        <v>95</v>
      </c>
      <c r="AA352" s="8">
        <v>1</v>
      </c>
      <c r="AB352" s="8" t="s">
        <v>95</v>
      </c>
      <c r="AC352" s="8">
        <v>1</v>
      </c>
      <c r="AD352" s="8" t="s">
        <v>95</v>
      </c>
      <c r="AE352" s="8">
        <v>1</v>
      </c>
      <c r="AF352" s="8" t="s">
        <v>95</v>
      </c>
      <c r="AG352" s="8">
        <v>1</v>
      </c>
      <c r="AH352" s="8" t="s">
        <v>95</v>
      </c>
      <c r="AI352" s="8">
        <v>1</v>
      </c>
      <c r="AJ352" s="8" t="s">
        <v>94</v>
      </c>
      <c r="AK352" s="8">
        <v>0</v>
      </c>
      <c r="AL352" s="8" t="s">
        <v>95</v>
      </c>
      <c r="AM352" s="8">
        <v>1</v>
      </c>
      <c r="AN352" s="8">
        <v>15</v>
      </c>
    </row>
    <row r="353" spans="1:40" x14ac:dyDescent="0.25">
      <c r="A353" s="8" t="s">
        <v>413</v>
      </c>
      <c r="B353" s="9">
        <v>42033.667361111111</v>
      </c>
      <c r="C353" s="8">
        <v>0</v>
      </c>
      <c r="D353" s="9">
        <v>42038.20208333333</v>
      </c>
      <c r="E353" s="8" t="s">
        <v>93</v>
      </c>
      <c r="F353" s="8">
        <v>14</v>
      </c>
      <c r="G353" s="8" t="s">
        <v>94</v>
      </c>
      <c r="H353" s="8" t="s">
        <v>95</v>
      </c>
      <c r="I353" s="8">
        <v>1</v>
      </c>
      <c r="J353" s="8" t="s">
        <v>94</v>
      </c>
      <c r="K353" s="8">
        <v>0</v>
      </c>
      <c r="L353" s="8" t="s">
        <v>95</v>
      </c>
      <c r="M353" s="8">
        <v>1</v>
      </c>
      <c r="N353" s="8" t="s">
        <v>95</v>
      </c>
      <c r="O353" s="8">
        <v>1</v>
      </c>
      <c r="P353" s="8" t="s">
        <v>95</v>
      </c>
      <c r="Q353" s="8">
        <v>1</v>
      </c>
      <c r="R353" s="8" t="s">
        <v>94</v>
      </c>
      <c r="S353" s="8">
        <v>0</v>
      </c>
      <c r="T353" s="8" t="s">
        <v>95</v>
      </c>
      <c r="U353" s="8">
        <v>1</v>
      </c>
      <c r="V353" s="8" t="s">
        <v>95</v>
      </c>
      <c r="W353" s="8">
        <v>1</v>
      </c>
      <c r="X353" s="8" t="s">
        <v>95</v>
      </c>
      <c r="Y353" s="8">
        <v>1</v>
      </c>
      <c r="Z353" s="8" t="s">
        <v>95</v>
      </c>
      <c r="AA353" s="8">
        <v>1</v>
      </c>
      <c r="AB353" s="8" t="s">
        <v>95</v>
      </c>
      <c r="AC353" s="8">
        <v>1</v>
      </c>
      <c r="AD353" s="8" t="s">
        <v>95</v>
      </c>
      <c r="AE353" s="8">
        <v>1</v>
      </c>
      <c r="AF353" s="8" t="s">
        <v>95</v>
      </c>
      <c r="AG353" s="8">
        <v>1</v>
      </c>
      <c r="AH353" s="8" t="s">
        <v>95</v>
      </c>
      <c r="AI353" s="8">
        <v>1</v>
      </c>
      <c r="AJ353" s="8" t="s">
        <v>95</v>
      </c>
      <c r="AK353" s="8">
        <v>1</v>
      </c>
      <c r="AL353" s="8" t="s">
        <v>95</v>
      </c>
      <c r="AM353" s="8">
        <v>1</v>
      </c>
      <c r="AN353" s="8">
        <v>14</v>
      </c>
    </row>
    <row r="354" spans="1:40" x14ac:dyDescent="0.25">
      <c r="A354" s="8" t="s">
        <v>414</v>
      </c>
      <c r="B354" s="9">
        <v>42033.662499999999</v>
      </c>
      <c r="C354" s="8">
        <v>0</v>
      </c>
      <c r="D354" s="9">
        <v>42038.226388888892</v>
      </c>
      <c r="E354" s="8" t="s">
        <v>93</v>
      </c>
      <c r="F354" s="8">
        <v>5</v>
      </c>
      <c r="G354" s="8" t="s">
        <v>94</v>
      </c>
      <c r="H354" s="8" t="s">
        <v>94</v>
      </c>
      <c r="I354" s="8">
        <v>0</v>
      </c>
      <c r="J354" s="8" t="s">
        <v>94</v>
      </c>
      <c r="K354" s="8">
        <v>0</v>
      </c>
      <c r="L354" s="8" t="s">
        <v>94</v>
      </c>
      <c r="M354" s="8">
        <v>0</v>
      </c>
      <c r="N354" s="8" t="s">
        <v>94</v>
      </c>
      <c r="O354" s="8">
        <v>0</v>
      </c>
      <c r="P354" s="8" t="s">
        <v>95</v>
      </c>
      <c r="Q354" s="8">
        <v>1</v>
      </c>
      <c r="R354" s="8" t="s">
        <v>95</v>
      </c>
      <c r="S354" s="8">
        <v>1</v>
      </c>
      <c r="T354" s="8" t="s">
        <v>94</v>
      </c>
      <c r="U354" s="8">
        <v>0</v>
      </c>
      <c r="V354" s="8" t="s">
        <v>95</v>
      </c>
      <c r="W354" s="8">
        <v>1</v>
      </c>
      <c r="X354" s="8" t="s">
        <v>94</v>
      </c>
      <c r="Y354" s="8">
        <v>0</v>
      </c>
      <c r="Z354" s="8" t="s">
        <v>94</v>
      </c>
      <c r="AA354" s="8">
        <v>0</v>
      </c>
      <c r="AB354" s="8" t="s">
        <v>94</v>
      </c>
      <c r="AC354" s="8">
        <v>0</v>
      </c>
      <c r="AD354" s="8" t="s">
        <v>95</v>
      </c>
      <c r="AE354" s="8">
        <v>1</v>
      </c>
      <c r="AF354" s="8" t="s">
        <v>94</v>
      </c>
      <c r="AG354" s="8">
        <v>0</v>
      </c>
      <c r="AH354" s="8" t="s">
        <v>94</v>
      </c>
      <c r="AI354" s="8">
        <v>0</v>
      </c>
      <c r="AJ354" s="8" t="s">
        <v>95</v>
      </c>
      <c r="AK354" s="8">
        <v>1</v>
      </c>
      <c r="AL354" s="8" t="s">
        <v>94</v>
      </c>
      <c r="AM354" s="8">
        <v>0</v>
      </c>
      <c r="AN354" s="8">
        <v>5</v>
      </c>
    </row>
    <row r="355" spans="1:40" x14ac:dyDescent="0.25">
      <c r="A355" s="8" t="s">
        <v>415</v>
      </c>
      <c r="B355" s="9">
        <v>42033.672222222223</v>
      </c>
      <c r="C355" s="8">
        <v>0</v>
      </c>
      <c r="D355" s="9">
        <v>42038.241666666669</v>
      </c>
      <c r="E355" s="8" t="s">
        <v>93</v>
      </c>
      <c r="F355" s="8">
        <v>11</v>
      </c>
      <c r="G355" s="8" t="s">
        <v>94</v>
      </c>
      <c r="H355" s="8" t="s">
        <v>95</v>
      </c>
      <c r="I355" s="8">
        <v>1</v>
      </c>
      <c r="J355" s="8" t="s">
        <v>95</v>
      </c>
      <c r="K355" s="8">
        <v>1</v>
      </c>
      <c r="L355" s="8" t="s">
        <v>95</v>
      </c>
      <c r="M355" s="8">
        <v>1</v>
      </c>
      <c r="N355" s="8" t="s">
        <v>95</v>
      </c>
      <c r="O355" s="8">
        <v>1</v>
      </c>
      <c r="P355" s="8" t="s">
        <v>94</v>
      </c>
      <c r="Q355" s="8">
        <v>0</v>
      </c>
      <c r="R355" s="8" t="s">
        <v>94</v>
      </c>
      <c r="S355" s="8">
        <v>0</v>
      </c>
      <c r="T355" s="8" t="s">
        <v>94</v>
      </c>
      <c r="U355" s="8">
        <v>0</v>
      </c>
      <c r="V355" s="8" t="s">
        <v>95</v>
      </c>
      <c r="W355" s="8">
        <v>1</v>
      </c>
      <c r="X355" s="8" t="s">
        <v>95</v>
      </c>
      <c r="Y355" s="8">
        <v>1</v>
      </c>
      <c r="Z355" s="8" t="s">
        <v>95</v>
      </c>
      <c r="AA355" s="8">
        <v>1</v>
      </c>
      <c r="AB355" s="8" t="s">
        <v>95</v>
      </c>
      <c r="AC355" s="8">
        <v>1</v>
      </c>
      <c r="AD355" s="8" t="s">
        <v>95</v>
      </c>
      <c r="AE355" s="8">
        <v>1</v>
      </c>
      <c r="AF355" s="8" t="s">
        <v>95</v>
      </c>
      <c r="AG355" s="8">
        <v>1</v>
      </c>
      <c r="AH355" s="8" t="s">
        <v>94</v>
      </c>
      <c r="AI355" s="8">
        <v>0</v>
      </c>
      <c r="AJ355" s="8" t="s">
        <v>95</v>
      </c>
      <c r="AK355" s="8">
        <v>1</v>
      </c>
      <c r="AL355" s="8" t="s">
        <v>94</v>
      </c>
      <c r="AM355" s="8">
        <v>0</v>
      </c>
      <c r="AN355" s="8">
        <v>11</v>
      </c>
    </row>
    <row r="356" spans="1:40" x14ac:dyDescent="0.25">
      <c r="A356" s="8" t="s">
        <v>416</v>
      </c>
      <c r="B356" s="9">
        <v>42033.665972222225</v>
      </c>
      <c r="C356" s="8">
        <v>0</v>
      </c>
      <c r="D356" s="9">
        <v>42038.246527777781</v>
      </c>
      <c r="E356" s="8" t="s">
        <v>93</v>
      </c>
      <c r="F356" s="8">
        <v>14</v>
      </c>
      <c r="G356" s="8" t="s">
        <v>94</v>
      </c>
      <c r="H356" s="8" t="s">
        <v>95</v>
      </c>
      <c r="I356" s="8">
        <v>1</v>
      </c>
      <c r="J356" s="8" t="s">
        <v>95</v>
      </c>
      <c r="K356" s="8">
        <v>1</v>
      </c>
      <c r="L356" s="8" t="s">
        <v>95</v>
      </c>
      <c r="M356" s="8">
        <v>1</v>
      </c>
      <c r="N356" s="8" t="s">
        <v>95</v>
      </c>
      <c r="O356" s="8">
        <v>1</v>
      </c>
      <c r="P356" s="8" t="s">
        <v>95</v>
      </c>
      <c r="Q356" s="8">
        <v>1</v>
      </c>
      <c r="R356" s="8" t="s">
        <v>95</v>
      </c>
      <c r="S356" s="8">
        <v>1</v>
      </c>
      <c r="T356" s="8" t="s">
        <v>95</v>
      </c>
      <c r="U356" s="8">
        <v>1</v>
      </c>
      <c r="V356" s="8" t="s">
        <v>95</v>
      </c>
      <c r="W356" s="8">
        <v>1</v>
      </c>
      <c r="X356" s="8" t="s">
        <v>95</v>
      </c>
      <c r="Y356" s="8">
        <v>1</v>
      </c>
      <c r="Z356" s="8" t="s">
        <v>95</v>
      </c>
      <c r="AA356" s="8">
        <v>1</v>
      </c>
      <c r="AB356" s="8" t="s">
        <v>95</v>
      </c>
      <c r="AC356" s="8">
        <v>1</v>
      </c>
      <c r="AD356" s="8" t="s">
        <v>95</v>
      </c>
      <c r="AE356" s="8">
        <v>1</v>
      </c>
      <c r="AF356" s="8" t="s">
        <v>95</v>
      </c>
      <c r="AG356" s="8">
        <v>1</v>
      </c>
      <c r="AH356" s="8" t="s">
        <v>94</v>
      </c>
      <c r="AI356" s="8">
        <v>0</v>
      </c>
      <c r="AJ356" s="8" t="s">
        <v>94</v>
      </c>
      <c r="AK356" s="8">
        <v>0</v>
      </c>
      <c r="AL356" s="8" t="s">
        <v>95</v>
      </c>
      <c r="AM356" s="8">
        <v>1</v>
      </c>
      <c r="AN356" s="8">
        <v>14</v>
      </c>
    </row>
    <row r="357" spans="1:40" x14ac:dyDescent="0.25">
      <c r="A357" s="8" t="s">
        <v>417</v>
      </c>
      <c r="B357" s="9">
        <v>42033.665972222225</v>
      </c>
      <c r="C357" s="8">
        <v>0</v>
      </c>
      <c r="D357" s="9">
        <v>42038.253472222219</v>
      </c>
      <c r="E357" s="8" t="s">
        <v>93</v>
      </c>
      <c r="F357" s="8">
        <v>16</v>
      </c>
      <c r="G357" s="8" t="s">
        <v>94</v>
      </c>
      <c r="H357" s="8" t="s">
        <v>95</v>
      </c>
      <c r="I357" s="8">
        <v>1</v>
      </c>
      <c r="J357" s="8" t="s">
        <v>95</v>
      </c>
      <c r="K357" s="8">
        <v>1</v>
      </c>
      <c r="L357" s="8" t="s">
        <v>95</v>
      </c>
      <c r="M357" s="8">
        <v>1</v>
      </c>
      <c r="N357" s="8" t="s">
        <v>95</v>
      </c>
      <c r="O357" s="8">
        <v>1</v>
      </c>
      <c r="P357" s="8" t="s">
        <v>95</v>
      </c>
      <c r="Q357" s="8">
        <v>1</v>
      </c>
      <c r="R357" s="8" t="s">
        <v>95</v>
      </c>
      <c r="S357" s="8">
        <v>1</v>
      </c>
      <c r="T357" s="8" t="s">
        <v>95</v>
      </c>
      <c r="U357" s="8">
        <v>1</v>
      </c>
      <c r="V357" s="8" t="s">
        <v>95</v>
      </c>
      <c r="W357" s="8">
        <v>1</v>
      </c>
      <c r="X357" s="8" t="s">
        <v>95</v>
      </c>
      <c r="Y357" s="8">
        <v>1</v>
      </c>
      <c r="Z357" s="8" t="s">
        <v>95</v>
      </c>
      <c r="AA357" s="8">
        <v>1</v>
      </c>
      <c r="AB357" s="8" t="s">
        <v>95</v>
      </c>
      <c r="AC357" s="8">
        <v>1</v>
      </c>
      <c r="AD357" s="8" t="s">
        <v>95</v>
      </c>
      <c r="AE357" s="8">
        <v>1</v>
      </c>
      <c r="AF357" s="8" t="s">
        <v>95</v>
      </c>
      <c r="AG357" s="8">
        <v>1</v>
      </c>
      <c r="AH357" s="8" t="s">
        <v>95</v>
      </c>
      <c r="AI357" s="8">
        <v>1</v>
      </c>
      <c r="AJ357" s="8" t="s">
        <v>95</v>
      </c>
      <c r="AK357" s="8">
        <v>1</v>
      </c>
      <c r="AL357" s="8" t="s">
        <v>95</v>
      </c>
      <c r="AM357" s="8">
        <v>1</v>
      </c>
      <c r="AN357" s="8">
        <v>16</v>
      </c>
    </row>
    <row r="358" spans="1:40" x14ac:dyDescent="0.25">
      <c r="A358" s="8" t="s">
        <v>418</v>
      </c>
      <c r="B358" s="9">
        <v>42033.67083333333</v>
      </c>
      <c r="C358" s="8">
        <v>0</v>
      </c>
      <c r="D358" s="9">
        <v>42038.256944444445</v>
      </c>
      <c r="E358" s="8" t="s">
        <v>93</v>
      </c>
      <c r="F358" s="8">
        <v>16</v>
      </c>
      <c r="G358" s="8" t="s">
        <v>94</v>
      </c>
      <c r="H358" s="8" t="s">
        <v>95</v>
      </c>
      <c r="I358" s="8">
        <v>1</v>
      </c>
      <c r="J358" s="8" t="s">
        <v>95</v>
      </c>
      <c r="K358" s="8">
        <v>1</v>
      </c>
      <c r="L358" s="8" t="s">
        <v>95</v>
      </c>
      <c r="M358" s="8">
        <v>1</v>
      </c>
      <c r="N358" s="8" t="s">
        <v>95</v>
      </c>
      <c r="O358" s="8">
        <v>1</v>
      </c>
      <c r="P358" s="8" t="s">
        <v>95</v>
      </c>
      <c r="Q358" s="8">
        <v>1</v>
      </c>
      <c r="R358" s="8" t="s">
        <v>95</v>
      </c>
      <c r="S358" s="8">
        <v>1</v>
      </c>
      <c r="T358" s="8" t="s">
        <v>95</v>
      </c>
      <c r="U358" s="8">
        <v>1</v>
      </c>
      <c r="V358" s="8" t="s">
        <v>95</v>
      </c>
      <c r="W358" s="8">
        <v>1</v>
      </c>
      <c r="X358" s="8" t="s">
        <v>95</v>
      </c>
      <c r="Y358" s="8">
        <v>1</v>
      </c>
      <c r="Z358" s="8" t="s">
        <v>95</v>
      </c>
      <c r="AA358" s="8">
        <v>1</v>
      </c>
      <c r="AB358" s="8" t="s">
        <v>95</v>
      </c>
      <c r="AC358" s="8">
        <v>1</v>
      </c>
      <c r="AD358" s="8" t="s">
        <v>95</v>
      </c>
      <c r="AE358" s="8">
        <v>1</v>
      </c>
      <c r="AF358" s="8" t="s">
        <v>95</v>
      </c>
      <c r="AG358" s="8">
        <v>1</v>
      </c>
      <c r="AH358" s="8" t="s">
        <v>95</v>
      </c>
      <c r="AI358" s="8">
        <v>1</v>
      </c>
      <c r="AJ358" s="8" t="s">
        <v>95</v>
      </c>
      <c r="AK358" s="8">
        <v>1</v>
      </c>
      <c r="AL358" s="8" t="s">
        <v>95</v>
      </c>
      <c r="AM358" s="8">
        <v>1</v>
      </c>
      <c r="AN358" s="8">
        <v>16</v>
      </c>
    </row>
    <row r="359" spans="1:40" x14ac:dyDescent="0.25">
      <c r="A359" s="8" t="s">
        <v>419</v>
      </c>
      <c r="B359" s="9">
        <v>42033.67291666667</v>
      </c>
      <c r="C359" s="8">
        <v>0</v>
      </c>
      <c r="D359" s="9">
        <v>42038.3</v>
      </c>
      <c r="E359" s="8" t="s">
        <v>93</v>
      </c>
      <c r="F359" s="8">
        <v>16</v>
      </c>
      <c r="G359" s="8" t="s">
        <v>94</v>
      </c>
      <c r="H359" s="8" t="s">
        <v>95</v>
      </c>
      <c r="I359" s="8">
        <v>1</v>
      </c>
      <c r="J359" s="8" t="s">
        <v>95</v>
      </c>
      <c r="K359" s="8">
        <v>1</v>
      </c>
      <c r="L359" s="8" t="s">
        <v>95</v>
      </c>
      <c r="M359" s="8">
        <v>1</v>
      </c>
      <c r="N359" s="8" t="s">
        <v>95</v>
      </c>
      <c r="O359" s="8">
        <v>1</v>
      </c>
      <c r="P359" s="8" t="s">
        <v>95</v>
      </c>
      <c r="Q359" s="8">
        <v>1</v>
      </c>
      <c r="R359" s="8" t="s">
        <v>95</v>
      </c>
      <c r="S359" s="8">
        <v>1</v>
      </c>
      <c r="T359" s="8" t="s">
        <v>95</v>
      </c>
      <c r="U359" s="8">
        <v>1</v>
      </c>
      <c r="V359" s="8" t="s">
        <v>95</v>
      </c>
      <c r="W359" s="8">
        <v>1</v>
      </c>
      <c r="X359" s="8" t="s">
        <v>95</v>
      </c>
      <c r="Y359" s="8">
        <v>1</v>
      </c>
      <c r="Z359" s="8" t="s">
        <v>95</v>
      </c>
      <c r="AA359" s="8">
        <v>1</v>
      </c>
      <c r="AB359" s="8" t="s">
        <v>95</v>
      </c>
      <c r="AC359" s="8">
        <v>1</v>
      </c>
      <c r="AD359" s="8" t="s">
        <v>95</v>
      </c>
      <c r="AE359" s="8">
        <v>1</v>
      </c>
      <c r="AF359" s="8" t="s">
        <v>95</v>
      </c>
      <c r="AG359" s="8">
        <v>1</v>
      </c>
      <c r="AH359" s="8" t="s">
        <v>95</v>
      </c>
      <c r="AI359" s="8">
        <v>1</v>
      </c>
      <c r="AJ359" s="8" t="s">
        <v>95</v>
      </c>
      <c r="AK359" s="8">
        <v>1</v>
      </c>
      <c r="AL359" s="8" t="s">
        <v>95</v>
      </c>
      <c r="AM359" s="8">
        <v>1</v>
      </c>
      <c r="AN359" s="8">
        <v>16</v>
      </c>
    </row>
    <row r="360" spans="1:40" x14ac:dyDescent="0.25">
      <c r="A360" s="8" t="s">
        <v>420</v>
      </c>
      <c r="B360" s="9">
        <v>42033.667361111111</v>
      </c>
      <c r="C360" s="8">
        <v>0</v>
      </c>
      <c r="D360" s="9">
        <v>42038.31527777778</v>
      </c>
      <c r="E360" s="8" t="s">
        <v>93</v>
      </c>
      <c r="F360" s="8">
        <v>10</v>
      </c>
      <c r="G360" s="8" t="s">
        <v>94</v>
      </c>
      <c r="H360" s="8" t="s">
        <v>95</v>
      </c>
      <c r="I360" s="8">
        <v>1</v>
      </c>
      <c r="J360" s="8" t="s">
        <v>94</v>
      </c>
      <c r="K360" s="8">
        <v>0</v>
      </c>
      <c r="L360" s="8" t="s">
        <v>94</v>
      </c>
      <c r="M360" s="8">
        <v>0</v>
      </c>
      <c r="N360" s="8" t="s">
        <v>94</v>
      </c>
      <c r="O360" s="8">
        <v>0</v>
      </c>
      <c r="P360" s="8" t="s">
        <v>95</v>
      </c>
      <c r="Q360" s="8">
        <v>1</v>
      </c>
      <c r="R360" s="8" t="s">
        <v>95</v>
      </c>
      <c r="S360" s="8">
        <v>1</v>
      </c>
      <c r="T360" s="8" t="s">
        <v>95</v>
      </c>
      <c r="U360" s="8">
        <v>1</v>
      </c>
      <c r="V360" s="8" t="s">
        <v>95</v>
      </c>
      <c r="W360" s="8">
        <v>1</v>
      </c>
      <c r="X360" s="8" t="s">
        <v>94</v>
      </c>
      <c r="Y360" s="8">
        <v>0</v>
      </c>
      <c r="Z360" s="8" t="s">
        <v>95</v>
      </c>
      <c r="AA360" s="8">
        <v>1</v>
      </c>
      <c r="AB360" s="8" t="s">
        <v>95</v>
      </c>
      <c r="AC360" s="8">
        <v>1</v>
      </c>
      <c r="AD360" s="8" t="s">
        <v>95</v>
      </c>
      <c r="AE360" s="8">
        <v>1</v>
      </c>
      <c r="AF360" s="8" t="s">
        <v>94</v>
      </c>
      <c r="AG360" s="8">
        <v>0</v>
      </c>
      <c r="AH360" s="8" t="s">
        <v>94</v>
      </c>
      <c r="AI360" s="8">
        <v>0</v>
      </c>
      <c r="AJ360" s="8" t="s">
        <v>95</v>
      </c>
      <c r="AK360" s="8">
        <v>1</v>
      </c>
      <c r="AL360" s="8" t="s">
        <v>95</v>
      </c>
      <c r="AM360" s="8">
        <v>1</v>
      </c>
      <c r="AN360" s="8">
        <v>10</v>
      </c>
    </row>
    <row r="361" spans="1:40" x14ac:dyDescent="0.25">
      <c r="A361" s="8" t="s">
        <v>421</v>
      </c>
      <c r="B361" s="9">
        <v>42033.670138888891</v>
      </c>
      <c r="C361" s="8">
        <v>0</v>
      </c>
      <c r="D361" s="9">
        <v>42038.40625</v>
      </c>
      <c r="E361" s="8" t="s">
        <v>93</v>
      </c>
      <c r="F361" s="8">
        <v>16</v>
      </c>
      <c r="G361" s="8" t="s">
        <v>94</v>
      </c>
      <c r="H361" s="8" t="s">
        <v>95</v>
      </c>
      <c r="I361" s="8">
        <v>1</v>
      </c>
      <c r="J361" s="8" t="s">
        <v>95</v>
      </c>
      <c r="K361" s="8">
        <v>1</v>
      </c>
      <c r="L361" s="8" t="s">
        <v>95</v>
      </c>
      <c r="M361" s="8">
        <v>1</v>
      </c>
      <c r="N361" s="8" t="s">
        <v>95</v>
      </c>
      <c r="O361" s="8">
        <v>1</v>
      </c>
      <c r="P361" s="8" t="s">
        <v>95</v>
      </c>
      <c r="Q361" s="8">
        <v>1</v>
      </c>
      <c r="R361" s="8" t="s">
        <v>95</v>
      </c>
      <c r="S361" s="8">
        <v>1</v>
      </c>
      <c r="T361" s="8" t="s">
        <v>95</v>
      </c>
      <c r="U361" s="8">
        <v>1</v>
      </c>
      <c r="V361" s="8" t="s">
        <v>95</v>
      </c>
      <c r="W361" s="8">
        <v>1</v>
      </c>
      <c r="X361" s="8" t="s">
        <v>95</v>
      </c>
      <c r="Y361" s="8">
        <v>1</v>
      </c>
      <c r="Z361" s="8" t="s">
        <v>95</v>
      </c>
      <c r="AA361" s="8">
        <v>1</v>
      </c>
      <c r="AB361" s="8" t="s">
        <v>95</v>
      </c>
      <c r="AC361" s="8">
        <v>1</v>
      </c>
      <c r="AD361" s="8" t="s">
        <v>95</v>
      </c>
      <c r="AE361" s="8">
        <v>1</v>
      </c>
      <c r="AF361" s="8" t="s">
        <v>95</v>
      </c>
      <c r="AG361" s="8">
        <v>1</v>
      </c>
      <c r="AH361" s="8" t="s">
        <v>95</v>
      </c>
      <c r="AI361" s="8">
        <v>1</v>
      </c>
      <c r="AJ361" s="8" t="s">
        <v>95</v>
      </c>
      <c r="AK361" s="8">
        <v>1</v>
      </c>
      <c r="AL361" s="8" t="s">
        <v>95</v>
      </c>
      <c r="AM361" s="8">
        <v>1</v>
      </c>
      <c r="AN361" s="8">
        <v>16</v>
      </c>
    </row>
    <row r="362" spans="1:40" x14ac:dyDescent="0.25">
      <c r="A362" s="8" t="s">
        <v>422</v>
      </c>
      <c r="B362" s="9">
        <v>42033.664583333331</v>
      </c>
      <c r="C362" s="8">
        <v>0</v>
      </c>
      <c r="D362" s="9">
        <v>42038.604861111111</v>
      </c>
      <c r="E362" s="8" t="s">
        <v>93</v>
      </c>
      <c r="F362" s="8">
        <v>12</v>
      </c>
      <c r="G362" s="8" t="s">
        <v>94</v>
      </c>
      <c r="H362" s="8" t="s">
        <v>94</v>
      </c>
      <c r="I362" s="8">
        <v>0</v>
      </c>
      <c r="J362" s="8" t="s">
        <v>95</v>
      </c>
      <c r="K362" s="8">
        <v>1</v>
      </c>
      <c r="L362" s="8" t="s">
        <v>95</v>
      </c>
      <c r="M362" s="8">
        <v>1</v>
      </c>
      <c r="N362" s="8" t="s">
        <v>95</v>
      </c>
      <c r="O362" s="8">
        <v>1</v>
      </c>
      <c r="P362" s="8" t="s">
        <v>95</v>
      </c>
      <c r="Q362" s="8">
        <v>1</v>
      </c>
      <c r="R362" s="8" t="s">
        <v>94</v>
      </c>
      <c r="S362" s="8">
        <v>0</v>
      </c>
      <c r="T362" s="8" t="s">
        <v>94</v>
      </c>
      <c r="U362" s="8">
        <v>0</v>
      </c>
      <c r="V362" s="8" t="s">
        <v>95</v>
      </c>
      <c r="W362" s="8">
        <v>1</v>
      </c>
      <c r="X362" s="8" t="s">
        <v>95</v>
      </c>
      <c r="Y362" s="8">
        <v>1</v>
      </c>
      <c r="Z362" s="8" t="s">
        <v>95</v>
      </c>
      <c r="AA362" s="8">
        <v>1</v>
      </c>
      <c r="AB362" s="8" t="s">
        <v>95</v>
      </c>
      <c r="AC362" s="8">
        <v>1</v>
      </c>
      <c r="AD362" s="8" t="s">
        <v>95</v>
      </c>
      <c r="AE362" s="8">
        <v>1</v>
      </c>
      <c r="AF362" s="8" t="s">
        <v>95</v>
      </c>
      <c r="AG362" s="8">
        <v>1</v>
      </c>
      <c r="AH362" s="8" t="s">
        <v>95</v>
      </c>
      <c r="AI362" s="8">
        <v>1</v>
      </c>
      <c r="AJ362" s="8" t="s">
        <v>95</v>
      </c>
      <c r="AK362" s="8">
        <v>1</v>
      </c>
      <c r="AL362" s="8" t="s">
        <v>94</v>
      </c>
      <c r="AM362" s="8">
        <v>0</v>
      </c>
      <c r="AN362" s="8">
        <v>12</v>
      </c>
    </row>
    <row r="363" spans="1:40" x14ac:dyDescent="0.25">
      <c r="A363" s="8" t="s">
        <v>423</v>
      </c>
      <c r="B363" s="9">
        <v>42033.681250000001</v>
      </c>
      <c r="C363" s="8">
        <v>0</v>
      </c>
      <c r="D363" s="9">
        <v>42038.660416666666</v>
      </c>
      <c r="E363" s="8" t="s">
        <v>93</v>
      </c>
      <c r="F363" s="8">
        <v>16</v>
      </c>
      <c r="G363" s="8" t="s">
        <v>94</v>
      </c>
      <c r="H363" s="8" t="s">
        <v>95</v>
      </c>
      <c r="I363" s="8">
        <v>1</v>
      </c>
      <c r="J363" s="8" t="s">
        <v>95</v>
      </c>
      <c r="K363" s="8">
        <v>1</v>
      </c>
      <c r="L363" s="8" t="s">
        <v>95</v>
      </c>
      <c r="M363" s="8">
        <v>1</v>
      </c>
      <c r="N363" s="8" t="s">
        <v>95</v>
      </c>
      <c r="O363" s="8">
        <v>1</v>
      </c>
      <c r="P363" s="8" t="s">
        <v>95</v>
      </c>
      <c r="Q363" s="8">
        <v>1</v>
      </c>
      <c r="R363" s="8" t="s">
        <v>95</v>
      </c>
      <c r="S363" s="8">
        <v>1</v>
      </c>
      <c r="T363" s="8" t="s">
        <v>95</v>
      </c>
      <c r="U363" s="8">
        <v>1</v>
      </c>
      <c r="V363" s="8" t="s">
        <v>95</v>
      </c>
      <c r="W363" s="8">
        <v>1</v>
      </c>
      <c r="X363" s="8" t="s">
        <v>95</v>
      </c>
      <c r="Y363" s="8">
        <v>1</v>
      </c>
      <c r="Z363" s="8" t="s">
        <v>95</v>
      </c>
      <c r="AA363" s="8">
        <v>1</v>
      </c>
      <c r="AB363" s="8" t="s">
        <v>95</v>
      </c>
      <c r="AC363" s="8">
        <v>1</v>
      </c>
      <c r="AD363" s="8" t="s">
        <v>95</v>
      </c>
      <c r="AE363" s="8">
        <v>1</v>
      </c>
      <c r="AF363" s="8" t="s">
        <v>95</v>
      </c>
      <c r="AG363" s="8">
        <v>1</v>
      </c>
      <c r="AH363" s="8" t="s">
        <v>95</v>
      </c>
      <c r="AI363" s="8">
        <v>1</v>
      </c>
      <c r="AJ363" s="8" t="s">
        <v>95</v>
      </c>
      <c r="AK363" s="8">
        <v>1</v>
      </c>
      <c r="AL363" s="8" t="s">
        <v>95</v>
      </c>
      <c r="AM363" s="8">
        <v>1</v>
      </c>
      <c r="AN363" s="8">
        <v>16</v>
      </c>
    </row>
    <row r="364" spans="1:40" x14ac:dyDescent="0.25">
      <c r="A364" s="8" t="s">
        <v>424</v>
      </c>
      <c r="B364" s="9">
        <v>42033.673611111109</v>
      </c>
      <c r="C364" s="8">
        <v>0</v>
      </c>
      <c r="D364" s="9">
        <v>42039.165972222225</v>
      </c>
      <c r="E364" s="8" t="s">
        <v>93</v>
      </c>
      <c r="F364" s="8">
        <v>16</v>
      </c>
      <c r="G364" s="8" t="s">
        <v>94</v>
      </c>
      <c r="H364" s="8" t="s">
        <v>95</v>
      </c>
      <c r="I364" s="8">
        <v>1</v>
      </c>
      <c r="J364" s="8" t="s">
        <v>95</v>
      </c>
      <c r="K364" s="8">
        <v>1</v>
      </c>
      <c r="L364" s="8" t="s">
        <v>95</v>
      </c>
      <c r="M364" s="8">
        <v>1</v>
      </c>
      <c r="N364" s="8" t="s">
        <v>95</v>
      </c>
      <c r="O364" s="8">
        <v>1</v>
      </c>
      <c r="P364" s="8" t="s">
        <v>95</v>
      </c>
      <c r="Q364" s="8">
        <v>1</v>
      </c>
      <c r="R364" s="8" t="s">
        <v>95</v>
      </c>
      <c r="S364" s="8">
        <v>1</v>
      </c>
      <c r="T364" s="8" t="s">
        <v>95</v>
      </c>
      <c r="U364" s="8">
        <v>1</v>
      </c>
      <c r="V364" s="8" t="s">
        <v>95</v>
      </c>
      <c r="W364" s="8">
        <v>1</v>
      </c>
      <c r="X364" s="8" t="s">
        <v>95</v>
      </c>
      <c r="Y364" s="8">
        <v>1</v>
      </c>
      <c r="Z364" s="8" t="s">
        <v>95</v>
      </c>
      <c r="AA364" s="8">
        <v>1</v>
      </c>
      <c r="AB364" s="8" t="s">
        <v>95</v>
      </c>
      <c r="AC364" s="8">
        <v>1</v>
      </c>
      <c r="AD364" s="8" t="s">
        <v>95</v>
      </c>
      <c r="AE364" s="8">
        <v>1</v>
      </c>
      <c r="AF364" s="8" t="s">
        <v>95</v>
      </c>
      <c r="AG364" s="8">
        <v>1</v>
      </c>
      <c r="AH364" s="8" t="s">
        <v>95</v>
      </c>
      <c r="AI364" s="8">
        <v>1</v>
      </c>
      <c r="AJ364" s="8" t="s">
        <v>95</v>
      </c>
      <c r="AK364" s="8">
        <v>1</v>
      </c>
      <c r="AL364" s="8" t="s">
        <v>95</v>
      </c>
      <c r="AM364" s="8">
        <v>1</v>
      </c>
      <c r="AN364" s="8">
        <v>16</v>
      </c>
    </row>
    <row r="365" spans="1:40" x14ac:dyDescent="0.25">
      <c r="A365" s="8" t="s">
        <v>425</v>
      </c>
      <c r="B365" s="9">
        <v>42033.671527777777</v>
      </c>
      <c r="C365" s="8">
        <v>0</v>
      </c>
      <c r="D365" s="9">
        <v>42039.229166666664</v>
      </c>
      <c r="E365" s="8" t="s">
        <v>93</v>
      </c>
      <c r="F365" s="8">
        <v>16</v>
      </c>
      <c r="G365" s="8" t="s">
        <v>94</v>
      </c>
      <c r="H365" s="8" t="s">
        <v>95</v>
      </c>
      <c r="I365" s="8">
        <v>1</v>
      </c>
      <c r="J365" s="8" t="s">
        <v>95</v>
      </c>
      <c r="K365" s="8">
        <v>1</v>
      </c>
      <c r="L365" s="8" t="s">
        <v>95</v>
      </c>
      <c r="M365" s="8">
        <v>1</v>
      </c>
      <c r="N365" s="8" t="s">
        <v>95</v>
      </c>
      <c r="O365" s="8">
        <v>1</v>
      </c>
      <c r="P365" s="8" t="s">
        <v>95</v>
      </c>
      <c r="Q365" s="8">
        <v>1</v>
      </c>
      <c r="R365" s="8" t="s">
        <v>95</v>
      </c>
      <c r="S365" s="8">
        <v>1</v>
      </c>
      <c r="T365" s="8" t="s">
        <v>95</v>
      </c>
      <c r="U365" s="8">
        <v>1</v>
      </c>
      <c r="V365" s="8" t="s">
        <v>95</v>
      </c>
      <c r="W365" s="8">
        <v>1</v>
      </c>
      <c r="X365" s="8" t="s">
        <v>95</v>
      </c>
      <c r="Y365" s="8">
        <v>1</v>
      </c>
      <c r="Z365" s="8" t="s">
        <v>95</v>
      </c>
      <c r="AA365" s="8">
        <v>1</v>
      </c>
      <c r="AB365" s="8" t="s">
        <v>95</v>
      </c>
      <c r="AC365" s="8">
        <v>1</v>
      </c>
      <c r="AD365" s="8" t="s">
        <v>95</v>
      </c>
      <c r="AE365" s="8">
        <v>1</v>
      </c>
      <c r="AF365" s="8" t="s">
        <v>95</v>
      </c>
      <c r="AG365" s="8">
        <v>1</v>
      </c>
      <c r="AH365" s="8" t="s">
        <v>95</v>
      </c>
      <c r="AI365" s="8">
        <v>1</v>
      </c>
      <c r="AJ365" s="8" t="s">
        <v>95</v>
      </c>
      <c r="AK365" s="8">
        <v>1</v>
      </c>
      <c r="AL365" s="8" t="s">
        <v>95</v>
      </c>
      <c r="AM365" s="8">
        <v>1</v>
      </c>
      <c r="AN365" s="8">
        <v>16</v>
      </c>
    </row>
    <row r="366" spans="1:40" x14ac:dyDescent="0.25">
      <c r="A366" s="8" t="s">
        <v>426</v>
      </c>
      <c r="B366" s="9">
        <v>42033.678472222222</v>
      </c>
      <c r="C366" s="8">
        <v>0</v>
      </c>
      <c r="D366" s="9">
        <v>42039.238194444442</v>
      </c>
      <c r="E366" s="8" t="s">
        <v>93</v>
      </c>
      <c r="F366" s="8">
        <v>9</v>
      </c>
      <c r="G366" s="8" t="s">
        <v>94</v>
      </c>
      <c r="H366" s="8" t="s">
        <v>95</v>
      </c>
      <c r="I366" s="8">
        <v>1</v>
      </c>
      <c r="J366" s="8" t="s">
        <v>95</v>
      </c>
      <c r="K366" s="8">
        <v>1</v>
      </c>
      <c r="L366" s="8" t="s">
        <v>94</v>
      </c>
      <c r="M366" s="8">
        <v>0</v>
      </c>
      <c r="N366" s="8" t="s">
        <v>94</v>
      </c>
      <c r="O366" s="8">
        <v>0</v>
      </c>
      <c r="P366" s="8" t="s">
        <v>95</v>
      </c>
      <c r="Q366" s="8">
        <v>1</v>
      </c>
      <c r="R366" s="8" t="s">
        <v>95</v>
      </c>
      <c r="S366" s="8">
        <v>1</v>
      </c>
      <c r="T366" s="8" t="s">
        <v>95</v>
      </c>
      <c r="U366" s="8">
        <v>1</v>
      </c>
      <c r="V366" s="8" t="s">
        <v>94</v>
      </c>
      <c r="W366" s="8">
        <v>0</v>
      </c>
      <c r="X366" s="8" t="s">
        <v>95</v>
      </c>
      <c r="Y366" s="8">
        <v>1</v>
      </c>
      <c r="Z366" s="8" t="s">
        <v>95</v>
      </c>
      <c r="AA366" s="8">
        <v>1</v>
      </c>
      <c r="AB366" s="8" t="s">
        <v>95</v>
      </c>
      <c r="AC366" s="8">
        <v>1</v>
      </c>
      <c r="AD366" s="8" t="s">
        <v>95</v>
      </c>
      <c r="AE366" s="8">
        <v>1</v>
      </c>
      <c r="AF366" s="8" t="s">
        <v>94</v>
      </c>
      <c r="AG366" s="8">
        <v>0</v>
      </c>
      <c r="AH366" s="8" t="s">
        <v>94</v>
      </c>
      <c r="AI366" s="8">
        <v>0</v>
      </c>
      <c r="AJ366" s="8" t="s">
        <v>94</v>
      </c>
      <c r="AK366" s="8">
        <v>0</v>
      </c>
      <c r="AL366" s="8" t="s">
        <v>94</v>
      </c>
      <c r="AM366" s="8">
        <v>0</v>
      </c>
      <c r="AN366" s="8">
        <v>9</v>
      </c>
    </row>
    <row r="367" spans="1:40" x14ac:dyDescent="0.25">
      <c r="A367" s="8" t="s">
        <v>427</v>
      </c>
      <c r="B367" s="9">
        <v>42033.665277777778</v>
      </c>
      <c r="C367" s="8">
        <v>0</v>
      </c>
      <c r="D367" s="9">
        <v>42039.276388888888</v>
      </c>
      <c r="E367" s="8" t="s">
        <v>93</v>
      </c>
      <c r="F367" s="8">
        <v>14</v>
      </c>
      <c r="G367" s="8" t="s">
        <v>94</v>
      </c>
      <c r="H367" s="8" t="s">
        <v>95</v>
      </c>
      <c r="I367" s="8">
        <v>1</v>
      </c>
      <c r="J367" s="8" t="s">
        <v>95</v>
      </c>
      <c r="K367" s="8">
        <v>1</v>
      </c>
      <c r="L367" s="8" t="s">
        <v>95</v>
      </c>
      <c r="M367" s="8">
        <v>1</v>
      </c>
      <c r="N367" s="8" t="s">
        <v>95</v>
      </c>
      <c r="O367" s="8">
        <v>1</v>
      </c>
      <c r="P367" s="8" t="s">
        <v>95</v>
      </c>
      <c r="Q367" s="8">
        <v>1</v>
      </c>
      <c r="R367" s="8" t="s">
        <v>95</v>
      </c>
      <c r="S367" s="8">
        <v>1</v>
      </c>
      <c r="T367" s="8" t="s">
        <v>95</v>
      </c>
      <c r="U367" s="8">
        <v>1</v>
      </c>
      <c r="V367" s="8" t="s">
        <v>95</v>
      </c>
      <c r="W367" s="8">
        <v>1</v>
      </c>
      <c r="X367" s="8" t="s">
        <v>95</v>
      </c>
      <c r="Y367" s="8">
        <v>1</v>
      </c>
      <c r="Z367" s="8" t="s">
        <v>95</v>
      </c>
      <c r="AA367" s="8">
        <v>1</v>
      </c>
      <c r="AB367" s="8" t="s">
        <v>95</v>
      </c>
      <c r="AC367" s="8">
        <v>1</v>
      </c>
      <c r="AD367" s="8" t="s">
        <v>95</v>
      </c>
      <c r="AE367" s="8">
        <v>1</v>
      </c>
      <c r="AF367" s="8" t="s">
        <v>95</v>
      </c>
      <c r="AG367" s="8">
        <v>1</v>
      </c>
      <c r="AH367" s="8" t="s">
        <v>94</v>
      </c>
      <c r="AI367" s="8">
        <v>0</v>
      </c>
      <c r="AJ367" s="8" t="s">
        <v>95</v>
      </c>
      <c r="AK367" s="8">
        <v>1</v>
      </c>
      <c r="AL367" s="8" t="s">
        <v>94</v>
      </c>
      <c r="AM367" s="8">
        <v>0</v>
      </c>
      <c r="AN367" s="8">
        <v>14</v>
      </c>
    </row>
    <row r="368" spans="1:40" x14ac:dyDescent="0.25">
      <c r="A368" s="8" t="s">
        <v>428</v>
      </c>
      <c r="B368" s="9">
        <v>42033.677083333336</v>
      </c>
      <c r="C368" s="8">
        <v>0</v>
      </c>
      <c r="D368" s="9">
        <v>42039.345138888886</v>
      </c>
      <c r="E368" s="8" t="s">
        <v>93</v>
      </c>
      <c r="F368" s="8">
        <v>9</v>
      </c>
      <c r="G368" s="8" t="s">
        <v>94</v>
      </c>
      <c r="H368" s="8" t="s">
        <v>95</v>
      </c>
      <c r="I368" s="8">
        <v>1</v>
      </c>
      <c r="J368" s="8" t="s">
        <v>95</v>
      </c>
      <c r="K368" s="8">
        <v>1</v>
      </c>
      <c r="L368" s="8" t="s">
        <v>94</v>
      </c>
      <c r="M368" s="8">
        <v>0</v>
      </c>
      <c r="N368" s="8" t="s">
        <v>94</v>
      </c>
      <c r="O368" s="8">
        <v>0</v>
      </c>
      <c r="P368" s="8" t="s">
        <v>95</v>
      </c>
      <c r="Q368" s="8">
        <v>1</v>
      </c>
      <c r="R368" s="8" t="s">
        <v>95</v>
      </c>
      <c r="S368" s="8">
        <v>1</v>
      </c>
      <c r="T368" s="8" t="s">
        <v>94</v>
      </c>
      <c r="U368" s="8">
        <v>0</v>
      </c>
      <c r="V368" s="8" t="s">
        <v>95</v>
      </c>
      <c r="W368" s="8">
        <v>1</v>
      </c>
      <c r="X368" s="8" t="s">
        <v>95</v>
      </c>
      <c r="Y368" s="8">
        <v>1</v>
      </c>
      <c r="Z368" s="8" t="s">
        <v>94</v>
      </c>
      <c r="AA368" s="8">
        <v>0</v>
      </c>
      <c r="AB368" s="8" t="s">
        <v>95</v>
      </c>
      <c r="AC368" s="8">
        <v>1</v>
      </c>
      <c r="AD368" s="8" t="s">
        <v>94</v>
      </c>
      <c r="AE368" s="8">
        <v>0</v>
      </c>
      <c r="AF368" s="8" t="s">
        <v>95</v>
      </c>
      <c r="AG368" s="8">
        <v>1</v>
      </c>
      <c r="AH368" s="8" t="s">
        <v>94</v>
      </c>
      <c r="AI368" s="8">
        <v>0</v>
      </c>
      <c r="AJ368" s="8" t="s">
        <v>94</v>
      </c>
      <c r="AK368" s="8">
        <v>0</v>
      </c>
      <c r="AL368" s="8" t="s">
        <v>95</v>
      </c>
      <c r="AM368" s="8">
        <v>1</v>
      </c>
      <c r="AN368" s="8">
        <v>9</v>
      </c>
    </row>
    <row r="369" spans="1:40" x14ac:dyDescent="0.25">
      <c r="A369" s="8" t="s">
        <v>429</v>
      </c>
      <c r="B369" s="9">
        <v>42033.65</v>
      </c>
      <c r="C369" s="8">
        <v>0</v>
      </c>
      <c r="D369" s="9">
        <v>42039.654166666667</v>
      </c>
      <c r="E369" s="8" t="s">
        <v>93</v>
      </c>
      <c r="F369" s="8">
        <v>0</v>
      </c>
      <c r="G369" s="8" t="s">
        <v>94</v>
      </c>
      <c r="H369" s="8" t="s">
        <v>94</v>
      </c>
      <c r="I369" s="8">
        <v>0</v>
      </c>
      <c r="J369" s="8" t="s">
        <v>94</v>
      </c>
      <c r="K369" s="8">
        <v>0</v>
      </c>
      <c r="L369" s="8" t="s">
        <v>94</v>
      </c>
      <c r="M369" s="8">
        <v>0</v>
      </c>
      <c r="N369" s="8" t="s">
        <v>94</v>
      </c>
      <c r="O369" s="8">
        <v>0</v>
      </c>
      <c r="P369" s="8" t="s">
        <v>94</v>
      </c>
      <c r="Q369" s="8">
        <v>0</v>
      </c>
      <c r="R369" s="8" t="s">
        <v>94</v>
      </c>
      <c r="S369" s="8">
        <v>0</v>
      </c>
      <c r="T369" s="8" t="s">
        <v>94</v>
      </c>
      <c r="U369" s="8">
        <v>0</v>
      </c>
      <c r="V369" s="8" t="s">
        <v>94</v>
      </c>
      <c r="W369" s="8">
        <v>0</v>
      </c>
      <c r="X369" s="8" t="s">
        <v>94</v>
      </c>
      <c r="Y369" s="8">
        <v>0</v>
      </c>
      <c r="Z369" s="8" t="s">
        <v>94</v>
      </c>
      <c r="AA369" s="8">
        <v>0</v>
      </c>
      <c r="AB369" s="8" t="s">
        <v>94</v>
      </c>
      <c r="AC369" s="8">
        <v>0</v>
      </c>
      <c r="AD369" s="8" t="s">
        <v>94</v>
      </c>
      <c r="AE369" s="8">
        <v>0</v>
      </c>
      <c r="AF369" s="8" t="s">
        <v>94</v>
      </c>
      <c r="AG369" s="8">
        <v>0</v>
      </c>
      <c r="AH369" s="8" t="s">
        <v>94</v>
      </c>
      <c r="AI369" s="8">
        <v>0</v>
      </c>
      <c r="AJ369" s="8" t="s">
        <v>94</v>
      </c>
      <c r="AK369" s="8">
        <v>0</v>
      </c>
      <c r="AL369" s="8" t="s">
        <v>94</v>
      </c>
      <c r="AM369" s="8">
        <v>0</v>
      </c>
      <c r="AN369" s="8">
        <v>0</v>
      </c>
    </row>
    <row r="370" spans="1:40" x14ac:dyDescent="0.25">
      <c r="A370" s="8" t="s">
        <v>430</v>
      </c>
      <c r="B370" s="9">
        <v>42033.675000000003</v>
      </c>
      <c r="C370" s="8">
        <v>0</v>
      </c>
      <c r="D370" s="9">
        <v>42039.665277777778</v>
      </c>
      <c r="E370" s="8" t="s">
        <v>93</v>
      </c>
      <c r="F370" s="8">
        <v>16</v>
      </c>
      <c r="G370" s="8" t="s">
        <v>94</v>
      </c>
      <c r="H370" s="8" t="s">
        <v>95</v>
      </c>
      <c r="I370" s="8">
        <v>1</v>
      </c>
      <c r="J370" s="8" t="s">
        <v>95</v>
      </c>
      <c r="K370" s="8">
        <v>1</v>
      </c>
      <c r="L370" s="8" t="s">
        <v>95</v>
      </c>
      <c r="M370" s="8">
        <v>1</v>
      </c>
      <c r="N370" s="8" t="s">
        <v>95</v>
      </c>
      <c r="O370" s="8">
        <v>1</v>
      </c>
      <c r="P370" s="8" t="s">
        <v>95</v>
      </c>
      <c r="Q370" s="8">
        <v>1</v>
      </c>
      <c r="R370" s="8" t="s">
        <v>95</v>
      </c>
      <c r="S370" s="8">
        <v>1</v>
      </c>
      <c r="T370" s="8" t="s">
        <v>95</v>
      </c>
      <c r="U370" s="8">
        <v>1</v>
      </c>
      <c r="V370" s="8" t="s">
        <v>95</v>
      </c>
      <c r="W370" s="8">
        <v>1</v>
      </c>
      <c r="X370" s="8" t="s">
        <v>95</v>
      </c>
      <c r="Y370" s="8">
        <v>1</v>
      </c>
      <c r="Z370" s="8" t="s">
        <v>95</v>
      </c>
      <c r="AA370" s="8">
        <v>1</v>
      </c>
      <c r="AB370" s="8" t="s">
        <v>95</v>
      </c>
      <c r="AC370" s="8">
        <v>1</v>
      </c>
      <c r="AD370" s="8" t="s">
        <v>95</v>
      </c>
      <c r="AE370" s="8">
        <v>1</v>
      </c>
      <c r="AF370" s="8" t="s">
        <v>95</v>
      </c>
      <c r="AG370" s="8">
        <v>1</v>
      </c>
      <c r="AH370" s="8" t="s">
        <v>95</v>
      </c>
      <c r="AI370" s="8">
        <v>1</v>
      </c>
      <c r="AJ370" s="8" t="s">
        <v>95</v>
      </c>
      <c r="AK370" s="8">
        <v>1</v>
      </c>
      <c r="AL370" s="8" t="s">
        <v>95</v>
      </c>
      <c r="AM370" s="8">
        <v>1</v>
      </c>
      <c r="AN370" s="8">
        <v>16</v>
      </c>
    </row>
    <row r="371" spans="1:40" x14ac:dyDescent="0.25">
      <c r="A371" s="8" t="s">
        <v>431</v>
      </c>
      <c r="B371" s="9">
        <v>42033.65347222222</v>
      </c>
      <c r="C371" s="8">
        <v>0</v>
      </c>
      <c r="D371" s="9">
        <v>42039.681250000001</v>
      </c>
      <c r="E371" s="8" t="s">
        <v>93</v>
      </c>
      <c r="F371" s="8">
        <v>7</v>
      </c>
      <c r="G371" s="8" t="s">
        <v>94</v>
      </c>
      <c r="H371" s="8" t="s">
        <v>95</v>
      </c>
      <c r="I371" s="8">
        <v>1</v>
      </c>
      <c r="J371" s="8" t="s">
        <v>94</v>
      </c>
      <c r="K371" s="8">
        <v>0</v>
      </c>
      <c r="L371" s="8" t="s">
        <v>94</v>
      </c>
      <c r="M371" s="8">
        <v>0</v>
      </c>
      <c r="N371" s="8" t="s">
        <v>94</v>
      </c>
      <c r="O371" s="8">
        <v>0</v>
      </c>
      <c r="P371" s="8" t="s">
        <v>94</v>
      </c>
      <c r="Q371" s="8">
        <v>0</v>
      </c>
      <c r="R371" s="8" t="s">
        <v>94</v>
      </c>
      <c r="S371" s="8">
        <v>0</v>
      </c>
      <c r="T371" s="8" t="s">
        <v>95</v>
      </c>
      <c r="U371" s="8">
        <v>1</v>
      </c>
      <c r="V371" s="8" t="s">
        <v>94</v>
      </c>
      <c r="W371" s="8">
        <v>0</v>
      </c>
      <c r="X371" s="8" t="s">
        <v>95</v>
      </c>
      <c r="Y371" s="8">
        <v>1</v>
      </c>
      <c r="Z371" s="8" t="s">
        <v>95</v>
      </c>
      <c r="AA371" s="8">
        <v>1</v>
      </c>
      <c r="AB371" s="8" t="s">
        <v>94</v>
      </c>
      <c r="AC371" s="8">
        <v>0</v>
      </c>
      <c r="AD371" s="8" t="s">
        <v>95</v>
      </c>
      <c r="AE371" s="8">
        <v>1</v>
      </c>
      <c r="AF371" s="8" t="s">
        <v>95</v>
      </c>
      <c r="AG371" s="8">
        <v>1</v>
      </c>
      <c r="AH371" s="8" t="s">
        <v>94</v>
      </c>
      <c r="AI371" s="8">
        <v>0</v>
      </c>
      <c r="AJ371" s="8" t="s">
        <v>94</v>
      </c>
      <c r="AK371" s="8">
        <v>0</v>
      </c>
      <c r="AL371" s="8" t="s">
        <v>95</v>
      </c>
      <c r="AM371" s="8">
        <v>1</v>
      </c>
      <c r="AN371" s="8">
        <v>7</v>
      </c>
    </row>
    <row r="372" spans="1:40" x14ac:dyDescent="0.25">
      <c r="A372" s="8" t="s">
        <v>432</v>
      </c>
      <c r="B372" s="9">
        <v>42033.679166666669</v>
      </c>
      <c r="C372" s="8">
        <v>0</v>
      </c>
      <c r="D372" s="9">
        <v>42039.697916666664</v>
      </c>
      <c r="E372" s="8" t="s">
        <v>93</v>
      </c>
      <c r="F372" s="8">
        <v>7</v>
      </c>
      <c r="G372" s="8" t="s">
        <v>94</v>
      </c>
      <c r="H372" s="8" t="s">
        <v>95</v>
      </c>
      <c r="I372" s="8">
        <v>1</v>
      </c>
      <c r="J372" s="8" t="s">
        <v>95</v>
      </c>
      <c r="K372" s="8">
        <v>1</v>
      </c>
      <c r="L372" s="8" t="s">
        <v>94</v>
      </c>
      <c r="M372" s="8">
        <v>0</v>
      </c>
      <c r="N372" s="8" t="s">
        <v>94</v>
      </c>
      <c r="O372" s="8">
        <v>0</v>
      </c>
      <c r="P372" s="8" t="s">
        <v>95</v>
      </c>
      <c r="Q372" s="8">
        <v>1</v>
      </c>
      <c r="R372" s="8" t="s">
        <v>95</v>
      </c>
      <c r="S372" s="8">
        <v>1</v>
      </c>
      <c r="T372" s="8" t="s">
        <v>94</v>
      </c>
      <c r="U372" s="8">
        <v>0</v>
      </c>
      <c r="V372" s="8" t="s">
        <v>94</v>
      </c>
      <c r="W372" s="8">
        <v>0</v>
      </c>
      <c r="X372" s="8" t="s">
        <v>94</v>
      </c>
      <c r="Y372" s="8">
        <v>0</v>
      </c>
      <c r="Z372" s="8" t="s">
        <v>94</v>
      </c>
      <c r="AA372" s="8">
        <v>0</v>
      </c>
      <c r="AB372" s="8" t="s">
        <v>95</v>
      </c>
      <c r="AC372" s="8">
        <v>1</v>
      </c>
      <c r="AD372" s="8" t="s">
        <v>95</v>
      </c>
      <c r="AE372" s="8">
        <v>1</v>
      </c>
      <c r="AF372" s="8" t="s">
        <v>94</v>
      </c>
      <c r="AG372" s="8">
        <v>0</v>
      </c>
      <c r="AH372" s="8" t="s">
        <v>94</v>
      </c>
      <c r="AI372" s="8">
        <v>0</v>
      </c>
      <c r="AJ372" s="8" t="s">
        <v>95</v>
      </c>
      <c r="AK372" s="8">
        <v>1</v>
      </c>
      <c r="AL372" s="8" t="s">
        <v>94</v>
      </c>
      <c r="AM372" s="8">
        <v>0</v>
      </c>
      <c r="AN372" s="8">
        <v>7</v>
      </c>
    </row>
    <row r="373" spans="1:40" x14ac:dyDescent="0.25">
      <c r="A373" s="8" t="s">
        <v>433</v>
      </c>
      <c r="B373" s="9">
        <v>42033.667361111111</v>
      </c>
      <c r="C373" s="8">
        <v>0</v>
      </c>
      <c r="D373" s="9">
        <v>42039.701388888891</v>
      </c>
      <c r="E373" s="8" t="s">
        <v>93</v>
      </c>
      <c r="F373" s="8">
        <v>16</v>
      </c>
      <c r="G373" s="8" t="s">
        <v>94</v>
      </c>
      <c r="H373" s="8" t="s">
        <v>95</v>
      </c>
      <c r="I373" s="8">
        <v>1</v>
      </c>
      <c r="J373" s="8" t="s">
        <v>95</v>
      </c>
      <c r="K373" s="8">
        <v>1</v>
      </c>
      <c r="L373" s="8" t="s">
        <v>95</v>
      </c>
      <c r="M373" s="8">
        <v>1</v>
      </c>
      <c r="N373" s="8" t="s">
        <v>95</v>
      </c>
      <c r="O373" s="8">
        <v>1</v>
      </c>
      <c r="P373" s="8" t="s">
        <v>95</v>
      </c>
      <c r="Q373" s="8">
        <v>1</v>
      </c>
      <c r="R373" s="8" t="s">
        <v>95</v>
      </c>
      <c r="S373" s="8">
        <v>1</v>
      </c>
      <c r="T373" s="8" t="s">
        <v>95</v>
      </c>
      <c r="U373" s="8">
        <v>1</v>
      </c>
      <c r="V373" s="8" t="s">
        <v>95</v>
      </c>
      <c r="W373" s="8">
        <v>1</v>
      </c>
      <c r="X373" s="8" t="s">
        <v>95</v>
      </c>
      <c r="Y373" s="8">
        <v>1</v>
      </c>
      <c r="Z373" s="8" t="s">
        <v>95</v>
      </c>
      <c r="AA373" s="8">
        <v>1</v>
      </c>
      <c r="AB373" s="8" t="s">
        <v>95</v>
      </c>
      <c r="AC373" s="8">
        <v>1</v>
      </c>
      <c r="AD373" s="8" t="s">
        <v>95</v>
      </c>
      <c r="AE373" s="8">
        <v>1</v>
      </c>
      <c r="AF373" s="8" t="s">
        <v>95</v>
      </c>
      <c r="AG373" s="8">
        <v>1</v>
      </c>
      <c r="AH373" s="8" t="s">
        <v>95</v>
      </c>
      <c r="AI373" s="8">
        <v>1</v>
      </c>
      <c r="AJ373" s="8" t="s">
        <v>95</v>
      </c>
      <c r="AK373" s="8">
        <v>1</v>
      </c>
      <c r="AL373" s="8" t="s">
        <v>95</v>
      </c>
      <c r="AM373" s="8">
        <v>1</v>
      </c>
      <c r="AN373" s="8">
        <v>16</v>
      </c>
    </row>
    <row r="374" spans="1:40" x14ac:dyDescent="0.25">
      <c r="A374" s="8" t="s">
        <v>434</v>
      </c>
      <c r="B374" s="9">
        <v>42033.65</v>
      </c>
      <c r="C374" s="8">
        <v>0</v>
      </c>
      <c r="D374" s="9">
        <v>42039.70416666667</v>
      </c>
      <c r="E374" s="8" t="s">
        <v>93</v>
      </c>
      <c r="F374" s="8">
        <v>16</v>
      </c>
      <c r="G374" s="8" t="s">
        <v>94</v>
      </c>
      <c r="H374" s="8" t="s">
        <v>95</v>
      </c>
      <c r="I374" s="8">
        <v>1</v>
      </c>
      <c r="J374" s="8" t="s">
        <v>95</v>
      </c>
      <c r="K374" s="8">
        <v>1</v>
      </c>
      <c r="L374" s="8" t="s">
        <v>95</v>
      </c>
      <c r="M374" s="8">
        <v>1</v>
      </c>
      <c r="N374" s="8" t="s">
        <v>95</v>
      </c>
      <c r="O374" s="8">
        <v>1</v>
      </c>
      <c r="P374" s="8" t="s">
        <v>95</v>
      </c>
      <c r="Q374" s="8">
        <v>1</v>
      </c>
      <c r="R374" s="8" t="s">
        <v>95</v>
      </c>
      <c r="S374" s="8">
        <v>1</v>
      </c>
      <c r="T374" s="8" t="s">
        <v>95</v>
      </c>
      <c r="U374" s="8">
        <v>1</v>
      </c>
      <c r="V374" s="8" t="s">
        <v>95</v>
      </c>
      <c r="W374" s="8">
        <v>1</v>
      </c>
      <c r="X374" s="8" t="s">
        <v>95</v>
      </c>
      <c r="Y374" s="8">
        <v>1</v>
      </c>
      <c r="Z374" s="8" t="s">
        <v>95</v>
      </c>
      <c r="AA374" s="8">
        <v>1</v>
      </c>
      <c r="AB374" s="8" t="s">
        <v>95</v>
      </c>
      <c r="AC374" s="8">
        <v>1</v>
      </c>
      <c r="AD374" s="8" t="s">
        <v>95</v>
      </c>
      <c r="AE374" s="8">
        <v>1</v>
      </c>
      <c r="AF374" s="8" t="s">
        <v>95</v>
      </c>
      <c r="AG374" s="8">
        <v>1</v>
      </c>
      <c r="AH374" s="8" t="s">
        <v>95</v>
      </c>
      <c r="AI374" s="8">
        <v>1</v>
      </c>
      <c r="AJ374" s="8" t="s">
        <v>95</v>
      </c>
      <c r="AK374" s="8">
        <v>1</v>
      </c>
      <c r="AL374" s="8" t="s">
        <v>95</v>
      </c>
      <c r="AM374" s="8">
        <v>1</v>
      </c>
      <c r="AN374" s="8">
        <v>16</v>
      </c>
    </row>
    <row r="375" spans="1:40" x14ac:dyDescent="0.25">
      <c r="A375" s="8" t="s">
        <v>435</v>
      </c>
      <c r="B375" s="9">
        <v>42033.676388888889</v>
      </c>
      <c r="C375" s="8">
        <v>0</v>
      </c>
      <c r="D375" s="9">
        <v>42039.711111111108</v>
      </c>
      <c r="E375" s="8" t="s">
        <v>93</v>
      </c>
      <c r="F375" s="8">
        <v>16</v>
      </c>
      <c r="G375" s="8" t="s">
        <v>94</v>
      </c>
      <c r="H375" s="8" t="s">
        <v>95</v>
      </c>
      <c r="I375" s="8">
        <v>1</v>
      </c>
      <c r="J375" s="8" t="s">
        <v>95</v>
      </c>
      <c r="K375" s="8">
        <v>1</v>
      </c>
      <c r="L375" s="8" t="s">
        <v>95</v>
      </c>
      <c r="M375" s="8">
        <v>1</v>
      </c>
      <c r="N375" s="8" t="s">
        <v>95</v>
      </c>
      <c r="O375" s="8">
        <v>1</v>
      </c>
      <c r="P375" s="8" t="s">
        <v>95</v>
      </c>
      <c r="Q375" s="8">
        <v>1</v>
      </c>
      <c r="R375" s="8" t="s">
        <v>95</v>
      </c>
      <c r="S375" s="8">
        <v>1</v>
      </c>
      <c r="T375" s="8" t="s">
        <v>95</v>
      </c>
      <c r="U375" s="8">
        <v>1</v>
      </c>
      <c r="V375" s="8" t="s">
        <v>95</v>
      </c>
      <c r="W375" s="8">
        <v>1</v>
      </c>
      <c r="X375" s="8" t="s">
        <v>95</v>
      </c>
      <c r="Y375" s="8">
        <v>1</v>
      </c>
      <c r="Z375" s="8" t="s">
        <v>95</v>
      </c>
      <c r="AA375" s="8">
        <v>1</v>
      </c>
      <c r="AB375" s="8" t="s">
        <v>95</v>
      </c>
      <c r="AC375" s="8">
        <v>1</v>
      </c>
      <c r="AD375" s="8" t="s">
        <v>95</v>
      </c>
      <c r="AE375" s="8">
        <v>1</v>
      </c>
      <c r="AF375" s="8" t="s">
        <v>95</v>
      </c>
      <c r="AG375" s="8">
        <v>1</v>
      </c>
      <c r="AH375" s="8" t="s">
        <v>95</v>
      </c>
      <c r="AI375" s="8">
        <v>1</v>
      </c>
      <c r="AJ375" s="8" t="s">
        <v>95</v>
      </c>
      <c r="AK375" s="8">
        <v>1</v>
      </c>
      <c r="AL375" s="8" t="s">
        <v>95</v>
      </c>
      <c r="AM375" s="8">
        <v>1</v>
      </c>
      <c r="AN375" s="8">
        <v>16</v>
      </c>
    </row>
    <row r="376" spans="1:40" x14ac:dyDescent="0.25">
      <c r="A376" s="8" t="s">
        <v>436</v>
      </c>
      <c r="B376" s="9">
        <v>42033.651388888888</v>
      </c>
      <c r="C376" s="8">
        <v>0</v>
      </c>
      <c r="D376" s="9">
        <v>42039.73333333333</v>
      </c>
      <c r="E376" s="8" t="s">
        <v>93</v>
      </c>
      <c r="F376" s="8">
        <v>16</v>
      </c>
      <c r="G376" s="8" t="s">
        <v>94</v>
      </c>
      <c r="H376" s="8" t="s">
        <v>95</v>
      </c>
      <c r="I376" s="8">
        <v>1</v>
      </c>
      <c r="J376" s="8" t="s">
        <v>95</v>
      </c>
      <c r="K376" s="8">
        <v>1</v>
      </c>
      <c r="L376" s="8" t="s">
        <v>95</v>
      </c>
      <c r="M376" s="8">
        <v>1</v>
      </c>
      <c r="N376" s="8" t="s">
        <v>95</v>
      </c>
      <c r="O376" s="8">
        <v>1</v>
      </c>
      <c r="P376" s="8" t="s">
        <v>95</v>
      </c>
      <c r="Q376" s="8">
        <v>1</v>
      </c>
      <c r="R376" s="8" t="s">
        <v>95</v>
      </c>
      <c r="S376" s="8">
        <v>1</v>
      </c>
      <c r="T376" s="8" t="s">
        <v>95</v>
      </c>
      <c r="U376" s="8">
        <v>1</v>
      </c>
      <c r="V376" s="8" t="s">
        <v>95</v>
      </c>
      <c r="W376" s="8">
        <v>1</v>
      </c>
      <c r="X376" s="8" t="s">
        <v>95</v>
      </c>
      <c r="Y376" s="8">
        <v>1</v>
      </c>
      <c r="Z376" s="8" t="s">
        <v>95</v>
      </c>
      <c r="AA376" s="8">
        <v>1</v>
      </c>
      <c r="AB376" s="8" t="s">
        <v>95</v>
      </c>
      <c r="AC376" s="8">
        <v>1</v>
      </c>
      <c r="AD376" s="8" t="s">
        <v>95</v>
      </c>
      <c r="AE376" s="8">
        <v>1</v>
      </c>
      <c r="AF376" s="8" t="s">
        <v>95</v>
      </c>
      <c r="AG376" s="8">
        <v>1</v>
      </c>
      <c r="AH376" s="8" t="s">
        <v>95</v>
      </c>
      <c r="AI376" s="8">
        <v>1</v>
      </c>
      <c r="AJ376" s="8" t="s">
        <v>95</v>
      </c>
      <c r="AK376" s="8">
        <v>1</v>
      </c>
      <c r="AL376" s="8" t="s">
        <v>95</v>
      </c>
      <c r="AM376" s="8">
        <v>1</v>
      </c>
      <c r="AN376" s="8">
        <v>16</v>
      </c>
    </row>
    <row r="377" spans="1:40" x14ac:dyDescent="0.25">
      <c r="A377" s="8" t="s">
        <v>437</v>
      </c>
      <c r="B377" s="9">
        <v>42033.677083333336</v>
      </c>
      <c r="C377" s="8">
        <v>0</v>
      </c>
      <c r="D377" s="9">
        <v>42039.757638888892</v>
      </c>
      <c r="E377" s="8" t="s">
        <v>93</v>
      </c>
      <c r="F377" s="8">
        <v>1</v>
      </c>
      <c r="G377" s="8" t="s">
        <v>94</v>
      </c>
      <c r="H377" s="8" t="s">
        <v>94</v>
      </c>
      <c r="I377" s="8">
        <v>0</v>
      </c>
      <c r="J377" s="8" t="s">
        <v>94</v>
      </c>
      <c r="K377" s="8">
        <v>0</v>
      </c>
      <c r="L377" s="8" t="s">
        <v>94</v>
      </c>
      <c r="M377" s="8">
        <v>0</v>
      </c>
      <c r="N377" s="8" t="s">
        <v>94</v>
      </c>
      <c r="O377" s="8">
        <v>0</v>
      </c>
      <c r="P377" s="8" t="s">
        <v>94</v>
      </c>
      <c r="Q377" s="8">
        <v>0</v>
      </c>
      <c r="R377" s="8" t="s">
        <v>94</v>
      </c>
      <c r="S377" s="8">
        <v>0</v>
      </c>
      <c r="T377" s="8" t="s">
        <v>94</v>
      </c>
      <c r="U377" s="8">
        <v>0</v>
      </c>
      <c r="V377" s="8" t="s">
        <v>94</v>
      </c>
      <c r="W377" s="8">
        <v>0</v>
      </c>
      <c r="X377" s="8" t="s">
        <v>94</v>
      </c>
      <c r="Y377" s="8">
        <v>0</v>
      </c>
      <c r="Z377" s="8" t="s">
        <v>94</v>
      </c>
      <c r="AA377" s="8">
        <v>0</v>
      </c>
      <c r="AB377" s="8" t="s">
        <v>94</v>
      </c>
      <c r="AC377" s="8">
        <v>0</v>
      </c>
      <c r="AD377" s="8" t="s">
        <v>95</v>
      </c>
      <c r="AE377" s="8">
        <v>1</v>
      </c>
      <c r="AF377" s="8" t="s">
        <v>94</v>
      </c>
      <c r="AG377" s="8">
        <v>0</v>
      </c>
      <c r="AH377" s="8" t="s">
        <v>94</v>
      </c>
      <c r="AI377" s="8">
        <v>0</v>
      </c>
      <c r="AJ377" s="8" t="s">
        <v>94</v>
      </c>
      <c r="AK377" s="8">
        <v>0</v>
      </c>
      <c r="AL377" s="8" t="s">
        <v>94</v>
      </c>
      <c r="AM377" s="8">
        <v>0</v>
      </c>
      <c r="AN377" s="8">
        <v>1</v>
      </c>
    </row>
    <row r="378" spans="1:40" x14ac:dyDescent="0.25">
      <c r="A378" s="8" t="s">
        <v>438</v>
      </c>
      <c r="B378" s="9">
        <v>42033.677083333336</v>
      </c>
      <c r="C378" s="8">
        <v>0</v>
      </c>
      <c r="D378" s="9">
        <v>42039.758333333331</v>
      </c>
      <c r="E378" s="8" t="s">
        <v>93</v>
      </c>
      <c r="F378" s="8">
        <v>16</v>
      </c>
      <c r="G378" s="8" t="s">
        <v>94</v>
      </c>
      <c r="H378" s="8" t="s">
        <v>95</v>
      </c>
      <c r="I378" s="8">
        <v>1</v>
      </c>
      <c r="J378" s="8" t="s">
        <v>95</v>
      </c>
      <c r="K378" s="8">
        <v>1</v>
      </c>
      <c r="L378" s="8" t="s">
        <v>95</v>
      </c>
      <c r="M378" s="8">
        <v>1</v>
      </c>
      <c r="N378" s="8" t="s">
        <v>95</v>
      </c>
      <c r="O378" s="8">
        <v>1</v>
      </c>
      <c r="P378" s="8" t="s">
        <v>95</v>
      </c>
      <c r="Q378" s="8">
        <v>1</v>
      </c>
      <c r="R378" s="8" t="s">
        <v>95</v>
      </c>
      <c r="S378" s="8">
        <v>1</v>
      </c>
      <c r="T378" s="8" t="s">
        <v>95</v>
      </c>
      <c r="U378" s="8">
        <v>1</v>
      </c>
      <c r="V378" s="8" t="s">
        <v>95</v>
      </c>
      <c r="W378" s="8">
        <v>1</v>
      </c>
      <c r="X378" s="8" t="s">
        <v>95</v>
      </c>
      <c r="Y378" s="8">
        <v>1</v>
      </c>
      <c r="Z378" s="8" t="s">
        <v>95</v>
      </c>
      <c r="AA378" s="8">
        <v>1</v>
      </c>
      <c r="AB378" s="8" t="s">
        <v>95</v>
      </c>
      <c r="AC378" s="8">
        <v>1</v>
      </c>
      <c r="AD378" s="8" t="s">
        <v>95</v>
      </c>
      <c r="AE378" s="8">
        <v>1</v>
      </c>
      <c r="AF378" s="8" t="s">
        <v>95</v>
      </c>
      <c r="AG378" s="8">
        <v>1</v>
      </c>
      <c r="AH378" s="8" t="s">
        <v>95</v>
      </c>
      <c r="AI378" s="8">
        <v>1</v>
      </c>
      <c r="AJ378" s="8" t="s">
        <v>95</v>
      </c>
      <c r="AK378" s="8">
        <v>1</v>
      </c>
      <c r="AL378" s="8" t="s">
        <v>95</v>
      </c>
      <c r="AM378" s="8">
        <v>1</v>
      </c>
      <c r="AN378" s="8">
        <v>16</v>
      </c>
    </row>
    <row r="379" spans="1:40" x14ac:dyDescent="0.25">
      <c r="A379" s="8" t="s">
        <v>439</v>
      </c>
      <c r="B379" s="9">
        <v>42033.684027777781</v>
      </c>
      <c r="C379" s="8">
        <v>0</v>
      </c>
      <c r="D379" s="9">
        <v>42039.759027777778</v>
      </c>
      <c r="E379" s="8" t="s">
        <v>93</v>
      </c>
      <c r="F379" s="8">
        <v>16</v>
      </c>
      <c r="G379" s="8" t="s">
        <v>94</v>
      </c>
      <c r="H379" s="8" t="s">
        <v>95</v>
      </c>
      <c r="I379" s="8">
        <v>1</v>
      </c>
      <c r="J379" s="8" t="s">
        <v>95</v>
      </c>
      <c r="K379" s="8">
        <v>1</v>
      </c>
      <c r="L379" s="8" t="s">
        <v>95</v>
      </c>
      <c r="M379" s="8">
        <v>1</v>
      </c>
      <c r="N379" s="8" t="s">
        <v>95</v>
      </c>
      <c r="O379" s="8">
        <v>1</v>
      </c>
      <c r="P379" s="8" t="s">
        <v>95</v>
      </c>
      <c r="Q379" s="8">
        <v>1</v>
      </c>
      <c r="R379" s="8" t="s">
        <v>95</v>
      </c>
      <c r="S379" s="8">
        <v>1</v>
      </c>
      <c r="T379" s="8" t="s">
        <v>95</v>
      </c>
      <c r="U379" s="8">
        <v>1</v>
      </c>
      <c r="V379" s="8" t="s">
        <v>95</v>
      </c>
      <c r="W379" s="8">
        <v>1</v>
      </c>
      <c r="X379" s="8" t="s">
        <v>95</v>
      </c>
      <c r="Y379" s="8">
        <v>1</v>
      </c>
      <c r="Z379" s="8" t="s">
        <v>95</v>
      </c>
      <c r="AA379" s="8">
        <v>1</v>
      </c>
      <c r="AB379" s="8" t="s">
        <v>95</v>
      </c>
      <c r="AC379" s="8">
        <v>1</v>
      </c>
      <c r="AD379" s="8" t="s">
        <v>95</v>
      </c>
      <c r="AE379" s="8">
        <v>1</v>
      </c>
      <c r="AF379" s="8" t="s">
        <v>95</v>
      </c>
      <c r="AG379" s="8">
        <v>1</v>
      </c>
      <c r="AH379" s="8" t="s">
        <v>95</v>
      </c>
      <c r="AI379" s="8">
        <v>1</v>
      </c>
      <c r="AJ379" s="8" t="s">
        <v>95</v>
      </c>
      <c r="AK379" s="8">
        <v>1</v>
      </c>
      <c r="AL379" s="8" t="s">
        <v>95</v>
      </c>
      <c r="AM379" s="8">
        <v>1</v>
      </c>
      <c r="AN379" s="8">
        <v>16</v>
      </c>
    </row>
    <row r="380" spans="1:40" x14ac:dyDescent="0.25">
      <c r="A380" s="8" t="s">
        <v>440</v>
      </c>
      <c r="B380" s="9">
        <v>42033.651388888888</v>
      </c>
      <c r="C380" s="8">
        <v>0</v>
      </c>
      <c r="D380" s="9">
        <v>42039.769444444442</v>
      </c>
      <c r="E380" s="8" t="s">
        <v>93</v>
      </c>
      <c r="F380" s="8">
        <v>16</v>
      </c>
      <c r="G380" s="8" t="s">
        <v>94</v>
      </c>
      <c r="H380" s="8" t="s">
        <v>95</v>
      </c>
      <c r="I380" s="8">
        <v>1</v>
      </c>
      <c r="J380" s="8" t="s">
        <v>95</v>
      </c>
      <c r="K380" s="8">
        <v>1</v>
      </c>
      <c r="L380" s="8" t="s">
        <v>95</v>
      </c>
      <c r="M380" s="8">
        <v>1</v>
      </c>
      <c r="N380" s="8" t="s">
        <v>95</v>
      </c>
      <c r="O380" s="8">
        <v>1</v>
      </c>
      <c r="P380" s="8" t="s">
        <v>95</v>
      </c>
      <c r="Q380" s="8">
        <v>1</v>
      </c>
      <c r="R380" s="8" t="s">
        <v>95</v>
      </c>
      <c r="S380" s="8">
        <v>1</v>
      </c>
      <c r="T380" s="8" t="s">
        <v>95</v>
      </c>
      <c r="U380" s="8">
        <v>1</v>
      </c>
      <c r="V380" s="8" t="s">
        <v>95</v>
      </c>
      <c r="W380" s="8">
        <v>1</v>
      </c>
      <c r="X380" s="8" t="s">
        <v>95</v>
      </c>
      <c r="Y380" s="8">
        <v>1</v>
      </c>
      <c r="Z380" s="8" t="s">
        <v>95</v>
      </c>
      <c r="AA380" s="8">
        <v>1</v>
      </c>
      <c r="AB380" s="8" t="s">
        <v>95</v>
      </c>
      <c r="AC380" s="8">
        <v>1</v>
      </c>
      <c r="AD380" s="8" t="s">
        <v>95</v>
      </c>
      <c r="AE380" s="8">
        <v>1</v>
      </c>
      <c r="AF380" s="8" t="s">
        <v>95</v>
      </c>
      <c r="AG380" s="8">
        <v>1</v>
      </c>
      <c r="AH380" s="8" t="s">
        <v>95</v>
      </c>
      <c r="AI380" s="8">
        <v>1</v>
      </c>
      <c r="AJ380" s="8" t="s">
        <v>95</v>
      </c>
      <c r="AK380" s="8">
        <v>1</v>
      </c>
      <c r="AL380" s="8" t="s">
        <v>95</v>
      </c>
      <c r="AM380" s="8">
        <v>1</v>
      </c>
      <c r="AN380" s="8">
        <v>16</v>
      </c>
    </row>
    <row r="381" spans="1:40" x14ac:dyDescent="0.25">
      <c r="A381" s="8" t="s">
        <v>441</v>
      </c>
      <c r="B381" s="9">
        <v>42033.652083333334</v>
      </c>
      <c r="C381" s="8">
        <v>0</v>
      </c>
      <c r="D381" s="9">
        <v>42039.799305555556</v>
      </c>
      <c r="E381" s="8" t="s">
        <v>93</v>
      </c>
      <c r="F381" s="8">
        <v>12</v>
      </c>
      <c r="G381" s="8" t="s">
        <v>94</v>
      </c>
      <c r="H381" s="8" t="s">
        <v>95</v>
      </c>
      <c r="I381" s="8">
        <v>1</v>
      </c>
      <c r="J381" s="8" t="s">
        <v>95</v>
      </c>
      <c r="K381" s="8">
        <v>1</v>
      </c>
      <c r="L381" s="8" t="s">
        <v>94</v>
      </c>
      <c r="M381" s="8">
        <v>0</v>
      </c>
      <c r="N381" s="8" t="s">
        <v>95</v>
      </c>
      <c r="O381" s="8">
        <v>1</v>
      </c>
      <c r="P381" s="8" t="s">
        <v>94</v>
      </c>
      <c r="Q381" s="8">
        <v>0</v>
      </c>
      <c r="R381" s="8" t="s">
        <v>95</v>
      </c>
      <c r="S381" s="8">
        <v>1</v>
      </c>
      <c r="T381" s="8" t="s">
        <v>95</v>
      </c>
      <c r="U381" s="8">
        <v>1</v>
      </c>
      <c r="V381" s="8" t="s">
        <v>94</v>
      </c>
      <c r="W381" s="8">
        <v>0</v>
      </c>
      <c r="X381" s="8" t="s">
        <v>95</v>
      </c>
      <c r="Y381" s="8">
        <v>1</v>
      </c>
      <c r="Z381" s="8" t="s">
        <v>94</v>
      </c>
      <c r="AA381" s="8">
        <v>0</v>
      </c>
      <c r="AB381" s="8" t="s">
        <v>95</v>
      </c>
      <c r="AC381" s="8">
        <v>1</v>
      </c>
      <c r="AD381" s="8" t="s">
        <v>95</v>
      </c>
      <c r="AE381" s="8">
        <v>1</v>
      </c>
      <c r="AF381" s="8" t="s">
        <v>95</v>
      </c>
      <c r="AG381" s="8">
        <v>1</v>
      </c>
      <c r="AH381" s="8" t="s">
        <v>95</v>
      </c>
      <c r="AI381" s="8">
        <v>1</v>
      </c>
      <c r="AJ381" s="8" t="s">
        <v>95</v>
      </c>
      <c r="AK381" s="8">
        <v>1</v>
      </c>
      <c r="AL381" s="8" t="s">
        <v>95</v>
      </c>
      <c r="AM381" s="8">
        <v>1</v>
      </c>
      <c r="AN381" s="8">
        <v>12</v>
      </c>
    </row>
    <row r="382" spans="1:40" x14ac:dyDescent="0.25">
      <c r="A382" s="8" t="s">
        <v>442</v>
      </c>
      <c r="B382" s="9">
        <v>42033.68472222222</v>
      </c>
      <c r="C382" s="8">
        <v>0</v>
      </c>
      <c r="D382" s="9">
        <v>42039.811805555553</v>
      </c>
      <c r="E382" s="8" t="s">
        <v>93</v>
      </c>
      <c r="F382" s="8">
        <v>13</v>
      </c>
      <c r="G382" s="8" t="s">
        <v>94</v>
      </c>
      <c r="H382" s="8" t="s">
        <v>95</v>
      </c>
      <c r="I382" s="8">
        <v>1</v>
      </c>
      <c r="J382" s="8" t="s">
        <v>95</v>
      </c>
      <c r="K382" s="8">
        <v>1</v>
      </c>
      <c r="L382" s="8" t="s">
        <v>94</v>
      </c>
      <c r="M382" s="8">
        <v>0</v>
      </c>
      <c r="N382" s="8" t="s">
        <v>95</v>
      </c>
      <c r="O382" s="8">
        <v>1</v>
      </c>
      <c r="P382" s="8" t="s">
        <v>95</v>
      </c>
      <c r="Q382" s="8">
        <v>1</v>
      </c>
      <c r="R382" s="8" t="s">
        <v>95</v>
      </c>
      <c r="S382" s="8">
        <v>1</v>
      </c>
      <c r="T382" s="8" t="s">
        <v>94</v>
      </c>
      <c r="U382" s="8">
        <v>0</v>
      </c>
      <c r="V382" s="8" t="s">
        <v>94</v>
      </c>
      <c r="W382" s="8">
        <v>0</v>
      </c>
      <c r="X382" s="8" t="s">
        <v>95</v>
      </c>
      <c r="Y382" s="8">
        <v>1</v>
      </c>
      <c r="Z382" s="8" t="s">
        <v>95</v>
      </c>
      <c r="AA382" s="8">
        <v>1</v>
      </c>
      <c r="AB382" s="8" t="s">
        <v>95</v>
      </c>
      <c r="AC382" s="8">
        <v>1</v>
      </c>
      <c r="AD382" s="8" t="s">
        <v>95</v>
      </c>
      <c r="AE382" s="8">
        <v>1</v>
      </c>
      <c r="AF382" s="8" t="s">
        <v>95</v>
      </c>
      <c r="AG382" s="8">
        <v>1</v>
      </c>
      <c r="AH382" s="8" t="s">
        <v>95</v>
      </c>
      <c r="AI382" s="8">
        <v>1</v>
      </c>
      <c r="AJ382" s="8" t="s">
        <v>95</v>
      </c>
      <c r="AK382" s="8">
        <v>1</v>
      </c>
      <c r="AL382" s="8" t="s">
        <v>95</v>
      </c>
      <c r="AM382" s="8">
        <v>1</v>
      </c>
      <c r="AN382" s="8">
        <v>13</v>
      </c>
    </row>
    <row r="383" spans="1:40" x14ac:dyDescent="0.25">
      <c r="A383" s="8" t="s">
        <v>443</v>
      </c>
      <c r="B383" s="9">
        <v>42033.668749999997</v>
      </c>
      <c r="C383" s="8">
        <v>0</v>
      </c>
      <c r="D383" s="9">
        <v>42039.831250000003</v>
      </c>
      <c r="E383" s="8" t="s">
        <v>93</v>
      </c>
      <c r="F383" s="8">
        <v>16</v>
      </c>
      <c r="G383" s="8" t="s">
        <v>94</v>
      </c>
      <c r="H383" s="8" t="s">
        <v>95</v>
      </c>
      <c r="I383" s="8">
        <v>1</v>
      </c>
      <c r="J383" s="8" t="s">
        <v>95</v>
      </c>
      <c r="K383" s="8">
        <v>1</v>
      </c>
      <c r="L383" s="8" t="s">
        <v>95</v>
      </c>
      <c r="M383" s="8">
        <v>1</v>
      </c>
      <c r="N383" s="8" t="s">
        <v>95</v>
      </c>
      <c r="O383" s="8">
        <v>1</v>
      </c>
      <c r="P383" s="8" t="s">
        <v>95</v>
      </c>
      <c r="Q383" s="8">
        <v>1</v>
      </c>
      <c r="R383" s="8" t="s">
        <v>95</v>
      </c>
      <c r="S383" s="8">
        <v>1</v>
      </c>
      <c r="T383" s="8" t="s">
        <v>95</v>
      </c>
      <c r="U383" s="8">
        <v>1</v>
      </c>
      <c r="V383" s="8" t="s">
        <v>95</v>
      </c>
      <c r="W383" s="8">
        <v>1</v>
      </c>
      <c r="X383" s="8" t="s">
        <v>95</v>
      </c>
      <c r="Y383" s="8">
        <v>1</v>
      </c>
      <c r="Z383" s="8" t="s">
        <v>95</v>
      </c>
      <c r="AA383" s="8">
        <v>1</v>
      </c>
      <c r="AB383" s="8" t="s">
        <v>95</v>
      </c>
      <c r="AC383" s="8">
        <v>1</v>
      </c>
      <c r="AD383" s="8" t="s">
        <v>95</v>
      </c>
      <c r="AE383" s="8">
        <v>1</v>
      </c>
      <c r="AF383" s="8" t="s">
        <v>95</v>
      </c>
      <c r="AG383" s="8">
        <v>1</v>
      </c>
      <c r="AH383" s="8" t="s">
        <v>95</v>
      </c>
      <c r="AI383" s="8">
        <v>1</v>
      </c>
      <c r="AJ383" s="8" t="s">
        <v>95</v>
      </c>
      <c r="AK383" s="8">
        <v>1</v>
      </c>
      <c r="AL383" s="8" t="s">
        <v>95</v>
      </c>
      <c r="AM383" s="8">
        <v>1</v>
      </c>
      <c r="AN383" s="8">
        <v>16</v>
      </c>
    </row>
    <row r="384" spans="1:40" x14ac:dyDescent="0.25">
      <c r="A384" s="8" t="s">
        <v>444</v>
      </c>
      <c r="B384" s="9">
        <v>42033.681944444441</v>
      </c>
      <c r="C384" s="8">
        <v>0</v>
      </c>
      <c r="D384" s="9">
        <v>42039.881944444445</v>
      </c>
      <c r="E384" s="8" t="s">
        <v>93</v>
      </c>
      <c r="F384" s="8">
        <v>15</v>
      </c>
      <c r="G384" s="8" t="s">
        <v>94</v>
      </c>
      <c r="H384" s="8" t="s">
        <v>95</v>
      </c>
      <c r="I384" s="8">
        <v>1</v>
      </c>
      <c r="J384" s="8" t="s">
        <v>95</v>
      </c>
      <c r="K384" s="8">
        <v>1</v>
      </c>
      <c r="L384" s="8" t="s">
        <v>95</v>
      </c>
      <c r="M384" s="8">
        <v>1</v>
      </c>
      <c r="N384" s="8" t="s">
        <v>95</v>
      </c>
      <c r="O384" s="8">
        <v>1</v>
      </c>
      <c r="P384" s="8" t="s">
        <v>95</v>
      </c>
      <c r="Q384" s="8">
        <v>1</v>
      </c>
      <c r="R384" s="8" t="s">
        <v>95</v>
      </c>
      <c r="S384" s="8">
        <v>1</v>
      </c>
      <c r="T384" s="8" t="s">
        <v>95</v>
      </c>
      <c r="U384" s="8">
        <v>1</v>
      </c>
      <c r="V384" s="8" t="s">
        <v>95</v>
      </c>
      <c r="W384" s="8">
        <v>1</v>
      </c>
      <c r="X384" s="8" t="s">
        <v>95</v>
      </c>
      <c r="Y384" s="8">
        <v>1</v>
      </c>
      <c r="Z384" s="8" t="s">
        <v>95</v>
      </c>
      <c r="AA384" s="8">
        <v>1</v>
      </c>
      <c r="AB384" s="8" t="s">
        <v>95</v>
      </c>
      <c r="AC384" s="8">
        <v>1</v>
      </c>
      <c r="AD384" s="8" t="s">
        <v>95</v>
      </c>
      <c r="AE384" s="8">
        <v>1</v>
      </c>
      <c r="AF384" s="8" t="s">
        <v>95</v>
      </c>
      <c r="AG384" s="8">
        <v>1</v>
      </c>
      <c r="AH384" s="8" t="s">
        <v>94</v>
      </c>
      <c r="AI384" s="8">
        <v>0</v>
      </c>
      <c r="AJ384" s="8" t="s">
        <v>95</v>
      </c>
      <c r="AK384" s="8">
        <v>1</v>
      </c>
      <c r="AL384" s="8" t="s">
        <v>95</v>
      </c>
      <c r="AM384" s="8">
        <v>1</v>
      </c>
      <c r="AN384" s="8">
        <v>15</v>
      </c>
    </row>
    <row r="385" spans="1:40" x14ac:dyDescent="0.25">
      <c r="A385" s="8" t="s">
        <v>445</v>
      </c>
      <c r="B385" s="9">
        <v>42033.65625</v>
      </c>
      <c r="C385" s="8">
        <v>0</v>
      </c>
      <c r="D385" s="9">
        <v>42039.884722222225</v>
      </c>
      <c r="E385" s="8" t="s">
        <v>93</v>
      </c>
      <c r="F385" s="8">
        <v>1</v>
      </c>
      <c r="G385" s="8" t="s">
        <v>94</v>
      </c>
      <c r="H385" s="8" t="s">
        <v>94</v>
      </c>
      <c r="I385" s="8">
        <v>0</v>
      </c>
      <c r="J385" s="8" t="s">
        <v>94</v>
      </c>
      <c r="K385" s="8">
        <v>0</v>
      </c>
      <c r="L385" s="8" t="s">
        <v>94</v>
      </c>
      <c r="M385" s="8">
        <v>0</v>
      </c>
      <c r="N385" s="8" t="s">
        <v>94</v>
      </c>
      <c r="O385" s="8">
        <v>0</v>
      </c>
      <c r="P385" s="8" t="s">
        <v>94</v>
      </c>
      <c r="Q385" s="8">
        <v>0</v>
      </c>
      <c r="R385" s="8" t="s">
        <v>94</v>
      </c>
      <c r="S385" s="8">
        <v>0</v>
      </c>
      <c r="T385" s="8" t="s">
        <v>94</v>
      </c>
      <c r="U385" s="8">
        <v>0</v>
      </c>
      <c r="V385" s="8" t="s">
        <v>94</v>
      </c>
      <c r="W385" s="8">
        <v>0</v>
      </c>
      <c r="X385" s="8" t="s">
        <v>94</v>
      </c>
      <c r="Y385" s="8">
        <v>0</v>
      </c>
      <c r="Z385" s="8" t="s">
        <v>94</v>
      </c>
      <c r="AA385" s="8">
        <v>0</v>
      </c>
      <c r="AB385" s="8" t="s">
        <v>94</v>
      </c>
      <c r="AC385" s="8">
        <v>0</v>
      </c>
      <c r="AD385" s="8" t="s">
        <v>95</v>
      </c>
      <c r="AE385" s="8">
        <v>1</v>
      </c>
      <c r="AF385" s="8" t="s">
        <v>94</v>
      </c>
      <c r="AG385" s="8">
        <v>0</v>
      </c>
      <c r="AH385" s="8" t="s">
        <v>94</v>
      </c>
      <c r="AI385" s="8">
        <v>0</v>
      </c>
      <c r="AJ385" s="8" t="s">
        <v>94</v>
      </c>
      <c r="AK385" s="8">
        <v>0</v>
      </c>
      <c r="AL385" s="8" t="s">
        <v>94</v>
      </c>
      <c r="AM385" s="8">
        <v>0</v>
      </c>
      <c r="AN385" s="8">
        <v>1</v>
      </c>
    </row>
    <row r="386" spans="1:40" x14ac:dyDescent="0.25">
      <c r="A386" s="8" t="s">
        <v>446</v>
      </c>
      <c r="B386" s="9">
        <v>42033.682638888888</v>
      </c>
      <c r="C386" s="8">
        <v>0</v>
      </c>
      <c r="D386" s="9">
        <v>42039.888194444444</v>
      </c>
      <c r="E386" s="8" t="s">
        <v>93</v>
      </c>
      <c r="F386" s="8">
        <v>16</v>
      </c>
      <c r="G386" s="8" t="s">
        <v>94</v>
      </c>
      <c r="H386" s="8" t="s">
        <v>95</v>
      </c>
      <c r="I386" s="8">
        <v>1</v>
      </c>
      <c r="J386" s="8" t="s">
        <v>95</v>
      </c>
      <c r="K386" s="8">
        <v>1</v>
      </c>
      <c r="L386" s="8" t="s">
        <v>95</v>
      </c>
      <c r="M386" s="8">
        <v>1</v>
      </c>
      <c r="N386" s="8" t="s">
        <v>95</v>
      </c>
      <c r="O386" s="8">
        <v>1</v>
      </c>
      <c r="P386" s="8" t="s">
        <v>95</v>
      </c>
      <c r="Q386" s="8">
        <v>1</v>
      </c>
      <c r="R386" s="8" t="s">
        <v>95</v>
      </c>
      <c r="S386" s="8">
        <v>1</v>
      </c>
      <c r="T386" s="8" t="s">
        <v>95</v>
      </c>
      <c r="U386" s="8">
        <v>1</v>
      </c>
      <c r="V386" s="8" t="s">
        <v>95</v>
      </c>
      <c r="W386" s="8">
        <v>1</v>
      </c>
      <c r="X386" s="8" t="s">
        <v>95</v>
      </c>
      <c r="Y386" s="8">
        <v>1</v>
      </c>
      <c r="Z386" s="8" t="s">
        <v>95</v>
      </c>
      <c r="AA386" s="8">
        <v>1</v>
      </c>
      <c r="AB386" s="8" t="s">
        <v>95</v>
      </c>
      <c r="AC386" s="8">
        <v>1</v>
      </c>
      <c r="AD386" s="8" t="s">
        <v>95</v>
      </c>
      <c r="AE386" s="8">
        <v>1</v>
      </c>
      <c r="AF386" s="8" t="s">
        <v>95</v>
      </c>
      <c r="AG386" s="8">
        <v>1</v>
      </c>
      <c r="AH386" s="8" t="s">
        <v>95</v>
      </c>
      <c r="AI386" s="8">
        <v>1</v>
      </c>
      <c r="AJ386" s="8" t="s">
        <v>95</v>
      </c>
      <c r="AK386" s="8">
        <v>1</v>
      </c>
      <c r="AL386" s="8" t="s">
        <v>95</v>
      </c>
      <c r="AM386" s="8">
        <v>1</v>
      </c>
      <c r="AN386" s="8">
        <v>16</v>
      </c>
    </row>
    <row r="387" spans="1:40" x14ac:dyDescent="0.25">
      <c r="A387" s="8" t="s">
        <v>447</v>
      </c>
      <c r="B387" s="9">
        <v>42033.65</v>
      </c>
      <c r="C387" s="8">
        <v>0</v>
      </c>
      <c r="D387" s="9">
        <v>42039.904861111114</v>
      </c>
      <c r="E387" s="8" t="s">
        <v>93</v>
      </c>
      <c r="F387" s="8">
        <v>16</v>
      </c>
      <c r="G387" s="8" t="s">
        <v>94</v>
      </c>
      <c r="H387" s="8" t="s">
        <v>95</v>
      </c>
      <c r="I387" s="8">
        <v>1</v>
      </c>
      <c r="J387" s="8" t="s">
        <v>95</v>
      </c>
      <c r="K387" s="8">
        <v>1</v>
      </c>
      <c r="L387" s="8" t="s">
        <v>95</v>
      </c>
      <c r="M387" s="8">
        <v>1</v>
      </c>
      <c r="N387" s="8" t="s">
        <v>95</v>
      </c>
      <c r="O387" s="8">
        <v>1</v>
      </c>
      <c r="P387" s="8" t="s">
        <v>95</v>
      </c>
      <c r="Q387" s="8">
        <v>1</v>
      </c>
      <c r="R387" s="8" t="s">
        <v>95</v>
      </c>
      <c r="S387" s="8">
        <v>1</v>
      </c>
      <c r="T387" s="8" t="s">
        <v>95</v>
      </c>
      <c r="U387" s="8">
        <v>1</v>
      </c>
      <c r="V387" s="8" t="s">
        <v>95</v>
      </c>
      <c r="W387" s="8">
        <v>1</v>
      </c>
      <c r="X387" s="8" t="s">
        <v>95</v>
      </c>
      <c r="Y387" s="8">
        <v>1</v>
      </c>
      <c r="Z387" s="8" t="s">
        <v>95</v>
      </c>
      <c r="AA387" s="8">
        <v>1</v>
      </c>
      <c r="AB387" s="8" t="s">
        <v>95</v>
      </c>
      <c r="AC387" s="8">
        <v>1</v>
      </c>
      <c r="AD387" s="8" t="s">
        <v>95</v>
      </c>
      <c r="AE387" s="8">
        <v>1</v>
      </c>
      <c r="AF387" s="8" t="s">
        <v>95</v>
      </c>
      <c r="AG387" s="8">
        <v>1</v>
      </c>
      <c r="AH387" s="8" t="s">
        <v>95</v>
      </c>
      <c r="AI387" s="8">
        <v>1</v>
      </c>
      <c r="AJ387" s="8" t="s">
        <v>95</v>
      </c>
      <c r="AK387" s="8">
        <v>1</v>
      </c>
      <c r="AL387" s="8" t="s">
        <v>95</v>
      </c>
      <c r="AM387" s="8">
        <v>1</v>
      </c>
      <c r="AN387" s="8">
        <v>16</v>
      </c>
    </row>
    <row r="388" spans="1:40" x14ac:dyDescent="0.25">
      <c r="A388" s="8" t="s">
        <v>448</v>
      </c>
      <c r="B388" s="9">
        <v>42033.675000000003</v>
      </c>
      <c r="C388" s="8">
        <v>0</v>
      </c>
      <c r="D388" s="9">
        <v>42039.912499999999</v>
      </c>
      <c r="E388" s="8" t="s">
        <v>93</v>
      </c>
      <c r="F388" s="8">
        <v>16</v>
      </c>
      <c r="G388" s="8" t="s">
        <v>94</v>
      </c>
      <c r="H388" s="8" t="s">
        <v>95</v>
      </c>
      <c r="I388" s="8">
        <v>1</v>
      </c>
      <c r="J388" s="8" t="s">
        <v>95</v>
      </c>
      <c r="K388" s="8">
        <v>1</v>
      </c>
      <c r="L388" s="8" t="s">
        <v>95</v>
      </c>
      <c r="M388" s="8">
        <v>1</v>
      </c>
      <c r="N388" s="8" t="s">
        <v>95</v>
      </c>
      <c r="O388" s="8">
        <v>1</v>
      </c>
      <c r="P388" s="8" t="s">
        <v>95</v>
      </c>
      <c r="Q388" s="8">
        <v>1</v>
      </c>
      <c r="R388" s="8" t="s">
        <v>95</v>
      </c>
      <c r="S388" s="8">
        <v>1</v>
      </c>
      <c r="T388" s="8" t="s">
        <v>95</v>
      </c>
      <c r="U388" s="8">
        <v>1</v>
      </c>
      <c r="V388" s="8" t="s">
        <v>95</v>
      </c>
      <c r="W388" s="8">
        <v>1</v>
      </c>
      <c r="X388" s="8" t="s">
        <v>95</v>
      </c>
      <c r="Y388" s="8">
        <v>1</v>
      </c>
      <c r="Z388" s="8" t="s">
        <v>95</v>
      </c>
      <c r="AA388" s="8">
        <v>1</v>
      </c>
      <c r="AB388" s="8" t="s">
        <v>95</v>
      </c>
      <c r="AC388" s="8">
        <v>1</v>
      </c>
      <c r="AD388" s="8" t="s">
        <v>95</v>
      </c>
      <c r="AE388" s="8">
        <v>1</v>
      </c>
      <c r="AF388" s="8" t="s">
        <v>95</v>
      </c>
      <c r="AG388" s="8">
        <v>1</v>
      </c>
      <c r="AH388" s="8" t="s">
        <v>95</v>
      </c>
      <c r="AI388" s="8">
        <v>1</v>
      </c>
      <c r="AJ388" s="8" t="s">
        <v>95</v>
      </c>
      <c r="AK388" s="8">
        <v>1</v>
      </c>
      <c r="AL388" s="8" t="s">
        <v>95</v>
      </c>
      <c r="AM388" s="8">
        <v>1</v>
      </c>
      <c r="AN388" s="8">
        <v>16</v>
      </c>
    </row>
    <row r="389" spans="1:40" x14ac:dyDescent="0.25">
      <c r="A389" s="8" t="s">
        <v>449</v>
      </c>
      <c r="B389" s="9">
        <v>42033.667361111111</v>
      </c>
      <c r="C389" s="8">
        <v>0</v>
      </c>
      <c r="D389" s="9">
        <v>42039.912499999999</v>
      </c>
      <c r="E389" s="8" t="s">
        <v>93</v>
      </c>
      <c r="F389" s="8">
        <v>16</v>
      </c>
      <c r="G389" s="8" t="s">
        <v>94</v>
      </c>
      <c r="H389" s="8" t="s">
        <v>95</v>
      </c>
      <c r="I389" s="8">
        <v>1</v>
      </c>
      <c r="J389" s="8" t="s">
        <v>95</v>
      </c>
      <c r="K389" s="8">
        <v>1</v>
      </c>
      <c r="L389" s="8" t="s">
        <v>95</v>
      </c>
      <c r="M389" s="8">
        <v>1</v>
      </c>
      <c r="N389" s="8" t="s">
        <v>95</v>
      </c>
      <c r="O389" s="8">
        <v>1</v>
      </c>
      <c r="P389" s="8" t="s">
        <v>95</v>
      </c>
      <c r="Q389" s="8">
        <v>1</v>
      </c>
      <c r="R389" s="8" t="s">
        <v>95</v>
      </c>
      <c r="S389" s="8">
        <v>1</v>
      </c>
      <c r="T389" s="8" t="s">
        <v>95</v>
      </c>
      <c r="U389" s="8">
        <v>1</v>
      </c>
      <c r="V389" s="8" t="s">
        <v>95</v>
      </c>
      <c r="W389" s="8">
        <v>1</v>
      </c>
      <c r="X389" s="8" t="s">
        <v>95</v>
      </c>
      <c r="Y389" s="8">
        <v>1</v>
      </c>
      <c r="Z389" s="8" t="s">
        <v>95</v>
      </c>
      <c r="AA389" s="8">
        <v>1</v>
      </c>
      <c r="AB389" s="8" t="s">
        <v>95</v>
      </c>
      <c r="AC389" s="8">
        <v>1</v>
      </c>
      <c r="AD389" s="8" t="s">
        <v>95</v>
      </c>
      <c r="AE389" s="8">
        <v>1</v>
      </c>
      <c r="AF389" s="8" t="s">
        <v>95</v>
      </c>
      <c r="AG389" s="8">
        <v>1</v>
      </c>
      <c r="AH389" s="8" t="s">
        <v>95</v>
      </c>
      <c r="AI389" s="8">
        <v>1</v>
      </c>
      <c r="AJ389" s="8" t="s">
        <v>95</v>
      </c>
      <c r="AK389" s="8">
        <v>1</v>
      </c>
      <c r="AL389" s="8" t="s">
        <v>95</v>
      </c>
      <c r="AM389" s="8">
        <v>1</v>
      </c>
      <c r="AN389" s="8">
        <v>16</v>
      </c>
    </row>
    <row r="390" spans="1:40" x14ac:dyDescent="0.25">
      <c r="A390" s="8" t="s">
        <v>450</v>
      </c>
      <c r="B390" s="9">
        <v>42033.65347222222</v>
      </c>
      <c r="C390" s="8">
        <v>0</v>
      </c>
      <c r="D390" s="9">
        <v>42039.9375</v>
      </c>
      <c r="E390" s="8" t="s">
        <v>93</v>
      </c>
      <c r="F390" s="8">
        <v>15</v>
      </c>
      <c r="G390" s="8" t="s">
        <v>94</v>
      </c>
      <c r="H390" s="8" t="s">
        <v>95</v>
      </c>
      <c r="I390" s="8">
        <v>1</v>
      </c>
      <c r="J390" s="8" t="s">
        <v>95</v>
      </c>
      <c r="K390" s="8">
        <v>1</v>
      </c>
      <c r="L390" s="8" t="s">
        <v>95</v>
      </c>
      <c r="M390" s="8">
        <v>1</v>
      </c>
      <c r="N390" s="8" t="s">
        <v>95</v>
      </c>
      <c r="O390" s="8">
        <v>1</v>
      </c>
      <c r="P390" s="8" t="s">
        <v>95</v>
      </c>
      <c r="Q390" s="8">
        <v>1</v>
      </c>
      <c r="R390" s="8" t="s">
        <v>94</v>
      </c>
      <c r="S390" s="8">
        <v>0</v>
      </c>
      <c r="T390" s="8" t="s">
        <v>95</v>
      </c>
      <c r="U390" s="8">
        <v>1</v>
      </c>
      <c r="V390" s="8" t="s">
        <v>95</v>
      </c>
      <c r="W390" s="8">
        <v>1</v>
      </c>
      <c r="X390" s="8" t="s">
        <v>95</v>
      </c>
      <c r="Y390" s="8">
        <v>1</v>
      </c>
      <c r="Z390" s="8" t="s">
        <v>95</v>
      </c>
      <c r="AA390" s="8">
        <v>1</v>
      </c>
      <c r="AB390" s="8" t="s">
        <v>95</v>
      </c>
      <c r="AC390" s="8">
        <v>1</v>
      </c>
      <c r="AD390" s="8" t="s">
        <v>95</v>
      </c>
      <c r="AE390" s="8">
        <v>1</v>
      </c>
      <c r="AF390" s="8" t="s">
        <v>95</v>
      </c>
      <c r="AG390" s="8">
        <v>1</v>
      </c>
      <c r="AH390" s="8" t="s">
        <v>95</v>
      </c>
      <c r="AI390" s="8">
        <v>1</v>
      </c>
      <c r="AJ390" s="8" t="s">
        <v>95</v>
      </c>
      <c r="AK390" s="8">
        <v>1</v>
      </c>
      <c r="AL390" s="8" t="s">
        <v>95</v>
      </c>
      <c r="AM390" s="8">
        <v>1</v>
      </c>
      <c r="AN390" s="8">
        <v>15</v>
      </c>
    </row>
    <row r="391" spans="1:40" x14ac:dyDescent="0.25">
      <c r="A391" s="8" t="s">
        <v>451</v>
      </c>
      <c r="B391" s="9">
        <v>42033.678472222222</v>
      </c>
      <c r="C391" s="8">
        <v>0</v>
      </c>
      <c r="D391" s="9">
        <v>42039.951388888891</v>
      </c>
      <c r="E391" s="8" t="s">
        <v>93</v>
      </c>
      <c r="F391" s="8">
        <v>15</v>
      </c>
      <c r="G391" s="8" t="s">
        <v>94</v>
      </c>
      <c r="H391" s="8" t="s">
        <v>94</v>
      </c>
      <c r="I391" s="8">
        <v>0</v>
      </c>
      <c r="J391" s="8" t="s">
        <v>95</v>
      </c>
      <c r="K391" s="8">
        <v>1</v>
      </c>
      <c r="L391" s="8" t="s">
        <v>95</v>
      </c>
      <c r="M391" s="8">
        <v>1</v>
      </c>
      <c r="N391" s="8" t="s">
        <v>95</v>
      </c>
      <c r="O391" s="8">
        <v>1</v>
      </c>
      <c r="P391" s="8" t="s">
        <v>95</v>
      </c>
      <c r="Q391" s="8">
        <v>1</v>
      </c>
      <c r="R391" s="8" t="s">
        <v>95</v>
      </c>
      <c r="S391" s="8">
        <v>1</v>
      </c>
      <c r="T391" s="8" t="s">
        <v>95</v>
      </c>
      <c r="U391" s="8">
        <v>1</v>
      </c>
      <c r="V391" s="8" t="s">
        <v>95</v>
      </c>
      <c r="W391" s="8">
        <v>1</v>
      </c>
      <c r="X391" s="8" t="s">
        <v>95</v>
      </c>
      <c r="Y391" s="8">
        <v>1</v>
      </c>
      <c r="Z391" s="8" t="s">
        <v>95</v>
      </c>
      <c r="AA391" s="8">
        <v>1</v>
      </c>
      <c r="AB391" s="8" t="s">
        <v>95</v>
      </c>
      <c r="AC391" s="8">
        <v>1</v>
      </c>
      <c r="AD391" s="8" t="s">
        <v>95</v>
      </c>
      <c r="AE391" s="8">
        <v>1</v>
      </c>
      <c r="AF391" s="8" t="s">
        <v>95</v>
      </c>
      <c r="AG391" s="8">
        <v>1</v>
      </c>
      <c r="AH391" s="8" t="s">
        <v>95</v>
      </c>
      <c r="AI391" s="8">
        <v>1</v>
      </c>
      <c r="AJ391" s="8" t="s">
        <v>95</v>
      </c>
      <c r="AK391" s="8">
        <v>1</v>
      </c>
      <c r="AL391" s="8" t="s">
        <v>95</v>
      </c>
      <c r="AM391" s="8">
        <v>1</v>
      </c>
      <c r="AN391" s="8">
        <v>15</v>
      </c>
    </row>
    <row r="392" spans="1:40" x14ac:dyDescent="0.25">
      <c r="A392" s="8" t="s">
        <v>452</v>
      </c>
      <c r="B392" s="9">
        <v>42033.652777777781</v>
      </c>
      <c r="C392" s="8">
        <v>0</v>
      </c>
      <c r="D392" s="9">
        <v>42039.95416666667</v>
      </c>
      <c r="E392" s="8" t="s">
        <v>93</v>
      </c>
      <c r="F392" s="8">
        <v>6</v>
      </c>
      <c r="G392" s="8" t="s">
        <v>94</v>
      </c>
      <c r="H392" s="8" t="s">
        <v>95</v>
      </c>
      <c r="I392" s="8">
        <v>1</v>
      </c>
      <c r="J392" s="8" t="s">
        <v>95</v>
      </c>
      <c r="K392" s="8">
        <v>1</v>
      </c>
      <c r="L392" s="8" t="s">
        <v>95</v>
      </c>
      <c r="M392" s="8">
        <v>1</v>
      </c>
      <c r="N392" s="8" t="s">
        <v>94</v>
      </c>
      <c r="O392" s="8">
        <v>0</v>
      </c>
      <c r="P392" s="8" t="s">
        <v>94</v>
      </c>
      <c r="Q392" s="8">
        <v>0</v>
      </c>
      <c r="R392" s="8" t="s">
        <v>94</v>
      </c>
      <c r="S392" s="8">
        <v>0</v>
      </c>
      <c r="T392" s="8" t="s">
        <v>94</v>
      </c>
      <c r="U392" s="8">
        <v>0</v>
      </c>
      <c r="V392" s="8" t="s">
        <v>94</v>
      </c>
      <c r="W392" s="8">
        <v>0</v>
      </c>
      <c r="X392" s="8" t="s">
        <v>95</v>
      </c>
      <c r="Y392" s="8">
        <v>1</v>
      </c>
      <c r="Z392" s="8" t="s">
        <v>94</v>
      </c>
      <c r="AA392" s="8">
        <v>0</v>
      </c>
      <c r="AB392" s="8" t="s">
        <v>94</v>
      </c>
      <c r="AC392" s="8">
        <v>0</v>
      </c>
      <c r="AD392" s="8" t="s">
        <v>95</v>
      </c>
      <c r="AE392" s="8">
        <v>1</v>
      </c>
      <c r="AF392" s="8" t="s">
        <v>94</v>
      </c>
      <c r="AG392" s="8">
        <v>0</v>
      </c>
      <c r="AH392" s="8" t="s">
        <v>94</v>
      </c>
      <c r="AI392" s="8">
        <v>0</v>
      </c>
      <c r="AJ392" s="8" t="s">
        <v>95</v>
      </c>
      <c r="AK392" s="8">
        <v>1</v>
      </c>
      <c r="AL392" s="8" t="s">
        <v>94</v>
      </c>
      <c r="AM392" s="8">
        <v>0</v>
      </c>
      <c r="AN392" s="8">
        <v>6</v>
      </c>
    </row>
    <row r="393" spans="1:40" x14ac:dyDescent="0.25">
      <c r="A393" s="8" t="s">
        <v>453</v>
      </c>
      <c r="B393" s="9">
        <v>42033.672222222223</v>
      </c>
      <c r="C393" s="8">
        <v>0</v>
      </c>
      <c r="D393" s="9">
        <v>42039.95416666667</v>
      </c>
      <c r="E393" s="8" t="s">
        <v>93</v>
      </c>
      <c r="F393" s="8">
        <v>13</v>
      </c>
      <c r="G393" s="8" t="s">
        <v>94</v>
      </c>
      <c r="H393" s="8" t="s">
        <v>95</v>
      </c>
      <c r="I393" s="8">
        <v>1</v>
      </c>
      <c r="J393" s="8" t="s">
        <v>95</v>
      </c>
      <c r="K393" s="8">
        <v>1</v>
      </c>
      <c r="L393" s="8" t="s">
        <v>94</v>
      </c>
      <c r="M393" s="8">
        <v>0</v>
      </c>
      <c r="N393" s="8" t="s">
        <v>95</v>
      </c>
      <c r="O393" s="8">
        <v>1</v>
      </c>
      <c r="P393" s="8" t="s">
        <v>94</v>
      </c>
      <c r="Q393" s="8">
        <v>0</v>
      </c>
      <c r="R393" s="8" t="s">
        <v>95</v>
      </c>
      <c r="S393" s="8">
        <v>1</v>
      </c>
      <c r="T393" s="8" t="s">
        <v>94</v>
      </c>
      <c r="U393" s="8">
        <v>0</v>
      </c>
      <c r="V393" s="8" t="s">
        <v>95</v>
      </c>
      <c r="W393" s="8">
        <v>1</v>
      </c>
      <c r="X393" s="8" t="s">
        <v>95</v>
      </c>
      <c r="Y393" s="8">
        <v>1</v>
      </c>
      <c r="Z393" s="8" t="s">
        <v>95</v>
      </c>
      <c r="AA393" s="8">
        <v>1</v>
      </c>
      <c r="AB393" s="8" t="s">
        <v>95</v>
      </c>
      <c r="AC393" s="8">
        <v>1</v>
      </c>
      <c r="AD393" s="8" t="s">
        <v>95</v>
      </c>
      <c r="AE393" s="8">
        <v>1</v>
      </c>
      <c r="AF393" s="8" t="s">
        <v>95</v>
      </c>
      <c r="AG393" s="8">
        <v>1</v>
      </c>
      <c r="AH393" s="8" t="s">
        <v>95</v>
      </c>
      <c r="AI393" s="8">
        <v>1</v>
      </c>
      <c r="AJ393" s="8" t="s">
        <v>95</v>
      </c>
      <c r="AK393" s="8">
        <v>1</v>
      </c>
      <c r="AL393" s="8" t="s">
        <v>95</v>
      </c>
      <c r="AM393" s="8">
        <v>1</v>
      </c>
      <c r="AN393" s="8">
        <v>13</v>
      </c>
    </row>
    <row r="394" spans="1:40" x14ac:dyDescent="0.25">
      <c r="A394" s="8" t="s">
        <v>454</v>
      </c>
      <c r="B394" s="9">
        <v>42033.656944444447</v>
      </c>
      <c r="C394" s="8">
        <v>0</v>
      </c>
      <c r="D394" s="9">
        <v>42039.956250000003</v>
      </c>
      <c r="E394" s="8" t="s">
        <v>93</v>
      </c>
      <c r="F394" s="8">
        <v>3</v>
      </c>
      <c r="G394" s="8" t="s">
        <v>94</v>
      </c>
      <c r="H394" s="8" t="s">
        <v>94</v>
      </c>
      <c r="I394" s="8">
        <v>0</v>
      </c>
      <c r="J394" s="8" t="s">
        <v>94</v>
      </c>
      <c r="K394" s="8">
        <v>0</v>
      </c>
      <c r="L394" s="8" t="s">
        <v>94</v>
      </c>
      <c r="M394" s="8">
        <v>0</v>
      </c>
      <c r="N394" s="8" t="s">
        <v>94</v>
      </c>
      <c r="O394" s="8">
        <v>0</v>
      </c>
      <c r="P394" s="8" t="s">
        <v>94</v>
      </c>
      <c r="Q394" s="8">
        <v>0</v>
      </c>
      <c r="R394" s="8" t="s">
        <v>94</v>
      </c>
      <c r="S394" s="8">
        <v>0</v>
      </c>
      <c r="T394" s="8" t="s">
        <v>94</v>
      </c>
      <c r="U394" s="8">
        <v>0</v>
      </c>
      <c r="V394" s="8" t="s">
        <v>94</v>
      </c>
      <c r="W394" s="8">
        <v>0</v>
      </c>
      <c r="X394" s="8" t="s">
        <v>94</v>
      </c>
      <c r="Y394" s="8">
        <v>0</v>
      </c>
      <c r="Z394" s="8" t="s">
        <v>95</v>
      </c>
      <c r="AA394" s="8">
        <v>1</v>
      </c>
      <c r="AB394" s="8" t="s">
        <v>94</v>
      </c>
      <c r="AC394" s="8">
        <v>0</v>
      </c>
      <c r="AD394" s="8" t="s">
        <v>95</v>
      </c>
      <c r="AE394" s="8">
        <v>1</v>
      </c>
      <c r="AF394" s="8" t="s">
        <v>94</v>
      </c>
      <c r="AG394" s="8">
        <v>0</v>
      </c>
      <c r="AH394" s="8" t="s">
        <v>94</v>
      </c>
      <c r="AI394" s="8">
        <v>0</v>
      </c>
      <c r="AJ394" s="8" t="s">
        <v>95</v>
      </c>
      <c r="AK394" s="8">
        <v>1</v>
      </c>
      <c r="AL394" s="8" t="s">
        <v>94</v>
      </c>
      <c r="AM394" s="8">
        <v>0</v>
      </c>
      <c r="AN394" s="8">
        <v>3</v>
      </c>
    </row>
    <row r="395" spans="1:40" x14ac:dyDescent="0.25">
      <c r="A395" s="8" t="s">
        <v>455</v>
      </c>
      <c r="B395" s="9">
        <v>42033.678472222222</v>
      </c>
      <c r="C395" s="8">
        <v>0</v>
      </c>
      <c r="D395" s="9">
        <v>42039.959722222222</v>
      </c>
      <c r="E395" s="8" t="s">
        <v>93</v>
      </c>
      <c r="F395" s="8">
        <v>16</v>
      </c>
      <c r="G395" s="8" t="s">
        <v>94</v>
      </c>
      <c r="H395" s="8" t="s">
        <v>95</v>
      </c>
      <c r="I395" s="8">
        <v>1</v>
      </c>
      <c r="J395" s="8" t="s">
        <v>95</v>
      </c>
      <c r="K395" s="8">
        <v>1</v>
      </c>
      <c r="L395" s="8" t="s">
        <v>95</v>
      </c>
      <c r="M395" s="8">
        <v>1</v>
      </c>
      <c r="N395" s="8" t="s">
        <v>95</v>
      </c>
      <c r="O395" s="8">
        <v>1</v>
      </c>
      <c r="P395" s="8" t="s">
        <v>95</v>
      </c>
      <c r="Q395" s="8">
        <v>1</v>
      </c>
      <c r="R395" s="8" t="s">
        <v>95</v>
      </c>
      <c r="S395" s="8">
        <v>1</v>
      </c>
      <c r="T395" s="8" t="s">
        <v>95</v>
      </c>
      <c r="U395" s="8">
        <v>1</v>
      </c>
      <c r="V395" s="8" t="s">
        <v>95</v>
      </c>
      <c r="W395" s="8">
        <v>1</v>
      </c>
      <c r="X395" s="8" t="s">
        <v>95</v>
      </c>
      <c r="Y395" s="8">
        <v>1</v>
      </c>
      <c r="Z395" s="8" t="s">
        <v>95</v>
      </c>
      <c r="AA395" s="8">
        <v>1</v>
      </c>
      <c r="AB395" s="8" t="s">
        <v>95</v>
      </c>
      <c r="AC395" s="8">
        <v>1</v>
      </c>
      <c r="AD395" s="8" t="s">
        <v>95</v>
      </c>
      <c r="AE395" s="8">
        <v>1</v>
      </c>
      <c r="AF395" s="8" t="s">
        <v>95</v>
      </c>
      <c r="AG395" s="8">
        <v>1</v>
      </c>
      <c r="AH395" s="8" t="s">
        <v>95</v>
      </c>
      <c r="AI395" s="8">
        <v>1</v>
      </c>
      <c r="AJ395" s="8" t="s">
        <v>95</v>
      </c>
      <c r="AK395" s="8">
        <v>1</v>
      </c>
      <c r="AL395" s="8" t="s">
        <v>95</v>
      </c>
      <c r="AM395" s="8">
        <v>1</v>
      </c>
      <c r="AN395" s="8">
        <v>16</v>
      </c>
    </row>
    <row r="396" spans="1:40" x14ac:dyDescent="0.25">
      <c r="A396" s="8" t="s">
        <v>456</v>
      </c>
      <c r="B396" s="9">
        <v>42033.669444444444</v>
      </c>
      <c r="C396" s="8">
        <v>0</v>
      </c>
      <c r="D396" s="9">
        <v>42039.970833333333</v>
      </c>
      <c r="E396" s="8" t="s">
        <v>93</v>
      </c>
      <c r="F396" s="8">
        <v>16</v>
      </c>
      <c r="G396" s="8" t="s">
        <v>94</v>
      </c>
      <c r="H396" s="8" t="s">
        <v>95</v>
      </c>
      <c r="I396" s="8">
        <v>1</v>
      </c>
      <c r="J396" s="8" t="s">
        <v>95</v>
      </c>
      <c r="K396" s="8">
        <v>1</v>
      </c>
      <c r="L396" s="8" t="s">
        <v>95</v>
      </c>
      <c r="M396" s="8">
        <v>1</v>
      </c>
      <c r="N396" s="8" t="s">
        <v>95</v>
      </c>
      <c r="O396" s="8">
        <v>1</v>
      </c>
      <c r="P396" s="8" t="s">
        <v>95</v>
      </c>
      <c r="Q396" s="8">
        <v>1</v>
      </c>
      <c r="R396" s="8" t="s">
        <v>95</v>
      </c>
      <c r="S396" s="8">
        <v>1</v>
      </c>
      <c r="T396" s="8" t="s">
        <v>95</v>
      </c>
      <c r="U396" s="8">
        <v>1</v>
      </c>
      <c r="V396" s="8" t="s">
        <v>95</v>
      </c>
      <c r="W396" s="8">
        <v>1</v>
      </c>
      <c r="X396" s="8" t="s">
        <v>95</v>
      </c>
      <c r="Y396" s="8">
        <v>1</v>
      </c>
      <c r="Z396" s="8" t="s">
        <v>95</v>
      </c>
      <c r="AA396" s="8">
        <v>1</v>
      </c>
      <c r="AB396" s="8" t="s">
        <v>95</v>
      </c>
      <c r="AC396" s="8">
        <v>1</v>
      </c>
      <c r="AD396" s="8" t="s">
        <v>95</v>
      </c>
      <c r="AE396" s="8">
        <v>1</v>
      </c>
      <c r="AF396" s="8" t="s">
        <v>95</v>
      </c>
      <c r="AG396" s="8">
        <v>1</v>
      </c>
      <c r="AH396" s="8" t="s">
        <v>95</v>
      </c>
      <c r="AI396" s="8">
        <v>1</v>
      </c>
      <c r="AJ396" s="8" t="s">
        <v>95</v>
      </c>
      <c r="AK396" s="8">
        <v>1</v>
      </c>
      <c r="AL396" s="8" t="s">
        <v>95</v>
      </c>
      <c r="AM396" s="8">
        <v>1</v>
      </c>
      <c r="AN396" s="8">
        <v>16</v>
      </c>
    </row>
    <row r="397" spans="1:40" x14ac:dyDescent="0.25">
      <c r="A397" s="8" t="s">
        <v>457</v>
      </c>
      <c r="B397" s="9">
        <v>42033.681944444441</v>
      </c>
      <c r="C397" s="8">
        <v>0</v>
      </c>
      <c r="D397" s="9">
        <v>42039.972916666666</v>
      </c>
      <c r="E397" s="8" t="s">
        <v>93</v>
      </c>
      <c r="F397" s="8">
        <v>8</v>
      </c>
      <c r="G397" s="8" t="s">
        <v>94</v>
      </c>
      <c r="H397" s="8" t="s">
        <v>95</v>
      </c>
      <c r="I397" s="8">
        <v>1</v>
      </c>
      <c r="J397" s="8" t="s">
        <v>94</v>
      </c>
      <c r="K397" s="8">
        <v>0</v>
      </c>
      <c r="L397" s="8" t="s">
        <v>95</v>
      </c>
      <c r="M397" s="8">
        <v>1</v>
      </c>
      <c r="N397" s="8" t="s">
        <v>94</v>
      </c>
      <c r="O397" s="8">
        <v>0</v>
      </c>
      <c r="P397" s="8" t="s">
        <v>95</v>
      </c>
      <c r="Q397" s="8">
        <v>1</v>
      </c>
      <c r="R397" s="8" t="s">
        <v>95</v>
      </c>
      <c r="S397" s="8">
        <v>1</v>
      </c>
      <c r="T397" s="8" t="s">
        <v>94</v>
      </c>
      <c r="U397" s="8">
        <v>0</v>
      </c>
      <c r="V397" s="8" t="s">
        <v>94</v>
      </c>
      <c r="W397" s="8">
        <v>0</v>
      </c>
      <c r="X397" s="8" t="s">
        <v>94</v>
      </c>
      <c r="Y397" s="8">
        <v>0</v>
      </c>
      <c r="Z397" s="8" t="s">
        <v>95</v>
      </c>
      <c r="AA397" s="8">
        <v>1</v>
      </c>
      <c r="AB397" s="8" t="s">
        <v>95</v>
      </c>
      <c r="AC397" s="8">
        <v>1</v>
      </c>
      <c r="AD397" s="8" t="s">
        <v>95</v>
      </c>
      <c r="AE397" s="8">
        <v>1</v>
      </c>
      <c r="AF397" s="8" t="s">
        <v>94</v>
      </c>
      <c r="AG397" s="8">
        <v>0</v>
      </c>
      <c r="AH397" s="8" t="s">
        <v>94</v>
      </c>
      <c r="AI397" s="8">
        <v>0</v>
      </c>
      <c r="AJ397" s="8" t="s">
        <v>95</v>
      </c>
      <c r="AK397" s="8">
        <v>1</v>
      </c>
      <c r="AL397" s="8" t="s">
        <v>94</v>
      </c>
      <c r="AM397" s="8">
        <v>0</v>
      </c>
      <c r="AN397" s="8">
        <v>8</v>
      </c>
    </row>
    <row r="398" spans="1:40" x14ac:dyDescent="0.25">
      <c r="A398" s="8" t="s">
        <v>458</v>
      </c>
      <c r="B398" s="9">
        <v>42033.67291666667</v>
      </c>
      <c r="C398" s="8">
        <v>0</v>
      </c>
      <c r="D398" s="9">
        <v>42039.976388888892</v>
      </c>
      <c r="E398" s="8" t="s">
        <v>93</v>
      </c>
      <c r="F398" s="8">
        <v>16</v>
      </c>
      <c r="G398" s="8" t="s">
        <v>94</v>
      </c>
      <c r="H398" s="8" t="s">
        <v>95</v>
      </c>
      <c r="I398" s="8">
        <v>1</v>
      </c>
      <c r="J398" s="8" t="s">
        <v>95</v>
      </c>
      <c r="K398" s="8">
        <v>1</v>
      </c>
      <c r="L398" s="8" t="s">
        <v>95</v>
      </c>
      <c r="M398" s="8">
        <v>1</v>
      </c>
      <c r="N398" s="8" t="s">
        <v>95</v>
      </c>
      <c r="O398" s="8">
        <v>1</v>
      </c>
      <c r="P398" s="8" t="s">
        <v>95</v>
      </c>
      <c r="Q398" s="8">
        <v>1</v>
      </c>
      <c r="R398" s="8" t="s">
        <v>95</v>
      </c>
      <c r="S398" s="8">
        <v>1</v>
      </c>
      <c r="T398" s="8" t="s">
        <v>95</v>
      </c>
      <c r="U398" s="8">
        <v>1</v>
      </c>
      <c r="V398" s="8" t="s">
        <v>95</v>
      </c>
      <c r="W398" s="8">
        <v>1</v>
      </c>
      <c r="X398" s="8" t="s">
        <v>95</v>
      </c>
      <c r="Y398" s="8">
        <v>1</v>
      </c>
      <c r="Z398" s="8" t="s">
        <v>95</v>
      </c>
      <c r="AA398" s="8">
        <v>1</v>
      </c>
      <c r="AB398" s="8" t="s">
        <v>95</v>
      </c>
      <c r="AC398" s="8">
        <v>1</v>
      </c>
      <c r="AD398" s="8" t="s">
        <v>95</v>
      </c>
      <c r="AE398" s="8">
        <v>1</v>
      </c>
      <c r="AF398" s="8" t="s">
        <v>95</v>
      </c>
      <c r="AG398" s="8">
        <v>1</v>
      </c>
      <c r="AH398" s="8" t="s">
        <v>95</v>
      </c>
      <c r="AI398" s="8">
        <v>1</v>
      </c>
      <c r="AJ398" s="8" t="s">
        <v>95</v>
      </c>
      <c r="AK398" s="8">
        <v>1</v>
      </c>
      <c r="AL398" s="8" t="s">
        <v>95</v>
      </c>
      <c r="AM398" s="8">
        <v>1</v>
      </c>
      <c r="AN398" s="8">
        <v>16</v>
      </c>
    </row>
    <row r="399" spans="1:40" x14ac:dyDescent="0.25">
      <c r="A399" s="8" t="s">
        <v>459</v>
      </c>
      <c r="B399" s="9">
        <v>42033.683333333334</v>
      </c>
      <c r="C399" s="8">
        <v>0</v>
      </c>
      <c r="D399" s="9">
        <v>42039.976388888892</v>
      </c>
      <c r="E399" s="8" t="s">
        <v>93</v>
      </c>
      <c r="F399" s="8">
        <v>16</v>
      </c>
      <c r="G399" s="8" t="s">
        <v>94</v>
      </c>
      <c r="H399" s="8" t="s">
        <v>95</v>
      </c>
      <c r="I399" s="8">
        <v>1</v>
      </c>
      <c r="J399" s="8" t="s">
        <v>95</v>
      </c>
      <c r="K399" s="8">
        <v>1</v>
      </c>
      <c r="L399" s="8" t="s">
        <v>95</v>
      </c>
      <c r="M399" s="8">
        <v>1</v>
      </c>
      <c r="N399" s="8" t="s">
        <v>95</v>
      </c>
      <c r="O399" s="8">
        <v>1</v>
      </c>
      <c r="P399" s="8" t="s">
        <v>95</v>
      </c>
      <c r="Q399" s="8">
        <v>1</v>
      </c>
      <c r="R399" s="8" t="s">
        <v>95</v>
      </c>
      <c r="S399" s="8">
        <v>1</v>
      </c>
      <c r="T399" s="8" t="s">
        <v>95</v>
      </c>
      <c r="U399" s="8">
        <v>1</v>
      </c>
      <c r="V399" s="8" t="s">
        <v>95</v>
      </c>
      <c r="W399" s="8">
        <v>1</v>
      </c>
      <c r="X399" s="8" t="s">
        <v>95</v>
      </c>
      <c r="Y399" s="8">
        <v>1</v>
      </c>
      <c r="Z399" s="8" t="s">
        <v>95</v>
      </c>
      <c r="AA399" s="8">
        <v>1</v>
      </c>
      <c r="AB399" s="8" t="s">
        <v>95</v>
      </c>
      <c r="AC399" s="8">
        <v>1</v>
      </c>
      <c r="AD399" s="8" t="s">
        <v>95</v>
      </c>
      <c r="AE399" s="8">
        <v>1</v>
      </c>
      <c r="AF399" s="8" t="s">
        <v>95</v>
      </c>
      <c r="AG399" s="8">
        <v>1</v>
      </c>
      <c r="AH399" s="8" t="s">
        <v>95</v>
      </c>
      <c r="AI399" s="8">
        <v>1</v>
      </c>
      <c r="AJ399" s="8" t="s">
        <v>95</v>
      </c>
      <c r="AK399" s="8">
        <v>1</v>
      </c>
      <c r="AL399" s="8" t="s">
        <v>95</v>
      </c>
      <c r="AM399" s="8">
        <v>1</v>
      </c>
      <c r="AN399" s="8">
        <v>16</v>
      </c>
    </row>
    <row r="400" spans="1:40" x14ac:dyDescent="0.25">
      <c r="A400" s="8" t="s">
        <v>460</v>
      </c>
      <c r="B400" s="9">
        <v>42033.654166666667</v>
      </c>
      <c r="C400" s="8">
        <v>0</v>
      </c>
      <c r="D400" s="9">
        <v>42039.984027777777</v>
      </c>
      <c r="E400" s="8" t="s">
        <v>93</v>
      </c>
      <c r="F400" s="8">
        <v>14</v>
      </c>
      <c r="G400" s="8" t="s">
        <v>94</v>
      </c>
      <c r="H400" s="8" t="s">
        <v>95</v>
      </c>
      <c r="I400" s="8">
        <v>1</v>
      </c>
      <c r="J400" s="8" t="s">
        <v>95</v>
      </c>
      <c r="K400" s="8">
        <v>1</v>
      </c>
      <c r="L400" s="8" t="s">
        <v>95</v>
      </c>
      <c r="M400" s="8">
        <v>1</v>
      </c>
      <c r="N400" s="8" t="s">
        <v>95</v>
      </c>
      <c r="O400" s="8">
        <v>1</v>
      </c>
      <c r="P400" s="8" t="s">
        <v>95</v>
      </c>
      <c r="Q400" s="8">
        <v>1</v>
      </c>
      <c r="R400" s="8" t="s">
        <v>95</v>
      </c>
      <c r="S400" s="8">
        <v>1</v>
      </c>
      <c r="T400" s="8" t="s">
        <v>94</v>
      </c>
      <c r="U400" s="8">
        <v>0</v>
      </c>
      <c r="V400" s="8" t="s">
        <v>94</v>
      </c>
      <c r="W400" s="8">
        <v>0</v>
      </c>
      <c r="X400" s="8" t="s">
        <v>95</v>
      </c>
      <c r="Y400" s="8">
        <v>1</v>
      </c>
      <c r="Z400" s="8" t="s">
        <v>95</v>
      </c>
      <c r="AA400" s="8">
        <v>1</v>
      </c>
      <c r="AB400" s="8" t="s">
        <v>95</v>
      </c>
      <c r="AC400" s="8">
        <v>1</v>
      </c>
      <c r="AD400" s="8" t="s">
        <v>95</v>
      </c>
      <c r="AE400" s="8">
        <v>1</v>
      </c>
      <c r="AF400" s="8" t="s">
        <v>95</v>
      </c>
      <c r="AG400" s="8">
        <v>1</v>
      </c>
      <c r="AH400" s="8" t="s">
        <v>95</v>
      </c>
      <c r="AI400" s="8">
        <v>1</v>
      </c>
      <c r="AJ400" s="8" t="s">
        <v>95</v>
      </c>
      <c r="AK400" s="8">
        <v>1</v>
      </c>
      <c r="AL400" s="8" t="s">
        <v>95</v>
      </c>
      <c r="AM400" s="8">
        <v>1</v>
      </c>
      <c r="AN400" s="8">
        <v>14</v>
      </c>
    </row>
    <row r="401" spans="1:40" x14ac:dyDescent="0.25">
      <c r="A401" s="8" t="s">
        <v>461</v>
      </c>
      <c r="B401" s="9">
        <v>42033.67291666667</v>
      </c>
      <c r="C401" s="8">
        <v>0</v>
      </c>
      <c r="D401" s="9">
        <v>42039.986111111109</v>
      </c>
      <c r="E401" s="8" t="s">
        <v>93</v>
      </c>
      <c r="F401" s="8">
        <v>16</v>
      </c>
      <c r="G401" s="8" t="s">
        <v>94</v>
      </c>
      <c r="H401" s="8" t="s">
        <v>95</v>
      </c>
      <c r="I401" s="8">
        <v>1</v>
      </c>
      <c r="J401" s="8" t="s">
        <v>95</v>
      </c>
      <c r="K401" s="8">
        <v>1</v>
      </c>
      <c r="L401" s="8" t="s">
        <v>95</v>
      </c>
      <c r="M401" s="8">
        <v>1</v>
      </c>
      <c r="N401" s="8" t="s">
        <v>95</v>
      </c>
      <c r="O401" s="8">
        <v>1</v>
      </c>
      <c r="P401" s="8" t="s">
        <v>95</v>
      </c>
      <c r="Q401" s="8">
        <v>1</v>
      </c>
      <c r="R401" s="8" t="s">
        <v>95</v>
      </c>
      <c r="S401" s="8">
        <v>1</v>
      </c>
      <c r="T401" s="8" t="s">
        <v>95</v>
      </c>
      <c r="U401" s="8">
        <v>1</v>
      </c>
      <c r="V401" s="8" t="s">
        <v>95</v>
      </c>
      <c r="W401" s="8">
        <v>1</v>
      </c>
      <c r="X401" s="8" t="s">
        <v>95</v>
      </c>
      <c r="Y401" s="8">
        <v>1</v>
      </c>
      <c r="Z401" s="8" t="s">
        <v>95</v>
      </c>
      <c r="AA401" s="8">
        <v>1</v>
      </c>
      <c r="AB401" s="8" t="s">
        <v>95</v>
      </c>
      <c r="AC401" s="8">
        <v>1</v>
      </c>
      <c r="AD401" s="8" t="s">
        <v>95</v>
      </c>
      <c r="AE401" s="8">
        <v>1</v>
      </c>
      <c r="AF401" s="8" t="s">
        <v>95</v>
      </c>
      <c r="AG401" s="8">
        <v>1</v>
      </c>
      <c r="AH401" s="8" t="s">
        <v>95</v>
      </c>
      <c r="AI401" s="8">
        <v>1</v>
      </c>
      <c r="AJ401" s="8" t="s">
        <v>95</v>
      </c>
      <c r="AK401" s="8">
        <v>1</v>
      </c>
      <c r="AL401" s="8" t="s">
        <v>95</v>
      </c>
      <c r="AM401" s="8">
        <v>1</v>
      </c>
      <c r="AN401" s="8">
        <v>16</v>
      </c>
    </row>
    <row r="402" spans="1:40" x14ac:dyDescent="0.25">
      <c r="A402" s="8" t="s">
        <v>462</v>
      </c>
      <c r="B402" s="9">
        <v>42033.679861111108</v>
      </c>
      <c r="C402" s="8">
        <v>0</v>
      </c>
      <c r="D402" s="9">
        <v>42039.992361111108</v>
      </c>
      <c r="E402" s="8" t="s">
        <v>93</v>
      </c>
      <c r="F402" s="8">
        <v>7</v>
      </c>
      <c r="G402" s="8" t="s">
        <v>94</v>
      </c>
      <c r="H402" s="8" t="s">
        <v>94</v>
      </c>
      <c r="I402" s="8">
        <v>0</v>
      </c>
      <c r="J402" s="8" t="s">
        <v>95</v>
      </c>
      <c r="K402" s="8">
        <v>1</v>
      </c>
      <c r="L402" s="8" t="s">
        <v>95</v>
      </c>
      <c r="M402" s="8">
        <v>1</v>
      </c>
      <c r="N402" s="8" t="s">
        <v>94</v>
      </c>
      <c r="O402" s="8">
        <v>0</v>
      </c>
      <c r="P402" s="8" t="s">
        <v>94</v>
      </c>
      <c r="Q402" s="8">
        <v>0</v>
      </c>
      <c r="R402" s="8" t="s">
        <v>94</v>
      </c>
      <c r="S402" s="8">
        <v>0</v>
      </c>
      <c r="T402" s="8" t="s">
        <v>94</v>
      </c>
      <c r="U402" s="8">
        <v>0</v>
      </c>
      <c r="V402" s="8" t="s">
        <v>94</v>
      </c>
      <c r="W402" s="8">
        <v>0</v>
      </c>
      <c r="X402" s="8" t="s">
        <v>95</v>
      </c>
      <c r="Y402" s="8">
        <v>1</v>
      </c>
      <c r="Z402" s="8" t="s">
        <v>95</v>
      </c>
      <c r="AA402" s="8">
        <v>1</v>
      </c>
      <c r="AB402" s="8" t="s">
        <v>95</v>
      </c>
      <c r="AC402" s="8">
        <v>1</v>
      </c>
      <c r="AD402" s="8" t="s">
        <v>95</v>
      </c>
      <c r="AE402" s="8">
        <v>1</v>
      </c>
      <c r="AF402" s="8" t="s">
        <v>95</v>
      </c>
      <c r="AG402" s="8">
        <v>1</v>
      </c>
      <c r="AH402" s="8" t="s">
        <v>94</v>
      </c>
      <c r="AI402" s="8">
        <v>0</v>
      </c>
      <c r="AJ402" s="8" t="s">
        <v>94</v>
      </c>
      <c r="AK402" s="8">
        <v>0</v>
      </c>
      <c r="AL402" s="8" t="s">
        <v>94</v>
      </c>
      <c r="AM402" s="8">
        <v>0</v>
      </c>
      <c r="AN402" s="8">
        <v>7</v>
      </c>
    </row>
    <row r="403" spans="1:40" x14ac:dyDescent="0.25">
      <c r="A403" s="8" t="s">
        <v>463</v>
      </c>
      <c r="B403" s="9">
        <v>42033.681944444441</v>
      </c>
      <c r="C403" s="8">
        <v>0</v>
      </c>
      <c r="D403" s="9">
        <v>42039.995138888888</v>
      </c>
      <c r="E403" s="8" t="s">
        <v>93</v>
      </c>
      <c r="F403" s="8">
        <v>16</v>
      </c>
      <c r="G403" s="8" t="s">
        <v>94</v>
      </c>
      <c r="H403" s="8" t="s">
        <v>95</v>
      </c>
      <c r="I403" s="8">
        <v>1</v>
      </c>
      <c r="J403" s="8" t="s">
        <v>95</v>
      </c>
      <c r="K403" s="8">
        <v>1</v>
      </c>
      <c r="L403" s="8" t="s">
        <v>95</v>
      </c>
      <c r="M403" s="8">
        <v>1</v>
      </c>
      <c r="N403" s="8" t="s">
        <v>95</v>
      </c>
      <c r="O403" s="8">
        <v>1</v>
      </c>
      <c r="P403" s="8" t="s">
        <v>95</v>
      </c>
      <c r="Q403" s="8">
        <v>1</v>
      </c>
      <c r="R403" s="8" t="s">
        <v>95</v>
      </c>
      <c r="S403" s="8">
        <v>1</v>
      </c>
      <c r="T403" s="8" t="s">
        <v>95</v>
      </c>
      <c r="U403" s="8">
        <v>1</v>
      </c>
      <c r="V403" s="8" t="s">
        <v>95</v>
      </c>
      <c r="W403" s="8">
        <v>1</v>
      </c>
      <c r="X403" s="8" t="s">
        <v>95</v>
      </c>
      <c r="Y403" s="8">
        <v>1</v>
      </c>
      <c r="Z403" s="8" t="s">
        <v>95</v>
      </c>
      <c r="AA403" s="8">
        <v>1</v>
      </c>
      <c r="AB403" s="8" t="s">
        <v>95</v>
      </c>
      <c r="AC403" s="8">
        <v>1</v>
      </c>
      <c r="AD403" s="8" t="s">
        <v>95</v>
      </c>
      <c r="AE403" s="8">
        <v>1</v>
      </c>
      <c r="AF403" s="8" t="s">
        <v>95</v>
      </c>
      <c r="AG403" s="8">
        <v>1</v>
      </c>
      <c r="AH403" s="8" t="s">
        <v>95</v>
      </c>
      <c r="AI403" s="8">
        <v>1</v>
      </c>
      <c r="AJ403" s="8" t="s">
        <v>95</v>
      </c>
      <c r="AK403" s="8">
        <v>1</v>
      </c>
      <c r="AL403" s="8" t="s">
        <v>95</v>
      </c>
      <c r="AM403" s="8">
        <v>1</v>
      </c>
      <c r="AN403" s="8">
        <v>16</v>
      </c>
    </row>
    <row r="404" spans="1:40" x14ac:dyDescent="0.25">
      <c r="A404" s="8" t="s">
        <v>464</v>
      </c>
      <c r="B404" s="9">
        <v>42033.676388888889</v>
      </c>
      <c r="C404" s="8">
        <v>0</v>
      </c>
      <c r="D404" s="9">
        <v>42040</v>
      </c>
      <c r="E404" s="8" t="s">
        <v>93</v>
      </c>
      <c r="F404" s="8">
        <v>16</v>
      </c>
      <c r="G404" s="8" t="s">
        <v>94</v>
      </c>
      <c r="H404" s="8" t="s">
        <v>95</v>
      </c>
      <c r="I404" s="8">
        <v>1</v>
      </c>
      <c r="J404" s="8" t="s">
        <v>95</v>
      </c>
      <c r="K404" s="8">
        <v>1</v>
      </c>
      <c r="L404" s="8" t="s">
        <v>95</v>
      </c>
      <c r="M404" s="8">
        <v>1</v>
      </c>
      <c r="N404" s="8" t="s">
        <v>95</v>
      </c>
      <c r="O404" s="8">
        <v>1</v>
      </c>
      <c r="P404" s="8" t="s">
        <v>95</v>
      </c>
      <c r="Q404" s="8">
        <v>1</v>
      </c>
      <c r="R404" s="8" t="s">
        <v>95</v>
      </c>
      <c r="S404" s="8">
        <v>1</v>
      </c>
      <c r="T404" s="8" t="s">
        <v>95</v>
      </c>
      <c r="U404" s="8">
        <v>1</v>
      </c>
      <c r="V404" s="8" t="s">
        <v>95</v>
      </c>
      <c r="W404" s="8">
        <v>1</v>
      </c>
      <c r="X404" s="8" t="s">
        <v>95</v>
      </c>
      <c r="Y404" s="8">
        <v>1</v>
      </c>
      <c r="Z404" s="8" t="s">
        <v>95</v>
      </c>
      <c r="AA404" s="8">
        <v>1</v>
      </c>
      <c r="AB404" s="8" t="s">
        <v>95</v>
      </c>
      <c r="AC404" s="8">
        <v>1</v>
      </c>
      <c r="AD404" s="8" t="s">
        <v>95</v>
      </c>
      <c r="AE404" s="8">
        <v>1</v>
      </c>
      <c r="AF404" s="8" t="s">
        <v>95</v>
      </c>
      <c r="AG404" s="8">
        <v>1</v>
      </c>
      <c r="AH404" s="8" t="s">
        <v>95</v>
      </c>
      <c r="AI404" s="8">
        <v>1</v>
      </c>
      <c r="AJ404" s="8" t="s">
        <v>95</v>
      </c>
      <c r="AK404" s="8">
        <v>1</v>
      </c>
      <c r="AL404" s="8" t="s">
        <v>95</v>
      </c>
      <c r="AM404" s="8">
        <v>1</v>
      </c>
      <c r="AN404" s="8">
        <v>16</v>
      </c>
    </row>
    <row r="405" spans="1:40" x14ac:dyDescent="0.25">
      <c r="A405" s="8" t="s">
        <v>465</v>
      </c>
      <c r="B405" s="9">
        <v>42033.656944444447</v>
      </c>
      <c r="C405" s="8">
        <v>0</v>
      </c>
      <c r="D405" s="9">
        <v>42040.005555555559</v>
      </c>
      <c r="E405" s="8" t="s">
        <v>93</v>
      </c>
      <c r="F405" s="8">
        <v>10</v>
      </c>
      <c r="G405" s="8" t="s">
        <v>94</v>
      </c>
      <c r="H405" s="8" t="s">
        <v>95</v>
      </c>
      <c r="I405" s="8">
        <v>1</v>
      </c>
      <c r="J405" s="8" t="s">
        <v>94</v>
      </c>
      <c r="K405" s="8">
        <v>0</v>
      </c>
      <c r="L405" s="8" t="s">
        <v>94</v>
      </c>
      <c r="M405" s="8">
        <v>0</v>
      </c>
      <c r="N405" s="8" t="s">
        <v>95</v>
      </c>
      <c r="O405" s="8">
        <v>1</v>
      </c>
      <c r="P405" s="8" t="s">
        <v>95</v>
      </c>
      <c r="Q405" s="8">
        <v>1</v>
      </c>
      <c r="R405" s="8" t="s">
        <v>95</v>
      </c>
      <c r="S405" s="8">
        <v>1</v>
      </c>
      <c r="T405" s="8" t="s">
        <v>95</v>
      </c>
      <c r="U405" s="8">
        <v>1</v>
      </c>
      <c r="V405" s="8" t="s">
        <v>95</v>
      </c>
      <c r="W405" s="8">
        <v>1</v>
      </c>
      <c r="X405" s="8" t="s">
        <v>94</v>
      </c>
      <c r="Y405" s="8">
        <v>0</v>
      </c>
      <c r="Z405" s="8" t="s">
        <v>94</v>
      </c>
      <c r="AA405" s="8">
        <v>0</v>
      </c>
      <c r="AB405" s="8" t="s">
        <v>95</v>
      </c>
      <c r="AC405" s="8">
        <v>1</v>
      </c>
      <c r="AD405" s="8" t="s">
        <v>95</v>
      </c>
      <c r="AE405" s="8">
        <v>1</v>
      </c>
      <c r="AF405" s="8" t="s">
        <v>94</v>
      </c>
      <c r="AG405" s="8">
        <v>0</v>
      </c>
      <c r="AH405" s="8" t="s">
        <v>95</v>
      </c>
      <c r="AI405" s="8">
        <v>1</v>
      </c>
      <c r="AJ405" s="8" t="s">
        <v>95</v>
      </c>
      <c r="AK405" s="8">
        <v>1</v>
      </c>
      <c r="AL405" s="8" t="s">
        <v>94</v>
      </c>
      <c r="AM405" s="8">
        <v>0</v>
      </c>
      <c r="AN405" s="8">
        <v>10</v>
      </c>
    </row>
    <row r="406" spans="1:40" x14ac:dyDescent="0.25">
      <c r="A406" s="8" t="s">
        <v>466</v>
      </c>
      <c r="B406" s="9">
        <v>42033.680555555555</v>
      </c>
      <c r="C406" s="8">
        <v>0</v>
      </c>
      <c r="D406" s="9">
        <v>42040.005555555559</v>
      </c>
      <c r="E406" s="8" t="s">
        <v>93</v>
      </c>
      <c r="F406" s="8">
        <v>12</v>
      </c>
      <c r="G406" s="8" t="s">
        <v>94</v>
      </c>
      <c r="H406" s="8" t="s">
        <v>94</v>
      </c>
      <c r="I406" s="8">
        <v>0</v>
      </c>
      <c r="J406" s="8" t="s">
        <v>95</v>
      </c>
      <c r="K406" s="8">
        <v>1</v>
      </c>
      <c r="L406" s="8" t="s">
        <v>95</v>
      </c>
      <c r="M406" s="8">
        <v>1</v>
      </c>
      <c r="N406" s="8" t="s">
        <v>95</v>
      </c>
      <c r="O406" s="8">
        <v>1</v>
      </c>
      <c r="P406" s="8" t="s">
        <v>94</v>
      </c>
      <c r="Q406" s="8">
        <v>0</v>
      </c>
      <c r="R406" s="8" t="s">
        <v>95</v>
      </c>
      <c r="S406" s="8">
        <v>1</v>
      </c>
      <c r="T406" s="8" t="s">
        <v>94</v>
      </c>
      <c r="U406" s="8">
        <v>0</v>
      </c>
      <c r="V406" s="8" t="s">
        <v>95</v>
      </c>
      <c r="W406" s="8">
        <v>1</v>
      </c>
      <c r="X406" s="8" t="s">
        <v>95</v>
      </c>
      <c r="Y406" s="8">
        <v>1</v>
      </c>
      <c r="Z406" s="8" t="s">
        <v>95</v>
      </c>
      <c r="AA406" s="8">
        <v>1</v>
      </c>
      <c r="AB406" s="8" t="s">
        <v>95</v>
      </c>
      <c r="AC406" s="8">
        <v>1</v>
      </c>
      <c r="AD406" s="8" t="s">
        <v>95</v>
      </c>
      <c r="AE406" s="8">
        <v>1</v>
      </c>
      <c r="AF406" s="8" t="s">
        <v>95</v>
      </c>
      <c r="AG406" s="8">
        <v>1</v>
      </c>
      <c r="AH406" s="8" t="s">
        <v>95</v>
      </c>
      <c r="AI406" s="8">
        <v>1</v>
      </c>
      <c r="AJ406" s="8" t="s">
        <v>95</v>
      </c>
      <c r="AK406" s="8">
        <v>1</v>
      </c>
      <c r="AL406" s="8" t="s">
        <v>94</v>
      </c>
      <c r="AM406" s="8">
        <v>0</v>
      </c>
      <c r="AN406" s="8">
        <v>12</v>
      </c>
    </row>
    <row r="407" spans="1:40" x14ac:dyDescent="0.25">
      <c r="A407" s="8" t="s">
        <v>467</v>
      </c>
      <c r="B407" s="9">
        <v>42033.680555555555</v>
      </c>
      <c r="C407" s="8">
        <v>0</v>
      </c>
      <c r="D407" s="9">
        <v>42040.011805555558</v>
      </c>
      <c r="E407" s="8" t="s">
        <v>93</v>
      </c>
      <c r="F407" s="8">
        <v>12</v>
      </c>
      <c r="G407" s="8" t="s">
        <v>94</v>
      </c>
      <c r="H407" s="8" t="s">
        <v>95</v>
      </c>
      <c r="I407" s="8">
        <v>1</v>
      </c>
      <c r="J407" s="8" t="s">
        <v>95</v>
      </c>
      <c r="K407" s="8">
        <v>1</v>
      </c>
      <c r="L407" s="8" t="s">
        <v>94</v>
      </c>
      <c r="M407" s="8">
        <v>0</v>
      </c>
      <c r="N407" s="8" t="s">
        <v>94</v>
      </c>
      <c r="O407" s="8">
        <v>0</v>
      </c>
      <c r="P407" s="8" t="s">
        <v>95</v>
      </c>
      <c r="Q407" s="8">
        <v>1</v>
      </c>
      <c r="R407" s="8" t="s">
        <v>95</v>
      </c>
      <c r="S407" s="8">
        <v>1</v>
      </c>
      <c r="T407" s="8" t="s">
        <v>95</v>
      </c>
      <c r="U407" s="8">
        <v>1</v>
      </c>
      <c r="V407" s="8" t="s">
        <v>95</v>
      </c>
      <c r="W407" s="8">
        <v>1</v>
      </c>
      <c r="X407" s="8" t="s">
        <v>95</v>
      </c>
      <c r="Y407" s="8">
        <v>1</v>
      </c>
      <c r="Z407" s="8" t="s">
        <v>94</v>
      </c>
      <c r="AA407" s="8">
        <v>0</v>
      </c>
      <c r="AB407" s="8" t="s">
        <v>94</v>
      </c>
      <c r="AC407" s="8">
        <v>0</v>
      </c>
      <c r="AD407" s="8" t="s">
        <v>95</v>
      </c>
      <c r="AE407" s="8">
        <v>1</v>
      </c>
      <c r="AF407" s="8" t="s">
        <v>95</v>
      </c>
      <c r="AG407" s="8">
        <v>1</v>
      </c>
      <c r="AH407" s="8" t="s">
        <v>95</v>
      </c>
      <c r="AI407" s="8">
        <v>1</v>
      </c>
      <c r="AJ407" s="8" t="s">
        <v>95</v>
      </c>
      <c r="AK407" s="8">
        <v>1</v>
      </c>
      <c r="AL407" s="8" t="s">
        <v>95</v>
      </c>
      <c r="AM407" s="8">
        <v>1</v>
      </c>
      <c r="AN407" s="8">
        <v>12</v>
      </c>
    </row>
    <row r="408" spans="1:40" x14ac:dyDescent="0.25">
      <c r="A408" s="8" t="s">
        <v>468</v>
      </c>
      <c r="B408" s="9">
        <v>42033.67083333333</v>
      </c>
      <c r="C408" s="8">
        <v>0</v>
      </c>
      <c r="D408" s="9">
        <v>42040.012499999997</v>
      </c>
      <c r="E408" s="8" t="s">
        <v>93</v>
      </c>
      <c r="F408" s="8">
        <v>9</v>
      </c>
      <c r="G408" s="8" t="s">
        <v>94</v>
      </c>
      <c r="H408" s="8" t="s">
        <v>95</v>
      </c>
      <c r="I408" s="8">
        <v>1</v>
      </c>
      <c r="J408" s="8" t="s">
        <v>95</v>
      </c>
      <c r="K408" s="8">
        <v>1</v>
      </c>
      <c r="L408" s="8" t="s">
        <v>95</v>
      </c>
      <c r="M408" s="8">
        <v>1</v>
      </c>
      <c r="N408" s="8" t="s">
        <v>94</v>
      </c>
      <c r="O408" s="8">
        <v>0</v>
      </c>
      <c r="P408" s="8" t="s">
        <v>94</v>
      </c>
      <c r="Q408" s="8">
        <v>0</v>
      </c>
      <c r="R408" s="8" t="s">
        <v>94</v>
      </c>
      <c r="S408" s="8">
        <v>0</v>
      </c>
      <c r="T408" s="8" t="s">
        <v>95</v>
      </c>
      <c r="U408" s="8">
        <v>1</v>
      </c>
      <c r="V408" s="8" t="s">
        <v>94</v>
      </c>
      <c r="W408" s="8">
        <v>0</v>
      </c>
      <c r="X408" s="8" t="s">
        <v>95</v>
      </c>
      <c r="Y408" s="8">
        <v>1</v>
      </c>
      <c r="Z408" s="8" t="s">
        <v>95</v>
      </c>
      <c r="AA408" s="8">
        <v>1</v>
      </c>
      <c r="AB408" s="8" t="s">
        <v>95</v>
      </c>
      <c r="AC408" s="8">
        <v>1</v>
      </c>
      <c r="AD408" s="8" t="s">
        <v>95</v>
      </c>
      <c r="AE408" s="8">
        <v>1</v>
      </c>
      <c r="AF408" s="8" t="s">
        <v>95</v>
      </c>
      <c r="AG408" s="8">
        <v>1</v>
      </c>
      <c r="AH408" s="8" t="s">
        <v>94</v>
      </c>
      <c r="AI408" s="8">
        <v>0</v>
      </c>
      <c r="AJ408" s="8" t="s">
        <v>94</v>
      </c>
      <c r="AK408" s="8">
        <v>0</v>
      </c>
      <c r="AL408" s="8" t="s">
        <v>94</v>
      </c>
      <c r="AM408" s="8">
        <v>0</v>
      </c>
      <c r="AN408" s="8">
        <v>9</v>
      </c>
    </row>
    <row r="409" spans="1:40" x14ac:dyDescent="0.25">
      <c r="A409" s="8" t="s">
        <v>469</v>
      </c>
      <c r="B409" s="9">
        <v>42033.685416666667</v>
      </c>
      <c r="C409" s="8">
        <v>0</v>
      </c>
      <c r="D409" s="9">
        <v>42040.021527777775</v>
      </c>
      <c r="E409" s="8" t="s">
        <v>93</v>
      </c>
      <c r="F409" s="8">
        <v>0</v>
      </c>
      <c r="G409" s="8" t="s">
        <v>94</v>
      </c>
      <c r="H409" s="8" t="s">
        <v>94</v>
      </c>
      <c r="I409" s="8">
        <v>0</v>
      </c>
      <c r="J409" s="8" t="s">
        <v>94</v>
      </c>
      <c r="K409" s="8">
        <v>0</v>
      </c>
      <c r="L409" s="8" t="s">
        <v>94</v>
      </c>
      <c r="M409" s="8">
        <v>0</v>
      </c>
      <c r="N409" s="8" t="s">
        <v>94</v>
      </c>
      <c r="O409" s="8">
        <v>0</v>
      </c>
      <c r="P409" s="8" t="s">
        <v>94</v>
      </c>
      <c r="Q409" s="8">
        <v>0</v>
      </c>
      <c r="R409" s="8" t="s">
        <v>94</v>
      </c>
      <c r="S409" s="8">
        <v>0</v>
      </c>
      <c r="T409" s="8" t="s">
        <v>94</v>
      </c>
      <c r="U409" s="8">
        <v>0</v>
      </c>
      <c r="V409" s="8" t="s">
        <v>94</v>
      </c>
      <c r="W409" s="8">
        <v>0</v>
      </c>
      <c r="X409" s="8" t="s">
        <v>94</v>
      </c>
      <c r="Y409" s="8">
        <v>0</v>
      </c>
      <c r="Z409" s="8" t="s">
        <v>94</v>
      </c>
      <c r="AA409" s="8">
        <v>0</v>
      </c>
      <c r="AB409" s="8" t="s">
        <v>94</v>
      </c>
      <c r="AC409" s="8">
        <v>0</v>
      </c>
      <c r="AD409" s="8" t="s">
        <v>94</v>
      </c>
      <c r="AE409" s="8">
        <v>0</v>
      </c>
      <c r="AF409" s="8" t="s">
        <v>94</v>
      </c>
      <c r="AG409" s="8">
        <v>0</v>
      </c>
      <c r="AH409" s="8" t="s">
        <v>94</v>
      </c>
      <c r="AI409" s="8">
        <v>0</v>
      </c>
      <c r="AJ409" s="8" t="s">
        <v>94</v>
      </c>
      <c r="AK409" s="8">
        <v>0</v>
      </c>
      <c r="AL409" s="8" t="s">
        <v>94</v>
      </c>
      <c r="AM409" s="8">
        <v>0</v>
      </c>
      <c r="AN409" s="8">
        <v>0</v>
      </c>
    </row>
    <row r="410" spans="1:40" x14ac:dyDescent="0.25">
      <c r="A410" s="8" t="s">
        <v>470</v>
      </c>
      <c r="B410" s="9">
        <v>42033.679166666669</v>
      </c>
      <c r="C410" s="8">
        <v>0</v>
      </c>
      <c r="D410" s="9">
        <v>42040.022222222222</v>
      </c>
      <c r="E410" s="8" t="s">
        <v>93</v>
      </c>
      <c r="F410" s="8">
        <v>11</v>
      </c>
      <c r="G410" s="8" t="s">
        <v>94</v>
      </c>
      <c r="H410" s="8" t="s">
        <v>95</v>
      </c>
      <c r="I410" s="8">
        <v>1</v>
      </c>
      <c r="J410" s="8" t="s">
        <v>95</v>
      </c>
      <c r="K410" s="8">
        <v>1</v>
      </c>
      <c r="L410" s="8" t="s">
        <v>94</v>
      </c>
      <c r="M410" s="8">
        <v>0</v>
      </c>
      <c r="N410" s="8" t="s">
        <v>95</v>
      </c>
      <c r="O410" s="8">
        <v>1</v>
      </c>
      <c r="P410" s="8" t="s">
        <v>95</v>
      </c>
      <c r="Q410" s="8">
        <v>1</v>
      </c>
      <c r="R410" s="8" t="s">
        <v>95</v>
      </c>
      <c r="S410" s="8">
        <v>1</v>
      </c>
      <c r="T410" s="8" t="s">
        <v>95</v>
      </c>
      <c r="U410" s="8">
        <v>1</v>
      </c>
      <c r="V410" s="8" t="s">
        <v>94</v>
      </c>
      <c r="W410" s="8">
        <v>0</v>
      </c>
      <c r="X410" s="8" t="s">
        <v>95</v>
      </c>
      <c r="Y410" s="8">
        <v>1</v>
      </c>
      <c r="Z410" s="8" t="s">
        <v>95</v>
      </c>
      <c r="AA410" s="8">
        <v>1</v>
      </c>
      <c r="AB410" s="8" t="s">
        <v>95</v>
      </c>
      <c r="AC410" s="8">
        <v>1</v>
      </c>
      <c r="AD410" s="8" t="s">
        <v>95</v>
      </c>
      <c r="AE410" s="8">
        <v>1</v>
      </c>
      <c r="AF410" s="8" t="s">
        <v>94</v>
      </c>
      <c r="AG410" s="8">
        <v>0</v>
      </c>
      <c r="AH410" s="8" t="s">
        <v>94</v>
      </c>
      <c r="AI410" s="8">
        <v>0</v>
      </c>
      <c r="AJ410" s="8" t="s">
        <v>95</v>
      </c>
      <c r="AK410" s="8">
        <v>1</v>
      </c>
      <c r="AL410" s="8" t="s">
        <v>94</v>
      </c>
      <c r="AM410" s="8">
        <v>0</v>
      </c>
      <c r="AN410" s="8">
        <v>11</v>
      </c>
    </row>
    <row r="411" spans="1:40" x14ac:dyDescent="0.25">
      <c r="A411" s="8" t="s">
        <v>471</v>
      </c>
      <c r="B411" s="9">
        <v>42033.651388888888</v>
      </c>
      <c r="C411" s="8">
        <v>0</v>
      </c>
      <c r="D411" s="9">
        <v>42040.027083333334</v>
      </c>
      <c r="E411" s="8" t="s">
        <v>93</v>
      </c>
      <c r="F411" s="8">
        <v>16</v>
      </c>
      <c r="G411" s="8" t="s">
        <v>94</v>
      </c>
      <c r="H411" s="8" t="s">
        <v>95</v>
      </c>
      <c r="I411" s="8">
        <v>1</v>
      </c>
      <c r="J411" s="8" t="s">
        <v>95</v>
      </c>
      <c r="K411" s="8">
        <v>1</v>
      </c>
      <c r="L411" s="8" t="s">
        <v>95</v>
      </c>
      <c r="M411" s="8">
        <v>1</v>
      </c>
      <c r="N411" s="8" t="s">
        <v>95</v>
      </c>
      <c r="O411" s="8">
        <v>1</v>
      </c>
      <c r="P411" s="8" t="s">
        <v>95</v>
      </c>
      <c r="Q411" s="8">
        <v>1</v>
      </c>
      <c r="R411" s="8" t="s">
        <v>95</v>
      </c>
      <c r="S411" s="8">
        <v>1</v>
      </c>
      <c r="T411" s="8" t="s">
        <v>95</v>
      </c>
      <c r="U411" s="8">
        <v>1</v>
      </c>
      <c r="V411" s="8" t="s">
        <v>95</v>
      </c>
      <c r="W411" s="8">
        <v>1</v>
      </c>
      <c r="X411" s="8" t="s">
        <v>95</v>
      </c>
      <c r="Y411" s="8">
        <v>1</v>
      </c>
      <c r="Z411" s="8" t="s">
        <v>95</v>
      </c>
      <c r="AA411" s="8">
        <v>1</v>
      </c>
      <c r="AB411" s="8" t="s">
        <v>95</v>
      </c>
      <c r="AC411" s="8">
        <v>1</v>
      </c>
      <c r="AD411" s="8" t="s">
        <v>95</v>
      </c>
      <c r="AE411" s="8">
        <v>1</v>
      </c>
      <c r="AF411" s="8" t="s">
        <v>95</v>
      </c>
      <c r="AG411" s="8">
        <v>1</v>
      </c>
      <c r="AH411" s="8" t="s">
        <v>95</v>
      </c>
      <c r="AI411" s="8">
        <v>1</v>
      </c>
      <c r="AJ411" s="8" t="s">
        <v>95</v>
      </c>
      <c r="AK411" s="8">
        <v>1</v>
      </c>
      <c r="AL411" s="8" t="s">
        <v>95</v>
      </c>
      <c r="AM411" s="8">
        <v>1</v>
      </c>
      <c r="AN411" s="8">
        <v>16</v>
      </c>
    </row>
    <row r="412" spans="1:40" x14ac:dyDescent="0.25">
      <c r="A412" s="8" t="s">
        <v>472</v>
      </c>
      <c r="B412" s="9">
        <v>42033.661805555559</v>
      </c>
      <c r="C412" s="8">
        <v>0</v>
      </c>
      <c r="D412" s="9">
        <v>42040.029166666667</v>
      </c>
      <c r="E412" s="8" t="s">
        <v>93</v>
      </c>
      <c r="F412" s="8">
        <v>9</v>
      </c>
      <c r="G412" s="8" t="s">
        <v>94</v>
      </c>
      <c r="H412" s="8" t="s">
        <v>95</v>
      </c>
      <c r="I412" s="8">
        <v>1</v>
      </c>
      <c r="J412" s="8" t="s">
        <v>95</v>
      </c>
      <c r="K412" s="8">
        <v>1</v>
      </c>
      <c r="L412" s="8" t="s">
        <v>94</v>
      </c>
      <c r="M412" s="8">
        <v>0</v>
      </c>
      <c r="N412" s="8" t="s">
        <v>94</v>
      </c>
      <c r="O412" s="8">
        <v>0</v>
      </c>
      <c r="P412" s="8" t="s">
        <v>94</v>
      </c>
      <c r="Q412" s="8">
        <v>0</v>
      </c>
      <c r="R412" s="8" t="s">
        <v>95</v>
      </c>
      <c r="S412" s="8">
        <v>1</v>
      </c>
      <c r="T412" s="8" t="s">
        <v>95</v>
      </c>
      <c r="U412" s="8">
        <v>1</v>
      </c>
      <c r="V412" s="8" t="s">
        <v>95</v>
      </c>
      <c r="W412" s="8">
        <v>1</v>
      </c>
      <c r="X412" s="8" t="s">
        <v>94</v>
      </c>
      <c r="Y412" s="8">
        <v>0</v>
      </c>
      <c r="Z412" s="8" t="s">
        <v>95</v>
      </c>
      <c r="AA412" s="8">
        <v>1</v>
      </c>
      <c r="AB412" s="8" t="s">
        <v>95</v>
      </c>
      <c r="AC412" s="8">
        <v>1</v>
      </c>
      <c r="AD412" s="8" t="s">
        <v>95</v>
      </c>
      <c r="AE412" s="8">
        <v>1</v>
      </c>
      <c r="AF412" s="8" t="s">
        <v>94</v>
      </c>
      <c r="AG412" s="8">
        <v>0</v>
      </c>
      <c r="AH412" s="8" t="s">
        <v>94</v>
      </c>
      <c r="AI412" s="8">
        <v>0</v>
      </c>
      <c r="AJ412" s="8" t="s">
        <v>95</v>
      </c>
      <c r="AK412" s="8">
        <v>1</v>
      </c>
      <c r="AL412" s="8" t="s">
        <v>94</v>
      </c>
      <c r="AM412" s="8">
        <v>0</v>
      </c>
      <c r="AN412" s="8">
        <v>9</v>
      </c>
    </row>
    <row r="413" spans="1:40" x14ac:dyDescent="0.25">
      <c r="A413" s="8" t="s">
        <v>473</v>
      </c>
      <c r="B413" s="9">
        <v>42033.679166666669</v>
      </c>
      <c r="C413" s="8">
        <v>0</v>
      </c>
      <c r="D413" s="9">
        <v>42040.036805555559</v>
      </c>
      <c r="E413" s="8" t="s">
        <v>93</v>
      </c>
      <c r="F413" s="8">
        <v>16</v>
      </c>
      <c r="G413" s="8" t="s">
        <v>94</v>
      </c>
      <c r="H413" s="8" t="s">
        <v>95</v>
      </c>
      <c r="I413" s="8">
        <v>1</v>
      </c>
      <c r="J413" s="8" t="s">
        <v>95</v>
      </c>
      <c r="K413" s="8">
        <v>1</v>
      </c>
      <c r="L413" s="8" t="s">
        <v>95</v>
      </c>
      <c r="M413" s="8">
        <v>1</v>
      </c>
      <c r="N413" s="8" t="s">
        <v>95</v>
      </c>
      <c r="O413" s="8">
        <v>1</v>
      </c>
      <c r="P413" s="8" t="s">
        <v>95</v>
      </c>
      <c r="Q413" s="8">
        <v>1</v>
      </c>
      <c r="R413" s="8" t="s">
        <v>95</v>
      </c>
      <c r="S413" s="8">
        <v>1</v>
      </c>
      <c r="T413" s="8" t="s">
        <v>95</v>
      </c>
      <c r="U413" s="8">
        <v>1</v>
      </c>
      <c r="V413" s="8" t="s">
        <v>95</v>
      </c>
      <c r="W413" s="8">
        <v>1</v>
      </c>
      <c r="X413" s="8" t="s">
        <v>95</v>
      </c>
      <c r="Y413" s="8">
        <v>1</v>
      </c>
      <c r="Z413" s="8" t="s">
        <v>95</v>
      </c>
      <c r="AA413" s="8">
        <v>1</v>
      </c>
      <c r="AB413" s="8" t="s">
        <v>95</v>
      </c>
      <c r="AC413" s="8">
        <v>1</v>
      </c>
      <c r="AD413" s="8" t="s">
        <v>95</v>
      </c>
      <c r="AE413" s="8">
        <v>1</v>
      </c>
      <c r="AF413" s="8" t="s">
        <v>95</v>
      </c>
      <c r="AG413" s="8">
        <v>1</v>
      </c>
      <c r="AH413" s="8" t="s">
        <v>95</v>
      </c>
      <c r="AI413" s="8">
        <v>1</v>
      </c>
      <c r="AJ413" s="8" t="s">
        <v>95</v>
      </c>
      <c r="AK413" s="8">
        <v>1</v>
      </c>
      <c r="AL413" s="8" t="s">
        <v>95</v>
      </c>
      <c r="AM413" s="8">
        <v>1</v>
      </c>
      <c r="AN413" s="8">
        <v>16</v>
      </c>
    </row>
    <row r="414" spans="1:40" x14ac:dyDescent="0.25">
      <c r="A414" s="8" t="s">
        <v>474</v>
      </c>
      <c r="B414" s="9">
        <v>42033.664583333331</v>
      </c>
      <c r="C414" s="8">
        <v>0</v>
      </c>
      <c r="D414" s="9">
        <v>42040.051388888889</v>
      </c>
      <c r="E414" s="8" t="s">
        <v>93</v>
      </c>
      <c r="F414" s="8">
        <v>12</v>
      </c>
      <c r="G414" s="8" t="s">
        <v>94</v>
      </c>
      <c r="H414" s="8" t="s">
        <v>95</v>
      </c>
      <c r="I414" s="8">
        <v>1</v>
      </c>
      <c r="J414" s="8" t="s">
        <v>95</v>
      </c>
      <c r="K414" s="8">
        <v>1</v>
      </c>
      <c r="L414" s="8" t="s">
        <v>95</v>
      </c>
      <c r="M414" s="8">
        <v>1</v>
      </c>
      <c r="N414" s="8" t="s">
        <v>94</v>
      </c>
      <c r="O414" s="8">
        <v>0</v>
      </c>
      <c r="P414" s="8" t="s">
        <v>95</v>
      </c>
      <c r="Q414" s="8">
        <v>1</v>
      </c>
      <c r="R414" s="8" t="s">
        <v>95</v>
      </c>
      <c r="S414" s="8">
        <v>1</v>
      </c>
      <c r="T414" s="8" t="s">
        <v>94</v>
      </c>
      <c r="U414" s="8">
        <v>0</v>
      </c>
      <c r="V414" s="8" t="s">
        <v>95</v>
      </c>
      <c r="W414" s="8">
        <v>1</v>
      </c>
      <c r="X414" s="8" t="s">
        <v>94</v>
      </c>
      <c r="Y414" s="8">
        <v>0</v>
      </c>
      <c r="Z414" s="8" t="s">
        <v>95</v>
      </c>
      <c r="AA414" s="8">
        <v>1</v>
      </c>
      <c r="AB414" s="8" t="s">
        <v>95</v>
      </c>
      <c r="AC414" s="8">
        <v>1</v>
      </c>
      <c r="AD414" s="8" t="s">
        <v>94</v>
      </c>
      <c r="AE414" s="8">
        <v>0</v>
      </c>
      <c r="AF414" s="8" t="s">
        <v>95</v>
      </c>
      <c r="AG414" s="8">
        <v>1</v>
      </c>
      <c r="AH414" s="8" t="s">
        <v>95</v>
      </c>
      <c r="AI414" s="8">
        <v>1</v>
      </c>
      <c r="AJ414" s="8" t="s">
        <v>95</v>
      </c>
      <c r="AK414" s="8">
        <v>1</v>
      </c>
      <c r="AL414" s="8" t="s">
        <v>95</v>
      </c>
      <c r="AM414" s="8">
        <v>1</v>
      </c>
      <c r="AN414" s="8">
        <v>12</v>
      </c>
    </row>
    <row r="415" spans="1:40" x14ac:dyDescent="0.25">
      <c r="A415" s="8" t="s">
        <v>475</v>
      </c>
      <c r="B415" s="9">
        <v>42033.675000000003</v>
      </c>
      <c r="C415" s="8">
        <v>0</v>
      </c>
      <c r="D415" s="9">
        <v>42040.058333333334</v>
      </c>
      <c r="E415" s="8" t="s">
        <v>93</v>
      </c>
      <c r="F415" s="8">
        <v>1</v>
      </c>
      <c r="G415" s="8" t="s">
        <v>94</v>
      </c>
      <c r="H415" s="8" t="s">
        <v>94</v>
      </c>
      <c r="I415" s="8">
        <v>0</v>
      </c>
      <c r="J415" s="8" t="s">
        <v>94</v>
      </c>
      <c r="K415" s="8">
        <v>0</v>
      </c>
      <c r="L415" s="8" t="s">
        <v>94</v>
      </c>
      <c r="M415" s="8">
        <v>0</v>
      </c>
      <c r="N415" s="8" t="s">
        <v>94</v>
      </c>
      <c r="O415" s="8">
        <v>0</v>
      </c>
      <c r="P415" s="8" t="s">
        <v>94</v>
      </c>
      <c r="Q415" s="8">
        <v>0</v>
      </c>
      <c r="R415" s="8" t="s">
        <v>94</v>
      </c>
      <c r="S415" s="8">
        <v>0</v>
      </c>
      <c r="T415" s="8" t="s">
        <v>94</v>
      </c>
      <c r="U415" s="8">
        <v>0</v>
      </c>
      <c r="V415" s="8" t="s">
        <v>94</v>
      </c>
      <c r="W415" s="8">
        <v>0</v>
      </c>
      <c r="X415" s="8" t="s">
        <v>94</v>
      </c>
      <c r="Y415" s="8">
        <v>0</v>
      </c>
      <c r="Z415" s="8" t="s">
        <v>94</v>
      </c>
      <c r="AA415" s="8">
        <v>0</v>
      </c>
      <c r="AB415" s="8" t="s">
        <v>94</v>
      </c>
      <c r="AC415" s="8">
        <v>0</v>
      </c>
      <c r="AD415" s="8" t="s">
        <v>95</v>
      </c>
      <c r="AE415" s="8">
        <v>1</v>
      </c>
      <c r="AF415" s="8" t="s">
        <v>94</v>
      </c>
      <c r="AG415" s="8">
        <v>0</v>
      </c>
      <c r="AH415" s="8" t="s">
        <v>94</v>
      </c>
      <c r="AI415" s="8">
        <v>0</v>
      </c>
      <c r="AJ415" s="8" t="s">
        <v>94</v>
      </c>
      <c r="AK415" s="8">
        <v>0</v>
      </c>
      <c r="AL415" s="8" t="s">
        <v>94</v>
      </c>
      <c r="AM415" s="8">
        <v>0</v>
      </c>
      <c r="AN415" s="8">
        <v>1</v>
      </c>
    </row>
    <row r="416" spans="1:40" x14ac:dyDescent="0.25">
      <c r="A416" s="8" t="s">
        <v>476</v>
      </c>
      <c r="B416" s="9">
        <v>42033.65902777778</v>
      </c>
      <c r="C416" s="8">
        <v>0</v>
      </c>
      <c r="D416" s="9">
        <v>42040.058333333334</v>
      </c>
      <c r="E416" s="8" t="s">
        <v>93</v>
      </c>
      <c r="F416" s="8">
        <v>10</v>
      </c>
      <c r="G416" s="8" t="s">
        <v>94</v>
      </c>
      <c r="H416" s="8" t="s">
        <v>95</v>
      </c>
      <c r="I416" s="8">
        <v>1</v>
      </c>
      <c r="J416" s="8" t="s">
        <v>95</v>
      </c>
      <c r="K416" s="8">
        <v>1</v>
      </c>
      <c r="L416" s="8" t="s">
        <v>94</v>
      </c>
      <c r="M416" s="8">
        <v>0</v>
      </c>
      <c r="N416" s="8" t="s">
        <v>94</v>
      </c>
      <c r="O416" s="8">
        <v>0</v>
      </c>
      <c r="P416" s="8" t="s">
        <v>95</v>
      </c>
      <c r="Q416" s="8">
        <v>1</v>
      </c>
      <c r="R416" s="8" t="s">
        <v>95</v>
      </c>
      <c r="S416" s="8">
        <v>1</v>
      </c>
      <c r="T416" s="8" t="s">
        <v>95</v>
      </c>
      <c r="U416" s="8">
        <v>1</v>
      </c>
      <c r="V416" s="8" t="s">
        <v>94</v>
      </c>
      <c r="W416" s="8">
        <v>0</v>
      </c>
      <c r="X416" s="8" t="s">
        <v>95</v>
      </c>
      <c r="Y416" s="8">
        <v>1</v>
      </c>
      <c r="Z416" s="8" t="s">
        <v>95</v>
      </c>
      <c r="AA416" s="8">
        <v>1</v>
      </c>
      <c r="AB416" s="8" t="s">
        <v>95</v>
      </c>
      <c r="AC416" s="8">
        <v>1</v>
      </c>
      <c r="AD416" s="8" t="s">
        <v>95</v>
      </c>
      <c r="AE416" s="8">
        <v>1</v>
      </c>
      <c r="AF416" s="8" t="s">
        <v>94</v>
      </c>
      <c r="AG416" s="8">
        <v>0</v>
      </c>
      <c r="AH416" s="8" t="s">
        <v>94</v>
      </c>
      <c r="AI416" s="8">
        <v>0</v>
      </c>
      <c r="AJ416" s="8" t="s">
        <v>95</v>
      </c>
      <c r="AK416" s="8">
        <v>1</v>
      </c>
      <c r="AL416" s="8" t="s">
        <v>94</v>
      </c>
      <c r="AM416" s="8">
        <v>0</v>
      </c>
      <c r="AN416" s="8">
        <v>10</v>
      </c>
    </row>
    <row r="417" spans="1:40" x14ac:dyDescent="0.25">
      <c r="A417" s="8" t="s">
        <v>477</v>
      </c>
      <c r="B417" s="9">
        <v>42033.657638888886</v>
      </c>
      <c r="C417" s="8">
        <v>0</v>
      </c>
      <c r="D417" s="9">
        <v>42040.0625</v>
      </c>
      <c r="E417" s="8" t="s">
        <v>93</v>
      </c>
      <c r="F417" s="8">
        <v>13</v>
      </c>
      <c r="G417" s="8" t="s">
        <v>94</v>
      </c>
      <c r="H417" s="8" t="s">
        <v>95</v>
      </c>
      <c r="I417" s="8">
        <v>1</v>
      </c>
      <c r="J417" s="8" t="s">
        <v>95</v>
      </c>
      <c r="K417" s="8">
        <v>1</v>
      </c>
      <c r="L417" s="8" t="s">
        <v>94</v>
      </c>
      <c r="M417" s="8">
        <v>0</v>
      </c>
      <c r="N417" s="8" t="s">
        <v>95</v>
      </c>
      <c r="O417" s="8">
        <v>1</v>
      </c>
      <c r="P417" s="8" t="s">
        <v>95</v>
      </c>
      <c r="Q417" s="8">
        <v>1</v>
      </c>
      <c r="R417" s="8" t="s">
        <v>95</v>
      </c>
      <c r="S417" s="8">
        <v>1</v>
      </c>
      <c r="T417" s="8" t="s">
        <v>95</v>
      </c>
      <c r="U417" s="8">
        <v>1</v>
      </c>
      <c r="V417" s="8" t="s">
        <v>95</v>
      </c>
      <c r="W417" s="8">
        <v>1</v>
      </c>
      <c r="X417" s="8" t="s">
        <v>94</v>
      </c>
      <c r="Y417" s="8">
        <v>0</v>
      </c>
      <c r="Z417" s="8" t="s">
        <v>95</v>
      </c>
      <c r="AA417" s="8">
        <v>1</v>
      </c>
      <c r="AB417" s="8" t="s">
        <v>95</v>
      </c>
      <c r="AC417" s="8">
        <v>1</v>
      </c>
      <c r="AD417" s="8" t="s">
        <v>95</v>
      </c>
      <c r="AE417" s="8">
        <v>1</v>
      </c>
      <c r="AF417" s="8" t="s">
        <v>95</v>
      </c>
      <c r="AG417" s="8">
        <v>1</v>
      </c>
      <c r="AH417" s="8" t="s">
        <v>95</v>
      </c>
      <c r="AI417" s="8">
        <v>1</v>
      </c>
      <c r="AJ417" s="8" t="s">
        <v>95</v>
      </c>
      <c r="AK417" s="8">
        <v>1</v>
      </c>
      <c r="AL417" s="8" t="s">
        <v>94</v>
      </c>
      <c r="AM417" s="8">
        <v>0</v>
      </c>
      <c r="AN417" s="8">
        <v>13</v>
      </c>
    </row>
    <row r="418" spans="1:40" x14ac:dyDescent="0.25">
      <c r="A418" s="8" t="s">
        <v>478</v>
      </c>
      <c r="B418" s="9">
        <v>42033.670138888891</v>
      </c>
      <c r="C418" s="8">
        <v>0</v>
      </c>
      <c r="D418" s="9">
        <v>42040.081250000003</v>
      </c>
      <c r="E418" s="8" t="s">
        <v>93</v>
      </c>
      <c r="F418" s="8">
        <v>16</v>
      </c>
      <c r="G418" s="8" t="s">
        <v>94</v>
      </c>
      <c r="H418" s="8" t="s">
        <v>95</v>
      </c>
      <c r="I418" s="8">
        <v>1</v>
      </c>
      <c r="J418" s="8" t="s">
        <v>95</v>
      </c>
      <c r="K418" s="8">
        <v>1</v>
      </c>
      <c r="L418" s="8" t="s">
        <v>95</v>
      </c>
      <c r="M418" s="8">
        <v>1</v>
      </c>
      <c r="N418" s="8" t="s">
        <v>95</v>
      </c>
      <c r="O418" s="8">
        <v>1</v>
      </c>
      <c r="P418" s="8" t="s">
        <v>95</v>
      </c>
      <c r="Q418" s="8">
        <v>1</v>
      </c>
      <c r="R418" s="8" t="s">
        <v>95</v>
      </c>
      <c r="S418" s="8">
        <v>1</v>
      </c>
      <c r="T418" s="8" t="s">
        <v>95</v>
      </c>
      <c r="U418" s="8">
        <v>1</v>
      </c>
      <c r="V418" s="8" t="s">
        <v>95</v>
      </c>
      <c r="W418" s="8">
        <v>1</v>
      </c>
      <c r="X418" s="8" t="s">
        <v>95</v>
      </c>
      <c r="Y418" s="8">
        <v>1</v>
      </c>
      <c r="Z418" s="8" t="s">
        <v>95</v>
      </c>
      <c r="AA418" s="8">
        <v>1</v>
      </c>
      <c r="AB418" s="8" t="s">
        <v>95</v>
      </c>
      <c r="AC418" s="8">
        <v>1</v>
      </c>
      <c r="AD418" s="8" t="s">
        <v>95</v>
      </c>
      <c r="AE418" s="8">
        <v>1</v>
      </c>
      <c r="AF418" s="8" t="s">
        <v>95</v>
      </c>
      <c r="AG418" s="8">
        <v>1</v>
      </c>
      <c r="AH418" s="8" t="s">
        <v>95</v>
      </c>
      <c r="AI418" s="8">
        <v>1</v>
      </c>
      <c r="AJ418" s="8" t="s">
        <v>95</v>
      </c>
      <c r="AK418" s="8">
        <v>1</v>
      </c>
      <c r="AL418" s="8" t="s">
        <v>95</v>
      </c>
      <c r="AM418" s="8">
        <v>1</v>
      </c>
      <c r="AN418" s="8">
        <v>16</v>
      </c>
    </row>
    <row r="419" spans="1:40" x14ac:dyDescent="0.25">
      <c r="A419" s="8" t="s">
        <v>479</v>
      </c>
      <c r="B419" s="9">
        <v>42033.67291666667</v>
      </c>
      <c r="C419" s="8">
        <v>0</v>
      </c>
      <c r="D419" s="9">
        <v>42040.098611111112</v>
      </c>
      <c r="E419" s="8" t="s">
        <v>93</v>
      </c>
      <c r="F419" s="8">
        <v>16</v>
      </c>
      <c r="G419" s="8" t="s">
        <v>94</v>
      </c>
      <c r="H419" s="8" t="s">
        <v>95</v>
      </c>
      <c r="I419" s="8">
        <v>1</v>
      </c>
      <c r="J419" s="8" t="s">
        <v>95</v>
      </c>
      <c r="K419" s="8">
        <v>1</v>
      </c>
      <c r="L419" s="8" t="s">
        <v>95</v>
      </c>
      <c r="M419" s="8">
        <v>1</v>
      </c>
      <c r="N419" s="8" t="s">
        <v>95</v>
      </c>
      <c r="O419" s="8">
        <v>1</v>
      </c>
      <c r="P419" s="8" t="s">
        <v>95</v>
      </c>
      <c r="Q419" s="8">
        <v>1</v>
      </c>
      <c r="R419" s="8" t="s">
        <v>95</v>
      </c>
      <c r="S419" s="8">
        <v>1</v>
      </c>
      <c r="T419" s="8" t="s">
        <v>95</v>
      </c>
      <c r="U419" s="8">
        <v>1</v>
      </c>
      <c r="V419" s="8" t="s">
        <v>95</v>
      </c>
      <c r="W419" s="8">
        <v>1</v>
      </c>
      <c r="X419" s="8" t="s">
        <v>95</v>
      </c>
      <c r="Y419" s="8">
        <v>1</v>
      </c>
      <c r="Z419" s="8" t="s">
        <v>95</v>
      </c>
      <c r="AA419" s="8">
        <v>1</v>
      </c>
      <c r="AB419" s="8" t="s">
        <v>95</v>
      </c>
      <c r="AC419" s="8">
        <v>1</v>
      </c>
      <c r="AD419" s="8" t="s">
        <v>95</v>
      </c>
      <c r="AE419" s="8">
        <v>1</v>
      </c>
      <c r="AF419" s="8" t="s">
        <v>95</v>
      </c>
      <c r="AG419" s="8">
        <v>1</v>
      </c>
      <c r="AH419" s="8" t="s">
        <v>95</v>
      </c>
      <c r="AI419" s="8">
        <v>1</v>
      </c>
      <c r="AJ419" s="8" t="s">
        <v>95</v>
      </c>
      <c r="AK419" s="8">
        <v>1</v>
      </c>
      <c r="AL419" s="8" t="s">
        <v>95</v>
      </c>
      <c r="AM419" s="8">
        <v>1</v>
      </c>
      <c r="AN419" s="8">
        <v>16</v>
      </c>
    </row>
    <row r="420" spans="1:40" x14ac:dyDescent="0.25">
      <c r="A420" s="8" t="s">
        <v>480</v>
      </c>
      <c r="B420" s="9">
        <v>42033.668749999997</v>
      </c>
      <c r="C420" s="8">
        <v>0</v>
      </c>
      <c r="D420" s="9">
        <v>42040.111805555556</v>
      </c>
      <c r="E420" s="8" t="s">
        <v>93</v>
      </c>
      <c r="F420" s="8">
        <v>15</v>
      </c>
      <c r="G420" s="8" t="s">
        <v>94</v>
      </c>
      <c r="H420" s="8" t="s">
        <v>95</v>
      </c>
      <c r="I420" s="8">
        <v>1</v>
      </c>
      <c r="J420" s="8" t="s">
        <v>95</v>
      </c>
      <c r="K420" s="8">
        <v>1</v>
      </c>
      <c r="L420" s="8" t="s">
        <v>94</v>
      </c>
      <c r="M420" s="8">
        <v>0</v>
      </c>
      <c r="N420" s="8" t="s">
        <v>95</v>
      </c>
      <c r="O420" s="8">
        <v>1</v>
      </c>
      <c r="P420" s="8" t="s">
        <v>95</v>
      </c>
      <c r="Q420" s="8">
        <v>1</v>
      </c>
      <c r="R420" s="8" t="s">
        <v>95</v>
      </c>
      <c r="S420" s="8">
        <v>1</v>
      </c>
      <c r="T420" s="8" t="s">
        <v>95</v>
      </c>
      <c r="U420" s="8">
        <v>1</v>
      </c>
      <c r="V420" s="8" t="s">
        <v>95</v>
      </c>
      <c r="W420" s="8">
        <v>1</v>
      </c>
      <c r="X420" s="8" t="s">
        <v>95</v>
      </c>
      <c r="Y420" s="8">
        <v>1</v>
      </c>
      <c r="Z420" s="8" t="s">
        <v>95</v>
      </c>
      <c r="AA420" s="8">
        <v>1</v>
      </c>
      <c r="AB420" s="8" t="s">
        <v>95</v>
      </c>
      <c r="AC420" s="8">
        <v>1</v>
      </c>
      <c r="AD420" s="8" t="s">
        <v>95</v>
      </c>
      <c r="AE420" s="8">
        <v>1</v>
      </c>
      <c r="AF420" s="8" t="s">
        <v>95</v>
      </c>
      <c r="AG420" s="8">
        <v>1</v>
      </c>
      <c r="AH420" s="8" t="s">
        <v>95</v>
      </c>
      <c r="AI420" s="8">
        <v>1</v>
      </c>
      <c r="AJ420" s="8" t="s">
        <v>95</v>
      </c>
      <c r="AK420" s="8">
        <v>1</v>
      </c>
      <c r="AL420" s="8" t="s">
        <v>95</v>
      </c>
      <c r="AM420" s="8">
        <v>1</v>
      </c>
      <c r="AN420" s="8">
        <v>15</v>
      </c>
    </row>
    <row r="421" spans="1:40" x14ac:dyDescent="0.25">
      <c r="A421" s="8" t="s">
        <v>481</v>
      </c>
      <c r="B421" s="9">
        <v>42033.65625</v>
      </c>
      <c r="C421" s="8">
        <v>0</v>
      </c>
      <c r="D421" s="9">
        <v>42040.15347222222</v>
      </c>
      <c r="E421" s="8" t="s">
        <v>93</v>
      </c>
      <c r="F421" s="8">
        <v>16</v>
      </c>
      <c r="G421" s="8" t="s">
        <v>94</v>
      </c>
      <c r="H421" s="8" t="s">
        <v>95</v>
      </c>
      <c r="I421" s="8">
        <v>1</v>
      </c>
      <c r="J421" s="8" t="s">
        <v>95</v>
      </c>
      <c r="K421" s="8">
        <v>1</v>
      </c>
      <c r="L421" s="8" t="s">
        <v>95</v>
      </c>
      <c r="M421" s="8">
        <v>1</v>
      </c>
      <c r="N421" s="8" t="s">
        <v>95</v>
      </c>
      <c r="O421" s="8">
        <v>1</v>
      </c>
      <c r="P421" s="8" t="s">
        <v>95</v>
      </c>
      <c r="Q421" s="8">
        <v>1</v>
      </c>
      <c r="R421" s="8" t="s">
        <v>95</v>
      </c>
      <c r="S421" s="8">
        <v>1</v>
      </c>
      <c r="T421" s="8" t="s">
        <v>95</v>
      </c>
      <c r="U421" s="8">
        <v>1</v>
      </c>
      <c r="V421" s="8" t="s">
        <v>95</v>
      </c>
      <c r="W421" s="8">
        <v>1</v>
      </c>
      <c r="X421" s="8" t="s">
        <v>95</v>
      </c>
      <c r="Y421" s="8">
        <v>1</v>
      </c>
      <c r="Z421" s="8" t="s">
        <v>95</v>
      </c>
      <c r="AA421" s="8">
        <v>1</v>
      </c>
      <c r="AB421" s="8" t="s">
        <v>95</v>
      </c>
      <c r="AC421" s="8">
        <v>1</v>
      </c>
      <c r="AD421" s="8" t="s">
        <v>95</v>
      </c>
      <c r="AE421" s="8">
        <v>1</v>
      </c>
      <c r="AF421" s="8" t="s">
        <v>95</v>
      </c>
      <c r="AG421" s="8">
        <v>1</v>
      </c>
      <c r="AH421" s="8" t="s">
        <v>95</v>
      </c>
      <c r="AI421" s="8">
        <v>1</v>
      </c>
      <c r="AJ421" s="8" t="s">
        <v>95</v>
      </c>
      <c r="AK421" s="8">
        <v>1</v>
      </c>
      <c r="AL421" s="8" t="s">
        <v>95</v>
      </c>
      <c r="AM421" s="8">
        <v>1</v>
      </c>
      <c r="AN421" s="8">
        <v>16</v>
      </c>
    </row>
    <row r="422" spans="1:40" x14ac:dyDescent="0.25">
      <c r="A422" s="8" t="s">
        <v>482</v>
      </c>
      <c r="B422" s="9">
        <v>42033.654166666667</v>
      </c>
      <c r="C422" s="8">
        <v>0</v>
      </c>
      <c r="D422" s="9">
        <v>42040.176388888889</v>
      </c>
      <c r="E422" s="8" t="s">
        <v>93</v>
      </c>
      <c r="F422" s="8">
        <v>16</v>
      </c>
      <c r="G422" s="8" t="s">
        <v>94</v>
      </c>
      <c r="H422" s="8" t="s">
        <v>95</v>
      </c>
      <c r="I422" s="8">
        <v>1</v>
      </c>
      <c r="J422" s="8" t="s">
        <v>95</v>
      </c>
      <c r="K422" s="8">
        <v>1</v>
      </c>
      <c r="L422" s="8" t="s">
        <v>95</v>
      </c>
      <c r="M422" s="8">
        <v>1</v>
      </c>
      <c r="N422" s="8" t="s">
        <v>95</v>
      </c>
      <c r="O422" s="8">
        <v>1</v>
      </c>
      <c r="P422" s="8" t="s">
        <v>95</v>
      </c>
      <c r="Q422" s="8">
        <v>1</v>
      </c>
      <c r="R422" s="8" t="s">
        <v>95</v>
      </c>
      <c r="S422" s="8">
        <v>1</v>
      </c>
      <c r="T422" s="8" t="s">
        <v>95</v>
      </c>
      <c r="U422" s="8">
        <v>1</v>
      </c>
      <c r="V422" s="8" t="s">
        <v>95</v>
      </c>
      <c r="W422" s="8">
        <v>1</v>
      </c>
      <c r="X422" s="8" t="s">
        <v>95</v>
      </c>
      <c r="Y422" s="8">
        <v>1</v>
      </c>
      <c r="Z422" s="8" t="s">
        <v>95</v>
      </c>
      <c r="AA422" s="8">
        <v>1</v>
      </c>
      <c r="AB422" s="8" t="s">
        <v>95</v>
      </c>
      <c r="AC422" s="8">
        <v>1</v>
      </c>
      <c r="AD422" s="8" t="s">
        <v>95</v>
      </c>
      <c r="AE422" s="8">
        <v>1</v>
      </c>
      <c r="AF422" s="8" t="s">
        <v>95</v>
      </c>
      <c r="AG422" s="8">
        <v>1</v>
      </c>
      <c r="AH422" s="8" t="s">
        <v>95</v>
      </c>
      <c r="AI422" s="8">
        <v>1</v>
      </c>
      <c r="AJ422" s="8" t="s">
        <v>95</v>
      </c>
      <c r="AK422" s="8">
        <v>1</v>
      </c>
      <c r="AL422" s="8" t="s">
        <v>95</v>
      </c>
      <c r="AM422" s="8">
        <v>1</v>
      </c>
      <c r="AN422" s="8">
        <v>16</v>
      </c>
    </row>
    <row r="423" spans="1:40" x14ac:dyDescent="0.25">
      <c r="A423" s="8" t="s">
        <v>483</v>
      </c>
      <c r="B423" s="9">
        <v>42033.654861111114</v>
      </c>
      <c r="C423" s="8">
        <v>0</v>
      </c>
      <c r="D423" s="9">
        <v>42040.178472222222</v>
      </c>
      <c r="E423" s="8" t="s">
        <v>93</v>
      </c>
      <c r="F423" s="8">
        <v>16</v>
      </c>
      <c r="G423" s="8" t="s">
        <v>94</v>
      </c>
      <c r="H423" s="8" t="s">
        <v>95</v>
      </c>
      <c r="I423" s="8">
        <v>1</v>
      </c>
      <c r="J423" s="8" t="s">
        <v>95</v>
      </c>
      <c r="K423" s="8">
        <v>1</v>
      </c>
      <c r="L423" s="8" t="s">
        <v>95</v>
      </c>
      <c r="M423" s="8">
        <v>1</v>
      </c>
      <c r="N423" s="8" t="s">
        <v>95</v>
      </c>
      <c r="O423" s="8">
        <v>1</v>
      </c>
      <c r="P423" s="8" t="s">
        <v>95</v>
      </c>
      <c r="Q423" s="8">
        <v>1</v>
      </c>
      <c r="R423" s="8" t="s">
        <v>95</v>
      </c>
      <c r="S423" s="8">
        <v>1</v>
      </c>
      <c r="T423" s="8" t="s">
        <v>95</v>
      </c>
      <c r="U423" s="8">
        <v>1</v>
      </c>
      <c r="V423" s="8" t="s">
        <v>95</v>
      </c>
      <c r="W423" s="8">
        <v>1</v>
      </c>
      <c r="X423" s="8" t="s">
        <v>95</v>
      </c>
      <c r="Y423" s="8">
        <v>1</v>
      </c>
      <c r="Z423" s="8" t="s">
        <v>95</v>
      </c>
      <c r="AA423" s="8">
        <v>1</v>
      </c>
      <c r="AB423" s="8" t="s">
        <v>95</v>
      </c>
      <c r="AC423" s="8">
        <v>1</v>
      </c>
      <c r="AD423" s="8" t="s">
        <v>95</v>
      </c>
      <c r="AE423" s="8">
        <v>1</v>
      </c>
      <c r="AF423" s="8" t="s">
        <v>95</v>
      </c>
      <c r="AG423" s="8">
        <v>1</v>
      </c>
      <c r="AH423" s="8" t="s">
        <v>95</v>
      </c>
      <c r="AI423" s="8">
        <v>1</v>
      </c>
      <c r="AJ423" s="8" t="s">
        <v>95</v>
      </c>
      <c r="AK423" s="8">
        <v>1</v>
      </c>
      <c r="AL423" s="8" t="s">
        <v>95</v>
      </c>
      <c r="AM423" s="8">
        <v>1</v>
      </c>
      <c r="AN423" s="8">
        <v>16</v>
      </c>
    </row>
    <row r="424" spans="1:40" x14ac:dyDescent="0.25">
      <c r="A424" s="8" t="s">
        <v>484</v>
      </c>
      <c r="B424" s="9">
        <v>42033.666666666664</v>
      </c>
      <c r="C424" s="8">
        <v>0</v>
      </c>
      <c r="D424" s="9">
        <v>42040.189583333333</v>
      </c>
      <c r="E424" s="8" t="s">
        <v>93</v>
      </c>
      <c r="F424" s="8">
        <v>16</v>
      </c>
      <c r="G424" s="8" t="s">
        <v>94</v>
      </c>
      <c r="H424" s="8" t="s">
        <v>95</v>
      </c>
      <c r="I424" s="8">
        <v>1</v>
      </c>
      <c r="J424" s="8" t="s">
        <v>95</v>
      </c>
      <c r="K424" s="8">
        <v>1</v>
      </c>
      <c r="L424" s="8" t="s">
        <v>95</v>
      </c>
      <c r="M424" s="8">
        <v>1</v>
      </c>
      <c r="N424" s="8" t="s">
        <v>95</v>
      </c>
      <c r="O424" s="8">
        <v>1</v>
      </c>
      <c r="P424" s="8" t="s">
        <v>95</v>
      </c>
      <c r="Q424" s="8">
        <v>1</v>
      </c>
      <c r="R424" s="8" t="s">
        <v>95</v>
      </c>
      <c r="S424" s="8">
        <v>1</v>
      </c>
      <c r="T424" s="8" t="s">
        <v>95</v>
      </c>
      <c r="U424" s="8">
        <v>1</v>
      </c>
      <c r="V424" s="8" t="s">
        <v>95</v>
      </c>
      <c r="W424" s="8">
        <v>1</v>
      </c>
      <c r="X424" s="8" t="s">
        <v>95</v>
      </c>
      <c r="Y424" s="8">
        <v>1</v>
      </c>
      <c r="Z424" s="8" t="s">
        <v>95</v>
      </c>
      <c r="AA424" s="8">
        <v>1</v>
      </c>
      <c r="AB424" s="8" t="s">
        <v>95</v>
      </c>
      <c r="AC424" s="8">
        <v>1</v>
      </c>
      <c r="AD424" s="8" t="s">
        <v>95</v>
      </c>
      <c r="AE424" s="8">
        <v>1</v>
      </c>
      <c r="AF424" s="8" t="s">
        <v>95</v>
      </c>
      <c r="AG424" s="8">
        <v>1</v>
      </c>
      <c r="AH424" s="8" t="s">
        <v>95</v>
      </c>
      <c r="AI424" s="8">
        <v>1</v>
      </c>
      <c r="AJ424" s="8" t="s">
        <v>95</v>
      </c>
      <c r="AK424" s="8">
        <v>1</v>
      </c>
      <c r="AL424" s="8" t="s">
        <v>95</v>
      </c>
      <c r="AM424" s="8">
        <v>1</v>
      </c>
      <c r="AN424" s="8">
        <v>16</v>
      </c>
    </row>
    <row r="425" spans="1:40" x14ac:dyDescent="0.25">
      <c r="A425" s="8" t="s">
        <v>485</v>
      </c>
      <c r="B425" s="9">
        <v>42033.651388888888</v>
      </c>
      <c r="C425" s="8">
        <v>0</v>
      </c>
      <c r="D425" s="9">
        <v>42040.192361111112</v>
      </c>
      <c r="E425" s="8" t="s">
        <v>93</v>
      </c>
      <c r="F425" s="8">
        <v>13</v>
      </c>
      <c r="G425" s="8" t="s">
        <v>94</v>
      </c>
      <c r="H425" s="8" t="s">
        <v>95</v>
      </c>
      <c r="I425" s="8">
        <v>1</v>
      </c>
      <c r="J425" s="8" t="s">
        <v>95</v>
      </c>
      <c r="K425" s="8">
        <v>1</v>
      </c>
      <c r="L425" s="8" t="s">
        <v>94</v>
      </c>
      <c r="M425" s="8">
        <v>0</v>
      </c>
      <c r="N425" s="8" t="s">
        <v>94</v>
      </c>
      <c r="O425" s="8">
        <v>0</v>
      </c>
      <c r="P425" s="8" t="s">
        <v>95</v>
      </c>
      <c r="Q425" s="8">
        <v>1</v>
      </c>
      <c r="R425" s="8" t="s">
        <v>95</v>
      </c>
      <c r="S425" s="8">
        <v>1</v>
      </c>
      <c r="T425" s="8" t="s">
        <v>95</v>
      </c>
      <c r="U425" s="8">
        <v>1</v>
      </c>
      <c r="V425" s="8" t="s">
        <v>95</v>
      </c>
      <c r="W425" s="8">
        <v>1</v>
      </c>
      <c r="X425" s="8" t="s">
        <v>95</v>
      </c>
      <c r="Y425" s="8">
        <v>1</v>
      </c>
      <c r="Z425" s="8" t="s">
        <v>95</v>
      </c>
      <c r="AA425" s="8">
        <v>1</v>
      </c>
      <c r="AB425" s="8" t="s">
        <v>95</v>
      </c>
      <c r="AC425" s="8">
        <v>1</v>
      </c>
      <c r="AD425" s="8" t="s">
        <v>95</v>
      </c>
      <c r="AE425" s="8">
        <v>1</v>
      </c>
      <c r="AF425" s="8" t="s">
        <v>94</v>
      </c>
      <c r="AG425" s="8">
        <v>0</v>
      </c>
      <c r="AH425" s="8" t="s">
        <v>95</v>
      </c>
      <c r="AI425" s="8">
        <v>1</v>
      </c>
      <c r="AJ425" s="8" t="s">
        <v>95</v>
      </c>
      <c r="AK425" s="8">
        <v>1</v>
      </c>
      <c r="AL425" s="8" t="s">
        <v>95</v>
      </c>
      <c r="AM425" s="8">
        <v>1</v>
      </c>
      <c r="AN425" s="8">
        <v>13</v>
      </c>
    </row>
    <row r="426" spans="1:40" x14ac:dyDescent="0.25">
      <c r="A426" s="8" t="s">
        <v>486</v>
      </c>
      <c r="B426" s="9">
        <v>42033.660416666666</v>
      </c>
      <c r="C426" s="8">
        <v>0</v>
      </c>
      <c r="D426" s="9">
        <v>42040.200694444444</v>
      </c>
      <c r="E426" s="8" t="s">
        <v>93</v>
      </c>
      <c r="F426" s="8">
        <v>14</v>
      </c>
      <c r="G426" s="8" t="s">
        <v>94</v>
      </c>
      <c r="H426" s="8" t="s">
        <v>95</v>
      </c>
      <c r="I426" s="8">
        <v>1</v>
      </c>
      <c r="J426" s="8" t="s">
        <v>95</v>
      </c>
      <c r="K426" s="8">
        <v>1</v>
      </c>
      <c r="L426" s="8" t="s">
        <v>95</v>
      </c>
      <c r="M426" s="8">
        <v>1</v>
      </c>
      <c r="N426" s="8" t="s">
        <v>95</v>
      </c>
      <c r="O426" s="8">
        <v>1</v>
      </c>
      <c r="P426" s="8" t="s">
        <v>95</v>
      </c>
      <c r="Q426" s="8">
        <v>1</v>
      </c>
      <c r="R426" s="8" t="s">
        <v>95</v>
      </c>
      <c r="S426" s="8">
        <v>1</v>
      </c>
      <c r="T426" s="8" t="s">
        <v>95</v>
      </c>
      <c r="U426" s="8">
        <v>1</v>
      </c>
      <c r="V426" s="8" t="s">
        <v>95</v>
      </c>
      <c r="W426" s="8">
        <v>1</v>
      </c>
      <c r="X426" s="8" t="s">
        <v>95</v>
      </c>
      <c r="Y426" s="8">
        <v>1</v>
      </c>
      <c r="Z426" s="8" t="s">
        <v>95</v>
      </c>
      <c r="AA426" s="8">
        <v>1</v>
      </c>
      <c r="AB426" s="8" t="s">
        <v>95</v>
      </c>
      <c r="AC426" s="8">
        <v>1</v>
      </c>
      <c r="AD426" s="8" t="s">
        <v>95</v>
      </c>
      <c r="AE426" s="8">
        <v>1</v>
      </c>
      <c r="AF426" s="8" t="s">
        <v>94</v>
      </c>
      <c r="AG426" s="8">
        <v>0</v>
      </c>
      <c r="AH426" s="8" t="s">
        <v>95</v>
      </c>
      <c r="AI426" s="8">
        <v>1</v>
      </c>
      <c r="AJ426" s="8" t="s">
        <v>95</v>
      </c>
      <c r="AK426" s="8">
        <v>1</v>
      </c>
      <c r="AL426" s="8" t="s">
        <v>94</v>
      </c>
      <c r="AM426" s="8">
        <v>0</v>
      </c>
      <c r="AN426" s="8">
        <v>14</v>
      </c>
    </row>
    <row r="427" spans="1:40" x14ac:dyDescent="0.25">
      <c r="A427" s="8" t="s">
        <v>487</v>
      </c>
      <c r="B427" s="9">
        <v>42033.665277777778</v>
      </c>
      <c r="C427" s="8">
        <v>0</v>
      </c>
      <c r="D427" s="9">
        <v>42040.202777777777</v>
      </c>
      <c r="E427" s="8" t="s">
        <v>93</v>
      </c>
      <c r="F427" s="8">
        <v>16</v>
      </c>
      <c r="G427" s="8" t="s">
        <v>94</v>
      </c>
      <c r="H427" s="8" t="s">
        <v>95</v>
      </c>
      <c r="I427" s="8">
        <v>1</v>
      </c>
      <c r="J427" s="8" t="s">
        <v>95</v>
      </c>
      <c r="K427" s="8">
        <v>1</v>
      </c>
      <c r="L427" s="8" t="s">
        <v>95</v>
      </c>
      <c r="M427" s="8">
        <v>1</v>
      </c>
      <c r="N427" s="8" t="s">
        <v>95</v>
      </c>
      <c r="O427" s="8">
        <v>1</v>
      </c>
      <c r="P427" s="8" t="s">
        <v>95</v>
      </c>
      <c r="Q427" s="8">
        <v>1</v>
      </c>
      <c r="R427" s="8" t="s">
        <v>95</v>
      </c>
      <c r="S427" s="8">
        <v>1</v>
      </c>
      <c r="T427" s="8" t="s">
        <v>95</v>
      </c>
      <c r="U427" s="8">
        <v>1</v>
      </c>
      <c r="V427" s="8" t="s">
        <v>95</v>
      </c>
      <c r="W427" s="8">
        <v>1</v>
      </c>
      <c r="X427" s="8" t="s">
        <v>95</v>
      </c>
      <c r="Y427" s="8">
        <v>1</v>
      </c>
      <c r="Z427" s="8" t="s">
        <v>95</v>
      </c>
      <c r="AA427" s="8">
        <v>1</v>
      </c>
      <c r="AB427" s="8" t="s">
        <v>95</v>
      </c>
      <c r="AC427" s="8">
        <v>1</v>
      </c>
      <c r="AD427" s="8" t="s">
        <v>95</v>
      </c>
      <c r="AE427" s="8">
        <v>1</v>
      </c>
      <c r="AF427" s="8" t="s">
        <v>95</v>
      </c>
      <c r="AG427" s="8">
        <v>1</v>
      </c>
      <c r="AH427" s="8" t="s">
        <v>95</v>
      </c>
      <c r="AI427" s="8">
        <v>1</v>
      </c>
      <c r="AJ427" s="8" t="s">
        <v>95</v>
      </c>
      <c r="AK427" s="8">
        <v>1</v>
      </c>
      <c r="AL427" s="8" t="s">
        <v>95</v>
      </c>
      <c r="AM427" s="8">
        <v>1</v>
      </c>
      <c r="AN427" s="8">
        <v>16</v>
      </c>
    </row>
    <row r="428" spans="1:40" x14ac:dyDescent="0.25">
      <c r="A428" s="8" t="s">
        <v>488</v>
      </c>
      <c r="B428" s="9">
        <v>42033.663888888892</v>
      </c>
      <c r="C428" s="8">
        <v>0</v>
      </c>
      <c r="D428" s="9">
        <v>42040.213888888888</v>
      </c>
      <c r="E428" s="8" t="s">
        <v>93</v>
      </c>
      <c r="F428" s="8">
        <v>15</v>
      </c>
      <c r="G428" s="8" t="s">
        <v>94</v>
      </c>
      <c r="H428" s="8" t="s">
        <v>95</v>
      </c>
      <c r="I428" s="8">
        <v>1</v>
      </c>
      <c r="J428" s="8" t="s">
        <v>95</v>
      </c>
      <c r="K428" s="8">
        <v>1</v>
      </c>
      <c r="L428" s="8" t="s">
        <v>95</v>
      </c>
      <c r="M428" s="8">
        <v>1</v>
      </c>
      <c r="N428" s="8" t="s">
        <v>95</v>
      </c>
      <c r="O428" s="8">
        <v>1</v>
      </c>
      <c r="P428" s="8" t="s">
        <v>95</v>
      </c>
      <c r="Q428" s="8">
        <v>1</v>
      </c>
      <c r="R428" s="8" t="s">
        <v>95</v>
      </c>
      <c r="S428" s="8">
        <v>1</v>
      </c>
      <c r="T428" s="8" t="s">
        <v>95</v>
      </c>
      <c r="U428" s="8">
        <v>1</v>
      </c>
      <c r="V428" s="8" t="s">
        <v>95</v>
      </c>
      <c r="W428" s="8">
        <v>1</v>
      </c>
      <c r="X428" s="8" t="s">
        <v>95</v>
      </c>
      <c r="Y428" s="8">
        <v>1</v>
      </c>
      <c r="Z428" s="8" t="s">
        <v>95</v>
      </c>
      <c r="AA428" s="8">
        <v>1</v>
      </c>
      <c r="AB428" s="8" t="s">
        <v>95</v>
      </c>
      <c r="AC428" s="8">
        <v>1</v>
      </c>
      <c r="AD428" s="8" t="s">
        <v>94</v>
      </c>
      <c r="AE428" s="8">
        <v>0</v>
      </c>
      <c r="AF428" s="8" t="s">
        <v>95</v>
      </c>
      <c r="AG428" s="8">
        <v>1</v>
      </c>
      <c r="AH428" s="8" t="s">
        <v>95</v>
      </c>
      <c r="AI428" s="8">
        <v>1</v>
      </c>
      <c r="AJ428" s="8" t="s">
        <v>95</v>
      </c>
      <c r="AK428" s="8">
        <v>1</v>
      </c>
      <c r="AL428" s="8" t="s">
        <v>95</v>
      </c>
      <c r="AM428" s="8">
        <v>1</v>
      </c>
      <c r="AN428" s="8">
        <v>15</v>
      </c>
    </row>
    <row r="429" spans="1:40" x14ac:dyDescent="0.25">
      <c r="A429" s="8" t="s">
        <v>489</v>
      </c>
      <c r="B429" s="9">
        <v>42033.650694444441</v>
      </c>
      <c r="C429" s="8">
        <v>0</v>
      </c>
      <c r="D429" s="9">
        <v>42040.218055555553</v>
      </c>
      <c r="E429" s="8" t="s">
        <v>93</v>
      </c>
      <c r="F429" s="8">
        <v>13</v>
      </c>
      <c r="G429" s="8" t="s">
        <v>94</v>
      </c>
      <c r="H429" s="8" t="s">
        <v>95</v>
      </c>
      <c r="I429" s="8">
        <v>1</v>
      </c>
      <c r="J429" s="8" t="s">
        <v>95</v>
      </c>
      <c r="K429" s="8">
        <v>1</v>
      </c>
      <c r="L429" s="8" t="s">
        <v>95</v>
      </c>
      <c r="M429" s="8">
        <v>1</v>
      </c>
      <c r="N429" s="8" t="s">
        <v>95</v>
      </c>
      <c r="O429" s="8">
        <v>1</v>
      </c>
      <c r="P429" s="8" t="s">
        <v>95</v>
      </c>
      <c r="Q429" s="8">
        <v>1</v>
      </c>
      <c r="R429" s="8" t="s">
        <v>95</v>
      </c>
      <c r="S429" s="8">
        <v>1</v>
      </c>
      <c r="T429" s="8" t="s">
        <v>95</v>
      </c>
      <c r="U429" s="8">
        <v>1</v>
      </c>
      <c r="V429" s="8" t="s">
        <v>95</v>
      </c>
      <c r="W429" s="8">
        <v>1</v>
      </c>
      <c r="X429" s="8" t="s">
        <v>94</v>
      </c>
      <c r="Y429" s="8">
        <v>0</v>
      </c>
      <c r="Z429" s="8" t="s">
        <v>94</v>
      </c>
      <c r="AA429" s="8">
        <v>0</v>
      </c>
      <c r="AB429" s="8" t="s">
        <v>94</v>
      </c>
      <c r="AC429" s="8">
        <v>0</v>
      </c>
      <c r="AD429" s="8" t="s">
        <v>95</v>
      </c>
      <c r="AE429" s="8">
        <v>1</v>
      </c>
      <c r="AF429" s="8" t="s">
        <v>95</v>
      </c>
      <c r="AG429" s="8">
        <v>1</v>
      </c>
      <c r="AH429" s="8" t="s">
        <v>95</v>
      </c>
      <c r="AI429" s="8">
        <v>1</v>
      </c>
      <c r="AJ429" s="8" t="s">
        <v>95</v>
      </c>
      <c r="AK429" s="8">
        <v>1</v>
      </c>
      <c r="AL429" s="8" t="s">
        <v>95</v>
      </c>
      <c r="AM429" s="8">
        <v>1</v>
      </c>
      <c r="AN429" s="8">
        <v>13</v>
      </c>
    </row>
    <row r="430" spans="1:40" x14ac:dyDescent="0.25">
      <c r="A430" s="8" t="s">
        <v>490</v>
      </c>
      <c r="B430" s="9">
        <v>42033.679166666669</v>
      </c>
      <c r="C430" s="8">
        <v>0</v>
      </c>
      <c r="D430" s="9">
        <v>42040.218055555553</v>
      </c>
      <c r="E430" s="8" t="s">
        <v>93</v>
      </c>
      <c r="F430" s="8">
        <v>15</v>
      </c>
      <c r="G430" s="8" t="s">
        <v>94</v>
      </c>
      <c r="H430" s="8" t="s">
        <v>95</v>
      </c>
      <c r="I430" s="8">
        <v>1</v>
      </c>
      <c r="J430" s="8" t="s">
        <v>95</v>
      </c>
      <c r="K430" s="8">
        <v>1</v>
      </c>
      <c r="L430" s="8" t="s">
        <v>95</v>
      </c>
      <c r="M430" s="8">
        <v>1</v>
      </c>
      <c r="N430" s="8" t="s">
        <v>95</v>
      </c>
      <c r="O430" s="8">
        <v>1</v>
      </c>
      <c r="P430" s="8" t="s">
        <v>95</v>
      </c>
      <c r="Q430" s="8">
        <v>1</v>
      </c>
      <c r="R430" s="8" t="s">
        <v>95</v>
      </c>
      <c r="S430" s="8">
        <v>1</v>
      </c>
      <c r="T430" s="8" t="s">
        <v>95</v>
      </c>
      <c r="U430" s="8">
        <v>1</v>
      </c>
      <c r="V430" s="8" t="s">
        <v>95</v>
      </c>
      <c r="W430" s="8">
        <v>1</v>
      </c>
      <c r="X430" s="8" t="s">
        <v>95</v>
      </c>
      <c r="Y430" s="8">
        <v>1</v>
      </c>
      <c r="Z430" s="8" t="s">
        <v>95</v>
      </c>
      <c r="AA430" s="8">
        <v>1</v>
      </c>
      <c r="AB430" s="8" t="s">
        <v>95</v>
      </c>
      <c r="AC430" s="8">
        <v>1</v>
      </c>
      <c r="AD430" s="8" t="s">
        <v>95</v>
      </c>
      <c r="AE430" s="8">
        <v>1</v>
      </c>
      <c r="AF430" s="8" t="s">
        <v>95</v>
      </c>
      <c r="AG430" s="8">
        <v>1</v>
      </c>
      <c r="AH430" s="8" t="s">
        <v>95</v>
      </c>
      <c r="AI430" s="8">
        <v>1</v>
      </c>
      <c r="AJ430" s="8" t="s">
        <v>95</v>
      </c>
      <c r="AK430" s="8">
        <v>1</v>
      </c>
      <c r="AL430" s="8" t="s">
        <v>94</v>
      </c>
      <c r="AM430" s="8">
        <v>0</v>
      </c>
      <c r="AN430" s="8">
        <v>15</v>
      </c>
    </row>
    <row r="431" spans="1:40" x14ac:dyDescent="0.25">
      <c r="A431" s="8" t="s">
        <v>491</v>
      </c>
      <c r="B431" s="9">
        <v>42033.675694444442</v>
      </c>
      <c r="C431" s="8">
        <v>0</v>
      </c>
      <c r="D431" s="9">
        <v>42040.226388888892</v>
      </c>
      <c r="E431" s="8" t="s">
        <v>93</v>
      </c>
      <c r="F431" s="8">
        <v>16</v>
      </c>
      <c r="G431" s="8" t="s">
        <v>94</v>
      </c>
      <c r="H431" s="8" t="s">
        <v>95</v>
      </c>
      <c r="I431" s="8">
        <v>1</v>
      </c>
      <c r="J431" s="8" t="s">
        <v>95</v>
      </c>
      <c r="K431" s="8">
        <v>1</v>
      </c>
      <c r="L431" s="8" t="s">
        <v>95</v>
      </c>
      <c r="M431" s="8">
        <v>1</v>
      </c>
      <c r="N431" s="8" t="s">
        <v>95</v>
      </c>
      <c r="O431" s="8">
        <v>1</v>
      </c>
      <c r="P431" s="8" t="s">
        <v>95</v>
      </c>
      <c r="Q431" s="8">
        <v>1</v>
      </c>
      <c r="R431" s="8" t="s">
        <v>95</v>
      </c>
      <c r="S431" s="8">
        <v>1</v>
      </c>
      <c r="T431" s="8" t="s">
        <v>95</v>
      </c>
      <c r="U431" s="8">
        <v>1</v>
      </c>
      <c r="V431" s="8" t="s">
        <v>95</v>
      </c>
      <c r="W431" s="8">
        <v>1</v>
      </c>
      <c r="X431" s="8" t="s">
        <v>95</v>
      </c>
      <c r="Y431" s="8">
        <v>1</v>
      </c>
      <c r="Z431" s="8" t="s">
        <v>95</v>
      </c>
      <c r="AA431" s="8">
        <v>1</v>
      </c>
      <c r="AB431" s="8" t="s">
        <v>95</v>
      </c>
      <c r="AC431" s="8">
        <v>1</v>
      </c>
      <c r="AD431" s="8" t="s">
        <v>95</v>
      </c>
      <c r="AE431" s="8">
        <v>1</v>
      </c>
      <c r="AF431" s="8" t="s">
        <v>95</v>
      </c>
      <c r="AG431" s="8">
        <v>1</v>
      </c>
      <c r="AH431" s="8" t="s">
        <v>95</v>
      </c>
      <c r="AI431" s="8">
        <v>1</v>
      </c>
      <c r="AJ431" s="8" t="s">
        <v>95</v>
      </c>
      <c r="AK431" s="8">
        <v>1</v>
      </c>
      <c r="AL431" s="8" t="s">
        <v>95</v>
      </c>
      <c r="AM431" s="8">
        <v>1</v>
      </c>
      <c r="AN431" s="8">
        <v>16</v>
      </c>
    </row>
    <row r="432" spans="1:40" x14ac:dyDescent="0.25">
      <c r="A432" s="8" t="s">
        <v>492</v>
      </c>
      <c r="B432" s="9">
        <v>42033.663888888892</v>
      </c>
      <c r="C432" s="8">
        <v>0</v>
      </c>
      <c r="D432" s="9">
        <v>42040.229861111111</v>
      </c>
      <c r="E432" s="8" t="s">
        <v>93</v>
      </c>
      <c r="F432" s="8">
        <v>12</v>
      </c>
      <c r="G432" s="8" t="s">
        <v>94</v>
      </c>
      <c r="H432" s="8" t="s">
        <v>94</v>
      </c>
      <c r="I432" s="8">
        <v>0</v>
      </c>
      <c r="J432" s="8" t="s">
        <v>94</v>
      </c>
      <c r="K432" s="8">
        <v>0</v>
      </c>
      <c r="L432" s="8" t="s">
        <v>95</v>
      </c>
      <c r="M432" s="8">
        <v>1</v>
      </c>
      <c r="N432" s="8" t="s">
        <v>95</v>
      </c>
      <c r="O432" s="8">
        <v>1</v>
      </c>
      <c r="P432" s="8" t="s">
        <v>95</v>
      </c>
      <c r="Q432" s="8">
        <v>1</v>
      </c>
      <c r="R432" s="8" t="s">
        <v>95</v>
      </c>
      <c r="S432" s="8">
        <v>1</v>
      </c>
      <c r="T432" s="8" t="s">
        <v>95</v>
      </c>
      <c r="U432" s="8">
        <v>1</v>
      </c>
      <c r="V432" s="8" t="s">
        <v>95</v>
      </c>
      <c r="W432" s="8">
        <v>1</v>
      </c>
      <c r="X432" s="8" t="s">
        <v>95</v>
      </c>
      <c r="Y432" s="8">
        <v>1</v>
      </c>
      <c r="Z432" s="8" t="s">
        <v>95</v>
      </c>
      <c r="AA432" s="8">
        <v>1</v>
      </c>
      <c r="AB432" s="8" t="s">
        <v>95</v>
      </c>
      <c r="AC432" s="8">
        <v>1</v>
      </c>
      <c r="AD432" s="8" t="s">
        <v>95</v>
      </c>
      <c r="AE432" s="8">
        <v>1</v>
      </c>
      <c r="AF432" s="8" t="s">
        <v>94</v>
      </c>
      <c r="AG432" s="8">
        <v>0</v>
      </c>
      <c r="AH432" s="8" t="s">
        <v>95</v>
      </c>
      <c r="AI432" s="8">
        <v>1</v>
      </c>
      <c r="AJ432" s="8" t="s">
        <v>95</v>
      </c>
      <c r="AK432" s="8">
        <v>1</v>
      </c>
      <c r="AL432" s="8" t="s">
        <v>94</v>
      </c>
      <c r="AM432" s="8">
        <v>0</v>
      </c>
      <c r="AN432" s="8">
        <v>12</v>
      </c>
    </row>
    <row r="433" spans="1:40" x14ac:dyDescent="0.25">
      <c r="A433" s="8" t="s">
        <v>493</v>
      </c>
      <c r="B433" s="9">
        <v>42033.67291666667</v>
      </c>
      <c r="C433" s="8">
        <v>0</v>
      </c>
      <c r="D433" s="9">
        <v>42040.234722222223</v>
      </c>
      <c r="E433" s="8" t="s">
        <v>93</v>
      </c>
      <c r="F433" s="8">
        <v>16</v>
      </c>
      <c r="G433" s="8" t="s">
        <v>94</v>
      </c>
      <c r="H433" s="8" t="s">
        <v>95</v>
      </c>
      <c r="I433" s="8">
        <v>1</v>
      </c>
      <c r="J433" s="8" t="s">
        <v>95</v>
      </c>
      <c r="K433" s="8">
        <v>1</v>
      </c>
      <c r="L433" s="8" t="s">
        <v>95</v>
      </c>
      <c r="M433" s="8">
        <v>1</v>
      </c>
      <c r="N433" s="8" t="s">
        <v>95</v>
      </c>
      <c r="O433" s="8">
        <v>1</v>
      </c>
      <c r="P433" s="8" t="s">
        <v>95</v>
      </c>
      <c r="Q433" s="8">
        <v>1</v>
      </c>
      <c r="R433" s="8" t="s">
        <v>95</v>
      </c>
      <c r="S433" s="8">
        <v>1</v>
      </c>
      <c r="T433" s="8" t="s">
        <v>95</v>
      </c>
      <c r="U433" s="8">
        <v>1</v>
      </c>
      <c r="V433" s="8" t="s">
        <v>95</v>
      </c>
      <c r="W433" s="8">
        <v>1</v>
      </c>
      <c r="X433" s="8" t="s">
        <v>95</v>
      </c>
      <c r="Y433" s="8">
        <v>1</v>
      </c>
      <c r="Z433" s="8" t="s">
        <v>95</v>
      </c>
      <c r="AA433" s="8">
        <v>1</v>
      </c>
      <c r="AB433" s="8" t="s">
        <v>95</v>
      </c>
      <c r="AC433" s="8">
        <v>1</v>
      </c>
      <c r="AD433" s="8" t="s">
        <v>95</v>
      </c>
      <c r="AE433" s="8">
        <v>1</v>
      </c>
      <c r="AF433" s="8" t="s">
        <v>95</v>
      </c>
      <c r="AG433" s="8">
        <v>1</v>
      </c>
      <c r="AH433" s="8" t="s">
        <v>95</v>
      </c>
      <c r="AI433" s="8">
        <v>1</v>
      </c>
      <c r="AJ433" s="8" t="s">
        <v>95</v>
      </c>
      <c r="AK433" s="8">
        <v>1</v>
      </c>
      <c r="AL433" s="8" t="s">
        <v>95</v>
      </c>
      <c r="AM433" s="8">
        <v>1</v>
      </c>
      <c r="AN433" s="8">
        <v>16</v>
      </c>
    </row>
    <row r="434" spans="1:40" x14ac:dyDescent="0.25">
      <c r="A434" s="8" t="s">
        <v>494</v>
      </c>
      <c r="B434" s="9">
        <v>42033.661111111112</v>
      </c>
      <c r="C434" s="8">
        <v>0</v>
      </c>
      <c r="D434" s="9">
        <v>42040.240277777775</v>
      </c>
      <c r="E434" s="8" t="s">
        <v>93</v>
      </c>
      <c r="F434" s="8">
        <v>11</v>
      </c>
      <c r="G434" s="8" t="s">
        <v>94</v>
      </c>
      <c r="H434" s="8" t="s">
        <v>95</v>
      </c>
      <c r="I434" s="8">
        <v>1</v>
      </c>
      <c r="J434" s="8" t="s">
        <v>95</v>
      </c>
      <c r="K434" s="8">
        <v>1</v>
      </c>
      <c r="L434" s="8" t="s">
        <v>95</v>
      </c>
      <c r="M434" s="8">
        <v>1</v>
      </c>
      <c r="N434" s="8" t="s">
        <v>95</v>
      </c>
      <c r="O434" s="8">
        <v>1</v>
      </c>
      <c r="P434" s="8" t="s">
        <v>94</v>
      </c>
      <c r="Q434" s="8">
        <v>0</v>
      </c>
      <c r="R434" s="8" t="s">
        <v>94</v>
      </c>
      <c r="S434" s="8">
        <v>0</v>
      </c>
      <c r="T434" s="8" t="s">
        <v>94</v>
      </c>
      <c r="U434" s="8">
        <v>0</v>
      </c>
      <c r="V434" s="8" t="s">
        <v>95</v>
      </c>
      <c r="W434" s="8">
        <v>1</v>
      </c>
      <c r="X434" s="8" t="s">
        <v>95</v>
      </c>
      <c r="Y434" s="8">
        <v>1</v>
      </c>
      <c r="Z434" s="8" t="s">
        <v>95</v>
      </c>
      <c r="AA434" s="8">
        <v>1</v>
      </c>
      <c r="AB434" s="8" t="s">
        <v>95</v>
      </c>
      <c r="AC434" s="8">
        <v>1</v>
      </c>
      <c r="AD434" s="8" t="s">
        <v>95</v>
      </c>
      <c r="AE434" s="8">
        <v>1</v>
      </c>
      <c r="AF434" s="8" t="s">
        <v>94</v>
      </c>
      <c r="AG434" s="8">
        <v>0</v>
      </c>
      <c r="AH434" s="8" t="s">
        <v>95</v>
      </c>
      <c r="AI434" s="8">
        <v>1</v>
      </c>
      <c r="AJ434" s="8" t="s">
        <v>95</v>
      </c>
      <c r="AK434" s="8">
        <v>1</v>
      </c>
      <c r="AL434" s="8" t="s">
        <v>94</v>
      </c>
      <c r="AM434" s="8">
        <v>0</v>
      </c>
      <c r="AN434" s="8">
        <v>11</v>
      </c>
    </row>
    <row r="435" spans="1:40" x14ac:dyDescent="0.25">
      <c r="A435" s="8" t="s">
        <v>495</v>
      </c>
      <c r="B435" s="9">
        <v>42033.67083333333</v>
      </c>
      <c r="C435" s="8">
        <v>0</v>
      </c>
      <c r="D435" s="9">
        <v>42040.25277777778</v>
      </c>
      <c r="E435" s="8" t="s">
        <v>93</v>
      </c>
      <c r="F435" s="8">
        <v>16</v>
      </c>
      <c r="G435" s="8" t="s">
        <v>94</v>
      </c>
      <c r="H435" s="8" t="s">
        <v>95</v>
      </c>
      <c r="I435" s="8">
        <v>1</v>
      </c>
      <c r="J435" s="8" t="s">
        <v>95</v>
      </c>
      <c r="K435" s="8">
        <v>1</v>
      </c>
      <c r="L435" s="8" t="s">
        <v>95</v>
      </c>
      <c r="M435" s="8">
        <v>1</v>
      </c>
      <c r="N435" s="8" t="s">
        <v>95</v>
      </c>
      <c r="O435" s="8">
        <v>1</v>
      </c>
      <c r="P435" s="8" t="s">
        <v>95</v>
      </c>
      <c r="Q435" s="8">
        <v>1</v>
      </c>
      <c r="R435" s="8" t="s">
        <v>95</v>
      </c>
      <c r="S435" s="8">
        <v>1</v>
      </c>
      <c r="T435" s="8" t="s">
        <v>95</v>
      </c>
      <c r="U435" s="8">
        <v>1</v>
      </c>
      <c r="V435" s="8" t="s">
        <v>95</v>
      </c>
      <c r="W435" s="8">
        <v>1</v>
      </c>
      <c r="X435" s="8" t="s">
        <v>95</v>
      </c>
      <c r="Y435" s="8">
        <v>1</v>
      </c>
      <c r="Z435" s="8" t="s">
        <v>95</v>
      </c>
      <c r="AA435" s="8">
        <v>1</v>
      </c>
      <c r="AB435" s="8" t="s">
        <v>95</v>
      </c>
      <c r="AC435" s="8">
        <v>1</v>
      </c>
      <c r="AD435" s="8" t="s">
        <v>95</v>
      </c>
      <c r="AE435" s="8">
        <v>1</v>
      </c>
      <c r="AF435" s="8" t="s">
        <v>95</v>
      </c>
      <c r="AG435" s="8">
        <v>1</v>
      </c>
      <c r="AH435" s="8" t="s">
        <v>95</v>
      </c>
      <c r="AI435" s="8">
        <v>1</v>
      </c>
      <c r="AJ435" s="8" t="s">
        <v>95</v>
      </c>
      <c r="AK435" s="8">
        <v>1</v>
      </c>
      <c r="AL435" s="8" t="s">
        <v>95</v>
      </c>
      <c r="AM435" s="8">
        <v>1</v>
      </c>
      <c r="AN435" s="8">
        <v>16</v>
      </c>
    </row>
    <row r="436" spans="1:40" x14ac:dyDescent="0.25">
      <c r="A436" s="8" t="s">
        <v>496</v>
      </c>
      <c r="B436" s="9">
        <v>42033.662499999999</v>
      </c>
      <c r="C436" s="8">
        <v>0</v>
      </c>
      <c r="D436" s="9">
        <v>42040.254166666666</v>
      </c>
      <c r="E436" s="8" t="s">
        <v>93</v>
      </c>
      <c r="F436" s="8">
        <v>1</v>
      </c>
      <c r="G436" s="8" t="s">
        <v>94</v>
      </c>
      <c r="H436" s="8" t="s">
        <v>94</v>
      </c>
      <c r="I436" s="8">
        <v>0</v>
      </c>
      <c r="J436" s="8" t="s">
        <v>94</v>
      </c>
      <c r="K436" s="8">
        <v>0</v>
      </c>
      <c r="L436" s="8" t="s">
        <v>94</v>
      </c>
      <c r="M436" s="8">
        <v>0</v>
      </c>
      <c r="N436" s="8" t="s">
        <v>94</v>
      </c>
      <c r="O436" s="8">
        <v>0</v>
      </c>
      <c r="P436" s="8" t="s">
        <v>94</v>
      </c>
      <c r="Q436" s="8">
        <v>0</v>
      </c>
      <c r="R436" s="8" t="s">
        <v>94</v>
      </c>
      <c r="S436" s="8">
        <v>0</v>
      </c>
      <c r="T436" s="8" t="s">
        <v>94</v>
      </c>
      <c r="U436" s="8">
        <v>0</v>
      </c>
      <c r="V436" s="8" t="s">
        <v>94</v>
      </c>
      <c r="W436" s="8">
        <v>0</v>
      </c>
      <c r="X436" s="8" t="s">
        <v>94</v>
      </c>
      <c r="Y436" s="8">
        <v>0</v>
      </c>
      <c r="Z436" s="8" t="s">
        <v>94</v>
      </c>
      <c r="AA436" s="8">
        <v>0</v>
      </c>
      <c r="AB436" s="8" t="s">
        <v>94</v>
      </c>
      <c r="AC436" s="8">
        <v>0</v>
      </c>
      <c r="AD436" s="8" t="s">
        <v>94</v>
      </c>
      <c r="AE436" s="8">
        <v>0</v>
      </c>
      <c r="AF436" s="8" t="s">
        <v>94</v>
      </c>
      <c r="AG436" s="8">
        <v>0</v>
      </c>
      <c r="AH436" s="8" t="s">
        <v>94</v>
      </c>
      <c r="AI436" s="8">
        <v>0</v>
      </c>
      <c r="AJ436" s="8" t="s">
        <v>95</v>
      </c>
      <c r="AK436" s="8">
        <v>1</v>
      </c>
      <c r="AL436" s="8" t="s">
        <v>94</v>
      </c>
      <c r="AM436" s="8">
        <v>0</v>
      </c>
      <c r="AN436" s="8">
        <v>1</v>
      </c>
    </row>
    <row r="437" spans="1:40" x14ac:dyDescent="0.25">
      <c r="A437" s="8" t="s">
        <v>497</v>
      </c>
      <c r="B437" s="9">
        <v>42033.684027777781</v>
      </c>
      <c r="C437" s="8">
        <v>0</v>
      </c>
      <c r="D437" s="9">
        <v>42040.3</v>
      </c>
      <c r="E437" s="8" t="s">
        <v>93</v>
      </c>
      <c r="F437" s="8">
        <v>13</v>
      </c>
      <c r="G437" s="8" t="s">
        <v>94</v>
      </c>
      <c r="H437" s="8" t="s">
        <v>95</v>
      </c>
      <c r="I437" s="8">
        <v>1</v>
      </c>
      <c r="J437" s="8" t="s">
        <v>94</v>
      </c>
      <c r="K437" s="8">
        <v>0</v>
      </c>
      <c r="L437" s="8" t="s">
        <v>95</v>
      </c>
      <c r="M437" s="8">
        <v>1</v>
      </c>
      <c r="N437" s="8" t="s">
        <v>95</v>
      </c>
      <c r="O437" s="8">
        <v>1</v>
      </c>
      <c r="P437" s="8" t="s">
        <v>95</v>
      </c>
      <c r="Q437" s="8">
        <v>1</v>
      </c>
      <c r="R437" s="8" t="s">
        <v>95</v>
      </c>
      <c r="S437" s="8">
        <v>1</v>
      </c>
      <c r="T437" s="8" t="s">
        <v>94</v>
      </c>
      <c r="U437" s="8">
        <v>0</v>
      </c>
      <c r="V437" s="8" t="s">
        <v>94</v>
      </c>
      <c r="W437" s="8">
        <v>0</v>
      </c>
      <c r="X437" s="8" t="s">
        <v>95</v>
      </c>
      <c r="Y437" s="8">
        <v>1</v>
      </c>
      <c r="Z437" s="8" t="s">
        <v>95</v>
      </c>
      <c r="AA437" s="8">
        <v>1</v>
      </c>
      <c r="AB437" s="8" t="s">
        <v>95</v>
      </c>
      <c r="AC437" s="8">
        <v>1</v>
      </c>
      <c r="AD437" s="8" t="s">
        <v>95</v>
      </c>
      <c r="AE437" s="8">
        <v>1</v>
      </c>
      <c r="AF437" s="8" t="s">
        <v>95</v>
      </c>
      <c r="AG437" s="8">
        <v>1</v>
      </c>
      <c r="AH437" s="8" t="s">
        <v>95</v>
      </c>
      <c r="AI437" s="8">
        <v>1</v>
      </c>
      <c r="AJ437" s="8" t="s">
        <v>95</v>
      </c>
      <c r="AK437" s="8">
        <v>1</v>
      </c>
      <c r="AL437" s="8" t="s">
        <v>95</v>
      </c>
      <c r="AM437" s="8">
        <v>1</v>
      </c>
      <c r="AN437" s="8">
        <v>13</v>
      </c>
    </row>
    <row r="438" spans="1:40" x14ac:dyDescent="0.25">
      <c r="A438" s="8" t="s">
        <v>498</v>
      </c>
      <c r="B438" s="9">
        <v>42033.678472222222</v>
      </c>
      <c r="C438" s="8">
        <v>0</v>
      </c>
      <c r="D438" s="9">
        <v>42040.300694444442</v>
      </c>
      <c r="E438" s="8" t="s">
        <v>93</v>
      </c>
      <c r="F438" s="8">
        <v>9</v>
      </c>
      <c r="G438" s="8" t="s">
        <v>94</v>
      </c>
      <c r="H438" s="8" t="s">
        <v>95</v>
      </c>
      <c r="I438" s="8">
        <v>1</v>
      </c>
      <c r="J438" s="8" t="s">
        <v>95</v>
      </c>
      <c r="K438" s="8">
        <v>1</v>
      </c>
      <c r="L438" s="8" t="s">
        <v>94</v>
      </c>
      <c r="M438" s="8">
        <v>0</v>
      </c>
      <c r="N438" s="8" t="s">
        <v>94</v>
      </c>
      <c r="O438" s="8">
        <v>0</v>
      </c>
      <c r="P438" s="8" t="s">
        <v>95</v>
      </c>
      <c r="Q438" s="8">
        <v>1</v>
      </c>
      <c r="R438" s="8" t="s">
        <v>95</v>
      </c>
      <c r="S438" s="8">
        <v>1</v>
      </c>
      <c r="T438" s="8" t="s">
        <v>95</v>
      </c>
      <c r="U438" s="8">
        <v>1</v>
      </c>
      <c r="V438" s="8" t="s">
        <v>94</v>
      </c>
      <c r="W438" s="8">
        <v>0</v>
      </c>
      <c r="X438" s="8" t="s">
        <v>94</v>
      </c>
      <c r="Y438" s="8">
        <v>0</v>
      </c>
      <c r="Z438" s="8" t="s">
        <v>95</v>
      </c>
      <c r="AA438" s="8">
        <v>1</v>
      </c>
      <c r="AB438" s="8" t="s">
        <v>95</v>
      </c>
      <c r="AC438" s="8">
        <v>1</v>
      </c>
      <c r="AD438" s="8" t="s">
        <v>95</v>
      </c>
      <c r="AE438" s="8">
        <v>1</v>
      </c>
      <c r="AF438" s="8" t="s">
        <v>94</v>
      </c>
      <c r="AG438" s="8">
        <v>0</v>
      </c>
      <c r="AH438" s="8" t="s">
        <v>94</v>
      </c>
      <c r="AI438" s="8">
        <v>0</v>
      </c>
      <c r="AJ438" s="8" t="s">
        <v>95</v>
      </c>
      <c r="AK438" s="8">
        <v>1</v>
      </c>
      <c r="AL438" s="8" t="s">
        <v>94</v>
      </c>
      <c r="AM438" s="8">
        <v>0</v>
      </c>
      <c r="AN438" s="8">
        <v>9</v>
      </c>
    </row>
    <row r="439" spans="1:40" x14ac:dyDescent="0.25">
      <c r="A439" s="8" t="s">
        <v>499</v>
      </c>
      <c r="B439" s="9">
        <v>42033.664583333331</v>
      </c>
      <c r="C439" s="8">
        <v>0</v>
      </c>
      <c r="D439" s="9">
        <v>42040.334027777775</v>
      </c>
      <c r="E439" s="8" t="s">
        <v>93</v>
      </c>
      <c r="F439" s="8">
        <v>1</v>
      </c>
      <c r="G439" s="8" t="s">
        <v>94</v>
      </c>
      <c r="H439" s="8" t="s">
        <v>94</v>
      </c>
      <c r="I439" s="8">
        <v>0</v>
      </c>
      <c r="J439" s="8" t="s">
        <v>94</v>
      </c>
      <c r="K439" s="8">
        <v>0</v>
      </c>
      <c r="L439" s="8" t="s">
        <v>94</v>
      </c>
      <c r="M439" s="8">
        <v>0</v>
      </c>
      <c r="N439" s="8" t="s">
        <v>94</v>
      </c>
      <c r="O439" s="8">
        <v>0</v>
      </c>
      <c r="P439" s="8" t="s">
        <v>94</v>
      </c>
      <c r="Q439" s="8">
        <v>0</v>
      </c>
      <c r="R439" s="8" t="s">
        <v>94</v>
      </c>
      <c r="S439" s="8">
        <v>0</v>
      </c>
      <c r="T439" s="8" t="s">
        <v>94</v>
      </c>
      <c r="U439" s="8">
        <v>0</v>
      </c>
      <c r="V439" s="8" t="s">
        <v>94</v>
      </c>
      <c r="W439" s="8">
        <v>0</v>
      </c>
      <c r="X439" s="8" t="s">
        <v>94</v>
      </c>
      <c r="Y439" s="8">
        <v>0</v>
      </c>
      <c r="Z439" s="8" t="s">
        <v>94</v>
      </c>
      <c r="AA439" s="8">
        <v>0</v>
      </c>
      <c r="AB439" s="8" t="s">
        <v>94</v>
      </c>
      <c r="AC439" s="8">
        <v>0</v>
      </c>
      <c r="AD439" s="8" t="s">
        <v>95</v>
      </c>
      <c r="AE439" s="8">
        <v>1</v>
      </c>
      <c r="AF439" s="8" t="s">
        <v>94</v>
      </c>
      <c r="AG439" s="8">
        <v>0</v>
      </c>
      <c r="AH439" s="8" t="s">
        <v>94</v>
      </c>
      <c r="AI439" s="8">
        <v>0</v>
      </c>
      <c r="AJ439" s="8" t="s">
        <v>94</v>
      </c>
      <c r="AK439" s="8">
        <v>0</v>
      </c>
      <c r="AL439" s="8" t="s">
        <v>94</v>
      </c>
      <c r="AM439" s="8">
        <v>0</v>
      </c>
      <c r="AN439" s="8">
        <v>1</v>
      </c>
    </row>
    <row r="440" spans="1:40" x14ac:dyDescent="0.25">
      <c r="A440" s="8" t="s">
        <v>500</v>
      </c>
      <c r="B440" s="9">
        <v>42033.663194444445</v>
      </c>
      <c r="C440" s="8">
        <v>0</v>
      </c>
      <c r="D440" s="9">
        <v>42040.338888888888</v>
      </c>
      <c r="E440" s="8" t="s">
        <v>93</v>
      </c>
      <c r="F440" s="8">
        <v>16</v>
      </c>
      <c r="G440" s="8" t="s">
        <v>94</v>
      </c>
      <c r="H440" s="8" t="s">
        <v>95</v>
      </c>
      <c r="I440" s="8">
        <v>1</v>
      </c>
      <c r="J440" s="8" t="s">
        <v>95</v>
      </c>
      <c r="K440" s="8">
        <v>1</v>
      </c>
      <c r="L440" s="8" t="s">
        <v>95</v>
      </c>
      <c r="M440" s="8">
        <v>1</v>
      </c>
      <c r="N440" s="8" t="s">
        <v>95</v>
      </c>
      <c r="O440" s="8">
        <v>1</v>
      </c>
      <c r="P440" s="8" t="s">
        <v>95</v>
      </c>
      <c r="Q440" s="8">
        <v>1</v>
      </c>
      <c r="R440" s="8" t="s">
        <v>95</v>
      </c>
      <c r="S440" s="8">
        <v>1</v>
      </c>
      <c r="T440" s="8" t="s">
        <v>95</v>
      </c>
      <c r="U440" s="8">
        <v>1</v>
      </c>
      <c r="V440" s="8" t="s">
        <v>95</v>
      </c>
      <c r="W440" s="8">
        <v>1</v>
      </c>
      <c r="X440" s="8" t="s">
        <v>95</v>
      </c>
      <c r="Y440" s="8">
        <v>1</v>
      </c>
      <c r="Z440" s="8" t="s">
        <v>95</v>
      </c>
      <c r="AA440" s="8">
        <v>1</v>
      </c>
      <c r="AB440" s="8" t="s">
        <v>95</v>
      </c>
      <c r="AC440" s="8">
        <v>1</v>
      </c>
      <c r="AD440" s="8" t="s">
        <v>95</v>
      </c>
      <c r="AE440" s="8">
        <v>1</v>
      </c>
      <c r="AF440" s="8" t="s">
        <v>95</v>
      </c>
      <c r="AG440" s="8">
        <v>1</v>
      </c>
      <c r="AH440" s="8" t="s">
        <v>95</v>
      </c>
      <c r="AI440" s="8">
        <v>1</v>
      </c>
      <c r="AJ440" s="8" t="s">
        <v>95</v>
      </c>
      <c r="AK440" s="8">
        <v>1</v>
      </c>
      <c r="AL440" s="8" t="s">
        <v>95</v>
      </c>
      <c r="AM440" s="8">
        <v>1</v>
      </c>
      <c r="AN440" s="8">
        <v>16</v>
      </c>
    </row>
    <row r="441" spans="1:40" x14ac:dyDescent="0.25">
      <c r="A441" s="8" t="s">
        <v>501</v>
      </c>
      <c r="B441" s="9">
        <v>42033.662499999999</v>
      </c>
      <c r="C441" s="8">
        <v>0</v>
      </c>
      <c r="D441" s="9">
        <v>42040.344444444447</v>
      </c>
      <c r="E441" s="8" t="s">
        <v>93</v>
      </c>
      <c r="F441" s="8">
        <v>16</v>
      </c>
      <c r="G441" s="8" t="s">
        <v>94</v>
      </c>
      <c r="H441" s="8" t="s">
        <v>95</v>
      </c>
      <c r="I441" s="8">
        <v>1</v>
      </c>
      <c r="J441" s="8" t="s">
        <v>95</v>
      </c>
      <c r="K441" s="8">
        <v>1</v>
      </c>
      <c r="L441" s="8" t="s">
        <v>95</v>
      </c>
      <c r="M441" s="8">
        <v>1</v>
      </c>
      <c r="N441" s="8" t="s">
        <v>95</v>
      </c>
      <c r="O441" s="8">
        <v>1</v>
      </c>
      <c r="P441" s="8" t="s">
        <v>95</v>
      </c>
      <c r="Q441" s="8">
        <v>1</v>
      </c>
      <c r="R441" s="8" t="s">
        <v>95</v>
      </c>
      <c r="S441" s="8">
        <v>1</v>
      </c>
      <c r="T441" s="8" t="s">
        <v>95</v>
      </c>
      <c r="U441" s="8">
        <v>1</v>
      </c>
      <c r="V441" s="8" t="s">
        <v>95</v>
      </c>
      <c r="W441" s="8">
        <v>1</v>
      </c>
      <c r="X441" s="8" t="s">
        <v>95</v>
      </c>
      <c r="Y441" s="8">
        <v>1</v>
      </c>
      <c r="Z441" s="8" t="s">
        <v>95</v>
      </c>
      <c r="AA441" s="8">
        <v>1</v>
      </c>
      <c r="AB441" s="8" t="s">
        <v>95</v>
      </c>
      <c r="AC441" s="8">
        <v>1</v>
      </c>
      <c r="AD441" s="8" t="s">
        <v>95</v>
      </c>
      <c r="AE441" s="8">
        <v>1</v>
      </c>
      <c r="AF441" s="8" t="s">
        <v>95</v>
      </c>
      <c r="AG441" s="8">
        <v>1</v>
      </c>
      <c r="AH441" s="8" t="s">
        <v>95</v>
      </c>
      <c r="AI441" s="8">
        <v>1</v>
      </c>
      <c r="AJ441" s="8" t="s">
        <v>95</v>
      </c>
      <c r="AK441" s="8">
        <v>1</v>
      </c>
      <c r="AL441" s="8" t="s">
        <v>95</v>
      </c>
      <c r="AM441" s="8">
        <v>1</v>
      </c>
      <c r="AN441" s="8">
        <v>16</v>
      </c>
    </row>
    <row r="442" spans="1:40" x14ac:dyDescent="0.25">
      <c r="A442" s="8" t="s">
        <v>502</v>
      </c>
      <c r="B442" s="9">
        <v>42033.661805555559</v>
      </c>
      <c r="C442" s="8">
        <v>0</v>
      </c>
      <c r="D442" s="9">
        <v>42040.353472222225</v>
      </c>
      <c r="E442" s="8" t="s">
        <v>93</v>
      </c>
      <c r="F442" s="8">
        <v>0</v>
      </c>
      <c r="G442" s="8" t="s">
        <v>94</v>
      </c>
      <c r="H442" s="8" t="s">
        <v>94</v>
      </c>
      <c r="I442" s="8">
        <v>0</v>
      </c>
      <c r="J442" s="8" t="s">
        <v>94</v>
      </c>
      <c r="K442" s="8">
        <v>0</v>
      </c>
      <c r="L442" s="8" t="s">
        <v>94</v>
      </c>
      <c r="M442" s="8">
        <v>0</v>
      </c>
      <c r="N442" s="8" t="s">
        <v>94</v>
      </c>
      <c r="O442" s="8">
        <v>0</v>
      </c>
      <c r="P442" s="8" t="s">
        <v>94</v>
      </c>
      <c r="Q442" s="8">
        <v>0</v>
      </c>
      <c r="R442" s="8" t="s">
        <v>94</v>
      </c>
      <c r="S442" s="8">
        <v>0</v>
      </c>
      <c r="T442" s="8" t="s">
        <v>94</v>
      </c>
      <c r="U442" s="8">
        <v>0</v>
      </c>
      <c r="V442" s="8" t="s">
        <v>94</v>
      </c>
      <c r="W442" s="8">
        <v>0</v>
      </c>
      <c r="X442" s="8" t="s">
        <v>94</v>
      </c>
      <c r="Y442" s="8">
        <v>0</v>
      </c>
      <c r="Z442" s="8" t="s">
        <v>94</v>
      </c>
      <c r="AA442" s="8">
        <v>0</v>
      </c>
      <c r="AB442" s="8" t="s">
        <v>94</v>
      </c>
      <c r="AC442" s="8">
        <v>0</v>
      </c>
      <c r="AD442" s="8" t="s">
        <v>94</v>
      </c>
      <c r="AE442" s="8">
        <v>0</v>
      </c>
      <c r="AF442" s="8" t="s">
        <v>94</v>
      </c>
      <c r="AG442" s="8">
        <v>0</v>
      </c>
      <c r="AH442" s="8" t="s">
        <v>94</v>
      </c>
      <c r="AI442" s="8">
        <v>0</v>
      </c>
      <c r="AJ442" s="8" t="s">
        <v>94</v>
      </c>
      <c r="AK442" s="8">
        <v>0</v>
      </c>
      <c r="AL442" s="8" t="s">
        <v>94</v>
      </c>
      <c r="AM442" s="8">
        <v>0</v>
      </c>
      <c r="AN442" s="8">
        <v>0</v>
      </c>
    </row>
    <row r="443" spans="1:40" x14ac:dyDescent="0.25">
      <c r="A443" s="8" t="s">
        <v>503</v>
      </c>
      <c r="B443" s="9">
        <v>42033.665277777778</v>
      </c>
      <c r="C443" s="8">
        <v>0</v>
      </c>
      <c r="D443" s="9">
        <v>42040.369444444441</v>
      </c>
      <c r="E443" s="8" t="s">
        <v>93</v>
      </c>
      <c r="F443" s="8">
        <v>15</v>
      </c>
      <c r="G443" s="8" t="s">
        <v>94</v>
      </c>
      <c r="H443" s="8" t="s">
        <v>95</v>
      </c>
      <c r="I443" s="8">
        <v>1</v>
      </c>
      <c r="J443" s="8" t="s">
        <v>95</v>
      </c>
      <c r="K443" s="8">
        <v>1</v>
      </c>
      <c r="L443" s="8" t="s">
        <v>95</v>
      </c>
      <c r="M443" s="8">
        <v>1</v>
      </c>
      <c r="N443" s="8" t="s">
        <v>95</v>
      </c>
      <c r="O443" s="8">
        <v>1</v>
      </c>
      <c r="P443" s="8" t="s">
        <v>95</v>
      </c>
      <c r="Q443" s="8">
        <v>1</v>
      </c>
      <c r="R443" s="8" t="s">
        <v>94</v>
      </c>
      <c r="S443" s="8">
        <v>0</v>
      </c>
      <c r="T443" s="8" t="s">
        <v>95</v>
      </c>
      <c r="U443" s="8">
        <v>1</v>
      </c>
      <c r="V443" s="8" t="s">
        <v>95</v>
      </c>
      <c r="W443" s="8">
        <v>1</v>
      </c>
      <c r="X443" s="8" t="s">
        <v>95</v>
      </c>
      <c r="Y443" s="8">
        <v>1</v>
      </c>
      <c r="Z443" s="8" t="s">
        <v>95</v>
      </c>
      <c r="AA443" s="8">
        <v>1</v>
      </c>
      <c r="AB443" s="8" t="s">
        <v>95</v>
      </c>
      <c r="AC443" s="8">
        <v>1</v>
      </c>
      <c r="AD443" s="8" t="s">
        <v>95</v>
      </c>
      <c r="AE443" s="8">
        <v>1</v>
      </c>
      <c r="AF443" s="8" t="s">
        <v>95</v>
      </c>
      <c r="AG443" s="8">
        <v>1</v>
      </c>
      <c r="AH443" s="8" t="s">
        <v>95</v>
      </c>
      <c r="AI443" s="8">
        <v>1</v>
      </c>
      <c r="AJ443" s="8" t="s">
        <v>95</v>
      </c>
      <c r="AK443" s="8">
        <v>1</v>
      </c>
      <c r="AL443" s="8" t="s">
        <v>95</v>
      </c>
      <c r="AM443" s="8">
        <v>1</v>
      </c>
      <c r="AN443" s="8">
        <v>15</v>
      </c>
    </row>
    <row r="444" spans="1:40" x14ac:dyDescent="0.25">
      <c r="A444" s="8" t="s">
        <v>504</v>
      </c>
      <c r="B444" s="9">
        <v>42033.665277777778</v>
      </c>
      <c r="C444" s="8">
        <v>0</v>
      </c>
      <c r="D444" s="9">
        <v>42040.399305555555</v>
      </c>
      <c r="E444" s="8" t="s">
        <v>93</v>
      </c>
      <c r="F444" s="8">
        <v>8</v>
      </c>
      <c r="G444" s="8" t="s">
        <v>94</v>
      </c>
      <c r="H444" s="8" t="s">
        <v>95</v>
      </c>
      <c r="I444" s="8">
        <v>1</v>
      </c>
      <c r="J444" s="8" t="s">
        <v>94</v>
      </c>
      <c r="K444" s="8">
        <v>0</v>
      </c>
      <c r="L444" s="8" t="s">
        <v>94</v>
      </c>
      <c r="M444" s="8">
        <v>0</v>
      </c>
      <c r="N444" s="8" t="s">
        <v>94</v>
      </c>
      <c r="O444" s="8">
        <v>0</v>
      </c>
      <c r="P444" s="8" t="s">
        <v>95</v>
      </c>
      <c r="Q444" s="8">
        <v>1</v>
      </c>
      <c r="R444" s="8" t="s">
        <v>94</v>
      </c>
      <c r="S444" s="8">
        <v>0</v>
      </c>
      <c r="T444" s="8" t="s">
        <v>94</v>
      </c>
      <c r="U444" s="8">
        <v>0</v>
      </c>
      <c r="V444" s="8" t="s">
        <v>95</v>
      </c>
      <c r="W444" s="8">
        <v>1</v>
      </c>
      <c r="X444" s="8" t="s">
        <v>94</v>
      </c>
      <c r="Y444" s="8">
        <v>0</v>
      </c>
      <c r="Z444" s="8" t="s">
        <v>95</v>
      </c>
      <c r="AA444" s="8">
        <v>1</v>
      </c>
      <c r="AB444" s="8" t="s">
        <v>95</v>
      </c>
      <c r="AC444" s="8">
        <v>1</v>
      </c>
      <c r="AD444" s="8" t="s">
        <v>95</v>
      </c>
      <c r="AE444" s="8">
        <v>1</v>
      </c>
      <c r="AF444" s="8" t="s">
        <v>94</v>
      </c>
      <c r="AG444" s="8">
        <v>0</v>
      </c>
      <c r="AH444" s="8" t="s">
        <v>95</v>
      </c>
      <c r="AI444" s="8">
        <v>1</v>
      </c>
      <c r="AJ444" s="8" t="s">
        <v>95</v>
      </c>
      <c r="AK444" s="8">
        <v>1</v>
      </c>
      <c r="AL444" s="8" t="s">
        <v>94</v>
      </c>
      <c r="AM444" s="8">
        <v>0</v>
      </c>
      <c r="AN444" s="8">
        <v>8</v>
      </c>
    </row>
    <row r="445" spans="1:40" x14ac:dyDescent="0.25">
      <c r="A445" s="8" t="s">
        <v>505</v>
      </c>
      <c r="B445" s="9">
        <v>42033.663194444445</v>
      </c>
      <c r="C445" s="8">
        <v>0</v>
      </c>
      <c r="D445" s="9">
        <v>42040.400694444441</v>
      </c>
      <c r="E445" s="8" t="s">
        <v>93</v>
      </c>
      <c r="F445" s="8">
        <v>8</v>
      </c>
      <c r="G445" s="8" t="s">
        <v>94</v>
      </c>
      <c r="H445" s="8" t="s">
        <v>94</v>
      </c>
      <c r="I445" s="8">
        <v>0</v>
      </c>
      <c r="J445" s="8" t="s">
        <v>94</v>
      </c>
      <c r="K445" s="8">
        <v>0</v>
      </c>
      <c r="L445" s="8" t="s">
        <v>94</v>
      </c>
      <c r="M445" s="8">
        <v>0</v>
      </c>
      <c r="N445" s="8" t="s">
        <v>95</v>
      </c>
      <c r="O445" s="8">
        <v>1</v>
      </c>
      <c r="P445" s="8" t="s">
        <v>94</v>
      </c>
      <c r="Q445" s="8">
        <v>0</v>
      </c>
      <c r="R445" s="8" t="s">
        <v>95</v>
      </c>
      <c r="S445" s="8">
        <v>1</v>
      </c>
      <c r="T445" s="8" t="s">
        <v>94</v>
      </c>
      <c r="U445" s="8">
        <v>0</v>
      </c>
      <c r="V445" s="8" t="s">
        <v>95</v>
      </c>
      <c r="W445" s="8">
        <v>1</v>
      </c>
      <c r="X445" s="8" t="s">
        <v>95</v>
      </c>
      <c r="Y445" s="8">
        <v>1</v>
      </c>
      <c r="Z445" s="8" t="s">
        <v>95</v>
      </c>
      <c r="AA445" s="8">
        <v>1</v>
      </c>
      <c r="AB445" s="8" t="s">
        <v>95</v>
      </c>
      <c r="AC445" s="8">
        <v>1</v>
      </c>
      <c r="AD445" s="8" t="s">
        <v>95</v>
      </c>
      <c r="AE445" s="8">
        <v>1</v>
      </c>
      <c r="AF445" s="8" t="s">
        <v>94</v>
      </c>
      <c r="AG445" s="8">
        <v>0</v>
      </c>
      <c r="AH445" s="8" t="s">
        <v>94</v>
      </c>
      <c r="AI445" s="8">
        <v>0</v>
      </c>
      <c r="AJ445" s="8" t="s">
        <v>95</v>
      </c>
      <c r="AK445" s="8">
        <v>1</v>
      </c>
      <c r="AL445" s="8" t="s">
        <v>94</v>
      </c>
      <c r="AM445" s="8">
        <v>0</v>
      </c>
      <c r="AN445" s="8">
        <v>8</v>
      </c>
    </row>
    <row r="446" spans="1:40" x14ac:dyDescent="0.25">
      <c r="A446" s="8" t="s">
        <v>506</v>
      </c>
      <c r="B446" s="9">
        <v>42033.659722222219</v>
      </c>
      <c r="C446" s="8">
        <v>0</v>
      </c>
      <c r="D446" s="9">
        <v>42040.419444444444</v>
      </c>
      <c r="E446" s="8" t="s">
        <v>93</v>
      </c>
      <c r="F446" s="8">
        <v>14</v>
      </c>
      <c r="G446" s="8" t="s">
        <v>94</v>
      </c>
      <c r="H446" s="8" t="s">
        <v>95</v>
      </c>
      <c r="I446" s="8">
        <v>1</v>
      </c>
      <c r="J446" s="8" t="s">
        <v>95</v>
      </c>
      <c r="K446" s="8">
        <v>1</v>
      </c>
      <c r="L446" s="8" t="s">
        <v>95</v>
      </c>
      <c r="M446" s="8">
        <v>1</v>
      </c>
      <c r="N446" s="8" t="s">
        <v>95</v>
      </c>
      <c r="O446" s="8">
        <v>1</v>
      </c>
      <c r="P446" s="8" t="s">
        <v>95</v>
      </c>
      <c r="Q446" s="8">
        <v>1</v>
      </c>
      <c r="R446" s="8" t="s">
        <v>95</v>
      </c>
      <c r="S446" s="8">
        <v>1</v>
      </c>
      <c r="T446" s="8" t="s">
        <v>95</v>
      </c>
      <c r="U446" s="8">
        <v>1</v>
      </c>
      <c r="V446" s="8" t="s">
        <v>95</v>
      </c>
      <c r="W446" s="8">
        <v>1</v>
      </c>
      <c r="X446" s="8" t="s">
        <v>95</v>
      </c>
      <c r="Y446" s="8">
        <v>1</v>
      </c>
      <c r="Z446" s="8" t="s">
        <v>95</v>
      </c>
      <c r="AA446" s="8">
        <v>1</v>
      </c>
      <c r="AB446" s="8" t="s">
        <v>95</v>
      </c>
      <c r="AC446" s="8">
        <v>1</v>
      </c>
      <c r="AD446" s="8" t="s">
        <v>95</v>
      </c>
      <c r="AE446" s="8">
        <v>1</v>
      </c>
      <c r="AF446" s="8" t="s">
        <v>94</v>
      </c>
      <c r="AG446" s="8">
        <v>0</v>
      </c>
      <c r="AH446" s="8" t="s">
        <v>95</v>
      </c>
      <c r="AI446" s="8">
        <v>1</v>
      </c>
      <c r="AJ446" s="8" t="s">
        <v>95</v>
      </c>
      <c r="AK446" s="8">
        <v>1</v>
      </c>
      <c r="AL446" s="8" t="s">
        <v>94</v>
      </c>
      <c r="AM446" s="8">
        <v>0</v>
      </c>
      <c r="AN446" s="8">
        <v>14</v>
      </c>
    </row>
    <row r="447" spans="1:40" x14ac:dyDescent="0.25">
      <c r="A447" s="8" t="s">
        <v>507</v>
      </c>
      <c r="B447" s="9">
        <v>42033.684027777781</v>
      </c>
      <c r="C447" s="8">
        <v>0</v>
      </c>
      <c r="D447" s="9">
        <v>42040.421527777777</v>
      </c>
      <c r="E447" s="8" t="s">
        <v>93</v>
      </c>
      <c r="F447" s="8">
        <v>16</v>
      </c>
      <c r="G447" s="8" t="s">
        <v>94</v>
      </c>
      <c r="H447" s="8" t="s">
        <v>95</v>
      </c>
      <c r="I447" s="8">
        <v>1</v>
      </c>
      <c r="J447" s="8" t="s">
        <v>95</v>
      </c>
      <c r="K447" s="8">
        <v>1</v>
      </c>
      <c r="L447" s="8" t="s">
        <v>95</v>
      </c>
      <c r="M447" s="8">
        <v>1</v>
      </c>
      <c r="N447" s="8" t="s">
        <v>95</v>
      </c>
      <c r="O447" s="8">
        <v>1</v>
      </c>
      <c r="P447" s="8" t="s">
        <v>95</v>
      </c>
      <c r="Q447" s="8">
        <v>1</v>
      </c>
      <c r="R447" s="8" t="s">
        <v>95</v>
      </c>
      <c r="S447" s="8">
        <v>1</v>
      </c>
      <c r="T447" s="8" t="s">
        <v>95</v>
      </c>
      <c r="U447" s="8">
        <v>1</v>
      </c>
      <c r="V447" s="8" t="s">
        <v>95</v>
      </c>
      <c r="W447" s="8">
        <v>1</v>
      </c>
      <c r="X447" s="8" t="s">
        <v>95</v>
      </c>
      <c r="Y447" s="8">
        <v>1</v>
      </c>
      <c r="Z447" s="8" t="s">
        <v>95</v>
      </c>
      <c r="AA447" s="8">
        <v>1</v>
      </c>
      <c r="AB447" s="8" t="s">
        <v>95</v>
      </c>
      <c r="AC447" s="8">
        <v>1</v>
      </c>
      <c r="AD447" s="8" t="s">
        <v>95</v>
      </c>
      <c r="AE447" s="8">
        <v>1</v>
      </c>
      <c r="AF447" s="8" t="s">
        <v>95</v>
      </c>
      <c r="AG447" s="8">
        <v>1</v>
      </c>
      <c r="AH447" s="8" t="s">
        <v>95</v>
      </c>
      <c r="AI447" s="8">
        <v>1</v>
      </c>
      <c r="AJ447" s="8" t="s">
        <v>95</v>
      </c>
      <c r="AK447" s="8">
        <v>1</v>
      </c>
      <c r="AL447" s="8" t="s">
        <v>95</v>
      </c>
      <c r="AM447" s="8">
        <v>1</v>
      </c>
      <c r="AN447" s="8">
        <v>16</v>
      </c>
    </row>
    <row r="448" spans="1:40" x14ac:dyDescent="0.25">
      <c r="A448" s="8" t="s">
        <v>508</v>
      </c>
      <c r="B448" s="9">
        <v>42033.659722222219</v>
      </c>
      <c r="C448" s="8">
        <v>0</v>
      </c>
      <c r="D448" s="9">
        <v>42040.478472222225</v>
      </c>
      <c r="E448" s="8" t="s">
        <v>93</v>
      </c>
      <c r="F448" s="8">
        <v>6</v>
      </c>
      <c r="G448" s="8" t="s">
        <v>94</v>
      </c>
      <c r="H448" s="8" t="s">
        <v>95</v>
      </c>
      <c r="I448" s="8">
        <v>1</v>
      </c>
      <c r="J448" s="8" t="s">
        <v>95</v>
      </c>
      <c r="K448" s="8">
        <v>1</v>
      </c>
      <c r="L448" s="8" t="s">
        <v>94</v>
      </c>
      <c r="M448" s="8">
        <v>0</v>
      </c>
      <c r="N448" s="8" t="s">
        <v>94</v>
      </c>
      <c r="O448" s="8">
        <v>0</v>
      </c>
      <c r="P448" s="8" t="s">
        <v>94</v>
      </c>
      <c r="Q448" s="8">
        <v>0</v>
      </c>
      <c r="R448" s="8" t="s">
        <v>94</v>
      </c>
      <c r="S448" s="8">
        <v>0</v>
      </c>
      <c r="T448" s="8" t="s">
        <v>94</v>
      </c>
      <c r="U448" s="8">
        <v>0</v>
      </c>
      <c r="V448" s="8" t="s">
        <v>94</v>
      </c>
      <c r="W448" s="8">
        <v>0</v>
      </c>
      <c r="X448" s="8" t="s">
        <v>94</v>
      </c>
      <c r="Y448" s="8">
        <v>0</v>
      </c>
      <c r="Z448" s="8" t="s">
        <v>95</v>
      </c>
      <c r="AA448" s="8">
        <v>1</v>
      </c>
      <c r="AB448" s="8" t="s">
        <v>95</v>
      </c>
      <c r="AC448" s="8">
        <v>1</v>
      </c>
      <c r="AD448" s="8" t="s">
        <v>94</v>
      </c>
      <c r="AE448" s="8">
        <v>0</v>
      </c>
      <c r="AF448" s="8" t="s">
        <v>94</v>
      </c>
      <c r="AG448" s="8">
        <v>0</v>
      </c>
      <c r="AH448" s="8" t="s">
        <v>95</v>
      </c>
      <c r="AI448" s="8">
        <v>1</v>
      </c>
      <c r="AJ448" s="8" t="s">
        <v>94</v>
      </c>
      <c r="AK448" s="8">
        <v>0</v>
      </c>
      <c r="AL448" s="8" t="s">
        <v>95</v>
      </c>
      <c r="AM448" s="8">
        <v>1</v>
      </c>
      <c r="AN448" s="8">
        <v>6</v>
      </c>
    </row>
    <row r="449" spans="1:40" x14ac:dyDescent="0.25">
      <c r="A449" s="8" t="s">
        <v>509</v>
      </c>
      <c r="B449" s="9">
        <v>42033.676388888889</v>
      </c>
      <c r="C449" s="8">
        <v>0</v>
      </c>
      <c r="D449" s="9">
        <v>42040.524305555555</v>
      </c>
      <c r="E449" s="8" t="s">
        <v>93</v>
      </c>
      <c r="F449" s="8">
        <v>16</v>
      </c>
      <c r="G449" s="8" t="s">
        <v>94</v>
      </c>
      <c r="H449" s="8" t="s">
        <v>95</v>
      </c>
      <c r="I449" s="8">
        <v>1</v>
      </c>
      <c r="J449" s="8" t="s">
        <v>95</v>
      </c>
      <c r="K449" s="8">
        <v>1</v>
      </c>
      <c r="L449" s="8" t="s">
        <v>95</v>
      </c>
      <c r="M449" s="8">
        <v>1</v>
      </c>
      <c r="N449" s="8" t="s">
        <v>95</v>
      </c>
      <c r="O449" s="8">
        <v>1</v>
      </c>
      <c r="P449" s="8" t="s">
        <v>95</v>
      </c>
      <c r="Q449" s="8">
        <v>1</v>
      </c>
      <c r="R449" s="8" t="s">
        <v>95</v>
      </c>
      <c r="S449" s="8">
        <v>1</v>
      </c>
      <c r="T449" s="8" t="s">
        <v>95</v>
      </c>
      <c r="U449" s="8">
        <v>1</v>
      </c>
      <c r="V449" s="8" t="s">
        <v>95</v>
      </c>
      <c r="W449" s="8">
        <v>1</v>
      </c>
      <c r="X449" s="8" t="s">
        <v>95</v>
      </c>
      <c r="Y449" s="8">
        <v>1</v>
      </c>
      <c r="Z449" s="8" t="s">
        <v>95</v>
      </c>
      <c r="AA449" s="8">
        <v>1</v>
      </c>
      <c r="AB449" s="8" t="s">
        <v>95</v>
      </c>
      <c r="AC449" s="8">
        <v>1</v>
      </c>
      <c r="AD449" s="8" t="s">
        <v>95</v>
      </c>
      <c r="AE449" s="8">
        <v>1</v>
      </c>
      <c r="AF449" s="8" t="s">
        <v>95</v>
      </c>
      <c r="AG449" s="8">
        <v>1</v>
      </c>
      <c r="AH449" s="8" t="s">
        <v>95</v>
      </c>
      <c r="AI449" s="8">
        <v>1</v>
      </c>
      <c r="AJ449" s="8" t="s">
        <v>95</v>
      </c>
      <c r="AK449" s="8">
        <v>1</v>
      </c>
      <c r="AL449" s="8" t="s">
        <v>95</v>
      </c>
      <c r="AM449" s="8">
        <v>1</v>
      </c>
      <c r="AN449" s="8">
        <v>16</v>
      </c>
    </row>
    <row r="450" spans="1:40" x14ac:dyDescent="0.25">
      <c r="A450" s="8" t="s">
        <v>510</v>
      </c>
      <c r="B450" s="9">
        <v>42033.675000000003</v>
      </c>
      <c r="C450" s="8">
        <v>0</v>
      </c>
      <c r="D450" s="9">
        <v>42040.565972222219</v>
      </c>
      <c r="E450" s="8" t="s">
        <v>93</v>
      </c>
      <c r="F450" s="8">
        <v>16</v>
      </c>
      <c r="G450" s="8" t="s">
        <v>94</v>
      </c>
      <c r="H450" s="8" t="s">
        <v>95</v>
      </c>
      <c r="I450" s="8">
        <v>1</v>
      </c>
      <c r="J450" s="8" t="s">
        <v>95</v>
      </c>
      <c r="K450" s="8">
        <v>1</v>
      </c>
      <c r="L450" s="8" t="s">
        <v>95</v>
      </c>
      <c r="M450" s="8">
        <v>1</v>
      </c>
      <c r="N450" s="8" t="s">
        <v>95</v>
      </c>
      <c r="O450" s="8">
        <v>1</v>
      </c>
      <c r="P450" s="8" t="s">
        <v>95</v>
      </c>
      <c r="Q450" s="8">
        <v>1</v>
      </c>
      <c r="R450" s="8" t="s">
        <v>95</v>
      </c>
      <c r="S450" s="8">
        <v>1</v>
      </c>
      <c r="T450" s="8" t="s">
        <v>95</v>
      </c>
      <c r="U450" s="8">
        <v>1</v>
      </c>
      <c r="V450" s="8" t="s">
        <v>95</v>
      </c>
      <c r="W450" s="8">
        <v>1</v>
      </c>
      <c r="X450" s="8" t="s">
        <v>95</v>
      </c>
      <c r="Y450" s="8">
        <v>1</v>
      </c>
      <c r="Z450" s="8" t="s">
        <v>95</v>
      </c>
      <c r="AA450" s="8">
        <v>1</v>
      </c>
      <c r="AB450" s="8" t="s">
        <v>95</v>
      </c>
      <c r="AC450" s="8">
        <v>1</v>
      </c>
      <c r="AD450" s="8" t="s">
        <v>95</v>
      </c>
      <c r="AE450" s="8">
        <v>1</v>
      </c>
      <c r="AF450" s="8" t="s">
        <v>95</v>
      </c>
      <c r="AG450" s="8">
        <v>1</v>
      </c>
      <c r="AH450" s="8" t="s">
        <v>95</v>
      </c>
      <c r="AI450" s="8">
        <v>1</v>
      </c>
      <c r="AJ450" s="8" t="s">
        <v>95</v>
      </c>
      <c r="AK450" s="8">
        <v>1</v>
      </c>
      <c r="AL450" s="8" t="s">
        <v>95</v>
      </c>
      <c r="AM450" s="8">
        <v>1</v>
      </c>
      <c r="AN450" s="8">
        <v>16</v>
      </c>
    </row>
    <row r="451" spans="1:40" x14ac:dyDescent="0.25">
      <c r="A451" s="8" t="s">
        <v>511</v>
      </c>
      <c r="B451" s="9">
        <v>42033.681250000001</v>
      </c>
      <c r="C451" s="8">
        <v>0</v>
      </c>
      <c r="D451" s="9">
        <v>42041.058333333334</v>
      </c>
      <c r="E451" s="8" t="s">
        <v>93</v>
      </c>
      <c r="F451" s="8">
        <v>14</v>
      </c>
      <c r="G451" s="8" t="s">
        <v>94</v>
      </c>
      <c r="H451" s="8" t="s">
        <v>95</v>
      </c>
      <c r="I451" s="8">
        <v>1</v>
      </c>
      <c r="J451" s="8" t="s">
        <v>95</v>
      </c>
      <c r="K451" s="8">
        <v>1</v>
      </c>
      <c r="L451" s="8" t="s">
        <v>95</v>
      </c>
      <c r="M451" s="8">
        <v>1</v>
      </c>
      <c r="N451" s="8" t="s">
        <v>95</v>
      </c>
      <c r="O451" s="8">
        <v>1</v>
      </c>
      <c r="P451" s="8" t="s">
        <v>95</v>
      </c>
      <c r="Q451" s="8">
        <v>1</v>
      </c>
      <c r="R451" s="8" t="s">
        <v>95</v>
      </c>
      <c r="S451" s="8">
        <v>1</v>
      </c>
      <c r="T451" s="8" t="s">
        <v>94</v>
      </c>
      <c r="U451" s="8">
        <v>0</v>
      </c>
      <c r="V451" s="8" t="s">
        <v>95</v>
      </c>
      <c r="W451" s="8">
        <v>1</v>
      </c>
      <c r="X451" s="8" t="s">
        <v>95</v>
      </c>
      <c r="Y451" s="8">
        <v>1</v>
      </c>
      <c r="Z451" s="8" t="s">
        <v>95</v>
      </c>
      <c r="AA451" s="8">
        <v>1</v>
      </c>
      <c r="AB451" s="8" t="s">
        <v>95</v>
      </c>
      <c r="AC451" s="8">
        <v>1</v>
      </c>
      <c r="AD451" s="8" t="s">
        <v>95</v>
      </c>
      <c r="AE451" s="8">
        <v>1</v>
      </c>
      <c r="AF451" s="8" t="s">
        <v>95</v>
      </c>
      <c r="AG451" s="8">
        <v>1</v>
      </c>
      <c r="AH451" s="8" t="s">
        <v>95</v>
      </c>
      <c r="AI451" s="8">
        <v>1</v>
      </c>
      <c r="AJ451" s="8" t="s">
        <v>95</v>
      </c>
      <c r="AK451" s="8">
        <v>1</v>
      </c>
      <c r="AL451" s="8" t="s">
        <v>94</v>
      </c>
      <c r="AM451" s="8">
        <v>0</v>
      </c>
      <c r="AN451" s="8">
        <v>14</v>
      </c>
    </row>
    <row r="452" spans="1:40" x14ac:dyDescent="0.25">
      <c r="A452" s="8" t="s">
        <v>512</v>
      </c>
      <c r="B452" s="9">
        <v>42033.683333333334</v>
      </c>
      <c r="C452" s="8">
        <v>0</v>
      </c>
      <c r="D452" s="9">
        <v>42041.111805555556</v>
      </c>
      <c r="E452" s="8" t="s">
        <v>93</v>
      </c>
      <c r="F452" s="8">
        <v>16</v>
      </c>
      <c r="G452" s="8" t="s">
        <v>94</v>
      </c>
      <c r="H452" s="8" t="s">
        <v>95</v>
      </c>
      <c r="I452" s="8">
        <v>1</v>
      </c>
      <c r="J452" s="8" t="s">
        <v>95</v>
      </c>
      <c r="K452" s="8">
        <v>1</v>
      </c>
      <c r="L452" s="8" t="s">
        <v>95</v>
      </c>
      <c r="M452" s="8">
        <v>1</v>
      </c>
      <c r="N452" s="8" t="s">
        <v>95</v>
      </c>
      <c r="O452" s="8">
        <v>1</v>
      </c>
      <c r="P452" s="8" t="s">
        <v>95</v>
      </c>
      <c r="Q452" s="8">
        <v>1</v>
      </c>
      <c r="R452" s="8" t="s">
        <v>95</v>
      </c>
      <c r="S452" s="8">
        <v>1</v>
      </c>
      <c r="T452" s="8" t="s">
        <v>95</v>
      </c>
      <c r="U452" s="8">
        <v>1</v>
      </c>
      <c r="V452" s="8" t="s">
        <v>95</v>
      </c>
      <c r="W452" s="8">
        <v>1</v>
      </c>
      <c r="X452" s="8" t="s">
        <v>95</v>
      </c>
      <c r="Y452" s="8">
        <v>1</v>
      </c>
      <c r="Z452" s="8" t="s">
        <v>95</v>
      </c>
      <c r="AA452" s="8">
        <v>1</v>
      </c>
      <c r="AB452" s="8" t="s">
        <v>95</v>
      </c>
      <c r="AC452" s="8">
        <v>1</v>
      </c>
      <c r="AD452" s="8" t="s">
        <v>95</v>
      </c>
      <c r="AE452" s="8">
        <v>1</v>
      </c>
      <c r="AF452" s="8" t="s">
        <v>95</v>
      </c>
      <c r="AG452" s="8">
        <v>1</v>
      </c>
      <c r="AH452" s="8" t="s">
        <v>95</v>
      </c>
      <c r="AI452" s="8">
        <v>1</v>
      </c>
      <c r="AJ452" s="8" t="s">
        <v>95</v>
      </c>
      <c r="AK452" s="8">
        <v>1</v>
      </c>
      <c r="AL452" s="8" t="s">
        <v>95</v>
      </c>
      <c r="AM452" s="8">
        <v>1</v>
      </c>
      <c r="AN452" s="8">
        <v>16</v>
      </c>
    </row>
    <row r="453" spans="1:40" x14ac:dyDescent="0.25">
      <c r="A453" s="8" t="s">
        <v>513</v>
      </c>
      <c r="B453" s="9">
        <v>42033.65902777778</v>
      </c>
      <c r="C453" s="8">
        <v>0</v>
      </c>
      <c r="D453" s="9">
        <v>42041.22152777778</v>
      </c>
      <c r="E453" s="8" t="s">
        <v>93</v>
      </c>
      <c r="F453" s="8">
        <v>16</v>
      </c>
      <c r="G453" s="8" t="s">
        <v>94</v>
      </c>
      <c r="H453" s="8" t="s">
        <v>95</v>
      </c>
      <c r="I453" s="8">
        <v>1</v>
      </c>
      <c r="J453" s="8" t="s">
        <v>95</v>
      </c>
      <c r="K453" s="8">
        <v>1</v>
      </c>
      <c r="L453" s="8" t="s">
        <v>95</v>
      </c>
      <c r="M453" s="8">
        <v>1</v>
      </c>
      <c r="N453" s="8" t="s">
        <v>95</v>
      </c>
      <c r="O453" s="8">
        <v>1</v>
      </c>
      <c r="P453" s="8" t="s">
        <v>95</v>
      </c>
      <c r="Q453" s="8">
        <v>1</v>
      </c>
      <c r="R453" s="8" t="s">
        <v>95</v>
      </c>
      <c r="S453" s="8">
        <v>1</v>
      </c>
      <c r="T453" s="8" t="s">
        <v>95</v>
      </c>
      <c r="U453" s="8">
        <v>1</v>
      </c>
      <c r="V453" s="8" t="s">
        <v>95</v>
      </c>
      <c r="W453" s="8">
        <v>1</v>
      </c>
      <c r="X453" s="8" t="s">
        <v>95</v>
      </c>
      <c r="Y453" s="8">
        <v>1</v>
      </c>
      <c r="Z453" s="8" t="s">
        <v>95</v>
      </c>
      <c r="AA453" s="8">
        <v>1</v>
      </c>
      <c r="AB453" s="8" t="s">
        <v>95</v>
      </c>
      <c r="AC453" s="8">
        <v>1</v>
      </c>
      <c r="AD453" s="8" t="s">
        <v>95</v>
      </c>
      <c r="AE453" s="8">
        <v>1</v>
      </c>
      <c r="AF453" s="8" t="s">
        <v>95</v>
      </c>
      <c r="AG453" s="8">
        <v>1</v>
      </c>
      <c r="AH453" s="8" t="s">
        <v>95</v>
      </c>
      <c r="AI453" s="8">
        <v>1</v>
      </c>
      <c r="AJ453" s="8" t="s">
        <v>95</v>
      </c>
      <c r="AK453" s="8">
        <v>1</v>
      </c>
      <c r="AL453" s="8" t="s">
        <v>95</v>
      </c>
      <c r="AM453" s="8">
        <v>1</v>
      </c>
      <c r="AN453" s="8">
        <v>16</v>
      </c>
    </row>
    <row r="454" spans="1:40" x14ac:dyDescent="0.25">
      <c r="A454" s="8" t="s">
        <v>514</v>
      </c>
      <c r="B454" s="9">
        <v>42033.658333333333</v>
      </c>
      <c r="C454" s="8">
        <v>0</v>
      </c>
      <c r="D454" s="9">
        <v>42041.315972222219</v>
      </c>
      <c r="E454" s="8" t="s">
        <v>93</v>
      </c>
      <c r="F454" s="8">
        <v>9</v>
      </c>
      <c r="G454" s="8" t="s">
        <v>94</v>
      </c>
      <c r="H454" s="8" t="s">
        <v>94</v>
      </c>
      <c r="I454" s="8">
        <v>0</v>
      </c>
      <c r="J454" s="8" t="s">
        <v>94</v>
      </c>
      <c r="K454" s="8">
        <v>0</v>
      </c>
      <c r="L454" s="8" t="s">
        <v>94</v>
      </c>
      <c r="M454" s="8">
        <v>0</v>
      </c>
      <c r="N454" s="8" t="s">
        <v>94</v>
      </c>
      <c r="O454" s="8">
        <v>0</v>
      </c>
      <c r="P454" s="8" t="s">
        <v>95</v>
      </c>
      <c r="Q454" s="8">
        <v>1</v>
      </c>
      <c r="R454" s="8" t="s">
        <v>94</v>
      </c>
      <c r="S454" s="8">
        <v>0</v>
      </c>
      <c r="T454" s="8" t="s">
        <v>95</v>
      </c>
      <c r="U454" s="8">
        <v>1</v>
      </c>
      <c r="V454" s="8" t="s">
        <v>95</v>
      </c>
      <c r="W454" s="8">
        <v>1</v>
      </c>
      <c r="X454" s="8" t="s">
        <v>94</v>
      </c>
      <c r="Y454" s="8">
        <v>0</v>
      </c>
      <c r="Z454" s="8" t="s">
        <v>95</v>
      </c>
      <c r="AA454" s="8">
        <v>1</v>
      </c>
      <c r="AB454" s="8" t="s">
        <v>95</v>
      </c>
      <c r="AC454" s="8">
        <v>1</v>
      </c>
      <c r="AD454" s="8" t="s">
        <v>95</v>
      </c>
      <c r="AE454" s="8">
        <v>1</v>
      </c>
      <c r="AF454" s="8" t="s">
        <v>95</v>
      </c>
      <c r="AG454" s="8">
        <v>1</v>
      </c>
      <c r="AH454" s="8" t="s">
        <v>95</v>
      </c>
      <c r="AI454" s="8">
        <v>1</v>
      </c>
      <c r="AJ454" s="8" t="s">
        <v>95</v>
      </c>
      <c r="AK454" s="8">
        <v>1</v>
      </c>
      <c r="AL454" s="8" t="s">
        <v>94</v>
      </c>
      <c r="AM454" s="8">
        <v>0</v>
      </c>
      <c r="AN454" s="8">
        <v>9</v>
      </c>
    </row>
    <row r="455" spans="1:40" x14ac:dyDescent="0.25">
      <c r="A455" s="8" t="s">
        <v>515</v>
      </c>
      <c r="B455" s="9">
        <v>42033.670138888891</v>
      </c>
      <c r="C455" s="8">
        <v>0</v>
      </c>
      <c r="D455" s="9">
        <v>42041.340277777781</v>
      </c>
      <c r="E455" s="8" t="s">
        <v>93</v>
      </c>
      <c r="F455" s="8">
        <v>16</v>
      </c>
      <c r="G455" s="8" t="s">
        <v>94</v>
      </c>
      <c r="H455" s="8" t="s">
        <v>95</v>
      </c>
      <c r="I455" s="8">
        <v>1</v>
      </c>
      <c r="J455" s="8" t="s">
        <v>95</v>
      </c>
      <c r="K455" s="8">
        <v>1</v>
      </c>
      <c r="L455" s="8" t="s">
        <v>95</v>
      </c>
      <c r="M455" s="8">
        <v>1</v>
      </c>
      <c r="N455" s="8" t="s">
        <v>95</v>
      </c>
      <c r="O455" s="8">
        <v>1</v>
      </c>
      <c r="P455" s="8" t="s">
        <v>95</v>
      </c>
      <c r="Q455" s="8">
        <v>1</v>
      </c>
      <c r="R455" s="8" t="s">
        <v>95</v>
      </c>
      <c r="S455" s="8">
        <v>1</v>
      </c>
      <c r="T455" s="8" t="s">
        <v>95</v>
      </c>
      <c r="U455" s="8">
        <v>1</v>
      </c>
      <c r="V455" s="8" t="s">
        <v>95</v>
      </c>
      <c r="W455" s="8">
        <v>1</v>
      </c>
      <c r="X455" s="8" t="s">
        <v>95</v>
      </c>
      <c r="Y455" s="8">
        <v>1</v>
      </c>
      <c r="Z455" s="8" t="s">
        <v>95</v>
      </c>
      <c r="AA455" s="8">
        <v>1</v>
      </c>
      <c r="AB455" s="8" t="s">
        <v>95</v>
      </c>
      <c r="AC455" s="8">
        <v>1</v>
      </c>
      <c r="AD455" s="8" t="s">
        <v>95</v>
      </c>
      <c r="AE455" s="8">
        <v>1</v>
      </c>
      <c r="AF455" s="8" t="s">
        <v>95</v>
      </c>
      <c r="AG455" s="8">
        <v>1</v>
      </c>
      <c r="AH455" s="8" t="s">
        <v>95</v>
      </c>
      <c r="AI455" s="8">
        <v>1</v>
      </c>
      <c r="AJ455" s="8" t="s">
        <v>95</v>
      </c>
      <c r="AK455" s="8">
        <v>1</v>
      </c>
      <c r="AL455" s="8" t="s">
        <v>95</v>
      </c>
      <c r="AM455" s="8">
        <v>1</v>
      </c>
      <c r="AN455" s="8">
        <v>16</v>
      </c>
    </row>
    <row r="456" spans="1:40" x14ac:dyDescent="0.25">
      <c r="A456" s="8" t="s">
        <v>516</v>
      </c>
      <c r="B456" s="9">
        <v>42033.665277777778</v>
      </c>
      <c r="C456" s="8">
        <v>0</v>
      </c>
      <c r="D456" s="9">
        <v>42041.521527777775</v>
      </c>
      <c r="E456" s="8" t="s">
        <v>93</v>
      </c>
      <c r="F456" s="8">
        <v>4</v>
      </c>
      <c r="G456" s="8" t="s">
        <v>94</v>
      </c>
      <c r="H456" s="8" t="s">
        <v>94</v>
      </c>
      <c r="I456" s="8">
        <v>0</v>
      </c>
      <c r="J456" s="8" t="s">
        <v>94</v>
      </c>
      <c r="K456" s="8">
        <v>0</v>
      </c>
      <c r="L456" s="8" t="s">
        <v>94</v>
      </c>
      <c r="M456" s="8">
        <v>0</v>
      </c>
      <c r="N456" s="8" t="s">
        <v>94</v>
      </c>
      <c r="O456" s="8">
        <v>0</v>
      </c>
      <c r="P456" s="8" t="s">
        <v>94</v>
      </c>
      <c r="Q456" s="8">
        <v>0</v>
      </c>
      <c r="R456" s="8" t="s">
        <v>95</v>
      </c>
      <c r="S456" s="8">
        <v>1</v>
      </c>
      <c r="T456" s="8" t="s">
        <v>94</v>
      </c>
      <c r="U456" s="8">
        <v>0</v>
      </c>
      <c r="V456" s="8" t="s">
        <v>94</v>
      </c>
      <c r="W456" s="8">
        <v>0</v>
      </c>
      <c r="X456" s="8" t="s">
        <v>94</v>
      </c>
      <c r="Y456" s="8">
        <v>0</v>
      </c>
      <c r="Z456" s="8" t="s">
        <v>94</v>
      </c>
      <c r="AA456" s="8">
        <v>0</v>
      </c>
      <c r="AB456" s="8" t="s">
        <v>95</v>
      </c>
      <c r="AC456" s="8">
        <v>1</v>
      </c>
      <c r="AD456" s="8" t="s">
        <v>95</v>
      </c>
      <c r="AE456" s="8">
        <v>1</v>
      </c>
      <c r="AF456" s="8" t="s">
        <v>94</v>
      </c>
      <c r="AG456" s="8">
        <v>0</v>
      </c>
      <c r="AH456" s="8" t="s">
        <v>94</v>
      </c>
      <c r="AI456" s="8">
        <v>0</v>
      </c>
      <c r="AJ456" s="8" t="s">
        <v>95</v>
      </c>
      <c r="AK456" s="8">
        <v>1</v>
      </c>
      <c r="AL456" s="8" t="s">
        <v>94</v>
      </c>
      <c r="AM456" s="8">
        <v>0</v>
      </c>
      <c r="AN456" s="8">
        <v>4</v>
      </c>
    </row>
    <row r="457" spans="1:40" x14ac:dyDescent="0.25">
      <c r="A457" s="8" t="s">
        <v>517</v>
      </c>
      <c r="B457" s="9">
        <v>42033.65</v>
      </c>
      <c r="C457" s="8">
        <v>0</v>
      </c>
      <c r="D457" s="9">
        <v>42042.729166666664</v>
      </c>
      <c r="E457" s="8" t="s">
        <v>93</v>
      </c>
      <c r="F457" s="8">
        <v>11</v>
      </c>
      <c r="G457" s="8" t="s">
        <v>94</v>
      </c>
      <c r="H457" s="8" t="s">
        <v>95</v>
      </c>
      <c r="I457" s="8">
        <v>1</v>
      </c>
      <c r="J457" s="8" t="s">
        <v>94</v>
      </c>
      <c r="K457" s="8">
        <v>0</v>
      </c>
      <c r="L457" s="8" t="s">
        <v>95</v>
      </c>
      <c r="M457" s="8">
        <v>1</v>
      </c>
      <c r="N457" s="8" t="s">
        <v>95</v>
      </c>
      <c r="O457" s="8">
        <v>1</v>
      </c>
      <c r="P457" s="8" t="s">
        <v>95</v>
      </c>
      <c r="Q457" s="8">
        <v>1</v>
      </c>
      <c r="R457" s="8" t="s">
        <v>95</v>
      </c>
      <c r="S457" s="8">
        <v>1</v>
      </c>
      <c r="T457" s="8" t="s">
        <v>94</v>
      </c>
      <c r="U457" s="8">
        <v>0</v>
      </c>
      <c r="V457" s="8" t="s">
        <v>94</v>
      </c>
      <c r="W457" s="8">
        <v>0</v>
      </c>
      <c r="X457" s="8" t="s">
        <v>94</v>
      </c>
      <c r="Y457" s="8">
        <v>0</v>
      </c>
      <c r="Z457" s="8" t="s">
        <v>94</v>
      </c>
      <c r="AA457" s="8">
        <v>0</v>
      </c>
      <c r="AB457" s="8" t="s">
        <v>95</v>
      </c>
      <c r="AC457" s="8">
        <v>1</v>
      </c>
      <c r="AD457" s="8" t="s">
        <v>95</v>
      </c>
      <c r="AE457" s="8">
        <v>1</v>
      </c>
      <c r="AF457" s="8" t="s">
        <v>95</v>
      </c>
      <c r="AG457" s="8">
        <v>1</v>
      </c>
      <c r="AH457" s="8" t="s">
        <v>95</v>
      </c>
      <c r="AI457" s="8">
        <v>1</v>
      </c>
      <c r="AJ457" s="8" t="s">
        <v>95</v>
      </c>
      <c r="AK457" s="8">
        <v>1</v>
      </c>
      <c r="AL457" s="8" t="s">
        <v>95</v>
      </c>
      <c r="AM457" s="8">
        <v>1</v>
      </c>
      <c r="AN457" s="8">
        <v>11</v>
      </c>
    </row>
    <row r="458" spans="1:40" x14ac:dyDescent="0.25">
      <c r="A458" s="8" t="s">
        <v>518</v>
      </c>
      <c r="B458" s="9">
        <v>42033.650694444441</v>
      </c>
      <c r="C458" s="8">
        <v>0</v>
      </c>
      <c r="D458" s="9">
        <v>42042.761111111111</v>
      </c>
      <c r="E458" s="8" t="s">
        <v>93</v>
      </c>
      <c r="F458" s="8">
        <v>16</v>
      </c>
      <c r="G458" s="8" t="s">
        <v>94</v>
      </c>
      <c r="H458" s="8" t="s">
        <v>95</v>
      </c>
      <c r="I458" s="8">
        <v>1</v>
      </c>
      <c r="J458" s="8" t="s">
        <v>95</v>
      </c>
      <c r="K458" s="8">
        <v>1</v>
      </c>
      <c r="L458" s="8" t="s">
        <v>95</v>
      </c>
      <c r="M458" s="8">
        <v>1</v>
      </c>
      <c r="N458" s="8" t="s">
        <v>95</v>
      </c>
      <c r="O458" s="8">
        <v>1</v>
      </c>
      <c r="P458" s="8" t="s">
        <v>95</v>
      </c>
      <c r="Q458" s="8">
        <v>1</v>
      </c>
      <c r="R458" s="8" t="s">
        <v>95</v>
      </c>
      <c r="S458" s="8">
        <v>1</v>
      </c>
      <c r="T458" s="8" t="s">
        <v>95</v>
      </c>
      <c r="U458" s="8">
        <v>1</v>
      </c>
      <c r="V458" s="8" t="s">
        <v>95</v>
      </c>
      <c r="W458" s="8">
        <v>1</v>
      </c>
      <c r="X458" s="8" t="s">
        <v>95</v>
      </c>
      <c r="Y458" s="8">
        <v>1</v>
      </c>
      <c r="Z458" s="8" t="s">
        <v>95</v>
      </c>
      <c r="AA458" s="8">
        <v>1</v>
      </c>
      <c r="AB458" s="8" t="s">
        <v>95</v>
      </c>
      <c r="AC458" s="8">
        <v>1</v>
      </c>
      <c r="AD458" s="8" t="s">
        <v>95</v>
      </c>
      <c r="AE458" s="8">
        <v>1</v>
      </c>
      <c r="AF458" s="8" t="s">
        <v>95</v>
      </c>
      <c r="AG458" s="8">
        <v>1</v>
      </c>
      <c r="AH458" s="8" t="s">
        <v>95</v>
      </c>
      <c r="AI458" s="8">
        <v>1</v>
      </c>
      <c r="AJ458" s="8" t="s">
        <v>95</v>
      </c>
      <c r="AK458" s="8">
        <v>1</v>
      </c>
      <c r="AL458" s="8" t="s">
        <v>95</v>
      </c>
      <c r="AM458" s="8">
        <v>1</v>
      </c>
      <c r="AN458" s="8">
        <v>16</v>
      </c>
    </row>
    <row r="459" spans="1:40" x14ac:dyDescent="0.25">
      <c r="A459" s="8" t="s">
        <v>519</v>
      </c>
      <c r="B459" s="9">
        <v>42033.657638888886</v>
      </c>
      <c r="C459" s="8">
        <v>0</v>
      </c>
      <c r="D459" s="9">
        <v>42042.771527777775</v>
      </c>
      <c r="E459" s="8" t="s">
        <v>93</v>
      </c>
      <c r="F459" s="8">
        <v>16</v>
      </c>
      <c r="G459" s="8" t="s">
        <v>94</v>
      </c>
      <c r="H459" s="8" t="s">
        <v>95</v>
      </c>
      <c r="I459" s="8">
        <v>1</v>
      </c>
      <c r="J459" s="8" t="s">
        <v>95</v>
      </c>
      <c r="K459" s="8">
        <v>1</v>
      </c>
      <c r="L459" s="8" t="s">
        <v>95</v>
      </c>
      <c r="M459" s="8">
        <v>1</v>
      </c>
      <c r="N459" s="8" t="s">
        <v>95</v>
      </c>
      <c r="O459" s="8">
        <v>1</v>
      </c>
      <c r="P459" s="8" t="s">
        <v>95</v>
      </c>
      <c r="Q459" s="8">
        <v>1</v>
      </c>
      <c r="R459" s="8" t="s">
        <v>95</v>
      </c>
      <c r="S459" s="8">
        <v>1</v>
      </c>
      <c r="T459" s="8" t="s">
        <v>95</v>
      </c>
      <c r="U459" s="8">
        <v>1</v>
      </c>
      <c r="V459" s="8" t="s">
        <v>95</v>
      </c>
      <c r="W459" s="8">
        <v>1</v>
      </c>
      <c r="X459" s="8" t="s">
        <v>95</v>
      </c>
      <c r="Y459" s="8">
        <v>1</v>
      </c>
      <c r="Z459" s="8" t="s">
        <v>95</v>
      </c>
      <c r="AA459" s="8">
        <v>1</v>
      </c>
      <c r="AB459" s="8" t="s">
        <v>95</v>
      </c>
      <c r="AC459" s="8">
        <v>1</v>
      </c>
      <c r="AD459" s="8" t="s">
        <v>95</v>
      </c>
      <c r="AE459" s="8">
        <v>1</v>
      </c>
      <c r="AF459" s="8" t="s">
        <v>95</v>
      </c>
      <c r="AG459" s="8">
        <v>1</v>
      </c>
      <c r="AH459" s="8" t="s">
        <v>95</v>
      </c>
      <c r="AI459" s="8">
        <v>1</v>
      </c>
      <c r="AJ459" s="8" t="s">
        <v>95</v>
      </c>
      <c r="AK459" s="8">
        <v>1</v>
      </c>
      <c r="AL459" s="8" t="s">
        <v>95</v>
      </c>
      <c r="AM459" s="8">
        <v>1</v>
      </c>
      <c r="AN459" s="8">
        <v>16</v>
      </c>
    </row>
    <row r="460" spans="1:40" x14ac:dyDescent="0.25">
      <c r="A460" s="8" t="s">
        <v>520</v>
      </c>
      <c r="B460" s="9">
        <v>42033.685416666667</v>
      </c>
      <c r="C460" s="8">
        <v>0</v>
      </c>
      <c r="D460" s="9">
        <v>42042.836111111108</v>
      </c>
      <c r="E460" s="8" t="s">
        <v>93</v>
      </c>
      <c r="F460" s="8">
        <v>16</v>
      </c>
      <c r="G460" s="8" t="s">
        <v>94</v>
      </c>
      <c r="H460" s="8" t="s">
        <v>95</v>
      </c>
      <c r="I460" s="8">
        <v>1</v>
      </c>
      <c r="J460" s="8" t="s">
        <v>95</v>
      </c>
      <c r="K460" s="8">
        <v>1</v>
      </c>
      <c r="L460" s="8" t="s">
        <v>95</v>
      </c>
      <c r="M460" s="8">
        <v>1</v>
      </c>
      <c r="N460" s="8" t="s">
        <v>95</v>
      </c>
      <c r="O460" s="8">
        <v>1</v>
      </c>
      <c r="P460" s="8" t="s">
        <v>95</v>
      </c>
      <c r="Q460" s="8">
        <v>1</v>
      </c>
      <c r="R460" s="8" t="s">
        <v>95</v>
      </c>
      <c r="S460" s="8">
        <v>1</v>
      </c>
      <c r="T460" s="8" t="s">
        <v>95</v>
      </c>
      <c r="U460" s="8">
        <v>1</v>
      </c>
      <c r="V460" s="8" t="s">
        <v>95</v>
      </c>
      <c r="W460" s="8">
        <v>1</v>
      </c>
      <c r="X460" s="8" t="s">
        <v>95</v>
      </c>
      <c r="Y460" s="8">
        <v>1</v>
      </c>
      <c r="Z460" s="8" t="s">
        <v>95</v>
      </c>
      <c r="AA460" s="8">
        <v>1</v>
      </c>
      <c r="AB460" s="8" t="s">
        <v>95</v>
      </c>
      <c r="AC460" s="8">
        <v>1</v>
      </c>
      <c r="AD460" s="8" t="s">
        <v>95</v>
      </c>
      <c r="AE460" s="8">
        <v>1</v>
      </c>
      <c r="AF460" s="8" t="s">
        <v>95</v>
      </c>
      <c r="AG460" s="8">
        <v>1</v>
      </c>
      <c r="AH460" s="8" t="s">
        <v>95</v>
      </c>
      <c r="AI460" s="8">
        <v>1</v>
      </c>
      <c r="AJ460" s="8" t="s">
        <v>95</v>
      </c>
      <c r="AK460" s="8">
        <v>1</v>
      </c>
      <c r="AL460" s="8" t="s">
        <v>95</v>
      </c>
      <c r="AM460" s="8">
        <v>1</v>
      </c>
      <c r="AN460" s="8">
        <v>16</v>
      </c>
    </row>
    <row r="461" spans="1:40" x14ac:dyDescent="0.25">
      <c r="A461" s="8" t="s">
        <v>521</v>
      </c>
      <c r="B461" s="9">
        <v>42033.67083333333</v>
      </c>
      <c r="C461" s="8">
        <v>0</v>
      </c>
      <c r="D461" s="9">
        <v>42042.920138888891</v>
      </c>
      <c r="E461" s="8" t="s">
        <v>93</v>
      </c>
      <c r="F461" s="8">
        <v>16</v>
      </c>
      <c r="G461" s="8" t="s">
        <v>94</v>
      </c>
      <c r="H461" s="8" t="s">
        <v>95</v>
      </c>
      <c r="I461" s="8">
        <v>1</v>
      </c>
      <c r="J461" s="8" t="s">
        <v>95</v>
      </c>
      <c r="K461" s="8">
        <v>1</v>
      </c>
      <c r="L461" s="8" t="s">
        <v>95</v>
      </c>
      <c r="M461" s="8">
        <v>1</v>
      </c>
      <c r="N461" s="8" t="s">
        <v>95</v>
      </c>
      <c r="O461" s="8">
        <v>1</v>
      </c>
      <c r="P461" s="8" t="s">
        <v>95</v>
      </c>
      <c r="Q461" s="8">
        <v>1</v>
      </c>
      <c r="R461" s="8" t="s">
        <v>95</v>
      </c>
      <c r="S461" s="8">
        <v>1</v>
      </c>
      <c r="T461" s="8" t="s">
        <v>95</v>
      </c>
      <c r="U461" s="8">
        <v>1</v>
      </c>
      <c r="V461" s="8" t="s">
        <v>95</v>
      </c>
      <c r="W461" s="8">
        <v>1</v>
      </c>
      <c r="X461" s="8" t="s">
        <v>95</v>
      </c>
      <c r="Y461" s="8">
        <v>1</v>
      </c>
      <c r="Z461" s="8" t="s">
        <v>95</v>
      </c>
      <c r="AA461" s="8">
        <v>1</v>
      </c>
      <c r="AB461" s="8" t="s">
        <v>95</v>
      </c>
      <c r="AC461" s="8">
        <v>1</v>
      </c>
      <c r="AD461" s="8" t="s">
        <v>95</v>
      </c>
      <c r="AE461" s="8">
        <v>1</v>
      </c>
      <c r="AF461" s="8" t="s">
        <v>95</v>
      </c>
      <c r="AG461" s="8">
        <v>1</v>
      </c>
      <c r="AH461" s="8" t="s">
        <v>95</v>
      </c>
      <c r="AI461" s="8">
        <v>1</v>
      </c>
      <c r="AJ461" s="8" t="s">
        <v>95</v>
      </c>
      <c r="AK461" s="8">
        <v>1</v>
      </c>
      <c r="AL461" s="8" t="s">
        <v>95</v>
      </c>
      <c r="AM461" s="8">
        <v>1</v>
      </c>
      <c r="AN461" s="8">
        <v>16</v>
      </c>
    </row>
    <row r="462" spans="1:40" x14ac:dyDescent="0.25">
      <c r="A462" s="8" t="s">
        <v>522</v>
      </c>
      <c r="B462" s="9">
        <v>42033.668749999997</v>
      </c>
      <c r="C462" s="8">
        <v>0</v>
      </c>
      <c r="D462" s="9">
        <v>42043.209027777775</v>
      </c>
      <c r="E462" s="8" t="s">
        <v>93</v>
      </c>
      <c r="F462" s="8">
        <v>15</v>
      </c>
      <c r="G462" s="8" t="s">
        <v>94</v>
      </c>
      <c r="H462" s="8" t="s">
        <v>95</v>
      </c>
      <c r="I462" s="8">
        <v>1</v>
      </c>
      <c r="J462" s="8" t="s">
        <v>95</v>
      </c>
      <c r="K462" s="8">
        <v>1</v>
      </c>
      <c r="L462" s="8" t="s">
        <v>95</v>
      </c>
      <c r="M462" s="8">
        <v>1</v>
      </c>
      <c r="N462" s="8" t="s">
        <v>95</v>
      </c>
      <c r="O462" s="8">
        <v>1</v>
      </c>
      <c r="P462" s="8" t="s">
        <v>95</v>
      </c>
      <c r="Q462" s="8">
        <v>1</v>
      </c>
      <c r="R462" s="8" t="s">
        <v>95</v>
      </c>
      <c r="S462" s="8">
        <v>1</v>
      </c>
      <c r="T462" s="8" t="s">
        <v>95</v>
      </c>
      <c r="U462" s="8">
        <v>1</v>
      </c>
      <c r="V462" s="8" t="s">
        <v>94</v>
      </c>
      <c r="W462" s="8">
        <v>0</v>
      </c>
      <c r="X462" s="8" t="s">
        <v>95</v>
      </c>
      <c r="Y462" s="8">
        <v>1</v>
      </c>
      <c r="Z462" s="8" t="s">
        <v>95</v>
      </c>
      <c r="AA462" s="8">
        <v>1</v>
      </c>
      <c r="AB462" s="8" t="s">
        <v>95</v>
      </c>
      <c r="AC462" s="8">
        <v>1</v>
      </c>
      <c r="AD462" s="8" t="s">
        <v>95</v>
      </c>
      <c r="AE462" s="8">
        <v>1</v>
      </c>
      <c r="AF462" s="8" t="s">
        <v>95</v>
      </c>
      <c r="AG462" s="8">
        <v>1</v>
      </c>
      <c r="AH462" s="8" t="s">
        <v>95</v>
      </c>
      <c r="AI462" s="8">
        <v>1</v>
      </c>
      <c r="AJ462" s="8" t="s">
        <v>95</v>
      </c>
      <c r="AK462" s="8">
        <v>1</v>
      </c>
      <c r="AL462" s="8" t="s">
        <v>95</v>
      </c>
      <c r="AM462" s="8">
        <v>1</v>
      </c>
      <c r="AN462" s="8">
        <v>15</v>
      </c>
    </row>
    <row r="463" spans="1:40" x14ac:dyDescent="0.25">
      <c r="A463" s="8" t="s">
        <v>523</v>
      </c>
      <c r="B463" s="9">
        <v>42033.676388888889</v>
      </c>
      <c r="C463" s="8">
        <v>0</v>
      </c>
      <c r="D463" s="9">
        <v>42043.387499999997</v>
      </c>
      <c r="E463" s="8" t="s">
        <v>93</v>
      </c>
      <c r="F463" s="8">
        <v>13</v>
      </c>
      <c r="G463" s="8" t="s">
        <v>94</v>
      </c>
      <c r="H463" s="8" t="s">
        <v>95</v>
      </c>
      <c r="I463" s="8">
        <v>1</v>
      </c>
      <c r="J463" s="8" t="s">
        <v>95</v>
      </c>
      <c r="K463" s="8">
        <v>1</v>
      </c>
      <c r="L463" s="8" t="s">
        <v>94</v>
      </c>
      <c r="M463" s="8">
        <v>0</v>
      </c>
      <c r="N463" s="8" t="s">
        <v>94</v>
      </c>
      <c r="O463" s="8">
        <v>0</v>
      </c>
      <c r="P463" s="8" t="s">
        <v>95</v>
      </c>
      <c r="Q463" s="8">
        <v>1</v>
      </c>
      <c r="R463" s="8" t="s">
        <v>95</v>
      </c>
      <c r="S463" s="8">
        <v>1</v>
      </c>
      <c r="T463" s="8" t="s">
        <v>95</v>
      </c>
      <c r="U463" s="8">
        <v>1</v>
      </c>
      <c r="V463" s="8" t="s">
        <v>95</v>
      </c>
      <c r="W463" s="8">
        <v>1</v>
      </c>
      <c r="X463" s="8" t="s">
        <v>95</v>
      </c>
      <c r="Y463" s="8">
        <v>1</v>
      </c>
      <c r="Z463" s="8" t="s">
        <v>95</v>
      </c>
      <c r="AA463" s="8">
        <v>1</v>
      </c>
      <c r="AB463" s="8" t="s">
        <v>95</v>
      </c>
      <c r="AC463" s="8">
        <v>1</v>
      </c>
      <c r="AD463" s="8" t="s">
        <v>95</v>
      </c>
      <c r="AE463" s="8">
        <v>1</v>
      </c>
      <c r="AF463" s="8" t="s">
        <v>95</v>
      </c>
      <c r="AG463" s="8">
        <v>1</v>
      </c>
      <c r="AH463" s="8" t="s">
        <v>95</v>
      </c>
      <c r="AI463" s="8">
        <v>1</v>
      </c>
      <c r="AJ463" s="8" t="s">
        <v>95</v>
      </c>
      <c r="AK463" s="8">
        <v>1</v>
      </c>
      <c r="AL463" s="8" t="s">
        <v>94</v>
      </c>
      <c r="AM463" s="8">
        <v>0</v>
      </c>
      <c r="AN463" s="8">
        <v>13</v>
      </c>
    </row>
    <row r="464" spans="1:40" x14ac:dyDescent="0.25">
      <c r="A464" s="8" t="s">
        <v>524</v>
      </c>
      <c r="B464" s="9">
        <v>42033.675000000003</v>
      </c>
      <c r="C464" s="8">
        <v>0</v>
      </c>
      <c r="D464" s="9">
        <v>42043.417361111111</v>
      </c>
      <c r="E464" s="8" t="s">
        <v>93</v>
      </c>
      <c r="F464" s="8">
        <v>16</v>
      </c>
      <c r="G464" s="8" t="s">
        <v>94</v>
      </c>
      <c r="H464" s="8" t="s">
        <v>95</v>
      </c>
      <c r="I464" s="8">
        <v>1</v>
      </c>
      <c r="J464" s="8" t="s">
        <v>95</v>
      </c>
      <c r="K464" s="8">
        <v>1</v>
      </c>
      <c r="L464" s="8" t="s">
        <v>95</v>
      </c>
      <c r="M464" s="8">
        <v>1</v>
      </c>
      <c r="N464" s="8" t="s">
        <v>95</v>
      </c>
      <c r="O464" s="8">
        <v>1</v>
      </c>
      <c r="P464" s="8" t="s">
        <v>95</v>
      </c>
      <c r="Q464" s="8">
        <v>1</v>
      </c>
      <c r="R464" s="8" t="s">
        <v>95</v>
      </c>
      <c r="S464" s="8">
        <v>1</v>
      </c>
      <c r="T464" s="8" t="s">
        <v>95</v>
      </c>
      <c r="U464" s="8">
        <v>1</v>
      </c>
      <c r="V464" s="8" t="s">
        <v>95</v>
      </c>
      <c r="W464" s="8">
        <v>1</v>
      </c>
      <c r="X464" s="8" t="s">
        <v>95</v>
      </c>
      <c r="Y464" s="8">
        <v>1</v>
      </c>
      <c r="Z464" s="8" t="s">
        <v>95</v>
      </c>
      <c r="AA464" s="8">
        <v>1</v>
      </c>
      <c r="AB464" s="8" t="s">
        <v>95</v>
      </c>
      <c r="AC464" s="8">
        <v>1</v>
      </c>
      <c r="AD464" s="8" t="s">
        <v>95</v>
      </c>
      <c r="AE464" s="8">
        <v>1</v>
      </c>
      <c r="AF464" s="8" t="s">
        <v>95</v>
      </c>
      <c r="AG464" s="8">
        <v>1</v>
      </c>
      <c r="AH464" s="8" t="s">
        <v>95</v>
      </c>
      <c r="AI464" s="8">
        <v>1</v>
      </c>
      <c r="AJ464" s="8" t="s">
        <v>95</v>
      </c>
      <c r="AK464" s="8">
        <v>1</v>
      </c>
      <c r="AL464" s="8" t="s">
        <v>95</v>
      </c>
      <c r="AM464" s="8">
        <v>1</v>
      </c>
      <c r="AN464" s="8">
        <v>16</v>
      </c>
    </row>
    <row r="465" spans="1:40" x14ac:dyDescent="0.25">
      <c r="A465" s="8" t="s">
        <v>525</v>
      </c>
      <c r="B465" s="9">
        <v>42033.665277777778</v>
      </c>
      <c r="C465" s="8">
        <v>0</v>
      </c>
      <c r="D465" s="9">
        <v>42043.433333333334</v>
      </c>
      <c r="E465" s="8" t="s">
        <v>93</v>
      </c>
      <c r="F465" s="8">
        <v>11</v>
      </c>
      <c r="G465" s="8" t="s">
        <v>94</v>
      </c>
      <c r="H465" s="8" t="s">
        <v>95</v>
      </c>
      <c r="I465" s="8">
        <v>1</v>
      </c>
      <c r="J465" s="8" t="s">
        <v>95</v>
      </c>
      <c r="K465" s="8">
        <v>1</v>
      </c>
      <c r="L465" s="8" t="s">
        <v>95</v>
      </c>
      <c r="M465" s="8">
        <v>1</v>
      </c>
      <c r="N465" s="8" t="s">
        <v>95</v>
      </c>
      <c r="O465" s="8">
        <v>1</v>
      </c>
      <c r="P465" s="8" t="s">
        <v>94</v>
      </c>
      <c r="Q465" s="8">
        <v>0</v>
      </c>
      <c r="R465" s="8" t="s">
        <v>95</v>
      </c>
      <c r="S465" s="8">
        <v>1</v>
      </c>
      <c r="T465" s="8" t="s">
        <v>94</v>
      </c>
      <c r="U465" s="8">
        <v>0</v>
      </c>
      <c r="V465" s="8" t="s">
        <v>95</v>
      </c>
      <c r="W465" s="8">
        <v>1</v>
      </c>
      <c r="X465" s="8" t="s">
        <v>95</v>
      </c>
      <c r="Y465" s="8">
        <v>1</v>
      </c>
      <c r="Z465" s="8" t="s">
        <v>95</v>
      </c>
      <c r="AA465" s="8">
        <v>1</v>
      </c>
      <c r="AB465" s="8" t="s">
        <v>95</v>
      </c>
      <c r="AC465" s="8">
        <v>1</v>
      </c>
      <c r="AD465" s="8" t="s">
        <v>95</v>
      </c>
      <c r="AE465" s="8">
        <v>1</v>
      </c>
      <c r="AF465" s="8" t="s">
        <v>94</v>
      </c>
      <c r="AG465" s="8">
        <v>0</v>
      </c>
      <c r="AH465" s="8" t="s">
        <v>94</v>
      </c>
      <c r="AI465" s="8">
        <v>0</v>
      </c>
      <c r="AJ465" s="8" t="s">
        <v>94</v>
      </c>
      <c r="AK465" s="8">
        <v>0</v>
      </c>
      <c r="AL465" s="8" t="s">
        <v>95</v>
      </c>
      <c r="AM465" s="8">
        <v>1</v>
      </c>
      <c r="AN465" s="8">
        <v>11</v>
      </c>
    </row>
    <row r="466" spans="1:40" x14ac:dyDescent="0.25">
      <c r="A466" s="8" t="s">
        <v>526</v>
      </c>
      <c r="B466" s="9">
        <v>42033.652777777781</v>
      </c>
      <c r="C466" s="8">
        <v>0</v>
      </c>
      <c r="D466" s="9">
        <v>42043.614583333336</v>
      </c>
      <c r="E466" s="8" t="s">
        <v>93</v>
      </c>
      <c r="F466" s="8">
        <v>12</v>
      </c>
      <c r="G466" s="8" t="s">
        <v>94</v>
      </c>
      <c r="H466" s="8" t="s">
        <v>95</v>
      </c>
      <c r="I466" s="8">
        <v>1</v>
      </c>
      <c r="J466" s="8" t="s">
        <v>95</v>
      </c>
      <c r="K466" s="8">
        <v>1</v>
      </c>
      <c r="L466" s="8" t="s">
        <v>95</v>
      </c>
      <c r="M466" s="8">
        <v>1</v>
      </c>
      <c r="N466" s="8" t="s">
        <v>95</v>
      </c>
      <c r="O466" s="8">
        <v>1</v>
      </c>
      <c r="P466" s="8" t="s">
        <v>94</v>
      </c>
      <c r="Q466" s="8">
        <v>0</v>
      </c>
      <c r="R466" s="8" t="s">
        <v>95</v>
      </c>
      <c r="S466" s="8">
        <v>1</v>
      </c>
      <c r="T466" s="8" t="s">
        <v>94</v>
      </c>
      <c r="U466" s="8">
        <v>0</v>
      </c>
      <c r="V466" s="8" t="s">
        <v>94</v>
      </c>
      <c r="W466" s="8">
        <v>0</v>
      </c>
      <c r="X466" s="8" t="s">
        <v>95</v>
      </c>
      <c r="Y466" s="8">
        <v>1</v>
      </c>
      <c r="Z466" s="8" t="s">
        <v>95</v>
      </c>
      <c r="AA466" s="8">
        <v>1</v>
      </c>
      <c r="AB466" s="8" t="s">
        <v>95</v>
      </c>
      <c r="AC466" s="8">
        <v>1</v>
      </c>
      <c r="AD466" s="8" t="s">
        <v>95</v>
      </c>
      <c r="AE466" s="8">
        <v>1</v>
      </c>
      <c r="AF466" s="8" t="s">
        <v>95</v>
      </c>
      <c r="AG466" s="8">
        <v>1</v>
      </c>
      <c r="AH466" s="8" t="s">
        <v>95</v>
      </c>
      <c r="AI466" s="8">
        <v>1</v>
      </c>
      <c r="AJ466" s="8" t="s">
        <v>94</v>
      </c>
      <c r="AK466" s="8">
        <v>0</v>
      </c>
      <c r="AL466" s="8" t="s">
        <v>95</v>
      </c>
      <c r="AM466" s="8">
        <v>1</v>
      </c>
      <c r="AN466" s="8">
        <v>12</v>
      </c>
    </row>
    <row r="467" spans="1:40" x14ac:dyDescent="0.25">
      <c r="A467" s="8" t="s">
        <v>527</v>
      </c>
      <c r="B467" s="9">
        <v>42033.664583333331</v>
      </c>
      <c r="C467" s="8">
        <v>0</v>
      </c>
      <c r="D467" s="9">
        <v>42043.656944444447</v>
      </c>
      <c r="E467" s="8" t="s">
        <v>93</v>
      </c>
      <c r="F467" s="8">
        <v>1</v>
      </c>
      <c r="G467" s="8" t="s">
        <v>94</v>
      </c>
      <c r="H467" s="8" t="s">
        <v>94</v>
      </c>
      <c r="I467" s="8">
        <v>0</v>
      </c>
      <c r="J467" s="8" t="s">
        <v>94</v>
      </c>
      <c r="K467" s="8">
        <v>0</v>
      </c>
      <c r="L467" s="8" t="s">
        <v>94</v>
      </c>
      <c r="M467" s="8">
        <v>0</v>
      </c>
      <c r="N467" s="8" t="s">
        <v>94</v>
      </c>
      <c r="O467" s="8">
        <v>0</v>
      </c>
      <c r="P467" s="8" t="s">
        <v>94</v>
      </c>
      <c r="Q467" s="8">
        <v>0</v>
      </c>
      <c r="R467" s="8" t="s">
        <v>94</v>
      </c>
      <c r="S467" s="8">
        <v>0</v>
      </c>
      <c r="T467" s="8" t="s">
        <v>94</v>
      </c>
      <c r="U467" s="8">
        <v>0</v>
      </c>
      <c r="V467" s="8" t="s">
        <v>94</v>
      </c>
      <c r="W467" s="8">
        <v>0</v>
      </c>
      <c r="X467" s="8" t="s">
        <v>94</v>
      </c>
      <c r="Y467" s="8">
        <v>0</v>
      </c>
      <c r="Z467" s="8" t="s">
        <v>94</v>
      </c>
      <c r="AA467" s="8">
        <v>0</v>
      </c>
      <c r="AB467" s="8" t="s">
        <v>94</v>
      </c>
      <c r="AC467" s="8">
        <v>0</v>
      </c>
      <c r="AD467" s="8" t="s">
        <v>95</v>
      </c>
      <c r="AE467" s="8">
        <v>1</v>
      </c>
      <c r="AF467" s="8" t="s">
        <v>94</v>
      </c>
      <c r="AG467" s="8">
        <v>0</v>
      </c>
      <c r="AH467" s="8" t="s">
        <v>94</v>
      </c>
      <c r="AI467" s="8">
        <v>0</v>
      </c>
      <c r="AJ467" s="8" t="s">
        <v>94</v>
      </c>
      <c r="AK467" s="8">
        <v>0</v>
      </c>
      <c r="AL467" s="8" t="s">
        <v>94</v>
      </c>
      <c r="AM467" s="8">
        <v>0</v>
      </c>
      <c r="AN467" s="8">
        <v>1</v>
      </c>
    </row>
    <row r="468" spans="1:40" x14ac:dyDescent="0.25">
      <c r="A468" s="8" t="s">
        <v>528</v>
      </c>
      <c r="B468" s="9">
        <v>42033.655555555553</v>
      </c>
      <c r="C468" s="8">
        <v>0</v>
      </c>
      <c r="D468" s="9">
        <v>42043.779861111114</v>
      </c>
      <c r="E468" s="8" t="s">
        <v>93</v>
      </c>
      <c r="F468" s="8">
        <v>16</v>
      </c>
      <c r="G468" s="8" t="s">
        <v>94</v>
      </c>
      <c r="H468" s="8" t="s">
        <v>95</v>
      </c>
      <c r="I468" s="8">
        <v>1</v>
      </c>
      <c r="J468" s="8" t="s">
        <v>95</v>
      </c>
      <c r="K468" s="8">
        <v>1</v>
      </c>
      <c r="L468" s="8" t="s">
        <v>95</v>
      </c>
      <c r="M468" s="8">
        <v>1</v>
      </c>
      <c r="N468" s="8" t="s">
        <v>95</v>
      </c>
      <c r="O468" s="8">
        <v>1</v>
      </c>
      <c r="P468" s="8" t="s">
        <v>95</v>
      </c>
      <c r="Q468" s="8">
        <v>1</v>
      </c>
      <c r="R468" s="8" t="s">
        <v>95</v>
      </c>
      <c r="S468" s="8">
        <v>1</v>
      </c>
      <c r="T468" s="8" t="s">
        <v>95</v>
      </c>
      <c r="U468" s="8">
        <v>1</v>
      </c>
      <c r="V468" s="8" t="s">
        <v>95</v>
      </c>
      <c r="W468" s="8">
        <v>1</v>
      </c>
      <c r="X468" s="8" t="s">
        <v>95</v>
      </c>
      <c r="Y468" s="8">
        <v>1</v>
      </c>
      <c r="Z468" s="8" t="s">
        <v>95</v>
      </c>
      <c r="AA468" s="8">
        <v>1</v>
      </c>
      <c r="AB468" s="8" t="s">
        <v>95</v>
      </c>
      <c r="AC468" s="8">
        <v>1</v>
      </c>
      <c r="AD468" s="8" t="s">
        <v>95</v>
      </c>
      <c r="AE468" s="8">
        <v>1</v>
      </c>
      <c r="AF468" s="8" t="s">
        <v>95</v>
      </c>
      <c r="AG468" s="8">
        <v>1</v>
      </c>
      <c r="AH468" s="8" t="s">
        <v>95</v>
      </c>
      <c r="AI468" s="8">
        <v>1</v>
      </c>
      <c r="AJ468" s="8" t="s">
        <v>95</v>
      </c>
      <c r="AK468" s="8">
        <v>1</v>
      </c>
      <c r="AL468" s="8" t="s">
        <v>95</v>
      </c>
      <c r="AM468" s="8">
        <v>1</v>
      </c>
      <c r="AN468" s="8">
        <v>16</v>
      </c>
    </row>
    <row r="469" spans="1:40" x14ac:dyDescent="0.25">
      <c r="A469" s="8" t="s">
        <v>529</v>
      </c>
      <c r="B469" s="9">
        <v>42033.677083333336</v>
      </c>
      <c r="C469" s="8">
        <v>0</v>
      </c>
      <c r="D469" s="9">
        <v>42043.958333333336</v>
      </c>
      <c r="E469" s="8" t="s">
        <v>93</v>
      </c>
      <c r="F469" s="8">
        <v>15</v>
      </c>
      <c r="G469" s="8" t="s">
        <v>94</v>
      </c>
      <c r="H469" s="8" t="s">
        <v>95</v>
      </c>
      <c r="I469" s="8">
        <v>1</v>
      </c>
      <c r="J469" s="8" t="s">
        <v>95</v>
      </c>
      <c r="K469" s="8">
        <v>1</v>
      </c>
      <c r="L469" s="8" t="s">
        <v>95</v>
      </c>
      <c r="M469" s="8">
        <v>1</v>
      </c>
      <c r="N469" s="8" t="s">
        <v>95</v>
      </c>
      <c r="O469" s="8">
        <v>1</v>
      </c>
      <c r="P469" s="8" t="s">
        <v>95</v>
      </c>
      <c r="Q469" s="8">
        <v>1</v>
      </c>
      <c r="R469" s="8" t="s">
        <v>95</v>
      </c>
      <c r="S469" s="8">
        <v>1</v>
      </c>
      <c r="T469" s="8" t="s">
        <v>95</v>
      </c>
      <c r="U469" s="8">
        <v>1</v>
      </c>
      <c r="V469" s="8" t="s">
        <v>95</v>
      </c>
      <c r="W469" s="8">
        <v>1</v>
      </c>
      <c r="X469" s="8" t="s">
        <v>95</v>
      </c>
      <c r="Y469" s="8">
        <v>1</v>
      </c>
      <c r="Z469" s="8" t="s">
        <v>95</v>
      </c>
      <c r="AA469" s="8">
        <v>1</v>
      </c>
      <c r="AB469" s="8" t="s">
        <v>95</v>
      </c>
      <c r="AC469" s="8">
        <v>1</v>
      </c>
      <c r="AD469" s="8" t="s">
        <v>95</v>
      </c>
      <c r="AE469" s="8">
        <v>1</v>
      </c>
      <c r="AF469" s="8" t="s">
        <v>95</v>
      </c>
      <c r="AG469" s="8">
        <v>1</v>
      </c>
      <c r="AH469" s="8" t="s">
        <v>95</v>
      </c>
      <c r="AI469" s="8">
        <v>1</v>
      </c>
      <c r="AJ469" s="8" t="s">
        <v>94</v>
      </c>
      <c r="AK469" s="8">
        <v>0</v>
      </c>
      <c r="AL469" s="8" t="s">
        <v>95</v>
      </c>
      <c r="AM469" s="8">
        <v>1</v>
      </c>
      <c r="AN469" s="8">
        <v>15</v>
      </c>
    </row>
    <row r="470" spans="1:40" x14ac:dyDescent="0.25">
      <c r="A470" s="8" t="s">
        <v>530</v>
      </c>
      <c r="B470" s="9">
        <v>42033.675694444442</v>
      </c>
      <c r="C470" s="8">
        <v>0</v>
      </c>
      <c r="D470" s="9">
        <v>42043.965277777781</v>
      </c>
      <c r="E470" s="8" t="s">
        <v>93</v>
      </c>
      <c r="F470" s="8">
        <v>16</v>
      </c>
      <c r="G470" s="8" t="s">
        <v>94</v>
      </c>
      <c r="H470" s="8" t="s">
        <v>95</v>
      </c>
      <c r="I470" s="8">
        <v>1</v>
      </c>
      <c r="J470" s="8" t="s">
        <v>95</v>
      </c>
      <c r="K470" s="8">
        <v>1</v>
      </c>
      <c r="L470" s="8" t="s">
        <v>95</v>
      </c>
      <c r="M470" s="8">
        <v>1</v>
      </c>
      <c r="N470" s="8" t="s">
        <v>95</v>
      </c>
      <c r="O470" s="8">
        <v>1</v>
      </c>
      <c r="P470" s="8" t="s">
        <v>95</v>
      </c>
      <c r="Q470" s="8">
        <v>1</v>
      </c>
      <c r="R470" s="8" t="s">
        <v>95</v>
      </c>
      <c r="S470" s="8">
        <v>1</v>
      </c>
      <c r="T470" s="8" t="s">
        <v>95</v>
      </c>
      <c r="U470" s="8">
        <v>1</v>
      </c>
      <c r="V470" s="8" t="s">
        <v>95</v>
      </c>
      <c r="W470" s="8">
        <v>1</v>
      </c>
      <c r="X470" s="8" t="s">
        <v>95</v>
      </c>
      <c r="Y470" s="8">
        <v>1</v>
      </c>
      <c r="Z470" s="8" t="s">
        <v>95</v>
      </c>
      <c r="AA470" s="8">
        <v>1</v>
      </c>
      <c r="AB470" s="8" t="s">
        <v>95</v>
      </c>
      <c r="AC470" s="8">
        <v>1</v>
      </c>
      <c r="AD470" s="8" t="s">
        <v>95</v>
      </c>
      <c r="AE470" s="8">
        <v>1</v>
      </c>
      <c r="AF470" s="8" t="s">
        <v>95</v>
      </c>
      <c r="AG470" s="8">
        <v>1</v>
      </c>
      <c r="AH470" s="8" t="s">
        <v>95</v>
      </c>
      <c r="AI470" s="8">
        <v>1</v>
      </c>
      <c r="AJ470" s="8" t="s">
        <v>95</v>
      </c>
      <c r="AK470" s="8">
        <v>1</v>
      </c>
      <c r="AL470" s="8" t="s">
        <v>95</v>
      </c>
      <c r="AM470" s="8">
        <v>1</v>
      </c>
      <c r="AN470" s="8">
        <v>16</v>
      </c>
    </row>
    <row r="471" spans="1:40" x14ac:dyDescent="0.25">
      <c r="A471" s="8" t="s">
        <v>531</v>
      </c>
      <c r="B471" s="9">
        <v>42033.666666666664</v>
      </c>
      <c r="C471" s="8">
        <v>0</v>
      </c>
      <c r="D471" s="9">
        <v>42043.969444444447</v>
      </c>
      <c r="E471" s="8" t="s">
        <v>93</v>
      </c>
      <c r="F471" s="8">
        <v>16</v>
      </c>
      <c r="G471" s="8" t="s">
        <v>94</v>
      </c>
      <c r="H471" s="8" t="s">
        <v>95</v>
      </c>
      <c r="I471" s="8">
        <v>1</v>
      </c>
      <c r="J471" s="8" t="s">
        <v>95</v>
      </c>
      <c r="K471" s="8">
        <v>1</v>
      </c>
      <c r="L471" s="8" t="s">
        <v>95</v>
      </c>
      <c r="M471" s="8">
        <v>1</v>
      </c>
      <c r="N471" s="8" t="s">
        <v>95</v>
      </c>
      <c r="O471" s="8">
        <v>1</v>
      </c>
      <c r="P471" s="8" t="s">
        <v>95</v>
      </c>
      <c r="Q471" s="8">
        <v>1</v>
      </c>
      <c r="R471" s="8" t="s">
        <v>95</v>
      </c>
      <c r="S471" s="8">
        <v>1</v>
      </c>
      <c r="T471" s="8" t="s">
        <v>95</v>
      </c>
      <c r="U471" s="8">
        <v>1</v>
      </c>
      <c r="V471" s="8" t="s">
        <v>95</v>
      </c>
      <c r="W471" s="8">
        <v>1</v>
      </c>
      <c r="X471" s="8" t="s">
        <v>95</v>
      </c>
      <c r="Y471" s="8">
        <v>1</v>
      </c>
      <c r="Z471" s="8" t="s">
        <v>95</v>
      </c>
      <c r="AA471" s="8">
        <v>1</v>
      </c>
      <c r="AB471" s="8" t="s">
        <v>95</v>
      </c>
      <c r="AC471" s="8">
        <v>1</v>
      </c>
      <c r="AD471" s="8" t="s">
        <v>95</v>
      </c>
      <c r="AE471" s="8">
        <v>1</v>
      </c>
      <c r="AF471" s="8" t="s">
        <v>95</v>
      </c>
      <c r="AG471" s="8">
        <v>1</v>
      </c>
      <c r="AH471" s="8" t="s">
        <v>95</v>
      </c>
      <c r="AI471" s="8">
        <v>1</v>
      </c>
      <c r="AJ471" s="8" t="s">
        <v>95</v>
      </c>
      <c r="AK471" s="8">
        <v>1</v>
      </c>
      <c r="AL471" s="8" t="s">
        <v>95</v>
      </c>
      <c r="AM471" s="8">
        <v>1</v>
      </c>
      <c r="AN471" s="8">
        <v>16</v>
      </c>
    </row>
    <row r="472" spans="1:40" x14ac:dyDescent="0.25">
      <c r="A472" s="8" t="s">
        <v>532</v>
      </c>
      <c r="B472" s="9">
        <v>42033.678472222222</v>
      </c>
      <c r="C472" s="8">
        <v>0</v>
      </c>
      <c r="D472" s="9">
        <v>42043.969444444447</v>
      </c>
      <c r="E472" s="8" t="s">
        <v>93</v>
      </c>
      <c r="F472" s="8">
        <v>16</v>
      </c>
      <c r="G472" s="8" t="s">
        <v>94</v>
      </c>
      <c r="H472" s="8" t="s">
        <v>95</v>
      </c>
      <c r="I472" s="8">
        <v>1</v>
      </c>
      <c r="J472" s="8" t="s">
        <v>95</v>
      </c>
      <c r="K472" s="8">
        <v>1</v>
      </c>
      <c r="L472" s="8" t="s">
        <v>95</v>
      </c>
      <c r="M472" s="8">
        <v>1</v>
      </c>
      <c r="N472" s="8" t="s">
        <v>95</v>
      </c>
      <c r="O472" s="8">
        <v>1</v>
      </c>
      <c r="P472" s="8" t="s">
        <v>95</v>
      </c>
      <c r="Q472" s="8">
        <v>1</v>
      </c>
      <c r="R472" s="8" t="s">
        <v>95</v>
      </c>
      <c r="S472" s="8">
        <v>1</v>
      </c>
      <c r="T472" s="8" t="s">
        <v>95</v>
      </c>
      <c r="U472" s="8">
        <v>1</v>
      </c>
      <c r="V472" s="8" t="s">
        <v>95</v>
      </c>
      <c r="W472" s="8">
        <v>1</v>
      </c>
      <c r="X472" s="8" t="s">
        <v>95</v>
      </c>
      <c r="Y472" s="8">
        <v>1</v>
      </c>
      <c r="Z472" s="8" t="s">
        <v>95</v>
      </c>
      <c r="AA472" s="8">
        <v>1</v>
      </c>
      <c r="AB472" s="8" t="s">
        <v>95</v>
      </c>
      <c r="AC472" s="8">
        <v>1</v>
      </c>
      <c r="AD472" s="8" t="s">
        <v>95</v>
      </c>
      <c r="AE472" s="8">
        <v>1</v>
      </c>
      <c r="AF472" s="8" t="s">
        <v>95</v>
      </c>
      <c r="AG472" s="8">
        <v>1</v>
      </c>
      <c r="AH472" s="8" t="s">
        <v>95</v>
      </c>
      <c r="AI472" s="8">
        <v>1</v>
      </c>
      <c r="AJ472" s="8" t="s">
        <v>95</v>
      </c>
      <c r="AK472" s="8">
        <v>1</v>
      </c>
      <c r="AL472" s="8" t="s">
        <v>95</v>
      </c>
      <c r="AM472" s="8">
        <v>1</v>
      </c>
      <c r="AN472" s="8">
        <v>16</v>
      </c>
    </row>
    <row r="473" spans="1:40" x14ac:dyDescent="0.25">
      <c r="A473" s="8" t="s">
        <v>533</v>
      </c>
      <c r="B473" s="9">
        <v>42033.67291666667</v>
      </c>
      <c r="C473" s="8">
        <v>0</v>
      </c>
      <c r="D473" s="9">
        <v>42043.980555555558</v>
      </c>
      <c r="E473" s="8" t="s">
        <v>93</v>
      </c>
      <c r="F473" s="8">
        <v>15</v>
      </c>
      <c r="G473" s="8" t="s">
        <v>94</v>
      </c>
      <c r="H473" s="8" t="s">
        <v>95</v>
      </c>
      <c r="I473" s="8">
        <v>1</v>
      </c>
      <c r="J473" s="8" t="s">
        <v>95</v>
      </c>
      <c r="K473" s="8">
        <v>1</v>
      </c>
      <c r="L473" s="8" t="s">
        <v>95</v>
      </c>
      <c r="M473" s="8">
        <v>1</v>
      </c>
      <c r="N473" s="8" t="s">
        <v>95</v>
      </c>
      <c r="O473" s="8">
        <v>1</v>
      </c>
      <c r="P473" s="8" t="s">
        <v>95</v>
      </c>
      <c r="Q473" s="8">
        <v>1</v>
      </c>
      <c r="R473" s="8" t="s">
        <v>95</v>
      </c>
      <c r="S473" s="8">
        <v>1</v>
      </c>
      <c r="T473" s="8" t="s">
        <v>95</v>
      </c>
      <c r="U473" s="8">
        <v>1</v>
      </c>
      <c r="V473" s="8" t="s">
        <v>95</v>
      </c>
      <c r="W473" s="8">
        <v>1</v>
      </c>
      <c r="X473" s="8" t="s">
        <v>94</v>
      </c>
      <c r="Y473" s="8">
        <v>0</v>
      </c>
      <c r="Z473" s="8" t="s">
        <v>95</v>
      </c>
      <c r="AA473" s="8">
        <v>1</v>
      </c>
      <c r="AB473" s="8" t="s">
        <v>95</v>
      </c>
      <c r="AC473" s="8">
        <v>1</v>
      </c>
      <c r="AD473" s="8" t="s">
        <v>95</v>
      </c>
      <c r="AE473" s="8">
        <v>1</v>
      </c>
      <c r="AF473" s="8" t="s">
        <v>95</v>
      </c>
      <c r="AG473" s="8">
        <v>1</v>
      </c>
      <c r="AH473" s="8" t="s">
        <v>95</v>
      </c>
      <c r="AI473" s="8">
        <v>1</v>
      </c>
      <c r="AJ473" s="8" t="s">
        <v>95</v>
      </c>
      <c r="AK473" s="8">
        <v>1</v>
      </c>
      <c r="AL473" s="8" t="s">
        <v>95</v>
      </c>
      <c r="AM473" s="8">
        <v>1</v>
      </c>
      <c r="AN473" s="8">
        <v>15</v>
      </c>
    </row>
    <row r="474" spans="1:40" x14ac:dyDescent="0.25">
      <c r="A474" s="8" t="s">
        <v>534</v>
      </c>
      <c r="B474" s="9">
        <v>42033.657638888886</v>
      </c>
      <c r="C474" s="8">
        <v>0</v>
      </c>
      <c r="D474" s="9">
        <v>42043.989583333336</v>
      </c>
      <c r="E474" s="8" t="s">
        <v>93</v>
      </c>
      <c r="F474" s="8">
        <v>10</v>
      </c>
      <c r="G474" s="8" t="s">
        <v>94</v>
      </c>
      <c r="H474" s="8" t="s">
        <v>94</v>
      </c>
      <c r="I474" s="8">
        <v>0</v>
      </c>
      <c r="J474" s="8" t="s">
        <v>95</v>
      </c>
      <c r="K474" s="8">
        <v>1</v>
      </c>
      <c r="L474" s="8" t="s">
        <v>95</v>
      </c>
      <c r="M474" s="8">
        <v>1</v>
      </c>
      <c r="N474" s="8" t="s">
        <v>94</v>
      </c>
      <c r="O474" s="8">
        <v>0</v>
      </c>
      <c r="P474" s="8" t="s">
        <v>95</v>
      </c>
      <c r="Q474" s="8">
        <v>1</v>
      </c>
      <c r="R474" s="8" t="s">
        <v>95</v>
      </c>
      <c r="S474" s="8">
        <v>1</v>
      </c>
      <c r="T474" s="8" t="s">
        <v>95</v>
      </c>
      <c r="U474" s="8">
        <v>1</v>
      </c>
      <c r="V474" s="8" t="s">
        <v>94</v>
      </c>
      <c r="W474" s="8">
        <v>0</v>
      </c>
      <c r="X474" s="8" t="s">
        <v>94</v>
      </c>
      <c r="Y474" s="8">
        <v>0</v>
      </c>
      <c r="Z474" s="8" t="s">
        <v>95</v>
      </c>
      <c r="AA474" s="8">
        <v>1</v>
      </c>
      <c r="AB474" s="8" t="s">
        <v>95</v>
      </c>
      <c r="AC474" s="8">
        <v>1</v>
      </c>
      <c r="AD474" s="8" t="s">
        <v>94</v>
      </c>
      <c r="AE474" s="8">
        <v>0</v>
      </c>
      <c r="AF474" s="8" t="s">
        <v>95</v>
      </c>
      <c r="AG474" s="8">
        <v>1</v>
      </c>
      <c r="AH474" s="8" t="s">
        <v>95</v>
      </c>
      <c r="AI474" s="8">
        <v>1</v>
      </c>
      <c r="AJ474" s="8" t="s">
        <v>95</v>
      </c>
      <c r="AK474" s="8">
        <v>1</v>
      </c>
      <c r="AL474" s="8" t="s">
        <v>94</v>
      </c>
      <c r="AM474" s="8">
        <v>0</v>
      </c>
      <c r="AN474" s="8">
        <v>10</v>
      </c>
    </row>
    <row r="475" spans="1:40" x14ac:dyDescent="0.25">
      <c r="A475" s="8" t="s">
        <v>535</v>
      </c>
      <c r="B475" s="9">
        <v>42033.658333333333</v>
      </c>
      <c r="C475" s="8">
        <v>0</v>
      </c>
      <c r="D475" s="9">
        <v>42043.990277777775</v>
      </c>
      <c r="E475" s="8" t="s">
        <v>93</v>
      </c>
      <c r="F475" s="8">
        <v>2</v>
      </c>
      <c r="G475" s="8" t="s">
        <v>94</v>
      </c>
      <c r="H475" s="8" t="s">
        <v>94</v>
      </c>
      <c r="I475" s="8">
        <v>0</v>
      </c>
      <c r="J475" s="8" t="s">
        <v>94</v>
      </c>
      <c r="K475" s="8">
        <v>0</v>
      </c>
      <c r="L475" s="8" t="s">
        <v>94</v>
      </c>
      <c r="M475" s="8">
        <v>0</v>
      </c>
      <c r="N475" s="8" t="s">
        <v>94</v>
      </c>
      <c r="O475" s="8">
        <v>0</v>
      </c>
      <c r="P475" s="8" t="s">
        <v>94</v>
      </c>
      <c r="Q475" s="8">
        <v>0</v>
      </c>
      <c r="R475" s="8" t="s">
        <v>94</v>
      </c>
      <c r="S475" s="8">
        <v>0</v>
      </c>
      <c r="T475" s="8" t="s">
        <v>94</v>
      </c>
      <c r="U475" s="8">
        <v>0</v>
      </c>
      <c r="V475" s="8" t="s">
        <v>94</v>
      </c>
      <c r="W475" s="8">
        <v>0</v>
      </c>
      <c r="X475" s="8" t="s">
        <v>94</v>
      </c>
      <c r="Y475" s="8">
        <v>0</v>
      </c>
      <c r="Z475" s="8" t="s">
        <v>94</v>
      </c>
      <c r="AA475" s="8">
        <v>0</v>
      </c>
      <c r="AB475" s="8" t="s">
        <v>94</v>
      </c>
      <c r="AC475" s="8">
        <v>0</v>
      </c>
      <c r="AD475" s="8" t="s">
        <v>95</v>
      </c>
      <c r="AE475" s="8">
        <v>1</v>
      </c>
      <c r="AF475" s="8" t="s">
        <v>95</v>
      </c>
      <c r="AG475" s="8">
        <v>1</v>
      </c>
      <c r="AH475" s="8" t="s">
        <v>94</v>
      </c>
      <c r="AI475" s="8">
        <v>0</v>
      </c>
      <c r="AJ475" s="8" t="s">
        <v>94</v>
      </c>
      <c r="AK475" s="8">
        <v>0</v>
      </c>
      <c r="AL475" s="8" t="s">
        <v>94</v>
      </c>
      <c r="AM475" s="8">
        <v>0</v>
      </c>
      <c r="AN475" s="8">
        <v>2</v>
      </c>
    </row>
    <row r="476" spans="1:40" x14ac:dyDescent="0.25">
      <c r="A476" s="8" t="s">
        <v>536</v>
      </c>
      <c r="B476" s="9">
        <v>42033.656944444447</v>
      </c>
      <c r="C476" s="8">
        <v>0</v>
      </c>
      <c r="D476" s="9">
        <v>42043.990277777775</v>
      </c>
      <c r="E476" s="8" t="s">
        <v>93</v>
      </c>
      <c r="F476" s="8">
        <v>15</v>
      </c>
      <c r="G476" s="8" t="s">
        <v>94</v>
      </c>
      <c r="H476" s="8" t="s">
        <v>95</v>
      </c>
      <c r="I476" s="8">
        <v>1</v>
      </c>
      <c r="J476" s="8" t="s">
        <v>95</v>
      </c>
      <c r="K476" s="8">
        <v>1</v>
      </c>
      <c r="L476" s="8" t="s">
        <v>95</v>
      </c>
      <c r="M476" s="8">
        <v>1</v>
      </c>
      <c r="N476" s="8" t="s">
        <v>94</v>
      </c>
      <c r="O476" s="8">
        <v>0</v>
      </c>
      <c r="P476" s="8" t="s">
        <v>95</v>
      </c>
      <c r="Q476" s="8">
        <v>1</v>
      </c>
      <c r="R476" s="8" t="s">
        <v>95</v>
      </c>
      <c r="S476" s="8">
        <v>1</v>
      </c>
      <c r="T476" s="8" t="s">
        <v>95</v>
      </c>
      <c r="U476" s="8">
        <v>1</v>
      </c>
      <c r="V476" s="8" t="s">
        <v>95</v>
      </c>
      <c r="W476" s="8">
        <v>1</v>
      </c>
      <c r="X476" s="8" t="s">
        <v>95</v>
      </c>
      <c r="Y476" s="8">
        <v>1</v>
      </c>
      <c r="Z476" s="8" t="s">
        <v>95</v>
      </c>
      <c r="AA476" s="8">
        <v>1</v>
      </c>
      <c r="AB476" s="8" t="s">
        <v>95</v>
      </c>
      <c r="AC476" s="8">
        <v>1</v>
      </c>
      <c r="AD476" s="8" t="s">
        <v>95</v>
      </c>
      <c r="AE476" s="8">
        <v>1</v>
      </c>
      <c r="AF476" s="8" t="s">
        <v>95</v>
      </c>
      <c r="AG476" s="8">
        <v>1</v>
      </c>
      <c r="AH476" s="8" t="s">
        <v>95</v>
      </c>
      <c r="AI476" s="8">
        <v>1</v>
      </c>
      <c r="AJ476" s="8" t="s">
        <v>95</v>
      </c>
      <c r="AK476" s="8">
        <v>1</v>
      </c>
      <c r="AL476" s="8" t="s">
        <v>95</v>
      </c>
      <c r="AM476" s="8">
        <v>1</v>
      </c>
      <c r="AN476" s="8">
        <v>15</v>
      </c>
    </row>
    <row r="477" spans="1:40" x14ac:dyDescent="0.25">
      <c r="A477" s="8" t="s">
        <v>537</v>
      </c>
      <c r="B477" s="9">
        <v>42033.683333333334</v>
      </c>
      <c r="C477" s="8">
        <v>0</v>
      </c>
      <c r="D477" s="9">
        <v>42044.01666666667</v>
      </c>
      <c r="E477" s="8" t="s">
        <v>93</v>
      </c>
      <c r="F477" s="8">
        <v>16</v>
      </c>
      <c r="G477" s="8" t="s">
        <v>94</v>
      </c>
      <c r="H477" s="8" t="s">
        <v>95</v>
      </c>
      <c r="I477" s="8">
        <v>1</v>
      </c>
      <c r="J477" s="8" t="s">
        <v>95</v>
      </c>
      <c r="K477" s="8">
        <v>1</v>
      </c>
      <c r="L477" s="8" t="s">
        <v>95</v>
      </c>
      <c r="M477" s="8">
        <v>1</v>
      </c>
      <c r="N477" s="8" t="s">
        <v>95</v>
      </c>
      <c r="O477" s="8">
        <v>1</v>
      </c>
      <c r="P477" s="8" t="s">
        <v>95</v>
      </c>
      <c r="Q477" s="8">
        <v>1</v>
      </c>
      <c r="R477" s="8" t="s">
        <v>95</v>
      </c>
      <c r="S477" s="8">
        <v>1</v>
      </c>
      <c r="T477" s="8" t="s">
        <v>95</v>
      </c>
      <c r="U477" s="8">
        <v>1</v>
      </c>
      <c r="V477" s="8" t="s">
        <v>95</v>
      </c>
      <c r="W477" s="8">
        <v>1</v>
      </c>
      <c r="X477" s="8" t="s">
        <v>95</v>
      </c>
      <c r="Y477" s="8">
        <v>1</v>
      </c>
      <c r="Z477" s="8" t="s">
        <v>95</v>
      </c>
      <c r="AA477" s="8">
        <v>1</v>
      </c>
      <c r="AB477" s="8" t="s">
        <v>95</v>
      </c>
      <c r="AC477" s="8">
        <v>1</v>
      </c>
      <c r="AD477" s="8" t="s">
        <v>95</v>
      </c>
      <c r="AE477" s="8">
        <v>1</v>
      </c>
      <c r="AF477" s="8" t="s">
        <v>95</v>
      </c>
      <c r="AG477" s="8">
        <v>1</v>
      </c>
      <c r="AH477" s="8" t="s">
        <v>95</v>
      </c>
      <c r="AI477" s="8">
        <v>1</v>
      </c>
      <c r="AJ477" s="8" t="s">
        <v>95</v>
      </c>
      <c r="AK477" s="8">
        <v>1</v>
      </c>
      <c r="AL477" s="8" t="s">
        <v>95</v>
      </c>
      <c r="AM477" s="8">
        <v>1</v>
      </c>
      <c r="AN477" s="8">
        <v>16</v>
      </c>
    </row>
    <row r="478" spans="1:40" x14ac:dyDescent="0.25">
      <c r="A478" s="8" t="s">
        <v>538</v>
      </c>
      <c r="B478" s="9">
        <v>42033.676388888889</v>
      </c>
      <c r="C478" s="8">
        <v>0</v>
      </c>
      <c r="D478" s="9">
        <v>42044.020138888889</v>
      </c>
      <c r="E478" s="8" t="s">
        <v>93</v>
      </c>
      <c r="F478" s="8">
        <v>16</v>
      </c>
      <c r="G478" s="8" t="s">
        <v>94</v>
      </c>
      <c r="H478" s="8" t="s">
        <v>95</v>
      </c>
      <c r="I478" s="8">
        <v>1</v>
      </c>
      <c r="J478" s="8" t="s">
        <v>95</v>
      </c>
      <c r="K478" s="8">
        <v>1</v>
      </c>
      <c r="L478" s="8" t="s">
        <v>95</v>
      </c>
      <c r="M478" s="8">
        <v>1</v>
      </c>
      <c r="N478" s="8" t="s">
        <v>95</v>
      </c>
      <c r="O478" s="8">
        <v>1</v>
      </c>
      <c r="P478" s="8" t="s">
        <v>95</v>
      </c>
      <c r="Q478" s="8">
        <v>1</v>
      </c>
      <c r="R478" s="8" t="s">
        <v>95</v>
      </c>
      <c r="S478" s="8">
        <v>1</v>
      </c>
      <c r="T478" s="8" t="s">
        <v>95</v>
      </c>
      <c r="U478" s="8">
        <v>1</v>
      </c>
      <c r="V478" s="8" t="s">
        <v>95</v>
      </c>
      <c r="W478" s="8">
        <v>1</v>
      </c>
      <c r="X478" s="8" t="s">
        <v>95</v>
      </c>
      <c r="Y478" s="8">
        <v>1</v>
      </c>
      <c r="Z478" s="8" t="s">
        <v>95</v>
      </c>
      <c r="AA478" s="8">
        <v>1</v>
      </c>
      <c r="AB478" s="8" t="s">
        <v>95</v>
      </c>
      <c r="AC478" s="8">
        <v>1</v>
      </c>
      <c r="AD478" s="8" t="s">
        <v>95</v>
      </c>
      <c r="AE478" s="8">
        <v>1</v>
      </c>
      <c r="AF478" s="8" t="s">
        <v>95</v>
      </c>
      <c r="AG478" s="8">
        <v>1</v>
      </c>
      <c r="AH478" s="8" t="s">
        <v>95</v>
      </c>
      <c r="AI478" s="8">
        <v>1</v>
      </c>
      <c r="AJ478" s="8" t="s">
        <v>95</v>
      </c>
      <c r="AK478" s="8">
        <v>1</v>
      </c>
      <c r="AL478" s="8" t="s">
        <v>95</v>
      </c>
      <c r="AM478" s="8">
        <v>1</v>
      </c>
      <c r="AN478" s="8">
        <v>16</v>
      </c>
    </row>
    <row r="479" spans="1:40" x14ac:dyDescent="0.25">
      <c r="A479" s="8" t="s">
        <v>539</v>
      </c>
      <c r="B479" s="9">
        <v>42033.671527777777</v>
      </c>
      <c r="C479" s="8">
        <v>0</v>
      </c>
      <c r="D479" s="9">
        <v>42044.023611111108</v>
      </c>
      <c r="E479" s="8" t="s">
        <v>93</v>
      </c>
      <c r="F479" s="8">
        <v>2</v>
      </c>
      <c r="G479" s="8" t="s">
        <v>94</v>
      </c>
      <c r="H479" s="8" t="s">
        <v>94</v>
      </c>
      <c r="I479" s="8">
        <v>0</v>
      </c>
      <c r="J479" s="8" t="s">
        <v>94</v>
      </c>
      <c r="K479" s="8">
        <v>0</v>
      </c>
      <c r="L479" s="8" t="s">
        <v>94</v>
      </c>
      <c r="M479" s="8">
        <v>0</v>
      </c>
      <c r="N479" s="8" t="s">
        <v>94</v>
      </c>
      <c r="O479" s="8">
        <v>0</v>
      </c>
      <c r="P479" s="8" t="s">
        <v>94</v>
      </c>
      <c r="Q479" s="8">
        <v>0</v>
      </c>
      <c r="R479" s="8" t="s">
        <v>94</v>
      </c>
      <c r="S479" s="8">
        <v>0</v>
      </c>
      <c r="T479" s="8" t="s">
        <v>94</v>
      </c>
      <c r="U479" s="8">
        <v>0</v>
      </c>
      <c r="V479" s="8" t="s">
        <v>94</v>
      </c>
      <c r="W479" s="8">
        <v>0</v>
      </c>
      <c r="X479" s="8" t="s">
        <v>94</v>
      </c>
      <c r="Y479" s="8">
        <v>0</v>
      </c>
      <c r="Z479" s="8" t="s">
        <v>95</v>
      </c>
      <c r="AA479" s="8">
        <v>1</v>
      </c>
      <c r="AB479" s="8" t="s">
        <v>94</v>
      </c>
      <c r="AC479" s="8">
        <v>0</v>
      </c>
      <c r="AD479" s="8" t="s">
        <v>95</v>
      </c>
      <c r="AE479" s="8">
        <v>1</v>
      </c>
      <c r="AF479" s="8" t="s">
        <v>94</v>
      </c>
      <c r="AG479" s="8">
        <v>0</v>
      </c>
      <c r="AH479" s="8" t="s">
        <v>94</v>
      </c>
      <c r="AI479" s="8">
        <v>0</v>
      </c>
      <c r="AJ479" s="8" t="s">
        <v>94</v>
      </c>
      <c r="AK479" s="8">
        <v>0</v>
      </c>
      <c r="AL479" s="8" t="s">
        <v>94</v>
      </c>
      <c r="AM479" s="8">
        <v>0</v>
      </c>
      <c r="AN479" s="8">
        <v>2</v>
      </c>
    </row>
    <row r="480" spans="1:40" x14ac:dyDescent="0.25">
      <c r="A480" s="8" t="s">
        <v>540</v>
      </c>
      <c r="B480" s="9">
        <v>42033.678472222222</v>
      </c>
      <c r="C480" s="8">
        <v>0</v>
      </c>
      <c r="D480" s="9">
        <v>42044.027083333334</v>
      </c>
      <c r="E480" s="8" t="s">
        <v>93</v>
      </c>
      <c r="F480" s="8">
        <v>16</v>
      </c>
      <c r="G480" s="8" t="s">
        <v>94</v>
      </c>
      <c r="H480" s="8" t="s">
        <v>95</v>
      </c>
      <c r="I480" s="8">
        <v>1</v>
      </c>
      <c r="J480" s="8" t="s">
        <v>95</v>
      </c>
      <c r="K480" s="8">
        <v>1</v>
      </c>
      <c r="L480" s="8" t="s">
        <v>95</v>
      </c>
      <c r="M480" s="8">
        <v>1</v>
      </c>
      <c r="N480" s="8" t="s">
        <v>95</v>
      </c>
      <c r="O480" s="8">
        <v>1</v>
      </c>
      <c r="P480" s="8" t="s">
        <v>95</v>
      </c>
      <c r="Q480" s="8">
        <v>1</v>
      </c>
      <c r="R480" s="8" t="s">
        <v>95</v>
      </c>
      <c r="S480" s="8">
        <v>1</v>
      </c>
      <c r="T480" s="8" t="s">
        <v>95</v>
      </c>
      <c r="U480" s="8">
        <v>1</v>
      </c>
      <c r="V480" s="8" t="s">
        <v>95</v>
      </c>
      <c r="W480" s="8">
        <v>1</v>
      </c>
      <c r="X480" s="8" t="s">
        <v>95</v>
      </c>
      <c r="Y480" s="8">
        <v>1</v>
      </c>
      <c r="Z480" s="8" t="s">
        <v>95</v>
      </c>
      <c r="AA480" s="8">
        <v>1</v>
      </c>
      <c r="AB480" s="8" t="s">
        <v>95</v>
      </c>
      <c r="AC480" s="8">
        <v>1</v>
      </c>
      <c r="AD480" s="8" t="s">
        <v>95</v>
      </c>
      <c r="AE480" s="8">
        <v>1</v>
      </c>
      <c r="AF480" s="8" t="s">
        <v>95</v>
      </c>
      <c r="AG480" s="8">
        <v>1</v>
      </c>
      <c r="AH480" s="8" t="s">
        <v>95</v>
      </c>
      <c r="AI480" s="8">
        <v>1</v>
      </c>
      <c r="AJ480" s="8" t="s">
        <v>95</v>
      </c>
      <c r="AK480" s="8">
        <v>1</v>
      </c>
      <c r="AL480" s="8" t="s">
        <v>95</v>
      </c>
      <c r="AM480" s="8">
        <v>1</v>
      </c>
      <c r="AN480" s="8">
        <v>16</v>
      </c>
    </row>
    <row r="481" spans="1:40" x14ac:dyDescent="0.25">
      <c r="A481" s="8" t="s">
        <v>541</v>
      </c>
      <c r="B481" s="9">
        <v>42033.682638888888</v>
      </c>
      <c r="C481" s="8">
        <v>0</v>
      </c>
      <c r="D481" s="9">
        <v>42044.027083333334</v>
      </c>
      <c r="E481" s="8" t="s">
        <v>93</v>
      </c>
      <c r="F481" s="8">
        <v>16</v>
      </c>
      <c r="G481" s="8" t="s">
        <v>94</v>
      </c>
      <c r="H481" s="8" t="s">
        <v>95</v>
      </c>
      <c r="I481" s="8">
        <v>1</v>
      </c>
      <c r="J481" s="8" t="s">
        <v>95</v>
      </c>
      <c r="K481" s="8">
        <v>1</v>
      </c>
      <c r="L481" s="8" t="s">
        <v>95</v>
      </c>
      <c r="M481" s="8">
        <v>1</v>
      </c>
      <c r="N481" s="8" t="s">
        <v>95</v>
      </c>
      <c r="O481" s="8">
        <v>1</v>
      </c>
      <c r="P481" s="8" t="s">
        <v>95</v>
      </c>
      <c r="Q481" s="8">
        <v>1</v>
      </c>
      <c r="R481" s="8" t="s">
        <v>95</v>
      </c>
      <c r="S481" s="8">
        <v>1</v>
      </c>
      <c r="T481" s="8" t="s">
        <v>95</v>
      </c>
      <c r="U481" s="8">
        <v>1</v>
      </c>
      <c r="V481" s="8" t="s">
        <v>95</v>
      </c>
      <c r="W481" s="8">
        <v>1</v>
      </c>
      <c r="X481" s="8" t="s">
        <v>95</v>
      </c>
      <c r="Y481" s="8">
        <v>1</v>
      </c>
      <c r="Z481" s="8" t="s">
        <v>95</v>
      </c>
      <c r="AA481" s="8">
        <v>1</v>
      </c>
      <c r="AB481" s="8" t="s">
        <v>95</v>
      </c>
      <c r="AC481" s="8">
        <v>1</v>
      </c>
      <c r="AD481" s="8" t="s">
        <v>95</v>
      </c>
      <c r="AE481" s="8">
        <v>1</v>
      </c>
      <c r="AF481" s="8" t="s">
        <v>95</v>
      </c>
      <c r="AG481" s="8">
        <v>1</v>
      </c>
      <c r="AH481" s="8" t="s">
        <v>95</v>
      </c>
      <c r="AI481" s="8">
        <v>1</v>
      </c>
      <c r="AJ481" s="8" t="s">
        <v>95</v>
      </c>
      <c r="AK481" s="8">
        <v>1</v>
      </c>
      <c r="AL481" s="8" t="s">
        <v>95</v>
      </c>
      <c r="AM481" s="8">
        <v>1</v>
      </c>
      <c r="AN481" s="8">
        <v>16</v>
      </c>
    </row>
    <row r="482" spans="1:40" x14ac:dyDescent="0.25">
      <c r="A482" s="8" t="s">
        <v>542</v>
      </c>
      <c r="B482" s="9">
        <v>42033.682638888888</v>
      </c>
      <c r="C482" s="8">
        <v>0</v>
      </c>
      <c r="D482" s="9">
        <v>42044.02847222222</v>
      </c>
      <c r="E482" s="8" t="s">
        <v>93</v>
      </c>
      <c r="F482" s="8">
        <v>16</v>
      </c>
      <c r="G482" s="8" t="s">
        <v>94</v>
      </c>
      <c r="H482" s="8" t="s">
        <v>95</v>
      </c>
      <c r="I482" s="8">
        <v>1</v>
      </c>
      <c r="J482" s="8" t="s">
        <v>95</v>
      </c>
      <c r="K482" s="8">
        <v>1</v>
      </c>
      <c r="L482" s="8" t="s">
        <v>95</v>
      </c>
      <c r="M482" s="8">
        <v>1</v>
      </c>
      <c r="N482" s="8" t="s">
        <v>95</v>
      </c>
      <c r="O482" s="8">
        <v>1</v>
      </c>
      <c r="P482" s="8" t="s">
        <v>95</v>
      </c>
      <c r="Q482" s="8">
        <v>1</v>
      </c>
      <c r="R482" s="8" t="s">
        <v>95</v>
      </c>
      <c r="S482" s="8">
        <v>1</v>
      </c>
      <c r="T482" s="8" t="s">
        <v>95</v>
      </c>
      <c r="U482" s="8">
        <v>1</v>
      </c>
      <c r="V482" s="8" t="s">
        <v>95</v>
      </c>
      <c r="W482" s="8">
        <v>1</v>
      </c>
      <c r="X482" s="8" t="s">
        <v>95</v>
      </c>
      <c r="Y482" s="8">
        <v>1</v>
      </c>
      <c r="Z482" s="8" t="s">
        <v>95</v>
      </c>
      <c r="AA482" s="8">
        <v>1</v>
      </c>
      <c r="AB482" s="8" t="s">
        <v>95</v>
      </c>
      <c r="AC482" s="8">
        <v>1</v>
      </c>
      <c r="AD482" s="8" t="s">
        <v>95</v>
      </c>
      <c r="AE482" s="8">
        <v>1</v>
      </c>
      <c r="AF482" s="8" t="s">
        <v>95</v>
      </c>
      <c r="AG482" s="8">
        <v>1</v>
      </c>
      <c r="AH482" s="8" t="s">
        <v>95</v>
      </c>
      <c r="AI482" s="8">
        <v>1</v>
      </c>
      <c r="AJ482" s="8" t="s">
        <v>95</v>
      </c>
      <c r="AK482" s="8">
        <v>1</v>
      </c>
      <c r="AL482" s="8" t="s">
        <v>95</v>
      </c>
      <c r="AM482" s="8">
        <v>1</v>
      </c>
      <c r="AN482" s="8">
        <v>16</v>
      </c>
    </row>
    <row r="483" spans="1:40" x14ac:dyDescent="0.25">
      <c r="A483" s="8" t="s">
        <v>543</v>
      </c>
      <c r="B483" s="9">
        <v>42033.68472222222</v>
      </c>
      <c r="C483" s="8">
        <v>0</v>
      </c>
      <c r="D483" s="9">
        <v>42044.032638888886</v>
      </c>
      <c r="E483" s="8" t="s">
        <v>93</v>
      </c>
      <c r="F483" s="8">
        <v>16</v>
      </c>
      <c r="G483" s="8" t="s">
        <v>94</v>
      </c>
      <c r="H483" s="8" t="s">
        <v>95</v>
      </c>
      <c r="I483" s="8">
        <v>1</v>
      </c>
      <c r="J483" s="8" t="s">
        <v>95</v>
      </c>
      <c r="K483" s="8">
        <v>1</v>
      </c>
      <c r="L483" s="8" t="s">
        <v>95</v>
      </c>
      <c r="M483" s="8">
        <v>1</v>
      </c>
      <c r="N483" s="8" t="s">
        <v>95</v>
      </c>
      <c r="O483" s="8">
        <v>1</v>
      </c>
      <c r="P483" s="8" t="s">
        <v>95</v>
      </c>
      <c r="Q483" s="8">
        <v>1</v>
      </c>
      <c r="R483" s="8" t="s">
        <v>95</v>
      </c>
      <c r="S483" s="8">
        <v>1</v>
      </c>
      <c r="T483" s="8" t="s">
        <v>95</v>
      </c>
      <c r="U483" s="8">
        <v>1</v>
      </c>
      <c r="V483" s="8" t="s">
        <v>95</v>
      </c>
      <c r="W483" s="8">
        <v>1</v>
      </c>
      <c r="X483" s="8" t="s">
        <v>95</v>
      </c>
      <c r="Y483" s="8">
        <v>1</v>
      </c>
      <c r="Z483" s="8" t="s">
        <v>95</v>
      </c>
      <c r="AA483" s="8">
        <v>1</v>
      </c>
      <c r="AB483" s="8" t="s">
        <v>95</v>
      </c>
      <c r="AC483" s="8">
        <v>1</v>
      </c>
      <c r="AD483" s="8" t="s">
        <v>95</v>
      </c>
      <c r="AE483" s="8">
        <v>1</v>
      </c>
      <c r="AF483" s="8" t="s">
        <v>95</v>
      </c>
      <c r="AG483" s="8">
        <v>1</v>
      </c>
      <c r="AH483" s="8" t="s">
        <v>95</v>
      </c>
      <c r="AI483" s="8">
        <v>1</v>
      </c>
      <c r="AJ483" s="8" t="s">
        <v>95</v>
      </c>
      <c r="AK483" s="8">
        <v>1</v>
      </c>
      <c r="AL483" s="8" t="s">
        <v>95</v>
      </c>
      <c r="AM483" s="8">
        <v>1</v>
      </c>
      <c r="AN483" s="8">
        <v>16</v>
      </c>
    </row>
    <row r="484" spans="1:40" x14ac:dyDescent="0.25">
      <c r="A484" s="8" t="s">
        <v>544</v>
      </c>
      <c r="B484" s="9">
        <v>42033.682638888888</v>
      </c>
      <c r="C484" s="8">
        <v>0</v>
      </c>
      <c r="D484" s="9">
        <v>42044.033333333333</v>
      </c>
      <c r="E484" s="8" t="s">
        <v>93</v>
      </c>
      <c r="F484" s="8">
        <v>15</v>
      </c>
      <c r="G484" s="8" t="s">
        <v>94</v>
      </c>
      <c r="H484" s="8" t="s">
        <v>95</v>
      </c>
      <c r="I484" s="8">
        <v>1</v>
      </c>
      <c r="J484" s="8" t="s">
        <v>95</v>
      </c>
      <c r="K484" s="8">
        <v>1</v>
      </c>
      <c r="L484" s="8" t="s">
        <v>95</v>
      </c>
      <c r="M484" s="8">
        <v>1</v>
      </c>
      <c r="N484" s="8" t="s">
        <v>95</v>
      </c>
      <c r="O484" s="8">
        <v>1</v>
      </c>
      <c r="P484" s="8" t="s">
        <v>95</v>
      </c>
      <c r="Q484" s="8">
        <v>1</v>
      </c>
      <c r="R484" s="8" t="s">
        <v>95</v>
      </c>
      <c r="S484" s="8">
        <v>1</v>
      </c>
      <c r="T484" s="8" t="s">
        <v>95</v>
      </c>
      <c r="U484" s="8">
        <v>1</v>
      </c>
      <c r="V484" s="8" t="s">
        <v>95</v>
      </c>
      <c r="W484" s="8">
        <v>1</v>
      </c>
      <c r="X484" s="8" t="s">
        <v>95</v>
      </c>
      <c r="Y484" s="8">
        <v>1</v>
      </c>
      <c r="Z484" s="8" t="s">
        <v>95</v>
      </c>
      <c r="AA484" s="8">
        <v>1</v>
      </c>
      <c r="AB484" s="8" t="s">
        <v>95</v>
      </c>
      <c r="AC484" s="8">
        <v>1</v>
      </c>
      <c r="AD484" s="8" t="s">
        <v>95</v>
      </c>
      <c r="AE484" s="8">
        <v>1</v>
      </c>
      <c r="AF484" s="8" t="s">
        <v>95</v>
      </c>
      <c r="AG484" s="8">
        <v>1</v>
      </c>
      <c r="AH484" s="8" t="s">
        <v>95</v>
      </c>
      <c r="AI484" s="8">
        <v>1</v>
      </c>
      <c r="AJ484" s="8" t="s">
        <v>95</v>
      </c>
      <c r="AK484" s="8">
        <v>1</v>
      </c>
      <c r="AL484" s="8" t="s">
        <v>94</v>
      </c>
      <c r="AM484" s="8">
        <v>0</v>
      </c>
      <c r="AN484" s="8">
        <v>15</v>
      </c>
    </row>
    <row r="485" spans="1:40" x14ac:dyDescent="0.25">
      <c r="A485" s="8" t="s">
        <v>545</v>
      </c>
      <c r="B485" s="9">
        <v>42033.677083333336</v>
      </c>
      <c r="C485" s="8">
        <v>0</v>
      </c>
      <c r="D485" s="9">
        <v>42044.03402777778</v>
      </c>
      <c r="E485" s="8" t="s">
        <v>93</v>
      </c>
      <c r="F485" s="8">
        <v>16</v>
      </c>
      <c r="G485" s="8" t="s">
        <v>94</v>
      </c>
      <c r="H485" s="8" t="s">
        <v>95</v>
      </c>
      <c r="I485" s="8">
        <v>1</v>
      </c>
      <c r="J485" s="8" t="s">
        <v>95</v>
      </c>
      <c r="K485" s="8">
        <v>1</v>
      </c>
      <c r="L485" s="8" t="s">
        <v>95</v>
      </c>
      <c r="M485" s="8">
        <v>1</v>
      </c>
      <c r="N485" s="8" t="s">
        <v>95</v>
      </c>
      <c r="O485" s="8">
        <v>1</v>
      </c>
      <c r="P485" s="8" t="s">
        <v>95</v>
      </c>
      <c r="Q485" s="8">
        <v>1</v>
      </c>
      <c r="R485" s="8" t="s">
        <v>95</v>
      </c>
      <c r="S485" s="8">
        <v>1</v>
      </c>
      <c r="T485" s="8" t="s">
        <v>95</v>
      </c>
      <c r="U485" s="8">
        <v>1</v>
      </c>
      <c r="V485" s="8" t="s">
        <v>95</v>
      </c>
      <c r="W485" s="8">
        <v>1</v>
      </c>
      <c r="X485" s="8" t="s">
        <v>95</v>
      </c>
      <c r="Y485" s="8">
        <v>1</v>
      </c>
      <c r="Z485" s="8" t="s">
        <v>95</v>
      </c>
      <c r="AA485" s="8">
        <v>1</v>
      </c>
      <c r="AB485" s="8" t="s">
        <v>95</v>
      </c>
      <c r="AC485" s="8">
        <v>1</v>
      </c>
      <c r="AD485" s="8" t="s">
        <v>95</v>
      </c>
      <c r="AE485" s="8">
        <v>1</v>
      </c>
      <c r="AF485" s="8" t="s">
        <v>95</v>
      </c>
      <c r="AG485" s="8">
        <v>1</v>
      </c>
      <c r="AH485" s="8" t="s">
        <v>95</v>
      </c>
      <c r="AI485" s="8">
        <v>1</v>
      </c>
      <c r="AJ485" s="8" t="s">
        <v>95</v>
      </c>
      <c r="AK485" s="8">
        <v>1</v>
      </c>
      <c r="AL485" s="8" t="s">
        <v>95</v>
      </c>
      <c r="AM485" s="8">
        <v>1</v>
      </c>
      <c r="AN485" s="8">
        <v>16</v>
      </c>
    </row>
    <row r="486" spans="1:40" x14ac:dyDescent="0.25">
      <c r="A486" s="8" t="s">
        <v>546</v>
      </c>
      <c r="B486" s="9">
        <v>42033.68472222222</v>
      </c>
      <c r="C486" s="8">
        <v>0</v>
      </c>
      <c r="D486" s="9">
        <v>42044.03402777778</v>
      </c>
      <c r="E486" s="8" t="s">
        <v>93</v>
      </c>
      <c r="F486" s="8">
        <v>3</v>
      </c>
      <c r="G486" s="8" t="s">
        <v>94</v>
      </c>
      <c r="H486" s="8" t="s">
        <v>95</v>
      </c>
      <c r="I486" s="8">
        <v>1</v>
      </c>
      <c r="J486" s="8" t="s">
        <v>94</v>
      </c>
      <c r="K486" s="8">
        <v>0</v>
      </c>
      <c r="L486" s="8" t="s">
        <v>94</v>
      </c>
      <c r="M486" s="8">
        <v>0</v>
      </c>
      <c r="N486" s="8" t="s">
        <v>94</v>
      </c>
      <c r="O486" s="8">
        <v>0</v>
      </c>
      <c r="P486" s="8" t="s">
        <v>94</v>
      </c>
      <c r="Q486" s="8">
        <v>0</v>
      </c>
      <c r="R486" s="8" t="s">
        <v>94</v>
      </c>
      <c r="S486" s="8">
        <v>0</v>
      </c>
      <c r="T486" s="8" t="s">
        <v>94</v>
      </c>
      <c r="U486" s="8">
        <v>0</v>
      </c>
      <c r="V486" s="8" t="s">
        <v>94</v>
      </c>
      <c r="W486" s="8">
        <v>0</v>
      </c>
      <c r="X486" s="8" t="s">
        <v>94</v>
      </c>
      <c r="Y486" s="8">
        <v>0</v>
      </c>
      <c r="Z486" s="8" t="s">
        <v>94</v>
      </c>
      <c r="AA486" s="8">
        <v>0</v>
      </c>
      <c r="AB486" s="8" t="s">
        <v>94</v>
      </c>
      <c r="AC486" s="8">
        <v>0</v>
      </c>
      <c r="AD486" s="8" t="s">
        <v>95</v>
      </c>
      <c r="AE486" s="8">
        <v>1</v>
      </c>
      <c r="AF486" s="8" t="s">
        <v>94</v>
      </c>
      <c r="AG486" s="8">
        <v>0</v>
      </c>
      <c r="AH486" s="8" t="s">
        <v>95</v>
      </c>
      <c r="AI486" s="8">
        <v>1</v>
      </c>
      <c r="AJ486" s="8" t="s">
        <v>94</v>
      </c>
      <c r="AK486" s="8">
        <v>0</v>
      </c>
      <c r="AL486" s="8" t="s">
        <v>94</v>
      </c>
      <c r="AM486" s="8">
        <v>0</v>
      </c>
      <c r="AN486" s="8">
        <v>3</v>
      </c>
    </row>
    <row r="487" spans="1:40" x14ac:dyDescent="0.25">
      <c r="A487" s="8" t="s">
        <v>547</v>
      </c>
      <c r="B487" s="9">
        <v>42033.676388888889</v>
      </c>
      <c r="C487" s="8">
        <v>0</v>
      </c>
      <c r="D487" s="9">
        <v>42044.034722222219</v>
      </c>
      <c r="E487" s="8" t="s">
        <v>93</v>
      </c>
      <c r="F487" s="8">
        <v>16</v>
      </c>
      <c r="G487" s="8" t="s">
        <v>94</v>
      </c>
      <c r="H487" s="8" t="s">
        <v>95</v>
      </c>
      <c r="I487" s="8">
        <v>1</v>
      </c>
      <c r="J487" s="8" t="s">
        <v>95</v>
      </c>
      <c r="K487" s="8">
        <v>1</v>
      </c>
      <c r="L487" s="8" t="s">
        <v>95</v>
      </c>
      <c r="M487" s="8">
        <v>1</v>
      </c>
      <c r="N487" s="8" t="s">
        <v>95</v>
      </c>
      <c r="O487" s="8">
        <v>1</v>
      </c>
      <c r="P487" s="8" t="s">
        <v>95</v>
      </c>
      <c r="Q487" s="8">
        <v>1</v>
      </c>
      <c r="R487" s="8" t="s">
        <v>95</v>
      </c>
      <c r="S487" s="8">
        <v>1</v>
      </c>
      <c r="T487" s="8" t="s">
        <v>95</v>
      </c>
      <c r="U487" s="8">
        <v>1</v>
      </c>
      <c r="V487" s="8" t="s">
        <v>95</v>
      </c>
      <c r="W487" s="8">
        <v>1</v>
      </c>
      <c r="X487" s="8" t="s">
        <v>95</v>
      </c>
      <c r="Y487" s="8">
        <v>1</v>
      </c>
      <c r="Z487" s="8" t="s">
        <v>95</v>
      </c>
      <c r="AA487" s="8">
        <v>1</v>
      </c>
      <c r="AB487" s="8" t="s">
        <v>95</v>
      </c>
      <c r="AC487" s="8">
        <v>1</v>
      </c>
      <c r="AD487" s="8" t="s">
        <v>95</v>
      </c>
      <c r="AE487" s="8">
        <v>1</v>
      </c>
      <c r="AF487" s="8" t="s">
        <v>95</v>
      </c>
      <c r="AG487" s="8">
        <v>1</v>
      </c>
      <c r="AH487" s="8" t="s">
        <v>95</v>
      </c>
      <c r="AI487" s="8">
        <v>1</v>
      </c>
      <c r="AJ487" s="8" t="s">
        <v>95</v>
      </c>
      <c r="AK487" s="8">
        <v>1</v>
      </c>
      <c r="AL487" s="8" t="s">
        <v>95</v>
      </c>
      <c r="AM487" s="8">
        <v>1</v>
      </c>
      <c r="AN487" s="8">
        <v>16</v>
      </c>
    </row>
    <row r="488" spans="1:40" x14ac:dyDescent="0.25">
      <c r="A488" s="8" t="s">
        <v>548</v>
      </c>
      <c r="B488" s="9">
        <v>42033.676388888889</v>
      </c>
      <c r="C488" s="8">
        <v>0</v>
      </c>
      <c r="D488" s="9">
        <v>42044.041666666664</v>
      </c>
      <c r="E488" s="8" t="s">
        <v>93</v>
      </c>
      <c r="F488" s="8">
        <v>9</v>
      </c>
      <c r="G488" s="8" t="s">
        <v>94</v>
      </c>
      <c r="H488" s="8" t="s">
        <v>95</v>
      </c>
      <c r="I488" s="8">
        <v>1</v>
      </c>
      <c r="J488" s="8" t="s">
        <v>95</v>
      </c>
      <c r="K488" s="8">
        <v>1</v>
      </c>
      <c r="L488" s="8" t="s">
        <v>94</v>
      </c>
      <c r="M488" s="8">
        <v>0</v>
      </c>
      <c r="N488" s="8" t="s">
        <v>94</v>
      </c>
      <c r="O488" s="8">
        <v>0</v>
      </c>
      <c r="P488" s="8" t="s">
        <v>94</v>
      </c>
      <c r="Q488" s="8">
        <v>0</v>
      </c>
      <c r="R488" s="8" t="s">
        <v>94</v>
      </c>
      <c r="S488" s="8">
        <v>0</v>
      </c>
      <c r="T488" s="8" t="s">
        <v>94</v>
      </c>
      <c r="U488" s="8">
        <v>0</v>
      </c>
      <c r="V488" s="8" t="s">
        <v>94</v>
      </c>
      <c r="W488" s="8">
        <v>0</v>
      </c>
      <c r="X488" s="8" t="s">
        <v>95</v>
      </c>
      <c r="Y488" s="8">
        <v>1</v>
      </c>
      <c r="Z488" s="8" t="s">
        <v>95</v>
      </c>
      <c r="AA488" s="8">
        <v>1</v>
      </c>
      <c r="AB488" s="8" t="s">
        <v>95</v>
      </c>
      <c r="AC488" s="8">
        <v>1</v>
      </c>
      <c r="AD488" s="8" t="s">
        <v>95</v>
      </c>
      <c r="AE488" s="8">
        <v>1</v>
      </c>
      <c r="AF488" s="8" t="s">
        <v>95</v>
      </c>
      <c r="AG488" s="8">
        <v>1</v>
      </c>
      <c r="AH488" s="8" t="s">
        <v>94</v>
      </c>
      <c r="AI488" s="8">
        <v>0</v>
      </c>
      <c r="AJ488" s="8" t="s">
        <v>95</v>
      </c>
      <c r="AK488" s="8">
        <v>1</v>
      </c>
      <c r="AL488" s="8" t="s">
        <v>95</v>
      </c>
      <c r="AM488" s="8">
        <v>1</v>
      </c>
      <c r="AN488" s="8">
        <v>9</v>
      </c>
    </row>
    <row r="489" spans="1:40" x14ac:dyDescent="0.25">
      <c r="A489" s="8" t="s">
        <v>549</v>
      </c>
      <c r="B489" s="9">
        <v>42033.659722222219</v>
      </c>
      <c r="C489" s="8">
        <v>0</v>
      </c>
      <c r="D489" s="9">
        <v>42044.055555555555</v>
      </c>
      <c r="E489" s="8" t="s">
        <v>93</v>
      </c>
      <c r="F489" s="8">
        <v>9</v>
      </c>
      <c r="G489" s="8" t="s">
        <v>94</v>
      </c>
      <c r="H489" s="8" t="s">
        <v>95</v>
      </c>
      <c r="I489" s="8">
        <v>1</v>
      </c>
      <c r="J489" s="8" t="s">
        <v>94</v>
      </c>
      <c r="K489" s="8">
        <v>0</v>
      </c>
      <c r="L489" s="8" t="s">
        <v>95</v>
      </c>
      <c r="M489" s="8">
        <v>1</v>
      </c>
      <c r="N489" s="8" t="s">
        <v>94</v>
      </c>
      <c r="O489" s="8">
        <v>0</v>
      </c>
      <c r="P489" s="8" t="s">
        <v>95</v>
      </c>
      <c r="Q489" s="8">
        <v>1</v>
      </c>
      <c r="R489" s="8" t="s">
        <v>95</v>
      </c>
      <c r="S489" s="8">
        <v>1</v>
      </c>
      <c r="T489" s="8" t="s">
        <v>94</v>
      </c>
      <c r="U489" s="8">
        <v>0</v>
      </c>
      <c r="V489" s="8" t="s">
        <v>94</v>
      </c>
      <c r="W489" s="8">
        <v>0</v>
      </c>
      <c r="X489" s="8" t="s">
        <v>94</v>
      </c>
      <c r="Y489" s="8">
        <v>0</v>
      </c>
      <c r="Z489" s="8" t="s">
        <v>94</v>
      </c>
      <c r="AA489" s="8">
        <v>0</v>
      </c>
      <c r="AB489" s="8" t="s">
        <v>95</v>
      </c>
      <c r="AC489" s="8">
        <v>1</v>
      </c>
      <c r="AD489" s="8" t="s">
        <v>95</v>
      </c>
      <c r="AE489" s="8">
        <v>1</v>
      </c>
      <c r="AF489" s="8" t="s">
        <v>95</v>
      </c>
      <c r="AG489" s="8">
        <v>1</v>
      </c>
      <c r="AH489" s="8" t="s">
        <v>94</v>
      </c>
      <c r="AI489" s="8">
        <v>0</v>
      </c>
      <c r="AJ489" s="8" t="s">
        <v>95</v>
      </c>
      <c r="AK489" s="8">
        <v>1</v>
      </c>
      <c r="AL489" s="8" t="s">
        <v>95</v>
      </c>
      <c r="AM489" s="8">
        <v>1</v>
      </c>
      <c r="AN489" s="8">
        <v>9</v>
      </c>
    </row>
    <row r="490" spans="1:40" x14ac:dyDescent="0.25">
      <c r="A490" s="8" t="s">
        <v>550</v>
      </c>
      <c r="B490" s="9">
        <v>42033.678472222222</v>
      </c>
      <c r="C490" s="8">
        <v>0</v>
      </c>
      <c r="D490" s="9">
        <v>42044.069444444445</v>
      </c>
      <c r="E490" s="8" t="s">
        <v>93</v>
      </c>
      <c r="F490" s="8">
        <v>10</v>
      </c>
      <c r="G490" s="8" t="s">
        <v>94</v>
      </c>
      <c r="H490" s="8" t="s">
        <v>95</v>
      </c>
      <c r="I490" s="8">
        <v>1</v>
      </c>
      <c r="J490" s="8" t="s">
        <v>95</v>
      </c>
      <c r="K490" s="8">
        <v>1</v>
      </c>
      <c r="L490" s="8" t="s">
        <v>94</v>
      </c>
      <c r="M490" s="8">
        <v>0</v>
      </c>
      <c r="N490" s="8" t="s">
        <v>95</v>
      </c>
      <c r="O490" s="8">
        <v>1</v>
      </c>
      <c r="P490" s="8" t="s">
        <v>94</v>
      </c>
      <c r="Q490" s="8">
        <v>0</v>
      </c>
      <c r="R490" s="8" t="s">
        <v>95</v>
      </c>
      <c r="S490" s="8">
        <v>1</v>
      </c>
      <c r="T490" s="8" t="s">
        <v>94</v>
      </c>
      <c r="U490" s="8">
        <v>0</v>
      </c>
      <c r="V490" s="8" t="s">
        <v>95</v>
      </c>
      <c r="W490" s="8">
        <v>1</v>
      </c>
      <c r="X490" s="8" t="s">
        <v>95</v>
      </c>
      <c r="Y490" s="8">
        <v>1</v>
      </c>
      <c r="Z490" s="8" t="s">
        <v>95</v>
      </c>
      <c r="AA490" s="8">
        <v>1</v>
      </c>
      <c r="AB490" s="8" t="s">
        <v>95</v>
      </c>
      <c r="AC490" s="8">
        <v>1</v>
      </c>
      <c r="AD490" s="8" t="s">
        <v>95</v>
      </c>
      <c r="AE490" s="8">
        <v>1</v>
      </c>
      <c r="AF490" s="8" t="s">
        <v>94</v>
      </c>
      <c r="AG490" s="8">
        <v>0</v>
      </c>
      <c r="AH490" s="8" t="s">
        <v>95</v>
      </c>
      <c r="AI490" s="8">
        <v>1</v>
      </c>
      <c r="AJ490" s="8" t="s">
        <v>94</v>
      </c>
      <c r="AK490" s="8">
        <v>0</v>
      </c>
      <c r="AL490" s="8" t="s">
        <v>94</v>
      </c>
      <c r="AM490" s="8">
        <v>0</v>
      </c>
      <c r="AN490" s="8">
        <v>10</v>
      </c>
    </row>
    <row r="491" spans="1:40" x14ac:dyDescent="0.25">
      <c r="A491" s="8" t="s">
        <v>551</v>
      </c>
      <c r="B491" s="9">
        <v>42033.674305555556</v>
      </c>
      <c r="C491" s="8">
        <v>0</v>
      </c>
      <c r="D491" s="9">
        <v>42044.076388888891</v>
      </c>
      <c r="E491" s="8" t="s">
        <v>93</v>
      </c>
      <c r="F491" s="8">
        <v>16</v>
      </c>
      <c r="G491" s="8" t="s">
        <v>94</v>
      </c>
      <c r="H491" s="8" t="s">
        <v>95</v>
      </c>
      <c r="I491" s="8">
        <v>1</v>
      </c>
      <c r="J491" s="8" t="s">
        <v>95</v>
      </c>
      <c r="K491" s="8">
        <v>1</v>
      </c>
      <c r="L491" s="8" t="s">
        <v>95</v>
      </c>
      <c r="M491" s="8">
        <v>1</v>
      </c>
      <c r="N491" s="8" t="s">
        <v>95</v>
      </c>
      <c r="O491" s="8">
        <v>1</v>
      </c>
      <c r="P491" s="8" t="s">
        <v>95</v>
      </c>
      <c r="Q491" s="8">
        <v>1</v>
      </c>
      <c r="R491" s="8" t="s">
        <v>95</v>
      </c>
      <c r="S491" s="8">
        <v>1</v>
      </c>
      <c r="T491" s="8" t="s">
        <v>95</v>
      </c>
      <c r="U491" s="8">
        <v>1</v>
      </c>
      <c r="V491" s="8" t="s">
        <v>95</v>
      </c>
      <c r="W491" s="8">
        <v>1</v>
      </c>
      <c r="X491" s="8" t="s">
        <v>95</v>
      </c>
      <c r="Y491" s="8">
        <v>1</v>
      </c>
      <c r="Z491" s="8" t="s">
        <v>95</v>
      </c>
      <c r="AA491" s="8">
        <v>1</v>
      </c>
      <c r="AB491" s="8" t="s">
        <v>95</v>
      </c>
      <c r="AC491" s="8">
        <v>1</v>
      </c>
      <c r="AD491" s="8" t="s">
        <v>95</v>
      </c>
      <c r="AE491" s="8">
        <v>1</v>
      </c>
      <c r="AF491" s="8" t="s">
        <v>95</v>
      </c>
      <c r="AG491" s="8">
        <v>1</v>
      </c>
      <c r="AH491" s="8" t="s">
        <v>95</v>
      </c>
      <c r="AI491" s="8">
        <v>1</v>
      </c>
      <c r="AJ491" s="8" t="s">
        <v>95</v>
      </c>
      <c r="AK491" s="8">
        <v>1</v>
      </c>
      <c r="AL491" s="8" t="s">
        <v>95</v>
      </c>
      <c r="AM491" s="8">
        <v>1</v>
      </c>
      <c r="AN491" s="8">
        <v>16</v>
      </c>
    </row>
    <row r="492" spans="1:40" x14ac:dyDescent="0.25">
      <c r="A492" s="8" t="s">
        <v>552</v>
      </c>
      <c r="B492" s="9">
        <v>42033.674305555556</v>
      </c>
      <c r="C492" s="8">
        <v>0</v>
      </c>
      <c r="D492" s="9">
        <v>42044.083333333336</v>
      </c>
      <c r="E492" s="8" t="s">
        <v>93</v>
      </c>
      <c r="F492" s="8">
        <v>15</v>
      </c>
      <c r="G492" s="8" t="s">
        <v>94</v>
      </c>
      <c r="H492" s="8" t="s">
        <v>95</v>
      </c>
      <c r="I492" s="8">
        <v>1</v>
      </c>
      <c r="J492" s="8" t="s">
        <v>95</v>
      </c>
      <c r="K492" s="8">
        <v>1</v>
      </c>
      <c r="L492" s="8" t="s">
        <v>95</v>
      </c>
      <c r="M492" s="8">
        <v>1</v>
      </c>
      <c r="N492" s="8" t="s">
        <v>95</v>
      </c>
      <c r="O492" s="8">
        <v>1</v>
      </c>
      <c r="P492" s="8" t="s">
        <v>95</v>
      </c>
      <c r="Q492" s="8">
        <v>1</v>
      </c>
      <c r="R492" s="8" t="s">
        <v>95</v>
      </c>
      <c r="S492" s="8">
        <v>1</v>
      </c>
      <c r="T492" s="8" t="s">
        <v>95</v>
      </c>
      <c r="U492" s="8">
        <v>1</v>
      </c>
      <c r="V492" s="8" t="s">
        <v>95</v>
      </c>
      <c r="W492" s="8">
        <v>1</v>
      </c>
      <c r="X492" s="8" t="s">
        <v>95</v>
      </c>
      <c r="Y492" s="8">
        <v>1</v>
      </c>
      <c r="Z492" s="8" t="s">
        <v>95</v>
      </c>
      <c r="AA492" s="8">
        <v>1</v>
      </c>
      <c r="AB492" s="8" t="s">
        <v>95</v>
      </c>
      <c r="AC492" s="8">
        <v>1</v>
      </c>
      <c r="AD492" s="8" t="s">
        <v>95</v>
      </c>
      <c r="AE492" s="8">
        <v>1</v>
      </c>
      <c r="AF492" s="8" t="s">
        <v>94</v>
      </c>
      <c r="AG492" s="8">
        <v>0</v>
      </c>
      <c r="AH492" s="8" t="s">
        <v>95</v>
      </c>
      <c r="AI492" s="8">
        <v>1</v>
      </c>
      <c r="AJ492" s="8" t="s">
        <v>95</v>
      </c>
      <c r="AK492" s="8">
        <v>1</v>
      </c>
      <c r="AL492" s="8" t="s">
        <v>95</v>
      </c>
      <c r="AM492" s="8">
        <v>1</v>
      </c>
      <c r="AN492" s="8">
        <v>15</v>
      </c>
    </row>
    <row r="493" spans="1:40" x14ac:dyDescent="0.25">
      <c r="A493" s="8" t="s">
        <v>553</v>
      </c>
      <c r="B493" s="9">
        <v>42033.654861111114</v>
      </c>
      <c r="C493" s="8">
        <v>0</v>
      </c>
      <c r="D493" s="9">
        <v>42044.090277777781</v>
      </c>
      <c r="E493" s="8" t="s">
        <v>93</v>
      </c>
      <c r="F493" s="8">
        <v>16</v>
      </c>
      <c r="G493" s="8" t="s">
        <v>94</v>
      </c>
      <c r="H493" s="8" t="s">
        <v>95</v>
      </c>
      <c r="I493" s="8">
        <v>1</v>
      </c>
      <c r="J493" s="8" t="s">
        <v>95</v>
      </c>
      <c r="K493" s="8">
        <v>1</v>
      </c>
      <c r="L493" s="8" t="s">
        <v>95</v>
      </c>
      <c r="M493" s="8">
        <v>1</v>
      </c>
      <c r="N493" s="8" t="s">
        <v>95</v>
      </c>
      <c r="O493" s="8">
        <v>1</v>
      </c>
      <c r="P493" s="8" t="s">
        <v>95</v>
      </c>
      <c r="Q493" s="8">
        <v>1</v>
      </c>
      <c r="R493" s="8" t="s">
        <v>95</v>
      </c>
      <c r="S493" s="8">
        <v>1</v>
      </c>
      <c r="T493" s="8" t="s">
        <v>95</v>
      </c>
      <c r="U493" s="8">
        <v>1</v>
      </c>
      <c r="V493" s="8" t="s">
        <v>95</v>
      </c>
      <c r="W493" s="8">
        <v>1</v>
      </c>
      <c r="X493" s="8" t="s">
        <v>95</v>
      </c>
      <c r="Y493" s="8">
        <v>1</v>
      </c>
      <c r="Z493" s="8" t="s">
        <v>95</v>
      </c>
      <c r="AA493" s="8">
        <v>1</v>
      </c>
      <c r="AB493" s="8" t="s">
        <v>95</v>
      </c>
      <c r="AC493" s="8">
        <v>1</v>
      </c>
      <c r="AD493" s="8" t="s">
        <v>95</v>
      </c>
      <c r="AE493" s="8">
        <v>1</v>
      </c>
      <c r="AF493" s="8" t="s">
        <v>95</v>
      </c>
      <c r="AG493" s="8">
        <v>1</v>
      </c>
      <c r="AH493" s="8" t="s">
        <v>95</v>
      </c>
      <c r="AI493" s="8">
        <v>1</v>
      </c>
      <c r="AJ493" s="8" t="s">
        <v>95</v>
      </c>
      <c r="AK493" s="8">
        <v>1</v>
      </c>
      <c r="AL493" s="8" t="s">
        <v>95</v>
      </c>
      <c r="AM493" s="8">
        <v>1</v>
      </c>
      <c r="AN493" s="8">
        <v>16</v>
      </c>
    </row>
    <row r="494" spans="1:40" x14ac:dyDescent="0.25">
      <c r="A494" s="8" t="s">
        <v>554</v>
      </c>
      <c r="B494" s="9">
        <v>42033.652083333334</v>
      </c>
      <c r="C494" s="8">
        <v>0</v>
      </c>
      <c r="D494" s="9">
        <v>42044.093055555553</v>
      </c>
      <c r="E494" s="8" t="s">
        <v>93</v>
      </c>
      <c r="F494" s="8">
        <v>15</v>
      </c>
      <c r="G494" s="8" t="s">
        <v>94</v>
      </c>
      <c r="H494" s="8" t="s">
        <v>95</v>
      </c>
      <c r="I494" s="8">
        <v>1</v>
      </c>
      <c r="J494" s="8" t="s">
        <v>95</v>
      </c>
      <c r="K494" s="8">
        <v>1</v>
      </c>
      <c r="L494" s="8" t="s">
        <v>95</v>
      </c>
      <c r="M494" s="8">
        <v>1</v>
      </c>
      <c r="N494" s="8" t="s">
        <v>95</v>
      </c>
      <c r="O494" s="8">
        <v>1</v>
      </c>
      <c r="P494" s="8" t="s">
        <v>95</v>
      </c>
      <c r="Q494" s="8">
        <v>1</v>
      </c>
      <c r="R494" s="8" t="s">
        <v>95</v>
      </c>
      <c r="S494" s="8">
        <v>1</v>
      </c>
      <c r="T494" s="8" t="s">
        <v>95</v>
      </c>
      <c r="U494" s="8">
        <v>1</v>
      </c>
      <c r="V494" s="8" t="s">
        <v>95</v>
      </c>
      <c r="W494" s="8">
        <v>1</v>
      </c>
      <c r="X494" s="8" t="s">
        <v>95</v>
      </c>
      <c r="Y494" s="8">
        <v>1</v>
      </c>
      <c r="Z494" s="8" t="s">
        <v>95</v>
      </c>
      <c r="AA494" s="8">
        <v>1</v>
      </c>
      <c r="AB494" s="8" t="s">
        <v>95</v>
      </c>
      <c r="AC494" s="8">
        <v>1</v>
      </c>
      <c r="AD494" s="8" t="s">
        <v>95</v>
      </c>
      <c r="AE494" s="8">
        <v>1</v>
      </c>
      <c r="AF494" s="8" t="s">
        <v>95</v>
      </c>
      <c r="AG494" s="8">
        <v>1</v>
      </c>
      <c r="AH494" s="8" t="s">
        <v>95</v>
      </c>
      <c r="AI494" s="8">
        <v>1</v>
      </c>
      <c r="AJ494" s="8" t="s">
        <v>95</v>
      </c>
      <c r="AK494" s="8">
        <v>1</v>
      </c>
      <c r="AL494" s="8" t="s">
        <v>94</v>
      </c>
      <c r="AM494" s="8">
        <v>0</v>
      </c>
      <c r="AN494" s="8">
        <v>15</v>
      </c>
    </row>
    <row r="495" spans="1:40" x14ac:dyDescent="0.25">
      <c r="A495" s="8" t="s">
        <v>555</v>
      </c>
      <c r="B495" s="9">
        <v>42033.675000000003</v>
      </c>
      <c r="C495" s="8">
        <v>0</v>
      </c>
      <c r="D495" s="9">
        <v>42044.09375</v>
      </c>
      <c r="E495" s="8" t="s">
        <v>93</v>
      </c>
      <c r="F495" s="8">
        <v>16</v>
      </c>
      <c r="G495" s="8" t="s">
        <v>94</v>
      </c>
      <c r="H495" s="8" t="s">
        <v>95</v>
      </c>
      <c r="I495" s="8">
        <v>1</v>
      </c>
      <c r="J495" s="8" t="s">
        <v>95</v>
      </c>
      <c r="K495" s="8">
        <v>1</v>
      </c>
      <c r="L495" s="8" t="s">
        <v>95</v>
      </c>
      <c r="M495" s="8">
        <v>1</v>
      </c>
      <c r="N495" s="8" t="s">
        <v>95</v>
      </c>
      <c r="O495" s="8">
        <v>1</v>
      </c>
      <c r="P495" s="8" t="s">
        <v>95</v>
      </c>
      <c r="Q495" s="8">
        <v>1</v>
      </c>
      <c r="R495" s="8" t="s">
        <v>95</v>
      </c>
      <c r="S495" s="8">
        <v>1</v>
      </c>
      <c r="T495" s="8" t="s">
        <v>95</v>
      </c>
      <c r="U495" s="8">
        <v>1</v>
      </c>
      <c r="V495" s="8" t="s">
        <v>95</v>
      </c>
      <c r="W495" s="8">
        <v>1</v>
      </c>
      <c r="X495" s="8" t="s">
        <v>95</v>
      </c>
      <c r="Y495" s="8">
        <v>1</v>
      </c>
      <c r="Z495" s="8" t="s">
        <v>95</v>
      </c>
      <c r="AA495" s="8">
        <v>1</v>
      </c>
      <c r="AB495" s="8" t="s">
        <v>95</v>
      </c>
      <c r="AC495" s="8">
        <v>1</v>
      </c>
      <c r="AD495" s="8" t="s">
        <v>95</v>
      </c>
      <c r="AE495" s="8">
        <v>1</v>
      </c>
      <c r="AF495" s="8" t="s">
        <v>95</v>
      </c>
      <c r="AG495" s="8">
        <v>1</v>
      </c>
      <c r="AH495" s="8" t="s">
        <v>95</v>
      </c>
      <c r="AI495" s="8">
        <v>1</v>
      </c>
      <c r="AJ495" s="8" t="s">
        <v>95</v>
      </c>
      <c r="AK495" s="8">
        <v>1</v>
      </c>
      <c r="AL495" s="8" t="s">
        <v>95</v>
      </c>
      <c r="AM495" s="8">
        <v>1</v>
      </c>
      <c r="AN495" s="8">
        <v>16</v>
      </c>
    </row>
    <row r="496" spans="1:40" x14ac:dyDescent="0.25">
      <c r="A496" s="8" t="s">
        <v>556</v>
      </c>
      <c r="B496" s="9">
        <v>42033.675694444442</v>
      </c>
      <c r="C496" s="8">
        <v>0</v>
      </c>
      <c r="D496" s="9">
        <v>42044.095833333333</v>
      </c>
      <c r="E496" s="8" t="s">
        <v>93</v>
      </c>
      <c r="F496" s="8">
        <v>15</v>
      </c>
      <c r="G496" s="8" t="s">
        <v>94</v>
      </c>
      <c r="H496" s="8" t="s">
        <v>95</v>
      </c>
      <c r="I496" s="8">
        <v>1</v>
      </c>
      <c r="J496" s="8" t="s">
        <v>95</v>
      </c>
      <c r="K496" s="8">
        <v>1</v>
      </c>
      <c r="L496" s="8" t="s">
        <v>95</v>
      </c>
      <c r="M496" s="8">
        <v>1</v>
      </c>
      <c r="N496" s="8" t="s">
        <v>95</v>
      </c>
      <c r="O496" s="8">
        <v>1</v>
      </c>
      <c r="P496" s="8" t="s">
        <v>95</v>
      </c>
      <c r="Q496" s="8">
        <v>1</v>
      </c>
      <c r="R496" s="8" t="s">
        <v>95</v>
      </c>
      <c r="S496" s="8">
        <v>1</v>
      </c>
      <c r="T496" s="8" t="s">
        <v>95</v>
      </c>
      <c r="U496" s="8">
        <v>1</v>
      </c>
      <c r="V496" s="8" t="s">
        <v>95</v>
      </c>
      <c r="W496" s="8">
        <v>1</v>
      </c>
      <c r="X496" s="8" t="s">
        <v>94</v>
      </c>
      <c r="Y496" s="8">
        <v>0</v>
      </c>
      <c r="Z496" s="8" t="s">
        <v>95</v>
      </c>
      <c r="AA496" s="8">
        <v>1</v>
      </c>
      <c r="AB496" s="8" t="s">
        <v>95</v>
      </c>
      <c r="AC496" s="8">
        <v>1</v>
      </c>
      <c r="AD496" s="8" t="s">
        <v>95</v>
      </c>
      <c r="AE496" s="8">
        <v>1</v>
      </c>
      <c r="AF496" s="8" t="s">
        <v>95</v>
      </c>
      <c r="AG496" s="8">
        <v>1</v>
      </c>
      <c r="AH496" s="8" t="s">
        <v>95</v>
      </c>
      <c r="AI496" s="8">
        <v>1</v>
      </c>
      <c r="AJ496" s="8" t="s">
        <v>95</v>
      </c>
      <c r="AK496" s="8">
        <v>1</v>
      </c>
      <c r="AL496" s="8" t="s">
        <v>95</v>
      </c>
      <c r="AM496" s="8">
        <v>1</v>
      </c>
      <c r="AN496" s="8">
        <v>15</v>
      </c>
    </row>
    <row r="497" spans="1:40" x14ac:dyDescent="0.25">
      <c r="A497" s="8" t="s">
        <v>557</v>
      </c>
      <c r="B497" s="9">
        <v>42033.683333333334</v>
      </c>
      <c r="C497" s="8">
        <v>0</v>
      </c>
      <c r="D497" s="9">
        <v>42044.09652777778</v>
      </c>
      <c r="E497" s="8" t="s">
        <v>93</v>
      </c>
      <c r="F497" s="8">
        <v>15</v>
      </c>
      <c r="G497" s="8" t="s">
        <v>94</v>
      </c>
      <c r="H497" s="8" t="s">
        <v>95</v>
      </c>
      <c r="I497" s="8">
        <v>1</v>
      </c>
      <c r="J497" s="8" t="s">
        <v>95</v>
      </c>
      <c r="K497" s="8">
        <v>1</v>
      </c>
      <c r="L497" s="8" t="s">
        <v>95</v>
      </c>
      <c r="M497" s="8">
        <v>1</v>
      </c>
      <c r="N497" s="8" t="s">
        <v>95</v>
      </c>
      <c r="O497" s="8">
        <v>1</v>
      </c>
      <c r="P497" s="8" t="s">
        <v>95</v>
      </c>
      <c r="Q497" s="8">
        <v>1</v>
      </c>
      <c r="R497" s="8" t="s">
        <v>94</v>
      </c>
      <c r="S497" s="8">
        <v>0</v>
      </c>
      <c r="T497" s="8" t="s">
        <v>95</v>
      </c>
      <c r="U497" s="8">
        <v>1</v>
      </c>
      <c r="V497" s="8" t="s">
        <v>95</v>
      </c>
      <c r="W497" s="8">
        <v>1</v>
      </c>
      <c r="X497" s="8" t="s">
        <v>95</v>
      </c>
      <c r="Y497" s="8">
        <v>1</v>
      </c>
      <c r="Z497" s="8" t="s">
        <v>95</v>
      </c>
      <c r="AA497" s="8">
        <v>1</v>
      </c>
      <c r="AB497" s="8" t="s">
        <v>95</v>
      </c>
      <c r="AC497" s="8">
        <v>1</v>
      </c>
      <c r="AD497" s="8" t="s">
        <v>95</v>
      </c>
      <c r="AE497" s="8">
        <v>1</v>
      </c>
      <c r="AF497" s="8" t="s">
        <v>95</v>
      </c>
      <c r="AG497" s="8">
        <v>1</v>
      </c>
      <c r="AH497" s="8" t="s">
        <v>95</v>
      </c>
      <c r="AI497" s="8">
        <v>1</v>
      </c>
      <c r="AJ497" s="8" t="s">
        <v>95</v>
      </c>
      <c r="AK497" s="8">
        <v>1</v>
      </c>
      <c r="AL497" s="8" t="s">
        <v>95</v>
      </c>
      <c r="AM497" s="8">
        <v>1</v>
      </c>
      <c r="AN497" s="8">
        <v>15</v>
      </c>
    </row>
    <row r="498" spans="1:40" x14ac:dyDescent="0.25">
      <c r="A498" s="8" t="s">
        <v>558</v>
      </c>
      <c r="B498" s="9">
        <v>42033.67291666667</v>
      </c>
      <c r="C498" s="8">
        <v>0</v>
      </c>
      <c r="D498" s="9">
        <v>42044.097222222219</v>
      </c>
      <c r="E498" s="8" t="s">
        <v>93</v>
      </c>
      <c r="F498" s="8">
        <v>14</v>
      </c>
      <c r="G498" s="8" t="s">
        <v>94</v>
      </c>
      <c r="H498" s="8" t="s">
        <v>95</v>
      </c>
      <c r="I498" s="8">
        <v>1</v>
      </c>
      <c r="J498" s="8" t="s">
        <v>95</v>
      </c>
      <c r="K498" s="8">
        <v>1</v>
      </c>
      <c r="L498" s="8" t="s">
        <v>95</v>
      </c>
      <c r="M498" s="8">
        <v>1</v>
      </c>
      <c r="N498" s="8" t="s">
        <v>95</v>
      </c>
      <c r="O498" s="8">
        <v>1</v>
      </c>
      <c r="P498" s="8" t="s">
        <v>95</v>
      </c>
      <c r="Q498" s="8">
        <v>1</v>
      </c>
      <c r="R498" s="8" t="s">
        <v>95</v>
      </c>
      <c r="S498" s="8">
        <v>1</v>
      </c>
      <c r="T498" s="8" t="s">
        <v>95</v>
      </c>
      <c r="U498" s="8">
        <v>1</v>
      </c>
      <c r="V498" s="8" t="s">
        <v>95</v>
      </c>
      <c r="W498" s="8">
        <v>1</v>
      </c>
      <c r="X498" s="8" t="s">
        <v>95</v>
      </c>
      <c r="Y498" s="8">
        <v>1</v>
      </c>
      <c r="Z498" s="8" t="s">
        <v>95</v>
      </c>
      <c r="AA498" s="8">
        <v>1</v>
      </c>
      <c r="AB498" s="8" t="s">
        <v>95</v>
      </c>
      <c r="AC498" s="8">
        <v>1</v>
      </c>
      <c r="AD498" s="8" t="s">
        <v>95</v>
      </c>
      <c r="AE498" s="8">
        <v>1</v>
      </c>
      <c r="AF498" s="8" t="s">
        <v>94</v>
      </c>
      <c r="AG498" s="8">
        <v>0</v>
      </c>
      <c r="AH498" s="8" t="s">
        <v>95</v>
      </c>
      <c r="AI498" s="8">
        <v>1</v>
      </c>
      <c r="AJ498" s="8" t="s">
        <v>95</v>
      </c>
      <c r="AK498" s="8">
        <v>1</v>
      </c>
      <c r="AL498" s="8" t="s">
        <v>94</v>
      </c>
      <c r="AM498" s="8">
        <v>0</v>
      </c>
      <c r="AN498" s="8">
        <v>14</v>
      </c>
    </row>
    <row r="499" spans="1:40" x14ac:dyDescent="0.25">
      <c r="A499" s="8" t="s">
        <v>559</v>
      </c>
      <c r="B499" s="9">
        <v>42033.654861111114</v>
      </c>
      <c r="C499" s="8">
        <v>0</v>
      </c>
      <c r="D499" s="9">
        <v>42044.097916666666</v>
      </c>
      <c r="E499" s="8" t="s">
        <v>93</v>
      </c>
      <c r="F499" s="8">
        <v>13</v>
      </c>
      <c r="G499" s="8" t="s">
        <v>94</v>
      </c>
      <c r="H499" s="8" t="s">
        <v>95</v>
      </c>
      <c r="I499" s="8">
        <v>1</v>
      </c>
      <c r="J499" s="8" t="s">
        <v>95</v>
      </c>
      <c r="K499" s="8">
        <v>1</v>
      </c>
      <c r="L499" s="8" t="s">
        <v>95</v>
      </c>
      <c r="M499" s="8">
        <v>1</v>
      </c>
      <c r="N499" s="8" t="s">
        <v>94</v>
      </c>
      <c r="O499" s="8">
        <v>0</v>
      </c>
      <c r="P499" s="8" t="s">
        <v>95</v>
      </c>
      <c r="Q499" s="8">
        <v>1</v>
      </c>
      <c r="R499" s="8" t="s">
        <v>95</v>
      </c>
      <c r="S499" s="8">
        <v>1</v>
      </c>
      <c r="T499" s="8" t="s">
        <v>94</v>
      </c>
      <c r="U499" s="8">
        <v>0</v>
      </c>
      <c r="V499" s="8" t="s">
        <v>95</v>
      </c>
      <c r="W499" s="8">
        <v>1</v>
      </c>
      <c r="X499" s="8" t="s">
        <v>95</v>
      </c>
      <c r="Y499" s="8">
        <v>1</v>
      </c>
      <c r="Z499" s="8" t="s">
        <v>95</v>
      </c>
      <c r="AA499" s="8">
        <v>1</v>
      </c>
      <c r="AB499" s="8" t="s">
        <v>95</v>
      </c>
      <c r="AC499" s="8">
        <v>1</v>
      </c>
      <c r="AD499" s="8" t="s">
        <v>95</v>
      </c>
      <c r="AE499" s="8">
        <v>1</v>
      </c>
      <c r="AF499" s="8" t="s">
        <v>95</v>
      </c>
      <c r="AG499" s="8">
        <v>1</v>
      </c>
      <c r="AH499" s="8" t="s">
        <v>95</v>
      </c>
      <c r="AI499" s="8">
        <v>1</v>
      </c>
      <c r="AJ499" s="8" t="s">
        <v>95</v>
      </c>
      <c r="AK499" s="8">
        <v>1</v>
      </c>
      <c r="AL499" s="8" t="s">
        <v>94</v>
      </c>
      <c r="AM499" s="8">
        <v>0</v>
      </c>
      <c r="AN499" s="8">
        <v>13</v>
      </c>
    </row>
    <row r="500" spans="1:40" x14ac:dyDescent="0.25">
      <c r="A500" s="8" t="s">
        <v>560</v>
      </c>
      <c r="B500" s="9">
        <v>42033.673611111109</v>
      </c>
      <c r="C500" s="8">
        <v>0</v>
      </c>
      <c r="D500" s="9">
        <v>42044.097916666666</v>
      </c>
      <c r="E500" s="8" t="s">
        <v>93</v>
      </c>
      <c r="F500" s="8">
        <v>3</v>
      </c>
      <c r="G500" s="8" t="s">
        <v>94</v>
      </c>
      <c r="H500" s="8" t="s">
        <v>95</v>
      </c>
      <c r="I500" s="8">
        <v>1</v>
      </c>
      <c r="J500" s="8" t="s">
        <v>94</v>
      </c>
      <c r="K500" s="8">
        <v>0</v>
      </c>
      <c r="L500" s="8" t="s">
        <v>94</v>
      </c>
      <c r="M500" s="8">
        <v>0</v>
      </c>
      <c r="N500" s="8" t="s">
        <v>94</v>
      </c>
      <c r="O500" s="8">
        <v>0</v>
      </c>
      <c r="P500" s="8" t="s">
        <v>95</v>
      </c>
      <c r="Q500" s="8">
        <v>1</v>
      </c>
      <c r="R500" s="8" t="s">
        <v>94</v>
      </c>
      <c r="S500" s="8">
        <v>0</v>
      </c>
      <c r="T500" s="8" t="s">
        <v>94</v>
      </c>
      <c r="U500" s="8">
        <v>0</v>
      </c>
      <c r="V500" s="8" t="s">
        <v>94</v>
      </c>
      <c r="W500" s="8">
        <v>0</v>
      </c>
      <c r="X500" s="8" t="s">
        <v>94</v>
      </c>
      <c r="Y500" s="8">
        <v>0</v>
      </c>
      <c r="Z500" s="8" t="s">
        <v>94</v>
      </c>
      <c r="AA500" s="8">
        <v>0</v>
      </c>
      <c r="AB500" s="8" t="s">
        <v>94</v>
      </c>
      <c r="AC500" s="8">
        <v>0</v>
      </c>
      <c r="AD500" s="8" t="s">
        <v>95</v>
      </c>
      <c r="AE500" s="8">
        <v>1</v>
      </c>
      <c r="AF500" s="8" t="s">
        <v>94</v>
      </c>
      <c r="AG500" s="8">
        <v>0</v>
      </c>
      <c r="AH500" s="8" t="s">
        <v>94</v>
      </c>
      <c r="AI500" s="8">
        <v>0</v>
      </c>
      <c r="AJ500" s="8" t="s">
        <v>94</v>
      </c>
      <c r="AK500" s="8">
        <v>0</v>
      </c>
      <c r="AL500" s="8" t="s">
        <v>94</v>
      </c>
      <c r="AM500" s="8">
        <v>0</v>
      </c>
      <c r="AN500" s="8">
        <v>3</v>
      </c>
    </row>
    <row r="501" spans="1:40" x14ac:dyDescent="0.25">
      <c r="A501" s="8" t="s">
        <v>561</v>
      </c>
      <c r="B501" s="9">
        <v>42033.677777777775</v>
      </c>
      <c r="C501" s="8">
        <v>0</v>
      </c>
      <c r="D501" s="9">
        <v>42044.097916666666</v>
      </c>
      <c r="E501" s="8" t="s">
        <v>93</v>
      </c>
      <c r="F501" s="8">
        <v>15</v>
      </c>
      <c r="G501" s="8" t="s">
        <v>94</v>
      </c>
      <c r="H501" s="8" t="s">
        <v>95</v>
      </c>
      <c r="I501" s="8">
        <v>1</v>
      </c>
      <c r="J501" s="8" t="s">
        <v>95</v>
      </c>
      <c r="K501" s="8">
        <v>1</v>
      </c>
      <c r="L501" s="8" t="s">
        <v>95</v>
      </c>
      <c r="M501" s="8">
        <v>1</v>
      </c>
      <c r="N501" s="8" t="s">
        <v>94</v>
      </c>
      <c r="O501" s="8">
        <v>0</v>
      </c>
      <c r="P501" s="8" t="s">
        <v>95</v>
      </c>
      <c r="Q501" s="8">
        <v>1</v>
      </c>
      <c r="R501" s="8" t="s">
        <v>95</v>
      </c>
      <c r="S501" s="8">
        <v>1</v>
      </c>
      <c r="T501" s="8" t="s">
        <v>95</v>
      </c>
      <c r="U501" s="8">
        <v>1</v>
      </c>
      <c r="V501" s="8" t="s">
        <v>95</v>
      </c>
      <c r="W501" s="8">
        <v>1</v>
      </c>
      <c r="X501" s="8" t="s">
        <v>95</v>
      </c>
      <c r="Y501" s="8">
        <v>1</v>
      </c>
      <c r="Z501" s="8" t="s">
        <v>95</v>
      </c>
      <c r="AA501" s="8">
        <v>1</v>
      </c>
      <c r="AB501" s="8" t="s">
        <v>95</v>
      </c>
      <c r="AC501" s="8">
        <v>1</v>
      </c>
      <c r="AD501" s="8" t="s">
        <v>95</v>
      </c>
      <c r="AE501" s="8">
        <v>1</v>
      </c>
      <c r="AF501" s="8" t="s">
        <v>95</v>
      </c>
      <c r="AG501" s="8">
        <v>1</v>
      </c>
      <c r="AH501" s="8" t="s">
        <v>95</v>
      </c>
      <c r="AI501" s="8">
        <v>1</v>
      </c>
      <c r="AJ501" s="8" t="s">
        <v>95</v>
      </c>
      <c r="AK501" s="8">
        <v>1</v>
      </c>
      <c r="AL501" s="8" t="s">
        <v>95</v>
      </c>
      <c r="AM501" s="8">
        <v>1</v>
      </c>
      <c r="AN501" s="8">
        <v>15</v>
      </c>
    </row>
    <row r="502" spans="1:40" x14ac:dyDescent="0.25">
      <c r="A502" s="8" t="s">
        <v>562</v>
      </c>
      <c r="B502" s="9">
        <v>42033.67291666667</v>
      </c>
      <c r="C502" s="8">
        <v>0</v>
      </c>
      <c r="D502" s="9">
        <v>42044.100694444445</v>
      </c>
      <c r="E502" s="8" t="s">
        <v>93</v>
      </c>
      <c r="F502" s="8">
        <v>11</v>
      </c>
      <c r="G502" s="8" t="s">
        <v>94</v>
      </c>
      <c r="H502" s="8" t="s">
        <v>95</v>
      </c>
      <c r="I502" s="8">
        <v>1</v>
      </c>
      <c r="J502" s="8" t="s">
        <v>94</v>
      </c>
      <c r="K502" s="8">
        <v>0</v>
      </c>
      <c r="L502" s="8" t="s">
        <v>94</v>
      </c>
      <c r="M502" s="8">
        <v>0</v>
      </c>
      <c r="N502" s="8" t="s">
        <v>95</v>
      </c>
      <c r="O502" s="8">
        <v>1</v>
      </c>
      <c r="P502" s="8" t="s">
        <v>95</v>
      </c>
      <c r="Q502" s="8">
        <v>1</v>
      </c>
      <c r="R502" s="8" t="s">
        <v>95</v>
      </c>
      <c r="S502" s="8">
        <v>1</v>
      </c>
      <c r="T502" s="8" t="s">
        <v>95</v>
      </c>
      <c r="U502" s="8">
        <v>1</v>
      </c>
      <c r="V502" s="8" t="s">
        <v>95</v>
      </c>
      <c r="W502" s="8">
        <v>1</v>
      </c>
      <c r="X502" s="8" t="s">
        <v>95</v>
      </c>
      <c r="Y502" s="8">
        <v>1</v>
      </c>
      <c r="Z502" s="8" t="s">
        <v>95</v>
      </c>
      <c r="AA502" s="8">
        <v>1</v>
      </c>
      <c r="AB502" s="8" t="s">
        <v>95</v>
      </c>
      <c r="AC502" s="8">
        <v>1</v>
      </c>
      <c r="AD502" s="8" t="s">
        <v>95</v>
      </c>
      <c r="AE502" s="8">
        <v>1</v>
      </c>
      <c r="AF502" s="8" t="s">
        <v>94</v>
      </c>
      <c r="AG502" s="8">
        <v>0</v>
      </c>
      <c r="AH502" s="8" t="s">
        <v>94</v>
      </c>
      <c r="AI502" s="8">
        <v>0</v>
      </c>
      <c r="AJ502" s="8" t="s">
        <v>95</v>
      </c>
      <c r="AK502" s="8">
        <v>1</v>
      </c>
      <c r="AL502" s="8" t="s">
        <v>94</v>
      </c>
      <c r="AM502" s="8">
        <v>0</v>
      </c>
      <c r="AN502" s="8">
        <v>11</v>
      </c>
    </row>
    <row r="503" spans="1:40" x14ac:dyDescent="0.25">
      <c r="A503" s="8" t="s">
        <v>563</v>
      </c>
      <c r="B503" s="9">
        <v>42033.675000000003</v>
      </c>
      <c r="C503" s="8">
        <v>0</v>
      </c>
      <c r="D503" s="9">
        <v>42044.100694444445</v>
      </c>
      <c r="E503" s="8" t="s">
        <v>93</v>
      </c>
      <c r="F503" s="8">
        <v>5</v>
      </c>
      <c r="G503" s="8" t="s">
        <v>94</v>
      </c>
      <c r="H503" s="8" t="s">
        <v>95</v>
      </c>
      <c r="I503" s="8">
        <v>1</v>
      </c>
      <c r="J503" s="8" t="s">
        <v>95</v>
      </c>
      <c r="K503" s="8">
        <v>1</v>
      </c>
      <c r="L503" s="8" t="s">
        <v>94</v>
      </c>
      <c r="M503" s="8">
        <v>0</v>
      </c>
      <c r="N503" s="8" t="s">
        <v>94</v>
      </c>
      <c r="O503" s="8">
        <v>0</v>
      </c>
      <c r="P503" s="8" t="s">
        <v>94</v>
      </c>
      <c r="Q503" s="8">
        <v>0</v>
      </c>
      <c r="R503" s="8" t="s">
        <v>94</v>
      </c>
      <c r="S503" s="8">
        <v>0</v>
      </c>
      <c r="T503" s="8" t="s">
        <v>94</v>
      </c>
      <c r="U503" s="8">
        <v>0</v>
      </c>
      <c r="V503" s="8" t="s">
        <v>94</v>
      </c>
      <c r="W503" s="8">
        <v>0</v>
      </c>
      <c r="X503" s="8" t="s">
        <v>94</v>
      </c>
      <c r="Y503" s="8">
        <v>0</v>
      </c>
      <c r="Z503" s="8" t="s">
        <v>94</v>
      </c>
      <c r="AA503" s="8">
        <v>0</v>
      </c>
      <c r="AB503" s="8" t="s">
        <v>95</v>
      </c>
      <c r="AC503" s="8">
        <v>1</v>
      </c>
      <c r="AD503" s="8" t="s">
        <v>95</v>
      </c>
      <c r="AE503" s="8">
        <v>1</v>
      </c>
      <c r="AF503" s="8" t="s">
        <v>95</v>
      </c>
      <c r="AG503" s="8">
        <v>1</v>
      </c>
      <c r="AH503" s="8" t="s">
        <v>94</v>
      </c>
      <c r="AI503" s="8">
        <v>0</v>
      </c>
      <c r="AJ503" s="8" t="s">
        <v>94</v>
      </c>
      <c r="AK503" s="8">
        <v>0</v>
      </c>
      <c r="AL503" s="8" t="s">
        <v>94</v>
      </c>
      <c r="AM503" s="8">
        <v>0</v>
      </c>
      <c r="AN503" s="8">
        <v>5</v>
      </c>
    </row>
    <row r="504" spans="1:40" x14ac:dyDescent="0.25">
      <c r="A504" s="8" t="s">
        <v>564</v>
      </c>
      <c r="B504" s="9">
        <v>42033.678472222222</v>
      </c>
      <c r="C504" s="8">
        <v>0</v>
      </c>
      <c r="D504" s="9">
        <v>42044.101388888892</v>
      </c>
      <c r="E504" s="8" t="s">
        <v>93</v>
      </c>
      <c r="F504" s="8">
        <v>16</v>
      </c>
      <c r="G504" s="8" t="s">
        <v>94</v>
      </c>
      <c r="H504" s="8" t="s">
        <v>95</v>
      </c>
      <c r="I504" s="8">
        <v>1</v>
      </c>
      <c r="J504" s="8" t="s">
        <v>95</v>
      </c>
      <c r="K504" s="8">
        <v>1</v>
      </c>
      <c r="L504" s="8" t="s">
        <v>95</v>
      </c>
      <c r="M504" s="8">
        <v>1</v>
      </c>
      <c r="N504" s="8" t="s">
        <v>95</v>
      </c>
      <c r="O504" s="8">
        <v>1</v>
      </c>
      <c r="P504" s="8" t="s">
        <v>95</v>
      </c>
      <c r="Q504" s="8">
        <v>1</v>
      </c>
      <c r="R504" s="8" t="s">
        <v>95</v>
      </c>
      <c r="S504" s="8">
        <v>1</v>
      </c>
      <c r="T504" s="8" t="s">
        <v>95</v>
      </c>
      <c r="U504" s="8">
        <v>1</v>
      </c>
      <c r="V504" s="8" t="s">
        <v>95</v>
      </c>
      <c r="W504" s="8">
        <v>1</v>
      </c>
      <c r="X504" s="8" t="s">
        <v>95</v>
      </c>
      <c r="Y504" s="8">
        <v>1</v>
      </c>
      <c r="Z504" s="8" t="s">
        <v>95</v>
      </c>
      <c r="AA504" s="8">
        <v>1</v>
      </c>
      <c r="AB504" s="8" t="s">
        <v>95</v>
      </c>
      <c r="AC504" s="8">
        <v>1</v>
      </c>
      <c r="AD504" s="8" t="s">
        <v>95</v>
      </c>
      <c r="AE504" s="8">
        <v>1</v>
      </c>
      <c r="AF504" s="8" t="s">
        <v>95</v>
      </c>
      <c r="AG504" s="8">
        <v>1</v>
      </c>
      <c r="AH504" s="8" t="s">
        <v>95</v>
      </c>
      <c r="AI504" s="8">
        <v>1</v>
      </c>
      <c r="AJ504" s="8" t="s">
        <v>95</v>
      </c>
      <c r="AK504" s="8">
        <v>1</v>
      </c>
      <c r="AL504" s="8" t="s">
        <v>95</v>
      </c>
      <c r="AM504" s="8">
        <v>1</v>
      </c>
      <c r="AN504" s="8">
        <v>16</v>
      </c>
    </row>
    <row r="505" spans="1:40" x14ac:dyDescent="0.25">
      <c r="A505" s="8" t="s">
        <v>565</v>
      </c>
      <c r="B505" s="9">
        <v>42033.681250000001</v>
      </c>
      <c r="C505" s="8">
        <v>0</v>
      </c>
      <c r="D505" s="9">
        <v>42044.102083333331</v>
      </c>
      <c r="E505" s="8" t="s">
        <v>93</v>
      </c>
      <c r="F505" s="8">
        <v>16</v>
      </c>
      <c r="G505" s="8" t="s">
        <v>94</v>
      </c>
      <c r="H505" s="8" t="s">
        <v>95</v>
      </c>
      <c r="I505" s="8">
        <v>1</v>
      </c>
      <c r="J505" s="8" t="s">
        <v>95</v>
      </c>
      <c r="K505" s="8">
        <v>1</v>
      </c>
      <c r="L505" s="8" t="s">
        <v>95</v>
      </c>
      <c r="M505" s="8">
        <v>1</v>
      </c>
      <c r="N505" s="8" t="s">
        <v>95</v>
      </c>
      <c r="O505" s="8">
        <v>1</v>
      </c>
      <c r="P505" s="8" t="s">
        <v>95</v>
      </c>
      <c r="Q505" s="8">
        <v>1</v>
      </c>
      <c r="R505" s="8" t="s">
        <v>95</v>
      </c>
      <c r="S505" s="8">
        <v>1</v>
      </c>
      <c r="T505" s="8" t="s">
        <v>95</v>
      </c>
      <c r="U505" s="8">
        <v>1</v>
      </c>
      <c r="V505" s="8" t="s">
        <v>95</v>
      </c>
      <c r="W505" s="8">
        <v>1</v>
      </c>
      <c r="X505" s="8" t="s">
        <v>95</v>
      </c>
      <c r="Y505" s="8">
        <v>1</v>
      </c>
      <c r="Z505" s="8" t="s">
        <v>95</v>
      </c>
      <c r="AA505" s="8">
        <v>1</v>
      </c>
      <c r="AB505" s="8" t="s">
        <v>95</v>
      </c>
      <c r="AC505" s="8">
        <v>1</v>
      </c>
      <c r="AD505" s="8" t="s">
        <v>95</v>
      </c>
      <c r="AE505" s="8">
        <v>1</v>
      </c>
      <c r="AF505" s="8" t="s">
        <v>95</v>
      </c>
      <c r="AG505" s="8">
        <v>1</v>
      </c>
      <c r="AH505" s="8" t="s">
        <v>95</v>
      </c>
      <c r="AI505" s="8">
        <v>1</v>
      </c>
      <c r="AJ505" s="8" t="s">
        <v>95</v>
      </c>
      <c r="AK505" s="8">
        <v>1</v>
      </c>
      <c r="AL505" s="8" t="s">
        <v>95</v>
      </c>
      <c r="AM505" s="8">
        <v>1</v>
      </c>
      <c r="AN505" s="8">
        <v>16</v>
      </c>
    </row>
    <row r="506" spans="1:40" x14ac:dyDescent="0.25">
      <c r="A506" s="8" t="s">
        <v>566</v>
      </c>
      <c r="B506" s="9">
        <v>42033.677083333336</v>
      </c>
      <c r="C506" s="8">
        <v>0</v>
      </c>
      <c r="D506" s="9">
        <v>42044.102083333331</v>
      </c>
      <c r="E506" s="8" t="s">
        <v>93</v>
      </c>
      <c r="F506" s="8">
        <v>16</v>
      </c>
      <c r="G506" s="8" t="s">
        <v>94</v>
      </c>
      <c r="H506" s="8" t="s">
        <v>95</v>
      </c>
      <c r="I506" s="8">
        <v>1</v>
      </c>
      <c r="J506" s="8" t="s">
        <v>95</v>
      </c>
      <c r="K506" s="8">
        <v>1</v>
      </c>
      <c r="L506" s="8" t="s">
        <v>95</v>
      </c>
      <c r="M506" s="8">
        <v>1</v>
      </c>
      <c r="N506" s="8" t="s">
        <v>95</v>
      </c>
      <c r="O506" s="8">
        <v>1</v>
      </c>
      <c r="P506" s="8" t="s">
        <v>95</v>
      </c>
      <c r="Q506" s="8">
        <v>1</v>
      </c>
      <c r="R506" s="8" t="s">
        <v>95</v>
      </c>
      <c r="S506" s="8">
        <v>1</v>
      </c>
      <c r="T506" s="8" t="s">
        <v>95</v>
      </c>
      <c r="U506" s="8">
        <v>1</v>
      </c>
      <c r="V506" s="8" t="s">
        <v>95</v>
      </c>
      <c r="W506" s="8">
        <v>1</v>
      </c>
      <c r="X506" s="8" t="s">
        <v>95</v>
      </c>
      <c r="Y506" s="8">
        <v>1</v>
      </c>
      <c r="Z506" s="8" t="s">
        <v>95</v>
      </c>
      <c r="AA506" s="8">
        <v>1</v>
      </c>
      <c r="AB506" s="8" t="s">
        <v>95</v>
      </c>
      <c r="AC506" s="8">
        <v>1</v>
      </c>
      <c r="AD506" s="8" t="s">
        <v>95</v>
      </c>
      <c r="AE506" s="8">
        <v>1</v>
      </c>
      <c r="AF506" s="8" t="s">
        <v>95</v>
      </c>
      <c r="AG506" s="8">
        <v>1</v>
      </c>
      <c r="AH506" s="8" t="s">
        <v>95</v>
      </c>
      <c r="AI506" s="8">
        <v>1</v>
      </c>
      <c r="AJ506" s="8" t="s">
        <v>95</v>
      </c>
      <c r="AK506" s="8">
        <v>1</v>
      </c>
      <c r="AL506" s="8" t="s">
        <v>95</v>
      </c>
      <c r="AM506" s="8">
        <v>1</v>
      </c>
      <c r="AN506" s="8">
        <v>16</v>
      </c>
    </row>
    <row r="507" spans="1:40" x14ac:dyDescent="0.25">
      <c r="A507" s="8" t="s">
        <v>567</v>
      </c>
      <c r="B507" s="9">
        <v>42033.677777777775</v>
      </c>
      <c r="C507" s="8">
        <v>0</v>
      </c>
      <c r="D507" s="9">
        <v>42044.102777777778</v>
      </c>
      <c r="E507" s="8" t="s">
        <v>93</v>
      </c>
      <c r="F507" s="8">
        <v>16</v>
      </c>
      <c r="G507" s="8" t="s">
        <v>94</v>
      </c>
      <c r="H507" s="8" t="s">
        <v>95</v>
      </c>
      <c r="I507" s="8">
        <v>1</v>
      </c>
      <c r="J507" s="8" t="s">
        <v>95</v>
      </c>
      <c r="K507" s="8">
        <v>1</v>
      </c>
      <c r="L507" s="8" t="s">
        <v>95</v>
      </c>
      <c r="M507" s="8">
        <v>1</v>
      </c>
      <c r="N507" s="8" t="s">
        <v>95</v>
      </c>
      <c r="O507" s="8">
        <v>1</v>
      </c>
      <c r="P507" s="8" t="s">
        <v>95</v>
      </c>
      <c r="Q507" s="8">
        <v>1</v>
      </c>
      <c r="R507" s="8" t="s">
        <v>95</v>
      </c>
      <c r="S507" s="8">
        <v>1</v>
      </c>
      <c r="T507" s="8" t="s">
        <v>95</v>
      </c>
      <c r="U507" s="8">
        <v>1</v>
      </c>
      <c r="V507" s="8" t="s">
        <v>95</v>
      </c>
      <c r="W507" s="8">
        <v>1</v>
      </c>
      <c r="X507" s="8" t="s">
        <v>95</v>
      </c>
      <c r="Y507" s="8">
        <v>1</v>
      </c>
      <c r="Z507" s="8" t="s">
        <v>95</v>
      </c>
      <c r="AA507" s="8">
        <v>1</v>
      </c>
      <c r="AB507" s="8" t="s">
        <v>95</v>
      </c>
      <c r="AC507" s="8">
        <v>1</v>
      </c>
      <c r="AD507" s="8" t="s">
        <v>95</v>
      </c>
      <c r="AE507" s="8">
        <v>1</v>
      </c>
      <c r="AF507" s="8" t="s">
        <v>95</v>
      </c>
      <c r="AG507" s="8">
        <v>1</v>
      </c>
      <c r="AH507" s="8" t="s">
        <v>95</v>
      </c>
      <c r="AI507" s="8">
        <v>1</v>
      </c>
      <c r="AJ507" s="8" t="s">
        <v>95</v>
      </c>
      <c r="AK507" s="8">
        <v>1</v>
      </c>
      <c r="AL507" s="8" t="s">
        <v>95</v>
      </c>
      <c r="AM507" s="8">
        <v>1</v>
      </c>
      <c r="AN507" s="8">
        <v>16</v>
      </c>
    </row>
    <row r="508" spans="1:40" x14ac:dyDescent="0.25">
      <c r="A508" s="8" t="s">
        <v>568</v>
      </c>
      <c r="B508" s="9">
        <v>42033.677777777775</v>
      </c>
      <c r="C508" s="8">
        <v>0</v>
      </c>
      <c r="D508" s="9">
        <v>42044.104166666664</v>
      </c>
      <c r="E508" s="8" t="s">
        <v>93</v>
      </c>
      <c r="F508" s="8">
        <v>10</v>
      </c>
      <c r="G508" s="8" t="s">
        <v>94</v>
      </c>
      <c r="H508" s="8" t="s">
        <v>95</v>
      </c>
      <c r="I508" s="8">
        <v>1</v>
      </c>
      <c r="J508" s="8" t="s">
        <v>95</v>
      </c>
      <c r="K508" s="8">
        <v>1</v>
      </c>
      <c r="L508" s="8" t="s">
        <v>94</v>
      </c>
      <c r="M508" s="8">
        <v>0</v>
      </c>
      <c r="N508" s="8" t="s">
        <v>94</v>
      </c>
      <c r="O508" s="8">
        <v>0</v>
      </c>
      <c r="P508" s="8" t="s">
        <v>95</v>
      </c>
      <c r="Q508" s="8">
        <v>1</v>
      </c>
      <c r="R508" s="8" t="s">
        <v>94</v>
      </c>
      <c r="S508" s="8">
        <v>0</v>
      </c>
      <c r="T508" s="8" t="s">
        <v>94</v>
      </c>
      <c r="U508" s="8">
        <v>0</v>
      </c>
      <c r="V508" s="8" t="s">
        <v>95</v>
      </c>
      <c r="W508" s="8">
        <v>1</v>
      </c>
      <c r="X508" s="8" t="s">
        <v>95</v>
      </c>
      <c r="Y508" s="8">
        <v>1</v>
      </c>
      <c r="Z508" s="8" t="s">
        <v>95</v>
      </c>
      <c r="AA508" s="8">
        <v>1</v>
      </c>
      <c r="AB508" s="8" t="s">
        <v>95</v>
      </c>
      <c r="AC508" s="8">
        <v>1</v>
      </c>
      <c r="AD508" s="8" t="s">
        <v>95</v>
      </c>
      <c r="AE508" s="8">
        <v>1</v>
      </c>
      <c r="AF508" s="8" t="s">
        <v>94</v>
      </c>
      <c r="AG508" s="8">
        <v>0</v>
      </c>
      <c r="AH508" s="8" t="s">
        <v>95</v>
      </c>
      <c r="AI508" s="8">
        <v>1</v>
      </c>
      <c r="AJ508" s="8" t="s">
        <v>95</v>
      </c>
      <c r="AK508" s="8">
        <v>1</v>
      </c>
      <c r="AL508" s="8" t="s">
        <v>94</v>
      </c>
      <c r="AM508" s="8">
        <v>0</v>
      </c>
      <c r="AN508" s="8">
        <v>10</v>
      </c>
    </row>
    <row r="509" spans="1:40" x14ac:dyDescent="0.25">
      <c r="A509" s="8" t="s">
        <v>569</v>
      </c>
      <c r="B509" s="9">
        <v>42033.669444444444</v>
      </c>
      <c r="C509" s="8">
        <v>0</v>
      </c>
      <c r="D509" s="9">
        <v>42044.104861111111</v>
      </c>
      <c r="E509" s="8" t="s">
        <v>93</v>
      </c>
      <c r="F509" s="8">
        <v>7</v>
      </c>
      <c r="G509" s="8" t="s">
        <v>94</v>
      </c>
      <c r="H509" s="8" t="s">
        <v>95</v>
      </c>
      <c r="I509" s="8">
        <v>1</v>
      </c>
      <c r="J509" s="8" t="s">
        <v>94</v>
      </c>
      <c r="K509" s="8">
        <v>0</v>
      </c>
      <c r="L509" s="8" t="s">
        <v>94</v>
      </c>
      <c r="M509" s="8">
        <v>0</v>
      </c>
      <c r="N509" s="8" t="s">
        <v>94</v>
      </c>
      <c r="O509" s="8">
        <v>0</v>
      </c>
      <c r="P509" s="8" t="s">
        <v>94</v>
      </c>
      <c r="Q509" s="8">
        <v>0</v>
      </c>
      <c r="R509" s="8" t="s">
        <v>94</v>
      </c>
      <c r="S509" s="8">
        <v>0</v>
      </c>
      <c r="T509" s="8" t="s">
        <v>95</v>
      </c>
      <c r="U509" s="8">
        <v>1</v>
      </c>
      <c r="V509" s="8" t="s">
        <v>94</v>
      </c>
      <c r="W509" s="8">
        <v>0</v>
      </c>
      <c r="X509" s="8" t="s">
        <v>94</v>
      </c>
      <c r="Y509" s="8">
        <v>0</v>
      </c>
      <c r="Z509" s="8" t="s">
        <v>95</v>
      </c>
      <c r="AA509" s="8">
        <v>1</v>
      </c>
      <c r="AB509" s="8" t="s">
        <v>95</v>
      </c>
      <c r="AC509" s="8">
        <v>1</v>
      </c>
      <c r="AD509" s="8" t="s">
        <v>95</v>
      </c>
      <c r="AE509" s="8">
        <v>1</v>
      </c>
      <c r="AF509" s="8" t="s">
        <v>95</v>
      </c>
      <c r="AG509" s="8">
        <v>1</v>
      </c>
      <c r="AH509" s="8" t="s">
        <v>94</v>
      </c>
      <c r="AI509" s="8">
        <v>0</v>
      </c>
      <c r="AJ509" s="8" t="s">
        <v>95</v>
      </c>
      <c r="AK509" s="8">
        <v>1</v>
      </c>
      <c r="AL509" s="8" t="s">
        <v>94</v>
      </c>
      <c r="AM509" s="8">
        <v>0</v>
      </c>
      <c r="AN509" s="8">
        <v>7</v>
      </c>
    </row>
    <row r="510" spans="1:40" x14ac:dyDescent="0.25">
      <c r="A510" s="8" t="s">
        <v>570</v>
      </c>
      <c r="B510" s="9">
        <v>42033.660416666666</v>
      </c>
      <c r="C510" s="8">
        <v>0</v>
      </c>
      <c r="D510" s="9">
        <v>42044.104861111111</v>
      </c>
      <c r="E510" s="8" t="s">
        <v>93</v>
      </c>
      <c r="F510" s="8">
        <v>15</v>
      </c>
      <c r="G510" s="8" t="s">
        <v>94</v>
      </c>
      <c r="H510" s="8" t="s">
        <v>95</v>
      </c>
      <c r="I510" s="8">
        <v>1</v>
      </c>
      <c r="J510" s="8" t="s">
        <v>95</v>
      </c>
      <c r="K510" s="8">
        <v>1</v>
      </c>
      <c r="L510" s="8" t="s">
        <v>95</v>
      </c>
      <c r="M510" s="8">
        <v>1</v>
      </c>
      <c r="N510" s="8" t="s">
        <v>95</v>
      </c>
      <c r="O510" s="8">
        <v>1</v>
      </c>
      <c r="P510" s="8" t="s">
        <v>95</v>
      </c>
      <c r="Q510" s="8">
        <v>1</v>
      </c>
      <c r="R510" s="8" t="s">
        <v>95</v>
      </c>
      <c r="S510" s="8">
        <v>1</v>
      </c>
      <c r="T510" s="8" t="s">
        <v>95</v>
      </c>
      <c r="U510" s="8">
        <v>1</v>
      </c>
      <c r="V510" s="8" t="s">
        <v>95</v>
      </c>
      <c r="W510" s="8">
        <v>1</v>
      </c>
      <c r="X510" s="8" t="s">
        <v>94</v>
      </c>
      <c r="Y510" s="8">
        <v>0</v>
      </c>
      <c r="Z510" s="8" t="s">
        <v>95</v>
      </c>
      <c r="AA510" s="8">
        <v>1</v>
      </c>
      <c r="AB510" s="8" t="s">
        <v>95</v>
      </c>
      <c r="AC510" s="8">
        <v>1</v>
      </c>
      <c r="AD510" s="8" t="s">
        <v>95</v>
      </c>
      <c r="AE510" s="8">
        <v>1</v>
      </c>
      <c r="AF510" s="8" t="s">
        <v>95</v>
      </c>
      <c r="AG510" s="8">
        <v>1</v>
      </c>
      <c r="AH510" s="8" t="s">
        <v>95</v>
      </c>
      <c r="AI510" s="8">
        <v>1</v>
      </c>
      <c r="AJ510" s="8" t="s">
        <v>95</v>
      </c>
      <c r="AK510" s="8">
        <v>1</v>
      </c>
      <c r="AL510" s="8" t="s">
        <v>95</v>
      </c>
      <c r="AM510" s="8">
        <v>1</v>
      </c>
      <c r="AN510" s="8">
        <v>15</v>
      </c>
    </row>
    <row r="511" spans="1:40" x14ac:dyDescent="0.25">
      <c r="A511" s="8" t="s">
        <v>571</v>
      </c>
      <c r="B511" s="9">
        <v>42033.670138888891</v>
      </c>
      <c r="C511" s="8">
        <v>0</v>
      </c>
      <c r="D511" s="9">
        <v>42044.106944444444</v>
      </c>
      <c r="E511" s="8" t="s">
        <v>93</v>
      </c>
      <c r="F511" s="8">
        <v>16</v>
      </c>
      <c r="G511" s="8" t="s">
        <v>94</v>
      </c>
      <c r="H511" s="8" t="s">
        <v>95</v>
      </c>
      <c r="I511" s="8">
        <v>1</v>
      </c>
      <c r="J511" s="8" t="s">
        <v>95</v>
      </c>
      <c r="K511" s="8">
        <v>1</v>
      </c>
      <c r="L511" s="8" t="s">
        <v>95</v>
      </c>
      <c r="M511" s="8">
        <v>1</v>
      </c>
      <c r="N511" s="8" t="s">
        <v>95</v>
      </c>
      <c r="O511" s="8">
        <v>1</v>
      </c>
      <c r="P511" s="8" t="s">
        <v>95</v>
      </c>
      <c r="Q511" s="8">
        <v>1</v>
      </c>
      <c r="R511" s="8" t="s">
        <v>95</v>
      </c>
      <c r="S511" s="8">
        <v>1</v>
      </c>
      <c r="T511" s="8" t="s">
        <v>95</v>
      </c>
      <c r="U511" s="8">
        <v>1</v>
      </c>
      <c r="V511" s="8" t="s">
        <v>95</v>
      </c>
      <c r="W511" s="8">
        <v>1</v>
      </c>
      <c r="X511" s="8" t="s">
        <v>95</v>
      </c>
      <c r="Y511" s="8">
        <v>1</v>
      </c>
      <c r="Z511" s="8" t="s">
        <v>95</v>
      </c>
      <c r="AA511" s="8">
        <v>1</v>
      </c>
      <c r="AB511" s="8" t="s">
        <v>95</v>
      </c>
      <c r="AC511" s="8">
        <v>1</v>
      </c>
      <c r="AD511" s="8" t="s">
        <v>95</v>
      </c>
      <c r="AE511" s="8">
        <v>1</v>
      </c>
      <c r="AF511" s="8" t="s">
        <v>95</v>
      </c>
      <c r="AG511" s="8">
        <v>1</v>
      </c>
      <c r="AH511" s="8" t="s">
        <v>95</v>
      </c>
      <c r="AI511" s="8">
        <v>1</v>
      </c>
      <c r="AJ511" s="8" t="s">
        <v>95</v>
      </c>
      <c r="AK511" s="8">
        <v>1</v>
      </c>
      <c r="AL511" s="8" t="s">
        <v>95</v>
      </c>
      <c r="AM511" s="8">
        <v>1</v>
      </c>
      <c r="AN511" s="8">
        <v>16</v>
      </c>
    </row>
    <row r="512" spans="1:40" x14ac:dyDescent="0.25">
      <c r="A512" s="8" t="s">
        <v>572</v>
      </c>
      <c r="B512" s="9">
        <v>42033.65</v>
      </c>
      <c r="C512" s="8">
        <v>0</v>
      </c>
      <c r="D512" s="9">
        <v>42044.107638888891</v>
      </c>
      <c r="E512" s="8" t="s">
        <v>93</v>
      </c>
      <c r="F512" s="8">
        <v>14</v>
      </c>
      <c r="G512" s="8" t="s">
        <v>94</v>
      </c>
      <c r="H512" s="8" t="s">
        <v>95</v>
      </c>
      <c r="I512" s="8">
        <v>1</v>
      </c>
      <c r="J512" s="8" t="s">
        <v>95</v>
      </c>
      <c r="K512" s="8">
        <v>1</v>
      </c>
      <c r="L512" s="8" t="s">
        <v>95</v>
      </c>
      <c r="M512" s="8">
        <v>1</v>
      </c>
      <c r="N512" s="8" t="s">
        <v>95</v>
      </c>
      <c r="O512" s="8">
        <v>1</v>
      </c>
      <c r="P512" s="8" t="s">
        <v>95</v>
      </c>
      <c r="Q512" s="8">
        <v>1</v>
      </c>
      <c r="R512" s="8" t="s">
        <v>95</v>
      </c>
      <c r="S512" s="8">
        <v>1</v>
      </c>
      <c r="T512" s="8" t="s">
        <v>95</v>
      </c>
      <c r="U512" s="8">
        <v>1</v>
      </c>
      <c r="V512" s="8" t="s">
        <v>95</v>
      </c>
      <c r="W512" s="8">
        <v>1</v>
      </c>
      <c r="X512" s="8" t="s">
        <v>95</v>
      </c>
      <c r="Y512" s="8">
        <v>1</v>
      </c>
      <c r="Z512" s="8" t="s">
        <v>95</v>
      </c>
      <c r="AA512" s="8">
        <v>1</v>
      </c>
      <c r="AB512" s="8" t="s">
        <v>95</v>
      </c>
      <c r="AC512" s="8">
        <v>1</v>
      </c>
      <c r="AD512" s="8" t="s">
        <v>95</v>
      </c>
      <c r="AE512" s="8">
        <v>1</v>
      </c>
      <c r="AF512" s="8" t="s">
        <v>95</v>
      </c>
      <c r="AG512" s="8">
        <v>1</v>
      </c>
      <c r="AH512" s="8" t="s">
        <v>94</v>
      </c>
      <c r="AI512" s="8">
        <v>0</v>
      </c>
      <c r="AJ512" s="8" t="s">
        <v>95</v>
      </c>
      <c r="AK512" s="8">
        <v>1</v>
      </c>
      <c r="AL512" s="8" t="s">
        <v>94</v>
      </c>
      <c r="AM512" s="8">
        <v>0</v>
      </c>
      <c r="AN512" s="8">
        <v>14</v>
      </c>
    </row>
    <row r="513" spans="1:40" x14ac:dyDescent="0.25">
      <c r="A513" s="8" t="s">
        <v>573</v>
      </c>
      <c r="B513" s="9">
        <v>42033.657638888886</v>
      </c>
      <c r="C513" s="8">
        <v>0</v>
      </c>
      <c r="D513" s="9">
        <v>42044.107638888891</v>
      </c>
      <c r="E513" s="8" t="s">
        <v>93</v>
      </c>
      <c r="F513" s="8">
        <v>7</v>
      </c>
      <c r="G513" s="8" t="s">
        <v>94</v>
      </c>
      <c r="H513" s="8" t="s">
        <v>94</v>
      </c>
      <c r="I513" s="8">
        <v>0</v>
      </c>
      <c r="J513" s="8" t="s">
        <v>94</v>
      </c>
      <c r="K513" s="8">
        <v>0</v>
      </c>
      <c r="L513" s="8" t="s">
        <v>94</v>
      </c>
      <c r="M513" s="8">
        <v>0</v>
      </c>
      <c r="N513" s="8" t="s">
        <v>94</v>
      </c>
      <c r="O513" s="8">
        <v>0</v>
      </c>
      <c r="P513" s="8" t="s">
        <v>95</v>
      </c>
      <c r="Q513" s="8">
        <v>1</v>
      </c>
      <c r="R513" s="8" t="s">
        <v>95</v>
      </c>
      <c r="S513" s="8">
        <v>1</v>
      </c>
      <c r="T513" s="8" t="s">
        <v>95</v>
      </c>
      <c r="U513" s="8">
        <v>1</v>
      </c>
      <c r="V513" s="8" t="s">
        <v>94</v>
      </c>
      <c r="W513" s="8">
        <v>0</v>
      </c>
      <c r="X513" s="8" t="s">
        <v>95</v>
      </c>
      <c r="Y513" s="8">
        <v>1</v>
      </c>
      <c r="Z513" s="8" t="s">
        <v>94</v>
      </c>
      <c r="AA513" s="8">
        <v>0</v>
      </c>
      <c r="AB513" s="8" t="s">
        <v>94</v>
      </c>
      <c r="AC513" s="8">
        <v>0</v>
      </c>
      <c r="AD513" s="8" t="s">
        <v>95</v>
      </c>
      <c r="AE513" s="8">
        <v>1</v>
      </c>
      <c r="AF513" s="8" t="s">
        <v>94</v>
      </c>
      <c r="AG513" s="8">
        <v>0</v>
      </c>
      <c r="AH513" s="8" t="s">
        <v>95</v>
      </c>
      <c r="AI513" s="8">
        <v>1</v>
      </c>
      <c r="AJ513" s="8" t="s">
        <v>95</v>
      </c>
      <c r="AK513" s="8">
        <v>1</v>
      </c>
      <c r="AL513" s="8" t="s">
        <v>94</v>
      </c>
      <c r="AM513" s="8">
        <v>0</v>
      </c>
      <c r="AN513" s="8">
        <v>7</v>
      </c>
    </row>
    <row r="514" spans="1:40" x14ac:dyDescent="0.25">
      <c r="A514" s="8" t="s">
        <v>574</v>
      </c>
      <c r="B514" s="9">
        <v>42033.675694444442</v>
      </c>
      <c r="C514" s="8">
        <v>0</v>
      </c>
      <c r="D514" s="9">
        <v>42044.10833333333</v>
      </c>
      <c r="E514" s="8" t="s">
        <v>93</v>
      </c>
      <c r="F514" s="8">
        <v>16</v>
      </c>
      <c r="G514" s="8" t="s">
        <v>94</v>
      </c>
      <c r="H514" s="8" t="s">
        <v>95</v>
      </c>
      <c r="I514" s="8">
        <v>1</v>
      </c>
      <c r="J514" s="8" t="s">
        <v>95</v>
      </c>
      <c r="K514" s="8">
        <v>1</v>
      </c>
      <c r="L514" s="8" t="s">
        <v>95</v>
      </c>
      <c r="M514" s="8">
        <v>1</v>
      </c>
      <c r="N514" s="8" t="s">
        <v>95</v>
      </c>
      <c r="O514" s="8">
        <v>1</v>
      </c>
      <c r="P514" s="8" t="s">
        <v>95</v>
      </c>
      <c r="Q514" s="8">
        <v>1</v>
      </c>
      <c r="R514" s="8" t="s">
        <v>95</v>
      </c>
      <c r="S514" s="8">
        <v>1</v>
      </c>
      <c r="T514" s="8" t="s">
        <v>95</v>
      </c>
      <c r="U514" s="8">
        <v>1</v>
      </c>
      <c r="V514" s="8" t="s">
        <v>95</v>
      </c>
      <c r="W514" s="8">
        <v>1</v>
      </c>
      <c r="X514" s="8" t="s">
        <v>95</v>
      </c>
      <c r="Y514" s="8">
        <v>1</v>
      </c>
      <c r="Z514" s="8" t="s">
        <v>95</v>
      </c>
      <c r="AA514" s="8">
        <v>1</v>
      </c>
      <c r="AB514" s="8" t="s">
        <v>95</v>
      </c>
      <c r="AC514" s="8">
        <v>1</v>
      </c>
      <c r="AD514" s="8" t="s">
        <v>95</v>
      </c>
      <c r="AE514" s="8">
        <v>1</v>
      </c>
      <c r="AF514" s="8" t="s">
        <v>95</v>
      </c>
      <c r="AG514" s="8">
        <v>1</v>
      </c>
      <c r="AH514" s="8" t="s">
        <v>95</v>
      </c>
      <c r="AI514" s="8">
        <v>1</v>
      </c>
      <c r="AJ514" s="8" t="s">
        <v>95</v>
      </c>
      <c r="AK514" s="8">
        <v>1</v>
      </c>
      <c r="AL514" s="8" t="s">
        <v>95</v>
      </c>
      <c r="AM514" s="8">
        <v>1</v>
      </c>
      <c r="AN514" s="8">
        <v>16</v>
      </c>
    </row>
    <row r="515" spans="1:40" x14ac:dyDescent="0.25">
      <c r="A515" s="8" t="s">
        <v>575</v>
      </c>
      <c r="B515" s="9">
        <v>42033.673611111109</v>
      </c>
      <c r="C515" s="8">
        <v>0</v>
      </c>
      <c r="D515" s="9">
        <v>42044.111111111109</v>
      </c>
      <c r="E515" s="8" t="s">
        <v>93</v>
      </c>
      <c r="F515" s="8">
        <v>16</v>
      </c>
      <c r="G515" s="8" t="s">
        <v>94</v>
      </c>
      <c r="H515" s="8" t="s">
        <v>95</v>
      </c>
      <c r="I515" s="8">
        <v>1</v>
      </c>
      <c r="J515" s="8" t="s">
        <v>95</v>
      </c>
      <c r="K515" s="8">
        <v>1</v>
      </c>
      <c r="L515" s="8" t="s">
        <v>95</v>
      </c>
      <c r="M515" s="8">
        <v>1</v>
      </c>
      <c r="N515" s="8" t="s">
        <v>95</v>
      </c>
      <c r="O515" s="8">
        <v>1</v>
      </c>
      <c r="P515" s="8" t="s">
        <v>95</v>
      </c>
      <c r="Q515" s="8">
        <v>1</v>
      </c>
      <c r="R515" s="8" t="s">
        <v>95</v>
      </c>
      <c r="S515" s="8">
        <v>1</v>
      </c>
      <c r="T515" s="8" t="s">
        <v>95</v>
      </c>
      <c r="U515" s="8">
        <v>1</v>
      </c>
      <c r="V515" s="8" t="s">
        <v>95</v>
      </c>
      <c r="W515" s="8">
        <v>1</v>
      </c>
      <c r="X515" s="8" t="s">
        <v>95</v>
      </c>
      <c r="Y515" s="8">
        <v>1</v>
      </c>
      <c r="Z515" s="8" t="s">
        <v>95</v>
      </c>
      <c r="AA515" s="8">
        <v>1</v>
      </c>
      <c r="AB515" s="8" t="s">
        <v>95</v>
      </c>
      <c r="AC515" s="8">
        <v>1</v>
      </c>
      <c r="AD515" s="8" t="s">
        <v>95</v>
      </c>
      <c r="AE515" s="8">
        <v>1</v>
      </c>
      <c r="AF515" s="8" t="s">
        <v>95</v>
      </c>
      <c r="AG515" s="8">
        <v>1</v>
      </c>
      <c r="AH515" s="8" t="s">
        <v>95</v>
      </c>
      <c r="AI515" s="8">
        <v>1</v>
      </c>
      <c r="AJ515" s="8" t="s">
        <v>95</v>
      </c>
      <c r="AK515" s="8">
        <v>1</v>
      </c>
      <c r="AL515" s="8" t="s">
        <v>95</v>
      </c>
      <c r="AM515" s="8">
        <v>1</v>
      </c>
      <c r="AN515" s="8">
        <v>16</v>
      </c>
    </row>
    <row r="516" spans="1:40" x14ac:dyDescent="0.25">
      <c r="A516" s="8" t="s">
        <v>576</v>
      </c>
      <c r="B516" s="9">
        <v>42033.659722222219</v>
      </c>
      <c r="C516" s="8">
        <v>0</v>
      </c>
      <c r="D516" s="9">
        <v>42044.112500000003</v>
      </c>
      <c r="E516" s="8" t="s">
        <v>93</v>
      </c>
      <c r="F516" s="8">
        <v>6</v>
      </c>
      <c r="G516" s="8" t="s">
        <v>94</v>
      </c>
      <c r="H516" s="8" t="s">
        <v>95</v>
      </c>
      <c r="I516" s="8">
        <v>1</v>
      </c>
      <c r="J516" s="8" t="s">
        <v>94</v>
      </c>
      <c r="K516" s="8">
        <v>0</v>
      </c>
      <c r="L516" s="8" t="s">
        <v>94</v>
      </c>
      <c r="M516" s="8">
        <v>0</v>
      </c>
      <c r="N516" s="8" t="s">
        <v>94</v>
      </c>
      <c r="O516" s="8">
        <v>0</v>
      </c>
      <c r="P516" s="8" t="s">
        <v>95</v>
      </c>
      <c r="Q516" s="8">
        <v>1</v>
      </c>
      <c r="R516" s="8" t="s">
        <v>94</v>
      </c>
      <c r="S516" s="8">
        <v>0</v>
      </c>
      <c r="T516" s="8" t="s">
        <v>94</v>
      </c>
      <c r="U516" s="8">
        <v>0</v>
      </c>
      <c r="V516" s="8" t="s">
        <v>95</v>
      </c>
      <c r="W516" s="8">
        <v>1</v>
      </c>
      <c r="X516" s="8" t="s">
        <v>95</v>
      </c>
      <c r="Y516" s="8">
        <v>1</v>
      </c>
      <c r="Z516" s="8" t="s">
        <v>95</v>
      </c>
      <c r="AA516" s="8">
        <v>1</v>
      </c>
      <c r="AB516" s="8" t="s">
        <v>95</v>
      </c>
      <c r="AC516" s="8">
        <v>1</v>
      </c>
      <c r="AD516" s="8" t="s">
        <v>94</v>
      </c>
      <c r="AE516" s="8">
        <v>0</v>
      </c>
      <c r="AF516" s="8" t="s">
        <v>94</v>
      </c>
      <c r="AG516" s="8">
        <v>0</v>
      </c>
      <c r="AH516" s="8" t="s">
        <v>94</v>
      </c>
      <c r="AI516" s="8">
        <v>0</v>
      </c>
      <c r="AJ516" s="8" t="s">
        <v>94</v>
      </c>
      <c r="AK516" s="8">
        <v>0</v>
      </c>
      <c r="AL516" s="8" t="s">
        <v>94</v>
      </c>
      <c r="AM516" s="8">
        <v>0</v>
      </c>
      <c r="AN516" s="8">
        <v>6</v>
      </c>
    </row>
    <row r="517" spans="1:40" x14ac:dyDescent="0.25">
      <c r="A517" s="8" t="s">
        <v>577</v>
      </c>
      <c r="B517" s="9">
        <v>42033.677083333336</v>
      </c>
      <c r="C517" s="8">
        <v>0</v>
      </c>
      <c r="D517" s="9">
        <v>42044.112500000003</v>
      </c>
      <c r="E517" s="8" t="s">
        <v>93</v>
      </c>
      <c r="F517" s="8">
        <v>16</v>
      </c>
      <c r="G517" s="8" t="s">
        <v>94</v>
      </c>
      <c r="H517" s="8" t="s">
        <v>95</v>
      </c>
      <c r="I517" s="8">
        <v>1</v>
      </c>
      <c r="J517" s="8" t="s">
        <v>95</v>
      </c>
      <c r="K517" s="8">
        <v>1</v>
      </c>
      <c r="L517" s="8" t="s">
        <v>95</v>
      </c>
      <c r="M517" s="8">
        <v>1</v>
      </c>
      <c r="N517" s="8" t="s">
        <v>95</v>
      </c>
      <c r="O517" s="8">
        <v>1</v>
      </c>
      <c r="P517" s="8" t="s">
        <v>95</v>
      </c>
      <c r="Q517" s="8">
        <v>1</v>
      </c>
      <c r="R517" s="8" t="s">
        <v>95</v>
      </c>
      <c r="S517" s="8">
        <v>1</v>
      </c>
      <c r="T517" s="8" t="s">
        <v>95</v>
      </c>
      <c r="U517" s="8">
        <v>1</v>
      </c>
      <c r="V517" s="8" t="s">
        <v>95</v>
      </c>
      <c r="W517" s="8">
        <v>1</v>
      </c>
      <c r="X517" s="8" t="s">
        <v>95</v>
      </c>
      <c r="Y517" s="8">
        <v>1</v>
      </c>
      <c r="Z517" s="8" t="s">
        <v>95</v>
      </c>
      <c r="AA517" s="8">
        <v>1</v>
      </c>
      <c r="AB517" s="8" t="s">
        <v>95</v>
      </c>
      <c r="AC517" s="8">
        <v>1</v>
      </c>
      <c r="AD517" s="8" t="s">
        <v>95</v>
      </c>
      <c r="AE517" s="8">
        <v>1</v>
      </c>
      <c r="AF517" s="8" t="s">
        <v>95</v>
      </c>
      <c r="AG517" s="8">
        <v>1</v>
      </c>
      <c r="AH517" s="8" t="s">
        <v>95</v>
      </c>
      <c r="AI517" s="8">
        <v>1</v>
      </c>
      <c r="AJ517" s="8" t="s">
        <v>95</v>
      </c>
      <c r="AK517" s="8">
        <v>1</v>
      </c>
      <c r="AL517" s="8" t="s">
        <v>95</v>
      </c>
      <c r="AM517" s="8">
        <v>1</v>
      </c>
      <c r="AN517" s="8">
        <v>16</v>
      </c>
    </row>
    <row r="518" spans="1:40" x14ac:dyDescent="0.25">
      <c r="A518" s="8" t="s">
        <v>578</v>
      </c>
      <c r="B518" s="9">
        <v>42033.681944444441</v>
      </c>
      <c r="C518" s="8">
        <v>0</v>
      </c>
      <c r="D518" s="9">
        <v>42044.113194444442</v>
      </c>
      <c r="E518" s="8" t="s">
        <v>93</v>
      </c>
      <c r="F518" s="8">
        <v>8</v>
      </c>
      <c r="G518" s="8" t="s">
        <v>94</v>
      </c>
      <c r="H518" s="8" t="s">
        <v>95</v>
      </c>
      <c r="I518" s="8">
        <v>1</v>
      </c>
      <c r="J518" s="8" t="s">
        <v>95</v>
      </c>
      <c r="K518" s="8">
        <v>1</v>
      </c>
      <c r="L518" s="8" t="s">
        <v>94</v>
      </c>
      <c r="M518" s="8">
        <v>0</v>
      </c>
      <c r="N518" s="8" t="s">
        <v>94</v>
      </c>
      <c r="O518" s="8">
        <v>0</v>
      </c>
      <c r="P518" s="8" t="s">
        <v>95</v>
      </c>
      <c r="Q518" s="8">
        <v>1</v>
      </c>
      <c r="R518" s="8" t="s">
        <v>94</v>
      </c>
      <c r="S518" s="8">
        <v>0</v>
      </c>
      <c r="T518" s="8" t="s">
        <v>94</v>
      </c>
      <c r="U518" s="8">
        <v>0</v>
      </c>
      <c r="V518" s="8" t="s">
        <v>94</v>
      </c>
      <c r="W518" s="8">
        <v>0</v>
      </c>
      <c r="X518" s="8" t="s">
        <v>95</v>
      </c>
      <c r="Y518" s="8">
        <v>1</v>
      </c>
      <c r="Z518" s="8" t="s">
        <v>95</v>
      </c>
      <c r="AA518" s="8">
        <v>1</v>
      </c>
      <c r="AB518" s="8" t="s">
        <v>95</v>
      </c>
      <c r="AC518" s="8">
        <v>1</v>
      </c>
      <c r="AD518" s="8" t="s">
        <v>95</v>
      </c>
      <c r="AE518" s="8">
        <v>1</v>
      </c>
      <c r="AF518" s="8" t="s">
        <v>94</v>
      </c>
      <c r="AG518" s="8">
        <v>0</v>
      </c>
      <c r="AH518" s="8" t="s">
        <v>95</v>
      </c>
      <c r="AI518" s="8">
        <v>1</v>
      </c>
      <c r="AJ518" s="8" t="s">
        <v>94</v>
      </c>
      <c r="AK518" s="8">
        <v>0</v>
      </c>
      <c r="AL518" s="8" t="s">
        <v>94</v>
      </c>
      <c r="AM518" s="8">
        <v>0</v>
      </c>
      <c r="AN518" s="8">
        <v>8</v>
      </c>
    </row>
    <row r="519" spans="1:40" x14ac:dyDescent="0.25">
      <c r="A519" s="8" t="s">
        <v>579</v>
      </c>
      <c r="B519" s="9">
        <v>42033.660416666666</v>
      </c>
      <c r="C519" s="8">
        <v>0</v>
      </c>
      <c r="D519" s="9">
        <v>42044.113194444442</v>
      </c>
      <c r="E519" s="8" t="s">
        <v>93</v>
      </c>
      <c r="F519" s="8">
        <v>16</v>
      </c>
      <c r="G519" s="8" t="s">
        <v>94</v>
      </c>
      <c r="H519" s="8" t="s">
        <v>95</v>
      </c>
      <c r="I519" s="8">
        <v>1</v>
      </c>
      <c r="J519" s="8" t="s">
        <v>95</v>
      </c>
      <c r="K519" s="8">
        <v>1</v>
      </c>
      <c r="L519" s="8" t="s">
        <v>95</v>
      </c>
      <c r="M519" s="8">
        <v>1</v>
      </c>
      <c r="N519" s="8" t="s">
        <v>95</v>
      </c>
      <c r="O519" s="8">
        <v>1</v>
      </c>
      <c r="P519" s="8" t="s">
        <v>95</v>
      </c>
      <c r="Q519" s="8">
        <v>1</v>
      </c>
      <c r="R519" s="8" t="s">
        <v>95</v>
      </c>
      <c r="S519" s="8">
        <v>1</v>
      </c>
      <c r="T519" s="8" t="s">
        <v>95</v>
      </c>
      <c r="U519" s="8">
        <v>1</v>
      </c>
      <c r="V519" s="8" t="s">
        <v>95</v>
      </c>
      <c r="W519" s="8">
        <v>1</v>
      </c>
      <c r="X519" s="8" t="s">
        <v>95</v>
      </c>
      <c r="Y519" s="8">
        <v>1</v>
      </c>
      <c r="Z519" s="8" t="s">
        <v>95</v>
      </c>
      <c r="AA519" s="8">
        <v>1</v>
      </c>
      <c r="AB519" s="8" t="s">
        <v>95</v>
      </c>
      <c r="AC519" s="8">
        <v>1</v>
      </c>
      <c r="AD519" s="8" t="s">
        <v>95</v>
      </c>
      <c r="AE519" s="8">
        <v>1</v>
      </c>
      <c r="AF519" s="8" t="s">
        <v>95</v>
      </c>
      <c r="AG519" s="8">
        <v>1</v>
      </c>
      <c r="AH519" s="8" t="s">
        <v>95</v>
      </c>
      <c r="AI519" s="8">
        <v>1</v>
      </c>
      <c r="AJ519" s="8" t="s">
        <v>95</v>
      </c>
      <c r="AK519" s="8">
        <v>1</v>
      </c>
      <c r="AL519" s="8" t="s">
        <v>95</v>
      </c>
      <c r="AM519" s="8">
        <v>1</v>
      </c>
      <c r="AN519" s="8">
        <v>16</v>
      </c>
    </row>
    <row r="520" spans="1:40" x14ac:dyDescent="0.25">
      <c r="A520" s="8" t="s">
        <v>580</v>
      </c>
      <c r="B520" s="9">
        <v>42033.668749999997</v>
      </c>
      <c r="C520" s="8">
        <v>0</v>
      </c>
      <c r="D520" s="9">
        <v>42044.113888888889</v>
      </c>
      <c r="E520" s="8" t="s">
        <v>93</v>
      </c>
      <c r="F520" s="8">
        <v>16</v>
      </c>
      <c r="G520" s="8" t="s">
        <v>94</v>
      </c>
      <c r="H520" s="8" t="s">
        <v>95</v>
      </c>
      <c r="I520" s="8">
        <v>1</v>
      </c>
      <c r="J520" s="8" t="s">
        <v>95</v>
      </c>
      <c r="K520" s="8">
        <v>1</v>
      </c>
      <c r="L520" s="8" t="s">
        <v>95</v>
      </c>
      <c r="M520" s="8">
        <v>1</v>
      </c>
      <c r="N520" s="8" t="s">
        <v>95</v>
      </c>
      <c r="O520" s="8">
        <v>1</v>
      </c>
      <c r="P520" s="8" t="s">
        <v>95</v>
      </c>
      <c r="Q520" s="8">
        <v>1</v>
      </c>
      <c r="R520" s="8" t="s">
        <v>95</v>
      </c>
      <c r="S520" s="8">
        <v>1</v>
      </c>
      <c r="T520" s="8" t="s">
        <v>95</v>
      </c>
      <c r="U520" s="8">
        <v>1</v>
      </c>
      <c r="V520" s="8" t="s">
        <v>95</v>
      </c>
      <c r="W520" s="8">
        <v>1</v>
      </c>
      <c r="X520" s="8" t="s">
        <v>95</v>
      </c>
      <c r="Y520" s="8">
        <v>1</v>
      </c>
      <c r="Z520" s="8" t="s">
        <v>95</v>
      </c>
      <c r="AA520" s="8">
        <v>1</v>
      </c>
      <c r="AB520" s="8" t="s">
        <v>95</v>
      </c>
      <c r="AC520" s="8">
        <v>1</v>
      </c>
      <c r="AD520" s="8" t="s">
        <v>95</v>
      </c>
      <c r="AE520" s="8">
        <v>1</v>
      </c>
      <c r="AF520" s="8" t="s">
        <v>95</v>
      </c>
      <c r="AG520" s="8">
        <v>1</v>
      </c>
      <c r="AH520" s="8" t="s">
        <v>95</v>
      </c>
      <c r="AI520" s="8">
        <v>1</v>
      </c>
      <c r="AJ520" s="8" t="s">
        <v>95</v>
      </c>
      <c r="AK520" s="8">
        <v>1</v>
      </c>
      <c r="AL520" s="8" t="s">
        <v>95</v>
      </c>
      <c r="AM520" s="8">
        <v>1</v>
      </c>
      <c r="AN520" s="8">
        <v>16</v>
      </c>
    </row>
    <row r="521" spans="1:40" x14ac:dyDescent="0.25">
      <c r="A521" s="8" t="s">
        <v>581</v>
      </c>
      <c r="B521" s="9">
        <v>42033.679166666669</v>
      </c>
      <c r="C521" s="8">
        <v>0</v>
      </c>
      <c r="D521" s="9">
        <v>42044.115972222222</v>
      </c>
      <c r="E521" s="8" t="s">
        <v>93</v>
      </c>
      <c r="F521" s="8">
        <v>16</v>
      </c>
      <c r="G521" s="8" t="s">
        <v>94</v>
      </c>
      <c r="H521" s="8" t="s">
        <v>95</v>
      </c>
      <c r="I521" s="8">
        <v>1</v>
      </c>
      <c r="J521" s="8" t="s">
        <v>95</v>
      </c>
      <c r="K521" s="8">
        <v>1</v>
      </c>
      <c r="L521" s="8" t="s">
        <v>95</v>
      </c>
      <c r="M521" s="8">
        <v>1</v>
      </c>
      <c r="N521" s="8" t="s">
        <v>95</v>
      </c>
      <c r="O521" s="8">
        <v>1</v>
      </c>
      <c r="P521" s="8" t="s">
        <v>95</v>
      </c>
      <c r="Q521" s="8">
        <v>1</v>
      </c>
      <c r="R521" s="8" t="s">
        <v>95</v>
      </c>
      <c r="S521" s="8">
        <v>1</v>
      </c>
      <c r="T521" s="8" t="s">
        <v>95</v>
      </c>
      <c r="U521" s="8">
        <v>1</v>
      </c>
      <c r="V521" s="8" t="s">
        <v>95</v>
      </c>
      <c r="W521" s="8">
        <v>1</v>
      </c>
      <c r="X521" s="8" t="s">
        <v>95</v>
      </c>
      <c r="Y521" s="8">
        <v>1</v>
      </c>
      <c r="Z521" s="8" t="s">
        <v>95</v>
      </c>
      <c r="AA521" s="8">
        <v>1</v>
      </c>
      <c r="AB521" s="8" t="s">
        <v>95</v>
      </c>
      <c r="AC521" s="8">
        <v>1</v>
      </c>
      <c r="AD521" s="8" t="s">
        <v>95</v>
      </c>
      <c r="AE521" s="8">
        <v>1</v>
      </c>
      <c r="AF521" s="8" t="s">
        <v>95</v>
      </c>
      <c r="AG521" s="8">
        <v>1</v>
      </c>
      <c r="AH521" s="8" t="s">
        <v>95</v>
      </c>
      <c r="AI521" s="8">
        <v>1</v>
      </c>
      <c r="AJ521" s="8" t="s">
        <v>95</v>
      </c>
      <c r="AK521" s="8">
        <v>1</v>
      </c>
      <c r="AL521" s="8" t="s">
        <v>95</v>
      </c>
      <c r="AM521" s="8">
        <v>1</v>
      </c>
      <c r="AN521" s="8">
        <v>16</v>
      </c>
    </row>
    <row r="522" spans="1:40" x14ac:dyDescent="0.25">
      <c r="A522" s="8" t="s">
        <v>582</v>
      </c>
      <c r="B522" s="9">
        <v>42033.676388888889</v>
      </c>
      <c r="C522" s="8">
        <v>0</v>
      </c>
      <c r="D522" s="9">
        <v>42044.115972222222</v>
      </c>
      <c r="E522" s="8" t="s">
        <v>93</v>
      </c>
      <c r="F522" s="8">
        <v>16</v>
      </c>
      <c r="G522" s="8" t="s">
        <v>94</v>
      </c>
      <c r="H522" s="8" t="s">
        <v>95</v>
      </c>
      <c r="I522" s="8">
        <v>1</v>
      </c>
      <c r="J522" s="8" t="s">
        <v>95</v>
      </c>
      <c r="K522" s="8">
        <v>1</v>
      </c>
      <c r="L522" s="8" t="s">
        <v>95</v>
      </c>
      <c r="M522" s="8">
        <v>1</v>
      </c>
      <c r="N522" s="8" t="s">
        <v>95</v>
      </c>
      <c r="O522" s="8">
        <v>1</v>
      </c>
      <c r="P522" s="8" t="s">
        <v>95</v>
      </c>
      <c r="Q522" s="8">
        <v>1</v>
      </c>
      <c r="R522" s="8" t="s">
        <v>95</v>
      </c>
      <c r="S522" s="8">
        <v>1</v>
      </c>
      <c r="T522" s="8" t="s">
        <v>95</v>
      </c>
      <c r="U522" s="8">
        <v>1</v>
      </c>
      <c r="V522" s="8" t="s">
        <v>95</v>
      </c>
      <c r="W522" s="8">
        <v>1</v>
      </c>
      <c r="X522" s="8" t="s">
        <v>95</v>
      </c>
      <c r="Y522" s="8">
        <v>1</v>
      </c>
      <c r="Z522" s="8" t="s">
        <v>95</v>
      </c>
      <c r="AA522" s="8">
        <v>1</v>
      </c>
      <c r="AB522" s="8" t="s">
        <v>95</v>
      </c>
      <c r="AC522" s="8">
        <v>1</v>
      </c>
      <c r="AD522" s="8" t="s">
        <v>95</v>
      </c>
      <c r="AE522" s="8">
        <v>1</v>
      </c>
      <c r="AF522" s="8" t="s">
        <v>95</v>
      </c>
      <c r="AG522" s="8">
        <v>1</v>
      </c>
      <c r="AH522" s="8" t="s">
        <v>95</v>
      </c>
      <c r="AI522" s="8">
        <v>1</v>
      </c>
      <c r="AJ522" s="8" t="s">
        <v>95</v>
      </c>
      <c r="AK522" s="8">
        <v>1</v>
      </c>
      <c r="AL522" s="8" t="s">
        <v>95</v>
      </c>
      <c r="AM522" s="8">
        <v>1</v>
      </c>
      <c r="AN522" s="8">
        <v>16</v>
      </c>
    </row>
    <row r="523" spans="1:40" x14ac:dyDescent="0.25">
      <c r="A523" s="8" t="s">
        <v>583</v>
      </c>
      <c r="B523" s="9">
        <v>42033.67291666667</v>
      </c>
      <c r="C523" s="8">
        <v>0</v>
      </c>
      <c r="D523" s="9">
        <v>42044.116666666669</v>
      </c>
      <c r="E523" s="8" t="s">
        <v>93</v>
      </c>
      <c r="F523" s="8">
        <v>15</v>
      </c>
      <c r="G523" s="8" t="s">
        <v>94</v>
      </c>
      <c r="H523" s="8" t="s">
        <v>95</v>
      </c>
      <c r="I523" s="8">
        <v>1</v>
      </c>
      <c r="J523" s="8" t="s">
        <v>95</v>
      </c>
      <c r="K523" s="8">
        <v>1</v>
      </c>
      <c r="L523" s="8" t="s">
        <v>95</v>
      </c>
      <c r="M523" s="8">
        <v>1</v>
      </c>
      <c r="N523" s="8" t="s">
        <v>95</v>
      </c>
      <c r="O523" s="8">
        <v>1</v>
      </c>
      <c r="P523" s="8" t="s">
        <v>95</v>
      </c>
      <c r="Q523" s="8">
        <v>1</v>
      </c>
      <c r="R523" s="8" t="s">
        <v>95</v>
      </c>
      <c r="S523" s="8">
        <v>1</v>
      </c>
      <c r="T523" s="8" t="s">
        <v>95</v>
      </c>
      <c r="U523" s="8">
        <v>1</v>
      </c>
      <c r="V523" s="8" t="s">
        <v>95</v>
      </c>
      <c r="W523" s="8">
        <v>1</v>
      </c>
      <c r="X523" s="8" t="s">
        <v>95</v>
      </c>
      <c r="Y523" s="8">
        <v>1</v>
      </c>
      <c r="Z523" s="8" t="s">
        <v>95</v>
      </c>
      <c r="AA523" s="8">
        <v>1</v>
      </c>
      <c r="AB523" s="8" t="s">
        <v>95</v>
      </c>
      <c r="AC523" s="8">
        <v>1</v>
      </c>
      <c r="AD523" s="8" t="s">
        <v>95</v>
      </c>
      <c r="AE523" s="8">
        <v>1</v>
      </c>
      <c r="AF523" s="8" t="s">
        <v>95</v>
      </c>
      <c r="AG523" s="8">
        <v>1</v>
      </c>
      <c r="AH523" s="8" t="s">
        <v>95</v>
      </c>
      <c r="AI523" s="8">
        <v>1</v>
      </c>
      <c r="AJ523" s="8" t="s">
        <v>95</v>
      </c>
      <c r="AK523" s="8">
        <v>1</v>
      </c>
      <c r="AL523" s="8" t="s">
        <v>94</v>
      </c>
      <c r="AM523" s="8">
        <v>0</v>
      </c>
      <c r="AN523" s="8">
        <v>15</v>
      </c>
    </row>
    <row r="524" spans="1:40" x14ac:dyDescent="0.25">
      <c r="A524" s="8" t="s">
        <v>584</v>
      </c>
      <c r="B524" s="9">
        <v>42033.669444444444</v>
      </c>
      <c r="C524" s="8">
        <v>0</v>
      </c>
      <c r="D524" s="9">
        <v>42044.116666666669</v>
      </c>
      <c r="E524" s="8" t="s">
        <v>93</v>
      </c>
      <c r="F524" s="8">
        <v>16</v>
      </c>
      <c r="G524" s="8" t="s">
        <v>94</v>
      </c>
      <c r="H524" s="8" t="s">
        <v>95</v>
      </c>
      <c r="I524" s="8">
        <v>1</v>
      </c>
      <c r="J524" s="8" t="s">
        <v>95</v>
      </c>
      <c r="K524" s="8">
        <v>1</v>
      </c>
      <c r="L524" s="8" t="s">
        <v>95</v>
      </c>
      <c r="M524" s="8">
        <v>1</v>
      </c>
      <c r="N524" s="8" t="s">
        <v>95</v>
      </c>
      <c r="O524" s="8">
        <v>1</v>
      </c>
      <c r="P524" s="8" t="s">
        <v>95</v>
      </c>
      <c r="Q524" s="8">
        <v>1</v>
      </c>
      <c r="R524" s="8" t="s">
        <v>95</v>
      </c>
      <c r="S524" s="8">
        <v>1</v>
      </c>
      <c r="T524" s="8" t="s">
        <v>95</v>
      </c>
      <c r="U524" s="8">
        <v>1</v>
      </c>
      <c r="V524" s="8" t="s">
        <v>95</v>
      </c>
      <c r="W524" s="8">
        <v>1</v>
      </c>
      <c r="X524" s="8" t="s">
        <v>95</v>
      </c>
      <c r="Y524" s="8">
        <v>1</v>
      </c>
      <c r="Z524" s="8" t="s">
        <v>95</v>
      </c>
      <c r="AA524" s="8">
        <v>1</v>
      </c>
      <c r="AB524" s="8" t="s">
        <v>95</v>
      </c>
      <c r="AC524" s="8">
        <v>1</v>
      </c>
      <c r="AD524" s="8" t="s">
        <v>95</v>
      </c>
      <c r="AE524" s="8">
        <v>1</v>
      </c>
      <c r="AF524" s="8" t="s">
        <v>95</v>
      </c>
      <c r="AG524" s="8">
        <v>1</v>
      </c>
      <c r="AH524" s="8" t="s">
        <v>95</v>
      </c>
      <c r="AI524" s="8">
        <v>1</v>
      </c>
      <c r="AJ524" s="8" t="s">
        <v>95</v>
      </c>
      <c r="AK524" s="8">
        <v>1</v>
      </c>
      <c r="AL524" s="8" t="s">
        <v>95</v>
      </c>
      <c r="AM524" s="8">
        <v>1</v>
      </c>
      <c r="AN524" s="8">
        <v>16</v>
      </c>
    </row>
    <row r="525" spans="1:40" x14ac:dyDescent="0.25">
      <c r="A525" s="8" t="s">
        <v>585</v>
      </c>
      <c r="B525" s="9">
        <v>42033.672222222223</v>
      </c>
      <c r="C525" s="8">
        <v>0</v>
      </c>
      <c r="D525" s="9">
        <v>42044.118055555555</v>
      </c>
      <c r="E525" s="8" t="s">
        <v>93</v>
      </c>
      <c r="F525" s="8">
        <v>13</v>
      </c>
      <c r="G525" s="8" t="s">
        <v>94</v>
      </c>
      <c r="H525" s="8" t="s">
        <v>95</v>
      </c>
      <c r="I525" s="8">
        <v>1</v>
      </c>
      <c r="J525" s="8" t="s">
        <v>95</v>
      </c>
      <c r="K525" s="8">
        <v>1</v>
      </c>
      <c r="L525" s="8" t="s">
        <v>94</v>
      </c>
      <c r="M525" s="8">
        <v>0</v>
      </c>
      <c r="N525" s="8" t="s">
        <v>95</v>
      </c>
      <c r="O525" s="8">
        <v>1</v>
      </c>
      <c r="P525" s="8" t="s">
        <v>95</v>
      </c>
      <c r="Q525" s="8">
        <v>1</v>
      </c>
      <c r="R525" s="8" t="s">
        <v>95</v>
      </c>
      <c r="S525" s="8">
        <v>1</v>
      </c>
      <c r="T525" s="8" t="s">
        <v>95</v>
      </c>
      <c r="U525" s="8">
        <v>1</v>
      </c>
      <c r="V525" s="8" t="s">
        <v>95</v>
      </c>
      <c r="W525" s="8">
        <v>1</v>
      </c>
      <c r="X525" s="8" t="s">
        <v>94</v>
      </c>
      <c r="Y525" s="8">
        <v>0</v>
      </c>
      <c r="Z525" s="8" t="s">
        <v>95</v>
      </c>
      <c r="AA525" s="8">
        <v>1</v>
      </c>
      <c r="AB525" s="8" t="s">
        <v>95</v>
      </c>
      <c r="AC525" s="8">
        <v>1</v>
      </c>
      <c r="AD525" s="8" t="s">
        <v>95</v>
      </c>
      <c r="AE525" s="8">
        <v>1</v>
      </c>
      <c r="AF525" s="8" t="s">
        <v>94</v>
      </c>
      <c r="AG525" s="8">
        <v>0</v>
      </c>
      <c r="AH525" s="8" t="s">
        <v>95</v>
      </c>
      <c r="AI525" s="8">
        <v>1</v>
      </c>
      <c r="AJ525" s="8" t="s">
        <v>95</v>
      </c>
      <c r="AK525" s="8">
        <v>1</v>
      </c>
      <c r="AL525" s="8" t="s">
        <v>95</v>
      </c>
      <c r="AM525" s="8">
        <v>1</v>
      </c>
      <c r="AN525" s="8">
        <v>13</v>
      </c>
    </row>
    <row r="526" spans="1:40" x14ac:dyDescent="0.25">
      <c r="A526" s="8" t="s">
        <v>586</v>
      </c>
      <c r="B526" s="9">
        <v>42033.677083333336</v>
      </c>
      <c r="C526" s="8">
        <v>0</v>
      </c>
      <c r="D526" s="9">
        <v>42044.118750000001</v>
      </c>
      <c r="E526" s="8" t="s">
        <v>93</v>
      </c>
      <c r="F526" s="8">
        <v>16</v>
      </c>
      <c r="G526" s="8" t="s">
        <v>94</v>
      </c>
      <c r="H526" s="8" t="s">
        <v>95</v>
      </c>
      <c r="I526" s="8">
        <v>1</v>
      </c>
      <c r="J526" s="8" t="s">
        <v>95</v>
      </c>
      <c r="K526" s="8">
        <v>1</v>
      </c>
      <c r="L526" s="8" t="s">
        <v>95</v>
      </c>
      <c r="M526" s="8">
        <v>1</v>
      </c>
      <c r="N526" s="8" t="s">
        <v>95</v>
      </c>
      <c r="O526" s="8">
        <v>1</v>
      </c>
      <c r="P526" s="8" t="s">
        <v>95</v>
      </c>
      <c r="Q526" s="8">
        <v>1</v>
      </c>
      <c r="R526" s="8" t="s">
        <v>95</v>
      </c>
      <c r="S526" s="8">
        <v>1</v>
      </c>
      <c r="T526" s="8" t="s">
        <v>95</v>
      </c>
      <c r="U526" s="8">
        <v>1</v>
      </c>
      <c r="V526" s="8" t="s">
        <v>95</v>
      </c>
      <c r="W526" s="8">
        <v>1</v>
      </c>
      <c r="X526" s="8" t="s">
        <v>95</v>
      </c>
      <c r="Y526" s="8">
        <v>1</v>
      </c>
      <c r="Z526" s="8" t="s">
        <v>95</v>
      </c>
      <c r="AA526" s="8">
        <v>1</v>
      </c>
      <c r="AB526" s="8" t="s">
        <v>95</v>
      </c>
      <c r="AC526" s="8">
        <v>1</v>
      </c>
      <c r="AD526" s="8" t="s">
        <v>95</v>
      </c>
      <c r="AE526" s="8">
        <v>1</v>
      </c>
      <c r="AF526" s="8" t="s">
        <v>95</v>
      </c>
      <c r="AG526" s="8">
        <v>1</v>
      </c>
      <c r="AH526" s="8" t="s">
        <v>95</v>
      </c>
      <c r="AI526" s="8">
        <v>1</v>
      </c>
      <c r="AJ526" s="8" t="s">
        <v>95</v>
      </c>
      <c r="AK526" s="8">
        <v>1</v>
      </c>
      <c r="AL526" s="8" t="s">
        <v>95</v>
      </c>
      <c r="AM526" s="8">
        <v>1</v>
      </c>
      <c r="AN526" s="8">
        <v>16</v>
      </c>
    </row>
    <row r="527" spans="1:40" x14ac:dyDescent="0.25">
      <c r="A527" s="8" t="s">
        <v>587</v>
      </c>
      <c r="B527" s="9">
        <v>42033.68472222222</v>
      </c>
      <c r="C527" s="8">
        <v>0</v>
      </c>
      <c r="D527" s="9">
        <v>42044.118750000001</v>
      </c>
      <c r="E527" s="8" t="s">
        <v>93</v>
      </c>
      <c r="F527" s="8">
        <v>16</v>
      </c>
      <c r="G527" s="8" t="s">
        <v>94</v>
      </c>
      <c r="H527" s="8" t="s">
        <v>95</v>
      </c>
      <c r="I527" s="8">
        <v>1</v>
      </c>
      <c r="J527" s="8" t="s">
        <v>95</v>
      </c>
      <c r="K527" s="8">
        <v>1</v>
      </c>
      <c r="L527" s="8" t="s">
        <v>95</v>
      </c>
      <c r="M527" s="8">
        <v>1</v>
      </c>
      <c r="N527" s="8" t="s">
        <v>95</v>
      </c>
      <c r="O527" s="8">
        <v>1</v>
      </c>
      <c r="P527" s="8" t="s">
        <v>95</v>
      </c>
      <c r="Q527" s="8">
        <v>1</v>
      </c>
      <c r="R527" s="8" t="s">
        <v>95</v>
      </c>
      <c r="S527" s="8">
        <v>1</v>
      </c>
      <c r="T527" s="8" t="s">
        <v>95</v>
      </c>
      <c r="U527" s="8">
        <v>1</v>
      </c>
      <c r="V527" s="8" t="s">
        <v>95</v>
      </c>
      <c r="W527" s="8">
        <v>1</v>
      </c>
      <c r="X527" s="8" t="s">
        <v>95</v>
      </c>
      <c r="Y527" s="8">
        <v>1</v>
      </c>
      <c r="Z527" s="8" t="s">
        <v>95</v>
      </c>
      <c r="AA527" s="8">
        <v>1</v>
      </c>
      <c r="AB527" s="8" t="s">
        <v>95</v>
      </c>
      <c r="AC527" s="8">
        <v>1</v>
      </c>
      <c r="AD527" s="8" t="s">
        <v>95</v>
      </c>
      <c r="AE527" s="8">
        <v>1</v>
      </c>
      <c r="AF527" s="8" t="s">
        <v>95</v>
      </c>
      <c r="AG527" s="8">
        <v>1</v>
      </c>
      <c r="AH527" s="8" t="s">
        <v>95</v>
      </c>
      <c r="AI527" s="8">
        <v>1</v>
      </c>
      <c r="AJ527" s="8" t="s">
        <v>95</v>
      </c>
      <c r="AK527" s="8">
        <v>1</v>
      </c>
      <c r="AL527" s="8" t="s">
        <v>95</v>
      </c>
      <c r="AM527" s="8">
        <v>1</v>
      </c>
      <c r="AN527" s="8">
        <v>16</v>
      </c>
    </row>
    <row r="528" spans="1:40" x14ac:dyDescent="0.25">
      <c r="A528" s="8" t="s">
        <v>588</v>
      </c>
      <c r="B528" s="9">
        <v>42033.683333333334</v>
      </c>
      <c r="C528" s="8">
        <v>0</v>
      </c>
      <c r="D528" s="9">
        <v>42044.119444444441</v>
      </c>
      <c r="E528" s="8" t="s">
        <v>93</v>
      </c>
      <c r="F528" s="8">
        <v>16</v>
      </c>
      <c r="G528" s="8" t="s">
        <v>94</v>
      </c>
      <c r="H528" s="8" t="s">
        <v>95</v>
      </c>
      <c r="I528" s="8">
        <v>1</v>
      </c>
      <c r="J528" s="8" t="s">
        <v>95</v>
      </c>
      <c r="K528" s="8">
        <v>1</v>
      </c>
      <c r="L528" s="8" t="s">
        <v>95</v>
      </c>
      <c r="M528" s="8">
        <v>1</v>
      </c>
      <c r="N528" s="8" t="s">
        <v>95</v>
      </c>
      <c r="O528" s="8">
        <v>1</v>
      </c>
      <c r="P528" s="8" t="s">
        <v>95</v>
      </c>
      <c r="Q528" s="8">
        <v>1</v>
      </c>
      <c r="R528" s="8" t="s">
        <v>95</v>
      </c>
      <c r="S528" s="8">
        <v>1</v>
      </c>
      <c r="T528" s="8" t="s">
        <v>95</v>
      </c>
      <c r="U528" s="8">
        <v>1</v>
      </c>
      <c r="V528" s="8" t="s">
        <v>95</v>
      </c>
      <c r="W528" s="8">
        <v>1</v>
      </c>
      <c r="X528" s="8" t="s">
        <v>95</v>
      </c>
      <c r="Y528" s="8">
        <v>1</v>
      </c>
      <c r="Z528" s="8" t="s">
        <v>95</v>
      </c>
      <c r="AA528" s="8">
        <v>1</v>
      </c>
      <c r="AB528" s="8" t="s">
        <v>95</v>
      </c>
      <c r="AC528" s="8">
        <v>1</v>
      </c>
      <c r="AD528" s="8" t="s">
        <v>95</v>
      </c>
      <c r="AE528" s="8">
        <v>1</v>
      </c>
      <c r="AF528" s="8" t="s">
        <v>95</v>
      </c>
      <c r="AG528" s="8">
        <v>1</v>
      </c>
      <c r="AH528" s="8" t="s">
        <v>95</v>
      </c>
      <c r="AI528" s="8">
        <v>1</v>
      </c>
      <c r="AJ528" s="8" t="s">
        <v>95</v>
      </c>
      <c r="AK528" s="8">
        <v>1</v>
      </c>
      <c r="AL528" s="8" t="s">
        <v>95</v>
      </c>
      <c r="AM528" s="8">
        <v>1</v>
      </c>
      <c r="AN528" s="8">
        <v>16</v>
      </c>
    </row>
    <row r="529" spans="1:40" x14ac:dyDescent="0.25">
      <c r="A529" s="8" t="s">
        <v>589</v>
      </c>
      <c r="B529" s="9">
        <v>42033.678472222222</v>
      </c>
      <c r="C529" s="8">
        <v>0</v>
      </c>
      <c r="D529" s="9">
        <v>42044.120138888888</v>
      </c>
      <c r="E529" s="8" t="s">
        <v>93</v>
      </c>
      <c r="F529" s="8">
        <v>6</v>
      </c>
      <c r="G529" s="8" t="s">
        <v>94</v>
      </c>
      <c r="H529" s="8" t="s">
        <v>95</v>
      </c>
      <c r="I529" s="8">
        <v>1</v>
      </c>
      <c r="J529" s="8" t="s">
        <v>94</v>
      </c>
      <c r="K529" s="8">
        <v>0</v>
      </c>
      <c r="L529" s="8" t="s">
        <v>94</v>
      </c>
      <c r="M529" s="8">
        <v>0</v>
      </c>
      <c r="N529" s="8" t="s">
        <v>94</v>
      </c>
      <c r="O529" s="8">
        <v>0</v>
      </c>
      <c r="P529" s="8" t="s">
        <v>94</v>
      </c>
      <c r="Q529" s="8">
        <v>0</v>
      </c>
      <c r="R529" s="8" t="s">
        <v>95</v>
      </c>
      <c r="S529" s="8">
        <v>1</v>
      </c>
      <c r="T529" s="8" t="s">
        <v>94</v>
      </c>
      <c r="U529" s="8">
        <v>0</v>
      </c>
      <c r="V529" s="8" t="s">
        <v>95</v>
      </c>
      <c r="W529" s="8">
        <v>1</v>
      </c>
      <c r="X529" s="8" t="s">
        <v>94</v>
      </c>
      <c r="Y529" s="8">
        <v>0</v>
      </c>
      <c r="Z529" s="8" t="s">
        <v>94</v>
      </c>
      <c r="AA529" s="8">
        <v>0</v>
      </c>
      <c r="AB529" s="8" t="s">
        <v>95</v>
      </c>
      <c r="AC529" s="8">
        <v>1</v>
      </c>
      <c r="AD529" s="8" t="s">
        <v>95</v>
      </c>
      <c r="AE529" s="8">
        <v>1</v>
      </c>
      <c r="AF529" s="8" t="s">
        <v>94</v>
      </c>
      <c r="AG529" s="8">
        <v>0</v>
      </c>
      <c r="AH529" s="8" t="s">
        <v>94</v>
      </c>
      <c r="AI529" s="8">
        <v>0</v>
      </c>
      <c r="AJ529" s="8" t="s">
        <v>95</v>
      </c>
      <c r="AK529" s="8">
        <v>1</v>
      </c>
      <c r="AL529" s="8" t="s">
        <v>94</v>
      </c>
      <c r="AM529" s="8">
        <v>0</v>
      </c>
      <c r="AN529" s="8">
        <v>6</v>
      </c>
    </row>
    <row r="530" spans="1:40" x14ac:dyDescent="0.25">
      <c r="A530" s="8" t="s">
        <v>590</v>
      </c>
      <c r="B530" s="9">
        <v>42033.683333333334</v>
      </c>
      <c r="C530" s="8">
        <v>0</v>
      </c>
      <c r="D530" s="9">
        <v>42044.120138888888</v>
      </c>
      <c r="E530" s="8" t="s">
        <v>93</v>
      </c>
      <c r="F530" s="8">
        <v>16</v>
      </c>
      <c r="G530" s="8" t="s">
        <v>94</v>
      </c>
      <c r="H530" s="8" t="s">
        <v>95</v>
      </c>
      <c r="I530" s="8">
        <v>1</v>
      </c>
      <c r="J530" s="8" t="s">
        <v>95</v>
      </c>
      <c r="K530" s="8">
        <v>1</v>
      </c>
      <c r="L530" s="8" t="s">
        <v>95</v>
      </c>
      <c r="M530" s="8">
        <v>1</v>
      </c>
      <c r="N530" s="8" t="s">
        <v>95</v>
      </c>
      <c r="O530" s="8">
        <v>1</v>
      </c>
      <c r="P530" s="8" t="s">
        <v>95</v>
      </c>
      <c r="Q530" s="8">
        <v>1</v>
      </c>
      <c r="R530" s="8" t="s">
        <v>95</v>
      </c>
      <c r="S530" s="8">
        <v>1</v>
      </c>
      <c r="T530" s="8" t="s">
        <v>95</v>
      </c>
      <c r="U530" s="8">
        <v>1</v>
      </c>
      <c r="V530" s="8" t="s">
        <v>95</v>
      </c>
      <c r="W530" s="8">
        <v>1</v>
      </c>
      <c r="X530" s="8" t="s">
        <v>95</v>
      </c>
      <c r="Y530" s="8">
        <v>1</v>
      </c>
      <c r="Z530" s="8" t="s">
        <v>95</v>
      </c>
      <c r="AA530" s="8">
        <v>1</v>
      </c>
      <c r="AB530" s="8" t="s">
        <v>95</v>
      </c>
      <c r="AC530" s="8">
        <v>1</v>
      </c>
      <c r="AD530" s="8" t="s">
        <v>95</v>
      </c>
      <c r="AE530" s="8">
        <v>1</v>
      </c>
      <c r="AF530" s="8" t="s">
        <v>95</v>
      </c>
      <c r="AG530" s="8">
        <v>1</v>
      </c>
      <c r="AH530" s="8" t="s">
        <v>95</v>
      </c>
      <c r="AI530" s="8">
        <v>1</v>
      </c>
      <c r="AJ530" s="8" t="s">
        <v>95</v>
      </c>
      <c r="AK530" s="8">
        <v>1</v>
      </c>
      <c r="AL530" s="8" t="s">
        <v>95</v>
      </c>
      <c r="AM530" s="8">
        <v>1</v>
      </c>
      <c r="AN530" s="8">
        <v>16</v>
      </c>
    </row>
    <row r="531" spans="1:40" x14ac:dyDescent="0.25">
      <c r="A531" s="8" t="s">
        <v>591</v>
      </c>
      <c r="B531" s="9">
        <v>42033.683333333334</v>
      </c>
      <c r="C531" s="8">
        <v>0</v>
      </c>
      <c r="D531" s="9">
        <v>42044.122916666667</v>
      </c>
      <c r="E531" s="8" t="s">
        <v>93</v>
      </c>
      <c r="F531" s="8">
        <v>8</v>
      </c>
      <c r="G531" s="8" t="s">
        <v>94</v>
      </c>
      <c r="H531" s="8" t="s">
        <v>95</v>
      </c>
      <c r="I531" s="8">
        <v>1</v>
      </c>
      <c r="J531" s="8" t="s">
        <v>95</v>
      </c>
      <c r="K531" s="8">
        <v>1</v>
      </c>
      <c r="L531" s="8" t="s">
        <v>94</v>
      </c>
      <c r="M531" s="8">
        <v>0</v>
      </c>
      <c r="N531" s="8" t="s">
        <v>94</v>
      </c>
      <c r="O531" s="8">
        <v>0</v>
      </c>
      <c r="P531" s="8" t="s">
        <v>94</v>
      </c>
      <c r="Q531" s="8">
        <v>0</v>
      </c>
      <c r="R531" s="8" t="s">
        <v>95</v>
      </c>
      <c r="S531" s="8">
        <v>1</v>
      </c>
      <c r="T531" s="8" t="s">
        <v>94</v>
      </c>
      <c r="U531" s="8">
        <v>0</v>
      </c>
      <c r="V531" s="8" t="s">
        <v>94</v>
      </c>
      <c r="W531" s="8">
        <v>0</v>
      </c>
      <c r="X531" s="8" t="s">
        <v>95</v>
      </c>
      <c r="Y531" s="8">
        <v>1</v>
      </c>
      <c r="Z531" s="8" t="s">
        <v>94</v>
      </c>
      <c r="AA531" s="8">
        <v>0</v>
      </c>
      <c r="AB531" s="8" t="s">
        <v>94</v>
      </c>
      <c r="AC531" s="8">
        <v>0</v>
      </c>
      <c r="AD531" s="8" t="s">
        <v>95</v>
      </c>
      <c r="AE531" s="8">
        <v>1</v>
      </c>
      <c r="AF531" s="8" t="s">
        <v>95</v>
      </c>
      <c r="AG531" s="8">
        <v>1</v>
      </c>
      <c r="AH531" s="8" t="s">
        <v>95</v>
      </c>
      <c r="AI531" s="8">
        <v>1</v>
      </c>
      <c r="AJ531" s="8" t="s">
        <v>95</v>
      </c>
      <c r="AK531" s="8">
        <v>1</v>
      </c>
      <c r="AL531" s="8" t="s">
        <v>94</v>
      </c>
      <c r="AM531" s="8">
        <v>0</v>
      </c>
      <c r="AN531" s="8">
        <v>8</v>
      </c>
    </row>
    <row r="532" spans="1:40" x14ac:dyDescent="0.25">
      <c r="A532" s="8" t="s">
        <v>592</v>
      </c>
      <c r="B532" s="9">
        <v>42033.674305555556</v>
      </c>
      <c r="C532" s="8">
        <v>0</v>
      </c>
      <c r="D532" s="9">
        <v>42044.123611111114</v>
      </c>
      <c r="E532" s="8" t="s">
        <v>93</v>
      </c>
      <c r="F532" s="8">
        <v>13</v>
      </c>
      <c r="G532" s="8" t="s">
        <v>94</v>
      </c>
      <c r="H532" s="8" t="s">
        <v>95</v>
      </c>
      <c r="I532" s="8">
        <v>1</v>
      </c>
      <c r="J532" s="8" t="s">
        <v>95</v>
      </c>
      <c r="K532" s="8">
        <v>1</v>
      </c>
      <c r="L532" s="8" t="s">
        <v>95</v>
      </c>
      <c r="M532" s="8">
        <v>1</v>
      </c>
      <c r="N532" s="8" t="s">
        <v>94</v>
      </c>
      <c r="O532" s="8">
        <v>0</v>
      </c>
      <c r="P532" s="8" t="s">
        <v>95</v>
      </c>
      <c r="Q532" s="8">
        <v>1</v>
      </c>
      <c r="R532" s="8" t="s">
        <v>95</v>
      </c>
      <c r="S532" s="8">
        <v>1</v>
      </c>
      <c r="T532" s="8" t="s">
        <v>94</v>
      </c>
      <c r="U532" s="8">
        <v>0</v>
      </c>
      <c r="V532" s="8" t="s">
        <v>94</v>
      </c>
      <c r="W532" s="8">
        <v>0</v>
      </c>
      <c r="X532" s="8" t="s">
        <v>95</v>
      </c>
      <c r="Y532" s="8">
        <v>1</v>
      </c>
      <c r="Z532" s="8" t="s">
        <v>95</v>
      </c>
      <c r="AA532" s="8">
        <v>1</v>
      </c>
      <c r="AB532" s="8" t="s">
        <v>95</v>
      </c>
      <c r="AC532" s="8">
        <v>1</v>
      </c>
      <c r="AD532" s="8" t="s">
        <v>95</v>
      </c>
      <c r="AE532" s="8">
        <v>1</v>
      </c>
      <c r="AF532" s="8" t="s">
        <v>95</v>
      </c>
      <c r="AG532" s="8">
        <v>1</v>
      </c>
      <c r="AH532" s="8" t="s">
        <v>95</v>
      </c>
      <c r="AI532" s="8">
        <v>1</v>
      </c>
      <c r="AJ532" s="8" t="s">
        <v>95</v>
      </c>
      <c r="AK532" s="8">
        <v>1</v>
      </c>
      <c r="AL532" s="8" t="s">
        <v>95</v>
      </c>
      <c r="AM532" s="8">
        <v>1</v>
      </c>
      <c r="AN532" s="8">
        <v>13</v>
      </c>
    </row>
    <row r="533" spans="1:40" x14ac:dyDescent="0.25">
      <c r="A533" s="8" t="s">
        <v>593</v>
      </c>
      <c r="B533" s="9">
        <v>42033.674305555556</v>
      </c>
      <c r="C533" s="8">
        <v>0</v>
      </c>
      <c r="D533" s="9">
        <v>42044.126388888886</v>
      </c>
      <c r="E533" s="8" t="s">
        <v>93</v>
      </c>
      <c r="F533" s="8">
        <v>16</v>
      </c>
      <c r="G533" s="8" t="s">
        <v>94</v>
      </c>
      <c r="H533" s="8" t="s">
        <v>95</v>
      </c>
      <c r="I533" s="8">
        <v>1</v>
      </c>
      <c r="J533" s="8" t="s">
        <v>95</v>
      </c>
      <c r="K533" s="8">
        <v>1</v>
      </c>
      <c r="L533" s="8" t="s">
        <v>95</v>
      </c>
      <c r="M533" s="8">
        <v>1</v>
      </c>
      <c r="N533" s="8" t="s">
        <v>95</v>
      </c>
      <c r="O533" s="8">
        <v>1</v>
      </c>
      <c r="P533" s="8" t="s">
        <v>95</v>
      </c>
      <c r="Q533" s="8">
        <v>1</v>
      </c>
      <c r="R533" s="8" t="s">
        <v>95</v>
      </c>
      <c r="S533" s="8">
        <v>1</v>
      </c>
      <c r="T533" s="8" t="s">
        <v>95</v>
      </c>
      <c r="U533" s="8">
        <v>1</v>
      </c>
      <c r="V533" s="8" t="s">
        <v>95</v>
      </c>
      <c r="W533" s="8">
        <v>1</v>
      </c>
      <c r="X533" s="8" t="s">
        <v>95</v>
      </c>
      <c r="Y533" s="8">
        <v>1</v>
      </c>
      <c r="Z533" s="8" t="s">
        <v>95</v>
      </c>
      <c r="AA533" s="8">
        <v>1</v>
      </c>
      <c r="AB533" s="8" t="s">
        <v>95</v>
      </c>
      <c r="AC533" s="8">
        <v>1</v>
      </c>
      <c r="AD533" s="8" t="s">
        <v>95</v>
      </c>
      <c r="AE533" s="8">
        <v>1</v>
      </c>
      <c r="AF533" s="8" t="s">
        <v>95</v>
      </c>
      <c r="AG533" s="8">
        <v>1</v>
      </c>
      <c r="AH533" s="8" t="s">
        <v>95</v>
      </c>
      <c r="AI533" s="8">
        <v>1</v>
      </c>
      <c r="AJ533" s="8" t="s">
        <v>95</v>
      </c>
      <c r="AK533" s="8">
        <v>1</v>
      </c>
      <c r="AL533" s="8" t="s">
        <v>95</v>
      </c>
      <c r="AM533" s="8">
        <v>1</v>
      </c>
      <c r="AN533" s="8">
        <v>16</v>
      </c>
    </row>
    <row r="534" spans="1:40" x14ac:dyDescent="0.25">
      <c r="A534" s="8" t="s">
        <v>594</v>
      </c>
      <c r="B534" s="9">
        <v>42033.668749999997</v>
      </c>
      <c r="C534" s="8">
        <v>0</v>
      </c>
      <c r="D534" s="9">
        <v>42044.127083333333</v>
      </c>
      <c r="E534" s="8" t="s">
        <v>93</v>
      </c>
      <c r="F534" s="8">
        <v>10</v>
      </c>
      <c r="G534" s="8" t="s">
        <v>94</v>
      </c>
      <c r="H534" s="8" t="s">
        <v>95</v>
      </c>
      <c r="I534" s="8">
        <v>1</v>
      </c>
      <c r="J534" s="8" t="s">
        <v>94</v>
      </c>
      <c r="K534" s="8">
        <v>0</v>
      </c>
      <c r="L534" s="8" t="s">
        <v>94</v>
      </c>
      <c r="M534" s="8">
        <v>0</v>
      </c>
      <c r="N534" s="8" t="s">
        <v>94</v>
      </c>
      <c r="O534" s="8">
        <v>0</v>
      </c>
      <c r="P534" s="8" t="s">
        <v>95</v>
      </c>
      <c r="Q534" s="8">
        <v>1</v>
      </c>
      <c r="R534" s="8" t="s">
        <v>94</v>
      </c>
      <c r="S534" s="8">
        <v>0</v>
      </c>
      <c r="T534" s="8" t="s">
        <v>95</v>
      </c>
      <c r="U534" s="8">
        <v>1</v>
      </c>
      <c r="V534" s="8" t="s">
        <v>95</v>
      </c>
      <c r="W534" s="8">
        <v>1</v>
      </c>
      <c r="X534" s="8" t="s">
        <v>95</v>
      </c>
      <c r="Y534" s="8">
        <v>1</v>
      </c>
      <c r="Z534" s="8" t="s">
        <v>95</v>
      </c>
      <c r="AA534" s="8">
        <v>1</v>
      </c>
      <c r="AB534" s="8" t="s">
        <v>95</v>
      </c>
      <c r="AC534" s="8">
        <v>1</v>
      </c>
      <c r="AD534" s="8" t="s">
        <v>95</v>
      </c>
      <c r="AE534" s="8">
        <v>1</v>
      </c>
      <c r="AF534" s="8" t="s">
        <v>94</v>
      </c>
      <c r="AG534" s="8">
        <v>0</v>
      </c>
      <c r="AH534" s="8" t="s">
        <v>95</v>
      </c>
      <c r="AI534" s="8">
        <v>1</v>
      </c>
      <c r="AJ534" s="8" t="s">
        <v>95</v>
      </c>
      <c r="AK534" s="8">
        <v>1</v>
      </c>
      <c r="AL534" s="8" t="s">
        <v>94</v>
      </c>
      <c r="AM534" s="8">
        <v>0</v>
      </c>
      <c r="AN534" s="8">
        <v>10</v>
      </c>
    </row>
    <row r="535" spans="1:40" x14ac:dyDescent="0.25">
      <c r="A535" s="8" t="s">
        <v>595</v>
      </c>
      <c r="B535" s="9">
        <v>42033.681250000001</v>
      </c>
      <c r="C535" s="8">
        <v>0</v>
      </c>
      <c r="D535" s="9">
        <v>42044.127083333333</v>
      </c>
      <c r="E535" s="8" t="s">
        <v>93</v>
      </c>
      <c r="F535" s="8">
        <v>16</v>
      </c>
      <c r="G535" s="8" t="s">
        <v>94</v>
      </c>
      <c r="H535" s="8" t="s">
        <v>95</v>
      </c>
      <c r="I535" s="8">
        <v>1</v>
      </c>
      <c r="J535" s="8" t="s">
        <v>95</v>
      </c>
      <c r="K535" s="8">
        <v>1</v>
      </c>
      <c r="L535" s="8" t="s">
        <v>95</v>
      </c>
      <c r="M535" s="8">
        <v>1</v>
      </c>
      <c r="N535" s="8" t="s">
        <v>95</v>
      </c>
      <c r="O535" s="8">
        <v>1</v>
      </c>
      <c r="P535" s="8" t="s">
        <v>95</v>
      </c>
      <c r="Q535" s="8">
        <v>1</v>
      </c>
      <c r="R535" s="8" t="s">
        <v>95</v>
      </c>
      <c r="S535" s="8">
        <v>1</v>
      </c>
      <c r="T535" s="8" t="s">
        <v>95</v>
      </c>
      <c r="U535" s="8">
        <v>1</v>
      </c>
      <c r="V535" s="8" t="s">
        <v>95</v>
      </c>
      <c r="W535" s="8">
        <v>1</v>
      </c>
      <c r="X535" s="8" t="s">
        <v>95</v>
      </c>
      <c r="Y535" s="8">
        <v>1</v>
      </c>
      <c r="Z535" s="8" t="s">
        <v>95</v>
      </c>
      <c r="AA535" s="8">
        <v>1</v>
      </c>
      <c r="AB535" s="8" t="s">
        <v>95</v>
      </c>
      <c r="AC535" s="8">
        <v>1</v>
      </c>
      <c r="AD535" s="8" t="s">
        <v>95</v>
      </c>
      <c r="AE535" s="8">
        <v>1</v>
      </c>
      <c r="AF535" s="8" t="s">
        <v>95</v>
      </c>
      <c r="AG535" s="8">
        <v>1</v>
      </c>
      <c r="AH535" s="8" t="s">
        <v>95</v>
      </c>
      <c r="AI535" s="8">
        <v>1</v>
      </c>
      <c r="AJ535" s="8" t="s">
        <v>95</v>
      </c>
      <c r="AK535" s="8">
        <v>1</v>
      </c>
      <c r="AL535" s="8" t="s">
        <v>95</v>
      </c>
      <c r="AM535" s="8">
        <v>1</v>
      </c>
      <c r="AN535" s="8">
        <v>16</v>
      </c>
    </row>
    <row r="536" spans="1:40" x14ac:dyDescent="0.25">
      <c r="A536" s="8" t="s">
        <v>596</v>
      </c>
      <c r="B536" s="9">
        <v>42033.677777777775</v>
      </c>
      <c r="C536" s="8">
        <v>0</v>
      </c>
      <c r="D536" s="9">
        <v>42044.127083333333</v>
      </c>
      <c r="E536" s="8" t="s">
        <v>93</v>
      </c>
      <c r="F536" s="8">
        <v>16</v>
      </c>
      <c r="G536" s="8" t="s">
        <v>94</v>
      </c>
      <c r="H536" s="8" t="s">
        <v>95</v>
      </c>
      <c r="I536" s="8">
        <v>1</v>
      </c>
      <c r="J536" s="8" t="s">
        <v>95</v>
      </c>
      <c r="K536" s="8">
        <v>1</v>
      </c>
      <c r="L536" s="8" t="s">
        <v>95</v>
      </c>
      <c r="M536" s="8">
        <v>1</v>
      </c>
      <c r="N536" s="8" t="s">
        <v>95</v>
      </c>
      <c r="O536" s="8">
        <v>1</v>
      </c>
      <c r="P536" s="8" t="s">
        <v>95</v>
      </c>
      <c r="Q536" s="8">
        <v>1</v>
      </c>
      <c r="R536" s="8" t="s">
        <v>95</v>
      </c>
      <c r="S536" s="8">
        <v>1</v>
      </c>
      <c r="T536" s="8" t="s">
        <v>95</v>
      </c>
      <c r="U536" s="8">
        <v>1</v>
      </c>
      <c r="V536" s="8" t="s">
        <v>95</v>
      </c>
      <c r="W536" s="8">
        <v>1</v>
      </c>
      <c r="X536" s="8" t="s">
        <v>95</v>
      </c>
      <c r="Y536" s="8">
        <v>1</v>
      </c>
      <c r="Z536" s="8" t="s">
        <v>95</v>
      </c>
      <c r="AA536" s="8">
        <v>1</v>
      </c>
      <c r="AB536" s="8" t="s">
        <v>95</v>
      </c>
      <c r="AC536" s="8">
        <v>1</v>
      </c>
      <c r="AD536" s="8" t="s">
        <v>95</v>
      </c>
      <c r="AE536" s="8">
        <v>1</v>
      </c>
      <c r="AF536" s="8" t="s">
        <v>95</v>
      </c>
      <c r="AG536" s="8">
        <v>1</v>
      </c>
      <c r="AH536" s="8" t="s">
        <v>95</v>
      </c>
      <c r="AI536" s="8">
        <v>1</v>
      </c>
      <c r="AJ536" s="8" t="s">
        <v>95</v>
      </c>
      <c r="AK536" s="8">
        <v>1</v>
      </c>
      <c r="AL536" s="8" t="s">
        <v>95</v>
      </c>
      <c r="AM536" s="8">
        <v>1</v>
      </c>
      <c r="AN536" s="8">
        <v>16</v>
      </c>
    </row>
    <row r="537" spans="1:40" x14ac:dyDescent="0.25">
      <c r="A537" s="8" t="s">
        <v>597</v>
      </c>
      <c r="B537" s="9">
        <v>42033.682638888888</v>
      </c>
      <c r="C537" s="8">
        <v>0</v>
      </c>
      <c r="D537" s="9">
        <v>42044.127083333333</v>
      </c>
      <c r="E537" s="8" t="s">
        <v>93</v>
      </c>
      <c r="F537" s="8">
        <v>16</v>
      </c>
      <c r="G537" s="8" t="s">
        <v>94</v>
      </c>
      <c r="H537" s="8" t="s">
        <v>95</v>
      </c>
      <c r="I537" s="8">
        <v>1</v>
      </c>
      <c r="J537" s="8" t="s">
        <v>95</v>
      </c>
      <c r="K537" s="8">
        <v>1</v>
      </c>
      <c r="L537" s="8" t="s">
        <v>95</v>
      </c>
      <c r="M537" s="8">
        <v>1</v>
      </c>
      <c r="N537" s="8" t="s">
        <v>95</v>
      </c>
      <c r="O537" s="8">
        <v>1</v>
      </c>
      <c r="P537" s="8" t="s">
        <v>95</v>
      </c>
      <c r="Q537" s="8">
        <v>1</v>
      </c>
      <c r="R537" s="8" t="s">
        <v>95</v>
      </c>
      <c r="S537" s="8">
        <v>1</v>
      </c>
      <c r="T537" s="8" t="s">
        <v>95</v>
      </c>
      <c r="U537" s="8">
        <v>1</v>
      </c>
      <c r="V537" s="8" t="s">
        <v>95</v>
      </c>
      <c r="W537" s="8">
        <v>1</v>
      </c>
      <c r="X537" s="8" t="s">
        <v>95</v>
      </c>
      <c r="Y537" s="8">
        <v>1</v>
      </c>
      <c r="Z537" s="8" t="s">
        <v>95</v>
      </c>
      <c r="AA537" s="8">
        <v>1</v>
      </c>
      <c r="AB537" s="8" t="s">
        <v>95</v>
      </c>
      <c r="AC537" s="8">
        <v>1</v>
      </c>
      <c r="AD537" s="8" t="s">
        <v>95</v>
      </c>
      <c r="AE537" s="8">
        <v>1</v>
      </c>
      <c r="AF537" s="8" t="s">
        <v>95</v>
      </c>
      <c r="AG537" s="8">
        <v>1</v>
      </c>
      <c r="AH537" s="8" t="s">
        <v>95</v>
      </c>
      <c r="AI537" s="8">
        <v>1</v>
      </c>
      <c r="AJ537" s="8" t="s">
        <v>95</v>
      </c>
      <c r="AK537" s="8">
        <v>1</v>
      </c>
      <c r="AL537" s="8" t="s">
        <v>95</v>
      </c>
      <c r="AM537" s="8">
        <v>1</v>
      </c>
      <c r="AN537" s="8">
        <v>16</v>
      </c>
    </row>
    <row r="538" spans="1:40" x14ac:dyDescent="0.25">
      <c r="A538" s="8" t="s">
        <v>598</v>
      </c>
      <c r="B538" s="9">
        <v>42033.675694444442</v>
      </c>
      <c r="C538" s="8">
        <v>0</v>
      </c>
      <c r="D538" s="9">
        <v>42044.129861111112</v>
      </c>
      <c r="E538" s="8" t="s">
        <v>93</v>
      </c>
      <c r="F538" s="8">
        <v>7</v>
      </c>
      <c r="G538" s="8" t="s">
        <v>94</v>
      </c>
      <c r="H538" s="8" t="s">
        <v>94</v>
      </c>
      <c r="I538" s="8">
        <v>0</v>
      </c>
      <c r="J538" s="8" t="s">
        <v>94</v>
      </c>
      <c r="K538" s="8">
        <v>0</v>
      </c>
      <c r="L538" s="8" t="s">
        <v>94</v>
      </c>
      <c r="M538" s="8">
        <v>0</v>
      </c>
      <c r="N538" s="8" t="s">
        <v>94</v>
      </c>
      <c r="O538" s="8">
        <v>0</v>
      </c>
      <c r="P538" s="8" t="s">
        <v>95</v>
      </c>
      <c r="Q538" s="8">
        <v>1</v>
      </c>
      <c r="R538" s="8" t="s">
        <v>95</v>
      </c>
      <c r="S538" s="8">
        <v>1</v>
      </c>
      <c r="T538" s="8" t="s">
        <v>94</v>
      </c>
      <c r="U538" s="8">
        <v>0</v>
      </c>
      <c r="V538" s="8" t="s">
        <v>94</v>
      </c>
      <c r="W538" s="8">
        <v>0</v>
      </c>
      <c r="X538" s="8" t="s">
        <v>94</v>
      </c>
      <c r="Y538" s="8">
        <v>0</v>
      </c>
      <c r="Z538" s="8" t="s">
        <v>94</v>
      </c>
      <c r="AA538" s="8">
        <v>0</v>
      </c>
      <c r="AB538" s="8" t="s">
        <v>94</v>
      </c>
      <c r="AC538" s="8">
        <v>0</v>
      </c>
      <c r="AD538" s="8" t="s">
        <v>95</v>
      </c>
      <c r="AE538" s="8">
        <v>1</v>
      </c>
      <c r="AF538" s="8" t="s">
        <v>95</v>
      </c>
      <c r="AG538" s="8">
        <v>1</v>
      </c>
      <c r="AH538" s="8" t="s">
        <v>95</v>
      </c>
      <c r="AI538" s="8">
        <v>1</v>
      </c>
      <c r="AJ538" s="8" t="s">
        <v>95</v>
      </c>
      <c r="AK538" s="8">
        <v>1</v>
      </c>
      <c r="AL538" s="8" t="s">
        <v>95</v>
      </c>
      <c r="AM538" s="8">
        <v>1</v>
      </c>
      <c r="AN538" s="8">
        <v>7</v>
      </c>
    </row>
    <row r="539" spans="1:40" x14ac:dyDescent="0.25">
      <c r="A539" s="8" t="s">
        <v>599</v>
      </c>
      <c r="B539" s="9">
        <v>42033.678472222222</v>
      </c>
      <c r="C539" s="8">
        <v>0</v>
      </c>
      <c r="D539" s="9">
        <v>42044.133333333331</v>
      </c>
      <c r="E539" s="8" t="s">
        <v>93</v>
      </c>
      <c r="F539" s="8">
        <v>16</v>
      </c>
      <c r="G539" s="8" t="s">
        <v>94</v>
      </c>
      <c r="H539" s="8" t="s">
        <v>95</v>
      </c>
      <c r="I539" s="8">
        <v>1</v>
      </c>
      <c r="J539" s="8" t="s">
        <v>95</v>
      </c>
      <c r="K539" s="8">
        <v>1</v>
      </c>
      <c r="L539" s="8" t="s">
        <v>95</v>
      </c>
      <c r="M539" s="8">
        <v>1</v>
      </c>
      <c r="N539" s="8" t="s">
        <v>95</v>
      </c>
      <c r="O539" s="8">
        <v>1</v>
      </c>
      <c r="P539" s="8" t="s">
        <v>95</v>
      </c>
      <c r="Q539" s="8">
        <v>1</v>
      </c>
      <c r="R539" s="8" t="s">
        <v>95</v>
      </c>
      <c r="S539" s="8">
        <v>1</v>
      </c>
      <c r="T539" s="8" t="s">
        <v>95</v>
      </c>
      <c r="U539" s="8">
        <v>1</v>
      </c>
      <c r="V539" s="8" t="s">
        <v>95</v>
      </c>
      <c r="W539" s="8">
        <v>1</v>
      </c>
      <c r="X539" s="8" t="s">
        <v>95</v>
      </c>
      <c r="Y539" s="8">
        <v>1</v>
      </c>
      <c r="Z539" s="8" t="s">
        <v>95</v>
      </c>
      <c r="AA539" s="8">
        <v>1</v>
      </c>
      <c r="AB539" s="8" t="s">
        <v>95</v>
      </c>
      <c r="AC539" s="8">
        <v>1</v>
      </c>
      <c r="AD539" s="8" t="s">
        <v>95</v>
      </c>
      <c r="AE539" s="8">
        <v>1</v>
      </c>
      <c r="AF539" s="8" t="s">
        <v>95</v>
      </c>
      <c r="AG539" s="8">
        <v>1</v>
      </c>
      <c r="AH539" s="8" t="s">
        <v>95</v>
      </c>
      <c r="AI539" s="8">
        <v>1</v>
      </c>
      <c r="AJ539" s="8" t="s">
        <v>95</v>
      </c>
      <c r="AK539" s="8">
        <v>1</v>
      </c>
      <c r="AL539" s="8" t="s">
        <v>95</v>
      </c>
      <c r="AM539" s="8">
        <v>1</v>
      </c>
      <c r="AN539" s="8">
        <v>16</v>
      </c>
    </row>
    <row r="540" spans="1:40" x14ac:dyDescent="0.25">
      <c r="A540" s="8" t="s">
        <v>600</v>
      </c>
      <c r="B540" s="9">
        <v>42033.676388888889</v>
      </c>
      <c r="C540" s="8">
        <v>0</v>
      </c>
      <c r="D540" s="9">
        <v>42044.136111111111</v>
      </c>
      <c r="E540" s="8" t="s">
        <v>93</v>
      </c>
      <c r="F540" s="8">
        <v>16</v>
      </c>
      <c r="G540" s="8" t="s">
        <v>94</v>
      </c>
      <c r="H540" s="8" t="s">
        <v>95</v>
      </c>
      <c r="I540" s="8">
        <v>1</v>
      </c>
      <c r="J540" s="8" t="s">
        <v>95</v>
      </c>
      <c r="K540" s="8">
        <v>1</v>
      </c>
      <c r="L540" s="8" t="s">
        <v>95</v>
      </c>
      <c r="M540" s="8">
        <v>1</v>
      </c>
      <c r="N540" s="8" t="s">
        <v>95</v>
      </c>
      <c r="O540" s="8">
        <v>1</v>
      </c>
      <c r="P540" s="8" t="s">
        <v>95</v>
      </c>
      <c r="Q540" s="8">
        <v>1</v>
      </c>
      <c r="R540" s="8" t="s">
        <v>95</v>
      </c>
      <c r="S540" s="8">
        <v>1</v>
      </c>
      <c r="T540" s="8" t="s">
        <v>95</v>
      </c>
      <c r="U540" s="8">
        <v>1</v>
      </c>
      <c r="V540" s="8" t="s">
        <v>95</v>
      </c>
      <c r="W540" s="8">
        <v>1</v>
      </c>
      <c r="X540" s="8" t="s">
        <v>95</v>
      </c>
      <c r="Y540" s="8">
        <v>1</v>
      </c>
      <c r="Z540" s="8" t="s">
        <v>95</v>
      </c>
      <c r="AA540" s="8">
        <v>1</v>
      </c>
      <c r="AB540" s="8" t="s">
        <v>95</v>
      </c>
      <c r="AC540" s="8">
        <v>1</v>
      </c>
      <c r="AD540" s="8" t="s">
        <v>95</v>
      </c>
      <c r="AE540" s="8">
        <v>1</v>
      </c>
      <c r="AF540" s="8" t="s">
        <v>95</v>
      </c>
      <c r="AG540" s="8">
        <v>1</v>
      </c>
      <c r="AH540" s="8" t="s">
        <v>95</v>
      </c>
      <c r="AI540" s="8">
        <v>1</v>
      </c>
      <c r="AJ540" s="8" t="s">
        <v>95</v>
      </c>
      <c r="AK540" s="8">
        <v>1</v>
      </c>
      <c r="AL540" s="8" t="s">
        <v>95</v>
      </c>
      <c r="AM540" s="8">
        <v>1</v>
      </c>
      <c r="AN540" s="8">
        <v>16</v>
      </c>
    </row>
    <row r="541" spans="1:40" x14ac:dyDescent="0.25">
      <c r="A541" s="8" t="s">
        <v>601</v>
      </c>
      <c r="B541" s="9">
        <v>42033.682638888888</v>
      </c>
      <c r="C541" s="8">
        <v>0</v>
      </c>
      <c r="D541" s="9">
        <v>42044.138888888891</v>
      </c>
      <c r="E541" s="8" t="s">
        <v>93</v>
      </c>
      <c r="F541" s="8">
        <v>16</v>
      </c>
      <c r="G541" s="8" t="s">
        <v>94</v>
      </c>
      <c r="H541" s="8" t="s">
        <v>95</v>
      </c>
      <c r="I541" s="8">
        <v>1</v>
      </c>
      <c r="J541" s="8" t="s">
        <v>95</v>
      </c>
      <c r="K541" s="8">
        <v>1</v>
      </c>
      <c r="L541" s="8" t="s">
        <v>95</v>
      </c>
      <c r="M541" s="8">
        <v>1</v>
      </c>
      <c r="N541" s="8" t="s">
        <v>95</v>
      </c>
      <c r="O541" s="8">
        <v>1</v>
      </c>
      <c r="P541" s="8" t="s">
        <v>95</v>
      </c>
      <c r="Q541" s="8">
        <v>1</v>
      </c>
      <c r="R541" s="8" t="s">
        <v>95</v>
      </c>
      <c r="S541" s="8">
        <v>1</v>
      </c>
      <c r="T541" s="8" t="s">
        <v>95</v>
      </c>
      <c r="U541" s="8">
        <v>1</v>
      </c>
      <c r="V541" s="8" t="s">
        <v>95</v>
      </c>
      <c r="W541" s="8">
        <v>1</v>
      </c>
      <c r="X541" s="8" t="s">
        <v>95</v>
      </c>
      <c r="Y541" s="8">
        <v>1</v>
      </c>
      <c r="Z541" s="8" t="s">
        <v>95</v>
      </c>
      <c r="AA541" s="8">
        <v>1</v>
      </c>
      <c r="AB541" s="8" t="s">
        <v>95</v>
      </c>
      <c r="AC541" s="8">
        <v>1</v>
      </c>
      <c r="AD541" s="8" t="s">
        <v>95</v>
      </c>
      <c r="AE541" s="8">
        <v>1</v>
      </c>
      <c r="AF541" s="8" t="s">
        <v>95</v>
      </c>
      <c r="AG541" s="8">
        <v>1</v>
      </c>
      <c r="AH541" s="8" t="s">
        <v>95</v>
      </c>
      <c r="AI541" s="8">
        <v>1</v>
      </c>
      <c r="AJ541" s="8" t="s">
        <v>95</v>
      </c>
      <c r="AK541" s="8">
        <v>1</v>
      </c>
      <c r="AL541" s="8" t="s">
        <v>95</v>
      </c>
      <c r="AM541" s="8">
        <v>1</v>
      </c>
      <c r="AN541" s="8">
        <v>16</v>
      </c>
    </row>
    <row r="542" spans="1:40" x14ac:dyDescent="0.25">
      <c r="A542" s="8" t="s">
        <v>602</v>
      </c>
      <c r="B542" s="9">
        <v>42033.682638888888</v>
      </c>
      <c r="C542" s="8">
        <v>0</v>
      </c>
      <c r="D542" s="9">
        <v>42044.140277777777</v>
      </c>
      <c r="E542" s="8" t="s">
        <v>93</v>
      </c>
      <c r="F542" s="8">
        <v>13</v>
      </c>
      <c r="G542" s="8" t="s">
        <v>94</v>
      </c>
      <c r="H542" s="8" t="s">
        <v>95</v>
      </c>
      <c r="I542" s="8">
        <v>1</v>
      </c>
      <c r="J542" s="8" t="s">
        <v>95</v>
      </c>
      <c r="K542" s="8">
        <v>1</v>
      </c>
      <c r="L542" s="8" t="s">
        <v>94</v>
      </c>
      <c r="M542" s="8">
        <v>0</v>
      </c>
      <c r="N542" s="8" t="s">
        <v>94</v>
      </c>
      <c r="O542" s="8">
        <v>0</v>
      </c>
      <c r="P542" s="8" t="s">
        <v>95</v>
      </c>
      <c r="Q542" s="8">
        <v>1</v>
      </c>
      <c r="R542" s="8" t="s">
        <v>94</v>
      </c>
      <c r="S542" s="8">
        <v>0</v>
      </c>
      <c r="T542" s="8" t="s">
        <v>95</v>
      </c>
      <c r="U542" s="8">
        <v>1</v>
      </c>
      <c r="V542" s="8" t="s">
        <v>95</v>
      </c>
      <c r="W542" s="8">
        <v>1</v>
      </c>
      <c r="X542" s="8" t="s">
        <v>95</v>
      </c>
      <c r="Y542" s="8">
        <v>1</v>
      </c>
      <c r="Z542" s="8" t="s">
        <v>95</v>
      </c>
      <c r="AA542" s="8">
        <v>1</v>
      </c>
      <c r="AB542" s="8" t="s">
        <v>95</v>
      </c>
      <c r="AC542" s="8">
        <v>1</v>
      </c>
      <c r="AD542" s="8" t="s">
        <v>95</v>
      </c>
      <c r="AE542" s="8">
        <v>1</v>
      </c>
      <c r="AF542" s="8" t="s">
        <v>95</v>
      </c>
      <c r="AG542" s="8">
        <v>1</v>
      </c>
      <c r="AH542" s="8" t="s">
        <v>95</v>
      </c>
      <c r="AI542" s="8">
        <v>1</v>
      </c>
      <c r="AJ542" s="8" t="s">
        <v>95</v>
      </c>
      <c r="AK542" s="8">
        <v>1</v>
      </c>
      <c r="AL542" s="8" t="s">
        <v>95</v>
      </c>
      <c r="AM542" s="8">
        <v>1</v>
      </c>
      <c r="AN542" s="8">
        <v>13</v>
      </c>
    </row>
    <row r="543" spans="1:40" x14ac:dyDescent="0.25">
      <c r="A543" s="8" t="s">
        <v>603</v>
      </c>
      <c r="B543" s="9">
        <v>42033.659722222219</v>
      </c>
      <c r="C543" s="8">
        <v>0</v>
      </c>
      <c r="D543" s="9">
        <v>42044.140277777777</v>
      </c>
      <c r="E543" s="8" t="s">
        <v>93</v>
      </c>
      <c r="F543" s="8">
        <v>6</v>
      </c>
      <c r="G543" s="8" t="s">
        <v>94</v>
      </c>
      <c r="H543" s="8" t="s">
        <v>94</v>
      </c>
      <c r="I543" s="8">
        <v>0</v>
      </c>
      <c r="J543" s="8" t="s">
        <v>94</v>
      </c>
      <c r="K543" s="8">
        <v>0</v>
      </c>
      <c r="L543" s="8" t="s">
        <v>94</v>
      </c>
      <c r="M543" s="8">
        <v>0</v>
      </c>
      <c r="N543" s="8" t="s">
        <v>94</v>
      </c>
      <c r="O543" s="8">
        <v>0</v>
      </c>
      <c r="P543" s="8" t="s">
        <v>94</v>
      </c>
      <c r="Q543" s="8">
        <v>0</v>
      </c>
      <c r="R543" s="8" t="s">
        <v>95</v>
      </c>
      <c r="S543" s="8">
        <v>1</v>
      </c>
      <c r="T543" s="8" t="s">
        <v>94</v>
      </c>
      <c r="U543" s="8">
        <v>0</v>
      </c>
      <c r="V543" s="8" t="s">
        <v>95</v>
      </c>
      <c r="W543" s="8">
        <v>1</v>
      </c>
      <c r="X543" s="8" t="s">
        <v>94</v>
      </c>
      <c r="Y543" s="8">
        <v>0</v>
      </c>
      <c r="Z543" s="8" t="s">
        <v>95</v>
      </c>
      <c r="AA543" s="8">
        <v>1</v>
      </c>
      <c r="AB543" s="8" t="s">
        <v>95</v>
      </c>
      <c r="AC543" s="8">
        <v>1</v>
      </c>
      <c r="AD543" s="8" t="s">
        <v>95</v>
      </c>
      <c r="AE543" s="8">
        <v>1</v>
      </c>
      <c r="AF543" s="8" t="s">
        <v>94</v>
      </c>
      <c r="AG543" s="8">
        <v>0</v>
      </c>
      <c r="AH543" s="8" t="s">
        <v>95</v>
      </c>
      <c r="AI543" s="8">
        <v>1</v>
      </c>
      <c r="AJ543" s="8" t="s">
        <v>94</v>
      </c>
      <c r="AK543" s="8">
        <v>0</v>
      </c>
      <c r="AL543" s="8" t="s">
        <v>94</v>
      </c>
      <c r="AM543" s="8">
        <v>0</v>
      </c>
      <c r="AN543" s="8">
        <v>6</v>
      </c>
    </row>
    <row r="544" spans="1:40" x14ac:dyDescent="0.25">
      <c r="A544" s="8" t="s">
        <v>604</v>
      </c>
      <c r="B544" s="9">
        <v>42033.65625</v>
      </c>
      <c r="C544" s="8">
        <v>0</v>
      </c>
      <c r="D544" s="9">
        <v>42044.144444444442</v>
      </c>
      <c r="E544" s="8" t="s">
        <v>93</v>
      </c>
      <c r="F544" s="8">
        <v>16</v>
      </c>
      <c r="G544" s="8" t="s">
        <v>94</v>
      </c>
      <c r="H544" s="8" t="s">
        <v>95</v>
      </c>
      <c r="I544" s="8">
        <v>1</v>
      </c>
      <c r="J544" s="8" t="s">
        <v>95</v>
      </c>
      <c r="K544" s="8">
        <v>1</v>
      </c>
      <c r="L544" s="8" t="s">
        <v>95</v>
      </c>
      <c r="M544" s="8">
        <v>1</v>
      </c>
      <c r="N544" s="8" t="s">
        <v>95</v>
      </c>
      <c r="O544" s="8">
        <v>1</v>
      </c>
      <c r="P544" s="8" t="s">
        <v>95</v>
      </c>
      <c r="Q544" s="8">
        <v>1</v>
      </c>
      <c r="R544" s="8" t="s">
        <v>95</v>
      </c>
      <c r="S544" s="8">
        <v>1</v>
      </c>
      <c r="T544" s="8" t="s">
        <v>95</v>
      </c>
      <c r="U544" s="8">
        <v>1</v>
      </c>
      <c r="V544" s="8" t="s">
        <v>95</v>
      </c>
      <c r="W544" s="8">
        <v>1</v>
      </c>
      <c r="X544" s="8" t="s">
        <v>95</v>
      </c>
      <c r="Y544" s="8">
        <v>1</v>
      </c>
      <c r="Z544" s="8" t="s">
        <v>95</v>
      </c>
      <c r="AA544" s="8">
        <v>1</v>
      </c>
      <c r="AB544" s="8" t="s">
        <v>95</v>
      </c>
      <c r="AC544" s="8">
        <v>1</v>
      </c>
      <c r="AD544" s="8" t="s">
        <v>95</v>
      </c>
      <c r="AE544" s="8">
        <v>1</v>
      </c>
      <c r="AF544" s="8" t="s">
        <v>95</v>
      </c>
      <c r="AG544" s="8">
        <v>1</v>
      </c>
      <c r="AH544" s="8" t="s">
        <v>95</v>
      </c>
      <c r="AI544" s="8">
        <v>1</v>
      </c>
      <c r="AJ544" s="8" t="s">
        <v>95</v>
      </c>
      <c r="AK544" s="8">
        <v>1</v>
      </c>
      <c r="AL544" s="8" t="s">
        <v>95</v>
      </c>
      <c r="AM544" s="8">
        <v>1</v>
      </c>
      <c r="AN544" s="8">
        <v>16</v>
      </c>
    </row>
    <row r="545" spans="1:40" x14ac:dyDescent="0.25">
      <c r="A545" s="8" t="s">
        <v>605</v>
      </c>
      <c r="B545" s="9">
        <v>42033.677083333336</v>
      </c>
      <c r="C545" s="8">
        <v>0</v>
      </c>
      <c r="D545" s="9">
        <v>42044.149305555555</v>
      </c>
      <c r="E545" s="8" t="s">
        <v>93</v>
      </c>
      <c r="F545" s="8">
        <v>16</v>
      </c>
      <c r="G545" s="8" t="s">
        <v>94</v>
      </c>
      <c r="H545" s="8" t="s">
        <v>95</v>
      </c>
      <c r="I545" s="8">
        <v>1</v>
      </c>
      <c r="J545" s="8" t="s">
        <v>95</v>
      </c>
      <c r="K545" s="8">
        <v>1</v>
      </c>
      <c r="L545" s="8" t="s">
        <v>95</v>
      </c>
      <c r="M545" s="8">
        <v>1</v>
      </c>
      <c r="N545" s="8" t="s">
        <v>95</v>
      </c>
      <c r="O545" s="8">
        <v>1</v>
      </c>
      <c r="P545" s="8" t="s">
        <v>95</v>
      </c>
      <c r="Q545" s="8">
        <v>1</v>
      </c>
      <c r="R545" s="8" t="s">
        <v>95</v>
      </c>
      <c r="S545" s="8">
        <v>1</v>
      </c>
      <c r="T545" s="8" t="s">
        <v>95</v>
      </c>
      <c r="U545" s="8">
        <v>1</v>
      </c>
      <c r="V545" s="8" t="s">
        <v>95</v>
      </c>
      <c r="W545" s="8">
        <v>1</v>
      </c>
      <c r="X545" s="8" t="s">
        <v>95</v>
      </c>
      <c r="Y545" s="8">
        <v>1</v>
      </c>
      <c r="Z545" s="8" t="s">
        <v>95</v>
      </c>
      <c r="AA545" s="8">
        <v>1</v>
      </c>
      <c r="AB545" s="8" t="s">
        <v>95</v>
      </c>
      <c r="AC545" s="8">
        <v>1</v>
      </c>
      <c r="AD545" s="8" t="s">
        <v>95</v>
      </c>
      <c r="AE545" s="8">
        <v>1</v>
      </c>
      <c r="AF545" s="8" t="s">
        <v>95</v>
      </c>
      <c r="AG545" s="8">
        <v>1</v>
      </c>
      <c r="AH545" s="8" t="s">
        <v>95</v>
      </c>
      <c r="AI545" s="8">
        <v>1</v>
      </c>
      <c r="AJ545" s="8" t="s">
        <v>95</v>
      </c>
      <c r="AK545" s="8">
        <v>1</v>
      </c>
      <c r="AL545" s="8" t="s">
        <v>95</v>
      </c>
      <c r="AM545" s="8">
        <v>1</v>
      </c>
      <c r="AN545" s="8">
        <v>16</v>
      </c>
    </row>
    <row r="546" spans="1:40" x14ac:dyDescent="0.25">
      <c r="A546" s="8" t="s">
        <v>606</v>
      </c>
      <c r="B546" s="9">
        <v>42033.674305555556</v>
      </c>
      <c r="C546" s="8">
        <v>0</v>
      </c>
      <c r="D546" s="9">
        <v>42044.15</v>
      </c>
      <c r="E546" s="8" t="s">
        <v>93</v>
      </c>
      <c r="F546" s="8">
        <v>9</v>
      </c>
      <c r="G546" s="8" t="s">
        <v>94</v>
      </c>
      <c r="H546" s="8" t="s">
        <v>94</v>
      </c>
      <c r="I546" s="8">
        <v>0</v>
      </c>
      <c r="J546" s="8" t="s">
        <v>95</v>
      </c>
      <c r="K546" s="8">
        <v>1</v>
      </c>
      <c r="L546" s="8" t="s">
        <v>95</v>
      </c>
      <c r="M546" s="8">
        <v>1</v>
      </c>
      <c r="N546" s="8" t="s">
        <v>95</v>
      </c>
      <c r="O546" s="8">
        <v>1</v>
      </c>
      <c r="P546" s="8" t="s">
        <v>95</v>
      </c>
      <c r="Q546" s="8">
        <v>1</v>
      </c>
      <c r="R546" s="8" t="s">
        <v>95</v>
      </c>
      <c r="S546" s="8">
        <v>1</v>
      </c>
      <c r="T546" s="8" t="s">
        <v>94</v>
      </c>
      <c r="U546" s="8">
        <v>0</v>
      </c>
      <c r="V546" s="8" t="s">
        <v>95</v>
      </c>
      <c r="W546" s="8">
        <v>1</v>
      </c>
      <c r="X546" s="8" t="s">
        <v>94</v>
      </c>
      <c r="Y546" s="8">
        <v>0</v>
      </c>
      <c r="Z546" s="8" t="s">
        <v>94</v>
      </c>
      <c r="AA546" s="8">
        <v>0</v>
      </c>
      <c r="AB546" s="8" t="s">
        <v>94</v>
      </c>
      <c r="AC546" s="8">
        <v>0</v>
      </c>
      <c r="AD546" s="8" t="s">
        <v>95</v>
      </c>
      <c r="AE546" s="8">
        <v>1</v>
      </c>
      <c r="AF546" s="8" t="s">
        <v>94</v>
      </c>
      <c r="AG546" s="8">
        <v>0</v>
      </c>
      <c r="AH546" s="8" t="s">
        <v>95</v>
      </c>
      <c r="AI546" s="8">
        <v>1</v>
      </c>
      <c r="AJ546" s="8" t="s">
        <v>95</v>
      </c>
      <c r="AK546" s="8">
        <v>1</v>
      </c>
      <c r="AL546" s="8" t="s">
        <v>94</v>
      </c>
      <c r="AM546" s="8">
        <v>0</v>
      </c>
      <c r="AN546" s="8">
        <v>9</v>
      </c>
    </row>
    <row r="547" spans="1:40" x14ac:dyDescent="0.25">
      <c r="A547" s="8" t="s">
        <v>607</v>
      </c>
      <c r="B547" s="9">
        <v>42033.678472222222</v>
      </c>
      <c r="C547" s="8">
        <v>0</v>
      </c>
      <c r="D547" s="9">
        <v>42044.151388888888</v>
      </c>
      <c r="E547" s="8" t="s">
        <v>93</v>
      </c>
      <c r="F547" s="8">
        <v>16</v>
      </c>
      <c r="G547" s="8" t="s">
        <v>94</v>
      </c>
      <c r="H547" s="8" t="s">
        <v>95</v>
      </c>
      <c r="I547" s="8">
        <v>1</v>
      </c>
      <c r="J547" s="8" t="s">
        <v>95</v>
      </c>
      <c r="K547" s="8">
        <v>1</v>
      </c>
      <c r="L547" s="8" t="s">
        <v>95</v>
      </c>
      <c r="M547" s="8">
        <v>1</v>
      </c>
      <c r="N547" s="8" t="s">
        <v>95</v>
      </c>
      <c r="O547" s="8">
        <v>1</v>
      </c>
      <c r="P547" s="8" t="s">
        <v>95</v>
      </c>
      <c r="Q547" s="8">
        <v>1</v>
      </c>
      <c r="R547" s="8" t="s">
        <v>95</v>
      </c>
      <c r="S547" s="8">
        <v>1</v>
      </c>
      <c r="T547" s="8" t="s">
        <v>95</v>
      </c>
      <c r="U547" s="8">
        <v>1</v>
      </c>
      <c r="V547" s="8" t="s">
        <v>95</v>
      </c>
      <c r="W547" s="8">
        <v>1</v>
      </c>
      <c r="X547" s="8" t="s">
        <v>95</v>
      </c>
      <c r="Y547" s="8">
        <v>1</v>
      </c>
      <c r="Z547" s="8" t="s">
        <v>95</v>
      </c>
      <c r="AA547" s="8">
        <v>1</v>
      </c>
      <c r="AB547" s="8" t="s">
        <v>95</v>
      </c>
      <c r="AC547" s="8">
        <v>1</v>
      </c>
      <c r="AD547" s="8" t="s">
        <v>95</v>
      </c>
      <c r="AE547" s="8">
        <v>1</v>
      </c>
      <c r="AF547" s="8" t="s">
        <v>95</v>
      </c>
      <c r="AG547" s="8">
        <v>1</v>
      </c>
      <c r="AH547" s="8" t="s">
        <v>95</v>
      </c>
      <c r="AI547" s="8">
        <v>1</v>
      </c>
      <c r="AJ547" s="8" t="s">
        <v>95</v>
      </c>
      <c r="AK547" s="8">
        <v>1</v>
      </c>
      <c r="AL547" s="8" t="s">
        <v>95</v>
      </c>
      <c r="AM547" s="8">
        <v>1</v>
      </c>
      <c r="AN547" s="8">
        <v>16</v>
      </c>
    </row>
    <row r="548" spans="1:40" x14ac:dyDescent="0.25">
      <c r="A548" s="8" t="s">
        <v>608</v>
      </c>
      <c r="B548" s="9">
        <v>42033.679166666669</v>
      </c>
      <c r="C548" s="8">
        <v>0</v>
      </c>
      <c r="D548" s="9">
        <v>42044.15902777778</v>
      </c>
      <c r="E548" s="8" t="s">
        <v>93</v>
      </c>
      <c r="F548" s="8">
        <v>14</v>
      </c>
      <c r="G548" s="8" t="s">
        <v>94</v>
      </c>
      <c r="H548" s="8" t="s">
        <v>95</v>
      </c>
      <c r="I548" s="8">
        <v>1</v>
      </c>
      <c r="J548" s="8" t="s">
        <v>95</v>
      </c>
      <c r="K548" s="8">
        <v>1</v>
      </c>
      <c r="L548" s="8" t="s">
        <v>95</v>
      </c>
      <c r="M548" s="8">
        <v>1</v>
      </c>
      <c r="N548" s="8" t="s">
        <v>95</v>
      </c>
      <c r="O548" s="8">
        <v>1</v>
      </c>
      <c r="P548" s="8" t="s">
        <v>95</v>
      </c>
      <c r="Q548" s="8">
        <v>1</v>
      </c>
      <c r="R548" s="8" t="s">
        <v>95</v>
      </c>
      <c r="S548" s="8">
        <v>1</v>
      </c>
      <c r="T548" s="8" t="s">
        <v>95</v>
      </c>
      <c r="U548" s="8">
        <v>1</v>
      </c>
      <c r="V548" s="8" t="s">
        <v>95</v>
      </c>
      <c r="W548" s="8">
        <v>1</v>
      </c>
      <c r="X548" s="8" t="s">
        <v>95</v>
      </c>
      <c r="Y548" s="8">
        <v>1</v>
      </c>
      <c r="Z548" s="8" t="s">
        <v>95</v>
      </c>
      <c r="AA548" s="8">
        <v>1</v>
      </c>
      <c r="AB548" s="8" t="s">
        <v>95</v>
      </c>
      <c r="AC548" s="8">
        <v>1</v>
      </c>
      <c r="AD548" s="8" t="s">
        <v>95</v>
      </c>
      <c r="AE548" s="8">
        <v>1</v>
      </c>
      <c r="AF548" s="8" t="s">
        <v>94</v>
      </c>
      <c r="AG548" s="8">
        <v>0</v>
      </c>
      <c r="AH548" s="8" t="s">
        <v>95</v>
      </c>
      <c r="AI548" s="8">
        <v>1</v>
      </c>
      <c r="AJ548" s="8" t="s">
        <v>95</v>
      </c>
      <c r="AK548" s="8">
        <v>1</v>
      </c>
      <c r="AL548" s="8" t="s">
        <v>94</v>
      </c>
      <c r="AM548" s="8">
        <v>0</v>
      </c>
      <c r="AN548" s="8">
        <v>14</v>
      </c>
    </row>
    <row r="549" spans="1:40" x14ac:dyDescent="0.25">
      <c r="A549" s="8" t="s">
        <v>609</v>
      </c>
      <c r="B549" s="9">
        <v>42033.654861111114</v>
      </c>
      <c r="C549" s="8">
        <v>0</v>
      </c>
      <c r="D549" s="9">
        <v>42044.161805555559</v>
      </c>
      <c r="E549" s="8" t="s">
        <v>93</v>
      </c>
      <c r="F549" s="8">
        <v>16</v>
      </c>
      <c r="G549" s="8" t="s">
        <v>94</v>
      </c>
      <c r="H549" s="8" t="s">
        <v>95</v>
      </c>
      <c r="I549" s="8">
        <v>1</v>
      </c>
      <c r="J549" s="8" t="s">
        <v>95</v>
      </c>
      <c r="K549" s="8">
        <v>1</v>
      </c>
      <c r="L549" s="8" t="s">
        <v>95</v>
      </c>
      <c r="M549" s="8">
        <v>1</v>
      </c>
      <c r="N549" s="8" t="s">
        <v>95</v>
      </c>
      <c r="O549" s="8">
        <v>1</v>
      </c>
      <c r="P549" s="8" t="s">
        <v>95</v>
      </c>
      <c r="Q549" s="8">
        <v>1</v>
      </c>
      <c r="R549" s="8" t="s">
        <v>95</v>
      </c>
      <c r="S549" s="8">
        <v>1</v>
      </c>
      <c r="T549" s="8" t="s">
        <v>95</v>
      </c>
      <c r="U549" s="8">
        <v>1</v>
      </c>
      <c r="V549" s="8" t="s">
        <v>95</v>
      </c>
      <c r="W549" s="8">
        <v>1</v>
      </c>
      <c r="X549" s="8" t="s">
        <v>95</v>
      </c>
      <c r="Y549" s="8">
        <v>1</v>
      </c>
      <c r="Z549" s="8" t="s">
        <v>95</v>
      </c>
      <c r="AA549" s="8">
        <v>1</v>
      </c>
      <c r="AB549" s="8" t="s">
        <v>95</v>
      </c>
      <c r="AC549" s="8">
        <v>1</v>
      </c>
      <c r="AD549" s="8" t="s">
        <v>95</v>
      </c>
      <c r="AE549" s="8">
        <v>1</v>
      </c>
      <c r="AF549" s="8" t="s">
        <v>95</v>
      </c>
      <c r="AG549" s="8">
        <v>1</v>
      </c>
      <c r="AH549" s="8" t="s">
        <v>95</v>
      </c>
      <c r="AI549" s="8">
        <v>1</v>
      </c>
      <c r="AJ549" s="8" t="s">
        <v>95</v>
      </c>
      <c r="AK549" s="8">
        <v>1</v>
      </c>
      <c r="AL549" s="8" t="s">
        <v>95</v>
      </c>
      <c r="AM549" s="8">
        <v>1</v>
      </c>
      <c r="AN549" s="8">
        <v>16</v>
      </c>
    </row>
    <row r="550" spans="1:40" x14ac:dyDescent="0.25">
      <c r="A550" s="8" t="s">
        <v>610</v>
      </c>
      <c r="B550" s="9">
        <v>42033.677083333336</v>
      </c>
      <c r="C550" s="8">
        <v>0</v>
      </c>
      <c r="D550" s="9">
        <v>42044.164583333331</v>
      </c>
      <c r="E550" s="8" t="s">
        <v>93</v>
      </c>
      <c r="F550" s="8">
        <v>16</v>
      </c>
      <c r="G550" s="8" t="s">
        <v>94</v>
      </c>
      <c r="H550" s="8" t="s">
        <v>95</v>
      </c>
      <c r="I550" s="8">
        <v>1</v>
      </c>
      <c r="J550" s="8" t="s">
        <v>95</v>
      </c>
      <c r="K550" s="8">
        <v>1</v>
      </c>
      <c r="L550" s="8" t="s">
        <v>95</v>
      </c>
      <c r="M550" s="8">
        <v>1</v>
      </c>
      <c r="N550" s="8" t="s">
        <v>95</v>
      </c>
      <c r="O550" s="8">
        <v>1</v>
      </c>
      <c r="P550" s="8" t="s">
        <v>95</v>
      </c>
      <c r="Q550" s="8">
        <v>1</v>
      </c>
      <c r="R550" s="8" t="s">
        <v>95</v>
      </c>
      <c r="S550" s="8">
        <v>1</v>
      </c>
      <c r="T550" s="8" t="s">
        <v>95</v>
      </c>
      <c r="U550" s="8">
        <v>1</v>
      </c>
      <c r="V550" s="8" t="s">
        <v>95</v>
      </c>
      <c r="W550" s="8">
        <v>1</v>
      </c>
      <c r="X550" s="8" t="s">
        <v>95</v>
      </c>
      <c r="Y550" s="8">
        <v>1</v>
      </c>
      <c r="Z550" s="8" t="s">
        <v>95</v>
      </c>
      <c r="AA550" s="8">
        <v>1</v>
      </c>
      <c r="AB550" s="8" t="s">
        <v>95</v>
      </c>
      <c r="AC550" s="8">
        <v>1</v>
      </c>
      <c r="AD550" s="8" t="s">
        <v>95</v>
      </c>
      <c r="AE550" s="8">
        <v>1</v>
      </c>
      <c r="AF550" s="8" t="s">
        <v>95</v>
      </c>
      <c r="AG550" s="8">
        <v>1</v>
      </c>
      <c r="AH550" s="8" t="s">
        <v>95</v>
      </c>
      <c r="AI550" s="8">
        <v>1</v>
      </c>
      <c r="AJ550" s="8" t="s">
        <v>95</v>
      </c>
      <c r="AK550" s="8">
        <v>1</v>
      </c>
      <c r="AL550" s="8" t="s">
        <v>95</v>
      </c>
      <c r="AM550" s="8">
        <v>1</v>
      </c>
      <c r="AN550" s="8">
        <v>16</v>
      </c>
    </row>
    <row r="551" spans="1:40" x14ac:dyDescent="0.25">
      <c r="A551" s="8" t="s">
        <v>611</v>
      </c>
      <c r="B551" s="9">
        <v>42033.667361111111</v>
      </c>
      <c r="C551" s="8">
        <v>0</v>
      </c>
      <c r="D551" s="9">
        <v>42044.165277777778</v>
      </c>
      <c r="E551" s="8" t="s">
        <v>93</v>
      </c>
      <c r="F551" s="8">
        <v>8</v>
      </c>
      <c r="G551" s="8" t="s">
        <v>94</v>
      </c>
      <c r="H551" s="8" t="s">
        <v>94</v>
      </c>
      <c r="I551" s="8">
        <v>0</v>
      </c>
      <c r="J551" s="8" t="s">
        <v>95</v>
      </c>
      <c r="K551" s="8">
        <v>1</v>
      </c>
      <c r="L551" s="8" t="s">
        <v>94</v>
      </c>
      <c r="M551" s="8">
        <v>0</v>
      </c>
      <c r="N551" s="8" t="s">
        <v>94</v>
      </c>
      <c r="O551" s="8">
        <v>0</v>
      </c>
      <c r="P551" s="8" t="s">
        <v>94</v>
      </c>
      <c r="Q551" s="8">
        <v>0</v>
      </c>
      <c r="R551" s="8" t="s">
        <v>94</v>
      </c>
      <c r="S551" s="8">
        <v>0</v>
      </c>
      <c r="T551" s="8" t="s">
        <v>94</v>
      </c>
      <c r="U551" s="8">
        <v>0</v>
      </c>
      <c r="V551" s="8" t="s">
        <v>94</v>
      </c>
      <c r="W551" s="8">
        <v>0</v>
      </c>
      <c r="X551" s="8" t="s">
        <v>94</v>
      </c>
      <c r="Y551" s="8">
        <v>0</v>
      </c>
      <c r="Z551" s="8" t="s">
        <v>95</v>
      </c>
      <c r="AA551" s="8">
        <v>1</v>
      </c>
      <c r="AB551" s="8" t="s">
        <v>95</v>
      </c>
      <c r="AC551" s="8">
        <v>1</v>
      </c>
      <c r="AD551" s="8" t="s">
        <v>95</v>
      </c>
      <c r="AE551" s="8">
        <v>1</v>
      </c>
      <c r="AF551" s="8" t="s">
        <v>95</v>
      </c>
      <c r="AG551" s="8">
        <v>1</v>
      </c>
      <c r="AH551" s="8" t="s">
        <v>95</v>
      </c>
      <c r="AI551" s="8">
        <v>1</v>
      </c>
      <c r="AJ551" s="8" t="s">
        <v>95</v>
      </c>
      <c r="AK551" s="8">
        <v>1</v>
      </c>
      <c r="AL551" s="8" t="s">
        <v>95</v>
      </c>
      <c r="AM551" s="8">
        <v>1</v>
      </c>
      <c r="AN551" s="8">
        <v>8</v>
      </c>
    </row>
    <row r="552" spans="1:40" x14ac:dyDescent="0.25">
      <c r="A552" s="8" t="s">
        <v>612</v>
      </c>
      <c r="B552" s="9">
        <v>42033.682638888888</v>
      </c>
      <c r="C552" s="8">
        <v>0</v>
      </c>
      <c r="D552" s="9">
        <v>42044.165972222225</v>
      </c>
      <c r="E552" s="8" t="s">
        <v>93</v>
      </c>
      <c r="F552" s="8">
        <v>12</v>
      </c>
      <c r="G552" s="8" t="s">
        <v>94</v>
      </c>
      <c r="H552" s="8" t="s">
        <v>94</v>
      </c>
      <c r="I552" s="8">
        <v>0</v>
      </c>
      <c r="J552" s="8" t="s">
        <v>94</v>
      </c>
      <c r="K552" s="8">
        <v>0</v>
      </c>
      <c r="L552" s="8" t="s">
        <v>95</v>
      </c>
      <c r="M552" s="8">
        <v>1</v>
      </c>
      <c r="N552" s="8" t="s">
        <v>95</v>
      </c>
      <c r="O552" s="8">
        <v>1</v>
      </c>
      <c r="P552" s="8" t="s">
        <v>95</v>
      </c>
      <c r="Q552" s="8">
        <v>1</v>
      </c>
      <c r="R552" s="8" t="s">
        <v>95</v>
      </c>
      <c r="S552" s="8">
        <v>1</v>
      </c>
      <c r="T552" s="8" t="s">
        <v>95</v>
      </c>
      <c r="U552" s="8">
        <v>1</v>
      </c>
      <c r="V552" s="8" t="s">
        <v>95</v>
      </c>
      <c r="W552" s="8">
        <v>1</v>
      </c>
      <c r="X552" s="8" t="s">
        <v>95</v>
      </c>
      <c r="Y552" s="8">
        <v>1</v>
      </c>
      <c r="Z552" s="8" t="s">
        <v>95</v>
      </c>
      <c r="AA552" s="8">
        <v>1</v>
      </c>
      <c r="AB552" s="8" t="s">
        <v>95</v>
      </c>
      <c r="AC552" s="8">
        <v>1</v>
      </c>
      <c r="AD552" s="8" t="s">
        <v>95</v>
      </c>
      <c r="AE552" s="8">
        <v>1</v>
      </c>
      <c r="AF552" s="8" t="s">
        <v>94</v>
      </c>
      <c r="AG552" s="8">
        <v>0</v>
      </c>
      <c r="AH552" s="8" t="s">
        <v>95</v>
      </c>
      <c r="AI552" s="8">
        <v>1</v>
      </c>
      <c r="AJ552" s="8" t="s">
        <v>95</v>
      </c>
      <c r="AK552" s="8">
        <v>1</v>
      </c>
      <c r="AL552" s="8" t="s">
        <v>94</v>
      </c>
      <c r="AM552" s="8">
        <v>0</v>
      </c>
      <c r="AN552" s="8">
        <v>12</v>
      </c>
    </row>
    <row r="553" spans="1:40" x14ac:dyDescent="0.25">
      <c r="A553" s="8" t="s">
        <v>613</v>
      </c>
      <c r="B553" s="9">
        <v>42033.675694444442</v>
      </c>
      <c r="C553" s="8">
        <v>0</v>
      </c>
      <c r="D553" s="9">
        <v>42044.17083333333</v>
      </c>
      <c r="E553" s="8" t="s">
        <v>93</v>
      </c>
      <c r="F553" s="8">
        <v>11</v>
      </c>
      <c r="G553" s="8" t="s">
        <v>94</v>
      </c>
      <c r="H553" s="8" t="s">
        <v>95</v>
      </c>
      <c r="I553" s="8">
        <v>1</v>
      </c>
      <c r="J553" s="8" t="s">
        <v>95</v>
      </c>
      <c r="K553" s="8">
        <v>1</v>
      </c>
      <c r="L553" s="8" t="s">
        <v>95</v>
      </c>
      <c r="M553" s="8">
        <v>1</v>
      </c>
      <c r="N553" s="8" t="s">
        <v>94</v>
      </c>
      <c r="O553" s="8">
        <v>0</v>
      </c>
      <c r="P553" s="8" t="s">
        <v>95</v>
      </c>
      <c r="Q553" s="8">
        <v>1</v>
      </c>
      <c r="R553" s="8" t="s">
        <v>95</v>
      </c>
      <c r="S553" s="8">
        <v>1</v>
      </c>
      <c r="T553" s="8" t="s">
        <v>94</v>
      </c>
      <c r="U553" s="8">
        <v>0</v>
      </c>
      <c r="V553" s="8" t="s">
        <v>95</v>
      </c>
      <c r="W553" s="8">
        <v>1</v>
      </c>
      <c r="X553" s="8" t="s">
        <v>94</v>
      </c>
      <c r="Y553" s="8">
        <v>0</v>
      </c>
      <c r="Z553" s="8" t="s">
        <v>95</v>
      </c>
      <c r="AA553" s="8">
        <v>1</v>
      </c>
      <c r="AB553" s="8" t="s">
        <v>95</v>
      </c>
      <c r="AC553" s="8">
        <v>1</v>
      </c>
      <c r="AD553" s="8" t="s">
        <v>95</v>
      </c>
      <c r="AE553" s="8">
        <v>1</v>
      </c>
      <c r="AF553" s="8" t="s">
        <v>95</v>
      </c>
      <c r="AG553" s="8">
        <v>1</v>
      </c>
      <c r="AH553" s="8" t="s">
        <v>94</v>
      </c>
      <c r="AI553" s="8">
        <v>0</v>
      </c>
      <c r="AJ553" s="8" t="s">
        <v>95</v>
      </c>
      <c r="AK553" s="8">
        <v>1</v>
      </c>
      <c r="AL553" s="8" t="s">
        <v>94</v>
      </c>
      <c r="AM553" s="8">
        <v>0</v>
      </c>
      <c r="AN553" s="8">
        <v>11</v>
      </c>
    </row>
    <row r="554" spans="1:40" x14ac:dyDescent="0.25">
      <c r="A554" s="8" t="s">
        <v>614</v>
      </c>
      <c r="B554" s="9">
        <v>42033.673611111109</v>
      </c>
      <c r="C554" s="8">
        <v>0</v>
      </c>
      <c r="D554" s="9">
        <v>42044.175000000003</v>
      </c>
      <c r="E554" s="8" t="s">
        <v>93</v>
      </c>
      <c r="F554" s="8">
        <v>16</v>
      </c>
      <c r="G554" s="8" t="s">
        <v>94</v>
      </c>
      <c r="H554" s="8" t="s">
        <v>95</v>
      </c>
      <c r="I554" s="8">
        <v>1</v>
      </c>
      <c r="J554" s="8" t="s">
        <v>95</v>
      </c>
      <c r="K554" s="8">
        <v>1</v>
      </c>
      <c r="L554" s="8" t="s">
        <v>95</v>
      </c>
      <c r="M554" s="8">
        <v>1</v>
      </c>
      <c r="N554" s="8" t="s">
        <v>95</v>
      </c>
      <c r="O554" s="8">
        <v>1</v>
      </c>
      <c r="P554" s="8" t="s">
        <v>95</v>
      </c>
      <c r="Q554" s="8">
        <v>1</v>
      </c>
      <c r="R554" s="8" t="s">
        <v>95</v>
      </c>
      <c r="S554" s="8">
        <v>1</v>
      </c>
      <c r="T554" s="8" t="s">
        <v>95</v>
      </c>
      <c r="U554" s="8">
        <v>1</v>
      </c>
      <c r="V554" s="8" t="s">
        <v>95</v>
      </c>
      <c r="W554" s="8">
        <v>1</v>
      </c>
      <c r="X554" s="8" t="s">
        <v>95</v>
      </c>
      <c r="Y554" s="8">
        <v>1</v>
      </c>
      <c r="Z554" s="8" t="s">
        <v>95</v>
      </c>
      <c r="AA554" s="8">
        <v>1</v>
      </c>
      <c r="AB554" s="8" t="s">
        <v>95</v>
      </c>
      <c r="AC554" s="8">
        <v>1</v>
      </c>
      <c r="AD554" s="8" t="s">
        <v>95</v>
      </c>
      <c r="AE554" s="8">
        <v>1</v>
      </c>
      <c r="AF554" s="8" t="s">
        <v>95</v>
      </c>
      <c r="AG554" s="8">
        <v>1</v>
      </c>
      <c r="AH554" s="8" t="s">
        <v>95</v>
      </c>
      <c r="AI554" s="8">
        <v>1</v>
      </c>
      <c r="AJ554" s="8" t="s">
        <v>95</v>
      </c>
      <c r="AK554" s="8">
        <v>1</v>
      </c>
      <c r="AL554" s="8" t="s">
        <v>95</v>
      </c>
      <c r="AM554" s="8">
        <v>1</v>
      </c>
      <c r="AN554" s="8">
        <v>16</v>
      </c>
    </row>
    <row r="555" spans="1:40" x14ac:dyDescent="0.25">
      <c r="A555" s="8" t="s">
        <v>615</v>
      </c>
      <c r="B555" s="9">
        <v>42033.654166666667</v>
      </c>
      <c r="C555" s="8">
        <v>0</v>
      </c>
      <c r="D555" s="9">
        <v>42044.177083333336</v>
      </c>
      <c r="E555" s="8" t="s">
        <v>93</v>
      </c>
      <c r="F555" s="8">
        <v>16</v>
      </c>
      <c r="G555" s="8" t="s">
        <v>94</v>
      </c>
      <c r="H555" s="8" t="s">
        <v>95</v>
      </c>
      <c r="I555" s="8">
        <v>1</v>
      </c>
      <c r="J555" s="8" t="s">
        <v>95</v>
      </c>
      <c r="K555" s="8">
        <v>1</v>
      </c>
      <c r="L555" s="8" t="s">
        <v>95</v>
      </c>
      <c r="M555" s="8">
        <v>1</v>
      </c>
      <c r="N555" s="8" t="s">
        <v>95</v>
      </c>
      <c r="O555" s="8">
        <v>1</v>
      </c>
      <c r="P555" s="8" t="s">
        <v>95</v>
      </c>
      <c r="Q555" s="8">
        <v>1</v>
      </c>
      <c r="R555" s="8" t="s">
        <v>95</v>
      </c>
      <c r="S555" s="8">
        <v>1</v>
      </c>
      <c r="T555" s="8" t="s">
        <v>95</v>
      </c>
      <c r="U555" s="8">
        <v>1</v>
      </c>
      <c r="V555" s="8" t="s">
        <v>95</v>
      </c>
      <c r="W555" s="8">
        <v>1</v>
      </c>
      <c r="X555" s="8" t="s">
        <v>95</v>
      </c>
      <c r="Y555" s="8">
        <v>1</v>
      </c>
      <c r="Z555" s="8" t="s">
        <v>95</v>
      </c>
      <c r="AA555" s="8">
        <v>1</v>
      </c>
      <c r="AB555" s="8" t="s">
        <v>95</v>
      </c>
      <c r="AC555" s="8">
        <v>1</v>
      </c>
      <c r="AD555" s="8" t="s">
        <v>95</v>
      </c>
      <c r="AE555" s="8">
        <v>1</v>
      </c>
      <c r="AF555" s="8" t="s">
        <v>95</v>
      </c>
      <c r="AG555" s="8">
        <v>1</v>
      </c>
      <c r="AH555" s="8" t="s">
        <v>95</v>
      </c>
      <c r="AI555" s="8">
        <v>1</v>
      </c>
      <c r="AJ555" s="8" t="s">
        <v>95</v>
      </c>
      <c r="AK555" s="8">
        <v>1</v>
      </c>
      <c r="AL555" s="8" t="s">
        <v>95</v>
      </c>
      <c r="AM555" s="8">
        <v>1</v>
      </c>
      <c r="AN555" s="8">
        <v>16</v>
      </c>
    </row>
    <row r="556" spans="1:40" x14ac:dyDescent="0.25">
      <c r="A556" s="8" t="s">
        <v>616</v>
      </c>
      <c r="B556" s="9">
        <v>42033.675694444442</v>
      </c>
      <c r="C556" s="8">
        <v>0</v>
      </c>
      <c r="D556" s="9">
        <v>42044.185416666667</v>
      </c>
      <c r="E556" s="8" t="s">
        <v>93</v>
      </c>
      <c r="F556" s="8">
        <v>16</v>
      </c>
      <c r="G556" s="8" t="s">
        <v>94</v>
      </c>
      <c r="H556" s="8" t="s">
        <v>95</v>
      </c>
      <c r="I556" s="8">
        <v>1</v>
      </c>
      <c r="J556" s="8" t="s">
        <v>95</v>
      </c>
      <c r="K556" s="8">
        <v>1</v>
      </c>
      <c r="L556" s="8" t="s">
        <v>95</v>
      </c>
      <c r="M556" s="8">
        <v>1</v>
      </c>
      <c r="N556" s="8" t="s">
        <v>95</v>
      </c>
      <c r="O556" s="8">
        <v>1</v>
      </c>
      <c r="P556" s="8" t="s">
        <v>95</v>
      </c>
      <c r="Q556" s="8">
        <v>1</v>
      </c>
      <c r="R556" s="8" t="s">
        <v>95</v>
      </c>
      <c r="S556" s="8">
        <v>1</v>
      </c>
      <c r="T556" s="8" t="s">
        <v>95</v>
      </c>
      <c r="U556" s="8">
        <v>1</v>
      </c>
      <c r="V556" s="8" t="s">
        <v>95</v>
      </c>
      <c r="W556" s="8">
        <v>1</v>
      </c>
      <c r="X556" s="8" t="s">
        <v>95</v>
      </c>
      <c r="Y556" s="8">
        <v>1</v>
      </c>
      <c r="Z556" s="8" t="s">
        <v>95</v>
      </c>
      <c r="AA556" s="8">
        <v>1</v>
      </c>
      <c r="AB556" s="8" t="s">
        <v>95</v>
      </c>
      <c r="AC556" s="8">
        <v>1</v>
      </c>
      <c r="AD556" s="8" t="s">
        <v>95</v>
      </c>
      <c r="AE556" s="8">
        <v>1</v>
      </c>
      <c r="AF556" s="8" t="s">
        <v>95</v>
      </c>
      <c r="AG556" s="8">
        <v>1</v>
      </c>
      <c r="AH556" s="8" t="s">
        <v>95</v>
      </c>
      <c r="AI556" s="8">
        <v>1</v>
      </c>
      <c r="AJ556" s="8" t="s">
        <v>95</v>
      </c>
      <c r="AK556" s="8">
        <v>1</v>
      </c>
      <c r="AL556" s="8" t="s">
        <v>95</v>
      </c>
      <c r="AM556" s="8">
        <v>1</v>
      </c>
      <c r="AN556" s="8">
        <v>16</v>
      </c>
    </row>
    <row r="557" spans="1:40" x14ac:dyDescent="0.25">
      <c r="A557" s="8" t="s">
        <v>617</v>
      </c>
      <c r="B557" s="9">
        <v>42033.665972222225</v>
      </c>
      <c r="C557" s="8">
        <v>0</v>
      </c>
      <c r="D557" s="9">
        <v>42044.186111111114</v>
      </c>
      <c r="E557" s="8" t="s">
        <v>93</v>
      </c>
      <c r="F557" s="8">
        <v>15</v>
      </c>
      <c r="G557" s="8" t="s">
        <v>94</v>
      </c>
      <c r="H557" s="8" t="s">
        <v>95</v>
      </c>
      <c r="I557" s="8">
        <v>1</v>
      </c>
      <c r="J557" s="8" t="s">
        <v>95</v>
      </c>
      <c r="K557" s="8">
        <v>1</v>
      </c>
      <c r="L557" s="8" t="s">
        <v>95</v>
      </c>
      <c r="M557" s="8">
        <v>1</v>
      </c>
      <c r="N557" s="8" t="s">
        <v>95</v>
      </c>
      <c r="O557" s="8">
        <v>1</v>
      </c>
      <c r="P557" s="8" t="s">
        <v>95</v>
      </c>
      <c r="Q557" s="8">
        <v>1</v>
      </c>
      <c r="R557" s="8" t="s">
        <v>95</v>
      </c>
      <c r="S557" s="8">
        <v>1</v>
      </c>
      <c r="T557" s="8" t="s">
        <v>95</v>
      </c>
      <c r="U557" s="8">
        <v>1</v>
      </c>
      <c r="V557" s="8" t="s">
        <v>95</v>
      </c>
      <c r="W557" s="8">
        <v>1</v>
      </c>
      <c r="X557" s="8" t="s">
        <v>95</v>
      </c>
      <c r="Y557" s="8">
        <v>1</v>
      </c>
      <c r="Z557" s="8" t="s">
        <v>95</v>
      </c>
      <c r="AA557" s="8">
        <v>1</v>
      </c>
      <c r="AB557" s="8" t="s">
        <v>95</v>
      </c>
      <c r="AC557" s="8">
        <v>1</v>
      </c>
      <c r="AD557" s="8" t="s">
        <v>95</v>
      </c>
      <c r="AE557" s="8">
        <v>1</v>
      </c>
      <c r="AF557" s="8" t="s">
        <v>95</v>
      </c>
      <c r="AG557" s="8">
        <v>1</v>
      </c>
      <c r="AH557" s="8" t="s">
        <v>95</v>
      </c>
      <c r="AI557" s="8">
        <v>1</v>
      </c>
      <c r="AJ557" s="8" t="s">
        <v>95</v>
      </c>
      <c r="AK557" s="8">
        <v>1</v>
      </c>
      <c r="AL557" s="8" t="s">
        <v>94</v>
      </c>
      <c r="AM557" s="8">
        <v>0</v>
      </c>
      <c r="AN557" s="8">
        <v>15</v>
      </c>
    </row>
    <row r="558" spans="1:40" x14ac:dyDescent="0.25">
      <c r="A558" s="8" t="s">
        <v>618</v>
      </c>
      <c r="B558" s="9">
        <v>42033.670138888891</v>
      </c>
      <c r="C558" s="8">
        <v>0</v>
      </c>
      <c r="D558" s="9">
        <v>42044.193749999999</v>
      </c>
      <c r="E558" s="8" t="s">
        <v>93</v>
      </c>
      <c r="F558" s="8">
        <v>16</v>
      </c>
      <c r="G558" s="8" t="s">
        <v>94</v>
      </c>
      <c r="H558" s="8" t="s">
        <v>95</v>
      </c>
      <c r="I558" s="8">
        <v>1</v>
      </c>
      <c r="J558" s="8" t="s">
        <v>95</v>
      </c>
      <c r="K558" s="8">
        <v>1</v>
      </c>
      <c r="L558" s="8" t="s">
        <v>95</v>
      </c>
      <c r="M558" s="8">
        <v>1</v>
      </c>
      <c r="N558" s="8" t="s">
        <v>95</v>
      </c>
      <c r="O558" s="8">
        <v>1</v>
      </c>
      <c r="P558" s="8" t="s">
        <v>95</v>
      </c>
      <c r="Q558" s="8">
        <v>1</v>
      </c>
      <c r="R558" s="8" t="s">
        <v>95</v>
      </c>
      <c r="S558" s="8">
        <v>1</v>
      </c>
      <c r="T558" s="8" t="s">
        <v>95</v>
      </c>
      <c r="U558" s="8">
        <v>1</v>
      </c>
      <c r="V558" s="8" t="s">
        <v>95</v>
      </c>
      <c r="W558" s="8">
        <v>1</v>
      </c>
      <c r="X558" s="8" t="s">
        <v>95</v>
      </c>
      <c r="Y558" s="8">
        <v>1</v>
      </c>
      <c r="Z558" s="8" t="s">
        <v>95</v>
      </c>
      <c r="AA558" s="8">
        <v>1</v>
      </c>
      <c r="AB558" s="8" t="s">
        <v>95</v>
      </c>
      <c r="AC558" s="8">
        <v>1</v>
      </c>
      <c r="AD558" s="8" t="s">
        <v>95</v>
      </c>
      <c r="AE558" s="8">
        <v>1</v>
      </c>
      <c r="AF558" s="8" t="s">
        <v>95</v>
      </c>
      <c r="AG558" s="8">
        <v>1</v>
      </c>
      <c r="AH558" s="8" t="s">
        <v>95</v>
      </c>
      <c r="AI558" s="8">
        <v>1</v>
      </c>
      <c r="AJ558" s="8" t="s">
        <v>95</v>
      </c>
      <c r="AK558" s="8">
        <v>1</v>
      </c>
      <c r="AL558" s="8" t="s">
        <v>95</v>
      </c>
      <c r="AM558" s="8">
        <v>1</v>
      </c>
      <c r="AN558" s="8">
        <v>16</v>
      </c>
    </row>
    <row r="559" spans="1:40" x14ac:dyDescent="0.25">
      <c r="A559" s="8" t="s">
        <v>619</v>
      </c>
      <c r="B559" s="9">
        <v>42033.68472222222</v>
      </c>
      <c r="C559" s="8">
        <v>0</v>
      </c>
      <c r="D559" s="9">
        <v>42044.195138888892</v>
      </c>
      <c r="E559" s="8" t="s">
        <v>93</v>
      </c>
      <c r="F559" s="8">
        <v>7</v>
      </c>
      <c r="G559" s="8" t="s">
        <v>94</v>
      </c>
      <c r="H559" s="8" t="s">
        <v>95</v>
      </c>
      <c r="I559" s="8">
        <v>1</v>
      </c>
      <c r="J559" s="8" t="s">
        <v>95</v>
      </c>
      <c r="K559" s="8">
        <v>1</v>
      </c>
      <c r="L559" s="8" t="s">
        <v>95</v>
      </c>
      <c r="M559" s="8">
        <v>1</v>
      </c>
      <c r="N559" s="8" t="s">
        <v>94</v>
      </c>
      <c r="O559" s="8">
        <v>0</v>
      </c>
      <c r="P559" s="8" t="s">
        <v>95</v>
      </c>
      <c r="Q559" s="8">
        <v>1</v>
      </c>
      <c r="R559" s="8" t="s">
        <v>94</v>
      </c>
      <c r="S559" s="8">
        <v>0</v>
      </c>
      <c r="T559" s="8" t="s">
        <v>94</v>
      </c>
      <c r="U559" s="8">
        <v>0</v>
      </c>
      <c r="V559" s="8" t="s">
        <v>95</v>
      </c>
      <c r="W559" s="8">
        <v>1</v>
      </c>
      <c r="X559" s="8" t="s">
        <v>94</v>
      </c>
      <c r="Y559" s="8">
        <v>0</v>
      </c>
      <c r="Z559" s="8" t="s">
        <v>94</v>
      </c>
      <c r="AA559" s="8">
        <v>0</v>
      </c>
      <c r="AB559" s="8" t="s">
        <v>94</v>
      </c>
      <c r="AC559" s="8">
        <v>0</v>
      </c>
      <c r="AD559" s="8" t="s">
        <v>94</v>
      </c>
      <c r="AE559" s="8">
        <v>0</v>
      </c>
      <c r="AF559" s="8" t="s">
        <v>95</v>
      </c>
      <c r="AG559" s="8">
        <v>1</v>
      </c>
      <c r="AH559" s="8" t="s">
        <v>95</v>
      </c>
      <c r="AI559" s="8">
        <v>1</v>
      </c>
      <c r="AJ559" s="8" t="s">
        <v>94</v>
      </c>
      <c r="AK559" s="8">
        <v>0</v>
      </c>
      <c r="AL559" s="8" t="s">
        <v>94</v>
      </c>
      <c r="AM559" s="8">
        <v>0</v>
      </c>
      <c r="AN559" s="8">
        <v>7</v>
      </c>
    </row>
    <row r="560" spans="1:40" x14ac:dyDescent="0.25">
      <c r="A560" s="8" t="s">
        <v>620</v>
      </c>
      <c r="B560" s="9">
        <v>42033.681250000001</v>
      </c>
      <c r="C560" s="8">
        <v>0</v>
      </c>
      <c r="D560" s="9">
        <v>42044.202777777777</v>
      </c>
      <c r="E560" s="8" t="s">
        <v>93</v>
      </c>
      <c r="F560" s="8">
        <v>16</v>
      </c>
      <c r="G560" s="8" t="s">
        <v>94</v>
      </c>
      <c r="H560" s="8" t="s">
        <v>95</v>
      </c>
      <c r="I560" s="8">
        <v>1</v>
      </c>
      <c r="J560" s="8" t="s">
        <v>95</v>
      </c>
      <c r="K560" s="8">
        <v>1</v>
      </c>
      <c r="L560" s="8" t="s">
        <v>95</v>
      </c>
      <c r="M560" s="8">
        <v>1</v>
      </c>
      <c r="N560" s="8" t="s">
        <v>95</v>
      </c>
      <c r="O560" s="8">
        <v>1</v>
      </c>
      <c r="P560" s="8" t="s">
        <v>95</v>
      </c>
      <c r="Q560" s="8">
        <v>1</v>
      </c>
      <c r="R560" s="8" t="s">
        <v>95</v>
      </c>
      <c r="S560" s="8">
        <v>1</v>
      </c>
      <c r="T560" s="8" t="s">
        <v>95</v>
      </c>
      <c r="U560" s="8">
        <v>1</v>
      </c>
      <c r="V560" s="8" t="s">
        <v>95</v>
      </c>
      <c r="W560" s="8">
        <v>1</v>
      </c>
      <c r="X560" s="8" t="s">
        <v>95</v>
      </c>
      <c r="Y560" s="8">
        <v>1</v>
      </c>
      <c r="Z560" s="8" t="s">
        <v>95</v>
      </c>
      <c r="AA560" s="8">
        <v>1</v>
      </c>
      <c r="AB560" s="8" t="s">
        <v>95</v>
      </c>
      <c r="AC560" s="8">
        <v>1</v>
      </c>
      <c r="AD560" s="8" t="s">
        <v>95</v>
      </c>
      <c r="AE560" s="8">
        <v>1</v>
      </c>
      <c r="AF560" s="8" t="s">
        <v>95</v>
      </c>
      <c r="AG560" s="8">
        <v>1</v>
      </c>
      <c r="AH560" s="8" t="s">
        <v>95</v>
      </c>
      <c r="AI560" s="8">
        <v>1</v>
      </c>
      <c r="AJ560" s="8" t="s">
        <v>95</v>
      </c>
      <c r="AK560" s="8">
        <v>1</v>
      </c>
      <c r="AL560" s="8" t="s">
        <v>95</v>
      </c>
      <c r="AM560" s="8">
        <v>1</v>
      </c>
      <c r="AN560" s="8">
        <v>16</v>
      </c>
    </row>
    <row r="561" spans="1:40" x14ac:dyDescent="0.25">
      <c r="A561" s="8" t="s">
        <v>621</v>
      </c>
      <c r="B561" s="9">
        <v>42033.682638888888</v>
      </c>
      <c r="C561" s="8">
        <v>0</v>
      </c>
      <c r="D561" s="9">
        <v>42044.20416666667</v>
      </c>
      <c r="E561" s="8" t="s">
        <v>93</v>
      </c>
      <c r="F561" s="8">
        <v>15</v>
      </c>
      <c r="G561" s="8" t="s">
        <v>94</v>
      </c>
      <c r="H561" s="8" t="s">
        <v>95</v>
      </c>
      <c r="I561" s="8">
        <v>1</v>
      </c>
      <c r="J561" s="8" t="s">
        <v>95</v>
      </c>
      <c r="K561" s="8">
        <v>1</v>
      </c>
      <c r="L561" s="8" t="s">
        <v>95</v>
      </c>
      <c r="M561" s="8">
        <v>1</v>
      </c>
      <c r="N561" s="8" t="s">
        <v>95</v>
      </c>
      <c r="O561" s="8">
        <v>1</v>
      </c>
      <c r="P561" s="8" t="s">
        <v>95</v>
      </c>
      <c r="Q561" s="8">
        <v>1</v>
      </c>
      <c r="R561" s="8" t="s">
        <v>95</v>
      </c>
      <c r="S561" s="8">
        <v>1</v>
      </c>
      <c r="T561" s="8" t="s">
        <v>95</v>
      </c>
      <c r="U561" s="8">
        <v>1</v>
      </c>
      <c r="V561" s="8" t="s">
        <v>95</v>
      </c>
      <c r="W561" s="8">
        <v>1</v>
      </c>
      <c r="X561" s="8" t="s">
        <v>95</v>
      </c>
      <c r="Y561" s="8">
        <v>1</v>
      </c>
      <c r="Z561" s="8" t="s">
        <v>95</v>
      </c>
      <c r="AA561" s="8">
        <v>1</v>
      </c>
      <c r="AB561" s="8" t="s">
        <v>95</v>
      </c>
      <c r="AC561" s="8">
        <v>1</v>
      </c>
      <c r="AD561" s="8" t="s">
        <v>95</v>
      </c>
      <c r="AE561" s="8">
        <v>1</v>
      </c>
      <c r="AF561" s="8" t="s">
        <v>95</v>
      </c>
      <c r="AG561" s="8">
        <v>1</v>
      </c>
      <c r="AH561" s="8" t="s">
        <v>95</v>
      </c>
      <c r="AI561" s="8">
        <v>1</v>
      </c>
      <c r="AJ561" s="8" t="s">
        <v>95</v>
      </c>
      <c r="AK561" s="8">
        <v>1</v>
      </c>
      <c r="AL561" s="8" t="s">
        <v>94</v>
      </c>
      <c r="AM561" s="8">
        <v>0</v>
      </c>
      <c r="AN561" s="8">
        <v>15</v>
      </c>
    </row>
    <row r="562" spans="1:40" x14ac:dyDescent="0.25">
      <c r="A562" s="8" t="s">
        <v>622</v>
      </c>
      <c r="B562" s="9">
        <v>42033.67291666667</v>
      </c>
      <c r="C562" s="8">
        <v>0</v>
      </c>
      <c r="D562" s="9">
        <v>42044.20416666667</v>
      </c>
      <c r="E562" s="8" t="s">
        <v>93</v>
      </c>
      <c r="F562" s="8">
        <v>14</v>
      </c>
      <c r="G562" s="8" t="s">
        <v>94</v>
      </c>
      <c r="H562" s="8" t="s">
        <v>95</v>
      </c>
      <c r="I562" s="8">
        <v>1</v>
      </c>
      <c r="J562" s="8" t="s">
        <v>95</v>
      </c>
      <c r="K562" s="8">
        <v>1</v>
      </c>
      <c r="L562" s="8" t="s">
        <v>95</v>
      </c>
      <c r="M562" s="8">
        <v>1</v>
      </c>
      <c r="N562" s="8" t="s">
        <v>95</v>
      </c>
      <c r="O562" s="8">
        <v>1</v>
      </c>
      <c r="P562" s="8" t="s">
        <v>94</v>
      </c>
      <c r="Q562" s="8">
        <v>0</v>
      </c>
      <c r="R562" s="8" t="s">
        <v>95</v>
      </c>
      <c r="S562" s="8">
        <v>1</v>
      </c>
      <c r="T562" s="8" t="s">
        <v>94</v>
      </c>
      <c r="U562" s="8">
        <v>0</v>
      </c>
      <c r="V562" s="8" t="s">
        <v>95</v>
      </c>
      <c r="W562" s="8">
        <v>1</v>
      </c>
      <c r="X562" s="8" t="s">
        <v>95</v>
      </c>
      <c r="Y562" s="8">
        <v>1</v>
      </c>
      <c r="Z562" s="8" t="s">
        <v>95</v>
      </c>
      <c r="AA562" s="8">
        <v>1</v>
      </c>
      <c r="AB562" s="8" t="s">
        <v>95</v>
      </c>
      <c r="AC562" s="8">
        <v>1</v>
      </c>
      <c r="AD562" s="8" t="s">
        <v>95</v>
      </c>
      <c r="AE562" s="8">
        <v>1</v>
      </c>
      <c r="AF562" s="8" t="s">
        <v>95</v>
      </c>
      <c r="AG562" s="8">
        <v>1</v>
      </c>
      <c r="AH562" s="8" t="s">
        <v>95</v>
      </c>
      <c r="AI562" s="8">
        <v>1</v>
      </c>
      <c r="AJ562" s="8" t="s">
        <v>95</v>
      </c>
      <c r="AK562" s="8">
        <v>1</v>
      </c>
      <c r="AL562" s="8" t="s">
        <v>95</v>
      </c>
      <c r="AM562" s="8">
        <v>1</v>
      </c>
      <c r="AN562" s="8">
        <v>14</v>
      </c>
    </row>
    <row r="563" spans="1:40" x14ac:dyDescent="0.25">
      <c r="A563" s="8" t="s">
        <v>623</v>
      </c>
      <c r="B563" s="9">
        <v>42033.672222222223</v>
      </c>
      <c r="C563" s="8">
        <v>0</v>
      </c>
      <c r="D563" s="9">
        <v>42044.20416666667</v>
      </c>
      <c r="E563" s="8" t="s">
        <v>93</v>
      </c>
      <c r="F563" s="8">
        <v>12</v>
      </c>
      <c r="G563" s="8" t="s">
        <v>94</v>
      </c>
      <c r="H563" s="8" t="s">
        <v>94</v>
      </c>
      <c r="I563" s="8">
        <v>0</v>
      </c>
      <c r="J563" s="8" t="s">
        <v>95</v>
      </c>
      <c r="K563" s="8">
        <v>1</v>
      </c>
      <c r="L563" s="8" t="s">
        <v>94</v>
      </c>
      <c r="M563" s="8">
        <v>0</v>
      </c>
      <c r="N563" s="8" t="s">
        <v>95</v>
      </c>
      <c r="O563" s="8">
        <v>1</v>
      </c>
      <c r="P563" s="8" t="s">
        <v>95</v>
      </c>
      <c r="Q563" s="8">
        <v>1</v>
      </c>
      <c r="R563" s="8" t="s">
        <v>95</v>
      </c>
      <c r="S563" s="8">
        <v>1</v>
      </c>
      <c r="T563" s="8" t="s">
        <v>95</v>
      </c>
      <c r="U563" s="8">
        <v>1</v>
      </c>
      <c r="V563" s="8" t="s">
        <v>95</v>
      </c>
      <c r="W563" s="8">
        <v>1</v>
      </c>
      <c r="X563" s="8" t="s">
        <v>94</v>
      </c>
      <c r="Y563" s="8">
        <v>0</v>
      </c>
      <c r="Z563" s="8" t="s">
        <v>95</v>
      </c>
      <c r="AA563" s="8">
        <v>1</v>
      </c>
      <c r="AB563" s="8" t="s">
        <v>95</v>
      </c>
      <c r="AC563" s="8">
        <v>1</v>
      </c>
      <c r="AD563" s="8" t="s">
        <v>95</v>
      </c>
      <c r="AE563" s="8">
        <v>1</v>
      </c>
      <c r="AF563" s="8" t="s">
        <v>94</v>
      </c>
      <c r="AG563" s="8">
        <v>0</v>
      </c>
      <c r="AH563" s="8" t="s">
        <v>95</v>
      </c>
      <c r="AI563" s="8">
        <v>1</v>
      </c>
      <c r="AJ563" s="8" t="s">
        <v>95</v>
      </c>
      <c r="AK563" s="8">
        <v>1</v>
      </c>
      <c r="AL563" s="8" t="s">
        <v>95</v>
      </c>
      <c r="AM563" s="8">
        <v>1</v>
      </c>
      <c r="AN563" s="8">
        <v>12</v>
      </c>
    </row>
    <row r="564" spans="1:40" x14ac:dyDescent="0.25">
      <c r="A564" s="8" t="s">
        <v>624</v>
      </c>
      <c r="B564" s="9">
        <v>42033.670138888891</v>
      </c>
      <c r="C564" s="8">
        <v>0</v>
      </c>
      <c r="D564" s="9">
        <v>42044.206250000003</v>
      </c>
      <c r="E564" s="8" t="s">
        <v>93</v>
      </c>
      <c r="F564" s="8">
        <v>7</v>
      </c>
      <c r="G564" s="8" t="s">
        <v>94</v>
      </c>
      <c r="H564" s="8" t="s">
        <v>94</v>
      </c>
      <c r="I564" s="8">
        <v>0</v>
      </c>
      <c r="J564" s="8" t="s">
        <v>94</v>
      </c>
      <c r="K564" s="8">
        <v>0</v>
      </c>
      <c r="L564" s="8" t="s">
        <v>95</v>
      </c>
      <c r="M564" s="8">
        <v>1</v>
      </c>
      <c r="N564" s="8" t="s">
        <v>94</v>
      </c>
      <c r="O564" s="8">
        <v>0</v>
      </c>
      <c r="P564" s="8" t="s">
        <v>95</v>
      </c>
      <c r="Q564" s="8">
        <v>1</v>
      </c>
      <c r="R564" s="8" t="s">
        <v>95</v>
      </c>
      <c r="S564" s="8">
        <v>1</v>
      </c>
      <c r="T564" s="8" t="s">
        <v>95</v>
      </c>
      <c r="U564" s="8">
        <v>1</v>
      </c>
      <c r="V564" s="8" t="s">
        <v>95</v>
      </c>
      <c r="W564" s="8">
        <v>1</v>
      </c>
      <c r="X564" s="8" t="s">
        <v>94</v>
      </c>
      <c r="Y564" s="8">
        <v>0</v>
      </c>
      <c r="Z564" s="8" t="s">
        <v>94</v>
      </c>
      <c r="AA564" s="8">
        <v>0</v>
      </c>
      <c r="AB564" s="8" t="s">
        <v>94</v>
      </c>
      <c r="AC564" s="8">
        <v>0</v>
      </c>
      <c r="AD564" s="8" t="s">
        <v>94</v>
      </c>
      <c r="AE564" s="8">
        <v>0</v>
      </c>
      <c r="AF564" s="8" t="s">
        <v>94</v>
      </c>
      <c r="AG564" s="8">
        <v>0</v>
      </c>
      <c r="AH564" s="8" t="s">
        <v>95</v>
      </c>
      <c r="AI564" s="8">
        <v>1</v>
      </c>
      <c r="AJ564" s="8" t="s">
        <v>95</v>
      </c>
      <c r="AK564" s="8">
        <v>1</v>
      </c>
      <c r="AL564" s="8" t="s">
        <v>94</v>
      </c>
      <c r="AM564" s="8">
        <v>0</v>
      </c>
      <c r="AN564" s="8">
        <v>7</v>
      </c>
    </row>
    <row r="565" spans="1:40" x14ac:dyDescent="0.25">
      <c r="A565" s="8" t="s">
        <v>625</v>
      </c>
      <c r="B565" s="9">
        <v>42033.684027777781</v>
      </c>
      <c r="C565" s="8">
        <v>0</v>
      </c>
      <c r="D565" s="9">
        <v>42044.206944444442</v>
      </c>
      <c r="E565" s="8" t="s">
        <v>93</v>
      </c>
      <c r="F565" s="8">
        <v>14</v>
      </c>
      <c r="G565" s="8" t="s">
        <v>94</v>
      </c>
      <c r="H565" s="8" t="s">
        <v>95</v>
      </c>
      <c r="I565" s="8">
        <v>1</v>
      </c>
      <c r="J565" s="8" t="s">
        <v>95</v>
      </c>
      <c r="K565" s="8">
        <v>1</v>
      </c>
      <c r="L565" s="8" t="s">
        <v>95</v>
      </c>
      <c r="M565" s="8">
        <v>1</v>
      </c>
      <c r="N565" s="8" t="s">
        <v>95</v>
      </c>
      <c r="O565" s="8">
        <v>1</v>
      </c>
      <c r="P565" s="8" t="s">
        <v>94</v>
      </c>
      <c r="Q565" s="8">
        <v>0</v>
      </c>
      <c r="R565" s="8" t="s">
        <v>95</v>
      </c>
      <c r="S565" s="8">
        <v>1</v>
      </c>
      <c r="T565" s="8" t="s">
        <v>95</v>
      </c>
      <c r="U565" s="8">
        <v>1</v>
      </c>
      <c r="V565" s="8" t="s">
        <v>95</v>
      </c>
      <c r="W565" s="8">
        <v>1</v>
      </c>
      <c r="X565" s="8" t="s">
        <v>95</v>
      </c>
      <c r="Y565" s="8">
        <v>1</v>
      </c>
      <c r="Z565" s="8" t="s">
        <v>95</v>
      </c>
      <c r="AA565" s="8">
        <v>1</v>
      </c>
      <c r="AB565" s="8" t="s">
        <v>95</v>
      </c>
      <c r="AC565" s="8">
        <v>1</v>
      </c>
      <c r="AD565" s="8" t="s">
        <v>95</v>
      </c>
      <c r="AE565" s="8">
        <v>1</v>
      </c>
      <c r="AF565" s="8" t="s">
        <v>95</v>
      </c>
      <c r="AG565" s="8">
        <v>1</v>
      </c>
      <c r="AH565" s="8" t="s">
        <v>94</v>
      </c>
      <c r="AI565" s="8">
        <v>0</v>
      </c>
      <c r="AJ565" s="8" t="s">
        <v>95</v>
      </c>
      <c r="AK565" s="8">
        <v>1</v>
      </c>
      <c r="AL565" s="8" t="s">
        <v>95</v>
      </c>
      <c r="AM565" s="8">
        <v>1</v>
      </c>
      <c r="AN565" s="8">
        <v>14</v>
      </c>
    </row>
    <row r="566" spans="1:40" x14ac:dyDescent="0.25">
      <c r="A566" s="8" t="s">
        <v>626</v>
      </c>
      <c r="B566" s="9">
        <v>42033.679166666669</v>
      </c>
      <c r="C566" s="8">
        <v>0</v>
      </c>
      <c r="D566" s="9">
        <v>42044.208333333336</v>
      </c>
      <c r="E566" s="8" t="s">
        <v>93</v>
      </c>
      <c r="F566" s="8">
        <v>14</v>
      </c>
      <c r="G566" s="8" t="s">
        <v>94</v>
      </c>
      <c r="H566" s="8" t="s">
        <v>95</v>
      </c>
      <c r="I566" s="8">
        <v>1</v>
      </c>
      <c r="J566" s="8" t="s">
        <v>95</v>
      </c>
      <c r="K566" s="8">
        <v>1</v>
      </c>
      <c r="L566" s="8" t="s">
        <v>94</v>
      </c>
      <c r="M566" s="8">
        <v>0</v>
      </c>
      <c r="N566" s="8" t="s">
        <v>95</v>
      </c>
      <c r="O566" s="8">
        <v>1</v>
      </c>
      <c r="P566" s="8" t="s">
        <v>95</v>
      </c>
      <c r="Q566" s="8">
        <v>1</v>
      </c>
      <c r="R566" s="8" t="s">
        <v>95</v>
      </c>
      <c r="S566" s="8">
        <v>1</v>
      </c>
      <c r="T566" s="8" t="s">
        <v>95</v>
      </c>
      <c r="U566" s="8">
        <v>1</v>
      </c>
      <c r="V566" s="8" t="s">
        <v>95</v>
      </c>
      <c r="W566" s="8">
        <v>1</v>
      </c>
      <c r="X566" s="8" t="s">
        <v>95</v>
      </c>
      <c r="Y566" s="8">
        <v>1</v>
      </c>
      <c r="Z566" s="8" t="s">
        <v>95</v>
      </c>
      <c r="AA566" s="8">
        <v>1</v>
      </c>
      <c r="AB566" s="8" t="s">
        <v>95</v>
      </c>
      <c r="AC566" s="8">
        <v>1</v>
      </c>
      <c r="AD566" s="8" t="s">
        <v>95</v>
      </c>
      <c r="AE566" s="8">
        <v>1</v>
      </c>
      <c r="AF566" s="8" t="s">
        <v>95</v>
      </c>
      <c r="AG566" s="8">
        <v>1</v>
      </c>
      <c r="AH566" s="8" t="s">
        <v>95</v>
      </c>
      <c r="AI566" s="8">
        <v>1</v>
      </c>
      <c r="AJ566" s="8" t="s">
        <v>95</v>
      </c>
      <c r="AK566" s="8">
        <v>1</v>
      </c>
      <c r="AL566" s="8" t="s">
        <v>94</v>
      </c>
      <c r="AM566" s="8">
        <v>0</v>
      </c>
      <c r="AN566" s="8">
        <v>14</v>
      </c>
    </row>
    <row r="567" spans="1:40" x14ac:dyDescent="0.25">
      <c r="A567" s="8" t="s">
        <v>627</v>
      </c>
      <c r="B567" s="9">
        <v>42033.655555555553</v>
      </c>
      <c r="C567" s="8">
        <v>0</v>
      </c>
      <c r="D567" s="9">
        <v>42044.209027777775</v>
      </c>
      <c r="E567" s="8" t="s">
        <v>93</v>
      </c>
      <c r="F567" s="8">
        <v>15</v>
      </c>
      <c r="G567" s="8" t="s">
        <v>94</v>
      </c>
      <c r="H567" s="8" t="s">
        <v>95</v>
      </c>
      <c r="I567" s="8">
        <v>1</v>
      </c>
      <c r="J567" s="8" t="s">
        <v>95</v>
      </c>
      <c r="K567" s="8">
        <v>1</v>
      </c>
      <c r="L567" s="8" t="s">
        <v>95</v>
      </c>
      <c r="M567" s="8">
        <v>1</v>
      </c>
      <c r="N567" s="8" t="s">
        <v>95</v>
      </c>
      <c r="O567" s="8">
        <v>1</v>
      </c>
      <c r="P567" s="8" t="s">
        <v>95</v>
      </c>
      <c r="Q567" s="8">
        <v>1</v>
      </c>
      <c r="R567" s="8" t="s">
        <v>95</v>
      </c>
      <c r="S567" s="8">
        <v>1</v>
      </c>
      <c r="T567" s="8" t="s">
        <v>95</v>
      </c>
      <c r="U567" s="8">
        <v>1</v>
      </c>
      <c r="V567" s="8" t="s">
        <v>95</v>
      </c>
      <c r="W567" s="8">
        <v>1</v>
      </c>
      <c r="X567" s="8" t="s">
        <v>95</v>
      </c>
      <c r="Y567" s="8">
        <v>1</v>
      </c>
      <c r="Z567" s="8" t="s">
        <v>95</v>
      </c>
      <c r="AA567" s="8">
        <v>1</v>
      </c>
      <c r="AB567" s="8" t="s">
        <v>95</v>
      </c>
      <c r="AC567" s="8">
        <v>1</v>
      </c>
      <c r="AD567" s="8" t="s">
        <v>95</v>
      </c>
      <c r="AE567" s="8">
        <v>1</v>
      </c>
      <c r="AF567" s="8" t="s">
        <v>94</v>
      </c>
      <c r="AG567" s="8">
        <v>0</v>
      </c>
      <c r="AH567" s="8" t="s">
        <v>95</v>
      </c>
      <c r="AI567" s="8">
        <v>1</v>
      </c>
      <c r="AJ567" s="8" t="s">
        <v>95</v>
      </c>
      <c r="AK567" s="8">
        <v>1</v>
      </c>
      <c r="AL567" s="8" t="s">
        <v>95</v>
      </c>
      <c r="AM567" s="8">
        <v>1</v>
      </c>
      <c r="AN567" s="8">
        <v>15</v>
      </c>
    </row>
    <row r="568" spans="1:40" x14ac:dyDescent="0.25">
      <c r="A568" s="8" t="s">
        <v>628</v>
      </c>
      <c r="B568" s="9">
        <v>42033.672222222223</v>
      </c>
      <c r="C568" s="8">
        <v>0</v>
      </c>
      <c r="D568" s="9">
        <v>42044.209722222222</v>
      </c>
      <c r="E568" s="8" t="s">
        <v>93</v>
      </c>
      <c r="F568" s="8">
        <v>16</v>
      </c>
      <c r="G568" s="8" t="s">
        <v>94</v>
      </c>
      <c r="H568" s="8" t="s">
        <v>95</v>
      </c>
      <c r="I568" s="8">
        <v>1</v>
      </c>
      <c r="J568" s="8" t="s">
        <v>95</v>
      </c>
      <c r="K568" s="8">
        <v>1</v>
      </c>
      <c r="L568" s="8" t="s">
        <v>95</v>
      </c>
      <c r="M568" s="8">
        <v>1</v>
      </c>
      <c r="N568" s="8" t="s">
        <v>95</v>
      </c>
      <c r="O568" s="8">
        <v>1</v>
      </c>
      <c r="P568" s="8" t="s">
        <v>95</v>
      </c>
      <c r="Q568" s="8">
        <v>1</v>
      </c>
      <c r="R568" s="8" t="s">
        <v>95</v>
      </c>
      <c r="S568" s="8">
        <v>1</v>
      </c>
      <c r="T568" s="8" t="s">
        <v>95</v>
      </c>
      <c r="U568" s="8">
        <v>1</v>
      </c>
      <c r="V568" s="8" t="s">
        <v>95</v>
      </c>
      <c r="W568" s="8">
        <v>1</v>
      </c>
      <c r="X568" s="8" t="s">
        <v>95</v>
      </c>
      <c r="Y568" s="8">
        <v>1</v>
      </c>
      <c r="Z568" s="8" t="s">
        <v>95</v>
      </c>
      <c r="AA568" s="8">
        <v>1</v>
      </c>
      <c r="AB568" s="8" t="s">
        <v>95</v>
      </c>
      <c r="AC568" s="8">
        <v>1</v>
      </c>
      <c r="AD568" s="8" t="s">
        <v>95</v>
      </c>
      <c r="AE568" s="8">
        <v>1</v>
      </c>
      <c r="AF568" s="8" t="s">
        <v>95</v>
      </c>
      <c r="AG568" s="8">
        <v>1</v>
      </c>
      <c r="AH568" s="8" t="s">
        <v>95</v>
      </c>
      <c r="AI568" s="8">
        <v>1</v>
      </c>
      <c r="AJ568" s="8" t="s">
        <v>95</v>
      </c>
      <c r="AK568" s="8">
        <v>1</v>
      </c>
      <c r="AL568" s="8" t="s">
        <v>95</v>
      </c>
      <c r="AM568" s="8">
        <v>1</v>
      </c>
      <c r="AN568" s="8">
        <v>16</v>
      </c>
    </row>
    <row r="569" spans="1:40" x14ac:dyDescent="0.25">
      <c r="A569" s="8" t="s">
        <v>629</v>
      </c>
      <c r="B569" s="9">
        <v>42033.684027777781</v>
      </c>
      <c r="C569" s="8">
        <v>0</v>
      </c>
      <c r="D569" s="9">
        <v>42044.211111111108</v>
      </c>
      <c r="E569" s="8" t="s">
        <v>93</v>
      </c>
      <c r="F569" s="8">
        <v>16</v>
      </c>
      <c r="G569" s="8" t="s">
        <v>94</v>
      </c>
      <c r="H569" s="8" t="s">
        <v>95</v>
      </c>
      <c r="I569" s="8">
        <v>1</v>
      </c>
      <c r="J569" s="8" t="s">
        <v>95</v>
      </c>
      <c r="K569" s="8">
        <v>1</v>
      </c>
      <c r="L569" s="8" t="s">
        <v>95</v>
      </c>
      <c r="M569" s="8">
        <v>1</v>
      </c>
      <c r="N569" s="8" t="s">
        <v>95</v>
      </c>
      <c r="O569" s="8">
        <v>1</v>
      </c>
      <c r="P569" s="8" t="s">
        <v>95</v>
      </c>
      <c r="Q569" s="8">
        <v>1</v>
      </c>
      <c r="R569" s="8" t="s">
        <v>95</v>
      </c>
      <c r="S569" s="8">
        <v>1</v>
      </c>
      <c r="T569" s="8" t="s">
        <v>95</v>
      </c>
      <c r="U569" s="8">
        <v>1</v>
      </c>
      <c r="V569" s="8" t="s">
        <v>95</v>
      </c>
      <c r="W569" s="8">
        <v>1</v>
      </c>
      <c r="X569" s="8" t="s">
        <v>95</v>
      </c>
      <c r="Y569" s="8">
        <v>1</v>
      </c>
      <c r="Z569" s="8" t="s">
        <v>95</v>
      </c>
      <c r="AA569" s="8">
        <v>1</v>
      </c>
      <c r="AB569" s="8" t="s">
        <v>95</v>
      </c>
      <c r="AC569" s="8">
        <v>1</v>
      </c>
      <c r="AD569" s="8" t="s">
        <v>95</v>
      </c>
      <c r="AE569" s="8">
        <v>1</v>
      </c>
      <c r="AF569" s="8" t="s">
        <v>95</v>
      </c>
      <c r="AG569" s="8">
        <v>1</v>
      </c>
      <c r="AH569" s="8" t="s">
        <v>95</v>
      </c>
      <c r="AI569" s="8">
        <v>1</v>
      </c>
      <c r="AJ569" s="8" t="s">
        <v>95</v>
      </c>
      <c r="AK569" s="8">
        <v>1</v>
      </c>
      <c r="AL569" s="8" t="s">
        <v>95</v>
      </c>
      <c r="AM569" s="8">
        <v>1</v>
      </c>
      <c r="AN569" s="8">
        <v>16</v>
      </c>
    </row>
    <row r="570" spans="1:40" x14ac:dyDescent="0.25">
      <c r="A570" s="8" t="s">
        <v>630</v>
      </c>
      <c r="B570" s="9">
        <v>42033.674305555556</v>
      </c>
      <c r="C570" s="8">
        <v>0</v>
      </c>
      <c r="D570" s="9">
        <v>42044.215277777781</v>
      </c>
      <c r="E570" s="8" t="s">
        <v>93</v>
      </c>
      <c r="F570" s="8">
        <v>16</v>
      </c>
      <c r="G570" s="8" t="s">
        <v>94</v>
      </c>
      <c r="H570" s="8" t="s">
        <v>95</v>
      </c>
      <c r="I570" s="8">
        <v>1</v>
      </c>
      <c r="J570" s="8" t="s">
        <v>95</v>
      </c>
      <c r="K570" s="8">
        <v>1</v>
      </c>
      <c r="L570" s="8" t="s">
        <v>95</v>
      </c>
      <c r="M570" s="8">
        <v>1</v>
      </c>
      <c r="N570" s="8" t="s">
        <v>95</v>
      </c>
      <c r="O570" s="8">
        <v>1</v>
      </c>
      <c r="P570" s="8" t="s">
        <v>95</v>
      </c>
      <c r="Q570" s="8">
        <v>1</v>
      </c>
      <c r="R570" s="8" t="s">
        <v>95</v>
      </c>
      <c r="S570" s="8">
        <v>1</v>
      </c>
      <c r="T570" s="8" t="s">
        <v>95</v>
      </c>
      <c r="U570" s="8">
        <v>1</v>
      </c>
      <c r="V570" s="8" t="s">
        <v>95</v>
      </c>
      <c r="W570" s="8">
        <v>1</v>
      </c>
      <c r="X570" s="8" t="s">
        <v>95</v>
      </c>
      <c r="Y570" s="8">
        <v>1</v>
      </c>
      <c r="Z570" s="8" t="s">
        <v>95</v>
      </c>
      <c r="AA570" s="8">
        <v>1</v>
      </c>
      <c r="AB570" s="8" t="s">
        <v>95</v>
      </c>
      <c r="AC570" s="8">
        <v>1</v>
      </c>
      <c r="AD570" s="8" t="s">
        <v>95</v>
      </c>
      <c r="AE570" s="8">
        <v>1</v>
      </c>
      <c r="AF570" s="8" t="s">
        <v>95</v>
      </c>
      <c r="AG570" s="8">
        <v>1</v>
      </c>
      <c r="AH570" s="8" t="s">
        <v>95</v>
      </c>
      <c r="AI570" s="8">
        <v>1</v>
      </c>
      <c r="AJ570" s="8" t="s">
        <v>95</v>
      </c>
      <c r="AK570" s="8">
        <v>1</v>
      </c>
      <c r="AL570" s="8" t="s">
        <v>95</v>
      </c>
      <c r="AM570" s="8">
        <v>1</v>
      </c>
      <c r="AN570" s="8">
        <v>16</v>
      </c>
    </row>
    <row r="571" spans="1:40" x14ac:dyDescent="0.25">
      <c r="A571" s="8" t="s">
        <v>631</v>
      </c>
      <c r="B571" s="9">
        <v>42033.657638888886</v>
      </c>
      <c r="C571" s="8">
        <v>0</v>
      </c>
      <c r="D571" s="9">
        <v>42044.21597222222</v>
      </c>
      <c r="E571" s="8" t="s">
        <v>93</v>
      </c>
      <c r="F571" s="8">
        <v>7</v>
      </c>
      <c r="G571" s="8" t="s">
        <v>94</v>
      </c>
      <c r="H571" s="8" t="s">
        <v>95</v>
      </c>
      <c r="I571" s="8">
        <v>1</v>
      </c>
      <c r="J571" s="8" t="s">
        <v>95</v>
      </c>
      <c r="K571" s="8">
        <v>1</v>
      </c>
      <c r="L571" s="8" t="s">
        <v>94</v>
      </c>
      <c r="M571" s="8">
        <v>0</v>
      </c>
      <c r="N571" s="8" t="s">
        <v>94</v>
      </c>
      <c r="O571" s="8">
        <v>0</v>
      </c>
      <c r="P571" s="8" t="s">
        <v>94</v>
      </c>
      <c r="Q571" s="8">
        <v>0</v>
      </c>
      <c r="R571" s="8" t="s">
        <v>95</v>
      </c>
      <c r="S571" s="8">
        <v>1</v>
      </c>
      <c r="T571" s="8" t="s">
        <v>94</v>
      </c>
      <c r="U571" s="8">
        <v>0</v>
      </c>
      <c r="V571" s="8" t="s">
        <v>94</v>
      </c>
      <c r="W571" s="8">
        <v>0</v>
      </c>
      <c r="X571" s="8" t="s">
        <v>94</v>
      </c>
      <c r="Y571" s="8">
        <v>0</v>
      </c>
      <c r="Z571" s="8" t="s">
        <v>94</v>
      </c>
      <c r="AA571" s="8">
        <v>0</v>
      </c>
      <c r="AB571" s="8" t="s">
        <v>95</v>
      </c>
      <c r="AC571" s="8">
        <v>1</v>
      </c>
      <c r="AD571" s="8" t="s">
        <v>95</v>
      </c>
      <c r="AE571" s="8">
        <v>1</v>
      </c>
      <c r="AF571" s="8" t="s">
        <v>95</v>
      </c>
      <c r="AG571" s="8">
        <v>1</v>
      </c>
      <c r="AH571" s="8" t="s">
        <v>94</v>
      </c>
      <c r="AI571" s="8">
        <v>0</v>
      </c>
      <c r="AJ571" s="8" t="s">
        <v>94</v>
      </c>
      <c r="AK571" s="8">
        <v>0</v>
      </c>
      <c r="AL571" s="8" t="s">
        <v>95</v>
      </c>
      <c r="AM571" s="8">
        <v>1</v>
      </c>
      <c r="AN571" s="8">
        <v>7</v>
      </c>
    </row>
    <row r="572" spans="1:40" x14ac:dyDescent="0.25">
      <c r="A572" s="8" t="s">
        <v>632</v>
      </c>
      <c r="B572" s="9">
        <v>42033.674305555556</v>
      </c>
      <c r="C572" s="8">
        <v>0</v>
      </c>
      <c r="D572" s="9">
        <v>42044.227777777778</v>
      </c>
      <c r="E572" s="8" t="s">
        <v>93</v>
      </c>
      <c r="F572" s="8">
        <v>16</v>
      </c>
      <c r="G572" s="8" t="s">
        <v>94</v>
      </c>
      <c r="H572" s="8" t="s">
        <v>95</v>
      </c>
      <c r="I572" s="8">
        <v>1</v>
      </c>
      <c r="J572" s="8" t="s">
        <v>95</v>
      </c>
      <c r="K572" s="8">
        <v>1</v>
      </c>
      <c r="L572" s="8" t="s">
        <v>95</v>
      </c>
      <c r="M572" s="8">
        <v>1</v>
      </c>
      <c r="N572" s="8" t="s">
        <v>95</v>
      </c>
      <c r="O572" s="8">
        <v>1</v>
      </c>
      <c r="P572" s="8" t="s">
        <v>95</v>
      </c>
      <c r="Q572" s="8">
        <v>1</v>
      </c>
      <c r="R572" s="8" t="s">
        <v>95</v>
      </c>
      <c r="S572" s="8">
        <v>1</v>
      </c>
      <c r="T572" s="8" t="s">
        <v>95</v>
      </c>
      <c r="U572" s="8">
        <v>1</v>
      </c>
      <c r="V572" s="8" t="s">
        <v>95</v>
      </c>
      <c r="W572" s="8">
        <v>1</v>
      </c>
      <c r="X572" s="8" t="s">
        <v>95</v>
      </c>
      <c r="Y572" s="8">
        <v>1</v>
      </c>
      <c r="Z572" s="8" t="s">
        <v>95</v>
      </c>
      <c r="AA572" s="8">
        <v>1</v>
      </c>
      <c r="AB572" s="8" t="s">
        <v>95</v>
      </c>
      <c r="AC572" s="8">
        <v>1</v>
      </c>
      <c r="AD572" s="8" t="s">
        <v>95</v>
      </c>
      <c r="AE572" s="8">
        <v>1</v>
      </c>
      <c r="AF572" s="8" t="s">
        <v>95</v>
      </c>
      <c r="AG572" s="8">
        <v>1</v>
      </c>
      <c r="AH572" s="8" t="s">
        <v>95</v>
      </c>
      <c r="AI572" s="8">
        <v>1</v>
      </c>
      <c r="AJ572" s="8" t="s">
        <v>95</v>
      </c>
      <c r="AK572" s="8">
        <v>1</v>
      </c>
      <c r="AL572" s="8" t="s">
        <v>95</v>
      </c>
      <c r="AM572" s="8">
        <v>1</v>
      </c>
      <c r="AN572" s="8">
        <v>16</v>
      </c>
    </row>
    <row r="573" spans="1:40" x14ac:dyDescent="0.25">
      <c r="A573" s="8" t="s">
        <v>633</v>
      </c>
      <c r="B573" s="9">
        <v>42033.663194444445</v>
      </c>
      <c r="C573" s="8">
        <v>0</v>
      </c>
      <c r="D573" s="9">
        <v>42044.227777777778</v>
      </c>
      <c r="E573" s="8" t="s">
        <v>93</v>
      </c>
      <c r="F573" s="8">
        <v>14</v>
      </c>
      <c r="G573" s="8" t="s">
        <v>94</v>
      </c>
      <c r="H573" s="8" t="s">
        <v>95</v>
      </c>
      <c r="I573" s="8">
        <v>1</v>
      </c>
      <c r="J573" s="8" t="s">
        <v>95</v>
      </c>
      <c r="K573" s="8">
        <v>1</v>
      </c>
      <c r="L573" s="8" t="s">
        <v>95</v>
      </c>
      <c r="M573" s="8">
        <v>1</v>
      </c>
      <c r="N573" s="8" t="s">
        <v>95</v>
      </c>
      <c r="O573" s="8">
        <v>1</v>
      </c>
      <c r="P573" s="8" t="s">
        <v>95</v>
      </c>
      <c r="Q573" s="8">
        <v>1</v>
      </c>
      <c r="R573" s="8" t="s">
        <v>95</v>
      </c>
      <c r="S573" s="8">
        <v>1</v>
      </c>
      <c r="T573" s="8" t="s">
        <v>95</v>
      </c>
      <c r="U573" s="8">
        <v>1</v>
      </c>
      <c r="V573" s="8" t="s">
        <v>95</v>
      </c>
      <c r="W573" s="8">
        <v>1</v>
      </c>
      <c r="X573" s="8" t="s">
        <v>95</v>
      </c>
      <c r="Y573" s="8">
        <v>1</v>
      </c>
      <c r="Z573" s="8" t="s">
        <v>95</v>
      </c>
      <c r="AA573" s="8">
        <v>1</v>
      </c>
      <c r="AB573" s="8" t="s">
        <v>95</v>
      </c>
      <c r="AC573" s="8">
        <v>1</v>
      </c>
      <c r="AD573" s="8" t="s">
        <v>95</v>
      </c>
      <c r="AE573" s="8">
        <v>1</v>
      </c>
      <c r="AF573" s="8" t="s">
        <v>94</v>
      </c>
      <c r="AG573" s="8">
        <v>0</v>
      </c>
      <c r="AH573" s="8" t="s">
        <v>95</v>
      </c>
      <c r="AI573" s="8">
        <v>1</v>
      </c>
      <c r="AJ573" s="8" t="s">
        <v>95</v>
      </c>
      <c r="AK573" s="8">
        <v>1</v>
      </c>
      <c r="AL573" s="8" t="s">
        <v>94</v>
      </c>
      <c r="AM573" s="8">
        <v>0</v>
      </c>
      <c r="AN573" s="8">
        <v>14</v>
      </c>
    </row>
    <row r="574" spans="1:40" x14ac:dyDescent="0.25">
      <c r="A574" s="8" t="s">
        <v>634</v>
      </c>
      <c r="B574" s="9">
        <v>42033.674305555556</v>
      </c>
      <c r="C574" s="8">
        <v>0</v>
      </c>
      <c r="D574" s="9">
        <v>42044.231944444444</v>
      </c>
      <c r="E574" s="8" t="s">
        <v>93</v>
      </c>
      <c r="F574" s="8">
        <v>16</v>
      </c>
      <c r="G574" s="8" t="s">
        <v>94</v>
      </c>
      <c r="H574" s="8" t="s">
        <v>95</v>
      </c>
      <c r="I574" s="8">
        <v>1</v>
      </c>
      <c r="J574" s="8" t="s">
        <v>95</v>
      </c>
      <c r="K574" s="8">
        <v>1</v>
      </c>
      <c r="L574" s="8" t="s">
        <v>95</v>
      </c>
      <c r="M574" s="8">
        <v>1</v>
      </c>
      <c r="N574" s="8" t="s">
        <v>95</v>
      </c>
      <c r="O574" s="8">
        <v>1</v>
      </c>
      <c r="P574" s="8" t="s">
        <v>95</v>
      </c>
      <c r="Q574" s="8">
        <v>1</v>
      </c>
      <c r="R574" s="8" t="s">
        <v>95</v>
      </c>
      <c r="S574" s="8">
        <v>1</v>
      </c>
      <c r="T574" s="8" t="s">
        <v>95</v>
      </c>
      <c r="U574" s="8">
        <v>1</v>
      </c>
      <c r="V574" s="8" t="s">
        <v>95</v>
      </c>
      <c r="W574" s="8">
        <v>1</v>
      </c>
      <c r="X574" s="8" t="s">
        <v>95</v>
      </c>
      <c r="Y574" s="8">
        <v>1</v>
      </c>
      <c r="Z574" s="8" t="s">
        <v>95</v>
      </c>
      <c r="AA574" s="8">
        <v>1</v>
      </c>
      <c r="AB574" s="8" t="s">
        <v>95</v>
      </c>
      <c r="AC574" s="8">
        <v>1</v>
      </c>
      <c r="AD574" s="8" t="s">
        <v>95</v>
      </c>
      <c r="AE574" s="8">
        <v>1</v>
      </c>
      <c r="AF574" s="8" t="s">
        <v>95</v>
      </c>
      <c r="AG574" s="8">
        <v>1</v>
      </c>
      <c r="AH574" s="8" t="s">
        <v>95</v>
      </c>
      <c r="AI574" s="8">
        <v>1</v>
      </c>
      <c r="AJ574" s="8" t="s">
        <v>95</v>
      </c>
      <c r="AK574" s="8">
        <v>1</v>
      </c>
      <c r="AL574" s="8" t="s">
        <v>95</v>
      </c>
      <c r="AM574" s="8">
        <v>1</v>
      </c>
      <c r="AN574" s="8">
        <v>16</v>
      </c>
    </row>
    <row r="575" spans="1:40" x14ac:dyDescent="0.25">
      <c r="A575" s="8" t="s">
        <v>635</v>
      </c>
      <c r="B575" s="9">
        <v>42033.667361111111</v>
      </c>
      <c r="C575" s="8">
        <v>0</v>
      </c>
      <c r="D575" s="9">
        <v>42044.239583333336</v>
      </c>
      <c r="E575" s="8" t="s">
        <v>93</v>
      </c>
      <c r="F575" s="8">
        <v>4</v>
      </c>
      <c r="G575" s="8" t="s">
        <v>94</v>
      </c>
      <c r="H575" s="8" t="s">
        <v>94</v>
      </c>
      <c r="I575" s="8">
        <v>0</v>
      </c>
      <c r="J575" s="8" t="s">
        <v>95</v>
      </c>
      <c r="K575" s="8">
        <v>1</v>
      </c>
      <c r="L575" s="8" t="s">
        <v>94</v>
      </c>
      <c r="M575" s="8">
        <v>0</v>
      </c>
      <c r="N575" s="8" t="s">
        <v>94</v>
      </c>
      <c r="O575" s="8">
        <v>0</v>
      </c>
      <c r="P575" s="8" t="s">
        <v>95</v>
      </c>
      <c r="Q575" s="8">
        <v>1</v>
      </c>
      <c r="R575" s="8" t="s">
        <v>94</v>
      </c>
      <c r="S575" s="8">
        <v>0</v>
      </c>
      <c r="T575" s="8" t="s">
        <v>94</v>
      </c>
      <c r="U575" s="8">
        <v>0</v>
      </c>
      <c r="V575" s="8" t="s">
        <v>94</v>
      </c>
      <c r="W575" s="8">
        <v>0</v>
      </c>
      <c r="X575" s="8" t="s">
        <v>94</v>
      </c>
      <c r="Y575" s="8">
        <v>0</v>
      </c>
      <c r="Z575" s="8" t="s">
        <v>94</v>
      </c>
      <c r="AA575" s="8">
        <v>0</v>
      </c>
      <c r="AB575" s="8" t="s">
        <v>94</v>
      </c>
      <c r="AC575" s="8">
        <v>0</v>
      </c>
      <c r="AD575" s="8" t="s">
        <v>95</v>
      </c>
      <c r="AE575" s="8">
        <v>1</v>
      </c>
      <c r="AF575" s="8" t="s">
        <v>95</v>
      </c>
      <c r="AG575" s="8">
        <v>1</v>
      </c>
      <c r="AH575" s="8" t="s">
        <v>94</v>
      </c>
      <c r="AI575" s="8">
        <v>0</v>
      </c>
      <c r="AJ575" s="8" t="s">
        <v>94</v>
      </c>
      <c r="AK575" s="8">
        <v>0</v>
      </c>
      <c r="AL575" s="8" t="s">
        <v>94</v>
      </c>
      <c r="AM575" s="8">
        <v>0</v>
      </c>
      <c r="AN575" s="8">
        <v>4</v>
      </c>
    </row>
    <row r="576" spans="1:40" x14ac:dyDescent="0.25">
      <c r="A576" s="8" t="s">
        <v>636</v>
      </c>
      <c r="B576" s="9">
        <v>42033.661805555559</v>
      </c>
      <c r="C576" s="8">
        <v>0</v>
      </c>
      <c r="D576" s="9">
        <v>42044.242361111108</v>
      </c>
      <c r="E576" s="8" t="s">
        <v>93</v>
      </c>
      <c r="F576" s="8">
        <v>11</v>
      </c>
      <c r="G576" s="8" t="s">
        <v>94</v>
      </c>
      <c r="H576" s="8" t="s">
        <v>95</v>
      </c>
      <c r="I576" s="8">
        <v>1</v>
      </c>
      <c r="J576" s="8" t="s">
        <v>95</v>
      </c>
      <c r="K576" s="8">
        <v>1</v>
      </c>
      <c r="L576" s="8" t="s">
        <v>95</v>
      </c>
      <c r="M576" s="8">
        <v>1</v>
      </c>
      <c r="N576" s="8" t="s">
        <v>95</v>
      </c>
      <c r="O576" s="8">
        <v>1</v>
      </c>
      <c r="P576" s="8" t="s">
        <v>94</v>
      </c>
      <c r="Q576" s="8">
        <v>0</v>
      </c>
      <c r="R576" s="8" t="s">
        <v>95</v>
      </c>
      <c r="S576" s="8">
        <v>1</v>
      </c>
      <c r="T576" s="8" t="s">
        <v>94</v>
      </c>
      <c r="U576" s="8">
        <v>0</v>
      </c>
      <c r="V576" s="8" t="s">
        <v>95</v>
      </c>
      <c r="W576" s="8">
        <v>1</v>
      </c>
      <c r="X576" s="8" t="s">
        <v>95</v>
      </c>
      <c r="Y576" s="8">
        <v>1</v>
      </c>
      <c r="Z576" s="8" t="s">
        <v>95</v>
      </c>
      <c r="AA576" s="8">
        <v>1</v>
      </c>
      <c r="AB576" s="8" t="s">
        <v>95</v>
      </c>
      <c r="AC576" s="8">
        <v>1</v>
      </c>
      <c r="AD576" s="8" t="s">
        <v>94</v>
      </c>
      <c r="AE576" s="8">
        <v>0</v>
      </c>
      <c r="AF576" s="8" t="s">
        <v>94</v>
      </c>
      <c r="AG576" s="8">
        <v>0</v>
      </c>
      <c r="AH576" s="8" t="s">
        <v>95</v>
      </c>
      <c r="AI576" s="8">
        <v>1</v>
      </c>
      <c r="AJ576" s="8" t="s">
        <v>95</v>
      </c>
      <c r="AK576" s="8">
        <v>1</v>
      </c>
      <c r="AL576" s="8" t="s">
        <v>94</v>
      </c>
      <c r="AM576" s="8">
        <v>0</v>
      </c>
      <c r="AN576" s="8">
        <v>11</v>
      </c>
    </row>
    <row r="577" spans="1:40" x14ac:dyDescent="0.25">
      <c r="A577" s="8" t="s">
        <v>637</v>
      </c>
      <c r="B577" s="9">
        <v>42033.656944444447</v>
      </c>
      <c r="C577" s="8">
        <v>0</v>
      </c>
      <c r="D577" s="9">
        <v>42044.24722222222</v>
      </c>
      <c r="E577" s="8" t="s">
        <v>93</v>
      </c>
      <c r="F577" s="8">
        <v>14</v>
      </c>
      <c r="G577" s="8" t="s">
        <v>94</v>
      </c>
      <c r="H577" s="8" t="s">
        <v>95</v>
      </c>
      <c r="I577" s="8">
        <v>1</v>
      </c>
      <c r="J577" s="8" t="s">
        <v>95</v>
      </c>
      <c r="K577" s="8">
        <v>1</v>
      </c>
      <c r="L577" s="8" t="s">
        <v>95</v>
      </c>
      <c r="M577" s="8">
        <v>1</v>
      </c>
      <c r="N577" s="8" t="s">
        <v>95</v>
      </c>
      <c r="O577" s="8">
        <v>1</v>
      </c>
      <c r="P577" s="8" t="s">
        <v>95</v>
      </c>
      <c r="Q577" s="8">
        <v>1</v>
      </c>
      <c r="R577" s="8" t="s">
        <v>95</v>
      </c>
      <c r="S577" s="8">
        <v>1</v>
      </c>
      <c r="T577" s="8" t="s">
        <v>95</v>
      </c>
      <c r="U577" s="8">
        <v>1</v>
      </c>
      <c r="V577" s="8" t="s">
        <v>95</v>
      </c>
      <c r="W577" s="8">
        <v>1</v>
      </c>
      <c r="X577" s="8" t="s">
        <v>95</v>
      </c>
      <c r="Y577" s="8">
        <v>1</v>
      </c>
      <c r="Z577" s="8" t="s">
        <v>95</v>
      </c>
      <c r="AA577" s="8">
        <v>1</v>
      </c>
      <c r="AB577" s="8" t="s">
        <v>95</v>
      </c>
      <c r="AC577" s="8">
        <v>1</v>
      </c>
      <c r="AD577" s="8" t="s">
        <v>94</v>
      </c>
      <c r="AE577" s="8">
        <v>0</v>
      </c>
      <c r="AF577" s="8" t="s">
        <v>95</v>
      </c>
      <c r="AG577" s="8">
        <v>1</v>
      </c>
      <c r="AH577" s="8" t="s">
        <v>95</v>
      </c>
      <c r="AI577" s="8">
        <v>1</v>
      </c>
      <c r="AJ577" s="8" t="s">
        <v>95</v>
      </c>
      <c r="AK577" s="8">
        <v>1</v>
      </c>
      <c r="AL577" s="8" t="s">
        <v>94</v>
      </c>
      <c r="AM577" s="8">
        <v>0</v>
      </c>
      <c r="AN577" s="8">
        <v>14</v>
      </c>
    </row>
    <row r="578" spans="1:40" x14ac:dyDescent="0.25">
      <c r="A578" s="8" t="s">
        <v>638</v>
      </c>
      <c r="B578" s="9">
        <v>42033.673611111109</v>
      </c>
      <c r="C578" s="8">
        <v>0</v>
      </c>
      <c r="D578" s="9">
        <v>42044.25277777778</v>
      </c>
      <c r="E578" s="8" t="s">
        <v>93</v>
      </c>
      <c r="F578" s="8">
        <v>16</v>
      </c>
      <c r="G578" s="8" t="s">
        <v>94</v>
      </c>
      <c r="H578" s="8" t="s">
        <v>95</v>
      </c>
      <c r="I578" s="8">
        <v>1</v>
      </c>
      <c r="J578" s="8" t="s">
        <v>95</v>
      </c>
      <c r="K578" s="8">
        <v>1</v>
      </c>
      <c r="L578" s="8" t="s">
        <v>95</v>
      </c>
      <c r="M578" s="8">
        <v>1</v>
      </c>
      <c r="N578" s="8" t="s">
        <v>95</v>
      </c>
      <c r="O578" s="8">
        <v>1</v>
      </c>
      <c r="P578" s="8" t="s">
        <v>95</v>
      </c>
      <c r="Q578" s="8">
        <v>1</v>
      </c>
      <c r="R578" s="8" t="s">
        <v>95</v>
      </c>
      <c r="S578" s="8">
        <v>1</v>
      </c>
      <c r="T578" s="8" t="s">
        <v>95</v>
      </c>
      <c r="U578" s="8">
        <v>1</v>
      </c>
      <c r="V578" s="8" t="s">
        <v>95</v>
      </c>
      <c r="W578" s="8">
        <v>1</v>
      </c>
      <c r="X578" s="8" t="s">
        <v>95</v>
      </c>
      <c r="Y578" s="8">
        <v>1</v>
      </c>
      <c r="Z578" s="8" t="s">
        <v>95</v>
      </c>
      <c r="AA578" s="8">
        <v>1</v>
      </c>
      <c r="AB578" s="8" t="s">
        <v>95</v>
      </c>
      <c r="AC578" s="8">
        <v>1</v>
      </c>
      <c r="AD578" s="8" t="s">
        <v>95</v>
      </c>
      <c r="AE578" s="8">
        <v>1</v>
      </c>
      <c r="AF578" s="8" t="s">
        <v>95</v>
      </c>
      <c r="AG578" s="8">
        <v>1</v>
      </c>
      <c r="AH578" s="8" t="s">
        <v>95</v>
      </c>
      <c r="AI578" s="8">
        <v>1</v>
      </c>
      <c r="AJ578" s="8" t="s">
        <v>95</v>
      </c>
      <c r="AK578" s="8">
        <v>1</v>
      </c>
      <c r="AL578" s="8" t="s">
        <v>95</v>
      </c>
      <c r="AM578" s="8">
        <v>1</v>
      </c>
      <c r="AN578" s="8">
        <v>16</v>
      </c>
    </row>
    <row r="579" spans="1:40" x14ac:dyDescent="0.25">
      <c r="A579" s="8" t="s">
        <v>639</v>
      </c>
      <c r="B579" s="9">
        <v>42033.67291666667</v>
      </c>
      <c r="C579" s="8">
        <v>0</v>
      </c>
      <c r="D579" s="9">
        <v>42044.254166666666</v>
      </c>
      <c r="E579" s="8" t="s">
        <v>93</v>
      </c>
      <c r="F579" s="8">
        <v>16</v>
      </c>
      <c r="G579" s="8" t="s">
        <v>94</v>
      </c>
      <c r="H579" s="8" t="s">
        <v>95</v>
      </c>
      <c r="I579" s="8">
        <v>1</v>
      </c>
      <c r="J579" s="8" t="s">
        <v>95</v>
      </c>
      <c r="K579" s="8">
        <v>1</v>
      </c>
      <c r="L579" s="8" t="s">
        <v>95</v>
      </c>
      <c r="M579" s="8">
        <v>1</v>
      </c>
      <c r="N579" s="8" t="s">
        <v>95</v>
      </c>
      <c r="O579" s="8">
        <v>1</v>
      </c>
      <c r="P579" s="8" t="s">
        <v>95</v>
      </c>
      <c r="Q579" s="8">
        <v>1</v>
      </c>
      <c r="R579" s="8" t="s">
        <v>95</v>
      </c>
      <c r="S579" s="8">
        <v>1</v>
      </c>
      <c r="T579" s="8" t="s">
        <v>95</v>
      </c>
      <c r="U579" s="8">
        <v>1</v>
      </c>
      <c r="V579" s="8" t="s">
        <v>95</v>
      </c>
      <c r="W579" s="8">
        <v>1</v>
      </c>
      <c r="X579" s="8" t="s">
        <v>95</v>
      </c>
      <c r="Y579" s="8">
        <v>1</v>
      </c>
      <c r="Z579" s="8" t="s">
        <v>95</v>
      </c>
      <c r="AA579" s="8">
        <v>1</v>
      </c>
      <c r="AB579" s="8" t="s">
        <v>95</v>
      </c>
      <c r="AC579" s="8">
        <v>1</v>
      </c>
      <c r="AD579" s="8" t="s">
        <v>95</v>
      </c>
      <c r="AE579" s="8">
        <v>1</v>
      </c>
      <c r="AF579" s="8" t="s">
        <v>95</v>
      </c>
      <c r="AG579" s="8">
        <v>1</v>
      </c>
      <c r="AH579" s="8" t="s">
        <v>95</v>
      </c>
      <c r="AI579" s="8">
        <v>1</v>
      </c>
      <c r="AJ579" s="8" t="s">
        <v>95</v>
      </c>
      <c r="AK579" s="8">
        <v>1</v>
      </c>
      <c r="AL579" s="8" t="s">
        <v>95</v>
      </c>
      <c r="AM579" s="8">
        <v>1</v>
      </c>
      <c r="AN579" s="8">
        <v>16</v>
      </c>
    </row>
    <row r="580" spans="1:40" x14ac:dyDescent="0.25">
      <c r="A580" s="8" t="s">
        <v>640</v>
      </c>
      <c r="B580" s="9">
        <v>42033.680555555555</v>
      </c>
      <c r="C580" s="8">
        <v>0</v>
      </c>
      <c r="D580" s="9">
        <v>42044.256249999999</v>
      </c>
      <c r="E580" s="8" t="s">
        <v>93</v>
      </c>
      <c r="F580" s="8">
        <v>16</v>
      </c>
      <c r="G580" s="8" t="s">
        <v>94</v>
      </c>
      <c r="H580" s="8" t="s">
        <v>95</v>
      </c>
      <c r="I580" s="8">
        <v>1</v>
      </c>
      <c r="J580" s="8" t="s">
        <v>95</v>
      </c>
      <c r="K580" s="8">
        <v>1</v>
      </c>
      <c r="L580" s="8" t="s">
        <v>95</v>
      </c>
      <c r="M580" s="8">
        <v>1</v>
      </c>
      <c r="N580" s="8" t="s">
        <v>95</v>
      </c>
      <c r="O580" s="8">
        <v>1</v>
      </c>
      <c r="P580" s="8" t="s">
        <v>95</v>
      </c>
      <c r="Q580" s="8">
        <v>1</v>
      </c>
      <c r="R580" s="8" t="s">
        <v>95</v>
      </c>
      <c r="S580" s="8">
        <v>1</v>
      </c>
      <c r="T580" s="8" t="s">
        <v>95</v>
      </c>
      <c r="U580" s="8">
        <v>1</v>
      </c>
      <c r="V580" s="8" t="s">
        <v>95</v>
      </c>
      <c r="W580" s="8">
        <v>1</v>
      </c>
      <c r="X580" s="8" t="s">
        <v>95</v>
      </c>
      <c r="Y580" s="8">
        <v>1</v>
      </c>
      <c r="Z580" s="8" t="s">
        <v>95</v>
      </c>
      <c r="AA580" s="8">
        <v>1</v>
      </c>
      <c r="AB580" s="8" t="s">
        <v>95</v>
      </c>
      <c r="AC580" s="8">
        <v>1</v>
      </c>
      <c r="AD580" s="8" t="s">
        <v>95</v>
      </c>
      <c r="AE580" s="8">
        <v>1</v>
      </c>
      <c r="AF580" s="8" t="s">
        <v>95</v>
      </c>
      <c r="AG580" s="8">
        <v>1</v>
      </c>
      <c r="AH580" s="8" t="s">
        <v>95</v>
      </c>
      <c r="AI580" s="8">
        <v>1</v>
      </c>
      <c r="AJ580" s="8" t="s">
        <v>95</v>
      </c>
      <c r="AK580" s="8">
        <v>1</v>
      </c>
      <c r="AL580" s="8" t="s">
        <v>95</v>
      </c>
      <c r="AM580" s="8">
        <v>1</v>
      </c>
      <c r="AN580" s="8">
        <v>16</v>
      </c>
    </row>
    <row r="581" spans="1:40" x14ac:dyDescent="0.25">
      <c r="A581" s="8" t="s">
        <v>641</v>
      </c>
      <c r="B581" s="9">
        <v>42033.666666666664</v>
      </c>
      <c r="C581" s="8">
        <v>0</v>
      </c>
      <c r="D581" s="9">
        <v>42044.257638888892</v>
      </c>
      <c r="E581" s="8" t="s">
        <v>93</v>
      </c>
      <c r="F581" s="8">
        <v>7</v>
      </c>
      <c r="G581" s="8" t="s">
        <v>94</v>
      </c>
      <c r="H581" s="8" t="s">
        <v>95</v>
      </c>
      <c r="I581" s="8">
        <v>1</v>
      </c>
      <c r="J581" s="8" t="s">
        <v>95</v>
      </c>
      <c r="K581" s="8">
        <v>1</v>
      </c>
      <c r="L581" s="8" t="s">
        <v>94</v>
      </c>
      <c r="M581" s="8">
        <v>0</v>
      </c>
      <c r="N581" s="8" t="s">
        <v>94</v>
      </c>
      <c r="O581" s="8">
        <v>0</v>
      </c>
      <c r="P581" s="8" t="s">
        <v>94</v>
      </c>
      <c r="Q581" s="8">
        <v>0</v>
      </c>
      <c r="R581" s="8" t="s">
        <v>95</v>
      </c>
      <c r="S581" s="8">
        <v>1</v>
      </c>
      <c r="T581" s="8" t="s">
        <v>94</v>
      </c>
      <c r="U581" s="8">
        <v>0</v>
      </c>
      <c r="V581" s="8" t="s">
        <v>94</v>
      </c>
      <c r="W581" s="8">
        <v>0</v>
      </c>
      <c r="X581" s="8" t="s">
        <v>94</v>
      </c>
      <c r="Y581" s="8">
        <v>0</v>
      </c>
      <c r="Z581" s="8" t="s">
        <v>95</v>
      </c>
      <c r="AA581" s="8">
        <v>1</v>
      </c>
      <c r="AB581" s="8" t="s">
        <v>95</v>
      </c>
      <c r="AC581" s="8">
        <v>1</v>
      </c>
      <c r="AD581" s="8" t="s">
        <v>95</v>
      </c>
      <c r="AE581" s="8">
        <v>1</v>
      </c>
      <c r="AF581" s="8" t="s">
        <v>95</v>
      </c>
      <c r="AG581" s="8">
        <v>1</v>
      </c>
      <c r="AH581" s="8" t="s">
        <v>94</v>
      </c>
      <c r="AI581" s="8">
        <v>0</v>
      </c>
      <c r="AJ581" s="8" t="s">
        <v>94</v>
      </c>
      <c r="AK581" s="8">
        <v>0</v>
      </c>
      <c r="AL581" s="8" t="s">
        <v>94</v>
      </c>
      <c r="AM581" s="8">
        <v>0</v>
      </c>
      <c r="AN581" s="8">
        <v>7</v>
      </c>
    </row>
    <row r="582" spans="1:40" x14ac:dyDescent="0.25">
      <c r="A582" s="8" t="s">
        <v>642</v>
      </c>
      <c r="B582" s="9">
        <v>42033.676388888889</v>
      </c>
      <c r="C582" s="8">
        <v>0</v>
      </c>
      <c r="D582" s="9">
        <v>42044.263194444444</v>
      </c>
      <c r="E582" s="8" t="s">
        <v>93</v>
      </c>
      <c r="F582" s="8">
        <v>16</v>
      </c>
      <c r="G582" s="8" t="s">
        <v>94</v>
      </c>
      <c r="H582" s="8" t="s">
        <v>95</v>
      </c>
      <c r="I582" s="8">
        <v>1</v>
      </c>
      <c r="J582" s="8" t="s">
        <v>95</v>
      </c>
      <c r="K582" s="8">
        <v>1</v>
      </c>
      <c r="L582" s="8" t="s">
        <v>95</v>
      </c>
      <c r="M582" s="8">
        <v>1</v>
      </c>
      <c r="N582" s="8" t="s">
        <v>95</v>
      </c>
      <c r="O582" s="8">
        <v>1</v>
      </c>
      <c r="P582" s="8" t="s">
        <v>95</v>
      </c>
      <c r="Q582" s="8">
        <v>1</v>
      </c>
      <c r="R582" s="8" t="s">
        <v>95</v>
      </c>
      <c r="S582" s="8">
        <v>1</v>
      </c>
      <c r="T582" s="8" t="s">
        <v>95</v>
      </c>
      <c r="U582" s="8">
        <v>1</v>
      </c>
      <c r="V582" s="8" t="s">
        <v>95</v>
      </c>
      <c r="W582" s="8">
        <v>1</v>
      </c>
      <c r="X582" s="8" t="s">
        <v>95</v>
      </c>
      <c r="Y582" s="8">
        <v>1</v>
      </c>
      <c r="Z582" s="8" t="s">
        <v>95</v>
      </c>
      <c r="AA582" s="8">
        <v>1</v>
      </c>
      <c r="AB582" s="8" t="s">
        <v>95</v>
      </c>
      <c r="AC582" s="8">
        <v>1</v>
      </c>
      <c r="AD582" s="8" t="s">
        <v>95</v>
      </c>
      <c r="AE582" s="8">
        <v>1</v>
      </c>
      <c r="AF582" s="8" t="s">
        <v>95</v>
      </c>
      <c r="AG582" s="8">
        <v>1</v>
      </c>
      <c r="AH582" s="8" t="s">
        <v>95</v>
      </c>
      <c r="AI582" s="8">
        <v>1</v>
      </c>
      <c r="AJ582" s="8" t="s">
        <v>95</v>
      </c>
      <c r="AK582" s="8">
        <v>1</v>
      </c>
      <c r="AL582" s="8" t="s">
        <v>95</v>
      </c>
      <c r="AM582" s="8">
        <v>1</v>
      </c>
      <c r="AN582" s="8">
        <v>16</v>
      </c>
    </row>
    <row r="583" spans="1:40" x14ac:dyDescent="0.25">
      <c r="A583" s="8" t="s">
        <v>643</v>
      </c>
      <c r="B583" s="9">
        <v>42033.667361111111</v>
      </c>
      <c r="C583" s="8">
        <v>0</v>
      </c>
      <c r="D583" s="9">
        <v>42044.267361111109</v>
      </c>
      <c r="E583" s="8" t="s">
        <v>93</v>
      </c>
      <c r="F583" s="8">
        <v>0</v>
      </c>
      <c r="G583" s="8" t="s">
        <v>94</v>
      </c>
      <c r="H583" s="8" t="s">
        <v>94</v>
      </c>
      <c r="I583" s="8">
        <v>0</v>
      </c>
      <c r="J583" s="8" t="s">
        <v>94</v>
      </c>
      <c r="K583" s="8">
        <v>0</v>
      </c>
      <c r="L583" s="8" t="s">
        <v>94</v>
      </c>
      <c r="M583" s="8">
        <v>0</v>
      </c>
      <c r="N583" s="8" t="s">
        <v>94</v>
      </c>
      <c r="O583" s="8">
        <v>0</v>
      </c>
      <c r="P583" s="8" t="s">
        <v>94</v>
      </c>
      <c r="Q583" s="8">
        <v>0</v>
      </c>
      <c r="R583" s="8" t="s">
        <v>94</v>
      </c>
      <c r="S583" s="8">
        <v>0</v>
      </c>
      <c r="T583" s="8" t="s">
        <v>94</v>
      </c>
      <c r="U583" s="8">
        <v>0</v>
      </c>
      <c r="V583" s="8" t="s">
        <v>94</v>
      </c>
      <c r="W583" s="8">
        <v>0</v>
      </c>
      <c r="X583" s="8" t="s">
        <v>94</v>
      </c>
      <c r="Y583" s="8">
        <v>0</v>
      </c>
      <c r="Z583" s="8" t="s">
        <v>94</v>
      </c>
      <c r="AA583" s="8">
        <v>0</v>
      </c>
      <c r="AB583" s="8" t="s">
        <v>94</v>
      </c>
      <c r="AC583" s="8">
        <v>0</v>
      </c>
      <c r="AD583" s="8" t="s">
        <v>94</v>
      </c>
      <c r="AE583" s="8">
        <v>0</v>
      </c>
      <c r="AF583" s="8" t="s">
        <v>94</v>
      </c>
      <c r="AG583" s="8">
        <v>0</v>
      </c>
      <c r="AH583" s="8" t="s">
        <v>94</v>
      </c>
      <c r="AI583" s="8">
        <v>0</v>
      </c>
      <c r="AJ583" s="8" t="s">
        <v>94</v>
      </c>
      <c r="AK583" s="8">
        <v>0</v>
      </c>
      <c r="AL583" s="8" t="s">
        <v>94</v>
      </c>
      <c r="AM583" s="8">
        <v>0</v>
      </c>
      <c r="AN583" s="8">
        <v>0</v>
      </c>
    </row>
    <row r="584" spans="1:40" x14ac:dyDescent="0.25">
      <c r="A584" s="8" t="s">
        <v>644</v>
      </c>
      <c r="B584" s="9">
        <v>42033.667361111111</v>
      </c>
      <c r="C584" s="8">
        <v>0</v>
      </c>
      <c r="D584" s="9">
        <v>42044.270833333336</v>
      </c>
      <c r="E584" s="8" t="s">
        <v>93</v>
      </c>
      <c r="F584" s="8">
        <v>16</v>
      </c>
      <c r="G584" s="8" t="s">
        <v>94</v>
      </c>
      <c r="H584" s="8" t="s">
        <v>95</v>
      </c>
      <c r="I584" s="8">
        <v>1</v>
      </c>
      <c r="J584" s="8" t="s">
        <v>95</v>
      </c>
      <c r="K584" s="8">
        <v>1</v>
      </c>
      <c r="L584" s="8" t="s">
        <v>95</v>
      </c>
      <c r="M584" s="8">
        <v>1</v>
      </c>
      <c r="N584" s="8" t="s">
        <v>95</v>
      </c>
      <c r="O584" s="8">
        <v>1</v>
      </c>
      <c r="P584" s="8" t="s">
        <v>95</v>
      </c>
      <c r="Q584" s="8">
        <v>1</v>
      </c>
      <c r="R584" s="8" t="s">
        <v>95</v>
      </c>
      <c r="S584" s="8">
        <v>1</v>
      </c>
      <c r="T584" s="8" t="s">
        <v>95</v>
      </c>
      <c r="U584" s="8">
        <v>1</v>
      </c>
      <c r="V584" s="8" t="s">
        <v>95</v>
      </c>
      <c r="W584" s="8">
        <v>1</v>
      </c>
      <c r="X584" s="8" t="s">
        <v>95</v>
      </c>
      <c r="Y584" s="8">
        <v>1</v>
      </c>
      <c r="Z584" s="8" t="s">
        <v>95</v>
      </c>
      <c r="AA584" s="8">
        <v>1</v>
      </c>
      <c r="AB584" s="8" t="s">
        <v>95</v>
      </c>
      <c r="AC584" s="8">
        <v>1</v>
      </c>
      <c r="AD584" s="8" t="s">
        <v>95</v>
      </c>
      <c r="AE584" s="8">
        <v>1</v>
      </c>
      <c r="AF584" s="8" t="s">
        <v>95</v>
      </c>
      <c r="AG584" s="8">
        <v>1</v>
      </c>
      <c r="AH584" s="8" t="s">
        <v>95</v>
      </c>
      <c r="AI584" s="8">
        <v>1</v>
      </c>
      <c r="AJ584" s="8" t="s">
        <v>95</v>
      </c>
      <c r="AK584" s="8">
        <v>1</v>
      </c>
      <c r="AL584" s="8" t="s">
        <v>95</v>
      </c>
      <c r="AM584" s="8">
        <v>1</v>
      </c>
      <c r="AN584" s="8">
        <v>16</v>
      </c>
    </row>
    <row r="585" spans="1:40" x14ac:dyDescent="0.25">
      <c r="A585" s="8" t="s">
        <v>645</v>
      </c>
      <c r="B585" s="9">
        <v>42033.681944444441</v>
      </c>
      <c r="C585" s="8">
        <v>0</v>
      </c>
      <c r="D585" s="9">
        <v>42044.274305555555</v>
      </c>
      <c r="E585" s="8" t="s">
        <v>93</v>
      </c>
      <c r="F585" s="8">
        <v>16</v>
      </c>
      <c r="G585" s="8" t="s">
        <v>94</v>
      </c>
      <c r="H585" s="8" t="s">
        <v>95</v>
      </c>
      <c r="I585" s="8">
        <v>1</v>
      </c>
      <c r="J585" s="8" t="s">
        <v>95</v>
      </c>
      <c r="K585" s="8">
        <v>1</v>
      </c>
      <c r="L585" s="8" t="s">
        <v>95</v>
      </c>
      <c r="M585" s="8">
        <v>1</v>
      </c>
      <c r="N585" s="8" t="s">
        <v>95</v>
      </c>
      <c r="O585" s="8">
        <v>1</v>
      </c>
      <c r="P585" s="8" t="s">
        <v>95</v>
      </c>
      <c r="Q585" s="8">
        <v>1</v>
      </c>
      <c r="R585" s="8" t="s">
        <v>95</v>
      </c>
      <c r="S585" s="8">
        <v>1</v>
      </c>
      <c r="T585" s="8" t="s">
        <v>95</v>
      </c>
      <c r="U585" s="8">
        <v>1</v>
      </c>
      <c r="V585" s="8" t="s">
        <v>95</v>
      </c>
      <c r="W585" s="8">
        <v>1</v>
      </c>
      <c r="X585" s="8" t="s">
        <v>95</v>
      </c>
      <c r="Y585" s="8">
        <v>1</v>
      </c>
      <c r="Z585" s="8" t="s">
        <v>95</v>
      </c>
      <c r="AA585" s="8">
        <v>1</v>
      </c>
      <c r="AB585" s="8" t="s">
        <v>95</v>
      </c>
      <c r="AC585" s="8">
        <v>1</v>
      </c>
      <c r="AD585" s="8" t="s">
        <v>95</v>
      </c>
      <c r="AE585" s="8">
        <v>1</v>
      </c>
      <c r="AF585" s="8" t="s">
        <v>95</v>
      </c>
      <c r="AG585" s="8">
        <v>1</v>
      </c>
      <c r="AH585" s="8" t="s">
        <v>95</v>
      </c>
      <c r="AI585" s="8">
        <v>1</v>
      </c>
      <c r="AJ585" s="8" t="s">
        <v>95</v>
      </c>
      <c r="AK585" s="8">
        <v>1</v>
      </c>
      <c r="AL585" s="8" t="s">
        <v>95</v>
      </c>
      <c r="AM585" s="8">
        <v>1</v>
      </c>
      <c r="AN585" s="8">
        <v>16</v>
      </c>
    </row>
    <row r="586" spans="1:40" x14ac:dyDescent="0.25">
      <c r="A586" s="8" t="s">
        <v>646</v>
      </c>
      <c r="B586" s="9">
        <v>42033.655555555553</v>
      </c>
      <c r="C586" s="8">
        <v>0</v>
      </c>
      <c r="D586" s="9">
        <v>42044.287499999999</v>
      </c>
      <c r="E586" s="8" t="s">
        <v>93</v>
      </c>
      <c r="F586" s="8">
        <v>16</v>
      </c>
      <c r="G586" s="8" t="s">
        <v>94</v>
      </c>
      <c r="H586" s="8" t="s">
        <v>95</v>
      </c>
      <c r="I586" s="8">
        <v>1</v>
      </c>
      <c r="J586" s="8" t="s">
        <v>95</v>
      </c>
      <c r="K586" s="8">
        <v>1</v>
      </c>
      <c r="L586" s="8" t="s">
        <v>95</v>
      </c>
      <c r="M586" s="8">
        <v>1</v>
      </c>
      <c r="N586" s="8" t="s">
        <v>95</v>
      </c>
      <c r="O586" s="8">
        <v>1</v>
      </c>
      <c r="P586" s="8" t="s">
        <v>95</v>
      </c>
      <c r="Q586" s="8">
        <v>1</v>
      </c>
      <c r="R586" s="8" t="s">
        <v>95</v>
      </c>
      <c r="S586" s="8">
        <v>1</v>
      </c>
      <c r="T586" s="8" t="s">
        <v>95</v>
      </c>
      <c r="U586" s="8">
        <v>1</v>
      </c>
      <c r="V586" s="8" t="s">
        <v>95</v>
      </c>
      <c r="W586" s="8">
        <v>1</v>
      </c>
      <c r="X586" s="8" t="s">
        <v>95</v>
      </c>
      <c r="Y586" s="8">
        <v>1</v>
      </c>
      <c r="Z586" s="8" t="s">
        <v>95</v>
      </c>
      <c r="AA586" s="8">
        <v>1</v>
      </c>
      <c r="AB586" s="8" t="s">
        <v>95</v>
      </c>
      <c r="AC586" s="8">
        <v>1</v>
      </c>
      <c r="AD586" s="8" t="s">
        <v>95</v>
      </c>
      <c r="AE586" s="8">
        <v>1</v>
      </c>
      <c r="AF586" s="8" t="s">
        <v>95</v>
      </c>
      <c r="AG586" s="8">
        <v>1</v>
      </c>
      <c r="AH586" s="8" t="s">
        <v>95</v>
      </c>
      <c r="AI586" s="8">
        <v>1</v>
      </c>
      <c r="AJ586" s="8" t="s">
        <v>95</v>
      </c>
      <c r="AK586" s="8">
        <v>1</v>
      </c>
      <c r="AL586" s="8" t="s">
        <v>95</v>
      </c>
      <c r="AM586" s="8">
        <v>1</v>
      </c>
      <c r="AN586" s="8">
        <v>16</v>
      </c>
    </row>
    <row r="587" spans="1:40" x14ac:dyDescent="0.25">
      <c r="A587" s="8" t="s">
        <v>647</v>
      </c>
      <c r="B587" s="9">
        <v>42033.68472222222</v>
      </c>
      <c r="C587" s="8">
        <v>0</v>
      </c>
      <c r="D587" s="9">
        <v>42044.288888888892</v>
      </c>
      <c r="E587" s="8" t="s">
        <v>93</v>
      </c>
      <c r="F587" s="8">
        <v>16</v>
      </c>
      <c r="G587" s="8" t="s">
        <v>94</v>
      </c>
      <c r="H587" s="8" t="s">
        <v>95</v>
      </c>
      <c r="I587" s="8">
        <v>1</v>
      </c>
      <c r="J587" s="8" t="s">
        <v>95</v>
      </c>
      <c r="K587" s="8">
        <v>1</v>
      </c>
      <c r="L587" s="8" t="s">
        <v>95</v>
      </c>
      <c r="M587" s="8">
        <v>1</v>
      </c>
      <c r="N587" s="8" t="s">
        <v>95</v>
      </c>
      <c r="O587" s="8">
        <v>1</v>
      </c>
      <c r="P587" s="8" t="s">
        <v>95</v>
      </c>
      <c r="Q587" s="8">
        <v>1</v>
      </c>
      <c r="R587" s="8" t="s">
        <v>95</v>
      </c>
      <c r="S587" s="8">
        <v>1</v>
      </c>
      <c r="T587" s="8" t="s">
        <v>95</v>
      </c>
      <c r="U587" s="8">
        <v>1</v>
      </c>
      <c r="V587" s="8" t="s">
        <v>95</v>
      </c>
      <c r="W587" s="8">
        <v>1</v>
      </c>
      <c r="X587" s="8" t="s">
        <v>95</v>
      </c>
      <c r="Y587" s="8">
        <v>1</v>
      </c>
      <c r="Z587" s="8" t="s">
        <v>95</v>
      </c>
      <c r="AA587" s="8">
        <v>1</v>
      </c>
      <c r="AB587" s="8" t="s">
        <v>95</v>
      </c>
      <c r="AC587" s="8">
        <v>1</v>
      </c>
      <c r="AD587" s="8" t="s">
        <v>95</v>
      </c>
      <c r="AE587" s="8">
        <v>1</v>
      </c>
      <c r="AF587" s="8" t="s">
        <v>95</v>
      </c>
      <c r="AG587" s="8">
        <v>1</v>
      </c>
      <c r="AH587" s="8" t="s">
        <v>95</v>
      </c>
      <c r="AI587" s="8">
        <v>1</v>
      </c>
      <c r="AJ587" s="8" t="s">
        <v>95</v>
      </c>
      <c r="AK587" s="8">
        <v>1</v>
      </c>
      <c r="AL587" s="8" t="s">
        <v>95</v>
      </c>
      <c r="AM587" s="8">
        <v>1</v>
      </c>
      <c r="AN587" s="8">
        <v>16</v>
      </c>
    </row>
    <row r="588" spans="1:40" x14ac:dyDescent="0.25">
      <c r="A588" s="8" t="s">
        <v>648</v>
      </c>
      <c r="B588" s="9">
        <v>42033.661111111112</v>
      </c>
      <c r="C588" s="8">
        <v>0</v>
      </c>
      <c r="D588" s="9">
        <v>42044.29791666667</v>
      </c>
      <c r="E588" s="8" t="s">
        <v>93</v>
      </c>
      <c r="F588" s="8">
        <v>16</v>
      </c>
      <c r="G588" s="8" t="s">
        <v>94</v>
      </c>
      <c r="H588" s="8" t="s">
        <v>95</v>
      </c>
      <c r="I588" s="8">
        <v>1</v>
      </c>
      <c r="J588" s="8" t="s">
        <v>95</v>
      </c>
      <c r="K588" s="8">
        <v>1</v>
      </c>
      <c r="L588" s="8" t="s">
        <v>95</v>
      </c>
      <c r="M588" s="8">
        <v>1</v>
      </c>
      <c r="N588" s="8" t="s">
        <v>95</v>
      </c>
      <c r="O588" s="8">
        <v>1</v>
      </c>
      <c r="P588" s="8" t="s">
        <v>95</v>
      </c>
      <c r="Q588" s="8">
        <v>1</v>
      </c>
      <c r="R588" s="8" t="s">
        <v>95</v>
      </c>
      <c r="S588" s="8">
        <v>1</v>
      </c>
      <c r="T588" s="8" t="s">
        <v>95</v>
      </c>
      <c r="U588" s="8">
        <v>1</v>
      </c>
      <c r="V588" s="8" t="s">
        <v>95</v>
      </c>
      <c r="W588" s="8">
        <v>1</v>
      </c>
      <c r="X588" s="8" t="s">
        <v>95</v>
      </c>
      <c r="Y588" s="8">
        <v>1</v>
      </c>
      <c r="Z588" s="8" t="s">
        <v>95</v>
      </c>
      <c r="AA588" s="8">
        <v>1</v>
      </c>
      <c r="AB588" s="8" t="s">
        <v>95</v>
      </c>
      <c r="AC588" s="8">
        <v>1</v>
      </c>
      <c r="AD588" s="8" t="s">
        <v>95</v>
      </c>
      <c r="AE588" s="8">
        <v>1</v>
      </c>
      <c r="AF588" s="8" t="s">
        <v>95</v>
      </c>
      <c r="AG588" s="8">
        <v>1</v>
      </c>
      <c r="AH588" s="8" t="s">
        <v>95</v>
      </c>
      <c r="AI588" s="8">
        <v>1</v>
      </c>
      <c r="AJ588" s="8" t="s">
        <v>95</v>
      </c>
      <c r="AK588" s="8">
        <v>1</v>
      </c>
      <c r="AL588" s="8" t="s">
        <v>95</v>
      </c>
      <c r="AM588" s="8">
        <v>1</v>
      </c>
      <c r="AN588" s="8">
        <v>16</v>
      </c>
    </row>
    <row r="589" spans="1:40" x14ac:dyDescent="0.25">
      <c r="A589" s="8" t="s">
        <v>649</v>
      </c>
      <c r="B589" s="9">
        <v>42033.65625</v>
      </c>
      <c r="C589" s="8">
        <v>0</v>
      </c>
      <c r="D589" s="9">
        <v>42044.29791666667</v>
      </c>
      <c r="E589" s="8" t="s">
        <v>93</v>
      </c>
      <c r="F589" s="8">
        <v>16</v>
      </c>
      <c r="G589" s="8" t="s">
        <v>94</v>
      </c>
      <c r="H589" s="8" t="s">
        <v>95</v>
      </c>
      <c r="I589" s="8">
        <v>1</v>
      </c>
      <c r="J589" s="8" t="s">
        <v>95</v>
      </c>
      <c r="K589" s="8">
        <v>1</v>
      </c>
      <c r="L589" s="8" t="s">
        <v>95</v>
      </c>
      <c r="M589" s="8">
        <v>1</v>
      </c>
      <c r="N589" s="8" t="s">
        <v>95</v>
      </c>
      <c r="O589" s="8">
        <v>1</v>
      </c>
      <c r="P589" s="8" t="s">
        <v>95</v>
      </c>
      <c r="Q589" s="8">
        <v>1</v>
      </c>
      <c r="R589" s="8" t="s">
        <v>95</v>
      </c>
      <c r="S589" s="8">
        <v>1</v>
      </c>
      <c r="T589" s="8" t="s">
        <v>95</v>
      </c>
      <c r="U589" s="8">
        <v>1</v>
      </c>
      <c r="V589" s="8" t="s">
        <v>95</v>
      </c>
      <c r="W589" s="8">
        <v>1</v>
      </c>
      <c r="X589" s="8" t="s">
        <v>95</v>
      </c>
      <c r="Y589" s="8">
        <v>1</v>
      </c>
      <c r="Z589" s="8" t="s">
        <v>95</v>
      </c>
      <c r="AA589" s="8">
        <v>1</v>
      </c>
      <c r="AB589" s="8" t="s">
        <v>95</v>
      </c>
      <c r="AC589" s="8">
        <v>1</v>
      </c>
      <c r="AD589" s="8" t="s">
        <v>95</v>
      </c>
      <c r="AE589" s="8">
        <v>1</v>
      </c>
      <c r="AF589" s="8" t="s">
        <v>95</v>
      </c>
      <c r="AG589" s="8">
        <v>1</v>
      </c>
      <c r="AH589" s="8" t="s">
        <v>95</v>
      </c>
      <c r="AI589" s="8">
        <v>1</v>
      </c>
      <c r="AJ589" s="8" t="s">
        <v>95</v>
      </c>
      <c r="AK589" s="8">
        <v>1</v>
      </c>
      <c r="AL589" s="8" t="s">
        <v>95</v>
      </c>
      <c r="AM589" s="8">
        <v>1</v>
      </c>
      <c r="AN589" s="8">
        <v>16</v>
      </c>
    </row>
    <row r="590" spans="1:40" x14ac:dyDescent="0.25">
      <c r="A590" s="8" t="s">
        <v>650</v>
      </c>
      <c r="B590" s="9">
        <v>42033.677083333336</v>
      </c>
      <c r="C590" s="8">
        <v>0</v>
      </c>
      <c r="D590" s="9">
        <v>42044.300694444442</v>
      </c>
      <c r="E590" s="8" t="s">
        <v>93</v>
      </c>
      <c r="F590" s="8">
        <v>16</v>
      </c>
      <c r="G590" s="8" t="s">
        <v>94</v>
      </c>
      <c r="H590" s="8" t="s">
        <v>95</v>
      </c>
      <c r="I590" s="8">
        <v>1</v>
      </c>
      <c r="J590" s="8" t="s">
        <v>95</v>
      </c>
      <c r="K590" s="8">
        <v>1</v>
      </c>
      <c r="L590" s="8" t="s">
        <v>95</v>
      </c>
      <c r="M590" s="8">
        <v>1</v>
      </c>
      <c r="N590" s="8" t="s">
        <v>95</v>
      </c>
      <c r="O590" s="8">
        <v>1</v>
      </c>
      <c r="P590" s="8" t="s">
        <v>95</v>
      </c>
      <c r="Q590" s="8">
        <v>1</v>
      </c>
      <c r="R590" s="8" t="s">
        <v>95</v>
      </c>
      <c r="S590" s="8">
        <v>1</v>
      </c>
      <c r="T590" s="8" t="s">
        <v>95</v>
      </c>
      <c r="U590" s="8">
        <v>1</v>
      </c>
      <c r="V590" s="8" t="s">
        <v>95</v>
      </c>
      <c r="W590" s="8">
        <v>1</v>
      </c>
      <c r="X590" s="8" t="s">
        <v>95</v>
      </c>
      <c r="Y590" s="8">
        <v>1</v>
      </c>
      <c r="Z590" s="8" t="s">
        <v>95</v>
      </c>
      <c r="AA590" s="8">
        <v>1</v>
      </c>
      <c r="AB590" s="8" t="s">
        <v>95</v>
      </c>
      <c r="AC590" s="8">
        <v>1</v>
      </c>
      <c r="AD590" s="8" t="s">
        <v>95</v>
      </c>
      <c r="AE590" s="8">
        <v>1</v>
      </c>
      <c r="AF590" s="8" t="s">
        <v>95</v>
      </c>
      <c r="AG590" s="8">
        <v>1</v>
      </c>
      <c r="AH590" s="8" t="s">
        <v>95</v>
      </c>
      <c r="AI590" s="8">
        <v>1</v>
      </c>
      <c r="AJ590" s="8" t="s">
        <v>95</v>
      </c>
      <c r="AK590" s="8">
        <v>1</v>
      </c>
      <c r="AL590" s="8" t="s">
        <v>95</v>
      </c>
      <c r="AM590" s="8">
        <v>1</v>
      </c>
      <c r="AN590" s="8">
        <v>16</v>
      </c>
    </row>
    <row r="591" spans="1:40" x14ac:dyDescent="0.25">
      <c r="A591" s="8" t="s">
        <v>651</v>
      </c>
      <c r="B591" s="9">
        <v>42033.657638888886</v>
      </c>
      <c r="C591" s="8">
        <v>0</v>
      </c>
      <c r="D591" s="9">
        <v>42044.318749999999</v>
      </c>
      <c r="E591" s="8" t="s">
        <v>93</v>
      </c>
      <c r="F591" s="8">
        <v>15</v>
      </c>
      <c r="G591" s="8" t="s">
        <v>94</v>
      </c>
      <c r="H591" s="8" t="s">
        <v>95</v>
      </c>
      <c r="I591" s="8">
        <v>1</v>
      </c>
      <c r="J591" s="8" t="s">
        <v>95</v>
      </c>
      <c r="K591" s="8">
        <v>1</v>
      </c>
      <c r="L591" s="8" t="s">
        <v>95</v>
      </c>
      <c r="M591" s="8">
        <v>1</v>
      </c>
      <c r="N591" s="8" t="s">
        <v>95</v>
      </c>
      <c r="O591" s="8">
        <v>1</v>
      </c>
      <c r="P591" s="8" t="s">
        <v>95</v>
      </c>
      <c r="Q591" s="8">
        <v>1</v>
      </c>
      <c r="R591" s="8" t="s">
        <v>95</v>
      </c>
      <c r="S591" s="8">
        <v>1</v>
      </c>
      <c r="T591" s="8" t="s">
        <v>95</v>
      </c>
      <c r="U591" s="8">
        <v>1</v>
      </c>
      <c r="V591" s="8" t="s">
        <v>95</v>
      </c>
      <c r="W591" s="8">
        <v>1</v>
      </c>
      <c r="X591" s="8" t="s">
        <v>95</v>
      </c>
      <c r="Y591" s="8">
        <v>1</v>
      </c>
      <c r="Z591" s="8" t="s">
        <v>95</v>
      </c>
      <c r="AA591" s="8">
        <v>1</v>
      </c>
      <c r="AB591" s="8" t="s">
        <v>95</v>
      </c>
      <c r="AC591" s="8">
        <v>1</v>
      </c>
      <c r="AD591" s="8" t="s">
        <v>95</v>
      </c>
      <c r="AE591" s="8">
        <v>1</v>
      </c>
      <c r="AF591" s="8" t="s">
        <v>95</v>
      </c>
      <c r="AG591" s="8">
        <v>1</v>
      </c>
      <c r="AH591" s="8" t="s">
        <v>95</v>
      </c>
      <c r="AI591" s="8">
        <v>1</v>
      </c>
      <c r="AJ591" s="8" t="s">
        <v>95</v>
      </c>
      <c r="AK591" s="8">
        <v>1</v>
      </c>
      <c r="AL591" s="8" t="s">
        <v>94</v>
      </c>
      <c r="AM591" s="8">
        <v>0</v>
      </c>
      <c r="AN591" s="8">
        <v>15</v>
      </c>
    </row>
    <row r="592" spans="1:40" x14ac:dyDescent="0.25">
      <c r="A592" s="8" t="s">
        <v>652</v>
      </c>
      <c r="B592" s="9">
        <v>42033.652777777781</v>
      </c>
      <c r="C592" s="8">
        <v>0</v>
      </c>
      <c r="D592" s="9">
        <v>42044.322222222225</v>
      </c>
      <c r="E592" s="8" t="s">
        <v>93</v>
      </c>
      <c r="F592" s="8">
        <v>16</v>
      </c>
      <c r="G592" s="8" t="s">
        <v>94</v>
      </c>
      <c r="H592" s="8" t="s">
        <v>95</v>
      </c>
      <c r="I592" s="8">
        <v>1</v>
      </c>
      <c r="J592" s="8" t="s">
        <v>95</v>
      </c>
      <c r="K592" s="8">
        <v>1</v>
      </c>
      <c r="L592" s="8" t="s">
        <v>95</v>
      </c>
      <c r="M592" s="8">
        <v>1</v>
      </c>
      <c r="N592" s="8" t="s">
        <v>95</v>
      </c>
      <c r="O592" s="8">
        <v>1</v>
      </c>
      <c r="P592" s="8" t="s">
        <v>95</v>
      </c>
      <c r="Q592" s="8">
        <v>1</v>
      </c>
      <c r="R592" s="8" t="s">
        <v>95</v>
      </c>
      <c r="S592" s="8">
        <v>1</v>
      </c>
      <c r="T592" s="8" t="s">
        <v>95</v>
      </c>
      <c r="U592" s="8">
        <v>1</v>
      </c>
      <c r="V592" s="8" t="s">
        <v>95</v>
      </c>
      <c r="W592" s="8">
        <v>1</v>
      </c>
      <c r="X592" s="8" t="s">
        <v>95</v>
      </c>
      <c r="Y592" s="8">
        <v>1</v>
      </c>
      <c r="Z592" s="8" t="s">
        <v>95</v>
      </c>
      <c r="AA592" s="8">
        <v>1</v>
      </c>
      <c r="AB592" s="8" t="s">
        <v>95</v>
      </c>
      <c r="AC592" s="8">
        <v>1</v>
      </c>
      <c r="AD592" s="8" t="s">
        <v>95</v>
      </c>
      <c r="AE592" s="8">
        <v>1</v>
      </c>
      <c r="AF592" s="8" t="s">
        <v>95</v>
      </c>
      <c r="AG592" s="8">
        <v>1</v>
      </c>
      <c r="AH592" s="8" t="s">
        <v>95</v>
      </c>
      <c r="AI592" s="8">
        <v>1</v>
      </c>
      <c r="AJ592" s="8" t="s">
        <v>95</v>
      </c>
      <c r="AK592" s="8">
        <v>1</v>
      </c>
      <c r="AL592" s="8" t="s">
        <v>95</v>
      </c>
      <c r="AM592" s="8">
        <v>1</v>
      </c>
      <c r="AN592" s="8">
        <v>16</v>
      </c>
    </row>
    <row r="593" spans="1:40" x14ac:dyDescent="0.25">
      <c r="A593" s="8" t="s">
        <v>653</v>
      </c>
      <c r="B593" s="9">
        <v>42033.684027777781</v>
      </c>
      <c r="C593" s="8">
        <v>0</v>
      </c>
      <c r="D593" s="9">
        <v>42044.362500000003</v>
      </c>
      <c r="E593" s="8" t="s">
        <v>93</v>
      </c>
      <c r="F593" s="8">
        <v>16</v>
      </c>
      <c r="G593" s="8" t="s">
        <v>94</v>
      </c>
      <c r="H593" s="8" t="s">
        <v>95</v>
      </c>
      <c r="I593" s="8">
        <v>1</v>
      </c>
      <c r="J593" s="8" t="s">
        <v>95</v>
      </c>
      <c r="K593" s="8">
        <v>1</v>
      </c>
      <c r="L593" s="8" t="s">
        <v>95</v>
      </c>
      <c r="M593" s="8">
        <v>1</v>
      </c>
      <c r="N593" s="8" t="s">
        <v>95</v>
      </c>
      <c r="O593" s="8">
        <v>1</v>
      </c>
      <c r="P593" s="8" t="s">
        <v>95</v>
      </c>
      <c r="Q593" s="8">
        <v>1</v>
      </c>
      <c r="R593" s="8" t="s">
        <v>95</v>
      </c>
      <c r="S593" s="8">
        <v>1</v>
      </c>
      <c r="T593" s="8" t="s">
        <v>95</v>
      </c>
      <c r="U593" s="8">
        <v>1</v>
      </c>
      <c r="V593" s="8" t="s">
        <v>95</v>
      </c>
      <c r="W593" s="8">
        <v>1</v>
      </c>
      <c r="X593" s="8" t="s">
        <v>95</v>
      </c>
      <c r="Y593" s="8">
        <v>1</v>
      </c>
      <c r="Z593" s="8" t="s">
        <v>95</v>
      </c>
      <c r="AA593" s="8">
        <v>1</v>
      </c>
      <c r="AB593" s="8" t="s">
        <v>95</v>
      </c>
      <c r="AC593" s="8">
        <v>1</v>
      </c>
      <c r="AD593" s="8" t="s">
        <v>95</v>
      </c>
      <c r="AE593" s="8">
        <v>1</v>
      </c>
      <c r="AF593" s="8" t="s">
        <v>95</v>
      </c>
      <c r="AG593" s="8">
        <v>1</v>
      </c>
      <c r="AH593" s="8" t="s">
        <v>95</v>
      </c>
      <c r="AI593" s="8">
        <v>1</v>
      </c>
      <c r="AJ593" s="8" t="s">
        <v>95</v>
      </c>
      <c r="AK593" s="8">
        <v>1</v>
      </c>
      <c r="AL593" s="8" t="s">
        <v>95</v>
      </c>
      <c r="AM593" s="8">
        <v>1</v>
      </c>
      <c r="AN593" s="8">
        <v>16</v>
      </c>
    </row>
    <row r="594" spans="1:40" x14ac:dyDescent="0.25">
      <c r="A594" s="8" t="s">
        <v>654</v>
      </c>
      <c r="B594" s="9">
        <v>42033.685416666667</v>
      </c>
      <c r="C594" s="8">
        <v>0</v>
      </c>
      <c r="D594" s="9">
        <v>42044.363888888889</v>
      </c>
      <c r="E594" s="8" t="s">
        <v>93</v>
      </c>
      <c r="F594" s="8">
        <v>16</v>
      </c>
      <c r="G594" s="8" t="s">
        <v>94</v>
      </c>
      <c r="H594" s="8" t="s">
        <v>95</v>
      </c>
      <c r="I594" s="8">
        <v>1</v>
      </c>
      <c r="J594" s="8" t="s">
        <v>95</v>
      </c>
      <c r="K594" s="8">
        <v>1</v>
      </c>
      <c r="L594" s="8" t="s">
        <v>95</v>
      </c>
      <c r="M594" s="8">
        <v>1</v>
      </c>
      <c r="N594" s="8" t="s">
        <v>95</v>
      </c>
      <c r="O594" s="8">
        <v>1</v>
      </c>
      <c r="P594" s="8" t="s">
        <v>95</v>
      </c>
      <c r="Q594" s="8">
        <v>1</v>
      </c>
      <c r="R594" s="8" t="s">
        <v>95</v>
      </c>
      <c r="S594" s="8">
        <v>1</v>
      </c>
      <c r="T594" s="8" t="s">
        <v>95</v>
      </c>
      <c r="U594" s="8">
        <v>1</v>
      </c>
      <c r="V594" s="8" t="s">
        <v>95</v>
      </c>
      <c r="W594" s="8">
        <v>1</v>
      </c>
      <c r="X594" s="8" t="s">
        <v>95</v>
      </c>
      <c r="Y594" s="8">
        <v>1</v>
      </c>
      <c r="Z594" s="8" t="s">
        <v>95</v>
      </c>
      <c r="AA594" s="8">
        <v>1</v>
      </c>
      <c r="AB594" s="8" t="s">
        <v>95</v>
      </c>
      <c r="AC594" s="8">
        <v>1</v>
      </c>
      <c r="AD594" s="8" t="s">
        <v>95</v>
      </c>
      <c r="AE594" s="8">
        <v>1</v>
      </c>
      <c r="AF594" s="8" t="s">
        <v>95</v>
      </c>
      <c r="AG594" s="8">
        <v>1</v>
      </c>
      <c r="AH594" s="8" t="s">
        <v>95</v>
      </c>
      <c r="AI594" s="8">
        <v>1</v>
      </c>
      <c r="AJ594" s="8" t="s">
        <v>95</v>
      </c>
      <c r="AK594" s="8">
        <v>1</v>
      </c>
      <c r="AL594" s="8" t="s">
        <v>95</v>
      </c>
      <c r="AM594" s="8">
        <v>1</v>
      </c>
      <c r="AN594" s="8">
        <v>16</v>
      </c>
    </row>
    <row r="595" spans="1:40" x14ac:dyDescent="0.25">
      <c r="A595" s="8" t="s">
        <v>655</v>
      </c>
      <c r="B595" s="9">
        <v>42033.655555555553</v>
      </c>
      <c r="C595" s="8">
        <v>0</v>
      </c>
      <c r="D595" s="9">
        <v>42044.447916666664</v>
      </c>
      <c r="E595" s="8" t="s">
        <v>93</v>
      </c>
      <c r="F595" s="8">
        <v>16</v>
      </c>
      <c r="G595" s="8" t="s">
        <v>94</v>
      </c>
      <c r="H595" s="8" t="s">
        <v>95</v>
      </c>
      <c r="I595" s="8">
        <v>1</v>
      </c>
      <c r="J595" s="8" t="s">
        <v>95</v>
      </c>
      <c r="K595" s="8">
        <v>1</v>
      </c>
      <c r="L595" s="8" t="s">
        <v>95</v>
      </c>
      <c r="M595" s="8">
        <v>1</v>
      </c>
      <c r="N595" s="8" t="s">
        <v>95</v>
      </c>
      <c r="O595" s="8">
        <v>1</v>
      </c>
      <c r="P595" s="8" t="s">
        <v>95</v>
      </c>
      <c r="Q595" s="8">
        <v>1</v>
      </c>
      <c r="R595" s="8" t="s">
        <v>95</v>
      </c>
      <c r="S595" s="8">
        <v>1</v>
      </c>
      <c r="T595" s="8" t="s">
        <v>95</v>
      </c>
      <c r="U595" s="8">
        <v>1</v>
      </c>
      <c r="V595" s="8" t="s">
        <v>95</v>
      </c>
      <c r="W595" s="8">
        <v>1</v>
      </c>
      <c r="X595" s="8" t="s">
        <v>95</v>
      </c>
      <c r="Y595" s="8">
        <v>1</v>
      </c>
      <c r="Z595" s="8" t="s">
        <v>95</v>
      </c>
      <c r="AA595" s="8">
        <v>1</v>
      </c>
      <c r="AB595" s="8" t="s">
        <v>95</v>
      </c>
      <c r="AC595" s="8">
        <v>1</v>
      </c>
      <c r="AD595" s="8" t="s">
        <v>95</v>
      </c>
      <c r="AE595" s="8">
        <v>1</v>
      </c>
      <c r="AF595" s="8" t="s">
        <v>95</v>
      </c>
      <c r="AG595" s="8">
        <v>1</v>
      </c>
      <c r="AH595" s="8" t="s">
        <v>95</v>
      </c>
      <c r="AI595" s="8">
        <v>1</v>
      </c>
      <c r="AJ595" s="8" t="s">
        <v>95</v>
      </c>
      <c r="AK595" s="8">
        <v>1</v>
      </c>
      <c r="AL595" s="8" t="s">
        <v>95</v>
      </c>
      <c r="AM595" s="8">
        <v>1</v>
      </c>
      <c r="AN595" s="8">
        <v>16</v>
      </c>
    </row>
    <row r="596" spans="1:40" x14ac:dyDescent="0.25">
      <c r="A596" s="8" t="s">
        <v>656</v>
      </c>
      <c r="B596" s="9">
        <v>42033.677083333336</v>
      </c>
      <c r="C596" s="8">
        <v>0</v>
      </c>
      <c r="D596" s="9">
        <v>42044.46597222222</v>
      </c>
      <c r="E596" s="8" t="s">
        <v>93</v>
      </c>
      <c r="F596" s="8">
        <v>1</v>
      </c>
      <c r="G596" s="8" t="s">
        <v>94</v>
      </c>
      <c r="H596" s="8" t="s">
        <v>94</v>
      </c>
      <c r="I596" s="8">
        <v>0</v>
      </c>
      <c r="J596" s="8" t="s">
        <v>94</v>
      </c>
      <c r="K596" s="8">
        <v>0</v>
      </c>
      <c r="L596" s="8" t="s">
        <v>94</v>
      </c>
      <c r="M596" s="8">
        <v>0</v>
      </c>
      <c r="N596" s="8" t="s">
        <v>94</v>
      </c>
      <c r="O596" s="8">
        <v>0</v>
      </c>
      <c r="P596" s="8" t="s">
        <v>94</v>
      </c>
      <c r="Q596" s="8">
        <v>0</v>
      </c>
      <c r="R596" s="8" t="s">
        <v>94</v>
      </c>
      <c r="S596" s="8">
        <v>0</v>
      </c>
      <c r="T596" s="8" t="s">
        <v>94</v>
      </c>
      <c r="U596" s="8">
        <v>0</v>
      </c>
      <c r="V596" s="8" t="s">
        <v>94</v>
      </c>
      <c r="W596" s="8">
        <v>0</v>
      </c>
      <c r="X596" s="8" t="s">
        <v>94</v>
      </c>
      <c r="Y596" s="8">
        <v>0</v>
      </c>
      <c r="Z596" s="8" t="s">
        <v>94</v>
      </c>
      <c r="AA596" s="8">
        <v>0</v>
      </c>
      <c r="AB596" s="8" t="s">
        <v>94</v>
      </c>
      <c r="AC596" s="8">
        <v>0</v>
      </c>
      <c r="AD596" s="8" t="s">
        <v>95</v>
      </c>
      <c r="AE596" s="8">
        <v>1</v>
      </c>
      <c r="AF596" s="8" t="s">
        <v>94</v>
      </c>
      <c r="AG596" s="8">
        <v>0</v>
      </c>
      <c r="AH596" s="8" t="s">
        <v>94</v>
      </c>
      <c r="AI596" s="8">
        <v>0</v>
      </c>
      <c r="AJ596" s="8" t="s">
        <v>94</v>
      </c>
      <c r="AK596" s="8">
        <v>0</v>
      </c>
      <c r="AL596" s="8" t="s">
        <v>94</v>
      </c>
      <c r="AM596" s="8">
        <v>0</v>
      </c>
      <c r="AN596" s="8">
        <v>1</v>
      </c>
    </row>
    <row r="597" spans="1:40" x14ac:dyDescent="0.25">
      <c r="A597" s="8" t="s">
        <v>657</v>
      </c>
      <c r="B597" s="9">
        <v>42033.672222222223</v>
      </c>
      <c r="C597" s="8">
        <v>0</v>
      </c>
      <c r="D597" s="9">
        <v>42044.469444444447</v>
      </c>
      <c r="E597" s="8" t="s">
        <v>93</v>
      </c>
      <c r="F597" s="8">
        <v>16</v>
      </c>
      <c r="G597" s="8" t="s">
        <v>94</v>
      </c>
      <c r="H597" s="8" t="s">
        <v>95</v>
      </c>
      <c r="I597" s="8">
        <v>1</v>
      </c>
      <c r="J597" s="8" t="s">
        <v>95</v>
      </c>
      <c r="K597" s="8">
        <v>1</v>
      </c>
      <c r="L597" s="8" t="s">
        <v>95</v>
      </c>
      <c r="M597" s="8">
        <v>1</v>
      </c>
      <c r="N597" s="8" t="s">
        <v>95</v>
      </c>
      <c r="O597" s="8">
        <v>1</v>
      </c>
      <c r="P597" s="8" t="s">
        <v>95</v>
      </c>
      <c r="Q597" s="8">
        <v>1</v>
      </c>
      <c r="R597" s="8" t="s">
        <v>95</v>
      </c>
      <c r="S597" s="8">
        <v>1</v>
      </c>
      <c r="T597" s="8" t="s">
        <v>95</v>
      </c>
      <c r="U597" s="8">
        <v>1</v>
      </c>
      <c r="V597" s="8" t="s">
        <v>95</v>
      </c>
      <c r="W597" s="8">
        <v>1</v>
      </c>
      <c r="X597" s="8" t="s">
        <v>95</v>
      </c>
      <c r="Y597" s="8">
        <v>1</v>
      </c>
      <c r="Z597" s="8" t="s">
        <v>95</v>
      </c>
      <c r="AA597" s="8">
        <v>1</v>
      </c>
      <c r="AB597" s="8" t="s">
        <v>95</v>
      </c>
      <c r="AC597" s="8">
        <v>1</v>
      </c>
      <c r="AD597" s="8" t="s">
        <v>95</v>
      </c>
      <c r="AE597" s="8">
        <v>1</v>
      </c>
      <c r="AF597" s="8" t="s">
        <v>95</v>
      </c>
      <c r="AG597" s="8">
        <v>1</v>
      </c>
      <c r="AH597" s="8" t="s">
        <v>95</v>
      </c>
      <c r="AI597" s="8">
        <v>1</v>
      </c>
      <c r="AJ597" s="8" t="s">
        <v>95</v>
      </c>
      <c r="AK597" s="8">
        <v>1</v>
      </c>
      <c r="AL597" s="8" t="s">
        <v>95</v>
      </c>
      <c r="AM597" s="8">
        <v>1</v>
      </c>
      <c r="AN597" s="8">
        <v>16</v>
      </c>
    </row>
    <row r="598" spans="1:40" x14ac:dyDescent="0.25">
      <c r="A598" s="8" t="s">
        <v>658</v>
      </c>
      <c r="B598" s="9">
        <v>42033.684027777781</v>
      </c>
      <c r="C598" s="8">
        <v>0</v>
      </c>
      <c r="D598" s="9">
        <v>42044.512499999997</v>
      </c>
      <c r="E598" s="8" t="s">
        <v>93</v>
      </c>
      <c r="F598" s="8">
        <v>7</v>
      </c>
      <c r="G598" s="8" t="s">
        <v>94</v>
      </c>
      <c r="H598" s="8" t="s">
        <v>94</v>
      </c>
      <c r="I598" s="8">
        <v>0</v>
      </c>
      <c r="J598" s="8" t="s">
        <v>95</v>
      </c>
      <c r="K598" s="8">
        <v>1</v>
      </c>
      <c r="L598" s="8" t="s">
        <v>94</v>
      </c>
      <c r="M598" s="8">
        <v>0</v>
      </c>
      <c r="N598" s="8" t="s">
        <v>94</v>
      </c>
      <c r="O598" s="8">
        <v>0</v>
      </c>
      <c r="P598" s="8" t="s">
        <v>94</v>
      </c>
      <c r="Q598" s="8">
        <v>0</v>
      </c>
      <c r="R598" s="8" t="s">
        <v>94</v>
      </c>
      <c r="S598" s="8">
        <v>0</v>
      </c>
      <c r="T598" s="8" t="s">
        <v>94</v>
      </c>
      <c r="U598" s="8">
        <v>0</v>
      </c>
      <c r="V598" s="8" t="s">
        <v>94</v>
      </c>
      <c r="W598" s="8">
        <v>0</v>
      </c>
      <c r="X598" s="8" t="s">
        <v>95</v>
      </c>
      <c r="Y598" s="8">
        <v>1</v>
      </c>
      <c r="Z598" s="8" t="s">
        <v>95</v>
      </c>
      <c r="AA598" s="8">
        <v>1</v>
      </c>
      <c r="AB598" s="8" t="s">
        <v>95</v>
      </c>
      <c r="AC598" s="8">
        <v>1</v>
      </c>
      <c r="AD598" s="8" t="s">
        <v>95</v>
      </c>
      <c r="AE598" s="8">
        <v>1</v>
      </c>
      <c r="AF598" s="8" t="s">
        <v>95</v>
      </c>
      <c r="AG598" s="8">
        <v>1</v>
      </c>
      <c r="AH598" s="8" t="s">
        <v>94</v>
      </c>
      <c r="AI598" s="8">
        <v>0</v>
      </c>
      <c r="AJ598" s="8" t="s">
        <v>94</v>
      </c>
      <c r="AK598" s="8">
        <v>0</v>
      </c>
      <c r="AL598" s="8" t="s">
        <v>95</v>
      </c>
      <c r="AM598" s="8">
        <v>1</v>
      </c>
      <c r="AN598" s="8">
        <v>7</v>
      </c>
    </row>
    <row r="599" spans="1:40" x14ac:dyDescent="0.25">
      <c r="A599" s="8" t="s">
        <v>659</v>
      </c>
      <c r="B599" s="9">
        <v>42033.67291666667</v>
      </c>
      <c r="C599" s="8">
        <v>0</v>
      </c>
      <c r="D599" s="9">
        <v>42044.524305555555</v>
      </c>
      <c r="E599" s="8" t="s">
        <v>93</v>
      </c>
      <c r="F599" s="8">
        <v>16</v>
      </c>
      <c r="G599" s="8" t="s">
        <v>94</v>
      </c>
      <c r="H599" s="8" t="s">
        <v>95</v>
      </c>
      <c r="I599" s="8">
        <v>1</v>
      </c>
      <c r="J599" s="8" t="s">
        <v>95</v>
      </c>
      <c r="K599" s="8">
        <v>1</v>
      </c>
      <c r="L599" s="8" t="s">
        <v>95</v>
      </c>
      <c r="M599" s="8">
        <v>1</v>
      </c>
      <c r="N599" s="8" t="s">
        <v>95</v>
      </c>
      <c r="O599" s="8">
        <v>1</v>
      </c>
      <c r="P599" s="8" t="s">
        <v>95</v>
      </c>
      <c r="Q599" s="8">
        <v>1</v>
      </c>
      <c r="R599" s="8" t="s">
        <v>95</v>
      </c>
      <c r="S599" s="8">
        <v>1</v>
      </c>
      <c r="T599" s="8" t="s">
        <v>95</v>
      </c>
      <c r="U599" s="8">
        <v>1</v>
      </c>
      <c r="V599" s="8" t="s">
        <v>95</v>
      </c>
      <c r="W599" s="8">
        <v>1</v>
      </c>
      <c r="X599" s="8" t="s">
        <v>95</v>
      </c>
      <c r="Y599" s="8">
        <v>1</v>
      </c>
      <c r="Z599" s="8" t="s">
        <v>95</v>
      </c>
      <c r="AA599" s="8">
        <v>1</v>
      </c>
      <c r="AB599" s="8" t="s">
        <v>95</v>
      </c>
      <c r="AC599" s="8">
        <v>1</v>
      </c>
      <c r="AD599" s="8" t="s">
        <v>95</v>
      </c>
      <c r="AE599" s="8">
        <v>1</v>
      </c>
      <c r="AF599" s="8" t="s">
        <v>95</v>
      </c>
      <c r="AG599" s="8">
        <v>1</v>
      </c>
      <c r="AH599" s="8" t="s">
        <v>95</v>
      </c>
      <c r="AI599" s="8">
        <v>1</v>
      </c>
      <c r="AJ599" s="8" t="s">
        <v>95</v>
      </c>
      <c r="AK599" s="8">
        <v>1</v>
      </c>
      <c r="AL599" s="8" t="s">
        <v>95</v>
      </c>
      <c r="AM599" s="8">
        <v>1</v>
      </c>
      <c r="AN599" s="8">
        <v>16</v>
      </c>
    </row>
    <row r="600" spans="1:40" x14ac:dyDescent="0.25">
      <c r="A600" s="8" t="s">
        <v>660</v>
      </c>
      <c r="B600" s="9">
        <v>42033.684027777781</v>
      </c>
      <c r="C600" s="8">
        <v>0</v>
      </c>
      <c r="D600" s="9">
        <v>42044.57916666667</v>
      </c>
      <c r="E600" s="8" t="s">
        <v>93</v>
      </c>
      <c r="F600" s="8">
        <v>16</v>
      </c>
      <c r="G600" s="8" t="s">
        <v>94</v>
      </c>
      <c r="H600" s="8" t="s">
        <v>95</v>
      </c>
      <c r="I600" s="8">
        <v>1</v>
      </c>
      <c r="J600" s="8" t="s">
        <v>95</v>
      </c>
      <c r="K600" s="8">
        <v>1</v>
      </c>
      <c r="L600" s="8" t="s">
        <v>95</v>
      </c>
      <c r="M600" s="8">
        <v>1</v>
      </c>
      <c r="N600" s="8" t="s">
        <v>95</v>
      </c>
      <c r="O600" s="8">
        <v>1</v>
      </c>
      <c r="P600" s="8" t="s">
        <v>95</v>
      </c>
      <c r="Q600" s="8">
        <v>1</v>
      </c>
      <c r="R600" s="8" t="s">
        <v>95</v>
      </c>
      <c r="S600" s="8">
        <v>1</v>
      </c>
      <c r="T600" s="8" t="s">
        <v>95</v>
      </c>
      <c r="U600" s="8">
        <v>1</v>
      </c>
      <c r="V600" s="8" t="s">
        <v>95</v>
      </c>
      <c r="W600" s="8">
        <v>1</v>
      </c>
      <c r="X600" s="8" t="s">
        <v>95</v>
      </c>
      <c r="Y600" s="8">
        <v>1</v>
      </c>
      <c r="Z600" s="8" t="s">
        <v>95</v>
      </c>
      <c r="AA600" s="8">
        <v>1</v>
      </c>
      <c r="AB600" s="8" t="s">
        <v>95</v>
      </c>
      <c r="AC600" s="8">
        <v>1</v>
      </c>
      <c r="AD600" s="8" t="s">
        <v>95</v>
      </c>
      <c r="AE600" s="8">
        <v>1</v>
      </c>
      <c r="AF600" s="8" t="s">
        <v>95</v>
      </c>
      <c r="AG600" s="8">
        <v>1</v>
      </c>
      <c r="AH600" s="8" t="s">
        <v>95</v>
      </c>
      <c r="AI600" s="8">
        <v>1</v>
      </c>
      <c r="AJ600" s="8" t="s">
        <v>95</v>
      </c>
      <c r="AK600" s="8">
        <v>1</v>
      </c>
      <c r="AL600" s="8" t="s">
        <v>95</v>
      </c>
      <c r="AM600" s="8">
        <v>1</v>
      </c>
      <c r="AN600" s="8">
        <v>16</v>
      </c>
    </row>
    <row r="601" spans="1:40" x14ac:dyDescent="0.25">
      <c r="A601" s="8" t="s">
        <v>661</v>
      </c>
      <c r="B601" s="9">
        <v>42033.684027777781</v>
      </c>
      <c r="C601" s="8">
        <v>0</v>
      </c>
      <c r="D601" s="9">
        <v>42044.597222222219</v>
      </c>
      <c r="E601" s="8" t="s">
        <v>93</v>
      </c>
      <c r="F601" s="8">
        <v>16</v>
      </c>
      <c r="G601" s="8" t="s">
        <v>94</v>
      </c>
      <c r="H601" s="8" t="s">
        <v>95</v>
      </c>
      <c r="I601" s="8">
        <v>1</v>
      </c>
      <c r="J601" s="8" t="s">
        <v>95</v>
      </c>
      <c r="K601" s="8">
        <v>1</v>
      </c>
      <c r="L601" s="8" t="s">
        <v>95</v>
      </c>
      <c r="M601" s="8">
        <v>1</v>
      </c>
      <c r="N601" s="8" t="s">
        <v>95</v>
      </c>
      <c r="O601" s="8">
        <v>1</v>
      </c>
      <c r="P601" s="8" t="s">
        <v>95</v>
      </c>
      <c r="Q601" s="8">
        <v>1</v>
      </c>
      <c r="R601" s="8" t="s">
        <v>95</v>
      </c>
      <c r="S601" s="8">
        <v>1</v>
      </c>
      <c r="T601" s="8" t="s">
        <v>95</v>
      </c>
      <c r="U601" s="8">
        <v>1</v>
      </c>
      <c r="V601" s="8" t="s">
        <v>95</v>
      </c>
      <c r="W601" s="8">
        <v>1</v>
      </c>
      <c r="X601" s="8" t="s">
        <v>95</v>
      </c>
      <c r="Y601" s="8">
        <v>1</v>
      </c>
      <c r="Z601" s="8" t="s">
        <v>95</v>
      </c>
      <c r="AA601" s="8">
        <v>1</v>
      </c>
      <c r="AB601" s="8" t="s">
        <v>95</v>
      </c>
      <c r="AC601" s="8">
        <v>1</v>
      </c>
      <c r="AD601" s="8" t="s">
        <v>95</v>
      </c>
      <c r="AE601" s="8">
        <v>1</v>
      </c>
      <c r="AF601" s="8" t="s">
        <v>95</v>
      </c>
      <c r="AG601" s="8">
        <v>1</v>
      </c>
      <c r="AH601" s="8" t="s">
        <v>95</v>
      </c>
      <c r="AI601" s="8">
        <v>1</v>
      </c>
      <c r="AJ601" s="8" t="s">
        <v>95</v>
      </c>
      <c r="AK601" s="8">
        <v>1</v>
      </c>
      <c r="AL601" s="8" t="s">
        <v>95</v>
      </c>
      <c r="AM601" s="8">
        <v>1</v>
      </c>
      <c r="AN601" s="8">
        <v>16</v>
      </c>
    </row>
    <row r="602" spans="1:40" x14ac:dyDescent="0.25">
      <c r="A602" s="8" t="s">
        <v>662</v>
      </c>
      <c r="B602" s="9">
        <v>42033.682638888888</v>
      </c>
      <c r="C602" s="8">
        <v>0</v>
      </c>
      <c r="D602" s="9">
        <v>42044.674305555556</v>
      </c>
      <c r="E602" s="8" t="s">
        <v>93</v>
      </c>
      <c r="F602" s="8">
        <v>16</v>
      </c>
      <c r="G602" s="8" t="s">
        <v>94</v>
      </c>
      <c r="H602" s="8" t="s">
        <v>95</v>
      </c>
      <c r="I602" s="8">
        <v>1</v>
      </c>
      <c r="J602" s="8" t="s">
        <v>95</v>
      </c>
      <c r="K602" s="8">
        <v>1</v>
      </c>
      <c r="L602" s="8" t="s">
        <v>95</v>
      </c>
      <c r="M602" s="8">
        <v>1</v>
      </c>
      <c r="N602" s="8" t="s">
        <v>95</v>
      </c>
      <c r="O602" s="8">
        <v>1</v>
      </c>
      <c r="P602" s="8" t="s">
        <v>95</v>
      </c>
      <c r="Q602" s="8">
        <v>1</v>
      </c>
      <c r="R602" s="8" t="s">
        <v>95</v>
      </c>
      <c r="S602" s="8">
        <v>1</v>
      </c>
      <c r="T602" s="8" t="s">
        <v>95</v>
      </c>
      <c r="U602" s="8">
        <v>1</v>
      </c>
      <c r="V602" s="8" t="s">
        <v>95</v>
      </c>
      <c r="W602" s="8">
        <v>1</v>
      </c>
      <c r="X602" s="8" t="s">
        <v>95</v>
      </c>
      <c r="Y602" s="8">
        <v>1</v>
      </c>
      <c r="Z602" s="8" t="s">
        <v>95</v>
      </c>
      <c r="AA602" s="8">
        <v>1</v>
      </c>
      <c r="AB602" s="8" t="s">
        <v>95</v>
      </c>
      <c r="AC602" s="8">
        <v>1</v>
      </c>
      <c r="AD602" s="8" t="s">
        <v>95</v>
      </c>
      <c r="AE602" s="8">
        <v>1</v>
      </c>
      <c r="AF602" s="8" t="s">
        <v>95</v>
      </c>
      <c r="AG602" s="8">
        <v>1</v>
      </c>
      <c r="AH602" s="8" t="s">
        <v>95</v>
      </c>
      <c r="AI602" s="8">
        <v>1</v>
      </c>
      <c r="AJ602" s="8" t="s">
        <v>95</v>
      </c>
      <c r="AK602" s="8">
        <v>1</v>
      </c>
      <c r="AL602" s="8" t="s">
        <v>95</v>
      </c>
      <c r="AM602" s="8">
        <v>1</v>
      </c>
      <c r="AN602" s="8">
        <v>16</v>
      </c>
    </row>
    <row r="603" spans="1:40" x14ac:dyDescent="0.25">
      <c r="A603" s="8" t="s">
        <v>663</v>
      </c>
      <c r="B603" s="9">
        <v>42033.655555555553</v>
      </c>
      <c r="C603" s="8">
        <v>0</v>
      </c>
      <c r="D603" s="9">
        <v>42044.758333333331</v>
      </c>
      <c r="E603" s="8" t="s">
        <v>93</v>
      </c>
      <c r="F603" s="8">
        <v>11</v>
      </c>
      <c r="G603" s="8" t="s">
        <v>94</v>
      </c>
      <c r="H603" s="8" t="s">
        <v>95</v>
      </c>
      <c r="I603" s="8">
        <v>1</v>
      </c>
      <c r="J603" s="8" t="s">
        <v>95</v>
      </c>
      <c r="K603" s="8">
        <v>1</v>
      </c>
      <c r="L603" s="8" t="s">
        <v>95</v>
      </c>
      <c r="M603" s="8">
        <v>1</v>
      </c>
      <c r="N603" s="8" t="s">
        <v>94</v>
      </c>
      <c r="O603" s="8">
        <v>0</v>
      </c>
      <c r="P603" s="8" t="s">
        <v>95</v>
      </c>
      <c r="Q603" s="8">
        <v>1</v>
      </c>
      <c r="R603" s="8" t="s">
        <v>94</v>
      </c>
      <c r="S603" s="8">
        <v>0</v>
      </c>
      <c r="T603" s="8" t="s">
        <v>94</v>
      </c>
      <c r="U603" s="8">
        <v>0</v>
      </c>
      <c r="V603" s="8" t="s">
        <v>95</v>
      </c>
      <c r="W603" s="8">
        <v>1</v>
      </c>
      <c r="X603" s="8" t="s">
        <v>95</v>
      </c>
      <c r="Y603" s="8">
        <v>1</v>
      </c>
      <c r="Z603" s="8" t="s">
        <v>95</v>
      </c>
      <c r="AA603" s="8">
        <v>1</v>
      </c>
      <c r="AB603" s="8" t="s">
        <v>95</v>
      </c>
      <c r="AC603" s="8">
        <v>1</v>
      </c>
      <c r="AD603" s="8" t="s">
        <v>95</v>
      </c>
      <c r="AE603" s="8">
        <v>1</v>
      </c>
      <c r="AF603" s="8" t="s">
        <v>94</v>
      </c>
      <c r="AG603" s="8">
        <v>0</v>
      </c>
      <c r="AH603" s="8" t="s">
        <v>94</v>
      </c>
      <c r="AI603" s="8">
        <v>0</v>
      </c>
      <c r="AJ603" s="8" t="s">
        <v>95</v>
      </c>
      <c r="AK603" s="8">
        <v>1</v>
      </c>
      <c r="AL603" s="8" t="s">
        <v>95</v>
      </c>
      <c r="AM603" s="8">
        <v>1</v>
      </c>
      <c r="AN603" s="8">
        <v>11</v>
      </c>
    </row>
    <row r="604" spans="1:40" x14ac:dyDescent="0.25">
      <c r="A604" s="8" t="s">
        <v>664</v>
      </c>
      <c r="B604" s="9">
        <v>42033.677083333336</v>
      </c>
      <c r="C604" s="8">
        <v>0</v>
      </c>
      <c r="D604" s="9">
        <v>42044.761805555558</v>
      </c>
      <c r="E604" s="8" t="s">
        <v>93</v>
      </c>
      <c r="F604" s="8">
        <v>13</v>
      </c>
      <c r="G604" s="8" t="s">
        <v>94</v>
      </c>
      <c r="H604" s="8" t="s">
        <v>94</v>
      </c>
      <c r="I604" s="8">
        <v>0</v>
      </c>
      <c r="J604" s="8" t="s">
        <v>94</v>
      </c>
      <c r="K604" s="8">
        <v>0</v>
      </c>
      <c r="L604" s="8" t="s">
        <v>95</v>
      </c>
      <c r="M604" s="8">
        <v>1</v>
      </c>
      <c r="N604" s="8" t="s">
        <v>95</v>
      </c>
      <c r="O604" s="8">
        <v>1</v>
      </c>
      <c r="P604" s="8" t="s">
        <v>95</v>
      </c>
      <c r="Q604" s="8">
        <v>1</v>
      </c>
      <c r="R604" s="8" t="s">
        <v>95</v>
      </c>
      <c r="S604" s="8">
        <v>1</v>
      </c>
      <c r="T604" s="8" t="s">
        <v>95</v>
      </c>
      <c r="U604" s="8">
        <v>1</v>
      </c>
      <c r="V604" s="8" t="s">
        <v>95</v>
      </c>
      <c r="W604" s="8">
        <v>1</v>
      </c>
      <c r="X604" s="8" t="s">
        <v>95</v>
      </c>
      <c r="Y604" s="8">
        <v>1</v>
      </c>
      <c r="Z604" s="8" t="s">
        <v>95</v>
      </c>
      <c r="AA604" s="8">
        <v>1</v>
      </c>
      <c r="AB604" s="8" t="s">
        <v>95</v>
      </c>
      <c r="AC604" s="8">
        <v>1</v>
      </c>
      <c r="AD604" s="8" t="s">
        <v>95</v>
      </c>
      <c r="AE604" s="8">
        <v>1</v>
      </c>
      <c r="AF604" s="8" t="s">
        <v>95</v>
      </c>
      <c r="AG604" s="8">
        <v>1</v>
      </c>
      <c r="AH604" s="8" t="s">
        <v>95</v>
      </c>
      <c r="AI604" s="8">
        <v>1</v>
      </c>
      <c r="AJ604" s="8" t="s">
        <v>94</v>
      </c>
      <c r="AK604" s="8">
        <v>0</v>
      </c>
      <c r="AL604" s="8" t="s">
        <v>95</v>
      </c>
      <c r="AM604" s="8">
        <v>1</v>
      </c>
      <c r="AN604" s="8">
        <v>13</v>
      </c>
    </row>
    <row r="605" spans="1:40" x14ac:dyDescent="0.25">
      <c r="A605" s="8" t="s">
        <v>665</v>
      </c>
      <c r="B605" s="9">
        <v>42033.674305555556</v>
      </c>
      <c r="C605" s="8">
        <v>0</v>
      </c>
      <c r="D605" s="9">
        <v>42044.772916666669</v>
      </c>
      <c r="E605" s="8" t="s">
        <v>93</v>
      </c>
      <c r="F605" s="8">
        <v>14</v>
      </c>
      <c r="G605" s="8" t="s">
        <v>94</v>
      </c>
      <c r="H605" s="8" t="s">
        <v>95</v>
      </c>
      <c r="I605" s="8">
        <v>1</v>
      </c>
      <c r="J605" s="8" t="s">
        <v>95</v>
      </c>
      <c r="K605" s="8">
        <v>1</v>
      </c>
      <c r="L605" s="8" t="s">
        <v>94</v>
      </c>
      <c r="M605" s="8">
        <v>0</v>
      </c>
      <c r="N605" s="8" t="s">
        <v>95</v>
      </c>
      <c r="O605" s="8">
        <v>1</v>
      </c>
      <c r="P605" s="8" t="s">
        <v>95</v>
      </c>
      <c r="Q605" s="8">
        <v>1</v>
      </c>
      <c r="R605" s="8" t="s">
        <v>95</v>
      </c>
      <c r="S605" s="8">
        <v>1</v>
      </c>
      <c r="T605" s="8" t="s">
        <v>95</v>
      </c>
      <c r="U605" s="8">
        <v>1</v>
      </c>
      <c r="V605" s="8" t="s">
        <v>95</v>
      </c>
      <c r="W605" s="8">
        <v>1</v>
      </c>
      <c r="X605" s="8" t="s">
        <v>95</v>
      </c>
      <c r="Y605" s="8">
        <v>1</v>
      </c>
      <c r="Z605" s="8" t="s">
        <v>95</v>
      </c>
      <c r="AA605" s="8">
        <v>1</v>
      </c>
      <c r="AB605" s="8" t="s">
        <v>95</v>
      </c>
      <c r="AC605" s="8">
        <v>1</v>
      </c>
      <c r="AD605" s="8" t="s">
        <v>95</v>
      </c>
      <c r="AE605" s="8">
        <v>1</v>
      </c>
      <c r="AF605" s="8" t="s">
        <v>95</v>
      </c>
      <c r="AG605" s="8">
        <v>1</v>
      </c>
      <c r="AH605" s="8" t="s">
        <v>95</v>
      </c>
      <c r="AI605" s="8">
        <v>1</v>
      </c>
      <c r="AJ605" s="8" t="s">
        <v>95</v>
      </c>
      <c r="AK605" s="8">
        <v>1</v>
      </c>
      <c r="AL605" s="8" t="s">
        <v>94</v>
      </c>
      <c r="AM605" s="8">
        <v>0</v>
      </c>
      <c r="AN605" s="8">
        <v>14</v>
      </c>
    </row>
    <row r="606" spans="1:40" x14ac:dyDescent="0.25">
      <c r="A606" s="8" t="s">
        <v>666</v>
      </c>
      <c r="B606" s="9">
        <v>42033.658333333333</v>
      </c>
      <c r="C606" s="8">
        <v>0</v>
      </c>
      <c r="D606" s="9">
        <v>42044.78125</v>
      </c>
      <c r="E606" s="8" t="s">
        <v>93</v>
      </c>
      <c r="F606" s="8">
        <v>14</v>
      </c>
      <c r="G606" s="8" t="s">
        <v>94</v>
      </c>
      <c r="H606" s="8" t="s">
        <v>95</v>
      </c>
      <c r="I606" s="8">
        <v>1</v>
      </c>
      <c r="J606" s="8" t="s">
        <v>95</v>
      </c>
      <c r="K606" s="8">
        <v>1</v>
      </c>
      <c r="L606" s="8" t="s">
        <v>95</v>
      </c>
      <c r="M606" s="8">
        <v>1</v>
      </c>
      <c r="N606" s="8" t="s">
        <v>95</v>
      </c>
      <c r="O606" s="8">
        <v>1</v>
      </c>
      <c r="P606" s="8" t="s">
        <v>95</v>
      </c>
      <c r="Q606" s="8">
        <v>1</v>
      </c>
      <c r="R606" s="8" t="s">
        <v>95</v>
      </c>
      <c r="S606" s="8">
        <v>1</v>
      </c>
      <c r="T606" s="8" t="s">
        <v>95</v>
      </c>
      <c r="U606" s="8">
        <v>1</v>
      </c>
      <c r="V606" s="8" t="s">
        <v>95</v>
      </c>
      <c r="W606" s="8">
        <v>1</v>
      </c>
      <c r="X606" s="8" t="s">
        <v>95</v>
      </c>
      <c r="Y606" s="8">
        <v>1</v>
      </c>
      <c r="Z606" s="8" t="s">
        <v>95</v>
      </c>
      <c r="AA606" s="8">
        <v>1</v>
      </c>
      <c r="AB606" s="8" t="s">
        <v>95</v>
      </c>
      <c r="AC606" s="8">
        <v>1</v>
      </c>
      <c r="AD606" s="8" t="s">
        <v>95</v>
      </c>
      <c r="AE606" s="8">
        <v>1</v>
      </c>
      <c r="AF606" s="8" t="s">
        <v>94</v>
      </c>
      <c r="AG606" s="8">
        <v>0</v>
      </c>
      <c r="AH606" s="8" t="s">
        <v>95</v>
      </c>
      <c r="AI606" s="8">
        <v>1</v>
      </c>
      <c r="AJ606" s="8" t="s">
        <v>95</v>
      </c>
      <c r="AK606" s="8">
        <v>1</v>
      </c>
      <c r="AL606" s="8" t="s">
        <v>94</v>
      </c>
      <c r="AM606" s="8">
        <v>0</v>
      </c>
      <c r="AN606" s="8">
        <v>14</v>
      </c>
    </row>
    <row r="607" spans="1:40" x14ac:dyDescent="0.25">
      <c r="A607" s="8" t="s">
        <v>667</v>
      </c>
      <c r="B607" s="9">
        <v>42033.656944444447</v>
      </c>
      <c r="C607" s="8">
        <v>0</v>
      </c>
      <c r="D607" s="9">
        <v>42044.964583333334</v>
      </c>
      <c r="E607" s="8" t="s">
        <v>93</v>
      </c>
      <c r="F607" s="8">
        <v>16</v>
      </c>
      <c r="G607" s="8" t="s">
        <v>94</v>
      </c>
      <c r="H607" s="8" t="s">
        <v>95</v>
      </c>
      <c r="I607" s="8">
        <v>1</v>
      </c>
      <c r="J607" s="8" t="s">
        <v>95</v>
      </c>
      <c r="K607" s="8">
        <v>1</v>
      </c>
      <c r="L607" s="8" t="s">
        <v>95</v>
      </c>
      <c r="M607" s="8">
        <v>1</v>
      </c>
      <c r="N607" s="8" t="s">
        <v>95</v>
      </c>
      <c r="O607" s="8">
        <v>1</v>
      </c>
      <c r="P607" s="8" t="s">
        <v>95</v>
      </c>
      <c r="Q607" s="8">
        <v>1</v>
      </c>
      <c r="R607" s="8" t="s">
        <v>95</v>
      </c>
      <c r="S607" s="8">
        <v>1</v>
      </c>
      <c r="T607" s="8" t="s">
        <v>95</v>
      </c>
      <c r="U607" s="8">
        <v>1</v>
      </c>
      <c r="V607" s="8" t="s">
        <v>95</v>
      </c>
      <c r="W607" s="8">
        <v>1</v>
      </c>
      <c r="X607" s="8" t="s">
        <v>95</v>
      </c>
      <c r="Y607" s="8">
        <v>1</v>
      </c>
      <c r="Z607" s="8" t="s">
        <v>95</v>
      </c>
      <c r="AA607" s="8">
        <v>1</v>
      </c>
      <c r="AB607" s="8" t="s">
        <v>95</v>
      </c>
      <c r="AC607" s="8">
        <v>1</v>
      </c>
      <c r="AD607" s="8" t="s">
        <v>95</v>
      </c>
      <c r="AE607" s="8">
        <v>1</v>
      </c>
      <c r="AF607" s="8" t="s">
        <v>95</v>
      </c>
      <c r="AG607" s="8">
        <v>1</v>
      </c>
      <c r="AH607" s="8" t="s">
        <v>95</v>
      </c>
      <c r="AI607" s="8">
        <v>1</v>
      </c>
      <c r="AJ607" s="8" t="s">
        <v>95</v>
      </c>
      <c r="AK607" s="8">
        <v>1</v>
      </c>
      <c r="AL607" s="8" t="s">
        <v>95</v>
      </c>
      <c r="AM607" s="8">
        <v>1</v>
      </c>
      <c r="AN607" s="8">
        <v>16</v>
      </c>
    </row>
    <row r="608" spans="1:40" x14ac:dyDescent="0.25">
      <c r="A608" s="8" t="s">
        <v>668</v>
      </c>
      <c r="B608" s="9">
        <v>42033.675694444442</v>
      </c>
      <c r="C608" s="8">
        <v>0</v>
      </c>
      <c r="D608" s="9">
        <v>42044.990972222222</v>
      </c>
      <c r="E608" s="8" t="s">
        <v>93</v>
      </c>
      <c r="F608" s="8">
        <v>12</v>
      </c>
      <c r="G608" s="8" t="s">
        <v>94</v>
      </c>
      <c r="H608" s="8" t="s">
        <v>95</v>
      </c>
      <c r="I608" s="8">
        <v>1</v>
      </c>
      <c r="J608" s="8" t="s">
        <v>95</v>
      </c>
      <c r="K608" s="8">
        <v>1</v>
      </c>
      <c r="L608" s="8" t="s">
        <v>94</v>
      </c>
      <c r="M608" s="8">
        <v>0</v>
      </c>
      <c r="N608" s="8" t="s">
        <v>94</v>
      </c>
      <c r="O608" s="8">
        <v>0</v>
      </c>
      <c r="P608" s="8" t="s">
        <v>95</v>
      </c>
      <c r="Q608" s="8">
        <v>1</v>
      </c>
      <c r="R608" s="8" t="s">
        <v>95</v>
      </c>
      <c r="S608" s="8">
        <v>1</v>
      </c>
      <c r="T608" s="8" t="s">
        <v>95</v>
      </c>
      <c r="U608" s="8">
        <v>1</v>
      </c>
      <c r="V608" s="8" t="s">
        <v>95</v>
      </c>
      <c r="W608" s="8">
        <v>1</v>
      </c>
      <c r="X608" s="8" t="s">
        <v>95</v>
      </c>
      <c r="Y608" s="8">
        <v>1</v>
      </c>
      <c r="Z608" s="8" t="s">
        <v>95</v>
      </c>
      <c r="AA608" s="8">
        <v>1</v>
      </c>
      <c r="AB608" s="8" t="s">
        <v>95</v>
      </c>
      <c r="AC608" s="8">
        <v>1</v>
      </c>
      <c r="AD608" s="8" t="s">
        <v>95</v>
      </c>
      <c r="AE608" s="8">
        <v>1</v>
      </c>
      <c r="AF608" s="8" t="s">
        <v>94</v>
      </c>
      <c r="AG608" s="8">
        <v>0</v>
      </c>
      <c r="AH608" s="8" t="s">
        <v>95</v>
      </c>
      <c r="AI608" s="8">
        <v>1</v>
      </c>
      <c r="AJ608" s="8" t="s">
        <v>95</v>
      </c>
      <c r="AK608" s="8">
        <v>1</v>
      </c>
      <c r="AL608" s="8" t="s">
        <v>94</v>
      </c>
      <c r="AM608" s="8">
        <v>0</v>
      </c>
      <c r="AN608" s="8">
        <v>12</v>
      </c>
    </row>
    <row r="609" spans="1:40" x14ac:dyDescent="0.25">
      <c r="A609" s="8" t="s">
        <v>669</v>
      </c>
      <c r="B609" s="9">
        <v>42033.669444444444</v>
      </c>
      <c r="C609" s="8">
        <v>0</v>
      </c>
      <c r="D609" s="9">
        <v>42045.09375</v>
      </c>
      <c r="E609" s="8" t="s">
        <v>93</v>
      </c>
      <c r="F609" s="8">
        <v>9</v>
      </c>
      <c r="G609" s="8" t="s">
        <v>94</v>
      </c>
      <c r="H609" s="8" t="s">
        <v>95</v>
      </c>
      <c r="I609" s="8">
        <v>1</v>
      </c>
      <c r="J609" s="8" t="s">
        <v>95</v>
      </c>
      <c r="K609" s="8">
        <v>1</v>
      </c>
      <c r="L609" s="8" t="s">
        <v>95</v>
      </c>
      <c r="M609" s="8">
        <v>1</v>
      </c>
      <c r="N609" s="8" t="s">
        <v>95</v>
      </c>
      <c r="O609" s="8">
        <v>1</v>
      </c>
      <c r="P609" s="8" t="s">
        <v>94</v>
      </c>
      <c r="Q609" s="8">
        <v>0</v>
      </c>
      <c r="R609" s="8" t="s">
        <v>94</v>
      </c>
      <c r="S609" s="8">
        <v>0</v>
      </c>
      <c r="T609" s="8" t="s">
        <v>95</v>
      </c>
      <c r="U609" s="8">
        <v>1</v>
      </c>
      <c r="V609" s="8" t="s">
        <v>94</v>
      </c>
      <c r="W609" s="8">
        <v>0</v>
      </c>
      <c r="X609" s="8" t="s">
        <v>94</v>
      </c>
      <c r="Y609" s="8">
        <v>0</v>
      </c>
      <c r="Z609" s="8" t="s">
        <v>95</v>
      </c>
      <c r="AA609" s="8">
        <v>1</v>
      </c>
      <c r="AB609" s="8" t="s">
        <v>95</v>
      </c>
      <c r="AC609" s="8">
        <v>1</v>
      </c>
      <c r="AD609" s="8" t="s">
        <v>95</v>
      </c>
      <c r="AE609" s="8">
        <v>1</v>
      </c>
      <c r="AF609" s="8" t="s">
        <v>95</v>
      </c>
      <c r="AG609" s="8">
        <v>1</v>
      </c>
      <c r="AH609" s="8" t="s">
        <v>94</v>
      </c>
      <c r="AI609" s="8">
        <v>0</v>
      </c>
      <c r="AJ609" s="8" t="s">
        <v>94</v>
      </c>
      <c r="AK609" s="8">
        <v>0</v>
      </c>
      <c r="AL609" s="8" t="s">
        <v>94</v>
      </c>
      <c r="AM609" s="8">
        <v>0</v>
      </c>
      <c r="AN609" s="8">
        <v>9</v>
      </c>
    </row>
    <row r="610" spans="1:40" x14ac:dyDescent="0.25">
      <c r="A610" s="8" t="s">
        <v>670</v>
      </c>
      <c r="B610" s="9">
        <v>42033.654861111114</v>
      </c>
      <c r="C610" s="8">
        <v>0</v>
      </c>
      <c r="D610" s="9">
        <v>42045.095833333333</v>
      </c>
      <c r="E610" s="8" t="s">
        <v>93</v>
      </c>
      <c r="F610" s="8">
        <v>15</v>
      </c>
      <c r="G610" s="8" t="s">
        <v>94</v>
      </c>
      <c r="H610" s="8" t="s">
        <v>95</v>
      </c>
      <c r="I610" s="8">
        <v>1</v>
      </c>
      <c r="J610" s="8" t="s">
        <v>95</v>
      </c>
      <c r="K610" s="8">
        <v>1</v>
      </c>
      <c r="L610" s="8" t="s">
        <v>95</v>
      </c>
      <c r="M610" s="8">
        <v>1</v>
      </c>
      <c r="N610" s="8" t="s">
        <v>95</v>
      </c>
      <c r="O610" s="8">
        <v>1</v>
      </c>
      <c r="P610" s="8" t="s">
        <v>95</v>
      </c>
      <c r="Q610" s="8">
        <v>1</v>
      </c>
      <c r="R610" s="8" t="s">
        <v>95</v>
      </c>
      <c r="S610" s="8">
        <v>1</v>
      </c>
      <c r="T610" s="8" t="s">
        <v>94</v>
      </c>
      <c r="U610" s="8">
        <v>0</v>
      </c>
      <c r="V610" s="8" t="s">
        <v>95</v>
      </c>
      <c r="W610" s="8">
        <v>1</v>
      </c>
      <c r="X610" s="8" t="s">
        <v>95</v>
      </c>
      <c r="Y610" s="8">
        <v>1</v>
      </c>
      <c r="Z610" s="8" t="s">
        <v>95</v>
      </c>
      <c r="AA610" s="8">
        <v>1</v>
      </c>
      <c r="AB610" s="8" t="s">
        <v>95</v>
      </c>
      <c r="AC610" s="8">
        <v>1</v>
      </c>
      <c r="AD610" s="8" t="s">
        <v>95</v>
      </c>
      <c r="AE610" s="8">
        <v>1</v>
      </c>
      <c r="AF610" s="8" t="s">
        <v>95</v>
      </c>
      <c r="AG610" s="8">
        <v>1</v>
      </c>
      <c r="AH610" s="8" t="s">
        <v>95</v>
      </c>
      <c r="AI610" s="8">
        <v>1</v>
      </c>
      <c r="AJ610" s="8" t="s">
        <v>95</v>
      </c>
      <c r="AK610" s="8">
        <v>1</v>
      </c>
      <c r="AL610" s="8" t="s">
        <v>95</v>
      </c>
      <c r="AM610" s="8">
        <v>1</v>
      </c>
      <c r="AN610" s="8">
        <v>15</v>
      </c>
    </row>
    <row r="611" spans="1:40" x14ac:dyDescent="0.25">
      <c r="A611" s="8" t="s">
        <v>671</v>
      </c>
      <c r="B611" s="9">
        <v>42033.672222222223</v>
      </c>
      <c r="C611" s="8">
        <v>0</v>
      </c>
      <c r="D611" s="9">
        <v>42045.105555555558</v>
      </c>
      <c r="E611" s="8" t="s">
        <v>93</v>
      </c>
      <c r="F611" s="8">
        <v>16</v>
      </c>
      <c r="G611" s="8" t="s">
        <v>94</v>
      </c>
      <c r="H611" s="8" t="s">
        <v>95</v>
      </c>
      <c r="I611" s="8">
        <v>1</v>
      </c>
      <c r="J611" s="8" t="s">
        <v>95</v>
      </c>
      <c r="K611" s="8">
        <v>1</v>
      </c>
      <c r="L611" s="8" t="s">
        <v>95</v>
      </c>
      <c r="M611" s="8">
        <v>1</v>
      </c>
      <c r="N611" s="8" t="s">
        <v>95</v>
      </c>
      <c r="O611" s="8">
        <v>1</v>
      </c>
      <c r="P611" s="8" t="s">
        <v>95</v>
      </c>
      <c r="Q611" s="8">
        <v>1</v>
      </c>
      <c r="R611" s="8" t="s">
        <v>95</v>
      </c>
      <c r="S611" s="8">
        <v>1</v>
      </c>
      <c r="T611" s="8" t="s">
        <v>95</v>
      </c>
      <c r="U611" s="8">
        <v>1</v>
      </c>
      <c r="V611" s="8" t="s">
        <v>95</v>
      </c>
      <c r="W611" s="8">
        <v>1</v>
      </c>
      <c r="X611" s="8" t="s">
        <v>95</v>
      </c>
      <c r="Y611" s="8">
        <v>1</v>
      </c>
      <c r="Z611" s="8" t="s">
        <v>95</v>
      </c>
      <c r="AA611" s="8">
        <v>1</v>
      </c>
      <c r="AB611" s="8" t="s">
        <v>95</v>
      </c>
      <c r="AC611" s="8">
        <v>1</v>
      </c>
      <c r="AD611" s="8" t="s">
        <v>95</v>
      </c>
      <c r="AE611" s="8">
        <v>1</v>
      </c>
      <c r="AF611" s="8" t="s">
        <v>95</v>
      </c>
      <c r="AG611" s="8">
        <v>1</v>
      </c>
      <c r="AH611" s="8" t="s">
        <v>95</v>
      </c>
      <c r="AI611" s="8">
        <v>1</v>
      </c>
      <c r="AJ611" s="8" t="s">
        <v>95</v>
      </c>
      <c r="AK611" s="8">
        <v>1</v>
      </c>
      <c r="AL611" s="8" t="s">
        <v>95</v>
      </c>
      <c r="AM611" s="8">
        <v>1</v>
      </c>
      <c r="AN611" s="8">
        <v>16</v>
      </c>
    </row>
    <row r="612" spans="1:40" x14ac:dyDescent="0.25">
      <c r="A612" s="8" t="s">
        <v>672</v>
      </c>
      <c r="B612" s="9">
        <v>42033.67083333333</v>
      </c>
      <c r="C612" s="8">
        <v>0</v>
      </c>
      <c r="D612" s="9">
        <v>42045.197916666664</v>
      </c>
      <c r="E612" s="8" t="s">
        <v>93</v>
      </c>
      <c r="F612" s="8">
        <v>15</v>
      </c>
      <c r="G612" s="8" t="s">
        <v>94</v>
      </c>
      <c r="H612" s="8" t="s">
        <v>95</v>
      </c>
      <c r="I612" s="8">
        <v>1</v>
      </c>
      <c r="J612" s="8" t="s">
        <v>95</v>
      </c>
      <c r="K612" s="8">
        <v>1</v>
      </c>
      <c r="L612" s="8" t="s">
        <v>95</v>
      </c>
      <c r="M612" s="8">
        <v>1</v>
      </c>
      <c r="N612" s="8" t="s">
        <v>94</v>
      </c>
      <c r="O612" s="8">
        <v>0</v>
      </c>
      <c r="P612" s="8" t="s">
        <v>95</v>
      </c>
      <c r="Q612" s="8">
        <v>1</v>
      </c>
      <c r="R612" s="8" t="s">
        <v>95</v>
      </c>
      <c r="S612" s="8">
        <v>1</v>
      </c>
      <c r="T612" s="8" t="s">
        <v>95</v>
      </c>
      <c r="U612" s="8">
        <v>1</v>
      </c>
      <c r="V612" s="8" t="s">
        <v>95</v>
      </c>
      <c r="W612" s="8">
        <v>1</v>
      </c>
      <c r="X612" s="8" t="s">
        <v>95</v>
      </c>
      <c r="Y612" s="8">
        <v>1</v>
      </c>
      <c r="Z612" s="8" t="s">
        <v>95</v>
      </c>
      <c r="AA612" s="8">
        <v>1</v>
      </c>
      <c r="AB612" s="8" t="s">
        <v>95</v>
      </c>
      <c r="AC612" s="8">
        <v>1</v>
      </c>
      <c r="AD612" s="8" t="s">
        <v>95</v>
      </c>
      <c r="AE612" s="8">
        <v>1</v>
      </c>
      <c r="AF612" s="8" t="s">
        <v>95</v>
      </c>
      <c r="AG612" s="8">
        <v>1</v>
      </c>
      <c r="AH612" s="8" t="s">
        <v>95</v>
      </c>
      <c r="AI612" s="8">
        <v>1</v>
      </c>
      <c r="AJ612" s="8" t="s">
        <v>95</v>
      </c>
      <c r="AK612" s="8">
        <v>1</v>
      </c>
      <c r="AL612" s="8" t="s">
        <v>95</v>
      </c>
      <c r="AM612" s="8">
        <v>1</v>
      </c>
      <c r="AN612" s="8">
        <v>15</v>
      </c>
    </row>
    <row r="613" spans="1:40" x14ac:dyDescent="0.25">
      <c r="A613" s="8" t="s">
        <v>673</v>
      </c>
      <c r="B613" s="9">
        <v>42033.67291666667</v>
      </c>
      <c r="C613" s="8">
        <v>0</v>
      </c>
      <c r="D613" s="9">
        <v>42045.215277777781</v>
      </c>
      <c r="E613" s="8" t="s">
        <v>93</v>
      </c>
      <c r="F613" s="8">
        <v>16</v>
      </c>
      <c r="G613" s="8" t="s">
        <v>94</v>
      </c>
      <c r="H613" s="8" t="s">
        <v>95</v>
      </c>
      <c r="I613" s="8">
        <v>1</v>
      </c>
      <c r="J613" s="8" t="s">
        <v>95</v>
      </c>
      <c r="K613" s="8">
        <v>1</v>
      </c>
      <c r="L613" s="8" t="s">
        <v>95</v>
      </c>
      <c r="M613" s="8">
        <v>1</v>
      </c>
      <c r="N613" s="8" t="s">
        <v>95</v>
      </c>
      <c r="O613" s="8">
        <v>1</v>
      </c>
      <c r="P613" s="8" t="s">
        <v>95</v>
      </c>
      <c r="Q613" s="8">
        <v>1</v>
      </c>
      <c r="R613" s="8" t="s">
        <v>95</v>
      </c>
      <c r="S613" s="8">
        <v>1</v>
      </c>
      <c r="T613" s="8" t="s">
        <v>95</v>
      </c>
      <c r="U613" s="8">
        <v>1</v>
      </c>
      <c r="V613" s="8" t="s">
        <v>95</v>
      </c>
      <c r="W613" s="8">
        <v>1</v>
      </c>
      <c r="X613" s="8" t="s">
        <v>95</v>
      </c>
      <c r="Y613" s="8">
        <v>1</v>
      </c>
      <c r="Z613" s="8" t="s">
        <v>95</v>
      </c>
      <c r="AA613" s="8">
        <v>1</v>
      </c>
      <c r="AB613" s="8" t="s">
        <v>95</v>
      </c>
      <c r="AC613" s="8">
        <v>1</v>
      </c>
      <c r="AD613" s="8" t="s">
        <v>95</v>
      </c>
      <c r="AE613" s="8">
        <v>1</v>
      </c>
      <c r="AF613" s="8" t="s">
        <v>95</v>
      </c>
      <c r="AG613" s="8">
        <v>1</v>
      </c>
      <c r="AH613" s="8" t="s">
        <v>95</v>
      </c>
      <c r="AI613" s="8">
        <v>1</v>
      </c>
      <c r="AJ613" s="8" t="s">
        <v>95</v>
      </c>
      <c r="AK613" s="8">
        <v>1</v>
      </c>
      <c r="AL613" s="8" t="s">
        <v>95</v>
      </c>
      <c r="AM613" s="8">
        <v>1</v>
      </c>
      <c r="AN613" s="8">
        <v>16</v>
      </c>
    </row>
    <row r="614" spans="1:40" x14ac:dyDescent="0.25">
      <c r="A614" s="8" t="s">
        <v>674</v>
      </c>
      <c r="B614" s="9">
        <v>42033.665277777778</v>
      </c>
      <c r="C614" s="8">
        <v>0</v>
      </c>
      <c r="D614" s="9">
        <v>42045.222222222219</v>
      </c>
      <c r="E614" s="8" t="s">
        <v>93</v>
      </c>
      <c r="F614" s="8">
        <v>16</v>
      </c>
      <c r="G614" s="8" t="s">
        <v>94</v>
      </c>
      <c r="H614" s="8" t="s">
        <v>95</v>
      </c>
      <c r="I614" s="8">
        <v>1</v>
      </c>
      <c r="J614" s="8" t="s">
        <v>95</v>
      </c>
      <c r="K614" s="8">
        <v>1</v>
      </c>
      <c r="L614" s="8" t="s">
        <v>95</v>
      </c>
      <c r="M614" s="8">
        <v>1</v>
      </c>
      <c r="N614" s="8" t="s">
        <v>95</v>
      </c>
      <c r="O614" s="8">
        <v>1</v>
      </c>
      <c r="P614" s="8" t="s">
        <v>95</v>
      </c>
      <c r="Q614" s="8">
        <v>1</v>
      </c>
      <c r="R614" s="8" t="s">
        <v>95</v>
      </c>
      <c r="S614" s="8">
        <v>1</v>
      </c>
      <c r="T614" s="8" t="s">
        <v>95</v>
      </c>
      <c r="U614" s="8">
        <v>1</v>
      </c>
      <c r="V614" s="8" t="s">
        <v>95</v>
      </c>
      <c r="W614" s="8">
        <v>1</v>
      </c>
      <c r="X614" s="8" t="s">
        <v>95</v>
      </c>
      <c r="Y614" s="8">
        <v>1</v>
      </c>
      <c r="Z614" s="8" t="s">
        <v>95</v>
      </c>
      <c r="AA614" s="8">
        <v>1</v>
      </c>
      <c r="AB614" s="8" t="s">
        <v>95</v>
      </c>
      <c r="AC614" s="8">
        <v>1</v>
      </c>
      <c r="AD614" s="8" t="s">
        <v>95</v>
      </c>
      <c r="AE614" s="8">
        <v>1</v>
      </c>
      <c r="AF614" s="8" t="s">
        <v>95</v>
      </c>
      <c r="AG614" s="8">
        <v>1</v>
      </c>
      <c r="AH614" s="8" t="s">
        <v>95</v>
      </c>
      <c r="AI614" s="8">
        <v>1</v>
      </c>
      <c r="AJ614" s="8" t="s">
        <v>95</v>
      </c>
      <c r="AK614" s="8">
        <v>1</v>
      </c>
      <c r="AL614" s="8" t="s">
        <v>95</v>
      </c>
      <c r="AM614" s="8">
        <v>1</v>
      </c>
      <c r="AN614" s="8">
        <v>16</v>
      </c>
    </row>
    <row r="615" spans="1:40" x14ac:dyDescent="0.25">
      <c r="A615" s="8" t="s">
        <v>675</v>
      </c>
      <c r="B615" s="9">
        <v>42033.657638888886</v>
      </c>
      <c r="C615" s="8">
        <v>0</v>
      </c>
      <c r="D615" s="9">
        <v>42045.253472222219</v>
      </c>
      <c r="E615" s="8" t="s">
        <v>93</v>
      </c>
      <c r="F615" s="8">
        <v>0</v>
      </c>
      <c r="G615" s="8" t="s">
        <v>94</v>
      </c>
      <c r="H615" s="8" t="s">
        <v>94</v>
      </c>
      <c r="I615" s="8">
        <v>0</v>
      </c>
      <c r="J615" s="8" t="s">
        <v>94</v>
      </c>
      <c r="K615" s="8">
        <v>0</v>
      </c>
      <c r="L615" s="8" t="s">
        <v>94</v>
      </c>
      <c r="M615" s="8">
        <v>0</v>
      </c>
      <c r="N615" s="8" t="s">
        <v>94</v>
      </c>
      <c r="O615" s="8">
        <v>0</v>
      </c>
      <c r="P615" s="8" t="s">
        <v>94</v>
      </c>
      <c r="Q615" s="8">
        <v>0</v>
      </c>
      <c r="R615" s="8" t="s">
        <v>94</v>
      </c>
      <c r="S615" s="8">
        <v>0</v>
      </c>
      <c r="T615" s="8" t="s">
        <v>94</v>
      </c>
      <c r="U615" s="8">
        <v>0</v>
      </c>
      <c r="V615" s="8" t="s">
        <v>94</v>
      </c>
      <c r="W615" s="8">
        <v>0</v>
      </c>
      <c r="X615" s="8" t="s">
        <v>94</v>
      </c>
      <c r="Y615" s="8">
        <v>0</v>
      </c>
      <c r="Z615" s="8" t="s">
        <v>94</v>
      </c>
      <c r="AA615" s="8">
        <v>0</v>
      </c>
      <c r="AB615" s="8" t="s">
        <v>94</v>
      </c>
      <c r="AC615" s="8">
        <v>0</v>
      </c>
      <c r="AD615" s="8" t="s">
        <v>94</v>
      </c>
      <c r="AE615" s="8">
        <v>0</v>
      </c>
      <c r="AF615" s="8" t="s">
        <v>94</v>
      </c>
      <c r="AG615" s="8">
        <v>0</v>
      </c>
      <c r="AH615" s="8" t="s">
        <v>94</v>
      </c>
      <c r="AI615" s="8">
        <v>0</v>
      </c>
      <c r="AJ615" s="8" t="s">
        <v>94</v>
      </c>
      <c r="AK615" s="8">
        <v>0</v>
      </c>
      <c r="AL615" s="8" t="s">
        <v>94</v>
      </c>
      <c r="AM615" s="8">
        <v>0</v>
      </c>
      <c r="AN615" s="8">
        <v>0</v>
      </c>
    </row>
    <row r="616" spans="1:40" x14ac:dyDescent="0.25">
      <c r="A616" s="8" t="s">
        <v>676</v>
      </c>
      <c r="B616" s="9">
        <v>42033.679166666669</v>
      </c>
      <c r="C616" s="8">
        <v>0</v>
      </c>
      <c r="D616" s="9">
        <v>42045.263194444444</v>
      </c>
      <c r="E616" s="8" t="s">
        <v>93</v>
      </c>
      <c r="F616" s="8">
        <v>15</v>
      </c>
      <c r="G616" s="8" t="s">
        <v>94</v>
      </c>
      <c r="H616" s="8" t="s">
        <v>95</v>
      </c>
      <c r="I616" s="8">
        <v>1</v>
      </c>
      <c r="J616" s="8" t="s">
        <v>95</v>
      </c>
      <c r="K616" s="8">
        <v>1</v>
      </c>
      <c r="L616" s="8" t="s">
        <v>95</v>
      </c>
      <c r="M616" s="8">
        <v>1</v>
      </c>
      <c r="N616" s="8" t="s">
        <v>95</v>
      </c>
      <c r="O616" s="8">
        <v>1</v>
      </c>
      <c r="P616" s="8" t="s">
        <v>95</v>
      </c>
      <c r="Q616" s="8">
        <v>1</v>
      </c>
      <c r="R616" s="8" t="s">
        <v>94</v>
      </c>
      <c r="S616" s="8">
        <v>0</v>
      </c>
      <c r="T616" s="8" t="s">
        <v>95</v>
      </c>
      <c r="U616" s="8">
        <v>1</v>
      </c>
      <c r="V616" s="8" t="s">
        <v>95</v>
      </c>
      <c r="W616" s="8">
        <v>1</v>
      </c>
      <c r="X616" s="8" t="s">
        <v>95</v>
      </c>
      <c r="Y616" s="8">
        <v>1</v>
      </c>
      <c r="Z616" s="8" t="s">
        <v>95</v>
      </c>
      <c r="AA616" s="8">
        <v>1</v>
      </c>
      <c r="AB616" s="8" t="s">
        <v>95</v>
      </c>
      <c r="AC616" s="8">
        <v>1</v>
      </c>
      <c r="AD616" s="8" t="s">
        <v>95</v>
      </c>
      <c r="AE616" s="8">
        <v>1</v>
      </c>
      <c r="AF616" s="8" t="s">
        <v>95</v>
      </c>
      <c r="AG616" s="8">
        <v>1</v>
      </c>
      <c r="AH616" s="8" t="s">
        <v>95</v>
      </c>
      <c r="AI616" s="8">
        <v>1</v>
      </c>
      <c r="AJ616" s="8" t="s">
        <v>95</v>
      </c>
      <c r="AK616" s="8">
        <v>1</v>
      </c>
      <c r="AL616" s="8" t="s">
        <v>95</v>
      </c>
      <c r="AM616" s="8">
        <v>1</v>
      </c>
      <c r="AN616" s="8">
        <v>15</v>
      </c>
    </row>
    <row r="617" spans="1:40" x14ac:dyDescent="0.25">
      <c r="A617" s="8" t="s">
        <v>677</v>
      </c>
      <c r="B617" s="9">
        <v>42033.663888888892</v>
      </c>
      <c r="C617" s="8">
        <v>0</v>
      </c>
      <c r="D617" s="9">
        <v>42045.272916666669</v>
      </c>
      <c r="E617" s="8" t="s">
        <v>93</v>
      </c>
      <c r="F617" s="8">
        <v>16</v>
      </c>
      <c r="G617" s="8" t="s">
        <v>94</v>
      </c>
      <c r="H617" s="8" t="s">
        <v>95</v>
      </c>
      <c r="I617" s="8">
        <v>1</v>
      </c>
      <c r="J617" s="8" t="s">
        <v>95</v>
      </c>
      <c r="K617" s="8">
        <v>1</v>
      </c>
      <c r="L617" s="8" t="s">
        <v>95</v>
      </c>
      <c r="M617" s="8">
        <v>1</v>
      </c>
      <c r="N617" s="8" t="s">
        <v>95</v>
      </c>
      <c r="O617" s="8">
        <v>1</v>
      </c>
      <c r="P617" s="8" t="s">
        <v>95</v>
      </c>
      <c r="Q617" s="8">
        <v>1</v>
      </c>
      <c r="R617" s="8" t="s">
        <v>95</v>
      </c>
      <c r="S617" s="8">
        <v>1</v>
      </c>
      <c r="T617" s="8" t="s">
        <v>95</v>
      </c>
      <c r="U617" s="8">
        <v>1</v>
      </c>
      <c r="V617" s="8" t="s">
        <v>95</v>
      </c>
      <c r="W617" s="8">
        <v>1</v>
      </c>
      <c r="X617" s="8" t="s">
        <v>95</v>
      </c>
      <c r="Y617" s="8">
        <v>1</v>
      </c>
      <c r="Z617" s="8" t="s">
        <v>95</v>
      </c>
      <c r="AA617" s="8">
        <v>1</v>
      </c>
      <c r="AB617" s="8" t="s">
        <v>95</v>
      </c>
      <c r="AC617" s="8">
        <v>1</v>
      </c>
      <c r="AD617" s="8" t="s">
        <v>95</v>
      </c>
      <c r="AE617" s="8">
        <v>1</v>
      </c>
      <c r="AF617" s="8" t="s">
        <v>95</v>
      </c>
      <c r="AG617" s="8">
        <v>1</v>
      </c>
      <c r="AH617" s="8" t="s">
        <v>95</v>
      </c>
      <c r="AI617" s="8">
        <v>1</v>
      </c>
      <c r="AJ617" s="8" t="s">
        <v>95</v>
      </c>
      <c r="AK617" s="8">
        <v>1</v>
      </c>
      <c r="AL617" s="8" t="s">
        <v>95</v>
      </c>
      <c r="AM617" s="8">
        <v>1</v>
      </c>
      <c r="AN617" s="8">
        <v>16</v>
      </c>
    </row>
    <row r="618" spans="1:40" x14ac:dyDescent="0.25">
      <c r="A618" s="8" t="s">
        <v>678</v>
      </c>
      <c r="B618" s="9">
        <v>42033.675694444442</v>
      </c>
      <c r="C618" s="8">
        <v>0</v>
      </c>
      <c r="D618" s="9">
        <v>42045.317361111112</v>
      </c>
      <c r="E618" s="8" t="s">
        <v>93</v>
      </c>
      <c r="F618" s="8">
        <v>13</v>
      </c>
      <c r="G618" s="8" t="s">
        <v>94</v>
      </c>
      <c r="H618" s="8" t="s">
        <v>95</v>
      </c>
      <c r="I618" s="8">
        <v>1</v>
      </c>
      <c r="J618" s="8" t="s">
        <v>95</v>
      </c>
      <c r="K618" s="8">
        <v>1</v>
      </c>
      <c r="L618" s="8" t="s">
        <v>95</v>
      </c>
      <c r="M618" s="8">
        <v>1</v>
      </c>
      <c r="N618" s="8" t="s">
        <v>95</v>
      </c>
      <c r="O618" s="8">
        <v>1</v>
      </c>
      <c r="P618" s="8" t="s">
        <v>95</v>
      </c>
      <c r="Q618" s="8">
        <v>1</v>
      </c>
      <c r="R618" s="8" t="s">
        <v>95</v>
      </c>
      <c r="S618" s="8">
        <v>1</v>
      </c>
      <c r="T618" s="8" t="s">
        <v>95</v>
      </c>
      <c r="U618" s="8">
        <v>1</v>
      </c>
      <c r="V618" s="8" t="s">
        <v>95</v>
      </c>
      <c r="W618" s="8">
        <v>1</v>
      </c>
      <c r="X618" s="8" t="s">
        <v>95</v>
      </c>
      <c r="Y618" s="8">
        <v>1</v>
      </c>
      <c r="Z618" s="8" t="s">
        <v>95</v>
      </c>
      <c r="AA618" s="8">
        <v>1</v>
      </c>
      <c r="AB618" s="8" t="s">
        <v>95</v>
      </c>
      <c r="AC618" s="8">
        <v>1</v>
      </c>
      <c r="AD618" s="8" t="s">
        <v>94</v>
      </c>
      <c r="AE618" s="8">
        <v>0</v>
      </c>
      <c r="AF618" s="8" t="s">
        <v>94</v>
      </c>
      <c r="AG618" s="8">
        <v>0</v>
      </c>
      <c r="AH618" s="8" t="s">
        <v>95</v>
      </c>
      <c r="AI618" s="8">
        <v>1</v>
      </c>
      <c r="AJ618" s="8" t="s">
        <v>95</v>
      </c>
      <c r="AK618" s="8">
        <v>1</v>
      </c>
      <c r="AL618" s="8" t="s">
        <v>94</v>
      </c>
      <c r="AM618" s="8">
        <v>0</v>
      </c>
      <c r="AN618" s="8">
        <v>13</v>
      </c>
    </row>
    <row r="619" spans="1:40" x14ac:dyDescent="0.25">
      <c r="A619" s="8" t="s">
        <v>679</v>
      </c>
      <c r="B619" s="9">
        <v>42033.685416666667</v>
      </c>
      <c r="C619" s="8">
        <v>0</v>
      </c>
      <c r="D619" s="9">
        <v>42045.335416666669</v>
      </c>
      <c r="E619" s="8" t="s">
        <v>93</v>
      </c>
      <c r="F619" s="8">
        <v>13</v>
      </c>
      <c r="G619" s="8" t="s">
        <v>94</v>
      </c>
      <c r="H619" s="8" t="s">
        <v>94</v>
      </c>
      <c r="I619" s="8">
        <v>0</v>
      </c>
      <c r="J619" s="8" t="s">
        <v>95</v>
      </c>
      <c r="K619" s="8">
        <v>1</v>
      </c>
      <c r="L619" s="8" t="s">
        <v>95</v>
      </c>
      <c r="M619" s="8">
        <v>1</v>
      </c>
      <c r="N619" s="8" t="s">
        <v>94</v>
      </c>
      <c r="O619" s="8">
        <v>0</v>
      </c>
      <c r="P619" s="8" t="s">
        <v>95</v>
      </c>
      <c r="Q619" s="8">
        <v>1</v>
      </c>
      <c r="R619" s="8" t="s">
        <v>94</v>
      </c>
      <c r="S619" s="8">
        <v>0</v>
      </c>
      <c r="T619" s="8" t="s">
        <v>95</v>
      </c>
      <c r="U619" s="8">
        <v>1</v>
      </c>
      <c r="V619" s="8" t="s">
        <v>95</v>
      </c>
      <c r="W619" s="8">
        <v>1</v>
      </c>
      <c r="X619" s="8" t="s">
        <v>95</v>
      </c>
      <c r="Y619" s="8">
        <v>1</v>
      </c>
      <c r="Z619" s="8" t="s">
        <v>95</v>
      </c>
      <c r="AA619" s="8">
        <v>1</v>
      </c>
      <c r="AB619" s="8" t="s">
        <v>95</v>
      </c>
      <c r="AC619" s="8">
        <v>1</v>
      </c>
      <c r="AD619" s="8" t="s">
        <v>95</v>
      </c>
      <c r="AE619" s="8">
        <v>1</v>
      </c>
      <c r="AF619" s="8" t="s">
        <v>95</v>
      </c>
      <c r="AG619" s="8">
        <v>1</v>
      </c>
      <c r="AH619" s="8" t="s">
        <v>95</v>
      </c>
      <c r="AI619" s="8">
        <v>1</v>
      </c>
      <c r="AJ619" s="8" t="s">
        <v>95</v>
      </c>
      <c r="AK619" s="8">
        <v>1</v>
      </c>
      <c r="AL619" s="8" t="s">
        <v>95</v>
      </c>
      <c r="AM619" s="8">
        <v>1</v>
      </c>
      <c r="AN619" s="8">
        <v>13</v>
      </c>
    </row>
    <row r="620" spans="1:40" x14ac:dyDescent="0.25">
      <c r="A620" s="8" t="s">
        <v>680</v>
      </c>
      <c r="B620" s="9">
        <v>42033.682638888888</v>
      </c>
      <c r="C620" s="8">
        <v>0</v>
      </c>
      <c r="D620" s="9">
        <v>42045.381944444445</v>
      </c>
      <c r="E620" s="8" t="s">
        <v>93</v>
      </c>
      <c r="F620" s="8">
        <v>15</v>
      </c>
      <c r="G620" s="8" t="s">
        <v>94</v>
      </c>
      <c r="H620" s="8" t="s">
        <v>95</v>
      </c>
      <c r="I620" s="8">
        <v>1</v>
      </c>
      <c r="J620" s="8" t="s">
        <v>95</v>
      </c>
      <c r="K620" s="8">
        <v>1</v>
      </c>
      <c r="L620" s="8" t="s">
        <v>95</v>
      </c>
      <c r="M620" s="8">
        <v>1</v>
      </c>
      <c r="N620" s="8" t="s">
        <v>95</v>
      </c>
      <c r="O620" s="8">
        <v>1</v>
      </c>
      <c r="P620" s="8" t="s">
        <v>95</v>
      </c>
      <c r="Q620" s="8">
        <v>1</v>
      </c>
      <c r="R620" s="8" t="s">
        <v>95</v>
      </c>
      <c r="S620" s="8">
        <v>1</v>
      </c>
      <c r="T620" s="8" t="s">
        <v>95</v>
      </c>
      <c r="U620" s="8">
        <v>1</v>
      </c>
      <c r="V620" s="8" t="s">
        <v>95</v>
      </c>
      <c r="W620" s="8">
        <v>1</v>
      </c>
      <c r="X620" s="8" t="s">
        <v>95</v>
      </c>
      <c r="Y620" s="8">
        <v>1</v>
      </c>
      <c r="Z620" s="8" t="s">
        <v>95</v>
      </c>
      <c r="AA620" s="8">
        <v>1</v>
      </c>
      <c r="AB620" s="8" t="s">
        <v>95</v>
      </c>
      <c r="AC620" s="8">
        <v>1</v>
      </c>
      <c r="AD620" s="8" t="s">
        <v>95</v>
      </c>
      <c r="AE620" s="8">
        <v>1</v>
      </c>
      <c r="AF620" s="8" t="s">
        <v>95</v>
      </c>
      <c r="AG620" s="8">
        <v>1</v>
      </c>
      <c r="AH620" s="8" t="s">
        <v>95</v>
      </c>
      <c r="AI620" s="8">
        <v>1</v>
      </c>
      <c r="AJ620" s="8" t="s">
        <v>95</v>
      </c>
      <c r="AK620" s="8">
        <v>1</v>
      </c>
      <c r="AL620" s="8" t="s">
        <v>94</v>
      </c>
      <c r="AM620" s="8">
        <v>0</v>
      </c>
      <c r="AN620" s="8">
        <v>15</v>
      </c>
    </row>
    <row r="621" spans="1:40" x14ac:dyDescent="0.25">
      <c r="A621" s="8" t="s">
        <v>681</v>
      </c>
      <c r="B621" s="9">
        <v>42033.679166666669</v>
      </c>
      <c r="C621" s="8">
        <v>0</v>
      </c>
      <c r="D621" s="9">
        <v>42045.432638888888</v>
      </c>
      <c r="E621" s="8" t="s">
        <v>93</v>
      </c>
      <c r="F621" s="8">
        <v>14</v>
      </c>
      <c r="G621" s="8" t="s">
        <v>94</v>
      </c>
      <c r="H621" s="8" t="s">
        <v>95</v>
      </c>
      <c r="I621" s="8">
        <v>1</v>
      </c>
      <c r="J621" s="8" t="s">
        <v>95</v>
      </c>
      <c r="K621" s="8">
        <v>1</v>
      </c>
      <c r="L621" s="8" t="s">
        <v>94</v>
      </c>
      <c r="M621" s="8">
        <v>0</v>
      </c>
      <c r="N621" s="8" t="s">
        <v>94</v>
      </c>
      <c r="O621" s="8">
        <v>0</v>
      </c>
      <c r="P621" s="8" t="s">
        <v>95</v>
      </c>
      <c r="Q621" s="8">
        <v>1</v>
      </c>
      <c r="R621" s="8" t="s">
        <v>95</v>
      </c>
      <c r="S621" s="8">
        <v>1</v>
      </c>
      <c r="T621" s="8" t="s">
        <v>95</v>
      </c>
      <c r="U621" s="8">
        <v>1</v>
      </c>
      <c r="V621" s="8" t="s">
        <v>95</v>
      </c>
      <c r="W621" s="8">
        <v>1</v>
      </c>
      <c r="X621" s="8" t="s">
        <v>95</v>
      </c>
      <c r="Y621" s="8">
        <v>1</v>
      </c>
      <c r="Z621" s="8" t="s">
        <v>95</v>
      </c>
      <c r="AA621" s="8">
        <v>1</v>
      </c>
      <c r="AB621" s="8" t="s">
        <v>95</v>
      </c>
      <c r="AC621" s="8">
        <v>1</v>
      </c>
      <c r="AD621" s="8" t="s">
        <v>95</v>
      </c>
      <c r="AE621" s="8">
        <v>1</v>
      </c>
      <c r="AF621" s="8" t="s">
        <v>95</v>
      </c>
      <c r="AG621" s="8">
        <v>1</v>
      </c>
      <c r="AH621" s="8" t="s">
        <v>95</v>
      </c>
      <c r="AI621" s="8">
        <v>1</v>
      </c>
      <c r="AJ621" s="8" t="s">
        <v>95</v>
      </c>
      <c r="AK621" s="8">
        <v>1</v>
      </c>
      <c r="AL621" s="8" t="s">
        <v>95</v>
      </c>
      <c r="AM621" s="8">
        <v>1</v>
      </c>
      <c r="AN621" s="8">
        <v>14</v>
      </c>
    </row>
    <row r="622" spans="1:40" x14ac:dyDescent="0.25">
      <c r="A622" s="8" t="s">
        <v>682</v>
      </c>
      <c r="B622" s="9">
        <v>42033.665972222225</v>
      </c>
      <c r="C622" s="8">
        <v>0</v>
      </c>
      <c r="D622" s="9">
        <v>42045.45</v>
      </c>
      <c r="E622" s="8" t="s">
        <v>93</v>
      </c>
      <c r="F622" s="8">
        <v>11</v>
      </c>
      <c r="G622" s="8" t="s">
        <v>94</v>
      </c>
      <c r="H622" s="8" t="s">
        <v>95</v>
      </c>
      <c r="I622" s="8">
        <v>1</v>
      </c>
      <c r="J622" s="8" t="s">
        <v>94</v>
      </c>
      <c r="K622" s="8">
        <v>0</v>
      </c>
      <c r="L622" s="8" t="s">
        <v>95</v>
      </c>
      <c r="M622" s="8">
        <v>1</v>
      </c>
      <c r="N622" s="8" t="s">
        <v>95</v>
      </c>
      <c r="O622" s="8">
        <v>1</v>
      </c>
      <c r="P622" s="8" t="s">
        <v>95</v>
      </c>
      <c r="Q622" s="8">
        <v>1</v>
      </c>
      <c r="R622" s="8" t="s">
        <v>95</v>
      </c>
      <c r="S622" s="8">
        <v>1</v>
      </c>
      <c r="T622" s="8" t="s">
        <v>95</v>
      </c>
      <c r="U622" s="8">
        <v>1</v>
      </c>
      <c r="V622" s="8" t="s">
        <v>95</v>
      </c>
      <c r="W622" s="8">
        <v>1</v>
      </c>
      <c r="X622" s="8" t="s">
        <v>94</v>
      </c>
      <c r="Y622" s="8">
        <v>0</v>
      </c>
      <c r="Z622" s="8" t="s">
        <v>94</v>
      </c>
      <c r="AA622" s="8">
        <v>0</v>
      </c>
      <c r="AB622" s="8" t="s">
        <v>95</v>
      </c>
      <c r="AC622" s="8">
        <v>1</v>
      </c>
      <c r="AD622" s="8" t="s">
        <v>94</v>
      </c>
      <c r="AE622" s="8">
        <v>0</v>
      </c>
      <c r="AF622" s="8" t="s">
        <v>94</v>
      </c>
      <c r="AG622" s="8">
        <v>0</v>
      </c>
      <c r="AH622" s="8" t="s">
        <v>95</v>
      </c>
      <c r="AI622" s="8">
        <v>1</v>
      </c>
      <c r="AJ622" s="8" t="s">
        <v>95</v>
      </c>
      <c r="AK622" s="8">
        <v>1</v>
      </c>
      <c r="AL622" s="8" t="s">
        <v>95</v>
      </c>
      <c r="AM622" s="8">
        <v>1</v>
      </c>
      <c r="AN622" s="8">
        <v>11</v>
      </c>
    </row>
    <row r="623" spans="1:40" x14ac:dyDescent="0.25">
      <c r="A623" s="8" t="s">
        <v>683</v>
      </c>
      <c r="B623" s="9">
        <v>42033.678472222222</v>
      </c>
      <c r="C623" s="8">
        <v>0</v>
      </c>
      <c r="D623" s="9">
        <v>42045.794444444444</v>
      </c>
      <c r="E623" s="8" t="s">
        <v>93</v>
      </c>
      <c r="F623" s="8">
        <v>16</v>
      </c>
      <c r="G623" s="8" t="s">
        <v>94</v>
      </c>
      <c r="H623" s="8" t="s">
        <v>95</v>
      </c>
      <c r="I623" s="8">
        <v>1</v>
      </c>
      <c r="J623" s="8" t="s">
        <v>95</v>
      </c>
      <c r="K623" s="8">
        <v>1</v>
      </c>
      <c r="L623" s="8" t="s">
        <v>95</v>
      </c>
      <c r="M623" s="8">
        <v>1</v>
      </c>
      <c r="N623" s="8" t="s">
        <v>95</v>
      </c>
      <c r="O623" s="8">
        <v>1</v>
      </c>
      <c r="P623" s="8" t="s">
        <v>95</v>
      </c>
      <c r="Q623" s="8">
        <v>1</v>
      </c>
      <c r="R623" s="8" t="s">
        <v>95</v>
      </c>
      <c r="S623" s="8">
        <v>1</v>
      </c>
      <c r="T623" s="8" t="s">
        <v>95</v>
      </c>
      <c r="U623" s="8">
        <v>1</v>
      </c>
      <c r="V623" s="8" t="s">
        <v>95</v>
      </c>
      <c r="W623" s="8">
        <v>1</v>
      </c>
      <c r="X623" s="8" t="s">
        <v>95</v>
      </c>
      <c r="Y623" s="8">
        <v>1</v>
      </c>
      <c r="Z623" s="8" t="s">
        <v>95</v>
      </c>
      <c r="AA623" s="8">
        <v>1</v>
      </c>
      <c r="AB623" s="8" t="s">
        <v>95</v>
      </c>
      <c r="AC623" s="8">
        <v>1</v>
      </c>
      <c r="AD623" s="8" t="s">
        <v>95</v>
      </c>
      <c r="AE623" s="8">
        <v>1</v>
      </c>
      <c r="AF623" s="8" t="s">
        <v>95</v>
      </c>
      <c r="AG623" s="8">
        <v>1</v>
      </c>
      <c r="AH623" s="8" t="s">
        <v>95</v>
      </c>
      <c r="AI623" s="8">
        <v>1</v>
      </c>
      <c r="AJ623" s="8" t="s">
        <v>95</v>
      </c>
      <c r="AK623" s="8">
        <v>1</v>
      </c>
      <c r="AL623" s="8" t="s">
        <v>95</v>
      </c>
      <c r="AM623" s="8">
        <v>1</v>
      </c>
      <c r="AN623" s="8">
        <v>16</v>
      </c>
    </row>
    <row r="624" spans="1:40" x14ac:dyDescent="0.25">
      <c r="A624" s="8" t="s">
        <v>684</v>
      </c>
      <c r="B624" s="9">
        <v>42033.652083333334</v>
      </c>
      <c r="C624" s="8">
        <v>0</v>
      </c>
      <c r="D624" s="9">
        <v>42045.886111111111</v>
      </c>
      <c r="E624" s="8" t="s">
        <v>93</v>
      </c>
      <c r="F624" s="8">
        <v>16</v>
      </c>
      <c r="G624" s="8" t="s">
        <v>94</v>
      </c>
      <c r="H624" s="8" t="s">
        <v>95</v>
      </c>
      <c r="I624" s="8">
        <v>1</v>
      </c>
      <c r="J624" s="8" t="s">
        <v>95</v>
      </c>
      <c r="K624" s="8">
        <v>1</v>
      </c>
      <c r="L624" s="8" t="s">
        <v>95</v>
      </c>
      <c r="M624" s="8">
        <v>1</v>
      </c>
      <c r="N624" s="8" t="s">
        <v>95</v>
      </c>
      <c r="O624" s="8">
        <v>1</v>
      </c>
      <c r="P624" s="8" t="s">
        <v>95</v>
      </c>
      <c r="Q624" s="8">
        <v>1</v>
      </c>
      <c r="R624" s="8" t="s">
        <v>95</v>
      </c>
      <c r="S624" s="8">
        <v>1</v>
      </c>
      <c r="T624" s="8" t="s">
        <v>95</v>
      </c>
      <c r="U624" s="8">
        <v>1</v>
      </c>
      <c r="V624" s="8" t="s">
        <v>95</v>
      </c>
      <c r="W624" s="8">
        <v>1</v>
      </c>
      <c r="X624" s="8" t="s">
        <v>95</v>
      </c>
      <c r="Y624" s="8">
        <v>1</v>
      </c>
      <c r="Z624" s="8" t="s">
        <v>95</v>
      </c>
      <c r="AA624" s="8">
        <v>1</v>
      </c>
      <c r="AB624" s="8" t="s">
        <v>95</v>
      </c>
      <c r="AC624" s="8">
        <v>1</v>
      </c>
      <c r="AD624" s="8" t="s">
        <v>95</v>
      </c>
      <c r="AE624" s="8">
        <v>1</v>
      </c>
      <c r="AF624" s="8" t="s">
        <v>95</v>
      </c>
      <c r="AG624" s="8">
        <v>1</v>
      </c>
      <c r="AH624" s="8" t="s">
        <v>95</v>
      </c>
      <c r="AI624" s="8">
        <v>1</v>
      </c>
      <c r="AJ624" s="8" t="s">
        <v>95</v>
      </c>
      <c r="AK624" s="8">
        <v>1</v>
      </c>
      <c r="AL624" s="8" t="s">
        <v>95</v>
      </c>
      <c r="AM624" s="8">
        <v>1</v>
      </c>
      <c r="AN624" s="8">
        <v>16</v>
      </c>
    </row>
    <row r="625" spans="1:40" x14ac:dyDescent="0.25">
      <c r="A625" s="8" t="s">
        <v>685</v>
      </c>
      <c r="B625" s="9">
        <v>42033.654166666667</v>
      </c>
      <c r="C625" s="8">
        <v>0</v>
      </c>
      <c r="D625" s="9">
        <v>42045.930555555555</v>
      </c>
      <c r="E625" s="8" t="s">
        <v>93</v>
      </c>
      <c r="F625" s="8">
        <v>16</v>
      </c>
      <c r="G625" s="8" t="s">
        <v>94</v>
      </c>
      <c r="H625" s="8" t="s">
        <v>95</v>
      </c>
      <c r="I625" s="8">
        <v>1</v>
      </c>
      <c r="J625" s="8" t="s">
        <v>95</v>
      </c>
      <c r="K625" s="8">
        <v>1</v>
      </c>
      <c r="L625" s="8" t="s">
        <v>95</v>
      </c>
      <c r="M625" s="8">
        <v>1</v>
      </c>
      <c r="N625" s="8" t="s">
        <v>95</v>
      </c>
      <c r="O625" s="8">
        <v>1</v>
      </c>
      <c r="P625" s="8" t="s">
        <v>95</v>
      </c>
      <c r="Q625" s="8">
        <v>1</v>
      </c>
      <c r="R625" s="8" t="s">
        <v>95</v>
      </c>
      <c r="S625" s="8">
        <v>1</v>
      </c>
      <c r="T625" s="8" t="s">
        <v>95</v>
      </c>
      <c r="U625" s="8">
        <v>1</v>
      </c>
      <c r="V625" s="8" t="s">
        <v>95</v>
      </c>
      <c r="W625" s="8">
        <v>1</v>
      </c>
      <c r="X625" s="8" t="s">
        <v>95</v>
      </c>
      <c r="Y625" s="8">
        <v>1</v>
      </c>
      <c r="Z625" s="8" t="s">
        <v>95</v>
      </c>
      <c r="AA625" s="8">
        <v>1</v>
      </c>
      <c r="AB625" s="8" t="s">
        <v>95</v>
      </c>
      <c r="AC625" s="8">
        <v>1</v>
      </c>
      <c r="AD625" s="8" t="s">
        <v>95</v>
      </c>
      <c r="AE625" s="8">
        <v>1</v>
      </c>
      <c r="AF625" s="8" t="s">
        <v>95</v>
      </c>
      <c r="AG625" s="8">
        <v>1</v>
      </c>
      <c r="AH625" s="8" t="s">
        <v>95</v>
      </c>
      <c r="AI625" s="8">
        <v>1</v>
      </c>
      <c r="AJ625" s="8" t="s">
        <v>95</v>
      </c>
      <c r="AK625" s="8">
        <v>1</v>
      </c>
      <c r="AL625" s="8" t="s">
        <v>95</v>
      </c>
      <c r="AM625" s="8">
        <v>1</v>
      </c>
      <c r="AN625" s="8">
        <v>16</v>
      </c>
    </row>
    <row r="626" spans="1:40" x14ac:dyDescent="0.25">
      <c r="A626" s="8" t="s">
        <v>686</v>
      </c>
      <c r="B626" s="9">
        <v>42033.665972222225</v>
      </c>
      <c r="C626" s="8">
        <v>0</v>
      </c>
      <c r="D626" s="9">
        <v>42046.013888888891</v>
      </c>
      <c r="E626" s="8" t="s">
        <v>93</v>
      </c>
      <c r="F626" s="8">
        <v>16</v>
      </c>
      <c r="G626" s="8" t="s">
        <v>94</v>
      </c>
      <c r="H626" s="8" t="s">
        <v>95</v>
      </c>
      <c r="I626" s="8">
        <v>1</v>
      </c>
      <c r="J626" s="8" t="s">
        <v>95</v>
      </c>
      <c r="K626" s="8">
        <v>1</v>
      </c>
      <c r="L626" s="8" t="s">
        <v>95</v>
      </c>
      <c r="M626" s="8">
        <v>1</v>
      </c>
      <c r="N626" s="8" t="s">
        <v>95</v>
      </c>
      <c r="O626" s="8">
        <v>1</v>
      </c>
      <c r="P626" s="8" t="s">
        <v>95</v>
      </c>
      <c r="Q626" s="8">
        <v>1</v>
      </c>
      <c r="R626" s="8" t="s">
        <v>95</v>
      </c>
      <c r="S626" s="8">
        <v>1</v>
      </c>
      <c r="T626" s="8" t="s">
        <v>95</v>
      </c>
      <c r="U626" s="8">
        <v>1</v>
      </c>
      <c r="V626" s="8" t="s">
        <v>95</v>
      </c>
      <c r="W626" s="8">
        <v>1</v>
      </c>
      <c r="X626" s="8" t="s">
        <v>95</v>
      </c>
      <c r="Y626" s="8">
        <v>1</v>
      </c>
      <c r="Z626" s="8" t="s">
        <v>95</v>
      </c>
      <c r="AA626" s="8">
        <v>1</v>
      </c>
      <c r="AB626" s="8" t="s">
        <v>95</v>
      </c>
      <c r="AC626" s="8">
        <v>1</v>
      </c>
      <c r="AD626" s="8" t="s">
        <v>95</v>
      </c>
      <c r="AE626" s="8">
        <v>1</v>
      </c>
      <c r="AF626" s="8" t="s">
        <v>95</v>
      </c>
      <c r="AG626" s="8">
        <v>1</v>
      </c>
      <c r="AH626" s="8" t="s">
        <v>95</v>
      </c>
      <c r="AI626" s="8">
        <v>1</v>
      </c>
      <c r="AJ626" s="8" t="s">
        <v>95</v>
      </c>
      <c r="AK626" s="8">
        <v>1</v>
      </c>
      <c r="AL626" s="8" t="s">
        <v>95</v>
      </c>
      <c r="AM626" s="8">
        <v>1</v>
      </c>
      <c r="AN626" s="8">
        <v>16</v>
      </c>
    </row>
    <row r="627" spans="1:40" x14ac:dyDescent="0.25">
      <c r="A627" s="8" t="s">
        <v>687</v>
      </c>
      <c r="B627" s="9">
        <v>42033.652777777781</v>
      </c>
      <c r="C627" s="8">
        <v>0</v>
      </c>
      <c r="D627" s="9">
        <v>42046.061805555553</v>
      </c>
      <c r="E627" s="8" t="s">
        <v>93</v>
      </c>
      <c r="F627" s="8">
        <v>15</v>
      </c>
      <c r="G627" s="8" t="s">
        <v>94</v>
      </c>
      <c r="H627" s="8" t="s">
        <v>95</v>
      </c>
      <c r="I627" s="8">
        <v>1</v>
      </c>
      <c r="J627" s="8" t="s">
        <v>95</v>
      </c>
      <c r="K627" s="8">
        <v>1</v>
      </c>
      <c r="L627" s="8" t="s">
        <v>95</v>
      </c>
      <c r="M627" s="8">
        <v>1</v>
      </c>
      <c r="N627" s="8" t="s">
        <v>95</v>
      </c>
      <c r="O627" s="8">
        <v>1</v>
      </c>
      <c r="P627" s="8" t="s">
        <v>95</v>
      </c>
      <c r="Q627" s="8">
        <v>1</v>
      </c>
      <c r="R627" s="8" t="s">
        <v>95</v>
      </c>
      <c r="S627" s="8">
        <v>1</v>
      </c>
      <c r="T627" s="8" t="s">
        <v>94</v>
      </c>
      <c r="U627" s="8">
        <v>0</v>
      </c>
      <c r="V627" s="8" t="s">
        <v>95</v>
      </c>
      <c r="W627" s="8">
        <v>1</v>
      </c>
      <c r="X627" s="8" t="s">
        <v>95</v>
      </c>
      <c r="Y627" s="8">
        <v>1</v>
      </c>
      <c r="Z627" s="8" t="s">
        <v>95</v>
      </c>
      <c r="AA627" s="8">
        <v>1</v>
      </c>
      <c r="AB627" s="8" t="s">
        <v>95</v>
      </c>
      <c r="AC627" s="8">
        <v>1</v>
      </c>
      <c r="AD627" s="8" t="s">
        <v>95</v>
      </c>
      <c r="AE627" s="8">
        <v>1</v>
      </c>
      <c r="AF627" s="8" t="s">
        <v>95</v>
      </c>
      <c r="AG627" s="8">
        <v>1</v>
      </c>
      <c r="AH627" s="8" t="s">
        <v>95</v>
      </c>
      <c r="AI627" s="8">
        <v>1</v>
      </c>
      <c r="AJ627" s="8" t="s">
        <v>95</v>
      </c>
      <c r="AK627" s="8">
        <v>1</v>
      </c>
      <c r="AL627" s="8" t="s">
        <v>95</v>
      </c>
      <c r="AM627" s="8">
        <v>1</v>
      </c>
      <c r="AN627" s="8">
        <v>15</v>
      </c>
    </row>
    <row r="628" spans="1:40" x14ac:dyDescent="0.25">
      <c r="A628" s="8" t="s">
        <v>688</v>
      </c>
      <c r="B628" s="9">
        <v>42033.67291666667</v>
      </c>
      <c r="C628" s="8">
        <v>0</v>
      </c>
      <c r="D628" s="9">
        <v>42046.084722222222</v>
      </c>
      <c r="E628" s="8" t="s">
        <v>93</v>
      </c>
      <c r="F628" s="8">
        <v>12</v>
      </c>
      <c r="G628" s="8" t="s">
        <v>94</v>
      </c>
      <c r="H628" s="8" t="s">
        <v>95</v>
      </c>
      <c r="I628" s="8">
        <v>1</v>
      </c>
      <c r="J628" s="8" t="s">
        <v>95</v>
      </c>
      <c r="K628" s="8">
        <v>1</v>
      </c>
      <c r="L628" s="8" t="s">
        <v>94</v>
      </c>
      <c r="M628" s="8">
        <v>0</v>
      </c>
      <c r="N628" s="8" t="s">
        <v>95</v>
      </c>
      <c r="O628" s="8">
        <v>1</v>
      </c>
      <c r="P628" s="8" t="s">
        <v>95</v>
      </c>
      <c r="Q628" s="8">
        <v>1</v>
      </c>
      <c r="R628" s="8" t="s">
        <v>95</v>
      </c>
      <c r="S628" s="8">
        <v>1</v>
      </c>
      <c r="T628" s="8" t="s">
        <v>95</v>
      </c>
      <c r="U628" s="8">
        <v>1</v>
      </c>
      <c r="V628" s="8" t="s">
        <v>94</v>
      </c>
      <c r="W628" s="8">
        <v>0</v>
      </c>
      <c r="X628" s="8" t="s">
        <v>95</v>
      </c>
      <c r="Y628" s="8">
        <v>1</v>
      </c>
      <c r="Z628" s="8" t="s">
        <v>94</v>
      </c>
      <c r="AA628" s="8">
        <v>0</v>
      </c>
      <c r="AB628" s="8" t="s">
        <v>95</v>
      </c>
      <c r="AC628" s="8">
        <v>1</v>
      </c>
      <c r="AD628" s="8" t="s">
        <v>95</v>
      </c>
      <c r="AE628" s="8">
        <v>1</v>
      </c>
      <c r="AF628" s="8" t="s">
        <v>95</v>
      </c>
      <c r="AG628" s="8">
        <v>1</v>
      </c>
      <c r="AH628" s="8" t="s">
        <v>94</v>
      </c>
      <c r="AI628" s="8">
        <v>0</v>
      </c>
      <c r="AJ628" s="8" t="s">
        <v>95</v>
      </c>
      <c r="AK628" s="8">
        <v>1</v>
      </c>
      <c r="AL628" s="8" t="s">
        <v>95</v>
      </c>
      <c r="AM628" s="8">
        <v>1</v>
      </c>
      <c r="AN628" s="8">
        <v>12</v>
      </c>
    </row>
    <row r="629" spans="1:40" x14ac:dyDescent="0.25">
      <c r="A629" s="8" t="s">
        <v>689</v>
      </c>
      <c r="B629" s="9">
        <v>42033.665972222225</v>
      </c>
      <c r="C629" s="8">
        <v>0</v>
      </c>
      <c r="D629" s="9">
        <v>42046.158333333333</v>
      </c>
      <c r="E629" s="8" t="s">
        <v>93</v>
      </c>
      <c r="F629" s="8">
        <v>16</v>
      </c>
      <c r="G629" s="8" t="s">
        <v>94</v>
      </c>
      <c r="H629" s="8" t="s">
        <v>95</v>
      </c>
      <c r="I629" s="8">
        <v>1</v>
      </c>
      <c r="J629" s="8" t="s">
        <v>95</v>
      </c>
      <c r="K629" s="8">
        <v>1</v>
      </c>
      <c r="L629" s="8" t="s">
        <v>95</v>
      </c>
      <c r="M629" s="8">
        <v>1</v>
      </c>
      <c r="N629" s="8" t="s">
        <v>95</v>
      </c>
      <c r="O629" s="8">
        <v>1</v>
      </c>
      <c r="P629" s="8" t="s">
        <v>95</v>
      </c>
      <c r="Q629" s="8">
        <v>1</v>
      </c>
      <c r="R629" s="8" t="s">
        <v>95</v>
      </c>
      <c r="S629" s="8">
        <v>1</v>
      </c>
      <c r="T629" s="8" t="s">
        <v>95</v>
      </c>
      <c r="U629" s="8">
        <v>1</v>
      </c>
      <c r="V629" s="8" t="s">
        <v>95</v>
      </c>
      <c r="W629" s="8">
        <v>1</v>
      </c>
      <c r="X629" s="8" t="s">
        <v>95</v>
      </c>
      <c r="Y629" s="8">
        <v>1</v>
      </c>
      <c r="Z629" s="8" t="s">
        <v>95</v>
      </c>
      <c r="AA629" s="8">
        <v>1</v>
      </c>
      <c r="AB629" s="8" t="s">
        <v>95</v>
      </c>
      <c r="AC629" s="8">
        <v>1</v>
      </c>
      <c r="AD629" s="8" t="s">
        <v>95</v>
      </c>
      <c r="AE629" s="8">
        <v>1</v>
      </c>
      <c r="AF629" s="8" t="s">
        <v>95</v>
      </c>
      <c r="AG629" s="8">
        <v>1</v>
      </c>
      <c r="AH629" s="8" t="s">
        <v>95</v>
      </c>
      <c r="AI629" s="8">
        <v>1</v>
      </c>
      <c r="AJ629" s="8" t="s">
        <v>95</v>
      </c>
      <c r="AK629" s="8">
        <v>1</v>
      </c>
      <c r="AL629" s="8" t="s">
        <v>95</v>
      </c>
      <c r="AM629" s="8">
        <v>1</v>
      </c>
      <c r="AN629" s="8">
        <v>16</v>
      </c>
    </row>
    <row r="630" spans="1:40" x14ac:dyDescent="0.25">
      <c r="A630" s="8" t="s">
        <v>690</v>
      </c>
      <c r="B630" s="9">
        <v>42033.677083333336</v>
      </c>
      <c r="C630" s="8">
        <v>0</v>
      </c>
      <c r="D630" s="9">
        <v>42046.495138888888</v>
      </c>
      <c r="E630" s="8" t="s">
        <v>93</v>
      </c>
      <c r="F630" s="8">
        <v>14</v>
      </c>
      <c r="G630" s="8" t="s">
        <v>94</v>
      </c>
      <c r="H630" s="8" t="s">
        <v>95</v>
      </c>
      <c r="I630" s="8">
        <v>1</v>
      </c>
      <c r="J630" s="8" t="s">
        <v>95</v>
      </c>
      <c r="K630" s="8">
        <v>1</v>
      </c>
      <c r="L630" s="8" t="s">
        <v>95</v>
      </c>
      <c r="M630" s="8">
        <v>1</v>
      </c>
      <c r="N630" s="8" t="s">
        <v>95</v>
      </c>
      <c r="O630" s="8">
        <v>1</v>
      </c>
      <c r="P630" s="8" t="s">
        <v>95</v>
      </c>
      <c r="Q630" s="8">
        <v>1</v>
      </c>
      <c r="R630" s="8" t="s">
        <v>95</v>
      </c>
      <c r="S630" s="8">
        <v>1</v>
      </c>
      <c r="T630" s="8" t="s">
        <v>95</v>
      </c>
      <c r="U630" s="8">
        <v>1</v>
      </c>
      <c r="V630" s="8" t="s">
        <v>95</v>
      </c>
      <c r="W630" s="8">
        <v>1</v>
      </c>
      <c r="X630" s="8" t="s">
        <v>95</v>
      </c>
      <c r="Y630" s="8">
        <v>1</v>
      </c>
      <c r="Z630" s="8" t="s">
        <v>95</v>
      </c>
      <c r="AA630" s="8">
        <v>1</v>
      </c>
      <c r="AB630" s="8" t="s">
        <v>95</v>
      </c>
      <c r="AC630" s="8">
        <v>1</v>
      </c>
      <c r="AD630" s="8" t="s">
        <v>95</v>
      </c>
      <c r="AE630" s="8">
        <v>1</v>
      </c>
      <c r="AF630" s="8" t="s">
        <v>94</v>
      </c>
      <c r="AG630" s="8">
        <v>0</v>
      </c>
      <c r="AH630" s="8" t="s">
        <v>95</v>
      </c>
      <c r="AI630" s="8">
        <v>1</v>
      </c>
      <c r="AJ630" s="8" t="s">
        <v>95</v>
      </c>
      <c r="AK630" s="8">
        <v>1</v>
      </c>
      <c r="AL630" s="8" t="s">
        <v>94</v>
      </c>
      <c r="AM630" s="8">
        <v>0</v>
      </c>
      <c r="AN630" s="8">
        <v>14</v>
      </c>
    </row>
    <row r="631" spans="1:40" x14ac:dyDescent="0.25">
      <c r="A631" s="8" t="s">
        <v>691</v>
      </c>
      <c r="B631" s="9">
        <v>42033.674305555556</v>
      </c>
      <c r="C631" s="8">
        <v>0</v>
      </c>
      <c r="D631" s="9">
        <v>42046.713888888888</v>
      </c>
      <c r="E631" s="8" t="s">
        <v>93</v>
      </c>
      <c r="F631" s="8">
        <v>16</v>
      </c>
      <c r="G631" s="8" t="s">
        <v>94</v>
      </c>
      <c r="H631" s="8" t="s">
        <v>95</v>
      </c>
      <c r="I631" s="8">
        <v>1</v>
      </c>
      <c r="J631" s="8" t="s">
        <v>95</v>
      </c>
      <c r="K631" s="8">
        <v>1</v>
      </c>
      <c r="L631" s="8" t="s">
        <v>95</v>
      </c>
      <c r="M631" s="8">
        <v>1</v>
      </c>
      <c r="N631" s="8" t="s">
        <v>95</v>
      </c>
      <c r="O631" s="8">
        <v>1</v>
      </c>
      <c r="P631" s="8" t="s">
        <v>95</v>
      </c>
      <c r="Q631" s="8">
        <v>1</v>
      </c>
      <c r="R631" s="8" t="s">
        <v>95</v>
      </c>
      <c r="S631" s="8">
        <v>1</v>
      </c>
      <c r="T631" s="8" t="s">
        <v>95</v>
      </c>
      <c r="U631" s="8">
        <v>1</v>
      </c>
      <c r="V631" s="8" t="s">
        <v>95</v>
      </c>
      <c r="W631" s="8">
        <v>1</v>
      </c>
      <c r="X631" s="8" t="s">
        <v>95</v>
      </c>
      <c r="Y631" s="8">
        <v>1</v>
      </c>
      <c r="Z631" s="8" t="s">
        <v>95</v>
      </c>
      <c r="AA631" s="8">
        <v>1</v>
      </c>
      <c r="AB631" s="8" t="s">
        <v>95</v>
      </c>
      <c r="AC631" s="8">
        <v>1</v>
      </c>
      <c r="AD631" s="8" t="s">
        <v>95</v>
      </c>
      <c r="AE631" s="8">
        <v>1</v>
      </c>
      <c r="AF631" s="8" t="s">
        <v>95</v>
      </c>
      <c r="AG631" s="8">
        <v>1</v>
      </c>
      <c r="AH631" s="8" t="s">
        <v>95</v>
      </c>
      <c r="AI631" s="8">
        <v>1</v>
      </c>
      <c r="AJ631" s="8" t="s">
        <v>95</v>
      </c>
      <c r="AK631" s="8">
        <v>1</v>
      </c>
      <c r="AL631" s="8" t="s">
        <v>95</v>
      </c>
      <c r="AM631" s="8">
        <v>1</v>
      </c>
      <c r="AN631" s="8">
        <v>16</v>
      </c>
    </row>
    <row r="632" spans="1:40" x14ac:dyDescent="0.25">
      <c r="A632" s="8" t="s">
        <v>692</v>
      </c>
      <c r="B632" s="9">
        <v>42033.675000000003</v>
      </c>
      <c r="C632" s="8">
        <v>0</v>
      </c>
      <c r="D632" s="9">
        <v>42047.064583333333</v>
      </c>
      <c r="E632" s="8" t="s">
        <v>93</v>
      </c>
      <c r="F632" s="8">
        <v>16</v>
      </c>
      <c r="G632" s="8" t="s">
        <v>94</v>
      </c>
      <c r="H632" s="8" t="s">
        <v>95</v>
      </c>
      <c r="I632" s="8">
        <v>1</v>
      </c>
      <c r="J632" s="8" t="s">
        <v>95</v>
      </c>
      <c r="K632" s="8">
        <v>1</v>
      </c>
      <c r="L632" s="8" t="s">
        <v>95</v>
      </c>
      <c r="M632" s="8">
        <v>1</v>
      </c>
      <c r="N632" s="8" t="s">
        <v>95</v>
      </c>
      <c r="O632" s="8">
        <v>1</v>
      </c>
      <c r="P632" s="8" t="s">
        <v>95</v>
      </c>
      <c r="Q632" s="8">
        <v>1</v>
      </c>
      <c r="R632" s="8" t="s">
        <v>95</v>
      </c>
      <c r="S632" s="8">
        <v>1</v>
      </c>
      <c r="T632" s="8" t="s">
        <v>95</v>
      </c>
      <c r="U632" s="8">
        <v>1</v>
      </c>
      <c r="V632" s="8" t="s">
        <v>95</v>
      </c>
      <c r="W632" s="8">
        <v>1</v>
      </c>
      <c r="X632" s="8" t="s">
        <v>95</v>
      </c>
      <c r="Y632" s="8">
        <v>1</v>
      </c>
      <c r="Z632" s="8" t="s">
        <v>95</v>
      </c>
      <c r="AA632" s="8">
        <v>1</v>
      </c>
      <c r="AB632" s="8" t="s">
        <v>95</v>
      </c>
      <c r="AC632" s="8">
        <v>1</v>
      </c>
      <c r="AD632" s="8" t="s">
        <v>95</v>
      </c>
      <c r="AE632" s="8">
        <v>1</v>
      </c>
      <c r="AF632" s="8" t="s">
        <v>95</v>
      </c>
      <c r="AG632" s="8">
        <v>1</v>
      </c>
      <c r="AH632" s="8" t="s">
        <v>95</v>
      </c>
      <c r="AI632" s="8">
        <v>1</v>
      </c>
      <c r="AJ632" s="8" t="s">
        <v>95</v>
      </c>
      <c r="AK632" s="8">
        <v>1</v>
      </c>
      <c r="AL632" s="8" t="s">
        <v>95</v>
      </c>
      <c r="AM632" s="8">
        <v>1</v>
      </c>
      <c r="AN632" s="8">
        <v>16</v>
      </c>
    </row>
    <row r="633" spans="1:40" x14ac:dyDescent="0.25">
      <c r="A633" s="8" t="s">
        <v>693</v>
      </c>
      <c r="B633" s="9">
        <v>42033.65347222222</v>
      </c>
      <c r="C633" s="8">
        <v>0</v>
      </c>
      <c r="D633" s="9">
        <v>42047.203472222223</v>
      </c>
      <c r="E633" s="8" t="s">
        <v>93</v>
      </c>
      <c r="F633" s="8">
        <v>16</v>
      </c>
      <c r="G633" s="8" t="s">
        <v>94</v>
      </c>
      <c r="H633" s="8" t="s">
        <v>95</v>
      </c>
      <c r="I633" s="8">
        <v>1</v>
      </c>
      <c r="J633" s="8" t="s">
        <v>95</v>
      </c>
      <c r="K633" s="8">
        <v>1</v>
      </c>
      <c r="L633" s="8" t="s">
        <v>95</v>
      </c>
      <c r="M633" s="8">
        <v>1</v>
      </c>
      <c r="N633" s="8" t="s">
        <v>95</v>
      </c>
      <c r="O633" s="8">
        <v>1</v>
      </c>
      <c r="P633" s="8" t="s">
        <v>95</v>
      </c>
      <c r="Q633" s="8">
        <v>1</v>
      </c>
      <c r="R633" s="8" t="s">
        <v>95</v>
      </c>
      <c r="S633" s="8">
        <v>1</v>
      </c>
      <c r="T633" s="8" t="s">
        <v>95</v>
      </c>
      <c r="U633" s="8">
        <v>1</v>
      </c>
      <c r="V633" s="8" t="s">
        <v>95</v>
      </c>
      <c r="W633" s="8">
        <v>1</v>
      </c>
      <c r="X633" s="8" t="s">
        <v>95</v>
      </c>
      <c r="Y633" s="8">
        <v>1</v>
      </c>
      <c r="Z633" s="8" t="s">
        <v>95</v>
      </c>
      <c r="AA633" s="8">
        <v>1</v>
      </c>
      <c r="AB633" s="8" t="s">
        <v>95</v>
      </c>
      <c r="AC633" s="8">
        <v>1</v>
      </c>
      <c r="AD633" s="8" t="s">
        <v>95</v>
      </c>
      <c r="AE633" s="8">
        <v>1</v>
      </c>
      <c r="AF633" s="8" t="s">
        <v>95</v>
      </c>
      <c r="AG633" s="8">
        <v>1</v>
      </c>
      <c r="AH633" s="8" t="s">
        <v>95</v>
      </c>
      <c r="AI633" s="8">
        <v>1</v>
      </c>
      <c r="AJ633" s="8" t="s">
        <v>95</v>
      </c>
      <c r="AK633" s="8">
        <v>1</v>
      </c>
      <c r="AL633" s="8" t="s">
        <v>95</v>
      </c>
      <c r="AM633" s="8">
        <v>1</v>
      </c>
      <c r="AN633" s="8">
        <v>16</v>
      </c>
    </row>
    <row r="634" spans="1:40" x14ac:dyDescent="0.25">
      <c r="A634" s="8" t="s">
        <v>694</v>
      </c>
      <c r="B634" s="9">
        <v>42033.654166666667</v>
      </c>
      <c r="C634" s="8">
        <v>0</v>
      </c>
      <c r="D634" s="9">
        <v>42048.046527777777</v>
      </c>
      <c r="E634" s="8" t="s">
        <v>93</v>
      </c>
      <c r="F634" s="8">
        <v>16</v>
      </c>
      <c r="G634" s="8" t="s">
        <v>94</v>
      </c>
      <c r="H634" s="8" t="s">
        <v>95</v>
      </c>
      <c r="I634" s="8">
        <v>1</v>
      </c>
      <c r="J634" s="8" t="s">
        <v>95</v>
      </c>
      <c r="K634" s="8">
        <v>1</v>
      </c>
      <c r="L634" s="8" t="s">
        <v>95</v>
      </c>
      <c r="M634" s="8">
        <v>1</v>
      </c>
      <c r="N634" s="8" t="s">
        <v>95</v>
      </c>
      <c r="O634" s="8">
        <v>1</v>
      </c>
      <c r="P634" s="8" t="s">
        <v>95</v>
      </c>
      <c r="Q634" s="8">
        <v>1</v>
      </c>
      <c r="R634" s="8" t="s">
        <v>95</v>
      </c>
      <c r="S634" s="8">
        <v>1</v>
      </c>
      <c r="T634" s="8" t="s">
        <v>95</v>
      </c>
      <c r="U634" s="8">
        <v>1</v>
      </c>
      <c r="V634" s="8" t="s">
        <v>95</v>
      </c>
      <c r="W634" s="8">
        <v>1</v>
      </c>
      <c r="X634" s="8" t="s">
        <v>95</v>
      </c>
      <c r="Y634" s="8">
        <v>1</v>
      </c>
      <c r="Z634" s="8" t="s">
        <v>95</v>
      </c>
      <c r="AA634" s="8">
        <v>1</v>
      </c>
      <c r="AB634" s="8" t="s">
        <v>95</v>
      </c>
      <c r="AC634" s="8">
        <v>1</v>
      </c>
      <c r="AD634" s="8" t="s">
        <v>95</v>
      </c>
      <c r="AE634" s="8">
        <v>1</v>
      </c>
      <c r="AF634" s="8" t="s">
        <v>95</v>
      </c>
      <c r="AG634" s="8">
        <v>1</v>
      </c>
      <c r="AH634" s="8" t="s">
        <v>95</v>
      </c>
      <c r="AI634" s="8">
        <v>1</v>
      </c>
      <c r="AJ634" s="8" t="s">
        <v>95</v>
      </c>
      <c r="AK634" s="8">
        <v>1</v>
      </c>
      <c r="AL634" s="8" t="s">
        <v>95</v>
      </c>
      <c r="AM634" s="8">
        <v>1</v>
      </c>
      <c r="AN634" s="8">
        <v>16</v>
      </c>
    </row>
    <row r="635" spans="1:40" x14ac:dyDescent="0.25">
      <c r="A635" s="8" t="s">
        <v>695</v>
      </c>
      <c r="B635" s="9">
        <v>42033.65625</v>
      </c>
      <c r="C635" s="8">
        <v>0</v>
      </c>
      <c r="D635" s="9">
        <v>42048.048611111109</v>
      </c>
      <c r="E635" s="8" t="s">
        <v>93</v>
      </c>
      <c r="F635" s="8">
        <v>13</v>
      </c>
      <c r="G635" s="8" t="s">
        <v>94</v>
      </c>
      <c r="H635" s="8" t="s">
        <v>95</v>
      </c>
      <c r="I635" s="8">
        <v>1</v>
      </c>
      <c r="J635" s="8" t="s">
        <v>95</v>
      </c>
      <c r="K635" s="8">
        <v>1</v>
      </c>
      <c r="L635" s="8" t="s">
        <v>95</v>
      </c>
      <c r="M635" s="8">
        <v>1</v>
      </c>
      <c r="N635" s="8" t="s">
        <v>95</v>
      </c>
      <c r="O635" s="8">
        <v>1</v>
      </c>
      <c r="P635" s="8" t="s">
        <v>95</v>
      </c>
      <c r="Q635" s="8">
        <v>1</v>
      </c>
      <c r="R635" s="8" t="s">
        <v>95</v>
      </c>
      <c r="S635" s="8">
        <v>1</v>
      </c>
      <c r="T635" s="8" t="s">
        <v>95</v>
      </c>
      <c r="U635" s="8">
        <v>1</v>
      </c>
      <c r="V635" s="8" t="s">
        <v>94</v>
      </c>
      <c r="W635" s="8">
        <v>0</v>
      </c>
      <c r="X635" s="8" t="s">
        <v>95</v>
      </c>
      <c r="Y635" s="8">
        <v>1</v>
      </c>
      <c r="Z635" s="8" t="s">
        <v>95</v>
      </c>
      <c r="AA635" s="8">
        <v>1</v>
      </c>
      <c r="AB635" s="8" t="s">
        <v>95</v>
      </c>
      <c r="AC635" s="8">
        <v>1</v>
      </c>
      <c r="AD635" s="8" t="s">
        <v>95</v>
      </c>
      <c r="AE635" s="8">
        <v>1</v>
      </c>
      <c r="AF635" s="8" t="s">
        <v>94</v>
      </c>
      <c r="AG635" s="8">
        <v>0</v>
      </c>
      <c r="AH635" s="8" t="s">
        <v>95</v>
      </c>
      <c r="AI635" s="8">
        <v>1</v>
      </c>
      <c r="AJ635" s="8" t="s">
        <v>95</v>
      </c>
      <c r="AK635" s="8">
        <v>1</v>
      </c>
      <c r="AL635" s="8" t="s">
        <v>94</v>
      </c>
      <c r="AM635" s="8">
        <v>0</v>
      </c>
      <c r="AN635" s="8">
        <v>13</v>
      </c>
    </row>
    <row r="636" spans="1:40" x14ac:dyDescent="0.25">
      <c r="A636" s="8" t="s">
        <v>696</v>
      </c>
      <c r="B636" s="9">
        <v>42033.65347222222</v>
      </c>
      <c r="C636" s="8">
        <v>0</v>
      </c>
      <c r="D636" s="9">
        <v>42048.059027777781</v>
      </c>
      <c r="E636" s="8" t="s">
        <v>93</v>
      </c>
      <c r="F636" s="8">
        <v>16</v>
      </c>
      <c r="G636" s="8" t="s">
        <v>94</v>
      </c>
      <c r="H636" s="8" t="s">
        <v>95</v>
      </c>
      <c r="I636" s="8">
        <v>1</v>
      </c>
      <c r="J636" s="8" t="s">
        <v>95</v>
      </c>
      <c r="K636" s="8">
        <v>1</v>
      </c>
      <c r="L636" s="8" t="s">
        <v>95</v>
      </c>
      <c r="M636" s="8">
        <v>1</v>
      </c>
      <c r="N636" s="8" t="s">
        <v>95</v>
      </c>
      <c r="O636" s="8">
        <v>1</v>
      </c>
      <c r="P636" s="8" t="s">
        <v>95</v>
      </c>
      <c r="Q636" s="8">
        <v>1</v>
      </c>
      <c r="R636" s="8" t="s">
        <v>95</v>
      </c>
      <c r="S636" s="8">
        <v>1</v>
      </c>
      <c r="T636" s="8" t="s">
        <v>95</v>
      </c>
      <c r="U636" s="8">
        <v>1</v>
      </c>
      <c r="V636" s="8" t="s">
        <v>95</v>
      </c>
      <c r="W636" s="8">
        <v>1</v>
      </c>
      <c r="X636" s="8" t="s">
        <v>95</v>
      </c>
      <c r="Y636" s="8">
        <v>1</v>
      </c>
      <c r="Z636" s="8" t="s">
        <v>95</v>
      </c>
      <c r="AA636" s="8">
        <v>1</v>
      </c>
      <c r="AB636" s="8" t="s">
        <v>95</v>
      </c>
      <c r="AC636" s="8">
        <v>1</v>
      </c>
      <c r="AD636" s="8" t="s">
        <v>95</v>
      </c>
      <c r="AE636" s="8">
        <v>1</v>
      </c>
      <c r="AF636" s="8" t="s">
        <v>95</v>
      </c>
      <c r="AG636" s="8">
        <v>1</v>
      </c>
      <c r="AH636" s="8" t="s">
        <v>95</v>
      </c>
      <c r="AI636" s="8">
        <v>1</v>
      </c>
      <c r="AJ636" s="8" t="s">
        <v>95</v>
      </c>
      <c r="AK636" s="8">
        <v>1</v>
      </c>
      <c r="AL636" s="8" t="s">
        <v>95</v>
      </c>
      <c r="AM636" s="8">
        <v>1</v>
      </c>
      <c r="AN636" s="8">
        <v>16</v>
      </c>
    </row>
    <row r="637" spans="1:40" x14ac:dyDescent="0.25">
      <c r="A637" s="8" t="s">
        <v>697</v>
      </c>
      <c r="B637" s="9">
        <v>42033.678472222222</v>
      </c>
      <c r="C637" s="8">
        <v>0</v>
      </c>
      <c r="D637" s="9">
        <v>42048.060416666667</v>
      </c>
      <c r="E637" s="8" t="s">
        <v>93</v>
      </c>
      <c r="F637" s="8">
        <v>3</v>
      </c>
      <c r="G637" s="8" t="s">
        <v>94</v>
      </c>
      <c r="H637" s="8" t="s">
        <v>94</v>
      </c>
      <c r="I637" s="8">
        <v>0</v>
      </c>
      <c r="J637" s="8" t="s">
        <v>94</v>
      </c>
      <c r="K637" s="8">
        <v>0</v>
      </c>
      <c r="L637" s="8" t="s">
        <v>94</v>
      </c>
      <c r="M637" s="8">
        <v>0</v>
      </c>
      <c r="N637" s="8" t="s">
        <v>94</v>
      </c>
      <c r="O637" s="8">
        <v>0</v>
      </c>
      <c r="P637" s="8" t="s">
        <v>94</v>
      </c>
      <c r="Q637" s="8">
        <v>0</v>
      </c>
      <c r="R637" s="8" t="s">
        <v>94</v>
      </c>
      <c r="S637" s="8">
        <v>0</v>
      </c>
      <c r="T637" s="8" t="s">
        <v>94</v>
      </c>
      <c r="U637" s="8">
        <v>0</v>
      </c>
      <c r="V637" s="8" t="s">
        <v>95</v>
      </c>
      <c r="W637" s="8">
        <v>1</v>
      </c>
      <c r="X637" s="8" t="s">
        <v>94</v>
      </c>
      <c r="Y637" s="8">
        <v>0</v>
      </c>
      <c r="Z637" s="8" t="s">
        <v>94</v>
      </c>
      <c r="AA637" s="8">
        <v>0</v>
      </c>
      <c r="AB637" s="8" t="s">
        <v>94</v>
      </c>
      <c r="AC637" s="8">
        <v>0</v>
      </c>
      <c r="AD637" s="8" t="s">
        <v>95</v>
      </c>
      <c r="AE637" s="8">
        <v>1</v>
      </c>
      <c r="AF637" s="8" t="s">
        <v>94</v>
      </c>
      <c r="AG637" s="8">
        <v>0</v>
      </c>
      <c r="AH637" s="8" t="s">
        <v>94</v>
      </c>
      <c r="AI637" s="8">
        <v>0</v>
      </c>
      <c r="AJ637" s="8" t="s">
        <v>95</v>
      </c>
      <c r="AK637" s="8">
        <v>1</v>
      </c>
      <c r="AL637" s="8" t="s">
        <v>94</v>
      </c>
      <c r="AM637" s="8">
        <v>0</v>
      </c>
      <c r="AN637" s="8">
        <v>3</v>
      </c>
    </row>
    <row r="638" spans="1:40" x14ac:dyDescent="0.25">
      <c r="A638" s="8" t="s">
        <v>698</v>
      </c>
      <c r="B638" s="9">
        <v>42033.675000000003</v>
      </c>
      <c r="C638" s="8">
        <v>0</v>
      </c>
      <c r="D638" s="9">
        <v>42048.060416666667</v>
      </c>
      <c r="E638" s="8" t="s">
        <v>93</v>
      </c>
      <c r="F638" s="8">
        <v>4</v>
      </c>
      <c r="G638" s="8" t="s">
        <v>94</v>
      </c>
      <c r="H638" s="8" t="s">
        <v>94</v>
      </c>
      <c r="I638" s="8">
        <v>0</v>
      </c>
      <c r="J638" s="8" t="s">
        <v>94</v>
      </c>
      <c r="K638" s="8">
        <v>0</v>
      </c>
      <c r="L638" s="8" t="s">
        <v>94</v>
      </c>
      <c r="M638" s="8">
        <v>0</v>
      </c>
      <c r="N638" s="8" t="s">
        <v>94</v>
      </c>
      <c r="O638" s="8">
        <v>0</v>
      </c>
      <c r="P638" s="8" t="s">
        <v>94</v>
      </c>
      <c r="Q638" s="8">
        <v>0</v>
      </c>
      <c r="R638" s="8" t="s">
        <v>95</v>
      </c>
      <c r="S638" s="8">
        <v>1</v>
      </c>
      <c r="T638" s="8" t="s">
        <v>94</v>
      </c>
      <c r="U638" s="8">
        <v>0</v>
      </c>
      <c r="V638" s="8" t="s">
        <v>94</v>
      </c>
      <c r="W638" s="8">
        <v>0</v>
      </c>
      <c r="X638" s="8" t="s">
        <v>94</v>
      </c>
      <c r="Y638" s="8">
        <v>0</v>
      </c>
      <c r="Z638" s="8" t="s">
        <v>95</v>
      </c>
      <c r="AA638" s="8">
        <v>1</v>
      </c>
      <c r="AB638" s="8" t="s">
        <v>94</v>
      </c>
      <c r="AC638" s="8">
        <v>0</v>
      </c>
      <c r="AD638" s="8" t="s">
        <v>95</v>
      </c>
      <c r="AE638" s="8">
        <v>1</v>
      </c>
      <c r="AF638" s="8" t="s">
        <v>95</v>
      </c>
      <c r="AG638" s="8">
        <v>1</v>
      </c>
      <c r="AH638" s="8" t="s">
        <v>94</v>
      </c>
      <c r="AI638" s="8">
        <v>0</v>
      </c>
      <c r="AJ638" s="8" t="s">
        <v>94</v>
      </c>
      <c r="AK638" s="8">
        <v>0</v>
      </c>
      <c r="AL638" s="8" t="s">
        <v>94</v>
      </c>
      <c r="AM638" s="8">
        <v>0</v>
      </c>
      <c r="AN638" s="8">
        <v>4</v>
      </c>
    </row>
    <row r="639" spans="1:40" x14ac:dyDescent="0.25">
      <c r="A639" s="8" t="s">
        <v>699</v>
      </c>
      <c r="B639" s="9">
        <v>42033.683333333334</v>
      </c>
      <c r="C639" s="8">
        <v>0</v>
      </c>
      <c r="D639" s="9">
        <v>42048.061111111114</v>
      </c>
      <c r="E639" s="8" t="s">
        <v>93</v>
      </c>
      <c r="F639" s="8">
        <v>4</v>
      </c>
      <c r="G639" s="8" t="s">
        <v>94</v>
      </c>
      <c r="H639" s="8" t="s">
        <v>94</v>
      </c>
      <c r="I639" s="8">
        <v>0</v>
      </c>
      <c r="J639" s="8" t="s">
        <v>94</v>
      </c>
      <c r="K639" s="8">
        <v>0</v>
      </c>
      <c r="L639" s="8" t="s">
        <v>94</v>
      </c>
      <c r="M639" s="8">
        <v>0</v>
      </c>
      <c r="N639" s="8" t="s">
        <v>94</v>
      </c>
      <c r="O639" s="8">
        <v>0</v>
      </c>
      <c r="P639" s="8" t="s">
        <v>94</v>
      </c>
      <c r="Q639" s="8">
        <v>0</v>
      </c>
      <c r="R639" s="8" t="s">
        <v>95</v>
      </c>
      <c r="S639" s="8">
        <v>1</v>
      </c>
      <c r="T639" s="8" t="s">
        <v>94</v>
      </c>
      <c r="U639" s="8">
        <v>0</v>
      </c>
      <c r="V639" s="8" t="s">
        <v>95</v>
      </c>
      <c r="W639" s="8">
        <v>1</v>
      </c>
      <c r="X639" s="8" t="s">
        <v>94</v>
      </c>
      <c r="Y639" s="8">
        <v>0</v>
      </c>
      <c r="Z639" s="8" t="s">
        <v>94</v>
      </c>
      <c r="AA639" s="8">
        <v>0</v>
      </c>
      <c r="AB639" s="8" t="s">
        <v>94</v>
      </c>
      <c r="AC639" s="8">
        <v>0</v>
      </c>
      <c r="AD639" s="8" t="s">
        <v>95</v>
      </c>
      <c r="AE639" s="8">
        <v>1</v>
      </c>
      <c r="AF639" s="8" t="s">
        <v>94</v>
      </c>
      <c r="AG639" s="8">
        <v>0</v>
      </c>
      <c r="AH639" s="8" t="s">
        <v>94</v>
      </c>
      <c r="AI639" s="8">
        <v>0</v>
      </c>
      <c r="AJ639" s="8" t="s">
        <v>95</v>
      </c>
      <c r="AK639" s="8">
        <v>1</v>
      </c>
      <c r="AL639" s="8" t="s">
        <v>94</v>
      </c>
      <c r="AM639" s="8">
        <v>0</v>
      </c>
      <c r="AN639" s="8">
        <v>4</v>
      </c>
    </row>
    <row r="640" spans="1:40" x14ac:dyDescent="0.25">
      <c r="A640" s="8" t="s">
        <v>700</v>
      </c>
      <c r="B640" s="9">
        <v>42033.680555555555</v>
      </c>
      <c r="C640" s="8">
        <v>0</v>
      </c>
      <c r="D640" s="9">
        <v>42048.063194444447</v>
      </c>
      <c r="E640" s="8" t="s">
        <v>93</v>
      </c>
      <c r="F640" s="8">
        <v>15</v>
      </c>
      <c r="G640" s="8" t="s">
        <v>94</v>
      </c>
      <c r="H640" s="8" t="s">
        <v>95</v>
      </c>
      <c r="I640" s="8">
        <v>1</v>
      </c>
      <c r="J640" s="8" t="s">
        <v>95</v>
      </c>
      <c r="K640" s="8">
        <v>1</v>
      </c>
      <c r="L640" s="8" t="s">
        <v>94</v>
      </c>
      <c r="M640" s="8">
        <v>0</v>
      </c>
      <c r="N640" s="8" t="s">
        <v>95</v>
      </c>
      <c r="O640" s="8">
        <v>1</v>
      </c>
      <c r="P640" s="8" t="s">
        <v>95</v>
      </c>
      <c r="Q640" s="8">
        <v>1</v>
      </c>
      <c r="R640" s="8" t="s">
        <v>95</v>
      </c>
      <c r="S640" s="8">
        <v>1</v>
      </c>
      <c r="T640" s="8" t="s">
        <v>95</v>
      </c>
      <c r="U640" s="8">
        <v>1</v>
      </c>
      <c r="V640" s="8" t="s">
        <v>95</v>
      </c>
      <c r="W640" s="8">
        <v>1</v>
      </c>
      <c r="X640" s="8" t="s">
        <v>95</v>
      </c>
      <c r="Y640" s="8">
        <v>1</v>
      </c>
      <c r="Z640" s="8" t="s">
        <v>95</v>
      </c>
      <c r="AA640" s="8">
        <v>1</v>
      </c>
      <c r="AB640" s="8" t="s">
        <v>95</v>
      </c>
      <c r="AC640" s="8">
        <v>1</v>
      </c>
      <c r="AD640" s="8" t="s">
        <v>95</v>
      </c>
      <c r="AE640" s="8">
        <v>1</v>
      </c>
      <c r="AF640" s="8" t="s">
        <v>95</v>
      </c>
      <c r="AG640" s="8">
        <v>1</v>
      </c>
      <c r="AH640" s="8" t="s">
        <v>95</v>
      </c>
      <c r="AI640" s="8">
        <v>1</v>
      </c>
      <c r="AJ640" s="8" t="s">
        <v>95</v>
      </c>
      <c r="AK640" s="8">
        <v>1</v>
      </c>
      <c r="AL640" s="8" t="s">
        <v>95</v>
      </c>
      <c r="AM640" s="8">
        <v>1</v>
      </c>
      <c r="AN640" s="8">
        <v>15</v>
      </c>
    </row>
    <row r="641" spans="1:40" x14ac:dyDescent="0.25">
      <c r="A641" s="8" t="s">
        <v>701</v>
      </c>
      <c r="B641" s="9">
        <v>42033.67291666667</v>
      </c>
      <c r="C641" s="8">
        <v>0</v>
      </c>
      <c r="D641" s="9">
        <v>42048.064583333333</v>
      </c>
      <c r="E641" s="8" t="s">
        <v>93</v>
      </c>
      <c r="F641" s="8">
        <v>0</v>
      </c>
      <c r="G641" s="8" t="s">
        <v>94</v>
      </c>
      <c r="H641" s="8" t="s">
        <v>94</v>
      </c>
      <c r="I641" s="8">
        <v>0</v>
      </c>
      <c r="J641" s="8" t="s">
        <v>94</v>
      </c>
      <c r="K641" s="8">
        <v>0</v>
      </c>
      <c r="L641" s="8" t="s">
        <v>94</v>
      </c>
      <c r="M641" s="8">
        <v>0</v>
      </c>
      <c r="N641" s="8" t="s">
        <v>94</v>
      </c>
      <c r="O641" s="8">
        <v>0</v>
      </c>
      <c r="P641" s="8" t="s">
        <v>94</v>
      </c>
      <c r="Q641" s="8">
        <v>0</v>
      </c>
      <c r="R641" s="8" t="s">
        <v>94</v>
      </c>
      <c r="S641" s="8">
        <v>0</v>
      </c>
      <c r="T641" s="8" t="s">
        <v>94</v>
      </c>
      <c r="U641" s="8">
        <v>0</v>
      </c>
      <c r="V641" s="8" t="s">
        <v>94</v>
      </c>
      <c r="W641" s="8">
        <v>0</v>
      </c>
      <c r="X641" s="8" t="s">
        <v>94</v>
      </c>
      <c r="Y641" s="8">
        <v>0</v>
      </c>
      <c r="Z641" s="8" t="s">
        <v>94</v>
      </c>
      <c r="AA641" s="8">
        <v>0</v>
      </c>
      <c r="AB641" s="8" t="s">
        <v>94</v>
      </c>
      <c r="AC641" s="8">
        <v>0</v>
      </c>
      <c r="AD641" s="8" t="s">
        <v>94</v>
      </c>
      <c r="AE641" s="8">
        <v>0</v>
      </c>
      <c r="AF641" s="8" t="s">
        <v>94</v>
      </c>
      <c r="AG641" s="8">
        <v>0</v>
      </c>
      <c r="AH641" s="8" t="s">
        <v>94</v>
      </c>
      <c r="AI641" s="8">
        <v>0</v>
      </c>
      <c r="AJ641" s="8" t="s">
        <v>94</v>
      </c>
      <c r="AK641" s="8">
        <v>0</v>
      </c>
      <c r="AL641" s="8" t="s">
        <v>94</v>
      </c>
      <c r="AM641" s="8">
        <v>0</v>
      </c>
      <c r="AN641" s="8">
        <v>0</v>
      </c>
    </row>
    <row r="642" spans="1:40" x14ac:dyDescent="0.25">
      <c r="A642" s="8" t="s">
        <v>702</v>
      </c>
      <c r="B642" s="9">
        <v>42033.667361111111</v>
      </c>
      <c r="C642" s="8">
        <v>0</v>
      </c>
      <c r="D642" s="9">
        <v>42048.06527777778</v>
      </c>
      <c r="E642" s="8" t="s">
        <v>93</v>
      </c>
      <c r="F642" s="8">
        <v>16</v>
      </c>
      <c r="G642" s="8" t="s">
        <v>94</v>
      </c>
      <c r="H642" s="8" t="s">
        <v>95</v>
      </c>
      <c r="I642" s="8">
        <v>1</v>
      </c>
      <c r="J642" s="8" t="s">
        <v>95</v>
      </c>
      <c r="K642" s="8">
        <v>1</v>
      </c>
      <c r="L642" s="8" t="s">
        <v>95</v>
      </c>
      <c r="M642" s="8">
        <v>1</v>
      </c>
      <c r="N642" s="8" t="s">
        <v>95</v>
      </c>
      <c r="O642" s="8">
        <v>1</v>
      </c>
      <c r="P642" s="8" t="s">
        <v>95</v>
      </c>
      <c r="Q642" s="8">
        <v>1</v>
      </c>
      <c r="R642" s="8" t="s">
        <v>95</v>
      </c>
      <c r="S642" s="8">
        <v>1</v>
      </c>
      <c r="T642" s="8" t="s">
        <v>95</v>
      </c>
      <c r="U642" s="8">
        <v>1</v>
      </c>
      <c r="V642" s="8" t="s">
        <v>95</v>
      </c>
      <c r="W642" s="8">
        <v>1</v>
      </c>
      <c r="X642" s="8" t="s">
        <v>95</v>
      </c>
      <c r="Y642" s="8">
        <v>1</v>
      </c>
      <c r="Z642" s="8" t="s">
        <v>95</v>
      </c>
      <c r="AA642" s="8">
        <v>1</v>
      </c>
      <c r="AB642" s="8" t="s">
        <v>95</v>
      </c>
      <c r="AC642" s="8">
        <v>1</v>
      </c>
      <c r="AD642" s="8" t="s">
        <v>95</v>
      </c>
      <c r="AE642" s="8">
        <v>1</v>
      </c>
      <c r="AF642" s="8" t="s">
        <v>95</v>
      </c>
      <c r="AG642" s="8">
        <v>1</v>
      </c>
      <c r="AH642" s="8" t="s">
        <v>95</v>
      </c>
      <c r="AI642" s="8">
        <v>1</v>
      </c>
      <c r="AJ642" s="8" t="s">
        <v>95</v>
      </c>
      <c r="AK642" s="8">
        <v>1</v>
      </c>
      <c r="AL642" s="8" t="s">
        <v>95</v>
      </c>
      <c r="AM642" s="8">
        <v>1</v>
      </c>
      <c r="AN642" s="8">
        <v>16</v>
      </c>
    </row>
    <row r="643" spans="1:40" x14ac:dyDescent="0.25">
      <c r="A643" s="8" t="s">
        <v>703</v>
      </c>
      <c r="B643" s="9">
        <v>42033.680555555555</v>
      </c>
      <c r="C643" s="8">
        <v>0</v>
      </c>
      <c r="D643" s="9">
        <v>42048.072222222225</v>
      </c>
      <c r="E643" s="8" t="s">
        <v>93</v>
      </c>
      <c r="F643" s="8">
        <v>3</v>
      </c>
      <c r="G643" s="8" t="s">
        <v>94</v>
      </c>
      <c r="H643" s="8" t="s">
        <v>95</v>
      </c>
      <c r="I643" s="8">
        <v>1</v>
      </c>
      <c r="J643" s="8" t="s">
        <v>95</v>
      </c>
      <c r="K643" s="8">
        <v>1</v>
      </c>
      <c r="L643" s="8" t="s">
        <v>94</v>
      </c>
      <c r="M643" s="8">
        <v>0</v>
      </c>
      <c r="N643" s="8" t="s">
        <v>94</v>
      </c>
      <c r="O643" s="8">
        <v>0</v>
      </c>
      <c r="P643" s="8" t="s">
        <v>94</v>
      </c>
      <c r="Q643" s="8">
        <v>0</v>
      </c>
      <c r="R643" s="8" t="s">
        <v>94</v>
      </c>
      <c r="S643" s="8">
        <v>0</v>
      </c>
      <c r="T643" s="8" t="s">
        <v>94</v>
      </c>
      <c r="U643" s="8">
        <v>0</v>
      </c>
      <c r="V643" s="8" t="s">
        <v>94</v>
      </c>
      <c r="W643" s="8">
        <v>0</v>
      </c>
      <c r="X643" s="8" t="s">
        <v>94</v>
      </c>
      <c r="Y643" s="8">
        <v>0</v>
      </c>
      <c r="Z643" s="8" t="s">
        <v>94</v>
      </c>
      <c r="AA643" s="8">
        <v>0</v>
      </c>
      <c r="AB643" s="8" t="s">
        <v>94</v>
      </c>
      <c r="AC643" s="8">
        <v>0</v>
      </c>
      <c r="AD643" s="8" t="s">
        <v>95</v>
      </c>
      <c r="AE643" s="8">
        <v>1</v>
      </c>
      <c r="AF643" s="8" t="s">
        <v>94</v>
      </c>
      <c r="AG643" s="8">
        <v>0</v>
      </c>
      <c r="AH643" s="8" t="s">
        <v>94</v>
      </c>
      <c r="AI643" s="8">
        <v>0</v>
      </c>
      <c r="AJ643" s="8" t="s">
        <v>94</v>
      </c>
      <c r="AK643" s="8">
        <v>0</v>
      </c>
      <c r="AL643" s="8" t="s">
        <v>94</v>
      </c>
      <c r="AM643" s="8">
        <v>0</v>
      </c>
      <c r="AN643" s="8">
        <v>3</v>
      </c>
    </row>
    <row r="644" spans="1:40" x14ac:dyDescent="0.25">
      <c r="A644" s="8" t="s">
        <v>704</v>
      </c>
      <c r="B644" s="9">
        <v>42033.678472222222</v>
      </c>
      <c r="C644" s="8">
        <v>0</v>
      </c>
      <c r="D644" s="9">
        <v>42048.074305555558</v>
      </c>
      <c r="E644" s="8" t="s">
        <v>93</v>
      </c>
      <c r="F644" s="8">
        <v>16</v>
      </c>
      <c r="G644" s="8" t="s">
        <v>94</v>
      </c>
      <c r="H644" s="8" t="s">
        <v>95</v>
      </c>
      <c r="I644" s="8">
        <v>1</v>
      </c>
      <c r="J644" s="8" t="s">
        <v>95</v>
      </c>
      <c r="K644" s="8">
        <v>1</v>
      </c>
      <c r="L644" s="8" t="s">
        <v>95</v>
      </c>
      <c r="M644" s="8">
        <v>1</v>
      </c>
      <c r="N644" s="8" t="s">
        <v>95</v>
      </c>
      <c r="O644" s="8">
        <v>1</v>
      </c>
      <c r="P644" s="8" t="s">
        <v>95</v>
      </c>
      <c r="Q644" s="8">
        <v>1</v>
      </c>
      <c r="R644" s="8" t="s">
        <v>95</v>
      </c>
      <c r="S644" s="8">
        <v>1</v>
      </c>
      <c r="T644" s="8" t="s">
        <v>95</v>
      </c>
      <c r="U644" s="8">
        <v>1</v>
      </c>
      <c r="V644" s="8" t="s">
        <v>95</v>
      </c>
      <c r="W644" s="8">
        <v>1</v>
      </c>
      <c r="X644" s="8" t="s">
        <v>95</v>
      </c>
      <c r="Y644" s="8">
        <v>1</v>
      </c>
      <c r="Z644" s="8" t="s">
        <v>95</v>
      </c>
      <c r="AA644" s="8">
        <v>1</v>
      </c>
      <c r="AB644" s="8" t="s">
        <v>95</v>
      </c>
      <c r="AC644" s="8">
        <v>1</v>
      </c>
      <c r="AD644" s="8" t="s">
        <v>95</v>
      </c>
      <c r="AE644" s="8">
        <v>1</v>
      </c>
      <c r="AF644" s="8" t="s">
        <v>95</v>
      </c>
      <c r="AG644" s="8">
        <v>1</v>
      </c>
      <c r="AH644" s="8" t="s">
        <v>95</v>
      </c>
      <c r="AI644" s="8">
        <v>1</v>
      </c>
      <c r="AJ644" s="8" t="s">
        <v>95</v>
      </c>
      <c r="AK644" s="8">
        <v>1</v>
      </c>
      <c r="AL644" s="8" t="s">
        <v>95</v>
      </c>
      <c r="AM644" s="8">
        <v>1</v>
      </c>
      <c r="AN644" s="8">
        <v>16</v>
      </c>
    </row>
    <row r="645" spans="1:40" x14ac:dyDescent="0.25">
      <c r="A645" s="8" t="s">
        <v>705</v>
      </c>
      <c r="B645" s="9">
        <v>42033.676388888889</v>
      </c>
      <c r="C645" s="8">
        <v>0</v>
      </c>
      <c r="D645" s="9">
        <v>42048.081944444442</v>
      </c>
      <c r="E645" s="8" t="s">
        <v>93</v>
      </c>
      <c r="F645" s="8">
        <v>16</v>
      </c>
      <c r="G645" s="8" t="s">
        <v>94</v>
      </c>
      <c r="H645" s="8" t="s">
        <v>95</v>
      </c>
      <c r="I645" s="8">
        <v>1</v>
      </c>
      <c r="J645" s="8" t="s">
        <v>95</v>
      </c>
      <c r="K645" s="8">
        <v>1</v>
      </c>
      <c r="L645" s="8" t="s">
        <v>95</v>
      </c>
      <c r="M645" s="8">
        <v>1</v>
      </c>
      <c r="N645" s="8" t="s">
        <v>95</v>
      </c>
      <c r="O645" s="8">
        <v>1</v>
      </c>
      <c r="P645" s="8" t="s">
        <v>95</v>
      </c>
      <c r="Q645" s="8">
        <v>1</v>
      </c>
      <c r="R645" s="8" t="s">
        <v>95</v>
      </c>
      <c r="S645" s="8">
        <v>1</v>
      </c>
      <c r="T645" s="8" t="s">
        <v>95</v>
      </c>
      <c r="U645" s="8">
        <v>1</v>
      </c>
      <c r="V645" s="8" t="s">
        <v>95</v>
      </c>
      <c r="W645" s="8">
        <v>1</v>
      </c>
      <c r="X645" s="8" t="s">
        <v>95</v>
      </c>
      <c r="Y645" s="8">
        <v>1</v>
      </c>
      <c r="Z645" s="8" t="s">
        <v>95</v>
      </c>
      <c r="AA645" s="8">
        <v>1</v>
      </c>
      <c r="AB645" s="8" t="s">
        <v>95</v>
      </c>
      <c r="AC645" s="8">
        <v>1</v>
      </c>
      <c r="AD645" s="8" t="s">
        <v>95</v>
      </c>
      <c r="AE645" s="8">
        <v>1</v>
      </c>
      <c r="AF645" s="8" t="s">
        <v>95</v>
      </c>
      <c r="AG645" s="8">
        <v>1</v>
      </c>
      <c r="AH645" s="8" t="s">
        <v>95</v>
      </c>
      <c r="AI645" s="8">
        <v>1</v>
      </c>
      <c r="AJ645" s="8" t="s">
        <v>95</v>
      </c>
      <c r="AK645" s="8">
        <v>1</v>
      </c>
      <c r="AL645" s="8" t="s">
        <v>95</v>
      </c>
      <c r="AM645" s="8">
        <v>1</v>
      </c>
      <c r="AN645" s="8">
        <v>16</v>
      </c>
    </row>
    <row r="646" spans="1:40" x14ac:dyDescent="0.25">
      <c r="A646" s="8" t="s">
        <v>706</v>
      </c>
      <c r="B646" s="9">
        <v>42033.668749999997</v>
      </c>
      <c r="C646" s="8">
        <v>0</v>
      </c>
      <c r="D646" s="9">
        <v>42048.090277777781</v>
      </c>
      <c r="E646" s="8" t="s">
        <v>93</v>
      </c>
      <c r="F646" s="8">
        <v>16</v>
      </c>
      <c r="G646" s="8" t="s">
        <v>94</v>
      </c>
      <c r="H646" s="8" t="s">
        <v>95</v>
      </c>
      <c r="I646" s="8">
        <v>1</v>
      </c>
      <c r="J646" s="8" t="s">
        <v>95</v>
      </c>
      <c r="K646" s="8">
        <v>1</v>
      </c>
      <c r="L646" s="8" t="s">
        <v>95</v>
      </c>
      <c r="M646" s="8">
        <v>1</v>
      </c>
      <c r="N646" s="8" t="s">
        <v>95</v>
      </c>
      <c r="O646" s="8">
        <v>1</v>
      </c>
      <c r="P646" s="8" t="s">
        <v>95</v>
      </c>
      <c r="Q646" s="8">
        <v>1</v>
      </c>
      <c r="R646" s="8" t="s">
        <v>95</v>
      </c>
      <c r="S646" s="8">
        <v>1</v>
      </c>
      <c r="T646" s="8" t="s">
        <v>95</v>
      </c>
      <c r="U646" s="8">
        <v>1</v>
      </c>
      <c r="V646" s="8" t="s">
        <v>95</v>
      </c>
      <c r="W646" s="8">
        <v>1</v>
      </c>
      <c r="X646" s="8" t="s">
        <v>95</v>
      </c>
      <c r="Y646" s="8">
        <v>1</v>
      </c>
      <c r="Z646" s="8" t="s">
        <v>95</v>
      </c>
      <c r="AA646" s="8">
        <v>1</v>
      </c>
      <c r="AB646" s="8" t="s">
        <v>95</v>
      </c>
      <c r="AC646" s="8">
        <v>1</v>
      </c>
      <c r="AD646" s="8" t="s">
        <v>95</v>
      </c>
      <c r="AE646" s="8">
        <v>1</v>
      </c>
      <c r="AF646" s="8" t="s">
        <v>95</v>
      </c>
      <c r="AG646" s="8">
        <v>1</v>
      </c>
      <c r="AH646" s="8" t="s">
        <v>95</v>
      </c>
      <c r="AI646" s="8">
        <v>1</v>
      </c>
      <c r="AJ646" s="8" t="s">
        <v>95</v>
      </c>
      <c r="AK646" s="8">
        <v>1</v>
      </c>
      <c r="AL646" s="8" t="s">
        <v>95</v>
      </c>
      <c r="AM646" s="8">
        <v>1</v>
      </c>
      <c r="AN646" s="8">
        <v>16</v>
      </c>
    </row>
    <row r="647" spans="1:40" x14ac:dyDescent="0.25">
      <c r="A647" s="8" t="s">
        <v>707</v>
      </c>
      <c r="B647" s="9">
        <v>42033.677777777775</v>
      </c>
      <c r="C647" s="8">
        <v>0</v>
      </c>
      <c r="D647" s="9">
        <v>42048.094444444447</v>
      </c>
      <c r="E647" s="8" t="s">
        <v>93</v>
      </c>
      <c r="F647" s="8">
        <v>16</v>
      </c>
      <c r="G647" s="8" t="s">
        <v>94</v>
      </c>
      <c r="H647" s="8" t="s">
        <v>95</v>
      </c>
      <c r="I647" s="8">
        <v>1</v>
      </c>
      <c r="J647" s="8" t="s">
        <v>95</v>
      </c>
      <c r="K647" s="8">
        <v>1</v>
      </c>
      <c r="L647" s="8" t="s">
        <v>95</v>
      </c>
      <c r="M647" s="8">
        <v>1</v>
      </c>
      <c r="N647" s="8" t="s">
        <v>95</v>
      </c>
      <c r="O647" s="8">
        <v>1</v>
      </c>
      <c r="P647" s="8" t="s">
        <v>95</v>
      </c>
      <c r="Q647" s="8">
        <v>1</v>
      </c>
      <c r="R647" s="8" t="s">
        <v>95</v>
      </c>
      <c r="S647" s="8">
        <v>1</v>
      </c>
      <c r="T647" s="8" t="s">
        <v>95</v>
      </c>
      <c r="U647" s="8">
        <v>1</v>
      </c>
      <c r="V647" s="8" t="s">
        <v>95</v>
      </c>
      <c r="W647" s="8">
        <v>1</v>
      </c>
      <c r="X647" s="8" t="s">
        <v>95</v>
      </c>
      <c r="Y647" s="8">
        <v>1</v>
      </c>
      <c r="Z647" s="8" t="s">
        <v>95</v>
      </c>
      <c r="AA647" s="8">
        <v>1</v>
      </c>
      <c r="AB647" s="8" t="s">
        <v>95</v>
      </c>
      <c r="AC647" s="8">
        <v>1</v>
      </c>
      <c r="AD647" s="8" t="s">
        <v>95</v>
      </c>
      <c r="AE647" s="8">
        <v>1</v>
      </c>
      <c r="AF647" s="8" t="s">
        <v>95</v>
      </c>
      <c r="AG647" s="8">
        <v>1</v>
      </c>
      <c r="AH647" s="8" t="s">
        <v>95</v>
      </c>
      <c r="AI647" s="8">
        <v>1</v>
      </c>
      <c r="AJ647" s="8" t="s">
        <v>95</v>
      </c>
      <c r="AK647" s="8">
        <v>1</v>
      </c>
      <c r="AL647" s="8" t="s">
        <v>95</v>
      </c>
      <c r="AM647" s="8">
        <v>1</v>
      </c>
      <c r="AN647" s="8">
        <v>16</v>
      </c>
    </row>
    <row r="648" spans="1:40" x14ac:dyDescent="0.25">
      <c r="A648" s="8" t="s">
        <v>708</v>
      </c>
      <c r="B648" s="9">
        <v>42033.677777777775</v>
      </c>
      <c r="C648" s="8">
        <v>0</v>
      </c>
      <c r="D648" s="9">
        <v>42048.104861111111</v>
      </c>
      <c r="E648" s="8" t="s">
        <v>93</v>
      </c>
      <c r="F648" s="8">
        <v>10</v>
      </c>
      <c r="G648" s="8" t="s">
        <v>94</v>
      </c>
      <c r="H648" s="8" t="s">
        <v>95</v>
      </c>
      <c r="I648" s="8">
        <v>1</v>
      </c>
      <c r="J648" s="8" t="s">
        <v>95</v>
      </c>
      <c r="K648" s="8">
        <v>1</v>
      </c>
      <c r="L648" s="8" t="s">
        <v>94</v>
      </c>
      <c r="M648" s="8">
        <v>0</v>
      </c>
      <c r="N648" s="8" t="s">
        <v>94</v>
      </c>
      <c r="O648" s="8">
        <v>0</v>
      </c>
      <c r="P648" s="8" t="s">
        <v>95</v>
      </c>
      <c r="Q648" s="8">
        <v>1</v>
      </c>
      <c r="R648" s="8" t="s">
        <v>95</v>
      </c>
      <c r="S648" s="8">
        <v>1</v>
      </c>
      <c r="T648" s="8" t="s">
        <v>94</v>
      </c>
      <c r="U648" s="8">
        <v>0</v>
      </c>
      <c r="V648" s="8" t="s">
        <v>95</v>
      </c>
      <c r="W648" s="8">
        <v>1</v>
      </c>
      <c r="X648" s="8" t="s">
        <v>95</v>
      </c>
      <c r="Y648" s="8">
        <v>1</v>
      </c>
      <c r="Z648" s="8" t="s">
        <v>95</v>
      </c>
      <c r="AA648" s="8">
        <v>1</v>
      </c>
      <c r="AB648" s="8" t="s">
        <v>95</v>
      </c>
      <c r="AC648" s="8">
        <v>1</v>
      </c>
      <c r="AD648" s="8" t="s">
        <v>95</v>
      </c>
      <c r="AE648" s="8">
        <v>1</v>
      </c>
      <c r="AF648" s="8" t="s">
        <v>95</v>
      </c>
      <c r="AG648" s="8">
        <v>1</v>
      </c>
      <c r="AH648" s="8" t="s">
        <v>94</v>
      </c>
      <c r="AI648" s="8">
        <v>0</v>
      </c>
      <c r="AJ648" s="8" t="s">
        <v>94</v>
      </c>
      <c r="AK648" s="8">
        <v>0</v>
      </c>
      <c r="AL648" s="8" t="s">
        <v>94</v>
      </c>
      <c r="AM648" s="8">
        <v>0</v>
      </c>
      <c r="AN648" s="8">
        <v>10</v>
      </c>
    </row>
    <row r="649" spans="1:40" x14ac:dyDescent="0.25">
      <c r="A649" s="8" t="s">
        <v>709</v>
      </c>
      <c r="B649" s="9">
        <v>42033.674305555556</v>
      </c>
      <c r="C649" s="8">
        <v>0</v>
      </c>
      <c r="D649" s="9">
        <v>42048.120138888888</v>
      </c>
      <c r="E649" s="8" t="s">
        <v>93</v>
      </c>
      <c r="F649" s="8">
        <v>5</v>
      </c>
      <c r="G649" s="8" t="s">
        <v>94</v>
      </c>
      <c r="H649" s="8" t="s">
        <v>94</v>
      </c>
      <c r="I649" s="8">
        <v>0</v>
      </c>
      <c r="J649" s="8" t="s">
        <v>95</v>
      </c>
      <c r="K649" s="8">
        <v>1</v>
      </c>
      <c r="L649" s="8" t="s">
        <v>95</v>
      </c>
      <c r="M649" s="8">
        <v>1</v>
      </c>
      <c r="N649" s="8" t="s">
        <v>94</v>
      </c>
      <c r="O649" s="8">
        <v>0</v>
      </c>
      <c r="P649" s="8" t="s">
        <v>94</v>
      </c>
      <c r="Q649" s="8">
        <v>0</v>
      </c>
      <c r="R649" s="8" t="s">
        <v>95</v>
      </c>
      <c r="S649" s="8">
        <v>1</v>
      </c>
      <c r="T649" s="8" t="s">
        <v>94</v>
      </c>
      <c r="U649" s="8">
        <v>0</v>
      </c>
      <c r="V649" s="8" t="s">
        <v>94</v>
      </c>
      <c r="W649" s="8">
        <v>0</v>
      </c>
      <c r="X649" s="8" t="s">
        <v>94</v>
      </c>
      <c r="Y649" s="8">
        <v>0</v>
      </c>
      <c r="Z649" s="8" t="s">
        <v>95</v>
      </c>
      <c r="AA649" s="8">
        <v>1</v>
      </c>
      <c r="AB649" s="8" t="s">
        <v>94</v>
      </c>
      <c r="AC649" s="8">
        <v>0</v>
      </c>
      <c r="AD649" s="8" t="s">
        <v>95</v>
      </c>
      <c r="AE649" s="8">
        <v>1</v>
      </c>
      <c r="AF649" s="8" t="s">
        <v>94</v>
      </c>
      <c r="AG649" s="8">
        <v>0</v>
      </c>
      <c r="AH649" s="8" t="s">
        <v>94</v>
      </c>
      <c r="AI649" s="8">
        <v>0</v>
      </c>
      <c r="AJ649" s="8" t="s">
        <v>94</v>
      </c>
      <c r="AK649" s="8">
        <v>0</v>
      </c>
      <c r="AL649" s="8" t="s">
        <v>94</v>
      </c>
      <c r="AM649" s="8">
        <v>0</v>
      </c>
      <c r="AN649" s="8">
        <v>5</v>
      </c>
    </row>
    <row r="650" spans="1:40" x14ac:dyDescent="0.25">
      <c r="A650" s="8" t="s">
        <v>710</v>
      </c>
      <c r="B650" s="9">
        <v>42033.67291666667</v>
      </c>
      <c r="C650" s="8">
        <v>0</v>
      </c>
      <c r="D650" s="9">
        <v>42048.157638888886</v>
      </c>
      <c r="E650" s="8" t="s">
        <v>93</v>
      </c>
      <c r="F650" s="8">
        <v>13</v>
      </c>
      <c r="G650" s="8" t="s">
        <v>94</v>
      </c>
      <c r="H650" s="8" t="s">
        <v>95</v>
      </c>
      <c r="I650" s="8">
        <v>1</v>
      </c>
      <c r="J650" s="8" t="s">
        <v>94</v>
      </c>
      <c r="K650" s="8">
        <v>0</v>
      </c>
      <c r="L650" s="8" t="s">
        <v>95</v>
      </c>
      <c r="M650" s="8">
        <v>1</v>
      </c>
      <c r="N650" s="8" t="s">
        <v>95</v>
      </c>
      <c r="O650" s="8">
        <v>1</v>
      </c>
      <c r="P650" s="8" t="s">
        <v>95</v>
      </c>
      <c r="Q650" s="8">
        <v>1</v>
      </c>
      <c r="R650" s="8" t="s">
        <v>95</v>
      </c>
      <c r="S650" s="8">
        <v>1</v>
      </c>
      <c r="T650" s="8" t="s">
        <v>95</v>
      </c>
      <c r="U650" s="8">
        <v>1</v>
      </c>
      <c r="V650" s="8" t="s">
        <v>95</v>
      </c>
      <c r="W650" s="8">
        <v>1</v>
      </c>
      <c r="X650" s="8" t="s">
        <v>95</v>
      </c>
      <c r="Y650" s="8">
        <v>1</v>
      </c>
      <c r="Z650" s="8" t="s">
        <v>95</v>
      </c>
      <c r="AA650" s="8">
        <v>1</v>
      </c>
      <c r="AB650" s="8" t="s">
        <v>95</v>
      </c>
      <c r="AC650" s="8">
        <v>1</v>
      </c>
      <c r="AD650" s="8" t="s">
        <v>95</v>
      </c>
      <c r="AE650" s="8">
        <v>1</v>
      </c>
      <c r="AF650" s="8" t="s">
        <v>94</v>
      </c>
      <c r="AG650" s="8">
        <v>0</v>
      </c>
      <c r="AH650" s="8" t="s">
        <v>95</v>
      </c>
      <c r="AI650" s="8">
        <v>1</v>
      </c>
      <c r="AJ650" s="8" t="s">
        <v>95</v>
      </c>
      <c r="AK650" s="8">
        <v>1</v>
      </c>
      <c r="AL650" s="8" t="s">
        <v>94</v>
      </c>
      <c r="AM650" s="8">
        <v>0</v>
      </c>
      <c r="AN650" s="8">
        <v>13</v>
      </c>
    </row>
    <row r="651" spans="1:40" x14ac:dyDescent="0.25">
      <c r="A651" s="8" t="s">
        <v>711</v>
      </c>
      <c r="B651" s="9">
        <v>42033.655555555553</v>
      </c>
      <c r="C651" s="8">
        <v>0</v>
      </c>
      <c r="D651" s="9">
        <v>42048.15902777778</v>
      </c>
      <c r="E651" s="8" t="s">
        <v>93</v>
      </c>
      <c r="F651" s="8">
        <v>16</v>
      </c>
      <c r="G651" s="8" t="s">
        <v>94</v>
      </c>
      <c r="H651" s="8" t="s">
        <v>95</v>
      </c>
      <c r="I651" s="8">
        <v>1</v>
      </c>
      <c r="J651" s="8" t="s">
        <v>95</v>
      </c>
      <c r="K651" s="8">
        <v>1</v>
      </c>
      <c r="L651" s="8" t="s">
        <v>95</v>
      </c>
      <c r="M651" s="8">
        <v>1</v>
      </c>
      <c r="N651" s="8" t="s">
        <v>95</v>
      </c>
      <c r="O651" s="8">
        <v>1</v>
      </c>
      <c r="P651" s="8" t="s">
        <v>95</v>
      </c>
      <c r="Q651" s="8">
        <v>1</v>
      </c>
      <c r="R651" s="8" t="s">
        <v>95</v>
      </c>
      <c r="S651" s="8">
        <v>1</v>
      </c>
      <c r="T651" s="8" t="s">
        <v>95</v>
      </c>
      <c r="U651" s="8">
        <v>1</v>
      </c>
      <c r="V651" s="8" t="s">
        <v>95</v>
      </c>
      <c r="W651" s="8">
        <v>1</v>
      </c>
      <c r="X651" s="8" t="s">
        <v>95</v>
      </c>
      <c r="Y651" s="8">
        <v>1</v>
      </c>
      <c r="Z651" s="8" t="s">
        <v>95</v>
      </c>
      <c r="AA651" s="8">
        <v>1</v>
      </c>
      <c r="AB651" s="8" t="s">
        <v>95</v>
      </c>
      <c r="AC651" s="8">
        <v>1</v>
      </c>
      <c r="AD651" s="8" t="s">
        <v>95</v>
      </c>
      <c r="AE651" s="8">
        <v>1</v>
      </c>
      <c r="AF651" s="8" t="s">
        <v>95</v>
      </c>
      <c r="AG651" s="8">
        <v>1</v>
      </c>
      <c r="AH651" s="8" t="s">
        <v>95</v>
      </c>
      <c r="AI651" s="8">
        <v>1</v>
      </c>
      <c r="AJ651" s="8" t="s">
        <v>95</v>
      </c>
      <c r="AK651" s="8">
        <v>1</v>
      </c>
      <c r="AL651" s="8" t="s">
        <v>95</v>
      </c>
      <c r="AM651" s="8">
        <v>1</v>
      </c>
      <c r="AN651" s="8">
        <v>16</v>
      </c>
    </row>
    <row r="652" spans="1:40" x14ac:dyDescent="0.25">
      <c r="A652" s="8" t="s">
        <v>712</v>
      </c>
      <c r="B652" s="9">
        <v>42033.667361111111</v>
      </c>
      <c r="C652" s="8">
        <v>0</v>
      </c>
      <c r="D652" s="9">
        <v>42048.172222222223</v>
      </c>
      <c r="E652" s="8" t="s">
        <v>93</v>
      </c>
      <c r="F652" s="8">
        <v>16</v>
      </c>
      <c r="G652" s="8" t="s">
        <v>94</v>
      </c>
      <c r="H652" s="8" t="s">
        <v>95</v>
      </c>
      <c r="I652" s="8">
        <v>1</v>
      </c>
      <c r="J652" s="8" t="s">
        <v>95</v>
      </c>
      <c r="K652" s="8">
        <v>1</v>
      </c>
      <c r="L652" s="8" t="s">
        <v>95</v>
      </c>
      <c r="M652" s="8">
        <v>1</v>
      </c>
      <c r="N652" s="8" t="s">
        <v>95</v>
      </c>
      <c r="O652" s="8">
        <v>1</v>
      </c>
      <c r="P652" s="8" t="s">
        <v>95</v>
      </c>
      <c r="Q652" s="8">
        <v>1</v>
      </c>
      <c r="R652" s="8" t="s">
        <v>95</v>
      </c>
      <c r="S652" s="8">
        <v>1</v>
      </c>
      <c r="T652" s="8" t="s">
        <v>95</v>
      </c>
      <c r="U652" s="8">
        <v>1</v>
      </c>
      <c r="V652" s="8" t="s">
        <v>95</v>
      </c>
      <c r="W652" s="8">
        <v>1</v>
      </c>
      <c r="X652" s="8" t="s">
        <v>95</v>
      </c>
      <c r="Y652" s="8">
        <v>1</v>
      </c>
      <c r="Z652" s="8" t="s">
        <v>95</v>
      </c>
      <c r="AA652" s="8">
        <v>1</v>
      </c>
      <c r="AB652" s="8" t="s">
        <v>95</v>
      </c>
      <c r="AC652" s="8">
        <v>1</v>
      </c>
      <c r="AD652" s="8" t="s">
        <v>95</v>
      </c>
      <c r="AE652" s="8">
        <v>1</v>
      </c>
      <c r="AF652" s="8" t="s">
        <v>95</v>
      </c>
      <c r="AG652" s="8">
        <v>1</v>
      </c>
      <c r="AH652" s="8" t="s">
        <v>95</v>
      </c>
      <c r="AI652" s="8">
        <v>1</v>
      </c>
      <c r="AJ652" s="8" t="s">
        <v>95</v>
      </c>
      <c r="AK652" s="8">
        <v>1</v>
      </c>
      <c r="AL652" s="8" t="s">
        <v>95</v>
      </c>
      <c r="AM652" s="8">
        <v>1</v>
      </c>
      <c r="AN652" s="8">
        <v>16</v>
      </c>
    </row>
    <row r="653" spans="1:40" x14ac:dyDescent="0.25">
      <c r="A653" s="8" t="s">
        <v>713</v>
      </c>
      <c r="B653" s="9">
        <v>42033.677083333336</v>
      </c>
      <c r="C653" s="8">
        <v>0</v>
      </c>
      <c r="D653" s="9">
        <v>42048.188888888886</v>
      </c>
      <c r="E653" s="8" t="s">
        <v>93</v>
      </c>
      <c r="F653" s="8">
        <v>13</v>
      </c>
      <c r="G653" s="8" t="s">
        <v>94</v>
      </c>
      <c r="H653" s="8" t="s">
        <v>95</v>
      </c>
      <c r="I653" s="8">
        <v>1</v>
      </c>
      <c r="J653" s="8" t="s">
        <v>95</v>
      </c>
      <c r="K653" s="8">
        <v>1</v>
      </c>
      <c r="L653" s="8" t="s">
        <v>94</v>
      </c>
      <c r="M653" s="8">
        <v>0</v>
      </c>
      <c r="N653" s="8" t="s">
        <v>94</v>
      </c>
      <c r="O653" s="8">
        <v>0</v>
      </c>
      <c r="P653" s="8" t="s">
        <v>95</v>
      </c>
      <c r="Q653" s="8">
        <v>1</v>
      </c>
      <c r="R653" s="8" t="s">
        <v>94</v>
      </c>
      <c r="S653" s="8">
        <v>0</v>
      </c>
      <c r="T653" s="8" t="s">
        <v>95</v>
      </c>
      <c r="U653" s="8">
        <v>1</v>
      </c>
      <c r="V653" s="8" t="s">
        <v>95</v>
      </c>
      <c r="W653" s="8">
        <v>1</v>
      </c>
      <c r="X653" s="8" t="s">
        <v>95</v>
      </c>
      <c r="Y653" s="8">
        <v>1</v>
      </c>
      <c r="Z653" s="8" t="s">
        <v>95</v>
      </c>
      <c r="AA653" s="8">
        <v>1</v>
      </c>
      <c r="AB653" s="8" t="s">
        <v>95</v>
      </c>
      <c r="AC653" s="8">
        <v>1</v>
      </c>
      <c r="AD653" s="8" t="s">
        <v>95</v>
      </c>
      <c r="AE653" s="8">
        <v>1</v>
      </c>
      <c r="AF653" s="8" t="s">
        <v>95</v>
      </c>
      <c r="AG653" s="8">
        <v>1</v>
      </c>
      <c r="AH653" s="8" t="s">
        <v>95</v>
      </c>
      <c r="AI653" s="8">
        <v>1</v>
      </c>
      <c r="AJ653" s="8" t="s">
        <v>95</v>
      </c>
      <c r="AK653" s="8">
        <v>1</v>
      </c>
      <c r="AL653" s="8" t="s">
        <v>95</v>
      </c>
      <c r="AM653" s="8">
        <v>1</v>
      </c>
      <c r="AN653" s="8">
        <v>13</v>
      </c>
    </row>
    <row r="654" spans="1:40" x14ac:dyDescent="0.25">
      <c r="A654" s="8" t="s">
        <v>714</v>
      </c>
      <c r="B654" s="9">
        <v>42033.681250000001</v>
      </c>
      <c r="C654" s="8">
        <v>0</v>
      </c>
      <c r="D654" s="9">
        <v>42048.189583333333</v>
      </c>
      <c r="E654" s="8" t="s">
        <v>93</v>
      </c>
      <c r="F654" s="8">
        <v>10</v>
      </c>
      <c r="G654" s="8" t="s">
        <v>94</v>
      </c>
      <c r="H654" s="8" t="s">
        <v>95</v>
      </c>
      <c r="I654" s="8">
        <v>1</v>
      </c>
      <c r="J654" s="8" t="s">
        <v>95</v>
      </c>
      <c r="K654" s="8">
        <v>1</v>
      </c>
      <c r="L654" s="8" t="s">
        <v>95</v>
      </c>
      <c r="M654" s="8">
        <v>1</v>
      </c>
      <c r="N654" s="8" t="s">
        <v>95</v>
      </c>
      <c r="O654" s="8">
        <v>1</v>
      </c>
      <c r="P654" s="8" t="s">
        <v>94</v>
      </c>
      <c r="Q654" s="8">
        <v>0</v>
      </c>
      <c r="R654" s="8" t="s">
        <v>95</v>
      </c>
      <c r="S654" s="8">
        <v>1</v>
      </c>
      <c r="T654" s="8" t="s">
        <v>94</v>
      </c>
      <c r="U654" s="8">
        <v>0</v>
      </c>
      <c r="V654" s="8" t="s">
        <v>94</v>
      </c>
      <c r="W654" s="8">
        <v>0</v>
      </c>
      <c r="X654" s="8" t="s">
        <v>95</v>
      </c>
      <c r="Y654" s="8">
        <v>1</v>
      </c>
      <c r="Z654" s="8" t="s">
        <v>95</v>
      </c>
      <c r="AA654" s="8">
        <v>1</v>
      </c>
      <c r="AB654" s="8" t="s">
        <v>95</v>
      </c>
      <c r="AC654" s="8">
        <v>1</v>
      </c>
      <c r="AD654" s="8" t="s">
        <v>95</v>
      </c>
      <c r="AE654" s="8">
        <v>1</v>
      </c>
      <c r="AF654" s="8" t="s">
        <v>95</v>
      </c>
      <c r="AG654" s="8">
        <v>1</v>
      </c>
      <c r="AH654" s="8" t="s">
        <v>94</v>
      </c>
      <c r="AI654" s="8">
        <v>0</v>
      </c>
      <c r="AJ654" s="8" t="s">
        <v>94</v>
      </c>
      <c r="AK654" s="8">
        <v>0</v>
      </c>
      <c r="AL654" s="8" t="s">
        <v>94</v>
      </c>
      <c r="AM654" s="8">
        <v>0</v>
      </c>
      <c r="AN654" s="8">
        <v>10</v>
      </c>
    </row>
    <row r="655" spans="1:40" x14ac:dyDescent="0.25">
      <c r="A655" s="8" t="s">
        <v>715</v>
      </c>
      <c r="B655" s="9">
        <v>42033.677777777775</v>
      </c>
      <c r="C655" s="8">
        <v>0</v>
      </c>
      <c r="D655" s="9">
        <v>42048.201388888891</v>
      </c>
      <c r="E655" s="8" t="s">
        <v>93</v>
      </c>
      <c r="F655" s="8">
        <v>16</v>
      </c>
      <c r="G655" s="8" t="s">
        <v>94</v>
      </c>
      <c r="H655" s="8" t="s">
        <v>95</v>
      </c>
      <c r="I655" s="8">
        <v>1</v>
      </c>
      <c r="J655" s="8" t="s">
        <v>95</v>
      </c>
      <c r="K655" s="8">
        <v>1</v>
      </c>
      <c r="L655" s="8" t="s">
        <v>95</v>
      </c>
      <c r="M655" s="8">
        <v>1</v>
      </c>
      <c r="N655" s="8" t="s">
        <v>95</v>
      </c>
      <c r="O655" s="8">
        <v>1</v>
      </c>
      <c r="P655" s="8" t="s">
        <v>95</v>
      </c>
      <c r="Q655" s="8">
        <v>1</v>
      </c>
      <c r="R655" s="8" t="s">
        <v>95</v>
      </c>
      <c r="S655" s="8">
        <v>1</v>
      </c>
      <c r="T655" s="8" t="s">
        <v>95</v>
      </c>
      <c r="U655" s="8">
        <v>1</v>
      </c>
      <c r="V655" s="8" t="s">
        <v>95</v>
      </c>
      <c r="W655" s="8">
        <v>1</v>
      </c>
      <c r="X655" s="8" t="s">
        <v>95</v>
      </c>
      <c r="Y655" s="8">
        <v>1</v>
      </c>
      <c r="Z655" s="8" t="s">
        <v>95</v>
      </c>
      <c r="AA655" s="8">
        <v>1</v>
      </c>
      <c r="AB655" s="8" t="s">
        <v>95</v>
      </c>
      <c r="AC655" s="8">
        <v>1</v>
      </c>
      <c r="AD655" s="8" t="s">
        <v>95</v>
      </c>
      <c r="AE655" s="8">
        <v>1</v>
      </c>
      <c r="AF655" s="8" t="s">
        <v>95</v>
      </c>
      <c r="AG655" s="8">
        <v>1</v>
      </c>
      <c r="AH655" s="8" t="s">
        <v>95</v>
      </c>
      <c r="AI655" s="8">
        <v>1</v>
      </c>
      <c r="AJ655" s="8" t="s">
        <v>95</v>
      </c>
      <c r="AK655" s="8">
        <v>1</v>
      </c>
      <c r="AL655" s="8" t="s">
        <v>95</v>
      </c>
      <c r="AM655" s="8">
        <v>1</v>
      </c>
      <c r="AN655" s="8">
        <v>16</v>
      </c>
    </row>
    <row r="656" spans="1:40" x14ac:dyDescent="0.25">
      <c r="A656" s="8" t="s">
        <v>716</v>
      </c>
      <c r="B656" s="9">
        <v>42033.672222222223</v>
      </c>
      <c r="C656" s="8">
        <v>0</v>
      </c>
      <c r="D656" s="9">
        <v>42048.206250000003</v>
      </c>
      <c r="E656" s="8" t="s">
        <v>93</v>
      </c>
      <c r="F656" s="8">
        <v>0</v>
      </c>
      <c r="G656" s="8" t="s">
        <v>94</v>
      </c>
      <c r="H656" s="8" t="s">
        <v>94</v>
      </c>
      <c r="I656" s="8">
        <v>0</v>
      </c>
      <c r="J656" s="8" t="s">
        <v>94</v>
      </c>
      <c r="K656" s="8">
        <v>0</v>
      </c>
      <c r="L656" s="8" t="s">
        <v>94</v>
      </c>
      <c r="M656" s="8">
        <v>0</v>
      </c>
      <c r="N656" s="8" t="s">
        <v>94</v>
      </c>
      <c r="O656" s="8">
        <v>0</v>
      </c>
      <c r="P656" s="8" t="s">
        <v>94</v>
      </c>
      <c r="Q656" s="8">
        <v>0</v>
      </c>
      <c r="R656" s="8" t="s">
        <v>94</v>
      </c>
      <c r="S656" s="8">
        <v>0</v>
      </c>
      <c r="T656" s="8" t="s">
        <v>94</v>
      </c>
      <c r="U656" s="8">
        <v>0</v>
      </c>
      <c r="V656" s="8" t="s">
        <v>94</v>
      </c>
      <c r="W656" s="8">
        <v>0</v>
      </c>
      <c r="X656" s="8" t="s">
        <v>94</v>
      </c>
      <c r="Y656" s="8">
        <v>0</v>
      </c>
      <c r="Z656" s="8" t="s">
        <v>94</v>
      </c>
      <c r="AA656" s="8">
        <v>0</v>
      </c>
      <c r="AB656" s="8" t="s">
        <v>94</v>
      </c>
      <c r="AC656" s="8">
        <v>0</v>
      </c>
      <c r="AD656" s="8" t="s">
        <v>94</v>
      </c>
      <c r="AE656" s="8">
        <v>0</v>
      </c>
      <c r="AF656" s="8" t="s">
        <v>94</v>
      </c>
      <c r="AG656" s="8">
        <v>0</v>
      </c>
      <c r="AH656" s="8" t="s">
        <v>94</v>
      </c>
      <c r="AI656" s="8">
        <v>0</v>
      </c>
      <c r="AJ656" s="8" t="s">
        <v>94</v>
      </c>
      <c r="AK656" s="8">
        <v>0</v>
      </c>
      <c r="AL656" s="8" t="s">
        <v>94</v>
      </c>
      <c r="AM656" s="8">
        <v>0</v>
      </c>
      <c r="AN656" s="8">
        <v>0</v>
      </c>
    </row>
    <row r="657" spans="1:40" x14ac:dyDescent="0.25">
      <c r="A657" s="8" t="s">
        <v>717</v>
      </c>
      <c r="B657" s="9">
        <v>42033.672222222223</v>
      </c>
      <c r="C657" s="8">
        <v>0</v>
      </c>
      <c r="D657" s="9">
        <v>42048.212500000001</v>
      </c>
      <c r="E657" s="8" t="s">
        <v>93</v>
      </c>
      <c r="F657" s="8">
        <v>10</v>
      </c>
      <c r="G657" s="8" t="s">
        <v>94</v>
      </c>
      <c r="H657" s="8" t="s">
        <v>94</v>
      </c>
      <c r="I657" s="8">
        <v>0</v>
      </c>
      <c r="J657" s="8" t="s">
        <v>95</v>
      </c>
      <c r="K657" s="8">
        <v>1</v>
      </c>
      <c r="L657" s="8" t="s">
        <v>94</v>
      </c>
      <c r="M657" s="8">
        <v>0</v>
      </c>
      <c r="N657" s="8" t="s">
        <v>94</v>
      </c>
      <c r="O657" s="8">
        <v>0</v>
      </c>
      <c r="P657" s="8" t="s">
        <v>95</v>
      </c>
      <c r="Q657" s="8">
        <v>1</v>
      </c>
      <c r="R657" s="8" t="s">
        <v>95</v>
      </c>
      <c r="S657" s="8">
        <v>1</v>
      </c>
      <c r="T657" s="8" t="s">
        <v>94</v>
      </c>
      <c r="U657" s="8">
        <v>0</v>
      </c>
      <c r="V657" s="8" t="s">
        <v>95</v>
      </c>
      <c r="W657" s="8">
        <v>1</v>
      </c>
      <c r="X657" s="8" t="s">
        <v>95</v>
      </c>
      <c r="Y657" s="8">
        <v>1</v>
      </c>
      <c r="Z657" s="8" t="s">
        <v>95</v>
      </c>
      <c r="AA657" s="8">
        <v>1</v>
      </c>
      <c r="AB657" s="8" t="s">
        <v>95</v>
      </c>
      <c r="AC657" s="8">
        <v>1</v>
      </c>
      <c r="AD657" s="8" t="s">
        <v>94</v>
      </c>
      <c r="AE657" s="8">
        <v>0</v>
      </c>
      <c r="AF657" s="8" t="s">
        <v>94</v>
      </c>
      <c r="AG657" s="8">
        <v>0</v>
      </c>
      <c r="AH657" s="8" t="s">
        <v>95</v>
      </c>
      <c r="AI657" s="8">
        <v>1</v>
      </c>
      <c r="AJ657" s="8" t="s">
        <v>95</v>
      </c>
      <c r="AK657" s="8">
        <v>1</v>
      </c>
      <c r="AL657" s="8" t="s">
        <v>95</v>
      </c>
      <c r="AM657" s="8">
        <v>1</v>
      </c>
      <c r="AN657" s="8">
        <v>10</v>
      </c>
    </row>
    <row r="658" spans="1:40" x14ac:dyDescent="0.25">
      <c r="A658" s="8" t="s">
        <v>718</v>
      </c>
      <c r="B658" s="9">
        <v>42033.671527777777</v>
      </c>
      <c r="C658" s="8">
        <v>0</v>
      </c>
      <c r="D658" s="9">
        <v>42048.214583333334</v>
      </c>
      <c r="E658" s="8" t="s">
        <v>93</v>
      </c>
      <c r="F658" s="8">
        <v>16</v>
      </c>
      <c r="G658" s="8" t="s">
        <v>94</v>
      </c>
      <c r="H658" s="8" t="s">
        <v>95</v>
      </c>
      <c r="I658" s="8">
        <v>1</v>
      </c>
      <c r="J658" s="8" t="s">
        <v>95</v>
      </c>
      <c r="K658" s="8">
        <v>1</v>
      </c>
      <c r="L658" s="8" t="s">
        <v>95</v>
      </c>
      <c r="M658" s="8">
        <v>1</v>
      </c>
      <c r="N658" s="8" t="s">
        <v>95</v>
      </c>
      <c r="O658" s="8">
        <v>1</v>
      </c>
      <c r="P658" s="8" t="s">
        <v>95</v>
      </c>
      <c r="Q658" s="8">
        <v>1</v>
      </c>
      <c r="R658" s="8" t="s">
        <v>95</v>
      </c>
      <c r="S658" s="8">
        <v>1</v>
      </c>
      <c r="T658" s="8" t="s">
        <v>95</v>
      </c>
      <c r="U658" s="8">
        <v>1</v>
      </c>
      <c r="V658" s="8" t="s">
        <v>95</v>
      </c>
      <c r="W658" s="8">
        <v>1</v>
      </c>
      <c r="X658" s="8" t="s">
        <v>95</v>
      </c>
      <c r="Y658" s="8">
        <v>1</v>
      </c>
      <c r="Z658" s="8" t="s">
        <v>95</v>
      </c>
      <c r="AA658" s="8">
        <v>1</v>
      </c>
      <c r="AB658" s="8" t="s">
        <v>95</v>
      </c>
      <c r="AC658" s="8">
        <v>1</v>
      </c>
      <c r="AD658" s="8" t="s">
        <v>95</v>
      </c>
      <c r="AE658" s="8">
        <v>1</v>
      </c>
      <c r="AF658" s="8" t="s">
        <v>95</v>
      </c>
      <c r="AG658" s="8">
        <v>1</v>
      </c>
      <c r="AH658" s="8" t="s">
        <v>95</v>
      </c>
      <c r="AI658" s="8">
        <v>1</v>
      </c>
      <c r="AJ658" s="8" t="s">
        <v>95</v>
      </c>
      <c r="AK658" s="8">
        <v>1</v>
      </c>
      <c r="AL658" s="8" t="s">
        <v>95</v>
      </c>
      <c r="AM658" s="8">
        <v>1</v>
      </c>
      <c r="AN658" s="8">
        <v>16</v>
      </c>
    </row>
    <row r="659" spans="1:40" x14ac:dyDescent="0.25">
      <c r="A659" s="8" t="s">
        <v>719</v>
      </c>
      <c r="B659" s="9">
        <v>42033.685416666667</v>
      </c>
      <c r="C659" s="8">
        <v>0</v>
      </c>
      <c r="D659" s="9">
        <v>42048.21597222222</v>
      </c>
      <c r="E659" s="8" t="s">
        <v>93</v>
      </c>
      <c r="F659" s="8">
        <v>10</v>
      </c>
      <c r="G659" s="8" t="s">
        <v>94</v>
      </c>
      <c r="H659" s="8" t="s">
        <v>94</v>
      </c>
      <c r="I659" s="8">
        <v>0</v>
      </c>
      <c r="J659" s="8" t="s">
        <v>94</v>
      </c>
      <c r="K659" s="8">
        <v>0</v>
      </c>
      <c r="L659" s="8" t="s">
        <v>94</v>
      </c>
      <c r="M659" s="8">
        <v>0</v>
      </c>
      <c r="N659" s="8" t="s">
        <v>94</v>
      </c>
      <c r="O659" s="8">
        <v>0</v>
      </c>
      <c r="P659" s="8" t="s">
        <v>95</v>
      </c>
      <c r="Q659" s="8">
        <v>1</v>
      </c>
      <c r="R659" s="8" t="s">
        <v>95</v>
      </c>
      <c r="S659" s="8">
        <v>1</v>
      </c>
      <c r="T659" s="8" t="s">
        <v>94</v>
      </c>
      <c r="U659" s="8">
        <v>0</v>
      </c>
      <c r="V659" s="8" t="s">
        <v>95</v>
      </c>
      <c r="W659" s="8">
        <v>1</v>
      </c>
      <c r="X659" s="8" t="s">
        <v>95</v>
      </c>
      <c r="Y659" s="8">
        <v>1</v>
      </c>
      <c r="Z659" s="8" t="s">
        <v>95</v>
      </c>
      <c r="AA659" s="8">
        <v>1</v>
      </c>
      <c r="AB659" s="8" t="s">
        <v>95</v>
      </c>
      <c r="AC659" s="8">
        <v>1</v>
      </c>
      <c r="AD659" s="8" t="s">
        <v>95</v>
      </c>
      <c r="AE659" s="8">
        <v>1</v>
      </c>
      <c r="AF659" s="8" t="s">
        <v>95</v>
      </c>
      <c r="AG659" s="8">
        <v>1</v>
      </c>
      <c r="AH659" s="8" t="s">
        <v>95</v>
      </c>
      <c r="AI659" s="8">
        <v>1</v>
      </c>
      <c r="AJ659" s="8" t="s">
        <v>95</v>
      </c>
      <c r="AK659" s="8">
        <v>1</v>
      </c>
      <c r="AL659" s="8" t="s">
        <v>94</v>
      </c>
      <c r="AM659" s="8">
        <v>0</v>
      </c>
      <c r="AN659" s="8">
        <v>10</v>
      </c>
    </row>
    <row r="660" spans="1:40" x14ac:dyDescent="0.25">
      <c r="A660" s="8" t="s">
        <v>720</v>
      </c>
      <c r="B660" s="9">
        <v>42033.683333333334</v>
      </c>
      <c r="C660" s="8">
        <v>0</v>
      </c>
      <c r="D660" s="9">
        <v>42048.230555555558</v>
      </c>
      <c r="E660" s="8" t="s">
        <v>93</v>
      </c>
      <c r="F660" s="8">
        <v>14</v>
      </c>
      <c r="G660" s="8" t="s">
        <v>94</v>
      </c>
      <c r="H660" s="8" t="s">
        <v>95</v>
      </c>
      <c r="I660" s="8">
        <v>1</v>
      </c>
      <c r="J660" s="8" t="s">
        <v>95</v>
      </c>
      <c r="K660" s="8">
        <v>1</v>
      </c>
      <c r="L660" s="8" t="s">
        <v>95</v>
      </c>
      <c r="M660" s="8">
        <v>1</v>
      </c>
      <c r="N660" s="8" t="s">
        <v>95</v>
      </c>
      <c r="O660" s="8">
        <v>1</v>
      </c>
      <c r="P660" s="8" t="s">
        <v>95</v>
      </c>
      <c r="Q660" s="8">
        <v>1</v>
      </c>
      <c r="R660" s="8" t="s">
        <v>95</v>
      </c>
      <c r="S660" s="8">
        <v>1</v>
      </c>
      <c r="T660" s="8" t="s">
        <v>95</v>
      </c>
      <c r="U660" s="8">
        <v>1</v>
      </c>
      <c r="V660" s="8" t="s">
        <v>95</v>
      </c>
      <c r="W660" s="8">
        <v>1</v>
      </c>
      <c r="X660" s="8" t="s">
        <v>95</v>
      </c>
      <c r="Y660" s="8">
        <v>1</v>
      </c>
      <c r="Z660" s="8" t="s">
        <v>95</v>
      </c>
      <c r="AA660" s="8">
        <v>1</v>
      </c>
      <c r="AB660" s="8" t="s">
        <v>95</v>
      </c>
      <c r="AC660" s="8">
        <v>1</v>
      </c>
      <c r="AD660" s="8" t="s">
        <v>95</v>
      </c>
      <c r="AE660" s="8">
        <v>1</v>
      </c>
      <c r="AF660" s="8" t="s">
        <v>94</v>
      </c>
      <c r="AG660" s="8">
        <v>0</v>
      </c>
      <c r="AH660" s="8" t="s">
        <v>95</v>
      </c>
      <c r="AI660" s="8">
        <v>1</v>
      </c>
      <c r="AJ660" s="8" t="s">
        <v>95</v>
      </c>
      <c r="AK660" s="8">
        <v>1</v>
      </c>
      <c r="AL660" s="8" t="s">
        <v>94</v>
      </c>
      <c r="AM660" s="8">
        <v>0</v>
      </c>
      <c r="AN660" s="8">
        <v>14</v>
      </c>
    </row>
    <row r="661" spans="1:40" x14ac:dyDescent="0.25">
      <c r="A661" s="8" t="s">
        <v>721</v>
      </c>
      <c r="B661" s="9">
        <v>42033.662499999999</v>
      </c>
      <c r="C661" s="8">
        <v>0</v>
      </c>
      <c r="D661" s="9">
        <v>42048.241666666669</v>
      </c>
      <c r="E661" s="8" t="s">
        <v>93</v>
      </c>
      <c r="F661" s="8">
        <v>10</v>
      </c>
      <c r="G661" s="8" t="s">
        <v>94</v>
      </c>
      <c r="H661" s="8" t="s">
        <v>95</v>
      </c>
      <c r="I661" s="8">
        <v>1</v>
      </c>
      <c r="J661" s="8" t="s">
        <v>95</v>
      </c>
      <c r="K661" s="8">
        <v>1</v>
      </c>
      <c r="L661" s="8" t="s">
        <v>95</v>
      </c>
      <c r="M661" s="8">
        <v>1</v>
      </c>
      <c r="N661" s="8" t="s">
        <v>94</v>
      </c>
      <c r="O661" s="8">
        <v>0</v>
      </c>
      <c r="P661" s="8" t="s">
        <v>95</v>
      </c>
      <c r="Q661" s="8">
        <v>1</v>
      </c>
      <c r="R661" s="8" t="s">
        <v>94</v>
      </c>
      <c r="S661" s="8">
        <v>0</v>
      </c>
      <c r="T661" s="8" t="s">
        <v>94</v>
      </c>
      <c r="U661" s="8">
        <v>0</v>
      </c>
      <c r="V661" s="8" t="s">
        <v>95</v>
      </c>
      <c r="W661" s="8">
        <v>1</v>
      </c>
      <c r="X661" s="8" t="s">
        <v>95</v>
      </c>
      <c r="Y661" s="8">
        <v>1</v>
      </c>
      <c r="Z661" s="8" t="s">
        <v>95</v>
      </c>
      <c r="AA661" s="8">
        <v>1</v>
      </c>
      <c r="AB661" s="8" t="s">
        <v>95</v>
      </c>
      <c r="AC661" s="8">
        <v>1</v>
      </c>
      <c r="AD661" s="8" t="s">
        <v>95</v>
      </c>
      <c r="AE661" s="8">
        <v>1</v>
      </c>
      <c r="AF661" s="8" t="s">
        <v>94</v>
      </c>
      <c r="AG661" s="8">
        <v>0</v>
      </c>
      <c r="AH661" s="8" t="s">
        <v>94</v>
      </c>
      <c r="AI661" s="8">
        <v>0</v>
      </c>
      <c r="AJ661" s="8" t="s">
        <v>95</v>
      </c>
      <c r="AK661" s="8">
        <v>1</v>
      </c>
      <c r="AL661" s="8" t="s">
        <v>94</v>
      </c>
      <c r="AM661" s="8">
        <v>0</v>
      </c>
      <c r="AN661" s="8">
        <v>10</v>
      </c>
    </row>
    <row r="662" spans="1:40" x14ac:dyDescent="0.25">
      <c r="A662" s="8" t="s">
        <v>722</v>
      </c>
      <c r="B662" s="9">
        <v>42033.684027777781</v>
      </c>
      <c r="C662" s="8">
        <v>0</v>
      </c>
      <c r="D662" s="9">
        <v>42048.244444444441</v>
      </c>
      <c r="E662" s="8" t="s">
        <v>93</v>
      </c>
      <c r="F662" s="8">
        <v>16</v>
      </c>
      <c r="G662" s="8" t="s">
        <v>94</v>
      </c>
      <c r="H662" s="8" t="s">
        <v>95</v>
      </c>
      <c r="I662" s="8">
        <v>1</v>
      </c>
      <c r="J662" s="8" t="s">
        <v>95</v>
      </c>
      <c r="K662" s="8">
        <v>1</v>
      </c>
      <c r="L662" s="8" t="s">
        <v>95</v>
      </c>
      <c r="M662" s="8">
        <v>1</v>
      </c>
      <c r="N662" s="8" t="s">
        <v>95</v>
      </c>
      <c r="O662" s="8">
        <v>1</v>
      </c>
      <c r="P662" s="8" t="s">
        <v>95</v>
      </c>
      <c r="Q662" s="8">
        <v>1</v>
      </c>
      <c r="R662" s="8" t="s">
        <v>95</v>
      </c>
      <c r="S662" s="8">
        <v>1</v>
      </c>
      <c r="T662" s="8" t="s">
        <v>95</v>
      </c>
      <c r="U662" s="8">
        <v>1</v>
      </c>
      <c r="V662" s="8" t="s">
        <v>95</v>
      </c>
      <c r="W662" s="8">
        <v>1</v>
      </c>
      <c r="X662" s="8" t="s">
        <v>95</v>
      </c>
      <c r="Y662" s="8">
        <v>1</v>
      </c>
      <c r="Z662" s="8" t="s">
        <v>95</v>
      </c>
      <c r="AA662" s="8">
        <v>1</v>
      </c>
      <c r="AB662" s="8" t="s">
        <v>95</v>
      </c>
      <c r="AC662" s="8">
        <v>1</v>
      </c>
      <c r="AD662" s="8" t="s">
        <v>95</v>
      </c>
      <c r="AE662" s="8">
        <v>1</v>
      </c>
      <c r="AF662" s="8" t="s">
        <v>95</v>
      </c>
      <c r="AG662" s="8">
        <v>1</v>
      </c>
      <c r="AH662" s="8" t="s">
        <v>95</v>
      </c>
      <c r="AI662" s="8">
        <v>1</v>
      </c>
      <c r="AJ662" s="8" t="s">
        <v>95</v>
      </c>
      <c r="AK662" s="8">
        <v>1</v>
      </c>
      <c r="AL662" s="8" t="s">
        <v>95</v>
      </c>
      <c r="AM662" s="8">
        <v>1</v>
      </c>
      <c r="AN662" s="8">
        <v>16</v>
      </c>
    </row>
    <row r="663" spans="1:40" x14ac:dyDescent="0.25">
      <c r="A663" s="8" t="s">
        <v>723</v>
      </c>
      <c r="B663" s="9">
        <v>42033.655555555553</v>
      </c>
      <c r="C663" s="8">
        <v>0</v>
      </c>
      <c r="D663" s="9">
        <v>42048.256944444445</v>
      </c>
      <c r="E663" s="8" t="s">
        <v>93</v>
      </c>
      <c r="F663" s="8">
        <v>16</v>
      </c>
      <c r="G663" s="8" t="s">
        <v>94</v>
      </c>
      <c r="H663" s="8" t="s">
        <v>95</v>
      </c>
      <c r="I663" s="8">
        <v>1</v>
      </c>
      <c r="J663" s="8" t="s">
        <v>95</v>
      </c>
      <c r="K663" s="8">
        <v>1</v>
      </c>
      <c r="L663" s="8" t="s">
        <v>95</v>
      </c>
      <c r="M663" s="8">
        <v>1</v>
      </c>
      <c r="N663" s="8" t="s">
        <v>95</v>
      </c>
      <c r="O663" s="8">
        <v>1</v>
      </c>
      <c r="P663" s="8" t="s">
        <v>95</v>
      </c>
      <c r="Q663" s="8">
        <v>1</v>
      </c>
      <c r="R663" s="8" t="s">
        <v>95</v>
      </c>
      <c r="S663" s="8">
        <v>1</v>
      </c>
      <c r="T663" s="8" t="s">
        <v>95</v>
      </c>
      <c r="U663" s="8">
        <v>1</v>
      </c>
      <c r="V663" s="8" t="s">
        <v>95</v>
      </c>
      <c r="W663" s="8">
        <v>1</v>
      </c>
      <c r="X663" s="8" t="s">
        <v>95</v>
      </c>
      <c r="Y663" s="8">
        <v>1</v>
      </c>
      <c r="Z663" s="8" t="s">
        <v>95</v>
      </c>
      <c r="AA663" s="8">
        <v>1</v>
      </c>
      <c r="AB663" s="8" t="s">
        <v>95</v>
      </c>
      <c r="AC663" s="8">
        <v>1</v>
      </c>
      <c r="AD663" s="8" t="s">
        <v>95</v>
      </c>
      <c r="AE663" s="8">
        <v>1</v>
      </c>
      <c r="AF663" s="8" t="s">
        <v>95</v>
      </c>
      <c r="AG663" s="8">
        <v>1</v>
      </c>
      <c r="AH663" s="8" t="s">
        <v>95</v>
      </c>
      <c r="AI663" s="8">
        <v>1</v>
      </c>
      <c r="AJ663" s="8" t="s">
        <v>95</v>
      </c>
      <c r="AK663" s="8">
        <v>1</v>
      </c>
      <c r="AL663" s="8" t="s">
        <v>95</v>
      </c>
      <c r="AM663" s="8">
        <v>1</v>
      </c>
      <c r="AN663" s="8">
        <v>16</v>
      </c>
    </row>
    <row r="664" spans="1:40" x14ac:dyDescent="0.25">
      <c r="A664" s="8" t="s">
        <v>724</v>
      </c>
      <c r="B664" s="9">
        <v>42033.67083333333</v>
      </c>
      <c r="C664" s="8">
        <v>0</v>
      </c>
      <c r="D664" s="9">
        <v>42048.279861111114</v>
      </c>
      <c r="E664" s="8" t="s">
        <v>93</v>
      </c>
      <c r="F664" s="8">
        <v>16</v>
      </c>
      <c r="G664" s="8" t="s">
        <v>94</v>
      </c>
      <c r="H664" s="8" t="s">
        <v>95</v>
      </c>
      <c r="I664" s="8">
        <v>1</v>
      </c>
      <c r="J664" s="8" t="s">
        <v>95</v>
      </c>
      <c r="K664" s="8">
        <v>1</v>
      </c>
      <c r="L664" s="8" t="s">
        <v>95</v>
      </c>
      <c r="M664" s="8">
        <v>1</v>
      </c>
      <c r="N664" s="8" t="s">
        <v>95</v>
      </c>
      <c r="O664" s="8">
        <v>1</v>
      </c>
      <c r="P664" s="8" t="s">
        <v>95</v>
      </c>
      <c r="Q664" s="8">
        <v>1</v>
      </c>
      <c r="R664" s="8" t="s">
        <v>95</v>
      </c>
      <c r="S664" s="8">
        <v>1</v>
      </c>
      <c r="T664" s="8" t="s">
        <v>95</v>
      </c>
      <c r="U664" s="8">
        <v>1</v>
      </c>
      <c r="V664" s="8" t="s">
        <v>95</v>
      </c>
      <c r="W664" s="8">
        <v>1</v>
      </c>
      <c r="X664" s="8" t="s">
        <v>95</v>
      </c>
      <c r="Y664" s="8">
        <v>1</v>
      </c>
      <c r="Z664" s="8" t="s">
        <v>95</v>
      </c>
      <c r="AA664" s="8">
        <v>1</v>
      </c>
      <c r="AB664" s="8" t="s">
        <v>95</v>
      </c>
      <c r="AC664" s="8">
        <v>1</v>
      </c>
      <c r="AD664" s="8" t="s">
        <v>95</v>
      </c>
      <c r="AE664" s="8">
        <v>1</v>
      </c>
      <c r="AF664" s="8" t="s">
        <v>95</v>
      </c>
      <c r="AG664" s="8">
        <v>1</v>
      </c>
      <c r="AH664" s="8" t="s">
        <v>95</v>
      </c>
      <c r="AI664" s="8">
        <v>1</v>
      </c>
      <c r="AJ664" s="8" t="s">
        <v>95</v>
      </c>
      <c r="AK664" s="8">
        <v>1</v>
      </c>
      <c r="AL664" s="8" t="s">
        <v>95</v>
      </c>
      <c r="AM664" s="8">
        <v>1</v>
      </c>
      <c r="AN664" s="8">
        <v>16</v>
      </c>
    </row>
    <row r="665" spans="1:40" x14ac:dyDescent="0.25">
      <c r="A665" s="8" t="s">
        <v>725</v>
      </c>
      <c r="B665" s="9">
        <v>42033.674305555556</v>
      </c>
      <c r="C665" s="8">
        <v>0</v>
      </c>
      <c r="D665" s="9">
        <v>42048.282638888886</v>
      </c>
      <c r="E665" s="8" t="s">
        <v>93</v>
      </c>
      <c r="F665" s="8">
        <v>9</v>
      </c>
      <c r="G665" s="8" t="s">
        <v>94</v>
      </c>
      <c r="H665" s="8" t="s">
        <v>95</v>
      </c>
      <c r="I665" s="8">
        <v>1</v>
      </c>
      <c r="J665" s="8" t="s">
        <v>94</v>
      </c>
      <c r="K665" s="8">
        <v>0</v>
      </c>
      <c r="L665" s="8" t="s">
        <v>94</v>
      </c>
      <c r="M665" s="8">
        <v>0</v>
      </c>
      <c r="N665" s="8" t="s">
        <v>94</v>
      </c>
      <c r="O665" s="8">
        <v>0</v>
      </c>
      <c r="P665" s="8" t="s">
        <v>95</v>
      </c>
      <c r="Q665" s="8">
        <v>1</v>
      </c>
      <c r="R665" s="8" t="s">
        <v>95</v>
      </c>
      <c r="S665" s="8">
        <v>1</v>
      </c>
      <c r="T665" s="8" t="s">
        <v>95</v>
      </c>
      <c r="U665" s="8">
        <v>1</v>
      </c>
      <c r="V665" s="8" t="s">
        <v>95</v>
      </c>
      <c r="W665" s="8">
        <v>1</v>
      </c>
      <c r="X665" s="8" t="s">
        <v>95</v>
      </c>
      <c r="Y665" s="8">
        <v>1</v>
      </c>
      <c r="Z665" s="8" t="s">
        <v>94</v>
      </c>
      <c r="AA665" s="8">
        <v>0</v>
      </c>
      <c r="AB665" s="8" t="s">
        <v>94</v>
      </c>
      <c r="AC665" s="8">
        <v>0</v>
      </c>
      <c r="AD665" s="8" t="s">
        <v>94</v>
      </c>
      <c r="AE665" s="8">
        <v>0</v>
      </c>
      <c r="AF665" s="8" t="s">
        <v>95</v>
      </c>
      <c r="AG665" s="8">
        <v>1</v>
      </c>
      <c r="AH665" s="8" t="s">
        <v>95</v>
      </c>
      <c r="AI665" s="8">
        <v>1</v>
      </c>
      <c r="AJ665" s="8" t="s">
        <v>95</v>
      </c>
      <c r="AK665" s="8">
        <v>1</v>
      </c>
      <c r="AL665" s="8" t="s">
        <v>94</v>
      </c>
      <c r="AM665" s="8">
        <v>0</v>
      </c>
      <c r="AN665" s="8">
        <v>9</v>
      </c>
    </row>
    <row r="666" spans="1:40" x14ac:dyDescent="0.25">
      <c r="A666" s="8" t="s">
        <v>726</v>
      </c>
      <c r="B666" s="9">
        <v>42033.680555555555</v>
      </c>
      <c r="C666" s="8">
        <v>0</v>
      </c>
      <c r="D666" s="9">
        <v>42048.286805555559</v>
      </c>
      <c r="E666" s="8" t="s">
        <v>93</v>
      </c>
      <c r="F666" s="8">
        <v>15</v>
      </c>
      <c r="G666" s="8" t="s">
        <v>94</v>
      </c>
      <c r="H666" s="8" t="s">
        <v>95</v>
      </c>
      <c r="I666" s="8">
        <v>1</v>
      </c>
      <c r="J666" s="8" t="s">
        <v>95</v>
      </c>
      <c r="K666" s="8">
        <v>1</v>
      </c>
      <c r="L666" s="8" t="s">
        <v>95</v>
      </c>
      <c r="M666" s="8">
        <v>1</v>
      </c>
      <c r="N666" s="8" t="s">
        <v>95</v>
      </c>
      <c r="O666" s="8">
        <v>1</v>
      </c>
      <c r="P666" s="8" t="s">
        <v>95</v>
      </c>
      <c r="Q666" s="8">
        <v>1</v>
      </c>
      <c r="R666" s="8" t="s">
        <v>95</v>
      </c>
      <c r="S666" s="8">
        <v>1</v>
      </c>
      <c r="T666" s="8" t="s">
        <v>95</v>
      </c>
      <c r="U666" s="8">
        <v>1</v>
      </c>
      <c r="V666" s="8" t="s">
        <v>95</v>
      </c>
      <c r="W666" s="8">
        <v>1</v>
      </c>
      <c r="X666" s="8" t="s">
        <v>95</v>
      </c>
      <c r="Y666" s="8">
        <v>1</v>
      </c>
      <c r="Z666" s="8" t="s">
        <v>95</v>
      </c>
      <c r="AA666" s="8">
        <v>1</v>
      </c>
      <c r="AB666" s="8" t="s">
        <v>95</v>
      </c>
      <c r="AC666" s="8">
        <v>1</v>
      </c>
      <c r="AD666" s="8" t="s">
        <v>95</v>
      </c>
      <c r="AE666" s="8">
        <v>1</v>
      </c>
      <c r="AF666" s="8" t="s">
        <v>95</v>
      </c>
      <c r="AG666" s="8">
        <v>1</v>
      </c>
      <c r="AH666" s="8" t="s">
        <v>95</v>
      </c>
      <c r="AI666" s="8">
        <v>1</v>
      </c>
      <c r="AJ666" s="8" t="s">
        <v>95</v>
      </c>
      <c r="AK666" s="8">
        <v>1</v>
      </c>
      <c r="AL666" s="8" t="s">
        <v>94</v>
      </c>
      <c r="AM666" s="8">
        <v>0</v>
      </c>
      <c r="AN666" s="8">
        <v>15</v>
      </c>
    </row>
    <row r="667" spans="1:40" x14ac:dyDescent="0.25">
      <c r="A667" s="8" t="s">
        <v>727</v>
      </c>
      <c r="B667" s="9">
        <v>42033.663194444445</v>
      </c>
      <c r="C667" s="8">
        <v>0</v>
      </c>
      <c r="D667" s="9">
        <v>42048.314583333333</v>
      </c>
      <c r="E667" s="8" t="s">
        <v>93</v>
      </c>
      <c r="F667" s="8">
        <v>16</v>
      </c>
      <c r="G667" s="8" t="s">
        <v>94</v>
      </c>
      <c r="H667" s="8" t="s">
        <v>95</v>
      </c>
      <c r="I667" s="8">
        <v>1</v>
      </c>
      <c r="J667" s="8" t="s">
        <v>95</v>
      </c>
      <c r="K667" s="8">
        <v>1</v>
      </c>
      <c r="L667" s="8" t="s">
        <v>95</v>
      </c>
      <c r="M667" s="8">
        <v>1</v>
      </c>
      <c r="N667" s="8" t="s">
        <v>95</v>
      </c>
      <c r="O667" s="8">
        <v>1</v>
      </c>
      <c r="P667" s="8" t="s">
        <v>95</v>
      </c>
      <c r="Q667" s="8">
        <v>1</v>
      </c>
      <c r="R667" s="8" t="s">
        <v>95</v>
      </c>
      <c r="S667" s="8">
        <v>1</v>
      </c>
      <c r="T667" s="8" t="s">
        <v>95</v>
      </c>
      <c r="U667" s="8">
        <v>1</v>
      </c>
      <c r="V667" s="8" t="s">
        <v>95</v>
      </c>
      <c r="W667" s="8">
        <v>1</v>
      </c>
      <c r="X667" s="8" t="s">
        <v>95</v>
      </c>
      <c r="Y667" s="8">
        <v>1</v>
      </c>
      <c r="Z667" s="8" t="s">
        <v>95</v>
      </c>
      <c r="AA667" s="8">
        <v>1</v>
      </c>
      <c r="AB667" s="8" t="s">
        <v>95</v>
      </c>
      <c r="AC667" s="8">
        <v>1</v>
      </c>
      <c r="AD667" s="8" t="s">
        <v>95</v>
      </c>
      <c r="AE667" s="8">
        <v>1</v>
      </c>
      <c r="AF667" s="8" t="s">
        <v>95</v>
      </c>
      <c r="AG667" s="8">
        <v>1</v>
      </c>
      <c r="AH667" s="8" t="s">
        <v>95</v>
      </c>
      <c r="AI667" s="8">
        <v>1</v>
      </c>
      <c r="AJ667" s="8" t="s">
        <v>95</v>
      </c>
      <c r="AK667" s="8">
        <v>1</v>
      </c>
      <c r="AL667" s="8" t="s">
        <v>95</v>
      </c>
      <c r="AM667" s="8">
        <v>1</v>
      </c>
      <c r="AN667" s="8">
        <v>16</v>
      </c>
    </row>
    <row r="668" spans="1:40" x14ac:dyDescent="0.25">
      <c r="A668" s="8" t="s">
        <v>728</v>
      </c>
      <c r="B668" s="9">
        <v>42033.65</v>
      </c>
      <c r="C668" s="8">
        <v>0</v>
      </c>
      <c r="D668" s="9">
        <v>42048.321527777778</v>
      </c>
      <c r="E668" s="8" t="s">
        <v>93</v>
      </c>
      <c r="F668" s="8">
        <v>16</v>
      </c>
      <c r="G668" s="8" t="s">
        <v>94</v>
      </c>
      <c r="H668" s="8" t="s">
        <v>95</v>
      </c>
      <c r="I668" s="8">
        <v>1</v>
      </c>
      <c r="J668" s="8" t="s">
        <v>95</v>
      </c>
      <c r="K668" s="8">
        <v>1</v>
      </c>
      <c r="L668" s="8" t="s">
        <v>95</v>
      </c>
      <c r="M668" s="8">
        <v>1</v>
      </c>
      <c r="N668" s="8" t="s">
        <v>95</v>
      </c>
      <c r="O668" s="8">
        <v>1</v>
      </c>
      <c r="P668" s="8" t="s">
        <v>95</v>
      </c>
      <c r="Q668" s="8">
        <v>1</v>
      </c>
      <c r="R668" s="8" t="s">
        <v>95</v>
      </c>
      <c r="S668" s="8">
        <v>1</v>
      </c>
      <c r="T668" s="8" t="s">
        <v>95</v>
      </c>
      <c r="U668" s="8">
        <v>1</v>
      </c>
      <c r="V668" s="8" t="s">
        <v>95</v>
      </c>
      <c r="W668" s="8">
        <v>1</v>
      </c>
      <c r="X668" s="8" t="s">
        <v>95</v>
      </c>
      <c r="Y668" s="8">
        <v>1</v>
      </c>
      <c r="Z668" s="8" t="s">
        <v>95</v>
      </c>
      <c r="AA668" s="8">
        <v>1</v>
      </c>
      <c r="AB668" s="8" t="s">
        <v>95</v>
      </c>
      <c r="AC668" s="8">
        <v>1</v>
      </c>
      <c r="AD668" s="8" t="s">
        <v>95</v>
      </c>
      <c r="AE668" s="8">
        <v>1</v>
      </c>
      <c r="AF668" s="8" t="s">
        <v>95</v>
      </c>
      <c r="AG668" s="8">
        <v>1</v>
      </c>
      <c r="AH668" s="8" t="s">
        <v>95</v>
      </c>
      <c r="AI668" s="8">
        <v>1</v>
      </c>
      <c r="AJ668" s="8" t="s">
        <v>95</v>
      </c>
      <c r="AK668" s="8">
        <v>1</v>
      </c>
      <c r="AL668" s="8" t="s">
        <v>95</v>
      </c>
      <c r="AM668" s="8">
        <v>1</v>
      </c>
      <c r="AN668" s="8">
        <v>16</v>
      </c>
    </row>
    <row r="669" spans="1:40" x14ac:dyDescent="0.25">
      <c r="A669" s="8" t="s">
        <v>729</v>
      </c>
      <c r="B669" s="9">
        <v>42033.667361111111</v>
      </c>
      <c r="C669" s="8">
        <v>0</v>
      </c>
      <c r="D669" s="9">
        <v>42048.323611111111</v>
      </c>
      <c r="E669" s="8" t="s">
        <v>93</v>
      </c>
      <c r="F669" s="8">
        <v>13</v>
      </c>
      <c r="G669" s="8" t="s">
        <v>94</v>
      </c>
      <c r="H669" s="8" t="s">
        <v>95</v>
      </c>
      <c r="I669" s="8">
        <v>1</v>
      </c>
      <c r="J669" s="8" t="s">
        <v>95</v>
      </c>
      <c r="K669" s="8">
        <v>1</v>
      </c>
      <c r="L669" s="8" t="s">
        <v>95</v>
      </c>
      <c r="M669" s="8">
        <v>1</v>
      </c>
      <c r="N669" s="8" t="s">
        <v>95</v>
      </c>
      <c r="O669" s="8">
        <v>1</v>
      </c>
      <c r="P669" s="8" t="s">
        <v>95</v>
      </c>
      <c r="Q669" s="8">
        <v>1</v>
      </c>
      <c r="R669" s="8" t="s">
        <v>95</v>
      </c>
      <c r="S669" s="8">
        <v>1</v>
      </c>
      <c r="T669" s="8" t="s">
        <v>95</v>
      </c>
      <c r="U669" s="8">
        <v>1</v>
      </c>
      <c r="V669" s="8" t="s">
        <v>95</v>
      </c>
      <c r="W669" s="8">
        <v>1</v>
      </c>
      <c r="X669" s="8" t="s">
        <v>95</v>
      </c>
      <c r="Y669" s="8">
        <v>1</v>
      </c>
      <c r="Z669" s="8" t="s">
        <v>95</v>
      </c>
      <c r="AA669" s="8">
        <v>1</v>
      </c>
      <c r="AB669" s="8" t="s">
        <v>95</v>
      </c>
      <c r="AC669" s="8">
        <v>1</v>
      </c>
      <c r="AD669" s="8" t="s">
        <v>95</v>
      </c>
      <c r="AE669" s="8">
        <v>1</v>
      </c>
      <c r="AF669" s="8" t="s">
        <v>95</v>
      </c>
      <c r="AG669" s="8">
        <v>1</v>
      </c>
      <c r="AH669" s="8" t="s">
        <v>94</v>
      </c>
      <c r="AI669" s="8">
        <v>0</v>
      </c>
      <c r="AJ669" s="8" t="s">
        <v>94</v>
      </c>
      <c r="AK669" s="8">
        <v>0</v>
      </c>
      <c r="AL669" s="8" t="s">
        <v>94</v>
      </c>
      <c r="AM669" s="8">
        <v>0</v>
      </c>
      <c r="AN669" s="8">
        <v>13</v>
      </c>
    </row>
    <row r="670" spans="1:40" x14ac:dyDescent="0.25">
      <c r="A670" s="8" t="s">
        <v>730</v>
      </c>
      <c r="B670" s="9">
        <v>42033.662499999999</v>
      </c>
      <c r="C670" s="8">
        <v>0</v>
      </c>
      <c r="D670" s="9">
        <v>42048.328472222223</v>
      </c>
      <c r="E670" s="8" t="s">
        <v>93</v>
      </c>
      <c r="F670" s="8">
        <v>0</v>
      </c>
      <c r="G670" s="8" t="s">
        <v>94</v>
      </c>
      <c r="H670" s="8" t="s">
        <v>94</v>
      </c>
      <c r="I670" s="8">
        <v>0</v>
      </c>
      <c r="J670" s="8" t="s">
        <v>94</v>
      </c>
      <c r="K670" s="8">
        <v>0</v>
      </c>
      <c r="L670" s="8" t="s">
        <v>94</v>
      </c>
      <c r="M670" s="8">
        <v>0</v>
      </c>
      <c r="N670" s="8" t="s">
        <v>94</v>
      </c>
      <c r="O670" s="8">
        <v>0</v>
      </c>
      <c r="P670" s="8" t="s">
        <v>94</v>
      </c>
      <c r="Q670" s="8">
        <v>0</v>
      </c>
      <c r="R670" s="8" t="s">
        <v>94</v>
      </c>
      <c r="S670" s="8">
        <v>0</v>
      </c>
      <c r="T670" s="8" t="s">
        <v>94</v>
      </c>
      <c r="U670" s="8">
        <v>0</v>
      </c>
      <c r="V670" s="8" t="s">
        <v>94</v>
      </c>
      <c r="W670" s="8">
        <v>0</v>
      </c>
      <c r="X670" s="8" t="s">
        <v>94</v>
      </c>
      <c r="Y670" s="8">
        <v>0</v>
      </c>
      <c r="Z670" s="8" t="s">
        <v>94</v>
      </c>
      <c r="AA670" s="8">
        <v>0</v>
      </c>
      <c r="AB670" s="8" t="s">
        <v>94</v>
      </c>
      <c r="AC670" s="8">
        <v>0</v>
      </c>
      <c r="AD670" s="8" t="s">
        <v>94</v>
      </c>
      <c r="AE670" s="8">
        <v>0</v>
      </c>
      <c r="AF670" s="8" t="s">
        <v>94</v>
      </c>
      <c r="AG670" s="8">
        <v>0</v>
      </c>
      <c r="AH670" s="8" t="s">
        <v>94</v>
      </c>
      <c r="AI670" s="8">
        <v>0</v>
      </c>
      <c r="AJ670" s="8" t="s">
        <v>94</v>
      </c>
      <c r="AK670" s="8">
        <v>0</v>
      </c>
      <c r="AL670" s="8" t="s">
        <v>94</v>
      </c>
      <c r="AM670" s="8">
        <v>0</v>
      </c>
      <c r="AN670" s="8">
        <v>0</v>
      </c>
    </row>
    <row r="671" spans="1:40" x14ac:dyDescent="0.25">
      <c r="A671" s="8" t="s">
        <v>731</v>
      </c>
      <c r="B671" s="9">
        <v>42033.672222222223</v>
      </c>
      <c r="C671" s="8">
        <v>0</v>
      </c>
      <c r="D671" s="9">
        <v>42048.376388888886</v>
      </c>
      <c r="E671" s="8" t="s">
        <v>93</v>
      </c>
      <c r="F671" s="8">
        <v>13</v>
      </c>
      <c r="G671" s="8" t="s">
        <v>94</v>
      </c>
      <c r="H671" s="8" t="s">
        <v>95</v>
      </c>
      <c r="I671" s="8">
        <v>1</v>
      </c>
      <c r="J671" s="8" t="s">
        <v>95</v>
      </c>
      <c r="K671" s="8">
        <v>1</v>
      </c>
      <c r="L671" s="8" t="s">
        <v>95</v>
      </c>
      <c r="M671" s="8">
        <v>1</v>
      </c>
      <c r="N671" s="8" t="s">
        <v>95</v>
      </c>
      <c r="O671" s="8">
        <v>1</v>
      </c>
      <c r="P671" s="8" t="s">
        <v>94</v>
      </c>
      <c r="Q671" s="8">
        <v>0</v>
      </c>
      <c r="R671" s="8" t="s">
        <v>95</v>
      </c>
      <c r="S671" s="8">
        <v>1</v>
      </c>
      <c r="T671" s="8" t="s">
        <v>95</v>
      </c>
      <c r="U671" s="8">
        <v>1</v>
      </c>
      <c r="V671" s="8" t="s">
        <v>94</v>
      </c>
      <c r="W671" s="8">
        <v>0</v>
      </c>
      <c r="X671" s="8" t="s">
        <v>95</v>
      </c>
      <c r="Y671" s="8">
        <v>1</v>
      </c>
      <c r="Z671" s="8" t="s">
        <v>95</v>
      </c>
      <c r="AA671" s="8">
        <v>1</v>
      </c>
      <c r="AB671" s="8" t="s">
        <v>95</v>
      </c>
      <c r="AC671" s="8">
        <v>1</v>
      </c>
      <c r="AD671" s="8" t="s">
        <v>95</v>
      </c>
      <c r="AE671" s="8">
        <v>1</v>
      </c>
      <c r="AF671" s="8" t="s">
        <v>95</v>
      </c>
      <c r="AG671" s="8">
        <v>1</v>
      </c>
      <c r="AH671" s="8" t="s">
        <v>95</v>
      </c>
      <c r="AI671" s="8">
        <v>1</v>
      </c>
      <c r="AJ671" s="8" t="s">
        <v>95</v>
      </c>
      <c r="AK671" s="8">
        <v>1</v>
      </c>
      <c r="AL671" s="8" t="s">
        <v>94</v>
      </c>
      <c r="AM671" s="8">
        <v>0</v>
      </c>
      <c r="AN671" s="8">
        <v>13</v>
      </c>
    </row>
    <row r="672" spans="1:40" x14ac:dyDescent="0.25">
      <c r="A672" s="8" t="s">
        <v>732</v>
      </c>
      <c r="B672" s="9">
        <v>42033.664583333331</v>
      </c>
      <c r="C672" s="8">
        <v>0</v>
      </c>
      <c r="D672" s="9">
        <v>42048.429166666669</v>
      </c>
      <c r="E672" s="8" t="s">
        <v>93</v>
      </c>
      <c r="F672" s="8">
        <v>6</v>
      </c>
      <c r="G672" s="8" t="s">
        <v>94</v>
      </c>
      <c r="H672" s="8" t="s">
        <v>95</v>
      </c>
      <c r="I672" s="8">
        <v>1</v>
      </c>
      <c r="J672" s="8" t="s">
        <v>94</v>
      </c>
      <c r="K672" s="8">
        <v>0</v>
      </c>
      <c r="L672" s="8" t="s">
        <v>94</v>
      </c>
      <c r="M672" s="8">
        <v>0</v>
      </c>
      <c r="N672" s="8" t="s">
        <v>94</v>
      </c>
      <c r="O672" s="8">
        <v>0</v>
      </c>
      <c r="P672" s="8" t="s">
        <v>95</v>
      </c>
      <c r="Q672" s="8">
        <v>1</v>
      </c>
      <c r="R672" s="8" t="s">
        <v>94</v>
      </c>
      <c r="S672" s="8">
        <v>0</v>
      </c>
      <c r="T672" s="8" t="s">
        <v>94</v>
      </c>
      <c r="U672" s="8">
        <v>0</v>
      </c>
      <c r="V672" s="8" t="s">
        <v>95</v>
      </c>
      <c r="W672" s="8">
        <v>1</v>
      </c>
      <c r="X672" s="8" t="s">
        <v>95</v>
      </c>
      <c r="Y672" s="8">
        <v>1</v>
      </c>
      <c r="Z672" s="8" t="s">
        <v>95</v>
      </c>
      <c r="AA672" s="8">
        <v>1</v>
      </c>
      <c r="AB672" s="8" t="s">
        <v>94</v>
      </c>
      <c r="AC672" s="8">
        <v>0</v>
      </c>
      <c r="AD672" s="8" t="s">
        <v>94</v>
      </c>
      <c r="AE672" s="8">
        <v>0</v>
      </c>
      <c r="AF672" s="8" t="s">
        <v>94</v>
      </c>
      <c r="AG672" s="8">
        <v>0</v>
      </c>
      <c r="AH672" s="8" t="s">
        <v>94</v>
      </c>
      <c r="AI672" s="8">
        <v>0</v>
      </c>
      <c r="AJ672" s="8" t="s">
        <v>94</v>
      </c>
      <c r="AK672" s="8">
        <v>0</v>
      </c>
      <c r="AL672" s="8" t="s">
        <v>95</v>
      </c>
      <c r="AM672" s="8">
        <v>1</v>
      </c>
      <c r="AN672" s="8">
        <v>6</v>
      </c>
    </row>
    <row r="673" spans="1:40" x14ac:dyDescent="0.25">
      <c r="A673" s="8" t="s">
        <v>733</v>
      </c>
      <c r="B673" s="9">
        <v>42033.663194444445</v>
      </c>
      <c r="C673" s="8">
        <v>0</v>
      </c>
      <c r="D673" s="9">
        <v>42048.499305555553</v>
      </c>
      <c r="E673" s="8" t="s">
        <v>93</v>
      </c>
      <c r="F673" s="8">
        <v>15</v>
      </c>
      <c r="G673" s="8" t="s">
        <v>94</v>
      </c>
      <c r="H673" s="8" t="s">
        <v>94</v>
      </c>
      <c r="I673" s="8">
        <v>0</v>
      </c>
      <c r="J673" s="8" t="s">
        <v>95</v>
      </c>
      <c r="K673" s="8">
        <v>1</v>
      </c>
      <c r="L673" s="8" t="s">
        <v>95</v>
      </c>
      <c r="M673" s="8">
        <v>1</v>
      </c>
      <c r="N673" s="8" t="s">
        <v>95</v>
      </c>
      <c r="O673" s="8">
        <v>1</v>
      </c>
      <c r="P673" s="8" t="s">
        <v>95</v>
      </c>
      <c r="Q673" s="8">
        <v>1</v>
      </c>
      <c r="R673" s="8" t="s">
        <v>95</v>
      </c>
      <c r="S673" s="8">
        <v>1</v>
      </c>
      <c r="T673" s="8" t="s">
        <v>95</v>
      </c>
      <c r="U673" s="8">
        <v>1</v>
      </c>
      <c r="V673" s="8" t="s">
        <v>95</v>
      </c>
      <c r="W673" s="8">
        <v>1</v>
      </c>
      <c r="X673" s="8" t="s">
        <v>95</v>
      </c>
      <c r="Y673" s="8">
        <v>1</v>
      </c>
      <c r="Z673" s="8" t="s">
        <v>95</v>
      </c>
      <c r="AA673" s="8">
        <v>1</v>
      </c>
      <c r="AB673" s="8" t="s">
        <v>95</v>
      </c>
      <c r="AC673" s="8">
        <v>1</v>
      </c>
      <c r="AD673" s="8" t="s">
        <v>95</v>
      </c>
      <c r="AE673" s="8">
        <v>1</v>
      </c>
      <c r="AF673" s="8" t="s">
        <v>95</v>
      </c>
      <c r="AG673" s="8">
        <v>1</v>
      </c>
      <c r="AH673" s="8" t="s">
        <v>95</v>
      </c>
      <c r="AI673" s="8">
        <v>1</v>
      </c>
      <c r="AJ673" s="8" t="s">
        <v>95</v>
      </c>
      <c r="AK673" s="8">
        <v>1</v>
      </c>
      <c r="AL673" s="8" t="s">
        <v>95</v>
      </c>
      <c r="AM673" s="8">
        <v>1</v>
      </c>
      <c r="AN673" s="8">
        <v>15</v>
      </c>
    </row>
    <row r="674" spans="1:40" x14ac:dyDescent="0.25">
      <c r="A674" s="8" t="s">
        <v>734</v>
      </c>
      <c r="B674" s="9">
        <v>42033.665277777778</v>
      </c>
      <c r="C674" s="8">
        <v>0</v>
      </c>
      <c r="D674" s="9">
        <v>42048.533333333333</v>
      </c>
      <c r="E674" s="8" t="s">
        <v>93</v>
      </c>
      <c r="F674" s="8">
        <v>7</v>
      </c>
      <c r="G674" s="8" t="s">
        <v>94</v>
      </c>
      <c r="H674" s="8" t="s">
        <v>94</v>
      </c>
      <c r="I674" s="8">
        <v>0</v>
      </c>
      <c r="J674" s="8" t="s">
        <v>95</v>
      </c>
      <c r="K674" s="8">
        <v>1</v>
      </c>
      <c r="L674" s="8" t="s">
        <v>94</v>
      </c>
      <c r="M674" s="8">
        <v>0</v>
      </c>
      <c r="N674" s="8" t="s">
        <v>95</v>
      </c>
      <c r="O674" s="8">
        <v>1</v>
      </c>
      <c r="P674" s="8" t="s">
        <v>95</v>
      </c>
      <c r="Q674" s="8">
        <v>1</v>
      </c>
      <c r="R674" s="8" t="s">
        <v>94</v>
      </c>
      <c r="S674" s="8">
        <v>0</v>
      </c>
      <c r="T674" s="8" t="s">
        <v>94</v>
      </c>
      <c r="U674" s="8">
        <v>0</v>
      </c>
      <c r="V674" s="8" t="s">
        <v>95</v>
      </c>
      <c r="W674" s="8">
        <v>1</v>
      </c>
      <c r="X674" s="8" t="s">
        <v>94</v>
      </c>
      <c r="Y674" s="8">
        <v>0</v>
      </c>
      <c r="Z674" s="8" t="s">
        <v>95</v>
      </c>
      <c r="AA674" s="8">
        <v>1</v>
      </c>
      <c r="AB674" s="8" t="s">
        <v>95</v>
      </c>
      <c r="AC674" s="8">
        <v>1</v>
      </c>
      <c r="AD674" s="8" t="s">
        <v>95</v>
      </c>
      <c r="AE674" s="8">
        <v>1</v>
      </c>
      <c r="AF674" s="8" t="s">
        <v>94</v>
      </c>
      <c r="AG674" s="8">
        <v>0</v>
      </c>
      <c r="AH674" s="8" t="s">
        <v>94</v>
      </c>
      <c r="AI674" s="8">
        <v>0</v>
      </c>
      <c r="AJ674" s="8" t="s">
        <v>94</v>
      </c>
      <c r="AK674" s="8">
        <v>0</v>
      </c>
      <c r="AL674" s="8" t="s">
        <v>94</v>
      </c>
      <c r="AM674" s="8">
        <v>0</v>
      </c>
      <c r="AN674" s="8">
        <v>7</v>
      </c>
    </row>
    <row r="675" spans="1:40" x14ac:dyDescent="0.25">
      <c r="A675" s="8" t="s">
        <v>735</v>
      </c>
      <c r="B675" s="9">
        <v>42033.660416666666</v>
      </c>
      <c r="C675" s="8">
        <v>0</v>
      </c>
      <c r="D675" s="9">
        <v>42048.544444444444</v>
      </c>
      <c r="E675" s="8" t="s">
        <v>93</v>
      </c>
      <c r="F675" s="8">
        <v>13</v>
      </c>
      <c r="G675" s="8" t="s">
        <v>94</v>
      </c>
      <c r="H675" s="8" t="s">
        <v>95</v>
      </c>
      <c r="I675" s="8">
        <v>1</v>
      </c>
      <c r="J675" s="8" t="s">
        <v>95</v>
      </c>
      <c r="K675" s="8">
        <v>1</v>
      </c>
      <c r="L675" s="8" t="s">
        <v>95</v>
      </c>
      <c r="M675" s="8">
        <v>1</v>
      </c>
      <c r="N675" s="8" t="s">
        <v>95</v>
      </c>
      <c r="O675" s="8">
        <v>1</v>
      </c>
      <c r="P675" s="8" t="s">
        <v>95</v>
      </c>
      <c r="Q675" s="8">
        <v>1</v>
      </c>
      <c r="R675" s="8" t="s">
        <v>94</v>
      </c>
      <c r="S675" s="8">
        <v>0</v>
      </c>
      <c r="T675" s="8" t="s">
        <v>95</v>
      </c>
      <c r="U675" s="8">
        <v>1</v>
      </c>
      <c r="V675" s="8" t="s">
        <v>95</v>
      </c>
      <c r="W675" s="8">
        <v>1</v>
      </c>
      <c r="X675" s="8" t="s">
        <v>95</v>
      </c>
      <c r="Y675" s="8">
        <v>1</v>
      </c>
      <c r="Z675" s="8" t="s">
        <v>95</v>
      </c>
      <c r="AA675" s="8">
        <v>1</v>
      </c>
      <c r="AB675" s="8" t="s">
        <v>95</v>
      </c>
      <c r="AC675" s="8">
        <v>1</v>
      </c>
      <c r="AD675" s="8" t="s">
        <v>95</v>
      </c>
      <c r="AE675" s="8">
        <v>1</v>
      </c>
      <c r="AF675" s="8" t="s">
        <v>94</v>
      </c>
      <c r="AG675" s="8">
        <v>0</v>
      </c>
      <c r="AH675" s="8" t="s">
        <v>95</v>
      </c>
      <c r="AI675" s="8">
        <v>1</v>
      </c>
      <c r="AJ675" s="8" t="s">
        <v>95</v>
      </c>
      <c r="AK675" s="8">
        <v>1</v>
      </c>
      <c r="AL675" s="8" t="s">
        <v>94</v>
      </c>
      <c r="AM675" s="8">
        <v>0</v>
      </c>
      <c r="AN675" s="8">
        <v>13</v>
      </c>
    </row>
    <row r="676" spans="1:40" x14ac:dyDescent="0.25">
      <c r="A676" s="8" t="s">
        <v>736</v>
      </c>
      <c r="B676" s="9">
        <v>42033.665972222225</v>
      </c>
      <c r="C676" s="8">
        <v>0</v>
      </c>
      <c r="D676" s="9">
        <v>42048.54583333333</v>
      </c>
      <c r="E676" s="8" t="s">
        <v>93</v>
      </c>
      <c r="F676" s="8">
        <v>1</v>
      </c>
      <c r="G676" s="8" t="s">
        <v>94</v>
      </c>
      <c r="H676" s="8" t="s">
        <v>94</v>
      </c>
      <c r="I676" s="8">
        <v>0</v>
      </c>
      <c r="J676" s="8" t="s">
        <v>94</v>
      </c>
      <c r="K676" s="8">
        <v>0</v>
      </c>
      <c r="L676" s="8" t="s">
        <v>94</v>
      </c>
      <c r="M676" s="8">
        <v>0</v>
      </c>
      <c r="N676" s="8" t="s">
        <v>95</v>
      </c>
      <c r="O676" s="8">
        <v>1</v>
      </c>
      <c r="P676" s="8" t="s">
        <v>94</v>
      </c>
      <c r="Q676" s="8">
        <v>0</v>
      </c>
      <c r="R676" s="8" t="s">
        <v>94</v>
      </c>
      <c r="S676" s="8">
        <v>0</v>
      </c>
      <c r="T676" s="8" t="s">
        <v>94</v>
      </c>
      <c r="U676" s="8">
        <v>0</v>
      </c>
      <c r="V676" s="8" t="s">
        <v>94</v>
      </c>
      <c r="W676" s="8">
        <v>0</v>
      </c>
      <c r="X676" s="8" t="s">
        <v>94</v>
      </c>
      <c r="Y676" s="8">
        <v>0</v>
      </c>
      <c r="Z676" s="8" t="s">
        <v>94</v>
      </c>
      <c r="AA676" s="8">
        <v>0</v>
      </c>
      <c r="AB676" s="8" t="s">
        <v>94</v>
      </c>
      <c r="AC676" s="8">
        <v>0</v>
      </c>
      <c r="AD676" s="8" t="s">
        <v>94</v>
      </c>
      <c r="AE676" s="8">
        <v>0</v>
      </c>
      <c r="AF676" s="8" t="s">
        <v>94</v>
      </c>
      <c r="AG676" s="8">
        <v>0</v>
      </c>
      <c r="AH676" s="8" t="s">
        <v>94</v>
      </c>
      <c r="AI676" s="8">
        <v>0</v>
      </c>
      <c r="AJ676" s="8" t="s">
        <v>94</v>
      </c>
      <c r="AK676" s="8">
        <v>0</v>
      </c>
      <c r="AL676" s="8" t="s">
        <v>94</v>
      </c>
      <c r="AM676" s="8">
        <v>0</v>
      </c>
      <c r="AN676" s="8">
        <v>1</v>
      </c>
    </row>
    <row r="677" spans="1:40" x14ac:dyDescent="0.25">
      <c r="A677" s="8" t="s">
        <v>737</v>
      </c>
      <c r="B677" s="9">
        <v>42033.651388888888</v>
      </c>
      <c r="C677" s="8">
        <v>0</v>
      </c>
      <c r="D677" s="9">
        <v>42050.43472222222</v>
      </c>
      <c r="E677" s="8" t="s">
        <v>93</v>
      </c>
      <c r="F677" s="8">
        <v>9</v>
      </c>
      <c r="G677" s="8" t="s">
        <v>94</v>
      </c>
      <c r="H677" s="8" t="s">
        <v>94</v>
      </c>
      <c r="I677" s="8">
        <v>0</v>
      </c>
      <c r="J677" s="8" t="s">
        <v>95</v>
      </c>
      <c r="K677" s="8">
        <v>1</v>
      </c>
      <c r="L677" s="8" t="s">
        <v>95</v>
      </c>
      <c r="M677" s="8">
        <v>1</v>
      </c>
      <c r="N677" s="8" t="s">
        <v>95</v>
      </c>
      <c r="O677" s="8">
        <v>1</v>
      </c>
      <c r="P677" s="8" t="s">
        <v>94</v>
      </c>
      <c r="Q677" s="8">
        <v>0</v>
      </c>
      <c r="R677" s="8" t="s">
        <v>95</v>
      </c>
      <c r="S677" s="8">
        <v>1</v>
      </c>
      <c r="T677" s="8" t="s">
        <v>94</v>
      </c>
      <c r="U677" s="8">
        <v>0</v>
      </c>
      <c r="V677" s="8" t="s">
        <v>94</v>
      </c>
      <c r="W677" s="8">
        <v>0</v>
      </c>
      <c r="X677" s="8" t="s">
        <v>94</v>
      </c>
      <c r="Y677" s="8">
        <v>0</v>
      </c>
      <c r="Z677" s="8" t="s">
        <v>94</v>
      </c>
      <c r="AA677" s="8">
        <v>0</v>
      </c>
      <c r="AB677" s="8" t="s">
        <v>95</v>
      </c>
      <c r="AC677" s="8">
        <v>1</v>
      </c>
      <c r="AD677" s="8" t="s">
        <v>95</v>
      </c>
      <c r="AE677" s="8">
        <v>1</v>
      </c>
      <c r="AF677" s="8" t="s">
        <v>95</v>
      </c>
      <c r="AG677" s="8">
        <v>1</v>
      </c>
      <c r="AH677" s="8" t="s">
        <v>95</v>
      </c>
      <c r="AI677" s="8">
        <v>1</v>
      </c>
      <c r="AJ677" s="8" t="s">
        <v>94</v>
      </c>
      <c r="AK677" s="8">
        <v>0</v>
      </c>
      <c r="AL677" s="8" t="s">
        <v>95</v>
      </c>
      <c r="AM677" s="8">
        <v>1</v>
      </c>
      <c r="AN677" s="8">
        <v>9</v>
      </c>
    </row>
    <row r="678" spans="1:40" x14ac:dyDescent="0.25">
      <c r="A678" s="8" t="s">
        <v>738</v>
      </c>
      <c r="B678" s="9">
        <v>42033.674305555556</v>
      </c>
      <c r="C678" s="8">
        <v>0</v>
      </c>
      <c r="D678" s="9">
        <v>42050.745833333334</v>
      </c>
      <c r="E678" s="8" t="s">
        <v>93</v>
      </c>
      <c r="F678" s="8">
        <v>13</v>
      </c>
      <c r="G678" s="8" t="s">
        <v>94</v>
      </c>
      <c r="H678" s="8" t="s">
        <v>95</v>
      </c>
      <c r="I678" s="8">
        <v>1</v>
      </c>
      <c r="J678" s="8" t="s">
        <v>95</v>
      </c>
      <c r="K678" s="8">
        <v>1</v>
      </c>
      <c r="L678" s="8" t="s">
        <v>94</v>
      </c>
      <c r="M678" s="8">
        <v>0</v>
      </c>
      <c r="N678" s="8" t="s">
        <v>95</v>
      </c>
      <c r="O678" s="8">
        <v>1</v>
      </c>
      <c r="P678" s="8" t="s">
        <v>94</v>
      </c>
      <c r="Q678" s="8">
        <v>0</v>
      </c>
      <c r="R678" s="8" t="s">
        <v>94</v>
      </c>
      <c r="S678" s="8">
        <v>0</v>
      </c>
      <c r="T678" s="8" t="s">
        <v>95</v>
      </c>
      <c r="U678" s="8">
        <v>1</v>
      </c>
      <c r="V678" s="8" t="s">
        <v>95</v>
      </c>
      <c r="W678" s="8">
        <v>1</v>
      </c>
      <c r="X678" s="8" t="s">
        <v>95</v>
      </c>
      <c r="Y678" s="8">
        <v>1</v>
      </c>
      <c r="Z678" s="8" t="s">
        <v>95</v>
      </c>
      <c r="AA678" s="8">
        <v>1</v>
      </c>
      <c r="AB678" s="8" t="s">
        <v>95</v>
      </c>
      <c r="AC678" s="8">
        <v>1</v>
      </c>
      <c r="AD678" s="8" t="s">
        <v>95</v>
      </c>
      <c r="AE678" s="8">
        <v>1</v>
      </c>
      <c r="AF678" s="8" t="s">
        <v>95</v>
      </c>
      <c r="AG678" s="8">
        <v>1</v>
      </c>
      <c r="AH678" s="8" t="s">
        <v>95</v>
      </c>
      <c r="AI678" s="8">
        <v>1</v>
      </c>
      <c r="AJ678" s="8" t="s">
        <v>95</v>
      </c>
      <c r="AK678" s="8">
        <v>1</v>
      </c>
      <c r="AL678" s="8" t="s">
        <v>95</v>
      </c>
      <c r="AM678" s="8">
        <v>1</v>
      </c>
      <c r="AN678" s="8">
        <v>13</v>
      </c>
    </row>
    <row r="679" spans="1:40" x14ac:dyDescent="0.25">
      <c r="A679" s="8" t="s">
        <v>739</v>
      </c>
      <c r="B679" s="9">
        <v>42033.68472222222</v>
      </c>
      <c r="C679" s="8">
        <v>0</v>
      </c>
      <c r="D679" s="9">
        <v>42050.76666666667</v>
      </c>
      <c r="E679" s="8" t="s">
        <v>93</v>
      </c>
      <c r="F679" s="8">
        <v>16</v>
      </c>
      <c r="G679" s="8" t="s">
        <v>94</v>
      </c>
      <c r="H679" s="8" t="s">
        <v>95</v>
      </c>
      <c r="I679" s="8">
        <v>1</v>
      </c>
      <c r="J679" s="8" t="s">
        <v>95</v>
      </c>
      <c r="K679" s="8">
        <v>1</v>
      </c>
      <c r="L679" s="8" t="s">
        <v>95</v>
      </c>
      <c r="M679" s="8">
        <v>1</v>
      </c>
      <c r="N679" s="8" t="s">
        <v>95</v>
      </c>
      <c r="O679" s="8">
        <v>1</v>
      </c>
      <c r="P679" s="8" t="s">
        <v>95</v>
      </c>
      <c r="Q679" s="8">
        <v>1</v>
      </c>
      <c r="R679" s="8" t="s">
        <v>95</v>
      </c>
      <c r="S679" s="8">
        <v>1</v>
      </c>
      <c r="T679" s="8" t="s">
        <v>95</v>
      </c>
      <c r="U679" s="8">
        <v>1</v>
      </c>
      <c r="V679" s="8" t="s">
        <v>95</v>
      </c>
      <c r="W679" s="8">
        <v>1</v>
      </c>
      <c r="X679" s="8" t="s">
        <v>95</v>
      </c>
      <c r="Y679" s="8">
        <v>1</v>
      </c>
      <c r="Z679" s="8" t="s">
        <v>95</v>
      </c>
      <c r="AA679" s="8">
        <v>1</v>
      </c>
      <c r="AB679" s="8" t="s">
        <v>95</v>
      </c>
      <c r="AC679" s="8">
        <v>1</v>
      </c>
      <c r="AD679" s="8" t="s">
        <v>95</v>
      </c>
      <c r="AE679" s="8">
        <v>1</v>
      </c>
      <c r="AF679" s="8" t="s">
        <v>95</v>
      </c>
      <c r="AG679" s="8">
        <v>1</v>
      </c>
      <c r="AH679" s="8" t="s">
        <v>95</v>
      </c>
      <c r="AI679" s="8">
        <v>1</v>
      </c>
      <c r="AJ679" s="8" t="s">
        <v>95</v>
      </c>
      <c r="AK679" s="8">
        <v>1</v>
      </c>
      <c r="AL679" s="8" t="s">
        <v>95</v>
      </c>
      <c r="AM679" s="8">
        <v>1</v>
      </c>
      <c r="AN679" s="8">
        <v>16</v>
      </c>
    </row>
    <row r="680" spans="1:40" x14ac:dyDescent="0.25">
      <c r="A680" s="8" t="s">
        <v>740</v>
      </c>
      <c r="B680" s="9">
        <v>42033.65347222222</v>
      </c>
      <c r="C680" s="8">
        <v>0</v>
      </c>
      <c r="D680" s="9">
        <v>42050.975694444445</v>
      </c>
      <c r="E680" s="8" t="s">
        <v>93</v>
      </c>
      <c r="F680" s="8">
        <v>16</v>
      </c>
      <c r="G680" s="8" t="s">
        <v>94</v>
      </c>
      <c r="H680" s="8" t="s">
        <v>95</v>
      </c>
      <c r="I680" s="8">
        <v>1</v>
      </c>
      <c r="J680" s="8" t="s">
        <v>95</v>
      </c>
      <c r="K680" s="8">
        <v>1</v>
      </c>
      <c r="L680" s="8" t="s">
        <v>95</v>
      </c>
      <c r="M680" s="8">
        <v>1</v>
      </c>
      <c r="N680" s="8" t="s">
        <v>95</v>
      </c>
      <c r="O680" s="8">
        <v>1</v>
      </c>
      <c r="P680" s="8" t="s">
        <v>95</v>
      </c>
      <c r="Q680" s="8">
        <v>1</v>
      </c>
      <c r="R680" s="8" t="s">
        <v>95</v>
      </c>
      <c r="S680" s="8">
        <v>1</v>
      </c>
      <c r="T680" s="8" t="s">
        <v>95</v>
      </c>
      <c r="U680" s="8">
        <v>1</v>
      </c>
      <c r="V680" s="8" t="s">
        <v>95</v>
      </c>
      <c r="W680" s="8">
        <v>1</v>
      </c>
      <c r="X680" s="8" t="s">
        <v>95</v>
      </c>
      <c r="Y680" s="8">
        <v>1</v>
      </c>
      <c r="Z680" s="8" t="s">
        <v>95</v>
      </c>
      <c r="AA680" s="8">
        <v>1</v>
      </c>
      <c r="AB680" s="8" t="s">
        <v>95</v>
      </c>
      <c r="AC680" s="8">
        <v>1</v>
      </c>
      <c r="AD680" s="8" t="s">
        <v>95</v>
      </c>
      <c r="AE680" s="8">
        <v>1</v>
      </c>
      <c r="AF680" s="8" t="s">
        <v>95</v>
      </c>
      <c r="AG680" s="8">
        <v>1</v>
      </c>
      <c r="AH680" s="8" t="s">
        <v>95</v>
      </c>
      <c r="AI680" s="8">
        <v>1</v>
      </c>
      <c r="AJ680" s="8" t="s">
        <v>95</v>
      </c>
      <c r="AK680" s="8">
        <v>1</v>
      </c>
      <c r="AL680" s="8" t="s">
        <v>95</v>
      </c>
      <c r="AM680" s="8">
        <v>1</v>
      </c>
      <c r="AN680" s="8">
        <v>16</v>
      </c>
    </row>
    <row r="681" spans="1:40" x14ac:dyDescent="0.25">
      <c r="A681" s="8" t="s">
        <v>741</v>
      </c>
      <c r="B681" s="9">
        <v>42033.652083333334</v>
      </c>
      <c r="C681" s="8">
        <v>0</v>
      </c>
      <c r="D681" s="9">
        <v>42050.989583333336</v>
      </c>
      <c r="E681" s="8" t="s">
        <v>93</v>
      </c>
      <c r="F681" s="8">
        <v>16</v>
      </c>
      <c r="G681" s="8" t="s">
        <v>94</v>
      </c>
      <c r="H681" s="8" t="s">
        <v>95</v>
      </c>
      <c r="I681" s="8">
        <v>1</v>
      </c>
      <c r="J681" s="8" t="s">
        <v>95</v>
      </c>
      <c r="K681" s="8">
        <v>1</v>
      </c>
      <c r="L681" s="8" t="s">
        <v>95</v>
      </c>
      <c r="M681" s="8">
        <v>1</v>
      </c>
      <c r="N681" s="8" t="s">
        <v>95</v>
      </c>
      <c r="O681" s="8">
        <v>1</v>
      </c>
      <c r="P681" s="8" t="s">
        <v>95</v>
      </c>
      <c r="Q681" s="8">
        <v>1</v>
      </c>
      <c r="R681" s="8" t="s">
        <v>95</v>
      </c>
      <c r="S681" s="8">
        <v>1</v>
      </c>
      <c r="T681" s="8" t="s">
        <v>95</v>
      </c>
      <c r="U681" s="8">
        <v>1</v>
      </c>
      <c r="V681" s="8" t="s">
        <v>95</v>
      </c>
      <c r="W681" s="8">
        <v>1</v>
      </c>
      <c r="X681" s="8" t="s">
        <v>95</v>
      </c>
      <c r="Y681" s="8">
        <v>1</v>
      </c>
      <c r="Z681" s="8" t="s">
        <v>95</v>
      </c>
      <c r="AA681" s="8">
        <v>1</v>
      </c>
      <c r="AB681" s="8" t="s">
        <v>95</v>
      </c>
      <c r="AC681" s="8">
        <v>1</v>
      </c>
      <c r="AD681" s="8" t="s">
        <v>95</v>
      </c>
      <c r="AE681" s="8">
        <v>1</v>
      </c>
      <c r="AF681" s="8" t="s">
        <v>95</v>
      </c>
      <c r="AG681" s="8">
        <v>1</v>
      </c>
      <c r="AH681" s="8" t="s">
        <v>95</v>
      </c>
      <c r="AI681" s="8">
        <v>1</v>
      </c>
      <c r="AJ681" s="8" t="s">
        <v>95</v>
      </c>
      <c r="AK681" s="8">
        <v>1</v>
      </c>
      <c r="AL681" s="8" t="s">
        <v>95</v>
      </c>
      <c r="AM681" s="8">
        <v>1</v>
      </c>
      <c r="AN681" s="8">
        <v>16</v>
      </c>
    </row>
    <row r="682" spans="1:40" x14ac:dyDescent="0.25">
      <c r="A682" s="8" t="s">
        <v>742</v>
      </c>
      <c r="B682" s="9">
        <v>42033.656944444447</v>
      </c>
      <c r="C682" s="8">
        <v>0</v>
      </c>
      <c r="D682" s="9">
        <v>42050.989583333336</v>
      </c>
      <c r="E682" s="8" t="s">
        <v>93</v>
      </c>
      <c r="F682" s="8">
        <v>16</v>
      </c>
      <c r="G682" s="8" t="s">
        <v>94</v>
      </c>
      <c r="H682" s="8" t="s">
        <v>95</v>
      </c>
      <c r="I682" s="8">
        <v>1</v>
      </c>
      <c r="J682" s="8" t="s">
        <v>95</v>
      </c>
      <c r="K682" s="8">
        <v>1</v>
      </c>
      <c r="L682" s="8" t="s">
        <v>95</v>
      </c>
      <c r="M682" s="8">
        <v>1</v>
      </c>
      <c r="N682" s="8" t="s">
        <v>95</v>
      </c>
      <c r="O682" s="8">
        <v>1</v>
      </c>
      <c r="P682" s="8" t="s">
        <v>95</v>
      </c>
      <c r="Q682" s="8">
        <v>1</v>
      </c>
      <c r="R682" s="8" t="s">
        <v>95</v>
      </c>
      <c r="S682" s="8">
        <v>1</v>
      </c>
      <c r="T682" s="8" t="s">
        <v>95</v>
      </c>
      <c r="U682" s="8">
        <v>1</v>
      </c>
      <c r="V682" s="8" t="s">
        <v>95</v>
      </c>
      <c r="W682" s="8">
        <v>1</v>
      </c>
      <c r="X682" s="8" t="s">
        <v>95</v>
      </c>
      <c r="Y682" s="8">
        <v>1</v>
      </c>
      <c r="Z682" s="8" t="s">
        <v>95</v>
      </c>
      <c r="AA682" s="8">
        <v>1</v>
      </c>
      <c r="AB682" s="8" t="s">
        <v>95</v>
      </c>
      <c r="AC682" s="8">
        <v>1</v>
      </c>
      <c r="AD682" s="8" t="s">
        <v>95</v>
      </c>
      <c r="AE682" s="8">
        <v>1</v>
      </c>
      <c r="AF682" s="8" t="s">
        <v>95</v>
      </c>
      <c r="AG682" s="8">
        <v>1</v>
      </c>
      <c r="AH682" s="8" t="s">
        <v>95</v>
      </c>
      <c r="AI682" s="8">
        <v>1</v>
      </c>
      <c r="AJ682" s="8" t="s">
        <v>95</v>
      </c>
      <c r="AK682" s="8">
        <v>1</v>
      </c>
      <c r="AL682" s="8" t="s">
        <v>95</v>
      </c>
      <c r="AM682" s="8">
        <v>1</v>
      </c>
      <c r="AN682" s="8">
        <v>16</v>
      </c>
    </row>
    <row r="683" spans="1:40" x14ac:dyDescent="0.25">
      <c r="A683" s="8" t="s">
        <v>743</v>
      </c>
      <c r="B683" s="9">
        <v>42033.675694444442</v>
      </c>
      <c r="C683" s="8">
        <v>0</v>
      </c>
      <c r="D683" s="9">
        <v>42050.994444444441</v>
      </c>
      <c r="E683" s="8" t="s">
        <v>93</v>
      </c>
      <c r="F683" s="8">
        <v>10</v>
      </c>
      <c r="G683" s="8" t="s">
        <v>94</v>
      </c>
      <c r="H683" s="8" t="s">
        <v>95</v>
      </c>
      <c r="I683" s="8">
        <v>1</v>
      </c>
      <c r="J683" s="8" t="s">
        <v>95</v>
      </c>
      <c r="K683" s="8">
        <v>1</v>
      </c>
      <c r="L683" s="8" t="s">
        <v>95</v>
      </c>
      <c r="M683" s="8">
        <v>1</v>
      </c>
      <c r="N683" s="8" t="s">
        <v>94</v>
      </c>
      <c r="O683" s="8">
        <v>0</v>
      </c>
      <c r="P683" s="8" t="s">
        <v>94</v>
      </c>
      <c r="Q683" s="8">
        <v>0</v>
      </c>
      <c r="R683" s="8" t="s">
        <v>95</v>
      </c>
      <c r="S683" s="8">
        <v>1</v>
      </c>
      <c r="T683" s="8" t="s">
        <v>94</v>
      </c>
      <c r="U683" s="8">
        <v>0</v>
      </c>
      <c r="V683" s="8" t="s">
        <v>94</v>
      </c>
      <c r="W683" s="8">
        <v>0</v>
      </c>
      <c r="X683" s="8" t="s">
        <v>95</v>
      </c>
      <c r="Y683" s="8">
        <v>1</v>
      </c>
      <c r="Z683" s="8" t="s">
        <v>95</v>
      </c>
      <c r="AA683" s="8">
        <v>1</v>
      </c>
      <c r="AB683" s="8" t="s">
        <v>95</v>
      </c>
      <c r="AC683" s="8">
        <v>1</v>
      </c>
      <c r="AD683" s="8" t="s">
        <v>95</v>
      </c>
      <c r="AE683" s="8">
        <v>1</v>
      </c>
      <c r="AF683" s="8" t="s">
        <v>95</v>
      </c>
      <c r="AG683" s="8">
        <v>1</v>
      </c>
      <c r="AH683" s="8" t="s">
        <v>94</v>
      </c>
      <c r="AI683" s="8">
        <v>0</v>
      </c>
      <c r="AJ683" s="8" t="s">
        <v>95</v>
      </c>
      <c r="AK683" s="8">
        <v>1</v>
      </c>
      <c r="AL683" s="8" t="s">
        <v>94</v>
      </c>
      <c r="AM683" s="8">
        <v>0</v>
      </c>
      <c r="AN683" s="8">
        <v>10</v>
      </c>
    </row>
    <row r="684" spans="1:40" x14ac:dyDescent="0.25">
      <c r="A684" s="8" t="s">
        <v>744</v>
      </c>
      <c r="B684" s="9">
        <v>42033.652777777781</v>
      </c>
      <c r="C684" s="8">
        <v>0</v>
      </c>
      <c r="D684" s="9">
        <v>42050.99722222222</v>
      </c>
      <c r="E684" s="8" t="s">
        <v>93</v>
      </c>
      <c r="F684" s="8">
        <v>16</v>
      </c>
      <c r="G684" s="8" t="s">
        <v>94</v>
      </c>
      <c r="H684" s="8" t="s">
        <v>95</v>
      </c>
      <c r="I684" s="8">
        <v>1</v>
      </c>
      <c r="J684" s="8" t="s">
        <v>95</v>
      </c>
      <c r="K684" s="8">
        <v>1</v>
      </c>
      <c r="L684" s="8" t="s">
        <v>95</v>
      </c>
      <c r="M684" s="8">
        <v>1</v>
      </c>
      <c r="N684" s="8" t="s">
        <v>95</v>
      </c>
      <c r="O684" s="8">
        <v>1</v>
      </c>
      <c r="P684" s="8" t="s">
        <v>95</v>
      </c>
      <c r="Q684" s="8">
        <v>1</v>
      </c>
      <c r="R684" s="8" t="s">
        <v>95</v>
      </c>
      <c r="S684" s="8">
        <v>1</v>
      </c>
      <c r="T684" s="8" t="s">
        <v>95</v>
      </c>
      <c r="U684" s="8">
        <v>1</v>
      </c>
      <c r="V684" s="8" t="s">
        <v>95</v>
      </c>
      <c r="W684" s="8">
        <v>1</v>
      </c>
      <c r="X684" s="8" t="s">
        <v>95</v>
      </c>
      <c r="Y684" s="8">
        <v>1</v>
      </c>
      <c r="Z684" s="8" t="s">
        <v>95</v>
      </c>
      <c r="AA684" s="8">
        <v>1</v>
      </c>
      <c r="AB684" s="8" t="s">
        <v>95</v>
      </c>
      <c r="AC684" s="8">
        <v>1</v>
      </c>
      <c r="AD684" s="8" t="s">
        <v>95</v>
      </c>
      <c r="AE684" s="8">
        <v>1</v>
      </c>
      <c r="AF684" s="8" t="s">
        <v>95</v>
      </c>
      <c r="AG684" s="8">
        <v>1</v>
      </c>
      <c r="AH684" s="8" t="s">
        <v>95</v>
      </c>
      <c r="AI684" s="8">
        <v>1</v>
      </c>
      <c r="AJ684" s="8" t="s">
        <v>95</v>
      </c>
      <c r="AK684" s="8">
        <v>1</v>
      </c>
      <c r="AL684" s="8" t="s">
        <v>95</v>
      </c>
      <c r="AM684" s="8">
        <v>1</v>
      </c>
      <c r="AN684" s="8">
        <v>16</v>
      </c>
    </row>
    <row r="685" spans="1:40" x14ac:dyDescent="0.25">
      <c r="A685" s="8" t="s">
        <v>745</v>
      </c>
      <c r="B685" s="9">
        <v>42033.658333333333</v>
      </c>
      <c r="C685" s="8">
        <v>0</v>
      </c>
      <c r="D685" s="9">
        <v>42051.004166666666</v>
      </c>
      <c r="E685" s="8" t="s">
        <v>93</v>
      </c>
      <c r="F685" s="8">
        <v>10</v>
      </c>
      <c r="G685" s="8" t="s">
        <v>94</v>
      </c>
      <c r="H685" s="8" t="s">
        <v>95</v>
      </c>
      <c r="I685" s="8">
        <v>1</v>
      </c>
      <c r="J685" s="8" t="s">
        <v>95</v>
      </c>
      <c r="K685" s="8">
        <v>1</v>
      </c>
      <c r="L685" s="8" t="s">
        <v>95</v>
      </c>
      <c r="M685" s="8">
        <v>1</v>
      </c>
      <c r="N685" s="8" t="s">
        <v>95</v>
      </c>
      <c r="O685" s="8">
        <v>1</v>
      </c>
      <c r="P685" s="8" t="s">
        <v>95</v>
      </c>
      <c r="Q685" s="8">
        <v>1</v>
      </c>
      <c r="R685" s="8" t="s">
        <v>95</v>
      </c>
      <c r="S685" s="8">
        <v>1</v>
      </c>
      <c r="T685" s="8" t="s">
        <v>94</v>
      </c>
      <c r="U685" s="8">
        <v>0</v>
      </c>
      <c r="V685" s="8" t="s">
        <v>94</v>
      </c>
      <c r="W685" s="8">
        <v>0</v>
      </c>
      <c r="X685" s="8" t="s">
        <v>94</v>
      </c>
      <c r="Y685" s="8">
        <v>0</v>
      </c>
      <c r="Z685" s="8" t="s">
        <v>94</v>
      </c>
      <c r="AA685" s="8">
        <v>0</v>
      </c>
      <c r="AB685" s="8" t="s">
        <v>95</v>
      </c>
      <c r="AC685" s="8">
        <v>1</v>
      </c>
      <c r="AD685" s="8" t="s">
        <v>95</v>
      </c>
      <c r="AE685" s="8">
        <v>1</v>
      </c>
      <c r="AF685" s="8" t="s">
        <v>95</v>
      </c>
      <c r="AG685" s="8">
        <v>1</v>
      </c>
      <c r="AH685" s="8" t="s">
        <v>94</v>
      </c>
      <c r="AI685" s="8">
        <v>0</v>
      </c>
      <c r="AJ685" s="8" t="s">
        <v>95</v>
      </c>
      <c r="AK685" s="8">
        <v>1</v>
      </c>
      <c r="AL685" s="8" t="s">
        <v>94</v>
      </c>
      <c r="AM685" s="8">
        <v>0</v>
      </c>
      <c r="AN685" s="8">
        <v>10</v>
      </c>
    </row>
    <row r="686" spans="1:40" x14ac:dyDescent="0.25">
      <c r="A686" s="8" t="s">
        <v>746</v>
      </c>
      <c r="B686" s="9">
        <v>42033.668749999997</v>
      </c>
      <c r="C686" s="8">
        <v>0</v>
      </c>
      <c r="D686" s="9">
        <v>42051.012499999997</v>
      </c>
      <c r="E686" s="8" t="s">
        <v>93</v>
      </c>
      <c r="F686" s="8">
        <v>13</v>
      </c>
      <c r="G686" s="8" t="s">
        <v>94</v>
      </c>
      <c r="H686" s="8" t="s">
        <v>95</v>
      </c>
      <c r="I686" s="8">
        <v>1</v>
      </c>
      <c r="J686" s="8" t="s">
        <v>95</v>
      </c>
      <c r="K686" s="8">
        <v>1</v>
      </c>
      <c r="L686" s="8" t="s">
        <v>95</v>
      </c>
      <c r="M686" s="8">
        <v>1</v>
      </c>
      <c r="N686" s="8" t="s">
        <v>95</v>
      </c>
      <c r="O686" s="8">
        <v>1</v>
      </c>
      <c r="P686" s="8" t="s">
        <v>95</v>
      </c>
      <c r="Q686" s="8">
        <v>1</v>
      </c>
      <c r="R686" s="8" t="s">
        <v>95</v>
      </c>
      <c r="S686" s="8">
        <v>1</v>
      </c>
      <c r="T686" s="8" t="s">
        <v>95</v>
      </c>
      <c r="U686" s="8">
        <v>1</v>
      </c>
      <c r="V686" s="8" t="s">
        <v>95</v>
      </c>
      <c r="W686" s="8">
        <v>1</v>
      </c>
      <c r="X686" s="8" t="s">
        <v>95</v>
      </c>
      <c r="Y686" s="8">
        <v>1</v>
      </c>
      <c r="Z686" s="8" t="s">
        <v>95</v>
      </c>
      <c r="AA686" s="8">
        <v>1</v>
      </c>
      <c r="AB686" s="8" t="s">
        <v>95</v>
      </c>
      <c r="AC686" s="8">
        <v>1</v>
      </c>
      <c r="AD686" s="8" t="s">
        <v>95</v>
      </c>
      <c r="AE686" s="8">
        <v>1</v>
      </c>
      <c r="AF686" s="8" t="s">
        <v>94</v>
      </c>
      <c r="AG686" s="8">
        <v>0</v>
      </c>
      <c r="AH686" s="8" t="s">
        <v>95</v>
      </c>
      <c r="AI686" s="8">
        <v>1</v>
      </c>
      <c r="AJ686" s="8" t="s">
        <v>94</v>
      </c>
      <c r="AK686" s="8">
        <v>0</v>
      </c>
      <c r="AL686" s="8" t="s">
        <v>94</v>
      </c>
      <c r="AM686" s="8">
        <v>0</v>
      </c>
      <c r="AN686" s="8">
        <v>13</v>
      </c>
    </row>
    <row r="687" spans="1:40" x14ac:dyDescent="0.25">
      <c r="A687" s="8" t="s">
        <v>747</v>
      </c>
      <c r="B687" s="9">
        <v>42033.679166666669</v>
      </c>
      <c r="C687" s="8">
        <v>0</v>
      </c>
      <c r="D687" s="9">
        <v>42051.012499999997</v>
      </c>
      <c r="E687" s="8" t="s">
        <v>93</v>
      </c>
      <c r="F687" s="8">
        <v>16</v>
      </c>
      <c r="G687" s="8" t="s">
        <v>94</v>
      </c>
      <c r="H687" s="8" t="s">
        <v>95</v>
      </c>
      <c r="I687" s="8">
        <v>1</v>
      </c>
      <c r="J687" s="8" t="s">
        <v>95</v>
      </c>
      <c r="K687" s="8">
        <v>1</v>
      </c>
      <c r="L687" s="8" t="s">
        <v>95</v>
      </c>
      <c r="M687" s="8">
        <v>1</v>
      </c>
      <c r="N687" s="8" t="s">
        <v>95</v>
      </c>
      <c r="O687" s="8">
        <v>1</v>
      </c>
      <c r="P687" s="8" t="s">
        <v>95</v>
      </c>
      <c r="Q687" s="8">
        <v>1</v>
      </c>
      <c r="R687" s="8" t="s">
        <v>95</v>
      </c>
      <c r="S687" s="8">
        <v>1</v>
      </c>
      <c r="T687" s="8" t="s">
        <v>95</v>
      </c>
      <c r="U687" s="8">
        <v>1</v>
      </c>
      <c r="V687" s="8" t="s">
        <v>95</v>
      </c>
      <c r="W687" s="8">
        <v>1</v>
      </c>
      <c r="X687" s="8" t="s">
        <v>95</v>
      </c>
      <c r="Y687" s="8">
        <v>1</v>
      </c>
      <c r="Z687" s="8" t="s">
        <v>95</v>
      </c>
      <c r="AA687" s="8">
        <v>1</v>
      </c>
      <c r="AB687" s="8" t="s">
        <v>95</v>
      </c>
      <c r="AC687" s="8">
        <v>1</v>
      </c>
      <c r="AD687" s="8" t="s">
        <v>95</v>
      </c>
      <c r="AE687" s="8">
        <v>1</v>
      </c>
      <c r="AF687" s="8" t="s">
        <v>95</v>
      </c>
      <c r="AG687" s="8">
        <v>1</v>
      </c>
      <c r="AH687" s="8" t="s">
        <v>95</v>
      </c>
      <c r="AI687" s="8">
        <v>1</v>
      </c>
      <c r="AJ687" s="8" t="s">
        <v>95</v>
      </c>
      <c r="AK687" s="8">
        <v>1</v>
      </c>
      <c r="AL687" s="8" t="s">
        <v>95</v>
      </c>
      <c r="AM687" s="8">
        <v>1</v>
      </c>
      <c r="AN687" s="8">
        <v>16</v>
      </c>
    </row>
    <row r="688" spans="1:40" x14ac:dyDescent="0.25">
      <c r="A688" s="8" t="s">
        <v>748</v>
      </c>
      <c r="B688" s="9">
        <v>42033.670138888891</v>
      </c>
      <c r="C688" s="8">
        <v>0</v>
      </c>
      <c r="D688" s="9">
        <v>42051.01666666667</v>
      </c>
      <c r="E688" s="8" t="s">
        <v>93</v>
      </c>
      <c r="F688" s="8">
        <v>9</v>
      </c>
      <c r="G688" s="8" t="s">
        <v>94</v>
      </c>
      <c r="H688" s="8" t="s">
        <v>95</v>
      </c>
      <c r="I688" s="8">
        <v>1</v>
      </c>
      <c r="J688" s="8" t="s">
        <v>95</v>
      </c>
      <c r="K688" s="8">
        <v>1</v>
      </c>
      <c r="L688" s="8" t="s">
        <v>95</v>
      </c>
      <c r="M688" s="8">
        <v>1</v>
      </c>
      <c r="N688" s="8" t="s">
        <v>95</v>
      </c>
      <c r="O688" s="8">
        <v>1</v>
      </c>
      <c r="P688" s="8" t="s">
        <v>94</v>
      </c>
      <c r="Q688" s="8">
        <v>0</v>
      </c>
      <c r="R688" s="8" t="s">
        <v>94</v>
      </c>
      <c r="S688" s="8">
        <v>0</v>
      </c>
      <c r="T688" s="8" t="s">
        <v>94</v>
      </c>
      <c r="U688" s="8">
        <v>0</v>
      </c>
      <c r="V688" s="8" t="s">
        <v>94</v>
      </c>
      <c r="W688" s="8">
        <v>0</v>
      </c>
      <c r="X688" s="8" t="s">
        <v>95</v>
      </c>
      <c r="Y688" s="8">
        <v>1</v>
      </c>
      <c r="Z688" s="8" t="s">
        <v>95</v>
      </c>
      <c r="AA688" s="8">
        <v>1</v>
      </c>
      <c r="AB688" s="8" t="s">
        <v>95</v>
      </c>
      <c r="AC688" s="8">
        <v>1</v>
      </c>
      <c r="AD688" s="8" t="s">
        <v>95</v>
      </c>
      <c r="AE688" s="8">
        <v>1</v>
      </c>
      <c r="AF688" s="8" t="s">
        <v>94</v>
      </c>
      <c r="AG688" s="8">
        <v>0</v>
      </c>
      <c r="AH688" s="8" t="s">
        <v>95</v>
      </c>
      <c r="AI688" s="8">
        <v>1</v>
      </c>
      <c r="AJ688" s="8" t="s">
        <v>94</v>
      </c>
      <c r="AK688" s="8">
        <v>0</v>
      </c>
      <c r="AL688" s="8" t="s">
        <v>94</v>
      </c>
      <c r="AM688" s="8">
        <v>0</v>
      </c>
      <c r="AN688" s="8">
        <v>9</v>
      </c>
    </row>
    <row r="689" spans="1:40" x14ac:dyDescent="0.25">
      <c r="A689" s="8" t="s">
        <v>749</v>
      </c>
      <c r="B689" s="9">
        <v>42033.681944444441</v>
      </c>
      <c r="C689" s="8">
        <v>0</v>
      </c>
      <c r="D689" s="9">
        <v>42051.036805555559</v>
      </c>
      <c r="E689" s="8" t="s">
        <v>93</v>
      </c>
      <c r="F689" s="8">
        <v>16</v>
      </c>
      <c r="G689" s="8" t="s">
        <v>94</v>
      </c>
      <c r="H689" s="8" t="s">
        <v>95</v>
      </c>
      <c r="I689" s="8">
        <v>1</v>
      </c>
      <c r="J689" s="8" t="s">
        <v>95</v>
      </c>
      <c r="K689" s="8">
        <v>1</v>
      </c>
      <c r="L689" s="8" t="s">
        <v>95</v>
      </c>
      <c r="M689" s="8">
        <v>1</v>
      </c>
      <c r="N689" s="8" t="s">
        <v>95</v>
      </c>
      <c r="O689" s="8">
        <v>1</v>
      </c>
      <c r="P689" s="8" t="s">
        <v>95</v>
      </c>
      <c r="Q689" s="8">
        <v>1</v>
      </c>
      <c r="R689" s="8" t="s">
        <v>95</v>
      </c>
      <c r="S689" s="8">
        <v>1</v>
      </c>
      <c r="T689" s="8" t="s">
        <v>95</v>
      </c>
      <c r="U689" s="8">
        <v>1</v>
      </c>
      <c r="V689" s="8" t="s">
        <v>95</v>
      </c>
      <c r="W689" s="8">
        <v>1</v>
      </c>
      <c r="X689" s="8" t="s">
        <v>95</v>
      </c>
      <c r="Y689" s="8">
        <v>1</v>
      </c>
      <c r="Z689" s="8" t="s">
        <v>95</v>
      </c>
      <c r="AA689" s="8">
        <v>1</v>
      </c>
      <c r="AB689" s="8" t="s">
        <v>95</v>
      </c>
      <c r="AC689" s="8">
        <v>1</v>
      </c>
      <c r="AD689" s="8" t="s">
        <v>95</v>
      </c>
      <c r="AE689" s="8">
        <v>1</v>
      </c>
      <c r="AF689" s="8" t="s">
        <v>95</v>
      </c>
      <c r="AG689" s="8">
        <v>1</v>
      </c>
      <c r="AH689" s="8" t="s">
        <v>95</v>
      </c>
      <c r="AI689" s="8">
        <v>1</v>
      </c>
      <c r="AJ689" s="8" t="s">
        <v>95</v>
      </c>
      <c r="AK689" s="8">
        <v>1</v>
      </c>
      <c r="AL689" s="8" t="s">
        <v>95</v>
      </c>
      <c r="AM689" s="8">
        <v>1</v>
      </c>
      <c r="AN689" s="8">
        <v>16</v>
      </c>
    </row>
    <row r="690" spans="1:40" x14ac:dyDescent="0.25">
      <c r="A690" s="8" t="s">
        <v>750</v>
      </c>
      <c r="B690" s="9">
        <v>42033.675000000003</v>
      </c>
      <c r="C690" s="8">
        <v>0</v>
      </c>
      <c r="D690" s="9">
        <v>42051.048611111109</v>
      </c>
      <c r="E690" s="8" t="s">
        <v>93</v>
      </c>
      <c r="F690" s="8">
        <v>4</v>
      </c>
      <c r="G690" s="8" t="s">
        <v>94</v>
      </c>
      <c r="H690" s="8" t="s">
        <v>94</v>
      </c>
      <c r="I690" s="8">
        <v>0</v>
      </c>
      <c r="J690" s="8" t="s">
        <v>94</v>
      </c>
      <c r="K690" s="8">
        <v>0</v>
      </c>
      <c r="L690" s="8" t="s">
        <v>94</v>
      </c>
      <c r="M690" s="8">
        <v>0</v>
      </c>
      <c r="N690" s="8" t="s">
        <v>94</v>
      </c>
      <c r="O690" s="8">
        <v>0</v>
      </c>
      <c r="P690" s="8" t="s">
        <v>94</v>
      </c>
      <c r="Q690" s="8">
        <v>0</v>
      </c>
      <c r="R690" s="8" t="s">
        <v>95</v>
      </c>
      <c r="S690" s="8">
        <v>1</v>
      </c>
      <c r="T690" s="8" t="s">
        <v>94</v>
      </c>
      <c r="U690" s="8">
        <v>0</v>
      </c>
      <c r="V690" s="8" t="s">
        <v>94</v>
      </c>
      <c r="W690" s="8">
        <v>0</v>
      </c>
      <c r="X690" s="8" t="s">
        <v>94</v>
      </c>
      <c r="Y690" s="8">
        <v>0</v>
      </c>
      <c r="Z690" s="8" t="s">
        <v>95</v>
      </c>
      <c r="AA690" s="8">
        <v>1</v>
      </c>
      <c r="AB690" s="8" t="s">
        <v>95</v>
      </c>
      <c r="AC690" s="8">
        <v>1</v>
      </c>
      <c r="AD690" s="8" t="s">
        <v>95</v>
      </c>
      <c r="AE690" s="8">
        <v>1</v>
      </c>
      <c r="AF690" s="8" t="s">
        <v>94</v>
      </c>
      <c r="AG690" s="8">
        <v>0</v>
      </c>
      <c r="AH690" s="8" t="s">
        <v>94</v>
      </c>
      <c r="AI690" s="8">
        <v>0</v>
      </c>
      <c r="AJ690" s="8" t="s">
        <v>94</v>
      </c>
      <c r="AK690" s="8">
        <v>0</v>
      </c>
      <c r="AL690" s="8" t="s">
        <v>94</v>
      </c>
      <c r="AM690" s="8">
        <v>0</v>
      </c>
      <c r="AN690" s="8">
        <v>4</v>
      </c>
    </row>
    <row r="691" spans="1:40" x14ac:dyDescent="0.25">
      <c r="A691" s="8" t="s">
        <v>751</v>
      </c>
      <c r="B691" s="9">
        <v>42033.68472222222</v>
      </c>
      <c r="C691" s="8">
        <v>0</v>
      </c>
      <c r="D691" s="9">
        <v>42051.066666666666</v>
      </c>
      <c r="E691" s="8" t="s">
        <v>93</v>
      </c>
      <c r="F691" s="8">
        <v>15</v>
      </c>
      <c r="G691" s="8" t="s">
        <v>94</v>
      </c>
      <c r="H691" s="8" t="s">
        <v>95</v>
      </c>
      <c r="I691" s="8">
        <v>1</v>
      </c>
      <c r="J691" s="8" t="s">
        <v>95</v>
      </c>
      <c r="K691" s="8">
        <v>1</v>
      </c>
      <c r="L691" s="8" t="s">
        <v>95</v>
      </c>
      <c r="M691" s="8">
        <v>1</v>
      </c>
      <c r="N691" s="8" t="s">
        <v>95</v>
      </c>
      <c r="O691" s="8">
        <v>1</v>
      </c>
      <c r="P691" s="8" t="s">
        <v>95</v>
      </c>
      <c r="Q691" s="8">
        <v>1</v>
      </c>
      <c r="R691" s="8" t="s">
        <v>95</v>
      </c>
      <c r="S691" s="8">
        <v>1</v>
      </c>
      <c r="T691" s="8" t="s">
        <v>94</v>
      </c>
      <c r="U691" s="8">
        <v>0</v>
      </c>
      <c r="V691" s="8" t="s">
        <v>95</v>
      </c>
      <c r="W691" s="8">
        <v>1</v>
      </c>
      <c r="X691" s="8" t="s">
        <v>95</v>
      </c>
      <c r="Y691" s="8">
        <v>1</v>
      </c>
      <c r="Z691" s="8" t="s">
        <v>95</v>
      </c>
      <c r="AA691" s="8">
        <v>1</v>
      </c>
      <c r="AB691" s="8" t="s">
        <v>95</v>
      </c>
      <c r="AC691" s="8">
        <v>1</v>
      </c>
      <c r="AD691" s="8" t="s">
        <v>95</v>
      </c>
      <c r="AE691" s="8">
        <v>1</v>
      </c>
      <c r="AF691" s="8" t="s">
        <v>95</v>
      </c>
      <c r="AG691" s="8">
        <v>1</v>
      </c>
      <c r="AH691" s="8" t="s">
        <v>95</v>
      </c>
      <c r="AI691" s="8">
        <v>1</v>
      </c>
      <c r="AJ691" s="8" t="s">
        <v>95</v>
      </c>
      <c r="AK691" s="8">
        <v>1</v>
      </c>
      <c r="AL691" s="8" t="s">
        <v>95</v>
      </c>
      <c r="AM691" s="8">
        <v>1</v>
      </c>
      <c r="AN691" s="8">
        <v>15</v>
      </c>
    </row>
    <row r="692" spans="1:40" x14ac:dyDescent="0.25">
      <c r="A692" s="8" t="s">
        <v>752</v>
      </c>
      <c r="B692" s="9">
        <v>42033.654861111114</v>
      </c>
      <c r="C692" s="8">
        <v>0</v>
      </c>
      <c r="D692" s="9">
        <v>42051.073611111111</v>
      </c>
      <c r="E692" s="8" t="s">
        <v>93</v>
      </c>
      <c r="F692" s="8">
        <v>14</v>
      </c>
      <c r="G692" s="8" t="s">
        <v>94</v>
      </c>
      <c r="H692" s="8" t="s">
        <v>95</v>
      </c>
      <c r="I692" s="8">
        <v>1</v>
      </c>
      <c r="J692" s="8" t="s">
        <v>95</v>
      </c>
      <c r="K692" s="8">
        <v>1</v>
      </c>
      <c r="L692" s="8" t="s">
        <v>95</v>
      </c>
      <c r="M692" s="8">
        <v>1</v>
      </c>
      <c r="N692" s="8" t="s">
        <v>95</v>
      </c>
      <c r="O692" s="8">
        <v>1</v>
      </c>
      <c r="P692" s="8" t="s">
        <v>95</v>
      </c>
      <c r="Q692" s="8">
        <v>1</v>
      </c>
      <c r="R692" s="8" t="s">
        <v>95</v>
      </c>
      <c r="S692" s="8">
        <v>1</v>
      </c>
      <c r="T692" s="8" t="s">
        <v>94</v>
      </c>
      <c r="U692" s="8">
        <v>0</v>
      </c>
      <c r="V692" s="8" t="s">
        <v>94</v>
      </c>
      <c r="W692" s="8">
        <v>0</v>
      </c>
      <c r="X692" s="8" t="s">
        <v>95</v>
      </c>
      <c r="Y692" s="8">
        <v>1</v>
      </c>
      <c r="Z692" s="8" t="s">
        <v>95</v>
      </c>
      <c r="AA692" s="8">
        <v>1</v>
      </c>
      <c r="AB692" s="8" t="s">
        <v>95</v>
      </c>
      <c r="AC692" s="8">
        <v>1</v>
      </c>
      <c r="AD692" s="8" t="s">
        <v>95</v>
      </c>
      <c r="AE692" s="8">
        <v>1</v>
      </c>
      <c r="AF692" s="8" t="s">
        <v>95</v>
      </c>
      <c r="AG692" s="8">
        <v>1</v>
      </c>
      <c r="AH692" s="8" t="s">
        <v>95</v>
      </c>
      <c r="AI692" s="8">
        <v>1</v>
      </c>
      <c r="AJ692" s="8" t="s">
        <v>95</v>
      </c>
      <c r="AK692" s="8">
        <v>1</v>
      </c>
      <c r="AL692" s="8" t="s">
        <v>95</v>
      </c>
      <c r="AM692" s="8">
        <v>1</v>
      </c>
      <c r="AN692" s="8">
        <v>14</v>
      </c>
    </row>
    <row r="693" spans="1:40" x14ac:dyDescent="0.25">
      <c r="A693" s="8" t="s">
        <v>753</v>
      </c>
      <c r="B693" s="9">
        <v>42033.685416666667</v>
      </c>
      <c r="C693" s="8">
        <v>0</v>
      </c>
      <c r="D693" s="9">
        <v>42051.130555555559</v>
      </c>
      <c r="E693" s="8" t="s">
        <v>93</v>
      </c>
      <c r="F693" s="8">
        <v>14</v>
      </c>
      <c r="G693" s="8" t="s">
        <v>94</v>
      </c>
      <c r="H693" s="8" t="s">
        <v>95</v>
      </c>
      <c r="I693" s="8">
        <v>1</v>
      </c>
      <c r="J693" s="8" t="s">
        <v>95</v>
      </c>
      <c r="K693" s="8">
        <v>1</v>
      </c>
      <c r="L693" s="8" t="s">
        <v>94</v>
      </c>
      <c r="M693" s="8">
        <v>0</v>
      </c>
      <c r="N693" s="8" t="s">
        <v>95</v>
      </c>
      <c r="O693" s="8">
        <v>1</v>
      </c>
      <c r="P693" s="8" t="s">
        <v>94</v>
      </c>
      <c r="Q693" s="8">
        <v>0</v>
      </c>
      <c r="R693" s="8" t="s">
        <v>95</v>
      </c>
      <c r="S693" s="8">
        <v>1</v>
      </c>
      <c r="T693" s="8" t="s">
        <v>95</v>
      </c>
      <c r="U693" s="8">
        <v>1</v>
      </c>
      <c r="V693" s="8" t="s">
        <v>95</v>
      </c>
      <c r="W693" s="8">
        <v>1</v>
      </c>
      <c r="X693" s="8" t="s">
        <v>95</v>
      </c>
      <c r="Y693" s="8">
        <v>1</v>
      </c>
      <c r="Z693" s="8" t="s">
        <v>95</v>
      </c>
      <c r="AA693" s="8">
        <v>1</v>
      </c>
      <c r="AB693" s="8" t="s">
        <v>95</v>
      </c>
      <c r="AC693" s="8">
        <v>1</v>
      </c>
      <c r="AD693" s="8" t="s">
        <v>95</v>
      </c>
      <c r="AE693" s="8">
        <v>1</v>
      </c>
      <c r="AF693" s="8" t="s">
        <v>95</v>
      </c>
      <c r="AG693" s="8">
        <v>1</v>
      </c>
      <c r="AH693" s="8" t="s">
        <v>95</v>
      </c>
      <c r="AI693" s="8">
        <v>1</v>
      </c>
      <c r="AJ693" s="8" t="s">
        <v>95</v>
      </c>
      <c r="AK693" s="8">
        <v>1</v>
      </c>
      <c r="AL693" s="8" t="s">
        <v>95</v>
      </c>
      <c r="AM693" s="8">
        <v>1</v>
      </c>
      <c r="AN693" s="8">
        <v>14</v>
      </c>
    </row>
    <row r="694" spans="1:40" x14ac:dyDescent="0.25">
      <c r="A694" s="8" t="s">
        <v>754</v>
      </c>
      <c r="B694" s="9">
        <v>42033.654861111114</v>
      </c>
      <c r="C694" s="8">
        <v>0</v>
      </c>
      <c r="D694" s="9">
        <v>42051.163194444445</v>
      </c>
      <c r="E694" s="8" t="s">
        <v>93</v>
      </c>
      <c r="F694" s="8">
        <v>15</v>
      </c>
      <c r="G694" s="8" t="s">
        <v>94</v>
      </c>
      <c r="H694" s="8" t="s">
        <v>95</v>
      </c>
      <c r="I694" s="8">
        <v>1</v>
      </c>
      <c r="J694" s="8" t="s">
        <v>95</v>
      </c>
      <c r="K694" s="8">
        <v>1</v>
      </c>
      <c r="L694" s="8" t="s">
        <v>95</v>
      </c>
      <c r="M694" s="8">
        <v>1</v>
      </c>
      <c r="N694" s="8" t="s">
        <v>95</v>
      </c>
      <c r="O694" s="8">
        <v>1</v>
      </c>
      <c r="P694" s="8" t="s">
        <v>95</v>
      </c>
      <c r="Q694" s="8">
        <v>1</v>
      </c>
      <c r="R694" s="8" t="s">
        <v>95</v>
      </c>
      <c r="S694" s="8">
        <v>1</v>
      </c>
      <c r="T694" s="8" t="s">
        <v>95</v>
      </c>
      <c r="U694" s="8">
        <v>1</v>
      </c>
      <c r="V694" s="8" t="s">
        <v>95</v>
      </c>
      <c r="W694" s="8">
        <v>1</v>
      </c>
      <c r="X694" s="8" t="s">
        <v>95</v>
      </c>
      <c r="Y694" s="8">
        <v>1</v>
      </c>
      <c r="Z694" s="8" t="s">
        <v>95</v>
      </c>
      <c r="AA694" s="8">
        <v>1</v>
      </c>
      <c r="AB694" s="8" t="s">
        <v>95</v>
      </c>
      <c r="AC694" s="8">
        <v>1</v>
      </c>
      <c r="AD694" s="8" t="s">
        <v>95</v>
      </c>
      <c r="AE694" s="8">
        <v>1</v>
      </c>
      <c r="AF694" s="8" t="s">
        <v>95</v>
      </c>
      <c r="AG694" s="8">
        <v>1</v>
      </c>
      <c r="AH694" s="8" t="s">
        <v>95</v>
      </c>
      <c r="AI694" s="8">
        <v>1</v>
      </c>
      <c r="AJ694" s="8" t="s">
        <v>95</v>
      </c>
      <c r="AK694" s="8">
        <v>1</v>
      </c>
      <c r="AL694" s="8" t="s">
        <v>94</v>
      </c>
      <c r="AM694" s="8">
        <v>0</v>
      </c>
      <c r="AN694" s="8">
        <v>15</v>
      </c>
    </row>
    <row r="695" spans="1:40" x14ac:dyDescent="0.25">
      <c r="A695" s="8" t="s">
        <v>755</v>
      </c>
      <c r="B695" s="9">
        <v>42033.663194444445</v>
      </c>
      <c r="C695" s="8">
        <v>0</v>
      </c>
      <c r="D695" s="9">
        <v>42051.180555555555</v>
      </c>
      <c r="E695" s="8" t="s">
        <v>93</v>
      </c>
      <c r="F695" s="8">
        <v>2</v>
      </c>
      <c r="G695" s="8" t="s">
        <v>94</v>
      </c>
      <c r="H695" s="8" t="s">
        <v>94</v>
      </c>
      <c r="I695" s="8">
        <v>0</v>
      </c>
      <c r="J695" s="8" t="s">
        <v>94</v>
      </c>
      <c r="K695" s="8">
        <v>0</v>
      </c>
      <c r="L695" s="8" t="s">
        <v>94</v>
      </c>
      <c r="M695" s="8">
        <v>0</v>
      </c>
      <c r="N695" s="8" t="s">
        <v>94</v>
      </c>
      <c r="O695" s="8">
        <v>0</v>
      </c>
      <c r="P695" s="8" t="s">
        <v>94</v>
      </c>
      <c r="Q695" s="8">
        <v>0</v>
      </c>
      <c r="R695" s="8" t="s">
        <v>94</v>
      </c>
      <c r="S695" s="8">
        <v>0</v>
      </c>
      <c r="T695" s="8" t="s">
        <v>94</v>
      </c>
      <c r="U695" s="8">
        <v>0</v>
      </c>
      <c r="V695" s="8" t="s">
        <v>94</v>
      </c>
      <c r="W695" s="8">
        <v>0</v>
      </c>
      <c r="X695" s="8" t="s">
        <v>94</v>
      </c>
      <c r="Y695" s="8">
        <v>0</v>
      </c>
      <c r="Z695" s="8" t="s">
        <v>94</v>
      </c>
      <c r="AA695" s="8">
        <v>0</v>
      </c>
      <c r="AB695" s="8" t="s">
        <v>94</v>
      </c>
      <c r="AC695" s="8">
        <v>0</v>
      </c>
      <c r="AD695" s="8" t="s">
        <v>95</v>
      </c>
      <c r="AE695" s="8">
        <v>1</v>
      </c>
      <c r="AF695" s="8" t="s">
        <v>94</v>
      </c>
      <c r="AG695" s="8">
        <v>0</v>
      </c>
      <c r="AH695" s="8" t="s">
        <v>95</v>
      </c>
      <c r="AI695" s="8">
        <v>1</v>
      </c>
      <c r="AJ695" s="8" t="s">
        <v>94</v>
      </c>
      <c r="AK695" s="8">
        <v>0</v>
      </c>
      <c r="AL695" s="8" t="s">
        <v>94</v>
      </c>
      <c r="AM695" s="8">
        <v>0</v>
      </c>
      <c r="AN695" s="8">
        <v>2</v>
      </c>
    </row>
    <row r="696" spans="1:40" x14ac:dyDescent="0.25">
      <c r="A696" s="8" t="s">
        <v>756</v>
      </c>
      <c r="B696" s="9">
        <v>42033.662499999999</v>
      </c>
      <c r="C696" s="8">
        <v>0</v>
      </c>
      <c r="D696" s="9">
        <v>42051.216666666667</v>
      </c>
      <c r="E696" s="8" t="s">
        <v>93</v>
      </c>
      <c r="F696" s="8">
        <v>16</v>
      </c>
      <c r="G696" s="8" t="s">
        <v>94</v>
      </c>
      <c r="H696" s="8" t="s">
        <v>95</v>
      </c>
      <c r="I696" s="8">
        <v>1</v>
      </c>
      <c r="J696" s="8" t="s">
        <v>95</v>
      </c>
      <c r="K696" s="8">
        <v>1</v>
      </c>
      <c r="L696" s="8" t="s">
        <v>95</v>
      </c>
      <c r="M696" s="8">
        <v>1</v>
      </c>
      <c r="N696" s="8" t="s">
        <v>95</v>
      </c>
      <c r="O696" s="8">
        <v>1</v>
      </c>
      <c r="P696" s="8" t="s">
        <v>95</v>
      </c>
      <c r="Q696" s="8">
        <v>1</v>
      </c>
      <c r="R696" s="8" t="s">
        <v>95</v>
      </c>
      <c r="S696" s="8">
        <v>1</v>
      </c>
      <c r="T696" s="8" t="s">
        <v>95</v>
      </c>
      <c r="U696" s="8">
        <v>1</v>
      </c>
      <c r="V696" s="8" t="s">
        <v>95</v>
      </c>
      <c r="W696" s="8">
        <v>1</v>
      </c>
      <c r="X696" s="8" t="s">
        <v>95</v>
      </c>
      <c r="Y696" s="8">
        <v>1</v>
      </c>
      <c r="Z696" s="8" t="s">
        <v>95</v>
      </c>
      <c r="AA696" s="8">
        <v>1</v>
      </c>
      <c r="AB696" s="8" t="s">
        <v>95</v>
      </c>
      <c r="AC696" s="8">
        <v>1</v>
      </c>
      <c r="AD696" s="8" t="s">
        <v>95</v>
      </c>
      <c r="AE696" s="8">
        <v>1</v>
      </c>
      <c r="AF696" s="8" t="s">
        <v>95</v>
      </c>
      <c r="AG696" s="8">
        <v>1</v>
      </c>
      <c r="AH696" s="8" t="s">
        <v>95</v>
      </c>
      <c r="AI696" s="8">
        <v>1</v>
      </c>
      <c r="AJ696" s="8" t="s">
        <v>95</v>
      </c>
      <c r="AK696" s="8">
        <v>1</v>
      </c>
      <c r="AL696" s="8" t="s">
        <v>95</v>
      </c>
      <c r="AM696" s="8">
        <v>1</v>
      </c>
      <c r="AN696" s="8">
        <v>16</v>
      </c>
    </row>
    <row r="697" spans="1:40" x14ac:dyDescent="0.25">
      <c r="A697" s="8" t="s">
        <v>757</v>
      </c>
      <c r="B697" s="9">
        <v>42033.662499999999</v>
      </c>
      <c r="C697" s="8">
        <v>0</v>
      </c>
      <c r="D697" s="9">
        <v>42051.239583333336</v>
      </c>
      <c r="E697" s="8" t="s">
        <v>93</v>
      </c>
      <c r="F697" s="8">
        <v>11</v>
      </c>
      <c r="G697" s="8" t="s">
        <v>94</v>
      </c>
      <c r="H697" s="8" t="s">
        <v>95</v>
      </c>
      <c r="I697" s="8">
        <v>1</v>
      </c>
      <c r="J697" s="8" t="s">
        <v>95</v>
      </c>
      <c r="K697" s="8">
        <v>1</v>
      </c>
      <c r="L697" s="8" t="s">
        <v>94</v>
      </c>
      <c r="M697" s="8">
        <v>0</v>
      </c>
      <c r="N697" s="8" t="s">
        <v>94</v>
      </c>
      <c r="O697" s="8">
        <v>0</v>
      </c>
      <c r="P697" s="8" t="s">
        <v>95</v>
      </c>
      <c r="Q697" s="8">
        <v>1</v>
      </c>
      <c r="R697" s="8" t="s">
        <v>95</v>
      </c>
      <c r="S697" s="8">
        <v>1</v>
      </c>
      <c r="T697" s="8" t="s">
        <v>94</v>
      </c>
      <c r="U697" s="8">
        <v>0</v>
      </c>
      <c r="V697" s="8" t="s">
        <v>95</v>
      </c>
      <c r="W697" s="8">
        <v>1</v>
      </c>
      <c r="X697" s="8" t="s">
        <v>94</v>
      </c>
      <c r="Y697" s="8">
        <v>0</v>
      </c>
      <c r="Z697" s="8" t="s">
        <v>95</v>
      </c>
      <c r="AA697" s="8">
        <v>1</v>
      </c>
      <c r="AB697" s="8" t="s">
        <v>95</v>
      </c>
      <c r="AC697" s="8">
        <v>1</v>
      </c>
      <c r="AD697" s="8" t="s">
        <v>95</v>
      </c>
      <c r="AE697" s="8">
        <v>1</v>
      </c>
      <c r="AF697" s="8" t="s">
        <v>94</v>
      </c>
      <c r="AG697" s="8">
        <v>0</v>
      </c>
      <c r="AH697" s="8" t="s">
        <v>95</v>
      </c>
      <c r="AI697" s="8">
        <v>1</v>
      </c>
      <c r="AJ697" s="8" t="s">
        <v>95</v>
      </c>
      <c r="AK697" s="8">
        <v>1</v>
      </c>
      <c r="AL697" s="8" t="s">
        <v>95</v>
      </c>
      <c r="AM697" s="8">
        <v>1</v>
      </c>
      <c r="AN697" s="8">
        <v>11</v>
      </c>
    </row>
    <row r="698" spans="1:40" x14ac:dyDescent="0.25">
      <c r="A698" s="8" t="s">
        <v>758</v>
      </c>
      <c r="B698" s="9">
        <v>42033.65625</v>
      </c>
      <c r="C698" s="8">
        <v>0</v>
      </c>
      <c r="D698" s="9">
        <v>42051.244444444441</v>
      </c>
      <c r="E698" s="8" t="s">
        <v>93</v>
      </c>
      <c r="F698" s="8">
        <v>16</v>
      </c>
      <c r="G698" s="8" t="s">
        <v>94</v>
      </c>
      <c r="H698" s="8" t="s">
        <v>95</v>
      </c>
      <c r="I698" s="8">
        <v>1</v>
      </c>
      <c r="J698" s="8" t="s">
        <v>95</v>
      </c>
      <c r="K698" s="8">
        <v>1</v>
      </c>
      <c r="L698" s="8" t="s">
        <v>95</v>
      </c>
      <c r="M698" s="8">
        <v>1</v>
      </c>
      <c r="N698" s="8" t="s">
        <v>95</v>
      </c>
      <c r="O698" s="8">
        <v>1</v>
      </c>
      <c r="P698" s="8" t="s">
        <v>95</v>
      </c>
      <c r="Q698" s="8">
        <v>1</v>
      </c>
      <c r="R698" s="8" t="s">
        <v>95</v>
      </c>
      <c r="S698" s="8">
        <v>1</v>
      </c>
      <c r="T698" s="8" t="s">
        <v>95</v>
      </c>
      <c r="U698" s="8">
        <v>1</v>
      </c>
      <c r="V698" s="8" t="s">
        <v>95</v>
      </c>
      <c r="W698" s="8">
        <v>1</v>
      </c>
      <c r="X698" s="8" t="s">
        <v>95</v>
      </c>
      <c r="Y698" s="8">
        <v>1</v>
      </c>
      <c r="Z698" s="8" t="s">
        <v>95</v>
      </c>
      <c r="AA698" s="8">
        <v>1</v>
      </c>
      <c r="AB698" s="8" t="s">
        <v>95</v>
      </c>
      <c r="AC698" s="8">
        <v>1</v>
      </c>
      <c r="AD698" s="8" t="s">
        <v>95</v>
      </c>
      <c r="AE698" s="8">
        <v>1</v>
      </c>
      <c r="AF698" s="8" t="s">
        <v>95</v>
      </c>
      <c r="AG698" s="8">
        <v>1</v>
      </c>
      <c r="AH698" s="8" t="s">
        <v>95</v>
      </c>
      <c r="AI698" s="8">
        <v>1</v>
      </c>
      <c r="AJ698" s="8" t="s">
        <v>95</v>
      </c>
      <c r="AK698" s="8">
        <v>1</v>
      </c>
      <c r="AL698" s="8" t="s">
        <v>95</v>
      </c>
      <c r="AM698" s="8">
        <v>1</v>
      </c>
      <c r="AN698" s="8">
        <v>16</v>
      </c>
    </row>
    <row r="699" spans="1:40" x14ac:dyDescent="0.25">
      <c r="A699" s="8" t="s">
        <v>759</v>
      </c>
      <c r="B699" s="9">
        <v>42033.658333333333</v>
      </c>
      <c r="C699" s="8">
        <v>0</v>
      </c>
      <c r="D699" s="9">
        <v>42051.248611111114</v>
      </c>
      <c r="E699" s="8" t="s">
        <v>93</v>
      </c>
      <c r="F699" s="8">
        <v>15</v>
      </c>
      <c r="G699" s="8" t="s">
        <v>94</v>
      </c>
      <c r="H699" s="8" t="s">
        <v>95</v>
      </c>
      <c r="I699" s="8">
        <v>1</v>
      </c>
      <c r="J699" s="8" t="s">
        <v>95</v>
      </c>
      <c r="K699" s="8">
        <v>1</v>
      </c>
      <c r="L699" s="8" t="s">
        <v>95</v>
      </c>
      <c r="M699" s="8">
        <v>1</v>
      </c>
      <c r="N699" s="8" t="s">
        <v>95</v>
      </c>
      <c r="O699" s="8">
        <v>1</v>
      </c>
      <c r="P699" s="8" t="s">
        <v>95</v>
      </c>
      <c r="Q699" s="8">
        <v>1</v>
      </c>
      <c r="R699" s="8" t="s">
        <v>95</v>
      </c>
      <c r="S699" s="8">
        <v>1</v>
      </c>
      <c r="T699" s="8" t="s">
        <v>94</v>
      </c>
      <c r="U699" s="8">
        <v>0</v>
      </c>
      <c r="V699" s="8" t="s">
        <v>95</v>
      </c>
      <c r="W699" s="8">
        <v>1</v>
      </c>
      <c r="X699" s="8" t="s">
        <v>95</v>
      </c>
      <c r="Y699" s="8">
        <v>1</v>
      </c>
      <c r="Z699" s="8" t="s">
        <v>95</v>
      </c>
      <c r="AA699" s="8">
        <v>1</v>
      </c>
      <c r="AB699" s="8" t="s">
        <v>95</v>
      </c>
      <c r="AC699" s="8">
        <v>1</v>
      </c>
      <c r="AD699" s="8" t="s">
        <v>95</v>
      </c>
      <c r="AE699" s="8">
        <v>1</v>
      </c>
      <c r="AF699" s="8" t="s">
        <v>95</v>
      </c>
      <c r="AG699" s="8">
        <v>1</v>
      </c>
      <c r="AH699" s="8" t="s">
        <v>95</v>
      </c>
      <c r="AI699" s="8">
        <v>1</v>
      </c>
      <c r="AJ699" s="8" t="s">
        <v>95</v>
      </c>
      <c r="AK699" s="8">
        <v>1</v>
      </c>
      <c r="AL699" s="8" t="s">
        <v>95</v>
      </c>
      <c r="AM699" s="8">
        <v>1</v>
      </c>
      <c r="AN699" s="8">
        <v>15</v>
      </c>
    </row>
    <row r="700" spans="1:40" x14ac:dyDescent="0.25">
      <c r="A700" s="8" t="s">
        <v>760</v>
      </c>
      <c r="B700" s="9">
        <v>42033.662499999999</v>
      </c>
      <c r="C700" s="8">
        <v>0</v>
      </c>
      <c r="D700" s="9">
        <v>42051.256249999999</v>
      </c>
      <c r="E700" s="8" t="s">
        <v>93</v>
      </c>
      <c r="F700" s="8">
        <v>11</v>
      </c>
      <c r="G700" s="8" t="s">
        <v>94</v>
      </c>
      <c r="H700" s="8" t="s">
        <v>95</v>
      </c>
      <c r="I700" s="8">
        <v>1</v>
      </c>
      <c r="J700" s="8" t="s">
        <v>95</v>
      </c>
      <c r="K700" s="8">
        <v>1</v>
      </c>
      <c r="L700" s="8" t="s">
        <v>94</v>
      </c>
      <c r="M700" s="8">
        <v>0</v>
      </c>
      <c r="N700" s="8" t="s">
        <v>95</v>
      </c>
      <c r="O700" s="8">
        <v>1</v>
      </c>
      <c r="P700" s="8" t="s">
        <v>95</v>
      </c>
      <c r="Q700" s="8">
        <v>1</v>
      </c>
      <c r="R700" s="8" t="s">
        <v>95</v>
      </c>
      <c r="S700" s="8">
        <v>1</v>
      </c>
      <c r="T700" s="8" t="s">
        <v>94</v>
      </c>
      <c r="U700" s="8">
        <v>0</v>
      </c>
      <c r="V700" s="8" t="s">
        <v>95</v>
      </c>
      <c r="W700" s="8">
        <v>1</v>
      </c>
      <c r="X700" s="8" t="s">
        <v>94</v>
      </c>
      <c r="Y700" s="8">
        <v>0</v>
      </c>
      <c r="Z700" s="8" t="s">
        <v>95</v>
      </c>
      <c r="AA700" s="8">
        <v>1</v>
      </c>
      <c r="AB700" s="8" t="s">
        <v>95</v>
      </c>
      <c r="AC700" s="8">
        <v>1</v>
      </c>
      <c r="AD700" s="8" t="s">
        <v>95</v>
      </c>
      <c r="AE700" s="8">
        <v>1</v>
      </c>
      <c r="AF700" s="8" t="s">
        <v>95</v>
      </c>
      <c r="AG700" s="8">
        <v>1</v>
      </c>
      <c r="AH700" s="8" t="s">
        <v>94</v>
      </c>
      <c r="AI700" s="8">
        <v>0</v>
      </c>
      <c r="AJ700" s="8" t="s">
        <v>95</v>
      </c>
      <c r="AK700" s="8">
        <v>1</v>
      </c>
      <c r="AL700" s="8" t="s">
        <v>94</v>
      </c>
      <c r="AM700" s="8">
        <v>0</v>
      </c>
      <c r="AN700" s="8">
        <v>11</v>
      </c>
    </row>
    <row r="701" spans="1:40" x14ac:dyDescent="0.25">
      <c r="A701" s="8" t="s">
        <v>761</v>
      </c>
      <c r="B701" s="9">
        <v>42033.668055555558</v>
      </c>
      <c r="C701" s="8">
        <v>0</v>
      </c>
      <c r="D701" s="9">
        <v>42051.265277777777</v>
      </c>
      <c r="E701" s="8" t="s">
        <v>93</v>
      </c>
      <c r="F701" s="8">
        <v>9</v>
      </c>
      <c r="G701" s="8" t="s">
        <v>94</v>
      </c>
      <c r="H701" s="8" t="s">
        <v>94</v>
      </c>
      <c r="I701" s="8">
        <v>0</v>
      </c>
      <c r="J701" s="8" t="s">
        <v>94</v>
      </c>
      <c r="K701" s="8">
        <v>0</v>
      </c>
      <c r="L701" s="8" t="s">
        <v>94</v>
      </c>
      <c r="M701" s="8">
        <v>0</v>
      </c>
      <c r="N701" s="8" t="s">
        <v>95</v>
      </c>
      <c r="O701" s="8">
        <v>1</v>
      </c>
      <c r="P701" s="8" t="s">
        <v>95</v>
      </c>
      <c r="Q701" s="8">
        <v>1</v>
      </c>
      <c r="R701" s="8" t="s">
        <v>95</v>
      </c>
      <c r="S701" s="8">
        <v>1</v>
      </c>
      <c r="T701" s="8" t="s">
        <v>94</v>
      </c>
      <c r="U701" s="8">
        <v>0</v>
      </c>
      <c r="V701" s="8" t="s">
        <v>95</v>
      </c>
      <c r="W701" s="8">
        <v>1</v>
      </c>
      <c r="X701" s="8" t="s">
        <v>95</v>
      </c>
      <c r="Y701" s="8">
        <v>1</v>
      </c>
      <c r="Z701" s="8" t="s">
        <v>95</v>
      </c>
      <c r="AA701" s="8">
        <v>1</v>
      </c>
      <c r="AB701" s="8" t="s">
        <v>95</v>
      </c>
      <c r="AC701" s="8">
        <v>1</v>
      </c>
      <c r="AD701" s="8" t="s">
        <v>95</v>
      </c>
      <c r="AE701" s="8">
        <v>1</v>
      </c>
      <c r="AF701" s="8" t="s">
        <v>94</v>
      </c>
      <c r="AG701" s="8">
        <v>0</v>
      </c>
      <c r="AH701" s="8" t="s">
        <v>94</v>
      </c>
      <c r="AI701" s="8">
        <v>0</v>
      </c>
      <c r="AJ701" s="8" t="s">
        <v>95</v>
      </c>
      <c r="AK701" s="8">
        <v>1</v>
      </c>
      <c r="AL701" s="8" t="s">
        <v>94</v>
      </c>
      <c r="AM701" s="8">
        <v>0</v>
      </c>
      <c r="AN701" s="8">
        <v>9</v>
      </c>
    </row>
    <row r="702" spans="1:40" x14ac:dyDescent="0.25">
      <c r="A702" s="8" t="s">
        <v>762</v>
      </c>
      <c r="B702" s="9">
        <v>42033.677777777775</v>
      </c>
      <c r="C702" s="8">
        <v>0</v>
      </c>
      <c r="D702" s="9">
        <v>42051.277777777781</v>
      </c>
      <c r="E702" s="8" t="s">
        <v>93</v>
      </c>
      <c r="F702" s="8">
        <v>16</v>
      </c>
      <c r="G702" s="8" t="s">
        <v>94</v>
      </c>
      <c r="H702" s="8" t="s">
        <v>95</v>
      </c>
      <c r="I702" s="8">
        <v>1</v>
      </c>
      <c r="J702" s="8" t="s">
        <v>95</v>
      </c>
      <c r="K702" s="8">
        <v>1</v>
      </c>
      <c r="L702" s="8" t="s">
        <v>95</v>
      </c>
      <c r="M702" s="8">
        <v>1</v>
      </c>
      <c r="N702" s="8" t="s">
        <v>95</v>
      </c>
      <c r="O702" s="8">
        <v>1</v>
      </c>
      <c r="P702" s="8" t="s">
        <v>95</v>
      </c>
      <c r="Q702" s="8">
        <v>1</v>
      </c>
      <c r="R702" s="8" t="s">
        <v>95</v>
      </c>
      <c r="S702" s="8">
        <v>1</v>
      </c>
      <c r="T702" s="8" t="s">
        <v>95</v>
      </c>
      <c r="U702" s="8">
        <v>1</v>
      </c>
      <c r="V702" s="8" t="s">
        <v>95</v>
      </c>
      <c r="W702" s="8">
        <v>1</v>
      </c>
      <c r="X702" s="8" t="s">
        <v>95</v>
      </c>
      <c r="Y702" s="8">
        <v>1</v>
      </c>
      <c r="Z702" s="8" t="s">
        <v>95</v>
      </c>
      <c r="AA702" s="8">
        <v>1</v>
      </c>
      <c r="AB702" s="8" t="s">
        <v>95</v>
      </c>
      <c r="AC702" s="8">
        <v>1</v>
      </c>
      <c r="AD702" s="8" t="s">
        <v>95</v>
      </c>
      <c r="AE702" s="8">
        <v>1</v>
      </c>
      <c r="AF702" s="8" t="s">
        <v>95</v>
      </c>
      <c r="AG702" s="8">
        <v>1</v>
      </c>
      <c r="AH702" s="8" t="s">
        <v>95</v>
      </c>
      <c r="AI702" s="8">
        <v>1</v>
      </c>
      <c r="AJ702" s="8" t="s">
        <v>95</v>
      </c>
      <c r="AK702" s="8">
        <v>1</v>
      </c>
      <c r="AL702" s="8" t="s">
        <v>95</v>
      </c>
      <c r="AM702" s="8">
        <v>1</v>
      </c>
      <c r="AN702" s="8">
        <v>16</v>
      </c>
    </row>
    <row r="703" spans="1:40" x14ac:dyDescent="0.25">
      <c r="A703" s="8" t="s">
        <v>763</v>
      </c>
      <c r="B703" s="9">
        <v>42033.666666666664</v>
      </c>
      <c r="C703" s="8">
        <v>0</v>
      </c>
      <c r="D703" s="9">
        <v>42051.328472222223</v>
      </c>
      <c r="E703" s="8" t="s">
        <v>93</v>
      </c>
      <c r="F703" s="8">
        <v>5</v>
      </c>
      <c r="G703" s="8" t="s">
        <v>94</v>
      </c>
      <c r="H703" s="8" t="s">
        <v>94</v>
      </c>
      <c r="I703" s="8">
        <v>0</v>
      </c>
      <c r="J703" s="8" t="s">
        <v>94</v>
      </c>
      <c r="K703" s="8">
        <v>0</v>
      </c>
      <c r="L703" s="8" t="s">
        <v>95</v>
      </c>
      <c r="M703" s="8">
        <v>1</v>
      </c>
      <c r="N703" s="8" t="s">
        <v>94</v>
      </c>
      <c r="O703" s="8">
        <v>0</v>
      </c>
      <c r="P703" s="8" t="s">
        <v>95</v>
      </c>
      <c r="Q703" s="8">
        <v>1</v>
      </c>
      <c r="R703" s="8" t="s">
        <v>94</v>
      </c>
      <c r="S703" s="8">
        <v>0</v>
      </c>
      <c r="T703" s="8" t="s">
        <v>94</v>
      </c>
      <c r="U703" s="8">
        <v>0</v>
      </c>
      <c r="V703" s="8" t="s">
        <v>94</v>
      </c>
      <c r="W703" s="8">
        <v>0</v>
      </c>
      <c r="X703" s="8" t="s">
        <v>94</v>
      </c>
      <c r="Y703" s="8">
        <v>0</v>
      </c>
      <c r="Z703" s="8" t="s">
        <v>94</v>
      </c>
      <c r="AA703" s="8">
        <v>0</v>
      </c>
      <c r="AB703" s="8" t="s">
        <v>94</v>
      </c>
      <c r="AC703" s="8">
        <v>0</v>
      </c>
      <c r="AD703" s="8" t="s">
        <v>95</v>
      </c>
      <c r="AE703" s="8">
        <v>1</v>
      </c>
      <c r="AF703" s="8" t="s">
        <v>94</v>
      </c>
      <c r="AG703" s="8">
        <v>0</v>
      </c>
      <c r="AH703" s="8" t="s">
        <v>95</v>
      </c>
      <c r="AI703" s="8">
        <v>1</v>
      </c>
      <c r="AJ703" s="8" t="s">
        <v>95</v>
      </c>
      <c r="AK703" s="8">
        <v>1</v>
      </c>
      <c r="AL703" s="8" t="s">
        <v>94</v>
      </c>
      <c r="AM703" s="8">
        <v>0</v>
      </c>
      <c r="AN703" s="8">
        <v>5</v>
      </c>
    </row>
    <row r="704" spans="1:40" x14ac:dyDescent="0.25">
      <c r="A704" s="8" t="s">
        <v>764</v>
      </c>
      <c r="B704" s="9">
        <v>42033.665277777778</v>
      </c>
      <c r="C704" s="8">
        <v>0</v>
      </c>
      <c r="D704" s="9">
        <v>42051.329861111109</v>
      </c>
      <c r="E704" s="8" t="s">
        <v>93</v>
      </c>
      <c r="F704" s="8">
        <v>13</v>
      </c>
      <c r="G704" s="8" t="s">
        <v>94</v>
      </c>
      <c r="H704" s="8" t="s">
        <v>95</v>
      </c>
      <c r="I704" s="8">
        <v>1</v>
      </c>
      <c r="J704" s="8" t="s">
        <v>95</v>
      </c>
      <c r="K704" s="8">
        <v>1</v>
      </c>
      <c r="L704" s="8" t="s">
        <v>95</v>
      </c>
      <c r="M704" s="8">
        <v>1</v>
      </c>
      <c r="N704" s="8" t="s">
        <v>95</v>
      </c>
      <c r="O704" s="8">
        <v>1</v>
      </c>
      <c r="P704" s="8" t="s">
        <v>95</v>
      </c>
      <c r="Q704" s="8">
        <v>1</v>
      </c>
      <c r="R704" s="8" t="s">
        <v>95</v>
      </c>
      <c r="S704" s="8">
        <v>1</v>
      </c>
      <c r="T704" s="8" t="s">
        <v>95</v>
      </c>
      <c r="U704" s="8">
        <v>1</v>
      </c>
      <c r="V704" s="8" t="s">
        <v>95</v>
      </c>
      <c r="W704" s="8">
        <v>1</v>
      </c>
      <c r="X704" s="8" t="s">
        <v>95</v>
      </c>
      <c r="Y704" s="8">
        <v>1</v>
      </c>
      <c r="Z704" s="8" t="s">
        <v>95</v>
      </c>
      <c r="AA704" s="8">
        <v>1</v>
      </c>
      <c r="AB704" s="8" t="s">
        <v>95</v>
      </c>
      <c r="AC704" s="8">
        <v>1</v>
      </c>
      <c r="AD704" s="8" t="s">
        <v>95</v>
      </c>
      <c r="AE704" s="8">
        <v>1</v>
      </c>
      <c r="AF704" s="8" t="s">
        <v>94</v>
      </c>
      <c r="AG704" s="8">
        <v>0</v>
      </c>
      <c r="AH704" s="8" t="s">
        <v>94</v>
      </c>
      <c r="AI704" s="8">
        <v>0</v>
      </c>
      <c r="AJ704" s="8" t="s">
        <v>95</v>
      </c>
      <c r="AK704" s="8">
        <v>1</v>
      </c>
      <c r="AL704" s="8" t="s">
        <v>94</v>
      </c>
      <c r="AM704" s="8">
        <v>0</v>
      </c>
      <c r="AN704" s="8">
        <v>13</v>
      </c>
    </row>
    <row r="705" spans="1:40" x14ac:dyDescent="0.25">
      <c r="A705" s="8" t="s">
        <v>765</v>
      </c>
      <c r="B705" s="9">
        <v>42033.67291666667</v>
      </c>
      <c r="C705" s="8">
        <v>0</v>
      </c>
      <c r="D705" s="9">
        <v>42051.401388888888</v>
      </c>
      <c r="E705" s="8" t="s">
        <v>93</v>
      </c>
      <c r="F705" s="8">
        <v>12</v>
      </c>
      <c r="G705" s="8" t="s">
        <v>94</v>
      </c>
      <c r="H705" s="8" t="s">
        <v>95</v>
      </c>
      <c r="I705" s="8">
        <v>1</v>
      </c>
      <c r="J705" s="8" t="s">
        <v>95</v>
      </c>
      <c r="K705" s="8">
        <v>1</v>
      </c>
      <c r="L705" s="8" t="s">
        <v>94</v>
      </c>
      <c r="M705" s="8">
        <v>0</v>
      </c>
      <c r="N705" s="8" t="s">
        <v>94</v>
      </c>
      <c r="O705" s="8">
        <v>0</v>
      </c>
      <c r="P705" s="8" t="s">
        <v>95</v>
      </c>
      <c r="Q705" s="8">
        <v>1</v>
      </c>
      <c r="R705" s="8" t="s">
        <v>94</v>
      </c>
      <c r="S705" s="8">
        <v>0</v>
      </c>
      <c r="T705" s="8" t="s">
        <v>94</v>
      </c>
      <c r="U705" s="8">
        <v>0</v>
      </c>
      <c r="V705" s="8" t="s">
        <v>95</v>
      </c>
      <c r="W705" s="8">
        <v>1</v>
      </c>
      <c r="X705" s="8" t="s">
        <v>95</v>
      </c>
      <c r="Y705" s="8">
        <v>1</v>
      </c>
      <c r="Z705" s="8" t="s">
        <v>95</v>
      </c>
      <c r="AA705" s="8">
        <v>1</v>
      </c>
      <c r="AB705" s="8" t="s">
        <v>95</v>
      </c>
      <c r="AC705" s="8">
        <v>1</v>
      </c>
      <c r="AD705" s="8" t="s">
        <v>95</v>
      </c>
      <c r="AE705" s="8">
        <v>1</v>
      </c>
      <c r="AF705" s="8" t="s">
        <v>95</v>
      </c>
      <c r="AG705" s="8">
        <v>1</v>
      </c>
      <c r="AH705" s="8" t="s">
        <v>95</v>
      </c>
      <c r="AI705" s="8">
        <v>1</v>
      </c>
      <c r="AJ705" s="8" t="s">
        <v>95</v>
      </c>
      <c r="AK705" s="8">
        <v>1</v>
      </c>
      <c r="AL705" s="8" t="s">
        <v>95</v>
      </c>
      <c r="AM705" s="8">
        <v>1</v>
      </c>
      <c r="AN705" s="8">
        <v>12</v>
      </c>
    </row>
    <row r="706" spans="1:40" x14ac:dyDescent="0.25">
      <c r="A706" s="8" t="s">
        <v>766</v>
      </c>
      <c r="B706" s="9">
        <v>42033.665972222225</v>
      </c>
      <c r="C706" s="8">
        <v>0</v>
      </c>
      <c r="D706" s="9">
        <v>42051.427777777775</v>
      </c>
      <c r="E706" s="8" t="s">
        <v>93</v>
      </c>
      <c r="F706" s="8">
        <v>2</v>
      </c>
      <c r="G706" s="8" t="s">
        <v>94</v>
      </c>
      <c r="H706" s="8" t="s">
        <v>94</v>
      </c>
      <c r="I706" s="8">
        <v>0</v>
      </c>
      <c r="J706" s="8" t="s">
        <v>94</v>
      </c>
      <c r="K706" s="8">
        <v>0</v>
      </c>
      <c r="L706" s="8" t="s">
        <v>94</v>
      </c>
      <c r="M706" s="8">
        <v>0</v>
      </c>
      <c r="N706" s="8" t="s">
        <v>94</v>
      </c>
      <c r="O706" s="8">
        <v>0</v>
      </c>
      <c r="P706" s="8" t="s">
        <v>94</v>
      </c>
      <c r="Q706" s="8">
        <v>0</v>
      </c>
      <c r="R706" s="8" t="s">
        <v>94</v>
      </c>
      <c r="S706" s="8">
        <v>0</v>
      </c>
      <c r="T706" s="8" t="s">
        <v>94</v>
      </c>
      <c r="U706" s="8">
        <v>0</v>
      </c>
      <c r="V706" s="8" t="s">
        <v>94</v>
      </c>
      <c r="W706" s="8">
        <v>0</v>
      </c>
      <c r="X706" s="8" t="s">
        <v>94</v>
      </c>
      <c r="Y706" s="8">
        <v>0</v>
      </c>
      <c r="Z706" s="8" t="s">
        <v>94</v>
      </c>
      <c r="AA706" s="8">
        <v>0</v>
      </c>
      <c r="AB706" s="8" t="s">
        <v>94</v>
      </c>
      <c r="AC706" s="8">
        <v>0</v>
      </c>
      <c r="AD706" s="8" t="s">
        <v>95</v>
      </c>
      <c r="AE706" s="8">
        <v>1</v>
      </c>
      <c r="AF706" s="8" t="s">
        <v>94</v>
      </c>
      <c r="AG706" s="8">
        <v>0</v>
      </c>
      <c r="AH706" s="8" t="s">
        <v>94</v>
      </c>
      <c r="AI706" s="8">
        <v>0</v>
      </c>
      <c r="AJ706" s="8" t="s">
        <v>95</v>
      </c>
      <c r="AK706" s="8">
        <v>1</v>
      </c>
      <c r="AL706" s="8" t="s">
        <v>94</v>
      </c>
      <c r="AM706" s="8">
        <v>0</v>
      </c>
      <c r="AN706" s="8">
        <v>2</v>
      </c>
    </row>
    <row r="707" spans="1:40" x14ac:dyDescent="0.25">
      <c r="A707" s="8" t="s">
        <v>767</v>
      </c>
      <c r="B707" s="9">
        <v>42033.681250000001</v>
      </c>
      <c r="C707" s="8">
        <v>0</v>
      </c>
      <c r="D707" s="9">
        <v>42051.438888888886</v>
      </c>
      <c r="E707" s="8" t="s">
        <v>93</v>
      </c>
      <c r="F707" s="8">
        <v>14</v>
      </c>
      <c r="G707" s="8" t="s">
        <v>94</v>
      </c>
      <c r="H707" s="8" t="s">
        <v>95</v>
      </c>
      <c r="I707" s="8">
        <v>1</v>
      </c>
      <c r="J707" s="8" t="s">
        <v>95</v>
      </c>
      <c r="K707" s="8">
        <v>1</v>
      </c>
      <c r="L707" s="8" t="s">
        <v>95</v>
      </c>
      <c r="M707" s="8">
        <v>1</v>
      </c>
      <c r="N707" s="8" t="s">
        <v>95</v>
      </c>
      <c r="O707" s="8">
        <v>1</v>
      </c>
      <c r="P707" s="8" t="s">
        <v>95</v>
      </c>
      <c r="Q707" s="8">
        <v>1</v>
      </c>
      <c r="R707" s="8" t="s">
        <v>95</v>
      </c>
      <c r="S707" s="8">
        <v>1</v>
      </c>
      <c r="T707" s="8" t="s">
        <v>95</v>
      </c>
      <c r="U707" s="8">
        <v>1</v>
      </c>
      <c r="V707" s="8" t="s">
        <v>95</v>
      </c>
      <c r="W707" s="8">
        <v>1</v>
      </c>
      <c r="X707" s="8" t="s">
        <v>95</v>
      </c>
      <c r="Y707" s="8">
        <v>1</v>
      </c>
      <c r="Z707" s="8" t="s">
        <v>95</v>
      </c>
      <c r="AA707" s="8">
        <v>1</v>
      </c>
      <c r="AB707" s="8" t="s">
        <v>95</v>
      </c>
      <c r="AC707" s="8">
        <v>1</v>
      </c>
      <c r="AD707" s="8" t="s">
        <v>95</v>
      </c>
      <c r="AE707" s="8">
        <v>1</v>
      </c>
      <c r="AF707" s="8" t="s">
        <v>94</v>
      </c>
      <c r="AG707" s="8">
        <v>0</v>
      </c>
      <c r="AH707" s="8" t="s">
        <v>95</v>
      </c>
      <c r="AI707" s="8">
        <v>1</v>
      </c>
      <c r="AJ707" s="8" t="s">
        <v>95</v>
      </c>
      <c r="AK707" s="8">
        <v>1</v>
      </c>
      <c r="AL707" s="8" t="s">
        <v>94</v>
      </c>
      <c r="AM707" s="8">
        <v>0</v>
      </c>
      <c r="AN707" s="8">
        <v>14</v>
      </c>
    </row>
    <row r="708" spans="1:40" x14ac:dyDescent="0.25">
      <c r="A708" s="8" t="s">
        <v>768</v>
      </c>
      <c r="B708" s="9">
        <v>42033.665277777778</v>
      </c>
      <c r="C708" s="8">
        <v>0</v>
      </c>
      <c r="D708" s="9">
        <v>42051.561805555553</v>
      </c>
      <c r="E708" s="8" t="s">
        <v>93</v>
      </c>
      <c r="F708" s="8">
        <v>16</v>
      </c>
      <c r="G708" s="8" t="s">
        <v>94</v>
      </c>
      <c r="H708" s="8" t="s">
        <v>95</v>
      </c>
      <c r="I708" s="8">
        <v>1</v>
      </c>
      <c r="J708" s="8" t="s">
        <v>95</v>
      </c>
      <c r="K708" s="8">
        <v>1</v>
      </c>
      <c r="L708" s="8" t="s">
        <v>95</v>
      </c>
      <c r="M708" s="8">
        <v>1</v>
      </c>
      <c r="N708" s="8" t="s">
        <v>95</v>
      </c>
      <c r="O708" s="8">
        <v>1</v>
      </c>
      <c r="P708" s="8" t="s">
        <v>95</v>
      </c>
      <c r="Q708" s="8">
        <v>1</v>
      </c>
      <c r="R708" s="8" t="s">
        <v>95</v>
      </c>
      <c r="S708" s="8">
        <v>1</v>
      </c>
      <c r="T708" s="8" t="s">
        <v>95</v>
      </c>
      <c r="U708" s="8">
        <v>1</v>
      </c>
      <c r="V708" s="8" t="s">
        <v>95</v>
      </c>
      <c r="W708" s="8">
        <v>1</v>
      </c>
      <c r="X708" s="8" t="s">
        <v>95</v>
      </c>
      <c r="Y708" s="8">
        <v>1</v>
      </c>
      <c r="Z708" s="8" t="s">
        <v>95</v>
      </c>
      <c r="AA708" s="8">
        <v>1</v>
      </c>
      <c r="AB708" s="8" t="s">
        <v>95</v>
      </c>
      <c r="AC708" s="8">
        <v>1</v>
      </c>
      <c r="AD708" s="8" t="s">
        <v>95</v>
      </c>
      <c r="AE708" s="8">
        <v>1</v>
      </c>
      <c r="AF708" s="8" t="s">
        <v>95</v>
      </c>
      <c r="AG708" s="8">
        <v>1</v>
      </c>
      <c r="AH708" s="8" t="s">
        <v>95</v>
      </c>
      <c r="AI708" s="8">
        <v>1</v>
      </c>
      <c r="AJ708" s="8" t="s">
        <v>95</v>
      </c>
      <c r="AK708" s="8">
        <v>1</v>
      </c>
      <c r="AL708" s="8" t="s">
        <v>95</v>
      </c>
      <c r="AM708" s="8">
        <v>1</v>
      </c>
      <c r="AN708" s="8">
        <v>16</v>
      </c>
    </row>
    <row r="709" spans="1:40" x14ac:dyDescent="0.25">
      <c r="A709" s="8" t="s">
        <v>769</v>
      </c>
      <c r="B709" s="9">
        <v>42033.677777777775</v>
      </c>
      <c r="C709" s="8">
        <v>0</v>
      </c>
      <c r="D709" s="9">
        <v>42051.910416666666</v>
      </c>
      <c r="E709" s="8" t="s">
        <v>93</v>
      </c>
      <c r="F709" s="8">
        <v>8</v>
      </c>
      <c r="G709" s="8" t="s">
        <v>94</v>
      </c>
      <c r="H709" s="8" t="s">
        <v>95</v>
      </c>
      <c r="I709" s="8">
        <v>1</v>
      </c>
      <c r="J709" s="8" t="s">
        <v>95</v>
      </c>
      <c r="K709" s="8">
        <v>1</v>
      </c>
      <c r="L709" s="8" t="s">
        <v>94</v>
      </c>
      <c r="M709" s="8">
        <v>0</v>
      </c>
      <c r="N709" s="8" t="s">
        <v>94</v>
      </c>
      <c r="O709" s="8">
        <v>0</v>
      </c>
      <c r="P709" s="8" t="s">
        <v>94</v>
      </c>
      <c r="Q709" s="8">
        <v>0</v>
      </c>
      <c r="R709" s="8" t="s">
        <v>95</v>
      </c>
      <c r="S709" s="8">
        <v>1</v>
      </c>
      <c r="T709" s="8" t="s">
        <v>94</v>
      </c>
      <c r="U709" s="8">
        <v>0</v>
      </c>
      <c r="V709" s="8" t="s">
        <v>94</v>
      </c>
      <c r="W709" s="8">
        <v>0</v>
      </c>
      <c r="X709" s="8" t="s">
        <v>95</v>
      </c>
      <c r="Y709" s="8">
        <v>1</v>
      </c>
      <c r="Z709" s="8" t="s">
        <v>95</v>
      </c>
      <c r="AA709" s="8">
        <v>1</v>
      </c>
      <c r="AB709" s="8" t="s">
        <v>95</v>
      </c>
      <c r="AC709" s="8">
        <v>1</v>
      </c>
      <c r="AD709" s="8" t="s">
        <v>95</v>
      </c>
      <c r="AE709" s="8">
        <v>1</v>
      </c>
      <c r="AF709" s="8" t="s">
        <v>94</v>
      </c>
      <c r="AG709" s="8">
        <v>0</v>
      </c>
      <c r="AH709" s="8" t="s">
        <v>94</v>
      </c>
      <c r="AI709" s="8">
        <v>0</v>
      </c>
      <c r="AJ709" s="8" t="s">
        <v>95</v>
      </c>
      <c r="AK709" s="8">
        <v>1</v>
      </c>
      <c r="AL709" s="8" t="s">
        <v>94</v>
      </c>
      <c r="AM709" s="8">
        <v>0</v>
      </c>
      <c r="AN709" s="8">
        <v>8</v>
      </c>
    </row>
    <row r="710" spans="1:40" x14ac:dyDescent="0.25">
      <c r="A710" s="8" t="s">
        <v>770</v>
      </c>
      <c r="B710" s="9">
        <v>42033.682638888888</v>
      </c>
      <c r="C710" s="8">
        <v>0</v>
      </c>
      <c r="D710" s="9">
        <v>42051.966666666667</v>
      </c>
      <c r="E710" s="8" t="s">
        <v>93</v>
      </c>
      <c r="F710" s="8">
        <v>16</v>
      </c>
      <c r="G710" s="8" t="s">
        <v>94</v>
      </c>
      <c r="H710" s="8" t="s">
        <v>95</v>
      </c>
      <c r="I710" s="8">
        <v>1</v>
      </c>
      <c r="J710" s="8" t="s">
        <v>95</v>
      </c>
      <c r="K710" s="8">
        <v>1</v>
      </c>
      <c r="L710" s="8" t="s">
        <v>95</v>
      </c>
      <c r="M710" s="8">
        <v>1</v>
      </c>
      <c r="N710" s="8" t="s">
        <v>95</v>
      </c>
      <c r="O710" s="8">
        <v>1</v>
      </c>
      <c r="P710" s="8" t="s">
        <v>95</v>
      </c>
      <c r="Q710" s="8">
        <v>1</v>
      </c>
      <c r="R710" s="8" t="s">
        <v>95</v>
      </c>
      <c r="S710" s="8">
        <v>1</v>
      </c>
      <c r="T710" s="8" t="s">
        <v>95</v>
      </c>
      <c r="U710" s="8">
        <v>1</v>
      </c>
      <c r="V710" s="8" t="s">
        <v>95</v>
      </c>
      <c r="W710" s="8">
        <v>1</v>
      </c>
      <c r="X710" s="8" t="s">
        <v>95</v>
      </c>
      <c r="Y710" s="8">
        <v>1</v>
      </c>
      <c r="Z710" s="8" t="s">
        <v>95</v>
      </c>
      <c r="AA710" s="8">
        <v>1</v>
      </c>
      <c r="AB710" s="8" t="s">
        <v>95</v>
      </c>
      <c r="AC710" s="8">
        <v>1</v>
      </c>
      <c r="AD710" s="8" t="s">
        <v>95</v>
      </c>
      <c r="AE710" s="8">
        <v>1</v>
      </c>
      <c r="AF710" s="8" t="s">
        <v>95</v>
      </c>
      <c r="AG710" s="8">
        <v>1</v>
      </c>
      <c r="AH710" s="8" t="s">
        <v>95</v>
      </c>
      <c r="AI710" s="8">
        <v>1</v>
      </c>
      <c r="AJ710" s="8" t="s">
        <v>95</v>
      </c>
      <c r="AK710" s="8">
        <v>1</v>
      </c>
      <c r="AL710" s="8" t="s">
        <v>95</v>
      </c>
      <c r="AM710" s="8">
        <v>1</v>
      </c>
      <c r="AN710" s="8">
        <v>16</v>
      </c>
    </row>
    <row r="711" spans="1:40" x14ac:dyDescent="0.25">
      <c r="A711" s="8" t="s">
        <v>771</v>
      </c>
      <c r="B711" s="9">
        <v>42033.680555555555</v>
      </c>
      <c r="C711" s="8">
        <v>0</v>
      </c>
      <c r="D711" s="9">
        <v>42052.181250000001</v>
      </c>
      <c r="E711" s="8" t="s">
        <v>93</v>
      </c>
      <c r="F711" s="8">
        <v>16</v>
      </c>
      <c r="G711" s="8" t="s">
        <v>94</v>
      </c>
      <c r="H711" s="8" t="s">
        <v>95</v>
      </c>
      <c r="I711" s="8">
        <v>1</v>
      </c>
      <c r="J711" s="8" t="s">
        <v>95</v>
      </c>
      <c r="K711" s="8">
        <v>1</v>
      </c>
      <c r="L711" s="8" t="s">
        <v>95</v>
      </c>
      <c r="M711" s="8">
        <v>1</v>
      </c>
      <c r="N711" s="8" t="s">
        <v>95</v>
      </c>
      <c r="O711" s="8">
        <v>1</v>
      </c>
      <c r="P711" s="8" t="s">
        <v>95</v>
      </c>
      <c r="Q711" s="8">
        <v>1</v>
      </c>
      <c r="R711" s="8" t="s">
        <v>95</v>
      </c>
      <c r="S711" s="8">
        <v>1</v>
      </c>
      <c r="T711" s="8" t="s">
        <v>95</v>
      </c>
      <c r="U711" s="8">
        <v>1</v>
      </c>
      <c r="V711" s="8" t="s">
        <v>95</v>
      </c>
      <c r="W711" s="8">
        <v>1</v>
      </c>
      <c r="X711" s="8" t="s">
        <v>95</v>
      </c>
      <c r="Y711" s="8">
        <v>1</v>
      </c>
      <c r="Z711" s="8" t="s">
        <v>95</v>
      </c>
      <c r="AA711" s="8">
        <v>1</v>
      </c>
      <c r="AB711" s="8" t="s">
        <v>95</v>
      </c>
      <c r="AC711" s="8">
        <v>1</v>
      </c>
      <c r="AD711" s="8" t="s">
        <v>95</v>
      </c>
      <c r="AE711" s="8">
        <v>1</v>
      </c>
      <c r="AF711" s="8" t="s">
        <v>95</v>
      </c>
      <c r="AG711" s="8">
        <v>1</v>
      </c>
      <c r="AH711" s="8" t="s">
        <v>95</v>
      </c>
      <c r="AI711" s="8">
        <v>1</v>
      </c>
      <c r="AJ711" s="8" t="s">
        <v>95</v>
      </c>
      <c r="AK711" s="8">
        <v>1</v>
      </c>
      <c r="AL711" s="8" t="s">
        <v>95</v>
      </c>
      <c r="AM711" s="8">
        <v>1</v>
      </c>
      <c r="AN711" s="8">
        <v>16</v>
      </c>
    </row>
    <row r="712" spans="1:40" x14ac:dyDescent="0.25">
      <c r="A712" s="8" t="s">
        <v>772</v>
      </c>
      <c r="B712" s="9">
        <v>42033.665972222225</v>
      </c>
      <c r="C712" s="8">
        <v>0</v>
      </c>
      <c r="D712" s="9">
        <v>42052.289583333331</v>
      </c>
      <c r="E712" s="8" t="s">
        <v>93</v>
      </c>
      <c r="F712" s="8">
        <v>16</v>
      </c>
      <c r="G712" s="8" t="s">
        <v>94</v>
      </c>
      <c r="H712" s="8" t="s">
        <v>95</v>
      </c>
      <c r="I712" s="8">
        <v>1</v>
      </c>
      <c r="J712" s="8" t="s">
        <v>95</v>
      </c>
      <c r="K712" s="8">
        <v>1</v>
      </c>
      <c r="L712" s="8" t="s">
        <v>95</v>
      </c>
      <c r="M712" s="8">
        <v>1</v>
      </c>
      <c r="N712" s="8" t="s">
        <v>95</v>
      </c>
      <c r="O712" s="8">
        <v>1</v>
      </c>
      <c r="P712" s="8" t="s">
        <v>95</v>
      </c>
      <c r="Q712" s="8">
        <v>1</v>
      </c>
      <c r="R712" s="8" t="s">
        <v>95</v>
      </c>
      <c r="S712" s="8">
        <v>1</v>
      </c>
      <c r="T712" s="8" t="s">
        <v>95</v>
      </c>
      <c r="U712" s="8">
        <v>1</v>
      </c>
      <c r="V712" s="8" t="s">
        <v>95</v>
      </c>
      <c r="W712" s="8">
        <v>1</v>
      </c>
      <c r="X712" s="8" t="s">
        <v>95</v>
      </c>
      <c r="Y712" s="8">
        <v>1</v>
      </c>
      <c r="Z712" s="8" t="s">
        <v>95</v>
      </c>
      <c r="AA712" s="8">
        <v>1</v>
      </c>
      <c r="AB712" s="8" t="s">
        <v>95</v>
      </c>
      <c r="AC712" s="8">
        <v>1</v>
      </c>
      <c r="AD712" s="8" t="s">
        <v>95</v>
      </c>
      <c r="AE712" s="8">
        <v>1</v>
      </c>
      <c r="AF712" s="8" t="s">
        <v>95</v>
      </c>
      <c r="AG712" s="8">
        <v>1</v>
      </c>
      <c r="AH712" s="8" t="s">
        <v>95</v>
      </c>
      <c r="AI712" s="8">
        <v>1</v>
      </c>
      <c r="AJ712" s="8" t="s">
        <v>95</v>
      </c>
      <c r="AK712" s="8">
        <v>1</v>
      </c>
      <c r="AL712" s="8" t="s">
        <v>95</v>
      </c>
      <c r="AM712" s="8">
        <v>1</v>
      </c>
      <c r="AN712" s="8">
        <v>16</v>
      </c>
    </row>
    <row r="713" spans="1:40" x14ac:dyDescent="0.25">
      <c r="A713" s="8" t="s">
        <v>773</v>
      </c>
      <c r="B713" s="9">
        <v>42033.679861111108</v>
      </c>
      <c r="C713" s="8">
        <v>0</v>
      </c>
      <c r="D713" s="9">
        <v>42052.347916666666</v>
      </c>
      <c r="E713" s="8" t="s">
        <v>93</v>
      </c>
      <c r="F713" s="8">
        <v>15</v>
      </c>
      <c r="G713" s="8" t="s">
        <v>94</v>
      </c>
      <c r="H713" s="8" t="s">
        <v>95</v>
      </c>
      <c r="I713" s="8">
        <v>1</v>
      </c>
      <c r="J713" s="8" t="s">
        <v>95</v>
      </c>
      <c r="K713" s="8">
        <v>1</v>
      </c>
      <c r="L713" s="8" t="s">
        <v>95</v>
      </c>
      <c r="M713" s="8">
        <v>1</v>
      </c>
      <c r="N713" s="8" t="s">
        <v>95</v>
      </c>
      <c r="O713" s="8">
        <v>1</v>
      </c>
      <c r="P713" s="8" t="s">
        <v>95</v>
      </c>
      <c r="Q713" s="8">
        <v>1</v>
      </c>
      <c r="R713" s="8" t="s">
        <v>94</v>
      </c>
      <c r="S713" s="8">
        <v>0</v>
      </c>
      <c r="T713" s="8" t="s">
        <v>95</v>
      </c>
      <c r="U713" s="8">
        <v>1</v>
      </c>
      <c r="V713" s="8" t="s">
        <v>95</v>
      </c>
      <c r="W713" s="8">
        <v>1</v>
      </c>
      <c r="X713" s="8" t="s">
        <v>95</v>
      </c>
      <c r="Y713" s="8">
        <v>1</v>
      </c>
      <c r="Z713" s="8" t="s">
        <v>95</v>
      </c>
      <c r="AA713" s="8">
        <v>1</v>
      </c>
      <c r="AB713" s="8" t="s">
        <v>95</v>
      </c>
      <c r="AC713" s="8">
        <v>1</v>
      </c>
      <c r="AD713" s="8" t="s">
        <v>95</v>
      </c>
      <c r="AE713" s="8">
        <v>1</v>
      </c>
      <c r="AF713" s="8" t="s">
        <v>95</v>
      </c>
      <c r="AG713" s="8">
        <v>1</v>
      </c>
      <c r="AH713" s="8" t="s">
        <v>95</v>
      </c>
      <c r="AI713" s="8">
        <v>1</v>
      </c>
      <c r="AJ713" s="8" t="s">
        <v>95</v>
      </c>
      <c r="AK713" s="8">
        <v>1</v>
      </c>
      <c r="AL713" s="8" t="s">
        <v>95</v>
      </c>
      <c r="AM713" s="8">
        <v>1</v>
      </c>
      <c r="AN713" s="8">
        <v>15</v>
      </c>
    </row>
    <row r="714" spans="1:40" x14ac:dyDescent="0.25">
      <c r="A714" s="8" t="s">
        <v>774</v>
      </c>
      <c r="B714" s="9">
        <v>42033.684027777781</v>
      </c>
      <c r="C714" s="8">
        <v>0</v>
      </c>
      <c r="D714" s="9">
        <v>42052.788888888892</v>
      </c>
      <c r="E714" s="8" t="s">
        <v>93</v>
      </c>
      <c r="F714" s="8">
        <v>11</v>
      </c>
      <c r="G714" s="8" t="s">
        <v>94</v>
      </c>
      <c r="H714" s="8" t="s">
        <v>95</v>
      </c>
      <c r="I714" s="8">
        <v>1</v>
      </c>
      <c r="J714" s="8" t="s">
        <v>95</v>
      </c>
      <c r="K714" s="8">
        <v>1</v>
      </c>
      <c r="L714" s="8" t="s">
        <v>94</v>
      </c>
      <c r="M714" s="8">
        <v>0</v>
      </c>
      <c r="N714" s="8" t="s">
        <v>94</v>
      </c>
      <c r="O714" s="8">
        <v>0</v>
      </c>
      <c r="P714" s="8" t="s">
        <v>95</v>
      </c>
      <c r="Q714" s="8">
        <v>1</v>
      </c>
      <c r="R714" s="8" t="s">
        <v>94</v>
      </c>
      <c r="S714" s="8">
        <v>0</v>
      </c>
      <c r="T714" s="8" t="s">
        <v>95</v>
      </c>
      <c r="U714" s="8">
        <v>1</v>
      </c>
      <c r="V714" s="8" t="s">
        <v>95</v>
      </c>
      <c r="W714" s="8">
        <v>1</v>
      </c>
      <c r="X714" s="8" t="s">
        <v>94</v>
      </c>
      <c r="Y714" s="8">
        <v>0</v>
      </c>
      <c r="Z714" s="8" t="s">
        <v>95</v>
      </c>
      <c r="AA714" s="8">
        <v>1</v>
      </c>
      <c r="AB714" s="8" t="s">
        <v>95</v>
      </c>
      <c r="AC714" s="8">
        <v>1</v>
      </c>
      <c r="AD714" s="8" t="s">
        <v>95</v>
      </c>
      <c r="AE714" s="8">
        <v>1</v>
      </c>
      <c r="AF714" s="8" t="s">
        <v>95</v>
      </c>
      <c r="AG714" s="8">
        <v>1</v>
      </c>
      <c r="AH714" s="8" t="s">
        <v>95</v>
      </c>
      <c r="AI714" s="8">
        <v>1</v>
      </c>
      <c r="AJ714" s="8" t="s">
        <v>95</v>
      </c>
      <c r="AK714" s="8">
        <v>1</v>
      </c>
      <c r="AL714" s="8" t="s">
        <v>94</v>
      </c>
      <c r="AM714" s="8">
        <v>0</v>
      </c>
      <c r="AN714" s="8">
        <v>11</v>
      </c>
    </row>
    <row r="715" spans="1:40" x14ac:dyDescent="0.25">
      <c r="A715" s="8" t="s">
        <v>775</v>
      </c>
      <c r="B715" s="9">
        <v>42033.658333333333</v>
      </c>
      <c r="C715" s="8">
        <v>0</v>
      </c>
      <c r="D715" s="9">
        <v>42055.328472222223</v>
      </c>
      <c r="E715" s="8" t="s">
        <v>93</v>
      </c>
      <c r="F715" s="8">
        <v>16</v>
      </c>
      <c r="G715" s="8" t="s">
        <v>94</v>
      </c>
      <c r="H715" s="8" t="s">
        <v>95</v>
      </c>
      <c r="I715" s="8">
        <v>1</v>
      </c>
      <c r="J715" s="8" t="s">
        <v>95</v>
      </c>
      <c r="K715" s="8">
        <v>1</v>
      </c>
      <c r="L715" s="8" t="s">
        <v>95</v>
      </c>
      <c r="M715" s="8">
        <v>1</v>
      </c>
      <c r="N715" s="8" t="s">
        <v>95</v>
      </c>
      <c r="O715" s="8">
        <v>1</v>
      </c>
      <c r="P715" s="8" t="s">
        <v>95</v>
      </c>
      <c r="Q715" s="8">
        <v>1</v>
      </c>
      <c r="R715" s="8" t="s">
        <v>95</v>
      </c>
      <c r="S715" s="8">
        <v>1</v>
      </c>
      <c r="T715" s="8" t="s">
        <v>95</v>
      </c>
      <c r="U715" s="8">
        <v>1</v>
      </c>
      <c r="V715" s="8" t="s">
        <v>95</v>
      </c>
      <c r="W715" s="8">
        <v>1</v>
      </c>
      <c r="X715" s="8" t="s">
        <v>95</v>
      </c>
      <c r="Y715" s="8">
        <v>1</v>
      </c>
      <c r="Z715" s="8" t="s">
        <v>95</v>
      </c>
      <c r="AA715" s="8">
        <v>1</v>
      </c>
      <c r="AB715" s="8" t="s">
        <v>95</v>
      </c>
      <c r="AC715" s="8">
        <v>1</v>
      </c>
      <c r="AD715" s="8" t="s">
        <v>95</v>
      </c>
      <c r="AE715" s="8">
        <v>1</v>
      </c>
      <c r="AF715" s="8" t="s">
        <v>95</v>
      </c>
      <c r="AG715" s="8">
        <v>1</v>
      </c>
      <c r="AH715" s="8" t="s">
        <v>95</v>
      </c>
      <c r="AI715" s="8">
        <v>1</v>
      </c>
      <c r="AJ715" s="8" t="s">
        <v>95</v>
      </c>
      <c r="AK715" s="8">
        <v>1</v>
      </c>
      <c r="AL715" s="8" t="s">
        <v>95</v>
      </c>
      <c r="AM715" s="8">
        <v>1</v>
      </c>
      <c r="AN715" s="8">
        <v>16</v>
      </c>
    </row>
    <row r="716" spans="1:40" x14ac:dyDescent="0.25">
      <c r="A716" s="8" t="s">
        <v>776</v>
      </c>
      <c r="B716" s="9">
        <v>42033.658333333333</v>
      </c>
      <c r="C716" s="8">
        <v>0</v>
      </c>
      <c r="D716" s="9">
        <v>42055.328472222223</v>
      </c>
      <c r="E716" s="8" t="s">
        <v>93</v>
      </c>
      <c r="F716" s="8">
        <v>0</v>
      </c>
      <c r="G716" s="8" t="s">
        <v>94</v>
      </c>
      <c r="H716" s="8" t="s">
        <v>94</v>
      </c>
      <c r="I716" s="8">
        <v>0</v>
      </c>
      <c r="J716" s="8" t="s">
        <v>94</v>
      </c>
      <c r="K716" s="8">
        <v>0</v>
      </c>
      <c r="L716" s="8" t="s">
        <v>94</v>
      </c>
      <c r="M716" s="8">
        <v>0</v>
      </c>
      <c r="N716" s="8" t="s">
        <v>94</v>
      </c>
      <c r="O716" s="8">
        <v>0</v>
      </c>
      <c r="P716" s="8" t="s">
        <v>94</v>
      </c>
      <c r="Q716" s="8">
        <v>0</v>
      </c>
      <c r="R716" s="8" t="s">
        <v>94</v>
      </c>
      <c r="S716" s="8">
        <v>0</v>
      </c>
      <c r="T716" s="8" t="s">
        <v>94</v>
      </c>
      <c r="U716" s="8">
        <v>0</v>
      </c>
      <c r="V716" s="8" t="s">
        <v>94</v>
      </c>
      <c r="W716" s="8">
        <v>0</v>
      </c>
      <c r="X716" s="8" t="s">
        <v>94</v>
      </c>
      <c r="Y716" s="8">
        <v>0</v>
      </c>
      <c r="Z716" s="8" t="s">
        <v>94</v>
      </c>
      <c r="AA716" s="8">
        <v>0</v>
      </c>
      <c r="AB716" s="8" t="s">
        <v>94</v>
      </c>
      <c r="AC716" s="8">
        <v>0</v>
      </c>
      <c r="AD716" s="8" t="s">
        <v>94</v>
      </c>
      <c r="AE716" s="8">
        <v>0</v>
      </c>
      <c r="AF716" s="8" t="s">
        <v>94</v>
      </c>
      <c r="AG716" s="8">
        <v>0</v>
      </c>
      <c r="AH716" s="8" t="s">
        <v>94</v>
      </c>
      <c r="AI716" s="8">
        <v>0</v>
      </c>
      <c r="AJ716" s="8" t="s">
        <v>94</v>
      </c>
      <c r="AK716" s="8">
        <v>0</v>
      </c>
      <c r="AL716" s="8" t="s">
        <v>94</v>
      </c>
      <c r="AM716" s="8">
        <v>0</v>
      </c>
      <c r="AN716" s="8">
        <v>0</v>
      </c>
    </row>
    <row r="717" spans="1:40" x14ac:dyDescent="0.25">
      <c r="A717" s="8" t="s">
        <v>777</v>
      </c>
      <c r="B717" s="9">
        <v>42033.65902777778</v>
      </c>
      <c r="C717" s="8">
        <v>0</v>
      </c>
      <c r="D717" s="9">
        <v>42055.333333333336</v>
      </c>
      <c r="E717" s="8" t="s">
        <v>93</v>
      </c>
      <c r="F717" s="8">
        <v>6</v>
      </c>
      <c r="G717" s="8" t="s">
        <v>94</v>
      </c>
      <c r="H717" s="8" t="s">
        <v>94</v>
      </c>
      <c r="I717" s="8">
        <v>0</v>
      </c>
      <c r="J717" s="8" t="s">
        <v>95</v>
      </c>
      <c r="K717" s="8">
        <v>1</v>
      </c>
      <c r="L717" s="8" t="s">
        <v>94</v>
      </c>
      <c r="M717" s="8">
        <v>0</v>
      </c>
      <c r="N717" s="8" t="s">
        <v>94</v>
      </c>
      <c r="O717" s="8">
        <v>0</v>
      </c>
      <c r="P717" s="8" t="s">
        <v>94</v>
      </c>
      <c r="Q717" s="8">
        <v>0</v>
      </c>
      <c r="R717" s="8" t="s">
        <v>94</v>
      </c>
      <c r="S717" s="8">
        <v>0</v>
      </c>
      <c r="T717" s="8" t="s">
        <v>94</v>
      </c>
      <c r="U717" s="8">
        <v>0</v>
      </c>
      <c r="V717" s="8" t="s">
        <v>95</v>
      </c>
      <c r="W717" s="8">
        <v>1</v>
      </c>
      <c r="X717" s="8" t="s">
        <v>95</v>
      </c>
      <c r="Y717" s="8">
        <v>1</v>
      </c>
      <c r="Z717" s="8" t="s">
        <v>95</v>
      </c>
      <c r="AA717" s="8">
        <v>1</v>
      </c>
      <c r="AB717" s="8" t="s">
        <v>95</v>
      </c>
      <c r="AC717" s="8">
        <v>1</v>
      </c>
      <c r="AD717" s="8" t="s">
        <v>95</v>
      </c>
      <c r="AE717" s="8">
        <v>1</v>
      </c>
      <c r="AF717" s="8" t="s">
        <v>94</v>
      </c>
      <c r="AG717" s="8">
        <v>0</v>
      </c>
      <c r="AH717" s="8" t="s">
        <v>94</v>
      </c>
      <c r="AI717" s="8">
        <v>0</v>
      </c>
      <c r="AJ717" s="8" t="s">
        <v>94</v>
      </c>
      <c r="AK717" s="8">
        <v>0</v>
      </c>
      <c r="AL717" s="8" t="s">
        <v>94</v>
      </c>
      <c r="AM717" s="8">
        <v>0</v>
      </c>
      <c r="AN717" s="8">
        <v>6</v>
      </c>
    </row>
    <row r="718" spans="1:40" x14ac:dyDescent="0.25">
      <c r="A718" s="8" t="s">
        <v>778</v>
      </c>
      <c r="B718" s="9">
        <v>42033.658333333333</v>
      </c>
      <c r="C718" s="8">
        <v>0</v>
      </c>
      <c r="D718" s="9">
        <v>42055.334027777775</v>
      </c>
      <c r="E718" s="8" t="s">
        <v>93</v>
      </c>
      <c r="F718" s="8">
        <v>13</v>
      </c>
      <c r="G718" s="8" t="s">
        <v>94</v>
      </c>
      <c r="H718" s="8" t="s">
        <v>94</v>
      </c>
      <c r="I718" s="8">
        <v>0</v>
      </c>
      <c r="J718" s="8" t="s">
        <v>95</v>
      </c>
      <c r="K718" s="8">
        <v>1</v>
      </c>
      <c r="L718" s="8" t="s">
        <v>95</v>
      </c>
      <c r="M718" s="8">
        <v>1</v>
      </c>
      <c r="N718" s="8" t="s">
        <v>94</v>
      </c>
      <c r="O718" s="8">
        <v>0</v>
      </c>
      <c r="P718" s="8" t="s">
        <v>94</v>
      </c>
      <c r="Q718" s="8">
        <v>0</v>
      </c>
      <c r="R718" s="8" t="s">
        <v>95</v>
      </c>
      <c r="S718" s="8">
        <v>1</v>
      </c>
      <c r="T718" s="8" t="s">
        <v>95</v>
      </c>
      <c r="U718" s="8">
        <v>1</v>
      </c>
      <c r="V718" s="8" t="s">
        <v>95</v>
      </c>
      <c r="W718" s="8">
        <v>1</v>
      </c>
      <c r="X718" s="8" t="s">
        <v>95</v>
      </c>
      <c r="Y718" s="8">
        <v>1</v>
      </c>
      <c r="Z718" s="8" t="s">
        <v>95</v>
      </c>
      <c r="AA718" s="8">
        <v>1</v>
      </c>
      <c r="AB718" s="8" t="s">
        <v>95</v>
      </c>
      <c r="AC718" s="8">
        <v>1</v>
      </c>
      <c r="AD718" s="8" t="s">
        <v>95</v>
      </c>
      <c r="AE718" s="8">
        <v>1</v>
      </c>
      <c r="AF718" s="8" t="s">
        <v>95</v>
      </c>
      <c r="AG718" s="8">
        <v>1</v>
      </c>
      <c r="AH718" s="8" t="s">
        <v>95</v>
      </c>
      <c r="AI718" s="8">
        <v>1</v>
      </c>
      <c r="AJ718" s="8" t="s">
        <v>95</v>
      </c>
      <c r="AK718" s="8">
        <v>1</v>
      </c>
      <c r="AL718" s="8" t="s">
        <v>95</v>
      </c>
      <c r="AM718" s="8">
        <v>1</v>
      </c>
      <c r="AN718" s="8">
        <v>13</v>
      </c>
    </row>
    <row r="719" spans="1:40" x14ac:dyDescent="0.25">
      <c r="A719" s="8" t="s">
        <v>779</v>
      </c>
      <c r="B719" s="9">
        <v>42033.680555555555</v>
      </c>
      <c r="C719" s="8">
        <v>0</v>
      </c>
      <c r="D719" s="9">
        <v>42055.34375</v>
      </c>
      <c r="E719" s="8" t="s">
        <v>93</v>
      </c>
      <c r="F719" s="8">
        <v>16</v>
      </c>
      <c r="G719" s="8" t="s">
        <v>94</v>
      </c>
      <c r="H719" s="8" t="s">
        <v>95</v>
      </c>
      <c r="I719" s="8">
        <v>1</v>
      </c>
      <c r="J719" s="8" t="s">
        <v>95</v>
      </c>
      <c r="K719" s="8">
        <v>1</v>
      </c>
      <c r="L719" s="8" t="s">
        <v>95</v>
      </c>
      <c r="M719" s="8">
        <v>1</v>
      </c>
      <c r="N719" s="8" t="s">
        <v>95</v>
      </c>
      <c r="O719" s="8">
        <v>1</v>
      </c>
      <c r="P719" s="8" t="s">
        <v>95</v>
      </c>
      <c r="Q719" s="8">
        <v>1</v>
      </c>
      <c r="R719" s="8" t="s">
        <v>95</v>
      </c>
      <c r="S719" s="8">
        <v>1</v>
      </c>
      <c r="T719" s="8" t="s">
        <v>95</v>
      </c>
      <c r="U719" s="8">
        <v>1</v>
      </c>
      <c r="V719" s="8" t="s">
        <v>95</v>
      </c>
      <c r="W719" s="8">
        <v>1</v>
      </c>
      <c r="X719" s="8" t="s">
        <v>95</v>
      </c>
      <c r="Y719" s="8">
        <v>1</v>
      </c>
      <c r="Z719" s="8" t="s">
        <v>95</v>
      </c>
      <c r="AA719" s="8">
        <v>1</v>
      </c>
      <c r="AB719" s="8" t="s">
        <v>95</v>
      </c>
      <c r="AC719" s="8">
        <v>1</v>
      </c>
      <c r="AD719" s="8" t="s">
        <v>95</v>
      </c>
      <c r="AE719" s="8">
        <v>1</v>
      </c>
      <c r="AF719" s="8" t="s">
        <v>95</v>
      </c>
      <c r="AG719" s="8">
        <v>1</v>
      </c>
      <c r="AH719" s="8" t="s">
        <v>95</v>
      </c>
      <c r="AI719" s="8">
        <v>1</v>
      </c>
      <c r="AJ719" s="8" t="s">
        <v>95</v>
      </c>
      <c r="AK719" s="8">
        <v>1</v>
      </c>
      <c r="AL719" s="8" t="s">
        <v>95</v>
      </c>
      <c r="AM719" s="8">
        <v>1</v>
      </c>
      <c r="AN719" s="8">
        <v>16</v>
      </c>
    </row>
    <row r="720" spans="1:40" x14ac:dyDescent="0.25">
      <c r="A720" s="8" t="s">
        <v>780</v>
      </c>
      <c r="B720" s="9">
        <v>42033.678472222222</v>
      </c>
      <c r="C720" s="8">
        <v>0</v>
      </c>
      <c r="D720" s="9">
        <v>42055.34652777778</v>
      </c>
      <c r="E720" s="8" t="s">
        <v>93</v>
      </c>
      <c r="F720" s="8">
        <v>12</v>
      </c>
      <c r="G720" s="8" t="s">
        <v>94</v>
      </c>
      <c r="H720" s="8" t="s">
        <v>95</v>
      </c>
      <c r="I720" s="8">
        <v>1</v>
      </c>
      <c r="J720" s="8" t="s">
        <v>95</v>
      </c>
      <c r="K720" s="8">
        <v>1</v>
      </c>
      <c r="L720" s="8" t="s">
        <v>95</v>
      </c>
      <c r="M720" s="8">
        <v>1</v>
      </c>
      <c r="N720" s="8" t="s">
        <v>95</v>
      </c>
      <c r="O720" s="8">
        <v>1</v>
      </c>
      <c r="P720" s="8" t="s">
        <v>94</v>
      </c>
      <c r="Q720" s="8">
        <v>0</v>
      </c>
      <c r="R720" s="8" t="s">
        <v>95</v>
      </c>
      <c r="S720" s="8">
        <v>1</v>
      </c>
      <c r="T720" s="8" t="s">
        <v>94</v>
      </c>
      <c r="U720" s="8">
        <v>0</v>
      </c>
      <c r="V720" s="8" t="s">
        <v>94</v>
      </c>
      <c r="W720" s="8">
        <v>0</v>
      </c>
      <c r="X720" s="8" t="s">
        <v>95</v>
      </c>
      <c r="Y720" s="8">
        <v>1</v>
      </c>
      <c r="Z720" s="8" t="s">
        <v>95</v>
      </c>
      <c r="AA720" s="8">
        <v>1</v>
      </c>
      <c r="AB720" s="8" t="s">
        <v>95</v>
      </c>
      <c r="AC720" s="8">
        <v>1</v>
      </c>
      <c r="AD720" s="8" t="s">
        <v>95</v>
      </c>
      <c r="AE720" s="8">
        <v>1</v>
      </c>
      <c r="AF720" s="8" t="s">
        <v>95</v>
      </c>
      <c r="AG720" s="8">
        <v>1</v>
      </c>
      <c r="AH720" s="8" t="s">
        <v>94</v>
      </c>
      <c r="AI720" s="8">
        <v>0</v>
      </c>
      <c r="AJ720" s="8" t="s">
        <v>95</v>
      </c>
      <c r="AK720" s="8">
        <v>1</v>
      </c>
      <c r="AL720" s="8" t="s">
        <v>95</v>
      </c>
      <c r="AM720" s="8">
        <v>1</v>
      </c>
      <c r="AN720" s="8">
        <v>12</v>
      </c>
    </row>
    <row r="721" spans="1:40" x14ac:dyDescent="0.25">
      <c r="A721" s="8" t="s">
        <v>781</v>
      </c>
      <c r="B721" s="9">
        <v>42033.659722222219</v>
      </c>
      <c r="C721" s="8">
        <v>0</v>
      </c>
      <c r="D721" s="9">
        <v>42055.34652777778</v>
      </c>
      <c r="E721" s="8" t="s">
        <v>93</v>
      </c>
      <c r="F721" s="8">
        <v>9</v>
      </c>
      <c r="G721" s="8" t="s">
        <v>94</v>
      </c>
      <c r="H721" s="8" t="s">
        <v>95</v>
      </c>
      <c r="I721" s="8">
        <v>1</v>
      </c>
      <c r="J721" s="8" t="s">
        <v>95</v>
      </c>
      <c r="K721" s="8">
        <v>1</v>
      </c>
      <c r="L721" s="8" t="s">
        <v>95</v>
      </c>
      <c r="M721" s="8">
        <v>1</v>
      </c>
      <c r="N721" s="8" t="s">
        <v>95</v>
      </c>
      <c r="O721" s="8">
        <v>1</v>
      </c>
      <c r="P721" s="8" t="s">
        <v>94</v>
      </c>
      <c r="Q721" s="8">
        <v>0</v>
      </c>
      <c r="R721" s="8" t="s">
        <v>95</v>
      </c>
      <c r="S721" s="8">
        <v>1</v>
      </c>
      <c r="T721" s="8" t="s">
        <v>94</v>
      </c>
      <c r="U721" s="8">
        <v>0</v>
      </c>
      <c r="V721" s="8" t="s">
        <v>94</v>
      </c>
      <c r="W721" s="8">
        <v>0</v>
      </c>
      <c r="X721" s="8" t="s">
        <v>95</v>
      </c>
      <c r="Y721" s="8">
        <v>1</v>
      </c>
      <c r="Z721" s="8" t="s">
        <v>95</v>
      </c>
      <c r="AA721" s="8">
        <v>1</v>
      </c>
      <c r="AB721" s="8" t="s">
        <v>95</v>
      </c>
      <c r="AC721" s="8">
        <v>1</v>
      </c>
      <c r="AD721" s="8" t="s">
        <v>94</v>
      </c>
      <c r="AE721" s="8">
        <v>0</v>
      </c>
      <c r="AF721" s="8" t="s">
        <v>94</v>
      </c>
      <c r="AG721" s="8">
        <v>0</v>
      </c>
      <c r="AH721" s="8" t="s">
        <v>94</v>
      </c>
      <c r="AI721" s="8">
        <v>0</v>
      </c>
      <c r="AJ721" s="8" t="s">
        <v>95</v>
      </c>
      <c r="AK721" s="8">
        <v>1</v>
      </c>
      <c r="AL721" s="8" t="s">
        <v>94</v>
      </c>
      <c r="AM721" s="8">
        <v>0</v>
      </c>
      <c r="AN721" s="8">
        <v>9</v>
      </c>
    </row>
    <row r="722" spans="1:40" x14ac:dyDescent="0.25">
      <c r="A722" s="8" t="s">
        <v>782</v>
      </c>
      <c r="B722" s="9">
        <v>42033.679166666669</v>
      </c>
      <c r="C722" s="8">
        <v>0</v>
      </c>
      <c r="D722" s="9">
        <v>42055.347916666666</v>
      </c>
      <c r="E722" s="8" t="s">
        <v>93</v>
      </c>
      <c r="F722" s="8">
        <v>10</v>
      </c>
      <c r="G722" s="8" t="s">
        <v>94</v>
      </c>
      <c r="H722" s="8" t="s">
        <v>95</v>
      </c>
      <c r="I722" s="8">
        <v>1</v>
      </c>
      <c r="J722" s="8" t="s">
        <v>95</v>
      </c>
      <c r="K722" s="8">
        <v>1</v>
      </c>
      <c r="L722" s="8" t="s">
        <v>95</v>
      </c>
      <c r="M722" s="8">
        <v>1</v>
      </c>
      <c r="N722" s="8" t="s">
        <v>95</v>
      </c>
      <c r="O722" s="8">
        <v>1</v>
      </c>
      <c r="P722" s="8" t="s">
        <v>94</v>
      </c>
      <c r="Q722" s="8">
        <v>0</v>
      </c>
      <c r="R722" s="8" t="s">
        <v>94</v>
      </c>
      <c r="S722" s="8">
        <v>0</v>
      </c>
      <c r="T722" s="8" t="s">
        <v>94</v>
      </c>
      <c r="U722" s="8">
        <v>0</v>
      </c>
      <c r="V722" s="8" t="s">
        <v>95</v>
      </c>
      <c r="W722" s="8">
        <v>1</v>
      </c>
      <c r="X722" s="8" t="s">
        <v>95</v>
      </c>
      <c r="Y722" s="8">
        <v>1</v>
      </c>
      <c r="Z722" s="8" t="s">
        <v>95</v>
      </c>
      <c r="AA722" s="8">
        <v>1</v>
      </c>
      <c r="AB722" s="8" t="s">
        <v>95</v>
      </c>
      <c r="AC722" s="8">
        <v>1</v>
      </c>
      <c r="AD722" s="8" t="s">
        <v>95</v>
      </c>
      <c r="AE722" s="8">
        <v>1</v>
      </c>
      <c r="AF722" s="8" t="s">
        <v>94</v>
      </c>
      <c r="AG722" s="8">
        <v>0</v>
      </c>
      <c r="AH722" s="8" t="s">
        <v>94</v>
      </c>
      <c r="AI722" s="8">
        <v>0</v>
      </c>
      <c r="AJ722" s="8" t="s">
        <v>95</v>
      </c>
      <c r="AK722" s="8">
        <v>1</v>
      </c>
      <c r="AL722" s="8" t="s">
        <v>94</v>
      </c>
      <c r="AM722" s="8">
        <v>0</v>
      </c>
      <c r="AN722" s="8">
        <v>10</v>
      </c>
    </row>
    <row r="723" spans="1:40" x14ac:dyDescent="0.25">
      <c r="A723" s="8" t="s">
        <v>783</v>
      </c>
      <c r="B723" s="9">
        <v>42033.663194444445</v>
      </c>
      <c r="C723" s="8">
        <v>0</v>
      </c>
      <c r="D723" s="9">
        <v>42055.349305555559</v>
      </c>
      <c r="E723" s="8" t="s">
        <v>93</v>
      </c>
      <c r="F723" s="8">
        <v>5</v>
      </c>
      <c r="G723" s="8" t="s">
        <v>94</v>
      </c>
      <c r="H723" s="8" t="s">
        <v>94</v>
      </c>
      <c r="I723" s="8">
        <v>0</v>
      </c>
      <c r="J723" s="8" t="s">
        <v>94</v>
      </c>
      <c r="K723" s="8">
        <v>0</v>
      </c>
      <c r="L723" s="8" t="s">
        <v>94</v>
      </c>
      <c r="M723" s="8">
        <v>0</v>
      </c>
      <c r="N723" s="8" t="s">
        <v>94</v>
      </c>
      <c r="O723" s="8">
        <v>0</v>
      </c>
      <c r="P723" s="8" t="s">
        <v>94</v>
      </c>
      <c r="Q723" s="8">
        <v>0</v>
      </c>
      <c r="R723" s="8" t="s">
        <v>95</v>
      </c>
      <c r="S723" s="8">
        <v>1</v>
      </c>
      <c r="T723" s="8" t="s">
        <v>94</v>
      </c>
      <c r="U723" s="8">
        <v>0</v>
      </c>
      <c r="V723" s="8" t="s">
        <v>94</v>
      </c>
      <c r="W723" s="8">
        <v>0</v>
      </c>
      <c r="X723" s="8" t="s">
        <v>94</v>
      </c>
      <c r="Y723" s="8">
        <v>0</v>
      </c>
      <c r="Z723" s="8" t="s">
        <v>94</v>
      </c>
      <c r="AA723" s="8">
        <v>0</v>
      </c>
      <c r="AB723" s="8" t="s">
        <v>94</v>
      </c>
      <c r="AC723" s="8">
        <v>0</v>
      </c>
      <c r="AD723" s="8" t="s">
        <v>94</v>
      </c>
      <c r="AE723" s="8">
        <v>0</v>
      </c>
      <c r="AF723" s="8" t="s">
        <v>95</v>
      </c>
      <c r="AG723" s="8">
        <v>1</v>
      </c>
      <c r="AH723" s="8" t="s">
        <v>95</v>
      </c>
      <c r="AI723" s="8">
        <v>1</v>
      </c>
      <c r="AJ723" s="8" t="s">
        <v>95</v>
      </c>
      <c r="AK723" s="8">
        <v>1</v>
      </c>
      <c r="AL723" s="8" t="s">
        <v>95</v>
      </c>
      <c r="AM723" s="8">
        <v>1</v>
      </c>
      <c r="AN723" s="8">
        <v>5</v>
      </c>
    </row>
    <row r="724" spans="1:40" x14ac:dyDescent="0.25">
      <c r="A724" s="8" t="s">
        <v>784</v>
      </c>
      <c r="B724" s="9">
        <v>42033.666666666664</v>
      </c>
      <c r="C724" s="8">
        <v>0</v>
      </c>
      <c r="D724" s="9">
        <v>42055.350694444445</v>
      </c>
      <c r="E724" s="8" t="s">
        <v>93</v>
      </c>
      <c r="F724" s="8">
        <v>16</v>
      </c>
      <c r="G724" s="8" t="s">
        <v>94</v>
      </c>
      <c r="H724" s="8" t="s">
        <v>95</v>
      </c>
      <c r="I724" s="8">
        <v>1</v>
      </c>
      <c r="J724" s="8" t="s">
        <v>95</v>
      </c>
      <c r="K724" s="8">
        <v>1</v>
      </c>
      <c r="L724" s="8" t="s">
        <v>95</v>
      </c>
      <c r="M724" s="8">
        <v>1</v>
      </c>
      <c r="N724" s="8" t="s">
        <v>95</v>
      </c>
      <c r="O724" s="8">
        <v>1</v>
      </c>
      <c r="P724" s="8" t="s">
        <v>95</v>
      </c>
      <c r="Q724" s="8">
        <v>1</v>
      </c>
      <c r="R724" s="8" t="s">
        <v>95</v>
      </c>
      <c r="S724" s="8">
        <v>1</v>
      </c>
      <c r="T724" s="8" t="s">
        <v>95</v>
      </c>
      <c r="U724" s="8">
        <v>1</v>
      </c>
      <c r="V724" s="8" t="s">
        <v>95</v>
      </c>
      <c r="W724" s="8">
        <v>1</v>
      </c>
      <c r="X724" s="8" t="s">
        <v>95</v>
      </c>
      <c r="Y724" s="8">
        <v>1</v>
      </c>
      <c r="Z724" s="8" t="s">
        <v>95</v>
      </c>
      <c r="AA724" s="8">
        <v>1</v>
      </c>
      <c r="AB724" s="8" t="s">
        <v>95</v>
      </c>
      <c r="AC724" s="8">
        <v>1</v>
      </c>
      <c r="AD724" s="8" t="s">
        <v>95</v>
      </c>
      <c r="AE724" s="8">
        <v>1</v>
      </c>
      <c r="AF724" s="8" t="s">
        <v>95</v>
      </c>
      <c r="AG724" s="8">
        <v>1</v>
      </c>
      <c r="AH724" s="8" t="s">
        <v>95</v>
      </c>
      <c r="AI724" s="8">
        <v>1</v>
      </c>
      <c r="AJ724" s="8" t="s">
        <v>95</v>
      </c>
      <c r="AK724" s="8">
        <v>1</v>
      </c>
      <c r="AL724" s="8" t="s">
        <v>95</v>
      </c>
      <c r="AM724" s="8">
        <v>1</v>
      </c>
      <c r="AN724" s="8">
        <v>16</v>
      </c>
    </row>
    <row r="725" spans="1:40" x14ac:dyDescent="0.25">
      <c r="A725" s="8" t="s">
        <v>785</v>
      </c>
      <c r="B725" s="9">
        <v>42033.681944444441</v>
      </c>
      <c r="C725" s="8">
        <v>0</v>
      </c>
      <c r="D725" s="9">
        <v>42055.356944444444</v>
      </c>
      <c r="E725" s="8" t="s">
        <v>93</v>
      </c>
      <c r="F725" s="8">
        <v>16</v>
      </c>
      <c r="G725" s="8" t="s">
        <v>94</v>
      </c>
      <c r="H725" s="8" t="s">
        <v>95</v>
      </c>
      <c r="I725" s="8">
        <v>1</v>
      </c>
      <c r="J725" s="8" t="s">
        <v>95</v>
      </c>
      <c r="K725" s="8">
        <v>1</v>
      </c>
      <c r="L725" s="8" t="s">
        <v>95</v>
      </c>
      <c r="M725" s="8">
        <v>1</v>
      </c>
      <c r="N725" s="8" t="s">
        <v>95</v>
      </c>
      <c r="O725" s="8">
        <v>1</v>
      </c>
      <c r="P725" s="8" t="s">
        <v>95</v>
      </c>
      <c r="Q725" s="8">
        <v>1</v>
      </c>
      <c r="R725" s="8" t="s">
        <v>95</v>
      </c>
      <c r="S725" s="8">
        <v>1</v>
      </c>
      <c r="T725" s="8" t="s">
        <v>95</v>
      </c>
      <c r="U725" s="8">
        <v>1</v>
      </c>
      <c r="V725" s="8" t="s">
        <v>95</v>
      </c>
      <c r="W725" s="8">
        <v>1</v>
      </c>
      <c r="X725" s="8" t="s">
        <v>95</v>
      </c>
      <c r="Y725" s="8">
        <v>1</v>
      </c>
      <c r="Z725" s="8" t="s">
        <v>95</v>
      </c>
      <c r="AA725" s="8">
        <v>1</v>
      </c>
      <c r="AB725" s="8" t="s">
        <v>95</v>
      </c>
      <c r="AC725" s="8">
        <v>1</v>
      </c>
      <c r="AD725" s="8" t="s">
        <v>95</v>
      </c>
      <c r="AE725" s="8">
        <v>1</v>
      </c>
      <c r="AF725" s="8" t="s">
        <v>95</v>
      </c>
      <c r="AG725" s="8">
        <v>1</v>
      </c>
      <c r="AH725" s="8" t="s">
        <v>95</v>
      </c>
      <c r="AI725" s="8">
        <v>1</v>
      </c>
      <c r="AJ725" s="8" t="s">
        <v>95</v>
      </c>
      <c r="AK725" s="8">
        <v>1</v>
      </c>
      <c r="AL725" s="8" t="s">
        <v>95</v>
      </c>
      <c r="AM725" s="8">
        <v>1</v>
      </c>
      <c r="AN725" s="8">
        <v>16</v>
      </c>
    </row>
    <row r="726" spans="1:40" x14ac:dyDescent="0.25">
      <c r="A726" s="8" t="s">
        <v>786</v>
      </c>
      <c r="B726" s="9">
        <v>42033.672222222223</v>
      </c>
      <c r="C726" s="8">
        <v>0</v>
      </c>
      <c r="D726" s="9">
        <v>42055.356944444444</v>
      </c>
      <c r="E726" s="8" t="s">
        <v>93</v>
      </c>
      <c r="F726" s="8">
        <v>15</v>
      </c>
      <c r="G726" s="8" t="s">
        <v>94</v>
      </c>
      <c r="H726" s="8" t="s">
        <v>95</v>
      </c>
      <c r="I726" s="8">
        <v>1</v>
      </c>
      <c r="J726" s="8" t="s">
        <v>95</v>
      </c>
      <c r="K726" s="8">
        <v>1</v>
      </c>
      <c r="L726" s="8" t="s">
        <v>95</v>
      </c>
      <c r="M726" s="8">
        <v>1</v>
      </c>
      <c r="N726" s="8" t="s">
        <v>95</v>
      </c>
      <c r="O726" s="8">
        <v>1</v>
      </c>
      <c r="P726" s="8" t="s">
        <v>95</v>
      </c>
      <c r="Q726" s="8">
        <v>1</v>
      </c>
      <c r="R726" s="8" t="s">
        <v>95</v>
      </c>
      <c r="S726" s="8">
        <v>1</v>
      </c>
      <c r="T726" s="8" t="s">
        <v>94</v>
      </c>
      <c r="U726" s="8">
        <v>0</v>
      </c>
      <c r="V726" s="8" t="s">
        <v>95</v>
      </c>
      <c r="W726" s="8">
        <v>1</v>
      </c>
      <c r="X726" s="8" t="s">
        <v>95</v>
      </c>
      <c r="Y726" s="8">
        <v>1</v>
      </c>
      <c r="Z726" s="8" t="s">
        <v>95</v>
      </c>
      <c r="AA726" s="8">
        <v>1</v>
      </c>
      <c r="AB726" s="8" t="s">
        <v>95</v>
      </c>
      <c r="AC726" s="8">
        <v>1</v>
      </c>
      <c r="AD726" s="8" t="s">
        <v>95</v>
      </c>
      <c r="AE726" s="8">
        <v>1</v>
      </c>
      <c r="AF726" s="8" t="s">
        <v>95</v>
      </c>
      <c r="AG726" s="8">
        <v>1</v>
      </c>
      <c r="AH726" s="8" t="s">
        <v>95</v>
      </c>
      <c r="AI726" s="8">
        <v>1</v>
      </c>
      <c r="AJ726" s="8" t="s">
        <v>95</v>
      </c>
      <c r="AK726" s="8">
        <v>1</v>
      </c>
      <c r="AL726" s="8" t="s">
        <v>95</v>
      </c>
      <c r="AM726" s="8">
        <v>1</v>
      </c>
      <c r="AN726" s="8">
        <v>15</v>
      </c>
    </row>
    <row r="727" spans="1:40" x14ac:dyDescent="0.25">
      <c r="A727" s="8" t="s">
        <v>787</v>
      </c>
      <c r="B727" s="9">
        <v>42033.679861111108</v>
      </c>
      <c r="C727" s="8">
        <v>0</v>
      </c>
      <c r="D727" s="9">
        <v>42055.365972222222</v>
      </c>
      <c r="E727" s="8" t="s">
        <v>93</v>
      </c>
      <c r="F727" s="8">
        <v>16</v>
      </c>
      <c r="G727" s="8" t="s">
        <v>94</v>
      </c>
      <c r="H727" s="8" t="s">
        <v>95</v>
      </c>
      <c r="I727" s="8">
        <v>1</v>
      </c>
      <c r="J727" s="8" t="s">
        <v>95</v>
      </c>
      <c r="K727" s="8">
        <v>1</v>
      </c>
      <c r="L727" s="8" t="s">
        <v>95</v>
      </c>
      <c r="M727" s="8">
        <v>1</v>
      </c>
      <c r="N727" s="8" t="s">
        <v>95</v>
      </c>
      <c r="O727" s="8">
        <v>1</v>
      </c>
      <c r="P727" s="8" t="s">
        <v>95</v>
      </c>
      <c r="Q727" s="8">
        <v>1</v>
      </c>
      <c r="R727" s="8" t="s">
        <v>95</v>
      </c>
      <c r="S727" s="8">
        <v>1</v>
      </c>
      <c r="T727" s="8" t="s">
        <v>95</v>
      </c>
      <c r="U727" s="8">
        <v>1</v>
      </c>
      <c r="V727" s="8" t="s">
        <v>95</v>
      </c>
      <c r="W727" s="8">
        <v>1</v>
      </c>
      <c r="X727" s="8" t="s">
        <v>95</v>
      </c>
      <c r="Y727" s="8">
        <v>1</v>
      </c>
      <c r="Z727" s="8" t="s">
        <v>95</v>
      </c>
      <c r="AA727" s="8">
        <v>1</v>
      </c>
      <c r="AB727" s="8" t="s">
        <v>95</v>
      </c>
      <c r="AC727" s="8">
        <v>1</v>
      </c>
      <c r="AD727" s="8" t="s">
        <v>95</v>
      </c>
      <c r="AE727" s="8">
        <v>1</v>
      </c>
      <c r="AF727" s="8" t="s">
        <v>95</v>
      </c>
      <c r="AG727" s="8">
        <v>1</v>
      </c>
      <c r="AH727" s="8" t="s">
        <v>95</v>
      </c>
      <c r="AI727" s="8">
        <v>1</v>
      </c>
      <c r="AJ727" s="8" t="s">
        <v>95</v>
      </c>
      <c r="AK727" s="8">
        <v>1</v>
      </c>
      <c r="AL727" s="8" t="s">
        <v>95</v>
      </c>
      <c r="AM727" s="8">
        <v>1</v>
      </c>
      <c r="AN727" s="8">
        <v>16</v>
      </c>
    </row>
    <row r="728" spans="1:40" x14ac:dyDescent="0.25">
      <c r="A728" s="8" t="s">
        <v>788</v>
      </c>
      <c r="B728" s="9">
        <v>42033.677083333336</v>
      </c>
      <c r="C728" s="8">
        <v>0</v>
      </c>
      <c r="D728" s="9">
        <v>42055.402777777781</v>
      </c>
      <c r="E728" s="8" t="s">
        <v>93</v>
      </c>
      <c r="F728" s="8">
        <v>14</v>
      </c>
      <c r="G728" s="8" t="s">
        <v>94</v>
      </c>
      <c r="H728" s="8" t="s">
        <v>95</v>
      </c>
      <c r="I728" s="8">
        <v>1</v>
      </c>
      <c r="J728" s="8" t="s">
        <v>95</v>
      </c>
      <c r="K728" s="8">
        <v>1</v>
      </c>
      <c r="L728" s="8" t="s">
        <v>95</v>
      </c>
      <c r="M728" s="8">
        <v>1</v>
      </c>
      <c r="N728" s="8" t="s">
        <v>95</v>
      </c>
      <c r="O728" s="8">
        <v>1</v>
      </c>
      <c r="P728" s="8" t="s">
        <v>95</v>
      </c>
      <c r="Q728" s="8">
        <v>1</v>
      </c>
      <c r="R728" s="8" t="s">
        <v>95</v>
      </c>
      <c r="S728" s="8">
        <v>1</v>
      </c>
      <c r="T728" s="8" t="s">
        <v>95</v>
      </c>
      <c r="U728" s="8">
        <v>1</v>
      </c>
      <c r="V728" s="8" t="s">
        <v>94</v>
      </c>
      <c r="W728" s="8">
        <v>0</v>
      </c>
      <c r="X728" s="8" t="s">
        <v>95</v>
      </c>
      <c r="Y728" s="8">
        <v>1</v>
      </c>
      <c r="Z728" s="8" t="s">
        <v>95</v>
      </c>
      <c r="AA728" s="8">
        <v>1</v>
      </c>
      <c r="AB728" s="8" t="s">
        <v>95</v>
      </c>
      <c r="AC728" s="8">
        <v>1</v>
      </c>
      <c r="AD728" s="8" t="s">
        <v>95</v>
      </c>
      <c r="AE728" s="8">
        <v>1</v>
      </c>
      <c r="AF728" s="8" t="s">
        <v>95</v>
      </c>
      <c r="AG728" s="8">
        <v>1</v>
      </c>
      <c r="AH728" s="8" t="s">
        <v>95</v>
      </c>
      <c r="AI728" s="8">
        <v>1</v>
      </c>
      <c r="AJ728" s="8" t="s">
        <v>94</v>
      </c>
      <c r="AK728" s="8">
        <v>0</v>
      </c>
      <c r="AL728" s="8" t="s">
        <v>95</v>
      </c>
      <c r="AM728" s="8">
        <v>1</v>
      </c>
      <c r="AN728" s="8">
        <v>14</v>
      </c>
    </row>
    <row r="729" spans="1:40" x14ac:dyDescent="0.25">
      <c r="A729" s="8" t="s">
        <v>789</v>
      </c>
      <c r="B729" s="9">
        <v>42033.665277777778</v>
      </c>
      <c r="C729" s="8">
        <v>0</v>
      </c>
      <c r="D729" s="9">
        <v>42055.407638888886</v>
      </c>
      <c r="E729" s="8" t="s">
        <v>93</v>
      </c>
      <c r="F729" s="8">
        <v>2</v>
      </c>
      <c r="G729" s="8" t="s">
        <v>94</v>
      </c>
      <c r="H729" s="8" t="s">
        <v>94</v>
      </c>
      <c r="I729" s="8">
        <v>0</v>
      </c>
      <c r="J729" s="8" t="s">
        <v>94</v>
      </c>
      <c r="K729" s="8">
        <v>0</v>
      </c>
      <c r="L729" s="8" t="s">
        <v>94</v>
      </c>
      <c r="M729" s="8">
        <v>0</v>
      </c>
      <c r="N729" s="8" t="s">
        <v>94</v>
      </c>
      <c r="O729" s="8">
        <v>0</v>
      </c>
      <c r="P729" s="8" t="s">
        <v>94</v>
      </c>
      <c r="Q729" s="8">
        <v>0</v>
      </c>
      <c r="R729" s="8" t="s">
        <v>94</v>
      </c>
      <c r="S729" s="8">
        <v>0</v>
      </c>
      <c r="T729" s="8" t="s">
        <v>94</v>
      </c>
      <c r="U729" s="8">
        <v>0</v>
      </c>
      <c r="V729" s="8" t="s">
        <v>94</v>
      </c>
      <c r="W729" s="8">
        <v>0</v>
      </c>
      <c r="X729" s="8" t="s">
        <v>94</v>
      </c>
      <c r="Y729" s="8">
        <v>0</v>
      </c>
      <c r="Z729" s="8" t="s">
        <v>94</v>
      </c>
      <c r="AA729" s="8">
        <v>0</v>
      </c>
      <c r="AB729" s="8" t="s">
        <v>94</v>
      </c>
      <c r="AC729" s="8">
        <v>0</v>
      </c>
      <c r="AD729" s="8" t="s">
        <v>95</v>
      </c>
      <c r="AE729" s="8">
        <v>1</v>
      </c>
      <c r="AF729" s="8" t="s">
        <v>94</v>
      </c>
      <c r="AG729" s="8">
        <v>0</v>
      </c>
      <c r="AH729" s="8" t="s">
        <v>94</v>
      </c>
      <c r="AI729" s="8">
        <v>0</v>
      </c>
      <c r="AJ729" s="8" t="s">
        <v>95</v>
      </c>
      <c r="AK729" s="8">
        <v>1</v>
      </c>
      <c r="AL729" s="8" t="s">
        <v>94</v>
      </c>
      <c r="AM729" s="8">
        <v>0</v>
      </c>
      <c r="AN729" s="8">
        <v>2</v>
      </c>
    </row>
    <row r="730" spans="1:40" x14ac:dyDescent="0.25">
      <c r="A730" s="8" t="s">
        <v>790</v>
      </c>
      <c r="B730" s="9">
        <v>42033.677777777775</v>
      </c>
      <c r="C730" s="8">
        <v>0</v>
      </c>
      <c r="D730" s="9">
        <v>42055.416666666664</v>
      </c>
      <c r="E730" s="8" t="s">
        <v>93</v>
      </c>
      <c r="F730" s="8">
        <v>16</v>
      </c>
      <c r="G730" s="8" t="s">
        <v>94</v>
      </c>
      <c r="H730" s="8" t="s">
        <v>95</v>
      </c>
      <c r="I730" s="8">
        <v>1</v>
      </c>
      <c r="J730" s="8" t="s">
        <v>95</v>
      </c>
      <c r="K730" s="8">
        <v>1</v>
      </c>
      <c r="L730" s="8" t="s">
        <v>95</v>
      </c>
      <c r="M730" s="8">
        <v>1</v>
      </c>
      <c r="N730" s="8" t="s">
        <v>95</v>
      </c>
      <c r="O730" s="8">
        <v>1</v>
      </c>
      <c r="P730" s="8" t="s">
        <v>95</v>
      </c>
      <c r="Q730" s="8">
        <v>1</v>
      </c>
      <c r="R730" s="8" t="s">
        <v>95</v>
      </c>
      <c r="S730" s="8">
        <v>1</v>
      </c>
      <c r="T730" s="8" t="s">
        <v>95</v>
      </c>
      <c r="U730" s="8">
        <v>1</v>
      </c>
      <c r="V730" s="8" t="s">
        <v>95</v>
      </c>
      <c r="W730" s="8">
        <v>1</v>
      </c>
      <c r="X730" s="8" t="s">
        <v>95</v>
      </c>
      <c r="Y730" s="8">
        <v>1</v>
      </c>
      <c r="Z730" s="8" t="s">
        <v>95</v>
      </c>
      <c r="AA730" s="8">
        <v>1</v>
      </c>
      <c r="AB730" s="8" t="s">
        <v>95</v>
      </c>
      <c r="AC730" s="8">
        <v>1</v>
      </c>
      <c r="AD730" s="8" t="s">
        <v>95</v>
      </c>
      <c r="AE730" s="8">
        <v>1</v>
      </c>
      <c r="AF730" s="8" t="s">
        <v>95</v>
      </c>
      <c r="AG730" s="8">
        <v>1</v>
      </c>
      <c r="AH730" s="8" t="s">
        <v>95</v>
      </c>
      <c r="AI730" s="8">
        <v>1</v>
      </c>
      <c r="AJ730" s="8" t="s">
        <v>95</v>
      </c>
      <c r="AK730" s="8">
        <v>1</v>
      </c>
      <c r="AL730" s="8" t="s">
        <v>95</v>
      </c>
      <c r="AM730" s="8">
        <v>1</v>
      </c>
      <c r="AN730" s="8">
        <v>16</v>
      </c>
    </row>
    <row r="731" spans="1:40" x14ac:dyDescent="0.25">
      <c r="A731" s="8" t="s">
        <v>791</v>
      </c>
      <c r="B731" s="9">
        <v>42033.661805555559</v>
      </c>
      <c r="C731" s="8">
        <v>0</v>
      </c>
      <c r="D731" s="9">
        <v>42055.433333333334</v>
      </c>
      <c r="E731" s="8" t="s">
        <v>93</v>
      </c>
      <c r="F731" s="8">
        <v>1</v>
      </c>
      <c r="G731" s="8" t="s">
        <v>94</v>
      </c>
      <c r="H731" s="8" t="s">
        <v>94</v>
      </c>
      <c r="I731" s="8">
        <v>0</v>
      </c>
      <c r="J731" s="8" t="s">
        <v>94</v>
      </c>
      <c r="K731" s="8">
        <v>0</v>
      </c>
      <c r="L731" s="8" t="s">
        <v>94</v>
      </c>
      <c r="M731" s="8">
        <v>0</v>
      </c>
      <c r="N731" s="8" t="s">
        <v>94</v>
      </c>
      <c r="O731" s="8">
        <v>0</v>
      </c>
      <c r="P731" s="8" t="s">
        <v>94</v>
      </c>
      <c r="Q731" s="8">
        <v>0</v>
      </c>
      <c r="R731" s="8" t="s">
        <v>94</v>
      </c>
      <c r="S731" s="8">
        <v>0</v>
      </c>
      <c r="T731" s="8" t="s">
        <v>94</v>
      </c>
      <c r="U731" s="8">
        <v>0</v>
      </c>
      <c r="V731" s="8" t="s">
        <v>94</v>
      </c>
      <c r="W731" s="8">
        <v>0</v>
      </c>
      <c r="X731" s="8" t="s">
        <v>94</v>
      </c>
      <c r="Y731" s="8">
        <v>0</v>
      </c>
      <c r="Z731" s="8" t="s">
        <v>94</v>
      </c>
      <c r="AA731" s="8">
        <v>0</v>
      </c>
      <c r="AB731" s="8" t="s">
        <v>95</v>
      </c>
      <c r="AC731" s="8">
        <v>1</v>
      </c>
      <c r="AD731" s="8" t="s">
        <v>94</v>
      </c>
      <c r="AE731" s="8">
        <v>0</v>
      </c>
      <c r="AF731" s="8" t="s">
        <v>94</v>
      </c>
      <c r="AG731" s="8">
        <v>0</v>
      </c>
      <c r="AH731" s="8" t="s">
        <v>94</v>
      </c>
      <c r="AI731" s="8">
        <v>0</v>
      </c>
      <c r="AJ731" s="8" t="s">
        <v>94</v>
      </c>
      <c r="AK731" s="8">
        <v>0</v>
      </c>
      <c r="AL731" s="8" t="s">
        <v>94</v>
      </c>
      <c r="AM731" s="8">
        <v>0</v>
      </c>
      <c r="AN731" s="8">
        <v>1</v>
      </c>
    </row>
    <row r="732" spans="1:40" x14ac:dyDescent="0.25">
      <c r="A732" s="8" t="s">
        <v>792</v>
      </c>
      <c r="B732" s="9">
        <v>42038.542361111111</v>
      </c>
      <c r="C732" s="8">
        <v>0</v>
      </c>
      <c r="D732" s="9">
        <v>42038.970138888886</v>
      </c>
      <c r="E732" s="8" t="s">
        <v>93</v>
      </c>
      <c r="F732" s="8">
        <v>9</v>
      </c>
      <c r="G732" s="8" t="s">
        <v>94</v>
      </c>
      <c r="H732" s="8" t="s">
        <v>95</v>
      </c>
      <c r="I732" s="8">
        <v>1</v>
      </c>
      <c r="J732" s="8" t="s">
        <v>94</v>
      </c>
      <c r="K732" s="8">
        <v>0</v>
      </c>
      <c r="L732" s="8" t="s">
        <v>95</v>
      </c>
      <c r="M732" s="8">
        <v>1</v>
      </c>
      <c r="N732" s="8" t="s">
        <v>94</v>
      </c>
      <c r="O732" s="8">
        <v>0</v>
      </c>
      <c r="P732" s="8" t="s">
        <v>95</v>
      </c>
      <c r="Q732" s="8">
        <v>1</v>
      </c>
      <c r="R732" s="8" t="s">
        <v>95</v>
      </c>
      <c r="S732" s="8">
        <v>1</v>
      </c>
      <c r="T732" s="8" t="s">
        <v>95</v>
      </c>
      <c r="U732" s="8">
        <v>1</v>
      </c>
      <c r="V732" s="8" t="s">
        <v>95</v>
      </c>
      <c r="W732" s="8">
        <v>1</v>
      </c>
      <c r="X732" s="8" t="s">
        <v>95</v>
      </c>
      <c r="Y732" s="8">
        <v>1</v>
      </c>
      <c r="Z732" s="8" t="s">
        <v>94</v>
      </c>
      <c r="AA732" s="8">
        <v>0</v>
      </c>
      <c r="AB732" s="8" t="s">
        <v>95</v>
      </c>
      <c r="AC732" s="8">
        <v>1</v>
      </c>
      <c r="AD732" s="8" t="s">
        <v>94</v>
      </c>
      <c r="AE732" s="8">
        <v>0</v>
      </c>
      <c r="AF732" s="8" t="s">
        <v>94</v>
      </c>
      <c r="AG732" s="8">
        <v>0</v>
      </c>
      <c r="AH732" s="8" t="s">
        <v>95</v>
      </c>
      <c r="AI732" s="8">
        <v>1</v>
      </c>
      <c r="AJ732" s="8" t="s">
        <v>94</v>
      </c>
      <c r="AK732" s="8">
        <v>0</v>
      </c>
      <c r="AL732" s="8" t="s">
        <v>94</v>
      </c>
      <c r="AM732" s="8">
        <v>0</v>
      </c>
      <c r="AN732" s="8">
        <v>9</v>
      </c>
    </row>
    <row r="733" spans="1:40" x14ac:dyDescent="0.25">
      <c r="A733" s="8" t="s">
        <v>793</v>
      </c>
      <c r="B733" s="9">
        <v>42038.542361111111</v>
      </c>
      <c r="C733" s="8">
        <v>0</v>
      </c>
      <c r="D733" s="9">
        <v>42039.950694444444</v>
      </c>
      <c r="E733" s="8" t="s">
        <v>93</v>
      </c>
      <c r="F733" s="8">
        <v>15</v>
      </c>
      <c r="G733" s="8" t="s">
        <v>94</v>
      </c>
      <c r="H733" s="8" t="s">
        <v>95</v>
      </c>
      <c r="I733" s="8">
        <v>1</v>
      </c>
      <c r="J733" s="8" t="s">
        <v>94</v>
      </c>
      <c r="K733" s="8">
        <v>0</v>
      </c>
      <c r="L733" s="8" t="s">
        <v>95</v>
      </c>
      <c r="M733" s="8">
        <v>1</v>
      </c>
      <c r="N733" s="8" t="s">
        <v>95</v>
      </c>
      <c r="O733" s="8">
        <v>1</v>
      </c>
      <c r="P733" s="8" t="s">
        <v>95</v>
      </c>
      <c r="Q733" s="8">
        <v>1</v>
      </c>
      <c r="R733" s="8" t="s">
        <v>95</v>
      </c>
      <c r="S733" s="8">
        <v>1</v>
      </c>
      <c r="T733" s="8" t="s">
        <v>95</v>
      </c>
      <c r="U733" s="8">
        <v>1</v>
      </c>
      <c r="V733" s="8" t="s">
        <v>95</v>
      </c>
      <c r="W733" s="8">
        <v>1</v>
      </c>
      <c r="X733" s="8" t="s">
        <v>95</v>
      </c>
      <c r="Y733" s="8">
        <v>1</v>
      </c>
      <c r="Z733" s="8" t="s">
        <v>95</v>
      </c>
      <c r="AA733" s="8">
        <v>1</v>
      </c>
      <c r="AB733" s="8" t="s">
        <v>95</v>
      </c>
      <c r="AC733" s="8">
        <v>1</v>
      </c>
      <c r="AD733" s="8" t="s">
        <v>95</v>
      </c>
      <c r="AE733" s="8">
        <v>1</v>
      </c>
      <c r="AF733" s="8" t="s">
        <v>95</v>
      </c>
      <c r="AG733" s="8">
        <v>1</v>
      </c>
      <c r="AH733" s="8" t="s">
        <v>95</v>
      </c>
      <c r="AI733" s="8">
        <v>1</v>
      </c>
      <c r="AJ733" s="8" t="s">
        <v>95</v>
      </c>
      <c r="AK733" s="8">
        <v>1</v>
      </c>
      <c r="AL733" s="8" t="s">
        <v>95</v>
      </c>
      <c r="AM733" s="8">
        <v>1</v>
      </c>
      <c r="AN733" s="8">
        <v>15</v>
      </c>
    </row>
    <row r="734" spans="1:40" x14ac:dyDescent="0.25">
      <c r="A734" s="8" t="s">
        <v>794</v>
      </c>
      <c r="B734" s="9">
        <v>42038.542361111111</v>
      </c>
      <c r="C734" s="8">
        <v>0</v>
      </c>
      <c r="D734" s="9">
        <v>42044.170138888891</v>
      </c>
      <c r="E734" s="8" t="s">
        <v>93</v>
      </c>
      <c r="F734" s="8">
        <v>16</v>
      </c>
      <c r="G734" s="8" t="s">
        <v>94</v>
      </c>
      <c r="H734" s="8" t="s">
        <v>95</v>
      </c>
      <c r="I734" s="8">
        <v>1</v>
      </c>
      <c r="J734" s="8" t="s">
        <v>95</v>
      </c>
      <c r="K734" s="8">
        <v>1</v>
      </c>
      <c r="L734" s="8" t="s">
        <v>95</v>
      </c>
      <c r="M734" s="8">
        <v>1</v>
      </c>
      <c r="N734" s="8" t="s">
        <v>95</v>
      </c>
      <c r="O734" s="8">
        <v>1</v>
      </c>
      <c r="P734" s="8" t="s">
        <v>95</v>
      </c>
      <c r="Q734" s="8">
        <v>1</v>
      </c>
      <c r="R734" s="8" t="s">
        <v>95</v>
      </c>
      <c r="S734" s="8">
        <v>1</v>
      </c>
      <c r="T734" s="8" t="s">
        <v>95</v>
      </c>
      <c r="U734" s="8">
        <v>1</v>
      </c>
      <c r="V734" s="8" t="s">
        <v>95</v>
      </c>
      <c r="W734" s="8">
        <v>1</v>
      </c>
      <c r="X734" s="8" t="s">
        <v>95</v>
      </c>
      <c r="Y734" s="8">
        <v>1</v>
      </c>
      <c r="Z734" s="8" t="s">
        <v>95</v>
      </c>
      <c r="AA734" s="8">
        <v>1</v>
      </c>
      <c r="AB734" s="8" t="s">
        <v>95</v>
      </c>
      <c r="AC734" s="8">
        <v>1</v>
      </c>
      <c r="AD734" s="8" t="s">
        <v>95</v>
      </c>
      <c r="AE734" s="8">
        <v>1</v>
      </c>
      <c r="AF734" s="8" t="s">
        <v>95</v>
      </c>
      <c r="AG734" s="8">
        <v>1</v>
      </c>
      <c r="AH734" s="8" t="s">
        <v>95</v>
      </c>
      <c r="AI734" s="8">
        <v>1</v>
      </c>
      <c r="AJ734" s="8" t="s">
        <v>95</v>
      </c>
      <c r="AK734" s="8">
        <v>1</v>
      </c>
      <c r="AL734" s="8" t="s">
        <v>95</v>
      </c>
      <c r="AM734" s="8">
        <v>1</v>
      </c>
      <c r="AN734" s="8">
        <v>16</v>
      </c>
    </row>
    <row r="735" spans="1:40" x14ac:dyDescent="0.25">
      <c r="A735" s="8" t="s">
        <v>795</v>
      </c>
      <c r="B735" s="9">
        <v>42048.042361111111</v>
      </c>
      <c r="C735" s="8">
        <v>0</v>
      </c>
      <c r="D735" s="9">
        <v>42048.11041666667</v>
      </c>
      <c r="E735" s="8" t="s">
        <v>93</v>
      </c>
      <c r="F735" s="8">
        <v>16</v>
      </c>
      <c r="G735" s="8" t="s">
        <v>94</v>
      </c>
      <c r="H735" s="8" t="s">
        <v>95</v>
      </c>
      <c r="I735" s="8">
        <v>1</v>
      </c>
      <c r="J735" s="8" t="s">
        <v>95</v>
      </c>
      <c r="K735" s="8">
        <v>1</v>
      </c>
      <c r="L735" s="8" t="s">
        <v>95</v>
      </c>
      <c r="M735" s="8">
        <v>1</v>
      </c>
      <c r="N735" s="8" t="s">
        <v>95</v>
      </c>
      <c r="O735" s="8">
        <v>1</v>
      </c>
      <c r="P735" s="8" t="s">
        <v>95</v>
      </c>
      <c r="Q735" s="8">
        <v>1</v>
      </c>
      <c r="R735" s="8" t="s">
        <v>95</v>
      </c>
      <c r="S735" s="8">
        <v>1</v>
      </c>
      <c r="T735" s="8" t="s">
        <v>95</v>
      </c>
      <c r="U735" s="8">
        <v>1</v>
      </c>
      <c r="V735" s="8" t="s">
        <v>95</v>
      </c>
      <c r="W735" s="8">
        <v>1</v>
      </c>
      <c r="X735" s="8" t="s">
        <v>95</v>
      </c>
      <c r="Y735" s="8">
        <v>1</v>
      </c>
      <c r="Z735" s="8" t="s">
        <v>95</v>
      </c>
      <c r="AA735" s="8">
        <v>1</v>
      </c>
      <c r="AB735" s="8" t="s">
        <v>95</v>
      </c>
      <c r="AC735" s="8">
        <v>1</v>
      </c>
      <c r="AD735" s="8" t="s">
        <v>95</v>
      </c>
      <c r="AE735" s="8">
        <v>1</v>
      </c>
      <c r="AF735" s="8" t="s">
        <v>95</v>
      </c>
      <c r="AG735" s="8">
        <v>1</v>
      </c>
      <c r="AH735" s="8" t="s">
        <v>95</v>
      </c>
      <c r="AI735" s="8">
        <v>1</v>
      </c>
      <c r="AJ735" s="8" t="s">
        <v>95</v>
      </c>
      <c r="AK735" s="8">
        <v>1</v>
      </c>
      <c r="AL735" s="8" t="s">
        <v>95</v>
      </c>
      <c r="AM735" s="8">
        <v>1</v>
      </c>
      <c r="AN735" s="8">
        <v>16</v>
      </c>
    </row>
  </sheetData>
  <autoFilter ref="A34:AN735"/>
  <mergeCells count="36">
    <mergeCell ref="A33:L33"/>
    <mergeCell ref="A23:H23"/>
    <mergeCell ref="A24:L24"/>
    <mergeCell ref="A25:C25"/>
    <mergeCell ref="D25:L25"/>
    <mergeCell ref="D26:L26"/>
    <mergeCell ref="D27:L27"/>
    <mergeCell ref="D28:L28"/>
    <mergeCell ref="D29:L29"/>
    <mergeCell ref="D30:L30"/>
    <mergeCell ref="D31:L31"/>
    <mergeCell ref="D32:L32"/>
    <mergeCell ref="A22:L22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10:I10"/>
    <mergeCell ref="A1:L1"/>
    <mergeCell ref="A2:L2"/>
    <mergeCell ref="A3:L3"/>
    <mergeCell ref="B4:D4"/>
    <mergeCell ref="E4:I4"/>
    <mergeCell ref="J4:L4"/>
    <mergeCell ref="A5:I5"/>
    <mergeCell ref="B6:I6"/>
    <mergeCell ref="B7:I7"/>
    <mergeCell ref="B8:I8"/>
    <mergeCell ref="B9:I9"/>
  </mergeCells>
  <conditionalFormatting sqref="A34:A735">
    <cfRule type="duplicateValues" dxfId="36" priority="1" stopIfTrue="1"/>
  </conditionalFormatting>
  <pageMargins left="0.75" right="0.75" top="1" bottom="1" header="0.5" footer="0.5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1"/>
  <sheetViews>
    <sheetView topLeftCell="A46" zoomScale="85" zoomScaleNormal="85" workbookViewId="0">
      <selection activeCell="A2" sqref="A2"/>
    </sheetView>
  </sheetViews>
  <sheetFormatPr defaultRowHeight="15" x14ac:dyDescent="0.25"/>
  <cols>
    <col min="1" max="1" width="16.85546875" bestFit="1" customWidth="1"/>
    <col min="2" max="2" width="13.140625" bestFit="1" customWidth="1"/>
    <col min="3" max="3" width="29.85546875" bestFit="1" customWidth="1"/>
    <col min="4" max="4" width="29.85546875" customWidth="1"/>
    <col min="5" max="5" width="8.7109375" bestFit="1" customWidth="1"/>
    <col min="6" max="6" width="13.5703125" bestFit="1" customWidth="1"/>
    <col min="7" max="7" width="26" bestFit="1" customWidth="1"/>
    <col min="8" max="8" width="15" bestFit="1" customWidth="1"/>
  </cols>
  <sheetData>
    <row r="1" spans="1:8" s="14" customFormat="1" x14ac:dyDescent="0.25">
      <c r="A1" s="12" t="s">
        <v>796</v>
      </c>
      <c r="B1" s="12" t="s">
        <v>797</v>
      </c>
      <c r="C1" s="12" t="s">
        <v>798</v>
      </c>
      <c r="D1" s="12" t="s">
        <v>3510</v>
      </c>
      <c r="E1" s="12" t="s">
        <v>799</v>
      </c>
      <c r="F1" s="12" t="s">
        <v>800</v>
      </c>
      <c r="G1" s="12" t="s">
        <v>801</v>
      </c>
      <c r="H1" s="13" t="s">
        <v>802</v>
      </c>
    </row>
    <row r="2" spans="1:8" x14ac:dyDescent="0.25">
      <c r="A2" s="11" t="s">
        <v>1646</v>
      </c>
      <c r="B2" s="10" t="s">
        <v>1647</v>
      </c>
      <c r="C2" s="10" t="s">
        <v>1635</v>
      </c>
      <c r="D2" s="10" t="str">
        <f>VLOOKUP(C2,Region!A:B,2,FALSE)</f>
        <v>MBC US</v>
      </c>
      <c r="E2" s="10" t="s">
        <v>806</v>
      </c>
      <c r="F2" s="10" t="s">
        <v>3505</v>
      </c>
      <c r="G2" s="11" t="s">
        <v>648</v>
      </c>
      <c r="H2" s="10" t="s">
        <v>812</v>
      </c>
    </row>
    <row r="3" spans="1:8" x14ac:dyDescent="0.25">
      <c r="A3" s="11" t="s">
        <v>1459</v>
      </c>
      <c r="B3" s="10" t="s">
        <v>804</v>
      </c>
      <c r="C3" s="10" t="s">
        <v>1426</v>
      </c>
      <c r="D3" s="10" t="str">
        <f>VLOOKUP(C3,Region!A:B,2,FALSE)</f>
        <v>Spain</v>
      </c>
      <c r="E3" s="10" t="s">
        <v>1427</v>
      </c>
      <c r="F3" s="10" t="s">
        <v>814</v>
      </c>
      <c r="G3" s="11" t="s">
        <v>1460</v>
      </c>
      <c r="H3" s="10" t="s">
        <v>809</v>
      </c>
    </row>
    <row r="4" spans="1:8" x14ac:dyDescent="0.25">
      <c r="A4" s="11" t="s">
        <v>1204</v>
      </c>
      <c r="B4" s="10" t="s">
        <v>1086</v>
      </c>
      <c r="C4" s="10" t="s">
        <v>1087</v>
      </c>
      <c r="D4" s="10" t="str">
        <f>VLOOKUP(C4,Region!A:B,2,FALSE)</f>
        <v>Hyderabad</v>
      </c>
      <c r="E4" s="10" t="s">
        <v>806</v>
      </c>
      <c r="F4" s="11" t="s">
        <v>807</v>
      </c>
      <c r="G4" s="11" t="s">
        <v>1205</v>
      </c>
      <c r="H4" s="10" t="s">
        <v>812</v>
      </c>
    </row>
    <row r="5" spans="1:8" x14ac:dyDescent="0.25">
      <c r="A5" s="11" t="s">
        <v>1463</v>
      </c>
      <c r="B5" s="10" t="s">
        <v>804</v>
      </c>
      <c r="C5" s="10" t="s">
        <v>1426</v>
      </c>
      <c r="D5" s="10" t="str">
        <f>VLOOKUP(C5,Region!A:B,2,FALSE)</f>
        <v>Spain</v>
      </c>
      <c r="E5" s="10" t="s">
        <v>1427</v>
      </c>
      <c r="F5" s="10" t="s">
        <v>814</v>
      </c>
      <c r="G5" s="11" t="s">
        <v>1464</v>
      </c>
      <c r="H5" s="10" t="s">
        <v>809</v>
      </c>
    </row>
    <row r="6" spans="1:8" x14ac:dyDescent="0.25">
      <c r="A6" s="11" t="s">
        <v>2418</v>
      </c>
      <c r="B6" s="10" t="s">
        <v>804</v>
      </c>
      <c r="C6" s="10" t="s">
        <v>2041</v>
      </c>
      <c r="D6" s="10" t="str">
        <f>VLOOKUP(C6,Region!A:B,2,FALSE)</f>
        <v>Hyderabad</v>
      </c>
      <c r="E6" s="10" t="s">
        <v>1427</v>
      </c>
      <c r="F6" s="10" t="s">
        <v>814</v>
      </c>
      <c r="G6" s="11" t="s">
        <v>521</v>
      </c>
      <c r="H6" s="10" t="s">
        <v>812</v>
      </c>
    </row>
    <row r="7" spans="1:8" x14ac:dyDescent="0.25">
      <c r="A7" s="11" t="s">
        <v>1421</v>
      </c>
      <c r="B7" s="10" t="s">
        <v>1086</v>
      </c>
      <c r="C7" s="10" t="s">
        <v>1087</v>
      </c>
      <c r="D7" s="10" t="str">
        <f>VLOOKUP(C7,Region!A:B,2,FALSE)</f>
        <v>Hyderabad</v>
      </c>
      <c r="E7" s="10" t="s">
        <v>806</v>
      </c>
      <c r="F7" s="11" t="s">
        <v>811</v>
      </c>
      <c r="G7" s="11" t="s">
        <v>1422</v>
      </c>
      <c r="H7" s="10" t="s">
        <v>812</v>
      </c>
    </row>
    <row r="8" spans="1:8" x14ac:dyDescent="0.25">
      <c r="A8" s="11" t="s">
        <v>899</v>
      </c>
      <c r="B8" s="10" t="s">
        <v>804</v>
      </c>
      <c r="C8" s="10" t="s">
        <v>805</v>
      </c>
      <c r="D8" s="10" t="str">
        <f>VLOOKUP(C8,Region!A:B,2,FALSE)</f>
        <v>Noida</v>
      </c>
      <c r="E8" s="10" t="s">
        <v>806</v>
      </c>
      <c r="F8" s="10" t="s">
        <v>823</v>
      </c>
      <c r="G8" s="11" t="s">
        <v>900</v>
      </c>
      <c r="H8" s="10" t="s">
        <v>809</v>
      </c>
    </row>
    <row r="9" spans="1:8" x14ac:dyDescent="0.25">
      <c r="A9" s="11" t="s">
        <v>2453</v>
      </c>
      <c r="B9" s="10" t="s">
        <v>804</v>
      </c>
      <c r="C9" s="10" t="s">
        <v>2041</v>
      </c>
      <c r="D9" s="10" t="str">
        <f>VLOOKUP(C9,Region!A:B,2,FALSE)</f>
        <v>Hyderabad</v>
      </c>
      <c r="E9" s="10" t="s">
        <v>1427</v>
      </c>
      <c r="F9" s="11" t="s">
        <v>814</v>
      </c>
      <c r="G9" s="11" t="s">
        <v>2454</v>
      </c>
      <c r="H9" s="10" t="s">
        <v>812</v>
      </c>
    </row>
    <row r="10" spans="1:8" x14ac:dyDescent="0.25">
      <c r="A10" s="11" t="s">
        <v>1513</v>
      </c>
      <c r="B10" s="10" t="s">
        <v>804</v>
      </c>
      <c r="C10" s="10" t="s">
        <v>1426</v>
      </c>
      <c r="D10" s="10" t="str">
        <f>VLOOKUP(C10,Region!A:B,2,FALSE)</f>
        <v>Spain</v>
      </c>
      <c r="E10" s="10" t="s">
        <v>1427</v>
      </c>
      <c r="F10" s="10" t="s">
        <v>814</v>
      </c>
      <c r="G10" s="11" t="s">
        <v>1514</v>
      </c>
      <c r="H10" s="10" t="s">
        <v>809</v>
      </c>
    </row>
    <row r="11" spans="1:8" x14ac:dyDescent="0.25">
      <c r="A11" s="11" t="s">
        <v>1351</v>
      </c>
      <c r="B11" s="10" t="s">
        <v>1086</v>
      </c>
      <c r="C11" s="10" t="s">
        <v>1087</v>
      </c>
      <c r="D11" s="10" t="str">
        <f>VLOOKUP(C11,Region!A:B,2,FALSE)</f>
        <v>Hyderabad</v>
      </c>
      <c r="E11" s="10" t="s">
        <v>806</v>
      </c>
      <c r="F11" s="11" t="s">
        <v>811</v>
      </c>
      <c r="G11" s="11" t="s">
        <v>1352</v>
      </c>
      <c r="H11" s="10" t="s">
        <v>809</v>
      </c>
    </row>
    <row r="12" spans="1:8" x14ac:dyDescent="0.25">
      <c r="A12" s="11" t="s">
        <v>1542</v>
      </c>
      <c r="B12" s="10" t="s">
        <v>804</v>
      </c>
      <c r="C12" s="10" t="s">
        <v>1426</v>
      </c>
      <c r="D12" s="10" t="str">
        <f>VLOOKUP(C12,Region!A:B,2,FALSE)</f>
        <v>Spain</v>
      </c>
      <c r="E12" s="10" t="s">
        <v>1427</v>
      </c>
      <c r="F12" s="10" t="s">
        <v>814</v>
      </c>
      <c r="G12" s="11" t="s">
        <v>293</v>
      </c>
      <c r="H12" s="10" t="s">
        <v>812</v>
      </c>
    </row>
    <row r="13" spans="1:8" x14ac:dyDescent="0.25">
      <c r="A13" s="11" t="s">
        <v>1536</v>
      </c>
      <c r="B13" s="10" t="s">
        <v>804</v>
      </c>
      <c r="C13" s="10" t="s">
        <v>1426</v>
      </c>
      <c r="D13" s="10" t="str">
        <f>VLOOKUP(C13,Region!A:B,2,FALSE)</f>
        <v>Spain</v>
      </c>
      <c r="E13" s="10" t="s">
        <v>1427</v>
      </c>
      <c r="F13" s="10" t="s">
        <v>814</v>
      </c>
      <c r="G13" s="11" t="s">
        <v>1537</v>
      </c>
      <c r="H13" s="10" t="s">
        <v>809</v>
      </c>
    </row>
    <row r="14" spans="1:8" x14ac:dyDescent="0.25">
      <c r="A14" s="11" t="s">
        <v>1548</v>
      </c>
      <c r="B14" s="10" t="s">
        <v>804</v>
      </c>
      <c r="C14" s="10" t="s">
        <v>1426</v>
      </c>
      <c r="D14" s="10" t="str">
        <f>VLOOKUP(C14,Region!A:B,2,FALSE)</f>
        <v>Spain</v>
      </c>
      <c r="E14" s="10" t="s">
        <v>1427</v>
      </c>
      <c r="F14" s="10" t="s">
        <v>814</v>
      </c>
      <c r="G14" s="11" t="s">
        <v>506</v>
      </c>
      <c r="H14" s="10" t="s">
        <v>812</v>
      </c>
    </row>
    <row r="15" spans="1:8" x14ac:dyDescent="0.25">
      <c r="A15" s="11" t="s">
        <v>1855</v>
      </c>
      <c r="B15" s="10" t="s">
        <v>804</v>
      </c>
      <c r="C15" s="10" t="s">
        <v>1635</v>
      </c>
      <c r="D15" s="10" t="str">
        <f>VLOOKUP(C15,Region!A:B,2,FALSE)</f>
        <v>MBC US</v>
      </c>
      <c r="E15" s="10" t="s">
        <v>806</v>
      </c>
      <c r="F15" s="10" t="s">
        <v>814</v>
      </c>
      <c r="G15" s="11" t="s">
        <v>682</v>
      </c>
      <c r="H15" s="10" t="s">
        <v>812</v>
      </c>
    </row>
    <row r="16" spans="1:8" x14ac:dyDescent="0.25">
      <c r="A16" s="11" t="s">
        <v>1856</v>
      </c>
      <c r="B16" s="10" t="s">
        <v>804</v>
      </c>
      <c r="C16" s="10" t="s">
        <v>1635</v>
      </c>
      <c r="D16" s="10" t="str">
        <f>VLOOKUP(C16,Region!A:B,2,FALSE)</f>
        <v>MBC US</v>
      </c>
      <c r="E16" s="10" t="s">
        <v>806</v>
      </c>
      <c r="F16" s="11" t="s">
        <v>823</v>
      </c>
      <c r="G16" s="11" t="s">
        <v>1857</v>
      </c>
      <c r="H16" s="10" t="s">
        <v>809</v>
      </c>
    </row>
    <row r="17" spans="1:8" x14ac:dyDescent="0.25">
      <c r="A17" s="11" t="s">
        <v>1401</v>
      </c>
      <c r="B17" s="10" t="s">
        <v>1086</v>
      </c>
      <c r="C17" s="10" t="s">
        <v>1087</v>
      </c>
      <c r="D17" s="10" t="str">
        <f>VLOOKUP(C17,Region!A:B,2,FALSE)</f>
        <v>Hyderabad</v>
      </c>
      <c r="E17" s="10" t="s">
        <v>806</v>
      </c>
      <c r="F17" s="11" t="s">
        <v>807</v>
      </c>
      <c r="G17" s="11" t="s">
        <v>1402</v>
      </c>
      <c r="H17" s="10" t="s">
        <v>809</v>
      </c>
    </row>
    <row r="18" spans="1:8" x14ac:dyDescent="0.25">
      <c r="A18" s="11" t="s">
        <v>1387</v>
      </c>
      <c r="B18" s="10" t="s">
        <v>1086</v>
      </c>
      <c r="C18" s="10" t="s">
        <v>1087</v>
      </c>
      <c r="D18" s="10" t="str">
        <f>VLOOKUP(C18,Region!A:B,2,FALSE)</f>
        <v>Hyderabad</v>
      </c>
      <c r="E18" s="10" t="s">
        <v>806</v>
      </c>
      <c r="F18" s="11" t="s">
        <v>811</v>
      </c>
      <c r="G18" s="11" t="s">
        <v>1388</v>
      </c>
      <c r="H18" s="10" t="s">
        <v>812</v>
      </c>
    </row>
    <row r="19" spans="1:8" x14ac:dyDescent="0.25">
      <c r="A19" s="11" t="s">
        <v>2419</v>
      </c>
      <c r="B19" s="10" t="s">
        <v>804</v>
      </c>
      <c r="C19" s="10" t="s">
        <v>2041</v>
      </c>
      <c r="D19" s="10" t="str">
        <f>VLOOKUP(C19,Region!A:B,2,FALSE)</f>
        <v>Hyderabad</v>
      </c>
      <c r="E19" s="10" t="s">
        <v>1427</v>
      </c>
      <c r="F19" s="10" t="s">
        <v>807</v>
      </c>
      <c r="G19" s="11" t="s">
        <v>2420</v>
      </c>
      <c r="H19" s="10" t="s">
        <v>812</v>
      </c>
    </row>
    <row r="20" spans="1:8" x14ac:dyDescent="0.25">
      <c r="A20" s="11" t="s">
        <v>3034</v>
      </c>
      <c r="B20" s="10" t="s">
        <v>1086</v>
      </c>
      <c r="C20" s="10" t="s">
        <v>2987</v>
      </c>
      <c r="D20" s="10" t="str">
        <f>VLOOKUP(C20,Region!A:B,2,FALSE)</f>
        <v>Noida</v>
      </c>
      <c r="E20" s="10" t="s">
        <v>1427</v>
      </c>
      <c r="F20" s="11" t="s">
        <v>814</v>
      </c>
      <c r="G20" s="11" t="s">
        <v>3035</v>
      </c>
      <c r="H20" s="10" t="s">
        <v>809</v>
      </c>
    </row>
    <row r="21" spans="1:8" x14ac:dyDescent="0.25">
      <c r="A21" s="11" t="s">
        <v>1153</v>
      </c>
      <c r="B21" s="10" t="s">
        <v>1086</v>
      </c>
      <c r="C21" s="10" t="s">
        <v>1087</v>
      </c>
      <c r="D21" s="10" t="str">
        <f>VLOOKUP(C21,Region!A:B,2,FALSE)</f>
        <v>Hyderabad</v>
      </c>
      <c r="E21" s="10" t="s">
        <v>806</v>
      </c>
      <c r="F21" s="11" t="s">
        <v>811</v>
      </c>
      <c r="G21" s="11" t="s">
        <v>1154</v>
      </c>
      <c r="H21" s="10" t="s">
        <v>812</v>
      </c>
    </row>
    <row r="22" spans="1:8" x14ac:dyDescent="0.25">
      <c r="A22" s="11" t="s">
        <v>1050</v>
      </c>
      <c r="B22" s="10" t="s">
        <v>804</v>
      </c>
      <c r="C22" s="10" t="s">
        <v>805</v>
      </c>
      <c r="D22" s="10" t="str">
        <f>VLOOKUP(C22,Region!A:B,2,FALSE)</f>
        <v>Noida</v>
      </c>
      <c r="E22" s="10" t="s">
        <v>806</v>
      </c>
      <c r="F22" s="10" t="s">
        <v>807</v>
      </c>
      <c r="G22" s="11" t="s">
        <v>1051</v>
      </c>
      <c r="H22" s="10" t="s">
        <v>809</v>
      </c>
    </row>
    <row r="23" spans="1:8" x14ac:dyDescent="0.25">
      <c r="A23" s="11" t="s">
        <v>2421</v>
      </c>
      <c r="B23" s="10" t="s">
        <v>804</v>
      </c>
      <c r="C23" s="10" t="s">
        <v>2041</v>
      </c>
      <c r="D23" s="10" t="str">
        <f>VLOOKUP(C23,Region!A:B,2,FALSE)</f>
        <v>Hyderabad</v>
      </c>
      <c r="E23" s="10" t="s">
        <v>1427</v>
      </c>
      <c r="F23" s="10" t="s">
        <v>814</v>
      </c>
      <c r="G23" s="11" t="s">
        <v>2422</v>
      </c>
      <c r="H23" s="10" t="s">
        <v>812</v>
      </c>
    </row>
    <row r="24" spans="1:8" x14ac:dyDescent="0.25">
      <c r="A24" s="11" t="s">
        <v>1237</v>
      </c>
      <c r="B24" s="10" t="s">
        <v>1086</v>
      </c>
      <c r="C24" s="10" t="s">
        <v>1087</v>
      </c>
      <c r="D24" s="10" t="str">
        <f>VLOOKUP(C24,Region!A:B,2,FALSE)</f>
        <v>Hyderabad</v>
      </c>
      <c r="E24" s="10" t="s">
        <v>806</v>
      </c>
      <c r="F24" s="11" t="s">
        <v>811</v>
      </c>
      <c r="G24" s="11" t="s">
        <v>1238</v>
      </c>
      <c r="H24" s="10" t="s">
        <v>812</v>
      </c>
    </row>
    <row r="25" spans="1:8" x14ac:dyDescent="0.25">
      <c r="A25" s="11" t="s">
        <v>1349</v>
      </c>
      <c r="B25" s="10" t="s">
        <v>1086</v>
      </c>
      <c r="C25" s="10" t="s">
        <v>1087</v>
      </c>
      <c r="D25" s="10" t="str">
        <f>VLOOKUP(C25,Region!A:B,2,FALSE)</f>
        <v>Hyderabad</v>
      </c>
      <c r="E25" s="10" t="s">
        <v>806</v>
      </c>
      <c r="F25" s="11" t="s">
        <v>811</v>
      </c>
      <c r="G25" s="11" t="s">
        <v>1350</v>
      </c>
      <c r="H25" s="10" t="s">
        <v>812</v>
      </c>
    </row>
    <row r="26" spans="1:8" x14ac:dyDescent="0.25">
      <c r="A26" s="11" t="s">
        <v>2423</v>
      </c>
      <c r="B26" s="10" t="s">
        <v>804</v>
      </c>
      <c r="C26" s="10" t="s">
        <v>2041</v>
      </c>
      <c r="D26" s="10" t="str">
        <f>VLOOKUP(C26,Region!A:B,2,FALSE)</f>
        <v>Hyderabad</v>
      </c>
      <c r="E26" s="10" t="s">
        <v>1427</v>
      </c>
      <c r="F26" s="11" t="s">
        <v>811</v>
      </c>
      <c r="G26" s="11" t="s">
        <v>2424</v>
      </c>
      <c r="H26" s="10" t="s">
        <v>812</v>
      </c>
    </row>
    <row r="27" spans="1:8" x14ac:dyDescent="0.25">
      <c r="A27" s="11" t="s">
        <v>1052</v>
      </c>
      <c r="B27" s="10" t="s">
        <v>804</v>
      </c>
      <c r="C27" s="10" t="s">
        <v>805</v>
      </c>
      <c r="D27" s="10" t="str">
        <f>VLOOKUP(C27,Region!A:B,2,FALSE)</f>
        <v>Noida</v>
      </c>
      <c r="E27" s="10" t="s">
        <v>806</v>
      </c>
      <c r="F27" s="10" t="s">
        <v>807</v>
      </c>
      <c r="G27" s="11" t="s">
        <v>1053</v>
      </c>
      <c r="H27" s="10" t="s">
        <v>812</v>
      </c>
    </row>
    <row r="28" spans="1:8" x14ac:dyDescent="0.25">
      <c r="A28" s="11" t="s">
        <v>2425</v>
      </c>
      <c r="B28" s="10" t="s">
        <v>804</v>
      </c>
      <c r="C28" s="10" t="s">
        <v>2041</v>
      </c>
      <c r="D28" s="10" t="str">
        <f>VLOOKUP(C28,Region!A:B,2,FALSE)</f>
        <v>Hyderabad</v>
      </c>
      <c r="E28" s="10" t="s">
        <v>1427</v>
      </c>
      <c r="F28" s="10" t="s">
        <v>814</v>
      </c>
      <c r="G28" s="11" t="s">
        <v>2426</v>
      </c>
      <c r="H28" s="10" t="s">
        <v>809</v>
      </c>
    </row>
    <row r="29" spans="1:8" x14ac:dyDescent="0.25">
      <c r="A29" s="11" t="s">
        <v>1596</v>
      </c>
      <c r="B29" s="10" t="s">
        <v>1597</v>
      </c>
      <c r="C29" s="10" t="s">
        <v>1426</v>
      </c>
      <c r="D29" s="10" t="str">
        <f>VLOOKUP(C29,Region!A:B,2,FALSE)</f>
        <v>Spain</v>
      </c>
      <c r="E29" s="10" t="s">
        <v>1427</v>
      </c>
      <c r="F29" s="10" t="s">
        <v>807</v>
      </c>
      <c r="G29" s="11" t="s">
        <v>289</v>
      </c>
      <c r="H29" s="10" t="s">
        <v>812</v>
      </c>
    </row>
    <row r="30" spans="1:8" x14ac:dyDescent="0.25">
      <c r="A30" s="11" t="s">
        <v>1609</v>
      </c>
      <c r="B30" s="10" t="s">
        <v>804</v>
      </c>
      <c r="C30" s="10" t="s">
        <v>1426</v>
      </c>
      <c r="D30" s="10" t="str">
        <f>VLOOKUP(C30,Region!A:B,2,FALSE)</f>
        <v>Spain</v>
      </c>
      <c r="E30" s="10" t="s">
        <v>1427</v>
      </c>
      <c r="F30" s="10" t="s">
        <v>814</v>
      </c>
      <c r="G30" s="11" t="s">
        <v>508</v>
      </c>
      <c r="H30" s="10" t="s">
        <v>812</v>
      </c>
    </row>
    <row r="31" spans="1:8" x14ac:dyDescent="0.25">
      <c r="A31" s="11" t="s">
        <v>1377</v>
      </c>
      <c r="B31" s="10" t="s">
        <v>1086</v>
      </c>
      <c r="C31" s="10" t="s">
        <v>1087</v>
      </c>
      <c r="D31" s="10" t="str">
        <f>VLOOKUP(C31,Region!A:B,2,FALSE)</f>
        <v>Hyderabad</v>
      </c>
      <c r="E31" s="10" t="s">
        <v>806</v>
      </c>
      <c r="F31" s="11" t="s">
        <v>811</v>
      </c>
      <c r="G31" s="11" t="s">
        <v>1378</v>
      </c>
      <c r="H31" s="10" t="s">
        <v>812</v>
      </c>
    </row>
    <row r="32" spans="1:8" x14ac:dyDescent="0.25">
      <c r="A32" s="11" t="s">
        <v>2427</v>
      </c>
      <c r="B32" s="10" t="s">
        <v>804</v>
      </c>
      <c r="C32" s="10" t="s">
        <v>2041</v>
      </c>
      <c r="D32" s="10" t="str">
        <f>VLOOKUP(C32,Region!A:B,2,FALSE)</f>
        <v>Hyderabad</v>
      </c>
      <c r="E32" s="10" t="s">
        <v>1427</v>
      </c>
      <c r="F32" s="10" t="s">
        <v>823</v>
      </c>
      <c r="G32" s="11" t="s">
        <v>2428</v>
      </c>
      <c r="H32" s="10" t="s">
        <v>809</v>
      </c>
    </row>
    <row r="33" spans="1:8" x14ac:dyDescent="0.25">
      <c r="A33" s="11" t="s">
        <v>2429</v>
      </c>
      <c r="B33" s="10" t="s">
        <v>804</v>
      </c>
      <c r="C33" s="10" t="s">
        <v>2041</v>
      </c>
      <c r="D33" s="10" t="str">
        <f>VLOOKUP(C33,Region!A:B,2,FALSE)</f>
        <v>Hyderabad</v>
      </c>
      <c r="E33" s="10" t="s">
        <v>1427</v>
      </c>
      <c r="F33" s="10" t="s">
        <v>823</v>
      </c>
      <c r="G33" s="11" t="s">
        <v>2430</v>
      </c>
      <c r="H33" s="10" t="s">
        <v>809</v>
      </c>
    </row>
    <row r="34" spans="1:8" x14ac:dyDescent="0.25">
      <c r="A34" s="11" t="s">
        <v>1622</v>
      </c>
      <c r="B34" s="10" t="s">
        <v>804</v>
      </c>
      <c r="C34" s="10" t="s">
        <v>1426</v>
      </c>
      <c r="D34" s="10" t="str">
        <f>VLOOKUP(C34,Region!A:B,2,FALSE)</f>
        <v>Spain</v>
      </c>
      <c r="E34" s="10" t="s">
        <v>1427</v>
      </c>
      <c r="F34" s="10" t="s">
        <v>823</v>
      </c>
      <c r="G34" s="11" t="s">
        <v>1623</v>
      </c>
      <c r="H34" s="10" t="s">
        <v>809</v>
      </c>
    </row>
    <row r="35" spans="1:8" x14ac:dyDescent="0.25">
      <c r="A35" s="11" t="s">
        <v>2431</v>
      </c>
      <c r="B35" s="10" t="s">
        <v>804</v>
      </c>
      <c r="C35" s="10" t="s">
        <v>2041</v>
      </c>
      <c r="D35" s="10" t="str">
        <f>VLOOKUP(C35,Region!A:B,2,FALSE)</f>
        <v>Hyderabad</v>
      </c>
      <c r="E35" s="10" t="s">
        <v>1427</v>
      </c>
      <c r="F35" s="10" t="s">
        <v>823</v>
      </c>
      <c r="G35" s="11" t="s">
        <v>2432</v>
      </c>
      <c r="H35" s="10" t="s">
        <v>809</v>
      </c>
    </row>
    <row r="36" spans="1:8" x14ac:dyDescent="0.25">
      <c r="A36" s="11" t="s">
        <v>1171</v>
      </c>
      <c r="B36" s="10" t="s">
        <v>1086</v>
      </c>
      <c r="C36" s="10" t="s">
        <v>1087</v>
      </c>
      <c r="D36" s="10" t="str">
        <f>VLOOKUP(C36,Region!A:B,2,FALSE)</f>
        <v>Hyderabad</v>
      </c>
      <c r="E36" s="10" t="s">
        <v>806</v>
      </c>
      <c r="F36" s="11" t="s">
        <v>823</v>
      </c>
      <c r="G36" s="11" t="s">
        <v>1172</v>
      </c>
      <c r="H36" s="10" t="s">
        <v>812</v>
      </c>
    </row>
    <row r="37" spans="1:8" x14ac:dyDescent="0.25">
      <c r="A37" s="11" t="s">
        <v>2433</v>
      </c>
      <c r="B37" s="10" t="s">
        <v>804</v>
      </c>
      <c r="C37" s="10" t="s">
        <v>2041</v>
      </c>
      <c r="D37" s="10" t="str">
        <f>VLOOKUP(C37,Region!A:B,2,FALSE)</f>
        <v>Hyderabad</v>
      </c>
      <c r="E37" s="10" t="s">
        <v>1427</v>
      </c>
      <c r="F37" s="10" t="s">
        <v>823</v>
      </c>
      <c r="G37" s="11" t="s">
        <v>2434</v>
      </c>
      <c r="H37" s="10" t="s">
        <v>809</v>
      </c>
    </row>
    <row r="38" spans="1:8" x14ac:dyDescent="0.25">
      <c r="A38" s="11" t="s">
        <v>1438</v>
      </c>
      <c r="B38" s="10" t="s">
        <v>804</v>
      </c>
      <c r="C38" s="10" t="s">
        <v>2041</v>
      </c>
      <c r="D38" s="10" t="str">
        <f>VLOOKUP(C38,Region!A:B,2,FALSE)</f>
        <v>Hyderabad</v>
      </c>
      <c r="E38" s="10" t="s">
        <v>1427</v>
      </c>
      <c r="F38" s="11" t="s">
        <v>807</v>
      </c>
      <c r="G38" s="11" t="s">
        <v>1439</v>
      </c>
      <c r="H38" s="10" t="s">
        <v>812</v>
      </c>
    </row>
    <row r="39" spans="1:8" x14ac:dyDescent="0.25">
      <c r="A39" s="11" t="s">
        <v>1621</v>
      </c>
      <c r="B39" s="10" t="s">
        <v>804</v>
      </c>
      <c r="C39" s="10" t="s">
        <v>1426</v>
      </c>
      <c r="D39" s="10" t="str">
        <f>VLOOKUP(C39,Region!A:B,2,FALSE)</f>
        <v>Spain</v>
      </c>
      <c r="E39" s="10" t="s">
        <v>1427</v>
      </c>
      <c r="F39" s="10" t="s">
        <v>811</v>
      </c>
      <c r="G39" s="11" t="s">
        <v>181</v>
      </c>
      <c r="H39" s="10" t="s">
        <v>812</v>
      </c>
    </row>
    <row r="40" spans="1:8" x14ac:dyDescent="0.25">
      <c r="A40" s="11" t="s">
        <v>2435</v>
      </c>
      <c r="B40" s="10" t="s">
        <v>804</v>
      </c>
      <c r="C40" s="10" t="s">
        <v>2041</v>
      </c>
      <c r="D40" s="10" t="str">
        <f>VLOOKUP(C40,Region!A:B,2,FALSE)</f>
        <v>Hyderabad</v>
      </c>
      <c r="E40" s="10" t="s">
        <v>1427</v>
      </c>
      <c r="F40" s="10" t="s">
        <v>823</v>
      </c>
      <c r="G40" s="11" t="s">
        <v>2436</v>
      </c>
      <c r="H40" s="10" t="s">
        <v>809</v>
      </c>
    </row>
    <row r="41" spans="1:8" x14ac:dyDescent="0.25">
      <c r="A41" s="11" t="s">
        <v>2437</v>
      </c>
      <c r="B41" s="10" t="s">
        <v>804</v>
      </c>
      <c r="C41" s="10" t="s">
        <v>2041</v>
      </c>
      <c r="D41" s="10" t="str">
        <f>VLOOKUP(C41,Region!A:B,2,FALSE)</f>
        <v>Hyderabad</v>
      </c>
      <c r="E41" s="10" t="s">
        <v>1427</v>
      </c>
      <c r="F41" s="10" t="s">
        <v>811</v>
      </c>
      <c r="G41" s="11" t="s">
        <v>2438</v>
      </c>
      <c r="H41" s="10" t="s">
        <v>809</v>
      </c>
    </row>
    <row r="42" spans="1:8" x14ac:dyDescent="0.25">
      <c r="A42" s="11" t="s">
        <v>836</v>
      </c>
      <c r="B42" s="10" t="s">
        <v>804</v>
      </c>
      <c r="C42" s="10" t="s">
        <v>805</v>
      </c>
      <c r="D42" s="10" t="str">
        <f>VLOOKUP(C42,Region!A:B,2,FALSE)</f>
        <v>Noida</v>
      </c>
      <c r="E42" s="10" t="s">
        <v>806</v>
      </c>
      <c r="F42" s="10" t="s">
        <v>814</v>
      </c>
      <c r="G42" s="11" t="s">
        <v>837</v>
      </c>
      <c r="H42" s="10" t="s">
        <v>809</v>
      </c>
    </row>
    <row r="43" spans="1:8" x14ac:dyDescent="0.25">
      <c r="A43" s="11" t="s">
        <v>2439</v>
      </c>
      <c r="B43" s="10" t="s">
        <v>804</v>
      </c>
      <c r="C43" s="10" t="s">
        <v>2041</v>
      </c>
      <c r="D43" s="10" t="str">
        <f>VLOOKUP(C43,Region!A:B,2,FALSE)</f>
        <v>Hyderabad</v>
      </c>
      <c r="E43" s="10" t="s">
        <v>1427</v>
      </c>
      <c r="F43" s="10" t="s">
        <v>814</v>
      </c>
      <c r="G43" s="11" t="s">
        <v>2440</v>
      </c>
      <c r="H43" s="10" t="s">
        <v>809</v>
      </c>
    </row>
    <row r="44" spans="1:8" x14ac:dyDescent="0.25">
      <c r="A44" s="11" t="s">
        <v>2686</v>
      </c>
      <c r="B44" s="10" t="s">
        <v>804</v>
      </c>
      <c r="C44" s="10" t="s">
        <v>2518</v>
      </c>
      <c r="D44" s="10" t="str">
        <f>VLOOKUP(C44,Region!A:B,2,FALSE)</f>
        <v>Noida</v>
      </c>
      <c r="E44" s="10" t="s">
        <v>1427</v>
      </c>
      <c r="F44" s="11" t="s">
        <v>807</v>
      </c>
      <c r="G44" s="11" t="s">
        <v>2687</v>
      </c>
      <c r="H44" s="10" t="s">
        <v>809</v>
      </c>
    </row>
    <row r="45" spans="1:8" x14ac:dyDescent="0.25">
      <c r="A45" s="11" t="s">
        <v>2903</v>
      </c>
      <c r="B45" s="10" t="s">
        <v>804</v>
      </c>
      <c r="C45" s="10" t="s">
        <v>2752</v>
      </c>
      <c r="D45" s="10" t="str">
        <f>VLOOKUP(C45,Region!A:B,2,FALSE)</f>
        <v>Noida</v>
      </c>
      <c r="E45" s="10" t="s">
        <v>806</v>
      </c>
      <c r="F45" s="11" t="s">
        <v>814</v>
      </c>
      <c r="G45" s="11" t="s">
        <v>2904</v>
      </c>
      <c r="H45" s="10" t="s">
        <v>809</v>
      </c>
    </row>
    <row r="46" spans="1:8" x14ac:dyDescent="0.25">
      <c r="A46" s="11" t="s">
        <v>1477</v>
      </c>
      <c r="B46" s="10" t="s">
        <v>1086</v>
      </c>
      <c r="C46" s="10" t="s">
        <v>1426</v>
      </c>
      <c r="D46" s="10" t="str">
        <f>VLOOKUP(C46,Region!A:B,2,FALSE)</f>
        <v>Spain</v>
      </c>
      <c r="E46" s="10" t="s">
        <v>1427</v>
      </c>
      <c r="F46" s="11" t="s">
        <v>807</v>
      </c>
      <c r="G46" s="11" t="s">
        <v>1478</v>
      </c>
      <c r="H46" s="10" t="s">
        <v>809</v>
      </c>
    </row>
    <row r="47" spans="1:8" x14ac:dyDescent="0.25">
      <c r="A47" s="11" t="s">
        <v>2097</v>
      </c>
      <c r="B47" s="10" t="s">
        <v>804</v>
      </c>
      <c r="C47" s="10" t="s">
        <v>2041</v>
      </c>
      <c r="D47" s="10" t="str">
        <f>VLOOKUP(C47,Region!A:B,2,FALSE)</f>
        <v>Hyderabad</v>
      </c>
      <c r="E47" s="10" t="s">
        <v>1427</v>
      </c>
      <c r="F47" s="11" t="s">
        <v>814</v>
      </c>
      <c r="G47" s="11" t="s">
        <v>2098</v>
      </c>
      <c r="H47" s="10" t="s">
        <v>809</v>
      </c>
    </row>
    <row r="48" spans="1:8" x14ac:dyDescent="0.25">
      <c r="A48" s="11" t="s">
        <v>1470</v>
      </c>
      <c r="B48" s="10" t="s">
        <v>1086</v>
      </c>
      <c r="C48" s="10" t="s">
        <v>1426</v>
      </c>
      <c r="D48" s="10" t="str">
        <f>VLOOKUP(C48,Region!A:B,2,FALSE)</f>
        <v>Spain</v>
      </c>
      <c r="E48" s="10" t="s">
        <v>1427</v>
      </c>
      <c r="F48" s="11" t="s">
        <v>807</v>
      </c>
      <c r="G48" s="11" t="s">
        <v>1471</v>
      </c>
      <c r="H48" s="10" t="s">
        <v>809</v>
      </c>
    </row>
    <row r="49" spans="1:8" x14ac:dyDescent="0.25">
      <c r="A49" s="11" t="s">
        <v>1479</v>
      </c>
      <c r="B49" s="10" t="s">
        <v>1086</v>
      </c>
      <c r="C49" s="10" t="s">
        <v>1426</v>
      </c>
      <c r="D49" s="10" t="str">
        <f>VLOOKUP(C49,Region!A:B,2,FALSE)</f>
        <v>Spain</v>
      </c>
      <c r="E49" s="10" t="s">
        <v>1427</v>
      </c>
      <c r="F49" s="11" t="s">
        <v>811</v>
      </c>
      <c r="G49" s="11" t="s">
        <v>152</v>
      </c>
      <c r="H49" s="10" t="s">
        <v>812</v>
      </c>
    </row>
    <row r="50" spans="1:8" x14ac:dyDescent="0.25">
      <c r="A50" s="11" t="s">
        <v>3139</v>
      </c>
      <c r="B50" s="10" t="s">
        <v>1086</v>
      </c>
      <c r="C50" s="10" t="s">
        <v>2987</v>
      </c>
      <c r="D50" s="10" t="str">
        <f>VLOOKUP(C50,Region!A:B,2,FALSE)</f>
        <v>Noida</v>
      </c>
      <c r="E50" s="10" t="s">
        <v>1427</v>
      </c>
      <c r="F50" s="11" t="s">
        <v>807</v>
      </c>
      <c r="G50" s="11" t="s">
        <v>3140</v>
      </c>
      <c r="H50" s="10" t="s">
        <v>809</v>
      </c>
    </row>
    <row r="51" spans="1:8" x14ac:dyDescent="0.25">
      <c r="A51" s="11" t="s">
        <v>3019</v>
      </c>
      <c r="B51" s="10" t="s">
        <v>1086</v>
      </c>
      <c r="C51" s="10" t="s">
        <v>2987</v>
      </c>
      <c r="D51" s="10" t="str">
        <f>VLOOKUP(C51,Region!A:B,2,FALSE)</f>
        <v>Noida</v>
      </c>
      <c r="E51" s="10" t="s">
        <v>1427</v>
      </c>
      <c r="F51" s="11" t="s">
        <v>823</v>
      </c>
      <c r="G51" s="11" t="s">
        <v>3020</v>
      </c>
      <c r="H51" s="10" t="s">
        <v>809</v>
      </c>
    </row>
    <row r="52" spans="1:8" x14ac:dyDescent="0.25">
      <c r="A52" s="11" t="s">
        <v>3004</v>
      </c>
      <c r="B52" s="10" t="s">
        <v>1086</v>
      </c>
      <c r="C52" s="10" t="s">
        <v>2987</v>
      </c>
      <c r="D52" s="10" t="str">
        <f>VLOOKUP(C52,Region!A:B,2,FALSE)</f>
        <v>Noida</v>
      </c>
      <c r="E52" s="10" t="s">
        <v>1427</v>
      </c>
      <c r="F52" s="11" t="s">
        <v>823</v>
      </c>
      <c r="G52" s="11" t="s">
        <v>3005</v>
      </c>
      <c r="H52" s="10" t="s">
        <v>812</v>
      </c>
    </row>
    <row r="53" spans="1:8" x14ac:dyDescent="0.25">
      <c r="A53" s="11" t="s">
        <v>1636</v>
      </c>
      <c r="B53" s="10" t="s">
        <v>804</v>
      </c>
      <c r="C53" s="10" t="s">
        <v>1635</v>
      </c>
      <c r="D53" s="10" t="str">
        <f>VLOOKUP(C53,Region!A:B,2,FALSE)</f>
        <v>MBC US</v>
      </c>
      <c r="E53" s="10" t="s">
        <v>806</v>
      </c>
      <c r="F53" s="11" t="s">
        <v>814</v>
      </c>
      <c r="G53" s="11" t="s">
        <v>271</v>
      </c>
      <c r="H53" s="10" t="s">
        <v>812</v>
      </c>
    </row>
    <row r="54" spans="1:8" x14ac:dyDescent="0.25">
      <c r="A54" s="11" t="s">
        <v>1200</v>
      </c>
      <c r="B54" s="10" t="s">
        <v>1086</v>
      </c>
      <c r="C54" s="10" t="s">
        <v>1087</v>
      </c>
      <c r="D54" s="10" t="str">
        <f>VLOOKUP(C54,Region!A:B,2,FALSE)</f>
        <v>Hyderabad</v>
      </c>
      <c r="E54" s="10" t="s">
        <v>806</v>
      </c>
      <c r="F54" s="11" t="s">
        <v>807</v>
      </c>
      <c r="G54" s="11" t="s">
        <v>1201</v>
      </c>
      <c r="H54" s="10" t="s">
        <v>809</v>
      </c>
    </row>
    <row r="55" spans="1:8" x14ac:dyDescent="0.25">
      <c r="A55" s="11" t="s">
        <v>2846</v>
      </c>
      <c r="B55" s="10" t="s">
        <v>804</v>
      </c>
      <c r="C55" s="10" t="s">
        <v>2752</v>
      </c>
      <c r="D55" s="10" t="str">
        <f>VLOOKUP(C55,Region!A:B,2,FALSE)</f>
        <v>Noida</v>
      </c>
      <c r="E55" s="10" t="s">
        <v>806</v>
      </c>
      <c r="F55" s="11" t="s">
        <v>823</v>
      </c>
      <c r="G55" s="11" t="s">
        <v>2847</v>
      </c>
      <c r="H55" s="10" t="s">
        <v>812</v>
      </c>
    </row>
    <row r="56" spans="1:8" x14ac:dyDescent="0.25">
      <c r="A56" s="11" t="s">
        <v>2615</v>
      </c>
      <c r="B56" s="10" t="s">
        <v>804</v>
      </c>
      <c r="C56" s="10" t="s">
        <v>2518</v>
      </c>
      <c r="D56" s="10" t="str">
        <f>VLOOKUP(C56,Region!A:B,2,FALSE)</f>
        <v>Noida</v>
      </c>
      <c r="E56" s="10" t="s">
        <v>1427</v>
      </c>
      <c r="F56" s="11" t="s">
        <v>814</v>
      </c>
      <c r="G56" s="11" t="s">
        <v>2616</v>
      </c>
      <c r="H56" s="10" t="s">
        <v>809</v>
      </c>
    </row>
    <row r="57" spans="1:8" x14ac:dyDescent="0.25">
      <c r="A57" s="11" t="s">
        <v>1467</v>
      </c>
      <c r="B57" s="10" t="s">
        <v>1086</v>
      </c>
      <c r="C57" s="10" t="s">
        <v>1426</v>
      </c>
      <c r="D57" s="10" t="str">
        <f>VLOOKUP(C57,Region!A:B,2,FALSE)</f>
        <v>Spain</v>
      </c>
      <c r="E57" s="10" t="s">
        <v>1427</v>
      </c>
      <c r="F57" s="11" t="s">
        <v>807</v>
      </c>
      <c r="G57" s="11" t="s">
        <v>1468</v>
      </c>
      <c r="H57" s="10" t="s">
        <v>809</v>
      </c>
    </row>
    <row r="58" spans="1:8" x14ac:dyDescent="0.25">
      <c r="A58" s="11" t="s">
        <v>3417</v>
      </c>
      <c r="B58" s="10" t="s">
        <v>1086</v>
      </c>
      <c r="C58" s="10" t="s">
        <v>3273</v>
      </c>
      <c r="D58" s="10" t="str">
        <f>VLOOKUP(C58,Region!A:B,2,FALSE)</f>
        <v>Noida</v>
      </c>
      <c r="E58" s="10" t="s">
        <v>806</v>
      </c>
      <c r="F58" s="11" t="s">
        <v>811</v>
      </c>
      <c r="G58" s="11" t="s">
        <v>3418</v>
      </c>
      <c r="H58" s="10" t="s">
        <v>812</v>
      </c>
    </row>
    <row r="59" spans="1:8" x14ac:dyDescent="0.25">
      <c r="A59" s="11" t="s">
        <v>1048</v>
      </c>
      <c r="B59" s="10" t="s">
        <v>804</v>
      </c>
      <c r="C59" s="10" t="s">
        <v>805</v>
      </c>
      <c r="D59" s="10" t="str">
        <f>VLOOKUP(C59,Region!A:B,2,FALSE)</f>
        <v>Noida</v>
      </c>
      <c r="E59" s="10" t="s">
        <v>806</v>
      </c>
      <c r="F59" s="11" t="s">
        <v>823</v>
      </c>
      <c r="G59" s="11" t="s">
        <v>1049</v>
      </c>
      <c r="H59" s="10" t="s">
        <v>809</v>
      </c>
    </row>
    <row r="60" spans="1:8" x14ac:dyDescent="0.25">
      <c r="A60" s="11" t="s">
        <v>1397</v>
      </c>
      <c r="B60" s="10" t="s">
        <v>1086</v>
      </c>
      <c r="C60" s="10" t="s">
        <v>1087</v>
      </c>
      <c r="D60" s="10" t="str">
        <f>VLOOKUP(C60,Region!A:B,2,FALSE)</f>
        <v>Hyderabad</v>
      </c>
      <c r="E60" s="10" t="s">
        <v>806</v>
      </c>
      <c r="F60" s="11" t="s">
        <v>811</v>
      </c>
      <c r="G60" s="11" t="s">
        <v>1398</v>
      </c>
      <c r="H60" s="10" t="s">
        <v>809</v>
      </c>
    </row>
    <row r="61" spans="1:8" x14ac:dyDescent="0.25">
      <c r="A61" s="11" t="s">
        <v>3266</v>
      </c>
      <c r="B61" s="10" t="s">
        <v>1086</v>
      </c>
      <c r="C61" s="10" t="s">
        <v>2987</v>
      </c>
      <c r="D61" s="10" t="str">
        <f>VLOOKUP(C61,Region!A:B,2,FALSE)</f>
        <v>Noida</v>
      </c>
      <c r="E61" s="10" t="s">
        <v>1427</v>
      </c>
      <c r="F61" s="11" t="s">
        <v>823</v>
      </c>
      <c r="G61" s="11" t="s">
        <v>3267</v>
      </c>
      <c r="H61" s="10" t="s">
        <v>809</v>
      </c>
    </row>
    <row r="62" spans="1:8" x14ac:dyDescent="0.25">
      <c r="A62" s="11" t="s">
        <v>992</v>
      </c>
      <c r="B62" s="10" t="s">
        <v>804</v>
      </c>
      <c r="C62" s="10" t="s">
        <v>805</v>
      </c>
      <c r="D62" s="10" t="str">
        <f>VLOOKUP(C62,Region!A:B,2,FALSE)</f>
        <v>Noida</v>
      </c>
      <c r="E62" s="10" t="s">
        <v>806</v>
      </c>
      <c r="F62" s="11" t="s">
        <v>814</v>
      </c>
      <c r="G62" s="11" t="s">
        <v>993</v>
      </c>
      <c r="H62" s="10" t="s">
        <v>809</v>
      </c>
    </row>
    <row r="63" spans="1:8" x14ac:dyDescent="0.25">
      <c r="A63" s="11" t="s">
        <v>1227</v>
      </c>
      <c r="B63" s="10" t="s">
        <v>1086</v>
      </c>
      <c r="C63" s="10" t="s">
        <v>1087</v>
      </c>
      <c r="D63" s="10" t="str">
        <f>VLOOKUP(C63,Region!A:B,2,FALSE)</f>
        <v>Hyderabad</v>
      </c>
      <c r="E63" s="10" t="s">
        <v>806</v>
      </c>
      <c r="F63" s="11" t="s">
        <v>811</v>
      </c>
      <c r="G63" s="11" t="s">
        <v>1228</v>
      </c>
      <c r="H63" s="10" t="s">
        <v>809</v>
      </c>
    </row>
    <row r="64" spans="1:8" x14ac:dyDescent="0.25">
      <c r="A64" s="11" t="s">
        <v>2266</v>
      </c>
      <c r="B64" s="10" t="s">
        <v>804</v>
      </c>
      <c r="C64" s="10" t="s">
        <v>2041</v>
      </c>
      <c r="D64" s="10" t="str">
        <f>VLOOKUP(C64,Region!A:B,2,FALSE)</f>
        <v>Hyderabad</v>
      </c>
      <c r="E64" s="10" t="s">
        <v>1427</v>
      </c>
      <c r="F64" s="11" t="s">
        <v>807</v>
      </c>
      <c r="G64" s="11" t="s">
        <v>2267</v>
      </c>
      <c r="H64" s="10" t="s">
        <v>812</v>
      </c>
    </row>
    <row r="65" spans="1:8" x14ac:dyDescent="0.25">
      <c r="A65" s="11" t="s">
        <v>1174</v>
      </c>
      <c r="B65" s="10" t="s">
        <v>1086</v>
      </c>
      <c r="C65" s="10" t="s">
        <v>1087</v>
      </c>
      <c r="D65" s="10" t="str">
        <f>VLOOKUP(C65,Region!A:B,2,FALSE)</f>
        <v>Hyderabad</v>
      </c>
      <c r="E65" s="10" t="s">
        <v>806</v>
      </c>
      <c r="F65" s="11" t="s">
        <v>814</v>
      </c>
      <c r="G65" s="11" t="s">
        <v>1175</v>
      </c>
      <c r="H65" s="10" t="s">
        <v>812</v>
      </c>
    </row>
    <row r="66" spans="1:8" x14ac:dyDescent="0.25">
      <c r="A66" s="11" t="s">
        <v>1641</v>
      </c>
      <c r="B66" s="10" t="s">
        <v>804</v>
      </c>
      <c r="C66" s="10" t="s">
        <v>1635</v>
      </c>
      <c r="D66" s="10" t="str">
        <f>VLOOKUP(C66,Region!A:B,2,FALSE)</f>
        <v>MBC US</v>
      </c>
      <c r="E66" s="10" t="s">
        <v>806</v>
      </c>
      <c r="F66" s="11" t="s">
        <v>814</v>
      </c>
      <c r="G66" s="11" t="s">
        <v>251</v>
      </c>
      <c r="H66" s="10" t="s">
        <v>812</v>
      </c>
    </row>
    <row r="67" spans="1:8" x14ac:dyDescent="0.25">
      <c r="A67" s="11" t="s">
        <v>1651</v>
      </c>
      <c r="B67" s="10" t="s">
        <v>1086</v>
      </c>
      <c r="C67" s="10" t="s">
        <v>1635</v>
      </c>
      <c r="D67" s="10" t="str">
        <f>VLOOKUP(C67,Region!A:B,2,FALSE)</f>
        <v>MBC US</v>
      </c>
      <c r="E67" s="10" t="s">
        <v>806</v>
      </c>
      <c r="F67" s="11" t="s">
        <v>823</v>
      </c>
      <c r="G67" s="11" t="s">
        <v>1652</v>
      </c>
      <c r="H67" s="10" t="s">
        <v>809</v>
      </c>
    </row>
    <row r="68" spans="1:8" x14ac:dyDescent="0.25">
      <c r="A68" s="11" t="s">
        <v>1475</v>
      </c>
      <c r="B68" s="10" t="s">
        <v>804</v>
      </c>
      <c r="C68" s="10" t="s">
        <v>1426</v>
      </c>
      <c r="D68" s="10" t="str">
        <f>VLOOKUP(C68,Region!A:B,2,FALSE)</f>
        <v>Spain</v>
      </c>
      <c r="E68" s="10" t="s">
        <v>1427</v>
      </c>
      <c r="F68" s="11" t="s">
        <v>823</v>
      </c>
      <c r="G68" s="11" t="s">
        <v>1476</v>
      </c>
      <c r="H68" s="10" t="s">
        <v>809</v>
      </c>
    </row>
    <row r="69" spans="1:8" x14ac:dyDescent="0.25">
      <c r="A69" s="11" t="s">
        <v>1461</v>
      </c>
      <c r="B69" s="10" t="s">
        <v>1086</v>
      </c>
      <c r="C69" s="10" t="s">
        <v>1426</v>
      </c>
      <c r="D69" s="10" t="str">
        <f>VLOOKUP(C69,Region!A:B,2,FALSE)</f>
        <v>Spain</v>
      </c>
      <c r="E69" s="10" t="s">
        <v>1427</v>
      </c>
      <c r="F69" s="11" t="s">
        <v>807</v>
      </c>
      <c r="G69" s="11" t="s">
        <v>1462</v>
      </c>
      <c r="H69" s="10" t="s">
        <v>809</v>
      </c>
    </row>
    <row r="70" spans="1:8" x14ac:dyDescent="0.25">
      <c r="A70" s="11" t="s">
        <v>1180</v>
      </c>
      <c r="B70" s="10" t="s">
        <v>1086</v>
      </c>
      <c r="C70" s="10" t="s">
        <v>1087</v>
      </c>
      <c r="D70" s="10" t="str">
        <f>VLOOKUP(C70,Region!A:B,2,FALSE)</f>
        <v>Hyderabad</v>
      </c>
      <c r="E70" s="10" t="s">
        <v>806</v>
      </c>
      <c r="F70" s="11" t="s">
        <v>807</v>
      </c>
      <c r="G70" s="11" t="s">
        <v>1181</v>
      </c>
      <c r="H70" s="10" t="s">
        <v>809</v>
      </c>
    </row>
    <row r="71" spans="1:8" x14ac:dyDescent="0.25">
      <c r="A71" s="11" t="s">
        <v>2688</v>
      </c>
      <c r="B71" s="10" t="s">
        <v>804</v>
      </c>
      <c r="C71" s="10" t="s">
        <v>2518</v>
      </c>
      <c r="D71" s="10" t="str">
        <f>VLOOKUP(C71,Region!A:B,2,FALSE)</f>
        <v>Noida</v>
      </c>
      <c r="E71" s="10" t="s">
        <v>1427</v>
      </c>
      <c r="F71" s="11" t="s">
        <v>807</v>
      </c>
      <c r="G71" s="11" t="s">
        <v>231</v>
      </c>
      <c r="H71" s="10" t="s">
        <v>812</v>
      </c>
    </row>
    <row r="72" spans="1:8" x14ac:dyDescent="0.25">
      <c r="A72" s="11" t="s">
        <v>2152</v>
      </c>
      <c r="B72" s="10" t="s">
        <v>804</v>
      </c>
      <c r="C72" s="10" t="s">
        <v>2041</v>
      </c>
      <c r="D72" s="10" t="str">
        <f>VLOOKUP(C72,Region!A:B,2,FALSE)</f>
        <v>Hyderabad</v>
      </c>
      <c r="E72" s="10" t="s">
        <v>1427</v>
      </c>
      <c r="F72" s="11" t="s">
        <v>811</v>
      </c>
      <c r="G72" s="11" t="s">
        <v>2153</v>
      </c>
      <c r="H72" s="10" t="s">
        <v>809</v>
      </c>
    </row>
    <row r="73" spans="1:8" x14ac:dyDescent="0.25">
      <c r="A73" s="11" t="s">
        <v>3214</v>
      </c>
      <c r="B73" s="10" t="s">
        <v>1086</v>
      </c>
      <c r="C73" s="10" t="s">
        <v>2987</v>
      </c>
      <c r="D73" s="10" t="str">
        <f>VLOOKUP(C73,Region!A:B,2,FALSE)</f>
        <v>Noida</v>
      </c>
      <c r="E73" s="10" t="s">
        <v>1427</v>
      </c>
      <c r="F73" s="11" t="s">
        <v>823</v>
      </c>
      <c r="G73" s="11" t="s">
        <v>3215</v>
      </c>
      <c r="H73" s="10" t="s">
        <v>809</v>
      </c>
    </row>
    <row r="74" spans="1:8" x14ac:dyDescent="0.25">
      <c r="A74" s="11" t="s">
        <v>2347</v>
      </c>
      <c r="B74" s="10" t="s">
        <v>804</v>
      </c>
      <c r="C74" s="10" t="s">
        <v>2041</v>
      </c>
      <c r="D74" s="10" t="str">
        <f>VLOOKUP(C74,Region!A:B,2,FALSE)</f>
        <v>Hyderabad</v>
      </c>
      <c r="E74" s="10" t="s">
        <v>1427</v>
      </c>
      <c r="F74" s="11" t="s">
        <v>814</v>
      </c>
      <c r="G74" s="11" t="s">
        <v>2348</v>
      </c>
      <c r="H74" s="10" t="s">
        <v>812</v>
      </c>
    </row>
    <row r="75" spans="1:8" x14ac:dyDescent="0.25">
      <c r="A75" s="11" t="s">
        <v>1157</v>
      </c>
      <c r="B75" s="10" t="s">
        <v>1086</v>
      </c>
      <c r="C75" s="10" t="s">
        <v>1087</v>
      </c>
      <c r="D75" s="10" t="str">
        <f>VLOOKUP(C75,Region!A:B,2,FALSE)</f>
        <v>Hyderabad</v>
      </c>
      <c r="E75" s="10" t="s">
        <v>806</v>
      </c>
      <c r="F75" s="11" t="s">
        <v>814</v>
      </c>
      <c r="G75" s="11" t="s">
        <v>1158</v>
      </c>
      <c r="H75" s="10" t="s">
        <v>809</v>
      </c>
    </row>
    <row r="76" spans="1:8" x14ac:dyDescent="0.25">
      <c r="A76" s="11" t="s">
        <v>3008</v>
      </c>
      <c r="B76" s="10" t="s">
        <v>1086</v>
      </c>
      <c r="C76" s="10" t="s">
        <v>2987</v>
      </c>
      <c r="D76" s="10" t="str">
        <f>VLOOKUP(C76,Region!A:B,2,FALSE)</f>
        <v>Noida</v>
      </c>
      <c r="E76" s="10" t="s">
        <v>1427</v>
      </c>
      <c r="F76" s="11" t="s">
        <v>811</v>
      </c>
      <c r="G76" s="11" t="s">
        <v>3009</v>
      </c>
      <c r="H76" s="10" t="s">
        <v>809</v>
      </c>
    </row>
    <row r="77" spans="1:8" x14ac:dyDescent="0.25">
      <c r="A77" s="11" t="s">
        <v>2043</v>
      </c>
      <c r="B77" s="10" t="s">
        <v>804</v>
      </c>
      <c r="C77" s="10" t="s">
        <v>2041</v>
      </c>
      <c r="D77" s="10" t="str">
        <f>VLOOKUP(C77,Region!A:B,2,FALSE)</f>
        <v>Hyderabad</v>
      </c>
      <c r="E77" s="10" t="s">
        <v>1427</v>
      </c>
      <c r="F77" s="11" t="s">
        <v>823</v>
      </c>
      <c r="G77" s="11" t="s">
        <v>2044</v>
      </c>
      <c r="H77" s="10" t="s">
        <v>812</v>
      </c>
    </row>
    <row r="78" spans="1:8" x14ac:dyDescent="0.25">
      <c r="A78" s="11" t="s">
        <v>1016</v>
      </c>
      <c r="B78" s="10" t="s">
        <v>804</v>
      </c>
      <c r="C78" s="10" t="s">
        <v>805</v>
      </c>
      <c r="D78" s="10" t="str">
        <f>VLOOKUP(C78,Region!A:B,2,FALSE)</f>
        <v>Noida</v>
      </c>
      <c r="E78" s="10" t="s">
        <v>806</v>
      </c>
      <c r="F78" s="11" t="s">
        <v>823</v>
      </c>
      <c r="G78" s="11" t="s">
        <v>1017</v>
      </c>
      <c r="H78" s="10" t="s">
        <v>809</v>
      </c>
    </row>
    <row r="79" spans="1:8" x14ac:dyDescent="0.25">
      <c r="A79" s="11" t="s">
        <v>1655</v>
      </c>
      <c r="B79" s="10" t="s">
        <v>1086</v>
      </c>
      <c r="C79" s="10" t="s">
        <v>1635</v>
      </c>
      <c r="D79" s="10" t="str">
        <f>VLOOKUP(C79,Region!A:B,2,FALSE)</f>
        <v>MBC US</v>
      </c>
      <c r="E79" s="10" t="s">
        <v>806</v>
      </c>
      <c r="F79" s="11" t="s">
        <v>814</v>
      </c>
      <c r="G79" s="11" t="s">
        <v>1656</v>
      </c>
      <c r="H79" s="10" t="s">
        <v>809</v>
      </c>
    </row>
    <row r="80" spans="1:8" x14ac:dyDescent="0.25">
      <c r="A80" s="11" t="s">
        <v>2636</v>
      </c>
      <c r="B80" s="10" t="s">
        <v>804</v>
      </c>
      <c r="C80" s="10" t="s">
        <v>2518</v>
      </c>
      <c r="D80" s="10" t="str">
        <f>VLOOKUP(C80,Region!A:B,2,FALSE)</f>
        <v>Noida</v>
      </c>
      <c r="E80" s="10" t="s">
        <v>1427</v>
      </c>
      <c r="F80" s="11" t="s">
        <v>823</v>
      </c>
      <c r="G80" s="11" t="s">
        <v>2637</v>
      </c>
      <c r="H80" s="10" t="s">
        <v>809</v>
      </c>
    </row>
    <row r="81" spans="1:8" x14ac:dyDescent="0.25">
      <c r="A81" s="11" t="s">
        <v>1472</v>
      </c>
      <c r="B81" s="10" t="s">
        <v>804</v>
      </c>
      <c r="C81" s="10" t="s">
        <v>1426</v>
      </c>
      <c r="D81" s="10" t="str">
        <f>VLOOKUP(C81,Region!A:B,2,FALSE)</f>
        <v>Spain</v>
      </c>
      <c r="E81" s="10" t="s">
        <v>1427</v>
      </c>
      <c r="F81" s="11" t="s">
        <v>814</v>
      </c>
      <c r="G81" s="11" t="s">
        <v>186</v>
      </c>
      <c r="H81" s="10" t="s">
        <v>812</v>
      </c>
    </row>
    <row r="82" spans="1:8" x14ac:dyDescent="0.25">
      <c r="A82" s="11" t="s">
        <v>1648</v>
      </c>
      <c r="B82" s="10" t="s">
        <v>804</v>
      </c>
      <c r="C82" s="10" t="s">
        <v>1635</v>
      </c>
      <c r="D82" s="10" t="str">
        <f>VLOOKUP(C82,Region!A:B,2,FALSE)</f>
        <v>MBC US</v>
      </c>
      <c r="E82" s="10" t="s">
        <v>806</v>
      </c>
      <c r="F82" s="11" t="s">
        <v>814</v>
      </c>
      <c r="G82" s="11" t="s">
        <v>1649</v>
      </c>
      <c r="H82" s="10" t="s">
        <v>809</v>
      </c>
    </row>
    <row r="83" spans="1:8" x14ac:dyDescent="0.25">
      <c r="A83" s="11" t="s">
        <v>1634</v>
      </c>
      <c r="B83" s="10" t="s">
        <v>1086</v>
      </c>
      <c r="C83" s="10" t="s">
        <v>1635</v>
      </c>
      <c r="D83" s="10" t="str">
        <f>VLOOKUP(C83,Region!A:B,2,FALSE)</f>
        <v>MBC US</v>
      </c>
      <c r="E83" s="10" t="s">
        <v>806</v>
      </c>
      <c r="F83" s="11" t="s">
        <v>823</v>
      </c>
      <c r="G83" s="11" t="s">
        <v>735</v>
      </c>
      <c r="H83" s="10" t="s">
        <v>812</v>
      </c>
    </row>
    <row r="84" spans="1:8" x14ac:dyDescent="0.25">
      <c r="A84" s="11" t="s">
        <v>1167</v>
      </c>
      <c r="B84" s="10" t="s">
        <v>1086</v>
      </c>
      <c r="C84" s="10" t="s">
        <v>1087</v>
      </c>
      <c r="D84" s="10" t="str">
        <f>VLOOKUP(C84,Region!A:B,2,FALSE)</f>
        <v>Hyderabad</v>
      </c>
      <c r="E84" s="10" t="s">
        <v>806</v>
      </c>
      <c r="F84" s="11" t="s">
        <v>811</v>
      </c>
      <c r="G84" s="11" t="s">
        <v>1168</v>
      </c>
      <c r="H84" s="10" t="s">
        <v>812</v>
      </c>
    </row>
    <row r="85" spans="1:8" x14ac:dyDescent="0.25">
      <c r="A85" s="11" t="s">
        <v>2517</v>
      </c>
      <c r="B85" s="10" t="s">
        <v>804</v>
      </c>
      <c r="C85" s="10" t="s">
        <v>2518</v>
      </c>
      <c r="D85" s="10" t="str">
        <f>VLOOKUP(C85,Region!A:B,2,FALSE)</f>
        <v>Noida</v>
      </c>
      <c r="E85" s="10" t="s">
        <v>1427</v>
      </c>
      <c r="F85" s="11" t="s">
        <v>823</v>
      </c>
      <c r="G85" s="11" t="s">
        <v>2519</v>
      </c>
      <c r="H85" s="10" t="s">
        <v>809</v>
      </c>
    </row>
    <row r="86" spans="1:8" x14ac:dyDescent="0.25">
      <c r="A86" s="11" t="s">
        <v>1231</v>
      </c>
      <c r="B86" s="10" t="s">
        <v>1086</v>
      </c>
      <c r="C86" s="10" t="s">
        <v>1087</v>
      </c>
      <c r="D86" s="10" t="str">
        <f>VLOOKUP(C86,Region!A:B,2,FALSE)</f>
        <v>Hyderabad</v>
      </c>
      <c r="E86" s="10" t="s">
        <v>806</v>
      </c>
      <c r="F86" s="11" t="s">
        <v>811</v>
      </c>
      <c r="G86" s="11" t="s">
        <v>1232</v>
      </c>
      <c r="H86" s="10" t="s">
        <v>812</v>
      </c>
    </row>
    <row r="87" spans="1:8" x14ac:dyDescent="0.25">
      <c r="A87" s="11" t="s">
        <v>2154</v>
      </c>
      <c r="B87" s="10" t="s">
        <v>804</v>
      </c>
      <c r="C87" s="10" t="s">
        <v>2041</v>
      </c>
      <c r="D87" s="10" t="str">
        <f>VLOOKUP(C87,Region!A:B,2,FALSE)</f>
        <v>Hyderabad</v>
      </c>
      <c r="E87" s="10" t="s">
        <v>1427</v>
      </c>
      <c r="F87" s="11" t="s">
        <v>811</v>
      </c>
      <c r="G87" s="11" t="s">
        <v>644</v>
      </c>
      <c r="H87" s="10" t="s">
        <v>812</v>
      </c>
    </row>
    <row r="88" spans="1:8" x14ac:dyDescent="0.25">
      <c r="A88" s="11" t="s">
        <v>2548</v>
      </c>
      <c r="B88" s="10" t="s">
        <v>804</v>
      </c>
      <c r="C88" s="10" t="s">
        <v>2518</v>
      </c>
      <c r="D88" s="10" t="str">
        <f>VLOOKUP(C88,Region!A:B,2,FALSE)</f>
        <v>Noida</v>
      </c>
      <c r="E88" s="10" t="s">
        <v>1427</v>
      </c>
      <c r="F88" s="11" t="s">
        <v>811</v>
      </c>
      <c r="G88" s="11" t="s">
        <v>2549</v>
      </c>
      <c r="H88" s="10" t="s">
        <v>812</v>
      </c>
    </row>
    <row r="89" spans="1:8" x14ac:dyDescent="0.25">
      <c r="A89" s="11" t="s">
        <v>1233</v>
      </c>
      <c r="B89" s="10" t="s">
        <v>1086</v>
      </c>
      <c r="C89" s="10" t="s">
        <v>1087</v>
      </c>
      <c r="D89" s="10" t="str">
        <f>VLOOKUP(C89,Region!A:B,2,FALSE)</f>
        <v>Hyderabad</v>
      </c>
      <c r="E89" s="10" t="s">
        <v>806</v>
      </c>
      <c r="F89" s="11" t="s">
        <v>814</v>
      </c>
      <c r="G89" s="11" t="s">
        <v>1234</v>
      </c>
      <c r="H89" s="10" t="s">
        <v>809</v>
      </c>
    </row>
    <row r="90" spans="1:8" x14ac:dyDescent="0.25">
      <c r="A90" s="11" t="s">
        <v>2099</v>
      </c>
      <c r="B90" s="10" t="s">
        <v>804</v>
      </c>
      <c r="C90" s="10" t="s">
        <v>2041</v>
      </c>
      <c r="D90" s="10" t="str">
        <f>VLOOKUP(C90,Region!A:B,2,FALSE)</f>
        <v>Hyderabad</v>
      </c>
      <c r="E90" s="10" t="s">
        <v>1427</v>
      </c>
      <c r="F90" s="11" t="s">
        <v>814</v>
      </c>
      <c r="G90" s="11" t="s">
        <v>330</v>
      </c>
      <c r="H90" s="10" t="s">
        <v>812</v>
      </c>
    </row>
    <row r="91" spans="1:8" x14ac:dyDescent="0.25">
      <c r="A91" s="11" t="s">
        <v>3254</v>
      </c>
      <c r="B91" s="10" t="s">
        <v>1086</v>
      </c>
      <c r="C91" s="10" t="s">
        <v>2987</v>
      </c>
      <c r="D91" s="10" t="str">
        <f>VLOOKUP(C91,Region!A:B,2,FALSE)</f>
        <v>Noida</v>
      </c>
      <c r="E91" s="10" t="s">
        <v>1427</v>
      </c>
      <c r="F91" s="11" t="s">
        <v>811</v>
      </c>
      <c r="G91" s="11" t="s">
        <v>3255</v>
      </c>
      <c r="H91" s="10" t="s">
        <v>812</v>
      </c>
    </row>
    <row r="92" spans="1:8" x14ac:dyDescent="0.25">
      <c r="A92" s="11" t="s">
        <v>916</v>
      </c>
      <c r="B92" s="10" t="s">
        <v>804</v>
      </c>
      <c r="C92" s="10" t="s">
        <v>805</v>
      </c>
      <c r="D92" s="10" t="str">
        <f>VLOOKUP(C92,Region!A:B,2,FALSE)</f>
        <v>Noida</v>
      </c>
      <c r="E92" s="10" t="s">
        <v>806</v>
      </c>
      <c r="F92" s="11" t="s">
        <v>823</v>
      </c>
      <c r="G92" s="11" t="s">
        <v>917</v>
      </c>
      <c r="H92" s="10" t="s">
        <v>809</v>
      </c>
    </row>
    <row r="93" spans="1:8" x14ac:dyDescent="0.25">
      <c r="A93" s="11" t="s">
        <v>2798</v>
      </c>
      <c r="B93" s="10" t="s">
        <v>804</v>
      </c>
      <c r="C93" s="10" t="s">
        <v>2752</v>
      </c>
      <c r="D93" s="10" t="str">
        <f>VLOOKUP(C93,Region!A:B,2,FALSE)</f>
        <v>Noida</v>
      </c>
      <c r="E93" s="10" t="s">
        <v>806</v>
      </c>
      <c r="F93" s="11" t="s">
        <v>823</v>
      </c>
      <c r="G93" s="11" t="s">
        <v>2799</v>
      </c>
      <c r="H93" s="10" t="s">
        <v>812</v>
      </c>
    </row>
    <row r="94" spans="1:8" x14ac:dyDescent="0.25">
      <c r="A94" s="11" t="s">
        <v>3272</v>
      </c>
      <c r="B94" s="10" t="s">
        <v>1086</v>
      </c>
      <c r="C94" s="10" t="s">
        <v>3273</v>
      </c>
      <c r="D94" s="10" t="str">
        <f>VLOOKUP(C94,Region!A:B,2,FALSE)</f>
        <v>Noida</v>
      </c>
      <c r="E94" s="10" t="s">
        <v>806</v>
      </c>
      <c r="F94" s="11" t="s">
        <v>823</v>
      </c>
      <c r="G94" s="11" t="s">
        <v>402</v>
      </c>
      <c r="H94" s="10" t="s">
        <v>812</v>
      </c>
    </row>
    <row r="95" spans="1:8" x14ac:dyDescent="0.25">
      <c r="A95" s="11" t="s">
        <v>2155</v>
      </c>
      <c r="B95" s="10" t="s">
        <v>804</v>
      </c>
      <c r="C95" s="10" t="s">
        <v>2041</v>
      </c>
      <c r="D95" s="10" t="str">
        <f>VLOOKUP(C95,Region!A:B,2,FALSE)</f>
        <v>Hyderabad</v>
      </c>
      <c r="E95" s="10" t="s">
        <v>1427</v>
      </c>
      <c r="F95" s="11" t="s">
        <v>811</v>
      </c>
      <c r="G95" s="11" t="s">
        <v>712</v>
      </c>
      <c r="H95" s="10" t="s">
        <v>812</v>
      </c>
    </row>
    <row r="96" spans="1:8" x14ac:dyDescent="0.25">
      <c r="A96" s="11" t="s">
        <v>2989</v>
      </c>
      <c r="B96" s="10" t="s">
        <v>1086</v>
      </c>
      <c r="C96" s="10" t="s">
        <v>2987</v>
      </c>
      <c r="D96" s="10" t="str">
        <f>VLOOKUP(C96,Region!A:B,2,FALSE)</f>
        <v>Noida</v>
      </c>
      <c r="E96" s="10" t="s">
        <v>1427</v>
      </c>
      <c r="F96" s="11" t="s">
        <v>814</v>
      </c>
      <c r="G96" s="11" t="s">
        <v>2990</v>
      </c>
      <c r="H96" s="10" t="s">
        <v>812</v>
      </c>
    </row>
    <row r="97" spans="1:8" x14ac:dyDescent="0.25">
      <c r="A97" s="11" t="s">
        <v>2491</v>
      </c>
      <c r="B97" s="10" t="s">
        <v>804</v>
      </c>
      <c r="C97" s="10" t="s">
        <v>2041</v>
      </c>
      <c r="D97" s="10" t="str">
        <f>VLOOKUP(C97,Region!A:B,2,FALSE)</f>
        <v>Hyderabad</v>
      </c>
      <c r="E97" s="10" t="s">
        <v>1427</v>
      </c>
      <c r="F97" s="11" t="s">
        <v>823</v>
      </c>
      <c r="G97" s="11" t="s">
        <v>2492</v>
      </c>
      <c r="H97" s="10" t="s">
        <v>809</v>
      </c>
    </row>
    <row r="98" spans="1:8" x14ac:dyDescent="0.25">
      <c r="A98" s="11" t="s">
        <v>2550</v>
      </c>
      <c r="B98" s="10" t="s">
        <v>804</v>
      </c>
      <c r="C98" s="10" t="s">
        <v>2518</v>
      </c>
      <c r="D98" s="10" t="str">
        <f>VLOOKUP(C98,Region!A:B,2,FALSE)</f>
        <v>Noida</v>
      </c>
      <c r="E98" s="10" t="s">
        <v>1427</v>
      </c>
      <c r="F98" s="11" t="s">
        <v>811</v>
      </c>
      <c r="G98" s="11" t="s">
        <v>558</v>
      </c>
      <c r="H98" s="10" t="s">
        <v>812</v>
      </c>
    </row>
    <row r="99" spans="1:8" x14ac:dyDescent="0.25">
      <c r="A99" s="11" t="s">
        <v>3276</v>
      </c>
      <c r="B99" s="10" t="s">
        <v>1086</v>
      </c>
      <c r="C99" s="10" t="s">
        <v>3273</v>
      </c>
      <c r="D99" s="10" t="str">
        <f>VLOOKUP(C99,Region!A:B,2,FALSE)</f>
        <v>Noida</v>
      </c>
      <c r="E99" s="10" t="s">
        <v>806</v>
      </c>
      <c r="F99" s="11" t="s">
        <v>807</v>
      </c>
      <c r="G99" s="11" t="s">
        <v>444</v>
      </c>
      <c r="H99" s="10" t="s">
        <v>812</v>
      </c>
    </row>
    <row r="100" spans="1:8" x14ac:dyDescent="0.25">
      <c r="A100" s="11" t="s">
        <v>1482</v>
      </c>
      <c r="B100" s="10" t="s">
        <v>804</v>
      </c>
      <c r="C100" s="10" t="s">
        <v>1426</v>
      </c>
      <c r="D100" s="10" t="str">
        <f>VLOOKUP(C100,Region!A:B,2,FALSE)</f>
        <v>Spain</v>
      </c>
      <c r="E100" s="10" t="s">
        <v>1427</v>
      </c>
      <c r="F100" s="11" t="s">
        <v>811</v>
      </c>
      <c r="G100" s="11" t="s">
        <v>354</v>
      </c>
      <c r="H100" s="10" t="s">
        <v>812</v>
      </c>
    </row>
    <row r="101" spans="1:8" x14ac:dyDescent="0.25">
      <c r="A101" s="11" t="s">
        <v>2689</v>
      </c>
      <c r="B101" s="10" t="s">
        <v>804</v>
      </c>
      <c r="C101" s="10" t="s">
        <v>2518</v>
      </c>
      <c r="D101" s="10" t="str">
        <f>VLOOKUP(C101,Region!A:B,2,FALSE)</f>
        <v>Noida</v>
      </c>
      <c r="E101" s="10" t="s">
        <v>1427</v>
      </c>
      <c r="F101" s="11" t="s">
        <v>807</v>
      </c>
      <c r="G101" s="11" t="s">
        <v>2690</v>
      </c>
      <c r="H101" s="10" t="s">
        <v>812</v>
      </c>
    </row>
    <row r="102" spans="1:8" x14ac:dyDescent="0.25">
      <c r="A102" s="11" t="s">
        <v>1469</v>
      </c>
      <c r="B102" s="10" t="s">
        <v>1086</v>
      </c>
      <c r="C102" s="10" t="s">
        <v>1426</v>
      </c>
      <c r="D102" s="10" t="str">
        <f>VLOOKUP(C102,Region!A:B,2,FALSE)</f>
        <v>Spain</v>
      </c>
      <c r="E102" s="10" t="s">
        <v>1427</v>
      </c>
      <c r="F102" s="11" t="s">
        <v>807</v>
      </c>
      <c r="G102" s="11" t="s">
        <v>391</v>
      </c>
      <c r="H102" s="10" t="s">
        <v>812</v>
      </c>
    </row>
    <row r="103" spans="1:8" x14ac:dyDescent="0.25">
      <c r="A103" s="11" t="s">
        <v>3291</v>
      </c>
      <c r="B103" s="10" t="s">
        <v>1086</v>
      </c>
      <c r="C103" s="10" t="s">
        <v>3273</v>
      </c>
      <c r="D103" s="10" t="str">
        <f>VLOOKUP(C103,Region!A:B,2,FALSE)</f>
        <v>Noida</v>
      </c>
      <c r="E103" s="10" t="s">
        <v>806</v>
      </c>
      <c r="F103" s="11" t="s">
        <v>807</v>
      </c>
      <c r="G103" s="11" t="s">
        <v>3292</v>
      </c>
      <c r="H103" s="10" t="s">
        <v>812</v>
      </c>
    </row>
    <row r="104" spans="1:8" x14ac:dyDescent="0.25">
      <c r="A104" s="11" t="s">
        <v>2349</v>
      </c>
      <c r="B104" s="10" t="s">
        <v>804</v>
      </c>
      <c r="C104" s="10" t="s">
        <v>2041</v>
      </c>
      <c r="D104" s="10" t="str">
        <f>VLOOKUP(C104,Region!A:B,2,FALSE)</f>
        <v>Hyderabad</v>
      </c>
      <c r="E104" s="10" t="s">
        <v>1427</v>
      </c>
      <c r="F104" s="11" t="s">
        <v>814</v>
      </c>
      <c r="G104" s="11" t="s">
        <v>2350</v>
      </c>
      <c r="H104" s="10" t="s">
        <v>812</v>
      </c>
    </row>
    <row r="105" spans="1:8" x14ac:dyDescent="0.25">
      <c r="A105" s="11" t="s">
        <v>1098</v>
      </c>
      <c r="B105" s="10" t="s">
        <v>1086</v>
      </c>
      <c r="C105" s="10" t="s">
        <v>1087</v>
      </c>
      <c r="D105" s="10" t="str">
        <f>VLOOKUP(C105,Region!A:B,2,FALSE)</f>
        <v>Hyderabad</v>
      </c>
      <c r="E105" s="10" t="s">
        <v>806</v>
      </c>
      <c r="F105" s="11" t="s">
        <v>807</v>
      </c>
      <c r="G105" s="11" t="s">
        <v>1099</v>
      </c>
      <c r="H105" s="10" t="s">
        <v>809</v>
      </c>
    </row>
    <row r="106" spans="1:8" x14ac:dyDescent="0.25">
      <c r="A106" s="11" t="s">
        <v>3025</v>
      </c>
      <c r="B106" s="10" t="s">
        <v>1086</v>
      </c>
      <c r="C106" s="10" t="s">
        <v>2987</v>
      </c>
      <c r="D106" s="10" t="str">
        <f>VLOOKUP(C106,Region!A:B,2,FALSE)</f>
        <v>Noida</v>
      </c>
      <c r="E106" s="10" t="s">
        <v>1427</v>
      </c>
      <c r="F106" s="11" t="s">
        <v>823</v>
      </c>
      <c r="G106" s="11" t="s">
        <v>3026</v>
      </c>
      <c r="H106" s="10" t="s">
        <v>809</v>
      </c>
    </row>
    <row r="107" spans="1:8" x14ac:dyDescent="0.25">
      <c r="A107" s="11" t="s">
        <v>901</v>
      </c>
      <c r="B107" s="10" t="s">
        <v>804</v>
      </c>
      <c r="C107" s="10" t="s">
        <v>805</v>
      </c>
      <c r="D107" s="10" t="str">
        <f>VLOOKUP(C107,Region!A:B,2,FALSE)</f>
        <v>Noida</v>
      </c>
      <c r="E107" s="10" t="s">
        <v>806</v>
      </c>
      <c r="F107" s="11" t="s">
        <v>807</v>
      </c>
      <c r="G107" s="11" t="s">
        <v>902</v>
      </c>
      <c r="H107" s="10" t="s">
        <v>809</v>
      </c>
    </row>
    <row r="108" spans="1:8" x14ac:dyDescent="0.25">
      <c r="A108" s="11" t="s">
        <v>2268</v>
      </c>
      <c r="B108" s="10" t="s">
        <v>804</v>
      </c>
      <c r="C108" s="10" t="s">
        <v>2041</v>
      </c>
      <c r="D108" s="10" t="str">
        <f>VLOOKUP(C108,Region!A:B,2,FALSE)</f>
        <v>Hyderabad</v>
      </c>
      <c r="E108" s="10" t="s">
        <v>1427</v>
      </c>
      <c r="F108" s="11" t="s">
        <v>807</v>
      </c>
      <c r="G108" s="11" t="s">
        <v>2269</v>
      </c>
      <c r="H108" s="10" t="s">
        <v>812</v>
      </c>
    </row>
    <row r="109" spans="1:8" x14ac:dyDescent="0.25">
      <c r="A109" s="11" t="s">
        <v>3015</v>
      </c>
      <c r="B109" s="10" t="s">
        <v>1086</v>
      </c>
      <c r="C109" s="10" t="s">
        <v>2987</v>
      </c>
      <c r="D109" s="10" t="str">
        <f>VLOOKUP(C109,Region!A:B,2,FALSE)</f>
        <v>Noida</v>
      </c>
      <c r="E109" s="10" t="s">
        <v>1427</v>
      </c>
      <c r="F109" s="11" t="s">
        <v>823</v>
      </c>
      <c r="G109" s="11" t="s">
        <v>3016</v>
      </c>
      <c r="H109" s="10" t="s">
        <v>809</v>
      </c>
    </row>
    <row r="110" spans="1:8" x14ac:dyDescent="0.25">
      <c r="A110" s="11" t="s">
        <v>3006</v>
      </c>
      <c r="B110" s="10" t="s">
        <v>1086</v>
      </c>
      <c r="C110" s="10" t="s">
        <v>2987</v>
      </c>
      <c r="D110" s="10" t="str">
        <f>VLOOKUP(C110,Region!A:B,2,FALSE)</f>
        <v>Noida</v>
      </c>
      <c r="E110" s="10" t="s">
        <v>1427</v>
      </c>
      <c r="F110" s="11" t="s">
        <v>823</v>
      </c>
      <c r="G110" s="11" t="s">
        <v>3007</v>
      </c>
      <c r="H110" s="10" t="s">
        <v>812</v>
      </c>
    </row>
    <row r="111" spans="1:8" x14ac:dyDescent="0.25">
      <c r="A111" s="11" t="s">
        <v>1235</v>
      </c>
      <c r="B111" s="10" t="s">
        <v>1086</v>
      </c>
      <c r="C111" s="10" t="s">
        <v>1087</v>
      </c>
      <c r="D111" s="10" t="str">
        <f>VLOOKUP(C111,Region!A:B,2,FALSE)</f>
        <v>Hyderabad</v>
      </c>
      <c r="E111" s="10" t="s">
        <v>806</v>
      </c>
      <c r="F111" s="11" t="s">
        <v>823</v>
      </c>
      <c r="G111" s="11" t="s">
        <v>1236</v>
      </c>
      <c r="H111" s="10" t="s">
        <v>812</v>
      </c>
    </row>
    <row r="112" spans="1:8" x14ac:dyDescent="0.25">
      <c r="A112" s="11" t="s">
        <v>1637</v>
      </c>
      <c r="B112" s="10" t="s">
        <v>1086</v>
      </c>
      <c r="C112" s="10" t="s">
        <v>1635</v>
      </c>
      <c r="D112" s="10" t="str">
        <f>VLOOKUP(C112,Region!A:B,2,FALSE)</f>
        <v>MBC US</v>
      </c>
      <c r="E112" s="10" t="s">
        <v>806</v>
      </c>
      <c r="F112" s="11" t="s">
        <v>823</v>
      </c>
      <c r="G112" s="11" t="s">
        <v>234</v>
      </c>
      <c r="H112" s="10" t="s">
        <v>812</v>
      </c>
    </row>
    <row r="113" spans="1:8" x14ac:dyDescent="0.25">
      <c r="A113" s="11" t="s">
        <v>2958</v>
      </c>
      <c r="B113" s="10" t="s">
        <v>804</v>
      </c>
      <c r="C113" s="10" t="s">
        <v>2752</v>
      </c>
      <c r="D113" s="10" t="str">
        <f>VLOOKUP(C113,Region!A:B,2,FALSE)</f>
        <v>Noida</v>
      </c>
      <c r="E113" s="10" t="s">
        <v>806</v>
      </c>
      <c r="F113" s="11" t="s">
        <v>823</v>
      </c>
      <c r="G113" s="11" t="s">
        <v>2959</v>
      </c>
      <c r="H113" s="10" t="s">
        <v>812</v>
      </c>
    </row>
    <row r="114" spans="1:8" x14ac:dyDescent="0.25">
      <c r="A114" s="11" t="s">
        <v>1323</v>
      </c>
      <c r="B114" s="10" t="s">
        <v>1086</v>
      </c>
      <c r="C114" s="10" t="s">
        <v>1087</v>
      </c>
      <c r="D114" s="10" t="str">
        <f>VLOOKUP(C114,Region!A:B,2,FALSE)</f>
        <v>Hyderabad</v>
      </c>
      <c r="E114" s="10" t="s">
        <v>806</v>
      </c>
      <c r="F114" s="11" t="s">
        <v>807</v>
      </c>
      <c r="G114" s="11" t="s">
        <v>1324</v>
      </c>
      <c r="H114" s="10" t="s">
        <v>809</v>
      </c>
    </row>
    <row r="115" spans="1:8" x14ac:dyDescent="0.25">
      <c r="A115" s="11" t="s">
        <v>1030</v>
      </c>
      <c r="B115" s="10" t="s">
        <v>804</v>
      </c>
      <c r="C115" s="10" t="s">
        <v>805</v>
      </c>
      <c r="D115" s="10" t="str">
        <f>VLOOKUP(C115,Region!A:B,2,FALSE)</f>
        <v>Noida</v>
      </c>
      <c r="E115" s="10" t="s">
        <v>806</v>
      </c>
      <c r="F115" s="11" t="s">
        <v>807</v>
      </c>
      <c r="G115" s="11" t="s">
        <v>1031</v>
      </c>
      <c r="H115" s="10" t="s">
        <v>809</v>
      </c>
    </row>
    <row r="116" spans="1:8" x14ac:dyDescent="0.25">
      <c r="A116" s="11" t="s">
        <v>3425</v>
      </c>
      <c r="B116" s="10" t="s">
        <v>1086</v>
      </c>
      <c r="C116" s="10" t="s">
        <v>3273</v>
      </c>
      <c r="D116" s="10" t="str">
        <f>VLOOKUP(C116,Region!A:B,2,FALSE)</f>
        <v>Noida</v>
      </c>
      <c r="E116" s="10" t="s">
        <v>806</v>
      </c>
      <c r="F116" s="11" t="s">
        <v>814</v>
      </c>
      <c r="G116" s="11" t="s">
        <v>3426</v>
      </c>
      <c r="H116" s="10" t="s">
        <v>812</v>
      </c>
    </row>
    <row r="117" spans="1:8" x14ac:dyDescent="0.25">
      <c r="A117" s="11" t="s">
        <v>2156</v>
      </c>
      <c r="B117" s="10" t="s">
        <v>804</v>
      </c>
      <c r="C117" s="10" t="s">
        <v>2041</v>
      </c>
      <c r="D117" s="10" t="str">
        <f>VLOOKUP(C117,Region!A:B,2,FALSE)</f>
        <v>Hyderabad</v>
      </c>
      <c r="E117" s="10" t="s">
        <v>1427</v>
      </c>
      <c r="F117" s="11" t="s">
        <v>811</v>
      </c>
      <c r="G117" s="11" t="s">
        <v>2157</v>
      </c>
      <c r="H117" s="10" t="s">
        <v>812</v>
      </c>
    </row>
    <row r="118" spans="1:8" x14ac:dyDescent="0.25">
      <c r="A118" s="11" t="s">
        <v>1186</v>
      </c>
      <c r="B118" s="10" t="s">
        <v>1086</v>
      </c>
      <c r="C118" s="10" t="s">
        <v>1087</v>
      </c>
      <c r="D118" s="10" t="str">
        <f>VLOOKUP(C118,Region!A:B,2,FALSE)</f>
        <v>Hyderabad</v>
      </c>
      <c r="E118" s="10" t="s">
        <v>806</v>
      </c>
      <c r="F118" s="11" t="s">
        <v>807</v>
      </c>
      <c r="G118" s="11" t="s">
        <v>1187</v>
      </c>
      <c r="H118" s="10" t="s">
        <v>812</v>
      </c>
    </row>
    <row r="119" spans="1:8" x14ac:dyDescent="0.25">
      <c r="A119" s="11" t="s">
        <v>1206</v>
      </c>
      <c r="B119" s="10" t="s">
        <v>1086</v>
      </c>
      <c r="C119" s="10" t="s">
        <v>1087</v>
      </c>
      <c r="D119" s="10" t="str">
        <f>VLOOKUP(C119,Region!A:B,2,FALSE)</f>
        <v>Hyderabad</v>
      </c>
      <c r="E119" s="10" t="s">
        <v>806</v>
      </c>
      <c r="F119" s="11" t="s">
        <v>814</v>
      </c>
      <c r="G119" s="11" t="s">
        <v>1207</v>
      </c>
      <c r="H119" s="10" t="s">
        <v>809</v>
      </c>
    </row>
    <row r="120" spans="1:8" x14ac:dyDescent="0.25">
      <c r="A120" s="11" t="s">
        <v>2351</v>
      </c>
      <c r="B120" s="10" t="s">
        <v>804</v>
      </c>
      <c r="C120" s="10" t="s">
        <v>2041</v>
      </c>
      <c r="D120" s="10" t="str">
        <f>VLOOKUP(C120,Region!A:B,2,FALSE)</f>
        <v>Hyderabad</v>
      </c>
      <c r="E120" s="10" t="s">
        <v>1427</v>
      </c>
      <c r="F120" s="11" t="s">
        <v>814</v>
      </c>
      <c r="G120" s="11" t="s">
        <v>2352</v>
      </c>
      <c r="H120" s="10" t="s">
        <v>809</v>
      </c>
    </row>
    <row r="121" spans="1:8" x14ac:dyDescent="0.25">
      <c r="A121" s="11" t="s">
        <v>3279</v>
      </c>
      <c r="B121" s="10" t="s">
        <v>1086</v>
      </c>
      <c r="C121" s="10" t="s">
        <v>3273</v>
      </c>
      <c r="D121" s="10" t="str">
        <f>VLOOKUP(C121,Region!A:B,2,FALSE)</f>
        <v>Noida</v>
      </c>
      <c r="E121" s="10" t="s">
        <v>806</v>
      </c>
      <c r="F121" s="11" t="s">
        <v>814</v>
      </c>
      <c r="G121" s="11" t="s">
        <v>3280</v>
      </c>
      <c r="H121" s="10" t="s">
        <v>809</v>
      </c>
    </row>
    <row r="122" spans="1:8" x14ac:dyDescent="0.25">
      <c r="A122" s="11" t="s">
        <v>1465</v>
      </c>
      <c r="B122" s="10" t="s">
        <v>1086</v>
      </c>
      <c r="C122" s="10" t="s">
        <v>1426</v>
      </c>
      <c r="D122" s="10" t="str">
        <f>VLOOKUP(C122,Region!A:B,2,FALSE)</f>
        <v>Spain</v>
      </c>
      <c r="E122" s="10" t="s">
        <v>1427</v>
      </c>
      <c r="F122" s="11" t="s">
        <v>823</v>
      </c>
      <c r="G122" s="11" t="s">
        <v>1466</v>
      </c>
      <c r="H122" s="10" t="s">
        <v>809</v>
      </c>
    </row>
    <row r="123" spans="1:8" x14ac:dyDescent="0.25">
      <c r="A123" s="11" t="s">
        <v>1473</v>
      </c>
      <c r="B123" s="10" t="s">
        <v>804</v>
      </c>
      <c r="C123" s="10" t="s">
        <v>1426</v>
      </c>
      <c r="D123" s="10" t="str">
        <f>VLOOKUP(C123,Region!A:B,2,FALSE)</f>
        <v>Spain</v>
      </c>
      <c r="E123" s="10" t="s">
        <v>1427</v>
      </c>
      <c r="F123" s="11" t="s">
        <v>823</v>
      </c>
      <c r="G123" s="11" t="s">
        <v>1474</v>
      </c>
      <c r="H123" s="10" t="s">
        <v>809</v>
      </c>
    </row>
    <row r="124" spans="1:8" x14ac:dyDescent="0.25">
      <c r="A124" s="11" t="s">
        <v>1457</v>
      </c>
      <c r="B124" s="10" t="s">
        <v>1086</v>
      </c>
      <c r="C124" s="10" t="s">
        <v>1426</v>
      </c>
      <c r="D124" s="10" t="str">
        <f>VLOOKUP(C124,Region!A:B,2,FALSE)</f>
        <v>Spain</v>
      </c>
      <c r="E124" s="10" t="s">
        <v>1427</v>
      </c>
      <c r="F124" s="11" t="s">
        <v>811</v>
      </c>
      <c r="G124" s="11" t="s">
        <v>1458</v>
      </c>
      <c r="H124" s="10" t="s">
        <v>809</v>
      </c>
    </row>
    <row r="125" spans="1:8" x14ac:dyDescent="0.25">
      <c r="A125" s="11" t="s">
        <v>3012</v>
      </c>
      <c r="B125" s="10" t="s">
        <v>1086</v>
      </c>
      <c r="C125" s="10" t="s">
        <v>2987</v>
      </c>
      <c r="D125" s="10" t="str">
        <f>VLOOKUP(C125,Region!A:B,2,FALSE)</f>
        <v>Noida</v>
      </c>
      <c r="E125" s="10" t="s">
        <v>1427</v>
      </c>
      <c r="F125" s="11" t="s">
        <v>811</v>
      </c>
      <c r="G125" s="11" t="s">
        <v>384</v>
      </c>
      <c r="H125" s="10" t="s">
        <v>812</v>
      </c>
    </row>
    <row r="126" spans="1:8" x14ac:dyDescent="0.25">
      <c r="A126" s="11" t="s">
        <v>3000</v>
      </c>
      <c r="B126" s="10" t="s">
        <v>1086</v>
      </c>
      <c r="C126" s="10" t="s">
        <v>2987</v>
      </c>
      <c r="D126" s="10" t="str">
        <f>VLOOKUP(C126,Region!A:B,2,FALSE)</f>
        <v>Noida</v>
      </c>
      <c r="E126" s="10" t="s">
        <v>1427</v>
      </c>
      <c r="F126" s="11" t="s">
        <v>823</v>
      </c>
      <c r="G126" s="11" t="s">
        <v>3001</v>
      </c>
      <c r="H126" s="10" t="s">
        <v>809</v>
      </c>
    </row>
    <row r="127" spans="1:8" x14ac:dyDescent="0.25">
      <c r="A127" s="11" t="s">
        <v>3002</v>
      </c>
      <c r="B127" s="10" t="s">
        <v>1086</v>
      </c>
      <c r="C127" s="10" t="s">
        <v>2987</v>
      </c>
      <c r="D127" s="10" t="str">
        <f>VLOOKUP(C127,Region!A:B,2,FALSE)</f>
        <v>Noida</v>
      </c>
      <c r="E127" s="10" t="s">
        <v>1427</v>
      </c>
      <c r="F127" s="11" t="s">
        <v>823</v>
      </c>
      <c r="G127" s="11" t="s">
        <v>3003</v>
      </c>
      <c r="H127" s="10" t="s">
        <v>809</v>
      </c>
    </row>
    <row r="128" spans="1:8" x14ac:dyDescent="0.25">
      <c r="A128" s="11" t="s">
        <v>3335</v>
      </c>
      <c r="B128" s="10" t="s">
        <v>1086</v>
      </c>
      <c r="C128" s="10" t="s">
        <v>3273</v>
      </c>
      <c r="D128" s="10" t="str">
        <f>VLOOKUP(C128,Region!A:B,2,FALSE)</f>
        <v>Noida</v>
      </c>
      <c r="E128" s="10" t="s">
        <v>806</v>
      </c>
      <c r="F128" s="11" t="s">
        <v>811</v>
      </c>
      <c r="G128" s="11" t="s">
        <v>3336</v>
      </c>
      <c r="H128" s="10" t="s">
        <v>809</v>
      </c>
    </row>
    <row r="129" spans="1:8" x14ac:dyDescent="0.25">
      <c r="A129" s="11" t="s">
        <v>3260</v>
      </c>
      <c r="B129" s="10" t="s">
        <v>1086</v>
      </c>
      <c r="C129" s="10" t="s">
        <v>2987</v>
      </c>
      <c r="D129" s="10" t="str">
        <f>VLOOKUP(C129,Region!A:B,2,FALSE)</f>
        <v>Noida</v>
      </c>
      <c r="E129" s="10" t="s">
        <v>1427</v>
      </c>
      <c r="F129" s="11" t="s">
        <v>811</v>
      </c>
      <c r="G129" s="11" t="s">
        <v>3261</v>
      </c>
      <c r="H129" s="10" t="s">
        <v>809</v>
      </c>
    </row>
    <row r="130" spans="1:8" x14ac:dyDescent="0.25">
      <c r="A130" s="11" t="s">
        <v>3010</v>
      </c>
      <c r="B130" s="10" t="s">
        <v>1086</v>
      </c>
      <c r="C130" s="10" t="s">
        <v>2987</v>
      </c>
      <c r="D130" s="10" t="str">
        <f>VLOOKUP(C130,Region!A:B,2,FALSE)</f>
        <v>Noida</v>
      </c>
      <c r="E130" s="10" t="s">
        <v>1427</v>
      </c>
      <c r="F130" s="11" t="s">
        <v>823</v>
      </c>
      <c r="G130" s="11" t="s">
        <v>3011</v>
      </c>
      <c r="H130" s="10" t="s">
        <v>812</v>
      </c>
    </row>
    <row r="131" spans="1:8" x14ac:dyDescent="0.25">
      <c r="A131" s="11" t="s">
        <v>2158</v>
      </c>
      <c r="B131" s="10" t="s">
        <v>804</v>
      </c>
      <c r="C131" s="10" t="s">
        <v>2041</v>
      </c>
      <c r="D131" s="10" t="str">
        <f>VLOOKUP(C131,Region!A:B,2,FALSE)</f>
        <v>Hyderabad</v>
      </c>
      <c r="E131" s="10" t="s">
        <v>1427</v>
      </c>
      <c r="F131" s="11" t="s">
        <v>811</v>
      </c>
      <c r="G131" s="11" t="s">
        <v>2159</v>
      </c>
      <c r="H131" s="10" t="s">
        <v>809</v>
      </c>
    </row>
    <row r="132" spans="1:8" x14ac:dyDescent="0.25">
      <c r="A132" s="11" t="s">
        <v>850</v>
      </c>
      <c r="B132" s="10" t="s">
        <v>804</v>
      </c>
      <c r="C132" s="10" t="s">
        <v>805</v>
      </c>
      <c r="D132" s="10" t="str">
        <f>VLOOKUP(C132,Region!A:B,2,FALSE)</f>
        <v>Noida</v>
      </c>
      <c r="E132" s="10" t="s">
        <v>806</v>
      </c>
      <c r="F132" s="11" t="s">
        <v>823</v>
      </c>
      <c r="G132" s="11" t="s">
        <v>851</v>
      </c>
      <c r="H132" s="10" t="s">
        <v>812</v>
      </c>
    </row>
    <row r="133" spans="1:8" x14ac:dyDescent="0.25">
      <c r="A133" s="11" t="s">
        <v>1083</v>
      </c>
      <c r="B133" s="10" t="s">
        <v>804</v>
      </c>
      <c r="C133" s="10" t="s">
        <v>805</v>
      </c>
      <c r="D133" s="10" t="str">
        <f>VLOOKUP(C133,Region!A:B,2,FALSE)</f>
        <v>Noida</v>
      </c>
      <c r="E133" s="10" t="s">
        <v>806</v>
      </c>
      <c r="F133" s="11" t="s">
        <v>823</v>
      </c>
      <c r="G133" s="11" t="s">
        <v>1084</v>
      </c>
      <c r="H133" s="10" t="s">
        <v>809</v>
      </c>
    </row>
    <row r="134" spans="1:8" x14ac:dyDescent="0.25">
      <c r="A134" s="11" t="s">
        <v>3369</v>
      </c>
      <c r="B134" s="10" t="s">
        <v>1086</v>
      </c>
      <c r="C134" s="10" t="s">
        <v>3273</v>
      </c>
      <c r="D134" s="10" t="str">
        <f>VLOOKUP(C134,Region!A:B,2,FALSE)</f>
        <v>Noida</v>
      </c>
      <c r="E134" s="10" t="s">
        <v>806</v>
      </c>
      <c r="F134" s="11" t="s">
        <v>823</v>
      </c>
      <c r="G134" s="11" t="s">
        <v>3370</v>
      </c>
      <c r="H134" s="10" t="s">
        <v>809</v>
      </c>
    </row>
    <row r="135" spans="1:8" x14ac:dyDescent="0.25">
      <c r="A135" s="11" t="s">
        <v>2551</v>
      </c>
      <c r="B135" s="10" t="s">
        <v>804</v>
      </c>
      <c r="C135" s="10" t="s">
        <v>2518</v>
      </c>
      <c r="D135" s="10" t="str">
        <f>VLOOKUP(C135,Region!A:B,2,FALSE)</f>
        <v>Noida</v>
      </c>
      <c r="E135" s="10" t="s">
        <v>1427</v>
      </c>
      <c r="F135" s="11" t="s">
        <v>811</v>
      </c>
      <c r="G135" s="11" t="s">
        <v>2552</v>
      </c>
      <c r="H135" s="10" t="s">
        <v>812</v>
      </c>
    </row>
    <row r="136" spans="1:8" x14ac:dyDescent="0.25">
      <c r="A136" s="11" t="s">
        <v>3428</v>
      </c>
      <c r="B136" s="10" t="s">
        <v>1086</v>
      </c>
      <c r="C136" s="10" t="s">
        <v>3273</v>
      </c>
      <c r="D136" s="10" t="str">
        <f>VLOOKUP(C136,Region!A:B,2,FALSE)</f>
        <v>Noida</v>
      </c>
      <c r="E136" s="10" t="s">
        <v>806</v>
      </c>
      <c r="F136" s="11" t="s">
        <v>811</v>
      </c>
      <c r="G136" s="11" t="s">
        <v>3429</v>
      </c>
      <c r="H136" s="10" t="s">
        <v>812</v>
      </c>
    </row>
    <row r="137" spans="1:8" x14ac:dyDescent="0.25">
      <c r="A137" s="11" t="s">
        <v>3085</v>
      </c>
      <c r="B137" s="10" t="s">
        <v>1086</v>
      </c>
      <c r="C137" s="10" t="s">
        <v>2987</v>
      </c>
      <c r="D137" s="10" t="str">
        <f>VLOOKUP(C137,Region!A:B,2,FALSE)</f>
        <v>Noida</v>
      </c>
      <c r="E137" s="10" t="s">
        <v>1427</v>
      </c>
      <c r="F137" s="11" t="s">
        <v>814</v>
      </c>
      <c r="G137" s="11" t="s">
        <v>3086</v>
      </c>
      <c r="H137" s="10" t="s">
        <v>809</v>
      </c>
    </row>
    <row r="138" spans="1:8" x14ac:dyDescent="0.25">
      <c r="A138" s="11" t="s">
        <v>2160</v>
      </c>
      <c r="B138" s="10" t="s">
        <v>804</v>
      </c>
      <c r="C138" s="10" t="s">
        <v>2041</v>
      </c>
      <c r="D138" s="10" t="str">
        <f>VLOOKUP(C138,Region!A:B,2,FALSE)</f>
        <v>Hyderabad</v>
      </c>
      <c r="E138" s="10" t="s">
        <v>1427</v>
      </c>
      <c r="F138" s="11" t="s">
        <v>811</v>
      </c>
      <c r="G138" s="11" t="s">
        <v>2161</v>
      </c>
      <c r="H138" s="10" t="s">
        <v>809</v>
      </c>
    </row>
    <row r="139" spans="1:8" x14ac:dyDescent="0.25">
      <c r="A139" s="11" t="s">
        <v>3293</v>
      </c>
      <c r="B139" s="10" t="s">
        <v>1086</v>
      </c>
      <c r="C139" s="10" t="s">
        <v>3273</v>
      </c>
      <c r="D139" s="10" t="str">
        <f>VLOOKUP(C139,Region!A:B,2,FALSE)</f>
        <v>Noida</v>
      </c>
      <c r="E139" s="10" t="s">
        <v>806</v>
      </c>
      <c r="F139" s="11" t="s">
        <v>807</v>
      </c>
      <c r="G139" s="11" t="s">
        <v>3294</v>
      </c>
      <c r="H139" s="10" t="s">
        <v>812</v>
      </c>
    </row>
    <row r="140" spans="1:8" x14ac:dyDescent="0.25">
      <c r="A140" s="11" t="s">
        <v>1096</v>
      </c>
      <c r="B140" s="10" t="s">
        <v>1086</v>
      </c>
      <c r="C140" s="10" t="s">
        <v>1087</v>
      </c>
      <c r="D140" s="10" t="str">
        <f>VLOOKUP(C140,Region!A:B,2,FALSE)</f>
        <v>Hyderabad</v>
      </c>
      <c r="E140" s="10" t="s">
        <v>806</v>
      </c>
      <c r="F140" s="11" t="s">
        <v>814</v>
      </c>
      <c r="G140" s="11" t="s">
        <v>1097</v>
      </c>
      <c r="H140" s="10" t="s">
        <v>809</v>
      </c>
    </row>
    <row r="141" spans="1:8" x14ac:dyDescent="0.25">
      <c r="A141" s="11" t="s">
        <v>1455</v>
      </c>
      <c r="B141" s="10" t="s">
        <v>804</v>
      </c>
      <c r="C141" s="10" t="s">
        <v>1426</v>
      </c>
      <c r="D141" s="10" t="str">
        <f>VLOOKUP(C141,Region!A:B,2,FALSE)</f>
        <v>Spain</v>
      </c>
      <c r="E141" s="10" t="s">
        <v>1427</v>
      </c>
      <c r="F141" s="11" t="s">
        <v>823</v>
      </c>
      <c r="G141" s="11" t="s">
        <v>382</v>
      </c>
      <c r="H141" s="10" t="s">
        <v>812</v>
      </c>
    </row>
    <row r="142" spans="1:8" x14ac:dyDescent="0.25">
      <c r="A142" s="11" t="s">
        <v>2944</v>
      </c>
      <c r="B142" s="10" t="s">
        <v>804</v>
      </c>
      <c r="C142" s="10" t="s">
        <v>2752</v>
      </c>
      <c r="D142" s="10" t="str">
        <f>VLOOKUP(C142,Region!A:B,2,FALSE)</f>
        <v>Noida</v>
      </c>
      <c r="E142" s="10" t="s">
        <v>806</v>
      </c>
      <c r="F142" s="11" t="s">
        <v>807</v>
      </c>
      <c r="G142" s="11" t="s">
        <v>2945</v>
      </c>
      <c r="H142" s="10" t="s">
        <v>809</v>
      </c>
    </row>
    <row r="143" spans="1:8" x14ac:dyDescent="0.25">
      <c r="A143" s="11" t="s">
        <v>2915</v>
      </c>
      <c r="B143" s="10" t="s">
        <v>804</v>
      </c>
      <c r="C143" s="10" t="s">
        <v>2752</v>
      </c>
      <c r="D143" s="10" t="str">
        <f>VLOOKUP(C143,Region!A:B,2,FALSE)</f>
        <v>Noida</v>
      </c>
      <c r="E143" s="10" t="s">
        <v>806</v>
      </c>
      <c r="F143" s="11" t="s">
        <v>811</v>
      </c>
      <c r="G143" s="11" t="s">
        <v>769</v>
      </c>
      <c r="H143" s="10" t="s">
        <v>812</v>
      </c>
    </row>
    <row r="144" spans="1:8" x14ac:dyDescent="0.25">
      <c r="A144" s="11" t="s">
        <v>1480</v>
      </c>
      <c r="B144" s="10" t="s">
        <v>1086</v>
      </c>
      <c r="C144" s="10" t="s">
        <v>1426</v>
      </c>
      <c r="D144" s="10" t="str">
        <f>VLOOKUP(C144,Region!A:B,2,FALSE)</f>
        <v>Spain</v>
      </c>
      <c r="E144" s="10" t="s">
        <v>1427</v>
      </c>
      <c r="F144" s="11" t="s">
        <v>811</v>
      </c>
      <c r="G144" s="11" t="s">
        <v>1481</v>
      </c>
      <c r="H144" s="10" t="s">
        <v>809</v>
      </c>
    </row>
    <row r="145" spans="1:8" x14ac:dyDescent="0.25">
      <c r="A145" s="11" t="s">
        <v>2734</v>
      </c>
      <c r="B145" s="10" t="s">
        <v>804</v>
      </c>
      <c r="C145" s="10" t="s">
        <v>2518</v>
      </c>
      <c r="D145" s="10" t="str">
        <f>VLOOKUP(C145,Region!A:B,2,FALSE)</f>
        <v>Noida</v>
      </c>
      <c r="E145" s="10" t="s">
        <v>1427</v>
      </c>
      <c r="F145" s="11" t="s">
        <v>823</v>
      </c>
      <c r="G145" s="11" t="s">
        <v>2735</v>
      </c>
      <c r="H145" s="10" t="s">
        <v>812</v>
      </c>
    </row>
    <row r="146" spans="1:8" x14ac:dyDescent="0.25">
      <c r="A146" s="11" t="s">
        <v>2353</v>
      </c>
      <c r="B146" s="10" t="s">
        <v>804</v>
      </c>
      <c r="C146" s="10" t="s">
        <v>2041</v>
      </c>
      <c r="D146" s="10" t="str">
        <f>VLOOKUP(C146,Region!A:B,2,FALSE)</f>
        <v>Hyderabad</v>
      </c>
      <c r="E146" s="10" t="s">
        <v>1427</v>
      </c>
      <c r="F146" s="11" t="s">
        <v>814</v>
      </c>
      <c r="G146" s="11" t="s">
        <v>2354</v>
      </c>
      <c r="H146" s="10" t="s">
        <v>809</v>
      </c>
    </row>
    <row r="147" spans="1:8" x14ac:dyDescent="0.25">
      <c r="A147" s="11" t="s">
        <v>892</v>
      </c>
      <c r="B147" s="10" t="s">
        <v>804</v>
      </c>
      <c r="C147" s="10" t="s">
        <v>805</v>
      </c>
      <c r="D147" s="10" t="str">
        <f>VLOOKUP(C147,Region!A:B,2,FALSE)</f>
        <v>Noida</v>
      </c>
      <c r="E147" s="10" t="s">
        <v>806</v>
      </c>
      <c r="F147" s="11" t="s">
        <v>834</v>
      </c>
      <c r="G147" s="11" t="s">
        <v>893</v>
      </c>
      <c r="H147" s="10" t="s">
        <v>812</v>
      </c>
    </row>
    <row r="148" spans="1:8" x14ac:dyDescent="0.25">
      <c r="A148" s="11" t="s">
        <v>2844</v>
      </c>
      <c r="B148" s="10" t="s">
        <v>804</v>
      </c>
      <c r="C148" s="10" t="s">
        <v>2752</v>
      </c>
      <c r="D148" s="10" t="str">
        <f>VLOOKUP(C148,Region!A:B,2,FALSE)</f>
        <v>Noida</v>
      </c>
      <c r="E148" s="10" t="s">
        <v>806</v>
      </c>
      <c r="F148" s="11" t="s">
        <v>811</v>
      </c>
      <c r="G148" s="11" t="s">
        <v>2845</v>
      </c>
      <c r="H148" s="10" t="s">
        <v>812</v>
      </c>
    </row>
    <row r="149" spans="1:8" x14ac:dyDescent="0.25">
      <c r="A149" s="11" t="s">
        <v>1169</v>
      </c>
      <c r="B149" s="10" t="s">
        <v>1086</v>
      </c>
      <c r="C149" s="10" t="s">
        <v>1087</v>
      </c>
      <c r="D149" s="10" t="str">
        <f>VLOOKUP(C149,Region!A:B,2,FALSE)</f>
        <v>Hyderabad</v>
      </c>
      <c r="E149" s="10" t="s">
        <v>806</v>
      </c>
      <c r="F149" s="11" t="s">
        <v>811</v>
      </c>
      <c r="G149" s="11" t="s">
        <v>1170</v>
      </c>
      <c r="H149" s="10" t="s">
        <v>809</v>
      </c>
    </row>
    <row r="150" spans="1:8" x14ac:dyDescent="0.25">
      <c r="A150" s="11" t="s">
        <v>3013</v>
      </c>
      <c r="B150" s="10" t="s">
        <v>1086</v>
      </c>
      <c r="C150" s="10" t="s">
        <v>2987</v>
      </c>
      <c r="D150" s="10" t="str">
        <f>VLOOKUP(C150,Region!A:B,2,FALSE)</f>
        <v>Noida</v>
      </c>
      <c r="E150" s="10" t="s">
        <v>1427</v>
      </c>
      <c r="F150" s="11" t="s">
        <v>807</v>
      </c>
      <c r="G150" s="11" t="s">
        <v>3014</v>
      </c>
      <c r="H150" s="10" t="s">
        <v>812</v>
      </c>
    </row>
    <row r="151" spans="1:8" x14ac:dyDescent="0.25">
      <c r="A151" s="11" t="s">
        <v>2691</v>
      </c>
      <c r="B151" s="10" t="s">
        <v>804</v>
      </c>
      <c r="C151" s="10" t="s">
        <v>2518</v>
      </c>
      <c r="D151" s="10" t="str">
        <f>VLOOKUP(C151,Region!A:B,2,FALSE)</f>
        <v>Noida</v>
      </c>
      <c r="E151" s="10" t="s">
        <v>1427</v>
      </c>
      <c r="F151" s="11" t="s">
        <v>807</v>
      </c>
      <c r="G151" s="11" t="s">
        <v>182</v>
      </c>
      <c r="H151" s="10" t="s">
        <v>812</v>
      </c>
    </row>
    <row r="152" spans="1:8" x14ac:dyDescent="0.25">
      <c r="A152" s="11" t="s">
        <v>2868</v>
      </c>
      <c r="B152" s="10" t="s">
        <v>804</v>
      </c>
      <c r="C152" s="10" t="s">
        <v>2752</v>
      </c>
      <c r="D152" s="10" t="str">
        <f>VLOOKUP(C152,Region!A:B,2,FALSE)</f>
        <v>Noida</v>
      </c>
      <c r="E152" s="10" t="s">
        <v>806</v>
      </c>
      <c r="F152" s="11" t="s">
        <v>823</v>
      </c>
      <c r="G152" s="11" t="s">
        <v>2869</v>
      </c>
      <c r="H152" s="10" t="s">
        <v>812</v>
      </c>
    </row>
    <row r="153" spans="1:8" x14ac:dyDescent="0.25">
      <c r="A153" s="11" t="s">
        <v>3383</v>
      </c>
      <c r="B153" s="10" t="s">
        <v>1086</v>
      </c>
      <c r="C153" s="10" t="s">
        <v>3273</v>
      </c>
      <c r="D153" s="10" t="str">
        <f>VLOOKUP(C153,Region!A:B,2,FALSE)</f>
        <v>Noida</v>
      </c>
      <c r="E153" s="10" t="s">
        <v>806</v>
      </c>
      <c r="F153" s="11" t="s">
        <v>823</v>
      </c>
      <c r="G153" s="11" t="s">
        <v>653</v>
      </c>
      <c r="H153" s="10" t="s">
        <v>812</v>
      </c>
    </row>
    <row r="154" spans="1:8" x14ac:dyDescent="0.25">
      <c r="A154" s="11" t="s">
        <v>2692</v>
      </c>
      <c r="B154" s="10" t="s">
        <v>804</v>
      </c>
      <c r="C154" s="10" t="s">
        <v>2518</v>
      </c>
      <c r="D154" s="10" t="str">
        <f>VLOOKUP(C154,Region!A:B,2,FALSE)</f>
        <v>Noida</v>
      </c>
      <c r="E154" s="10" t="s">
        <v>1427</v>
      </c>
      <c r="F154" s="11" t="s">
        <v>807</v>
      </c>
      <c r="G154" s="11" t="s">
        <v>2693</v>
      </c>
      <c r="H154" s="10" t="s">
        <v>812</v>
      </c>
    </row>
    <row r="155" spans="1:8" x14ac:dyDescent="0.25">
      <c r="A155" s="11" t="s">
        <v>1044</v>
      </c>
      <c r="B155" s="10" t="s">
        <v>804</v>
      </c>
      <c r="C155" s="10" t="s">
        <v>805</v>
      </c>
      <c r="D155" s="10" t="str">
        <f>VLOOKUP(C155,Region!A:B,2,FALSE)</f>
        <v>Noida</v>
      </c>
      <c r="E155" s="10" t="s">
        <v>806</v>
      </c>
      <c r="F155" s="11" t="s">
        <v>811</v>
      </c>
      <c r="G155" s="11" t="s">
        <v>1045</v>
      </c>
      <c r="H155" s="10" t="s">
        <v>812</v>
      </c>
    </row>
    <row r="156" spans="1:8" x14ac:dyDescent="0.25">
      <c r="A156" s="11" t="s">
        <v>1638</v>
      </c>
      <c r="B156" s="10" t="s">
        <v>804</v>
      </c>
      <c r="C156" s="10" t="s">
        <v>1635</v>
      </c>
      <c r="D156" s="10" t="str">
        <f>VLOOKUP(C156,Region!A:B,2,FALSE)</f>
        <v>MBC US</v>
      </c>
      <c r="E156" s="10" t="s">
        <v>806</v>
      </c>
      <c r="F156" s="11" t="s">
        <v>814</v>
      </c>
      <c r="G156" s="11" t="s">
        <v>1639</v>
      </c>
      <c r="H156" s="10" t="s">
        <v>809</v>
      </c>
    </row>
    <row r="157" spans="1:8" x14ac:dyDescent="0.25">
      <c r="A157" s="11" t="s">
        <v>1640</v>
      </c>
      <c r="B157" s="10" t="s">
        <v>804</v>
      </c>
      <c r="C157" s="10" t="s">
        <v>1635</v>
      </c>
      <c r="D157" s="10" t="str">
        <f>VLOOKUP(C157,Region!A:B,2,FALSE)</f>
        <v>MBC US</v>
      </c>
      <c r="E157" s="10" t="s">
        <v>806</v>
      </c>
      <c r="F157" s="11" t="s">
        <v>814</v>
      </c>
      <c r="G157" s="11" t="s">
        <v>579</v>
      </c>
      <c r="H157" s="10" t="s">
        <v>812</v>
      </c>
    </row>
    <row r="158" spans="1:8" x14ac:dyDescent="0.25">
      <c r="A158" s="11" t="s">
        <v>930</v>
      </c>
      <c r="B158" s="10" t="s">
        <v>804</v>
      </c>
      <c r="C158" s="10" t="s">
        <v>805</v>
      </c>
      <c r="D158" s="10" t="str">
        <f>VLOOKUP(C158,Region!A:B,2,FALSE)</f>
        <v>Noida</v>
      </c>
      <c r="E158" s="10" t="s">
        <v>806</v>
      </c>
      <c r="F158" s="11" t="s">
        <v>823</v>
      </c>
      <c r="G158" s="11" t="s">
        <v>931</v>
      </c>
      <c r="H158" s="10" t="s">
        <v>812</v>
      </c>
    </row>
    <row r="159" spans="1:8" x14ac:dyDescent="0.25">
      <c r="A159" s="11" t="s">
        <v>2045</v>
      </c>
      <c r="B159" s="10" t="s">
        <v>804</v>
      </c>
      <c r="C159" s="10" t="s">
        <v>2041</v>
      </c>
      <c r="D159" s="10" t="str">
        <f>VLOOKUP(C159,Region!A:B,2,FALSE)</f>
        <v>Hyderabad</v>
      </c>
      <c r="E159" s="10" t="s">
        <v>1427</v>
      </c>
      <c r="F159" s="11" t="s">
        <v>823</v>
      </c>
      <c r="G159" s="11" t="s">
        <v>2046</v>
      </c>
      <c r="H159" s="10" t="s">
        <v>812</v>
      </c>
    </row>
    <row r="160" spans="1:8" x14ac:dyDescent="0.25">
      <c r="A160" s="11" t="s">
        <v>1313</v>
      </c>
      <c r="B160" s="10" t="s">
        <v>1086</v>
      </c>
      <c r="C160" s="10" t="s">
        <v>1087</v>
      </c>
      <c r="D160" s="10" t="str">
        <f>VLOOKUP(C160,Region!A:B,2,FALSE)</f>
        <v>Hyderabad</v>
      </c>
      <c r="E160" s="10" t="s">
        <v>806</v>
      </c>
      <c r="F160" s="11" t="s">
        <v>811</v>
      </c>
      <c r="G160" s="11" t="s">
        <v>663</v>
      </c>
      <c r="H160" s="10" t="s">
        <v>812</v>
      </c>
    </row>
    <row r="161" spans="1:8" x14ac:dyDescent="0.25">
      <c r="A161" s="11" t="s">
        <v>1642</v>
      </c>
      <c r="B161" s="10" t="s">
        <v>804</v>
      </c>
      <c r="C161" s="10" t="s">
        <v>1635</v>
      </c>
      <c r="D161" s="10" t="str">
        <f>VLOOKUP(C161,Region!A:B,2,FALSE)</f>
        <v>MBC US</v>
      </c>
      <c r="E161" s="10" t="s">
        <v>806</v>
      </c>
      <c r="F161" s="11" t="s">
        <v>814</v>
      </c>
      <c r="G161" s="11" t="s">
        <v>1643</v>
      </c>
      <c r="H161" s="10" t="s">
        <v>812</v>
      </c>
    </row>
    <row r="162" spans="1:8" x14ac:dyDescent="0.25">
      <c r="A162" s="11" t="s">
        <v>2441</v>
      </c>
      <c r="B162" s="10" t="s">
        <v>804</v>
      </c>
      <c r="C162" s="10" t="s">
        <v>2041</v>
      </c>
      <c r="D162" s="10" t="str">
        <f>VLOOKUP(C162,Region!A:B,2,FALSE)</f>
        <v>Hyderabad</v>
      </c>
      <c r="E162" s="10" t="s">
        <v>1427</v>
      </c>
      <c r="F162" s="11" t="s">
        <v>811</v>
      </c>
      <c r="G162" s="11" t="s">
        <v>2442</v>
      </c>
      <c r="H162" s="10" t="s">
        <v>812</v>
      </c>
    </row>
    <row r="163" spans="1:8" x14ac:dyDescent="0.25">
      <c r="A163" s="11" t="s">
        <v>3017</v>
      </c>
      <c r="B163" s="10" t="s">
        <v>1086</v>
      </c>
      <c r="C163" s="10" t="s">
        <v>2987</v>
      </c>
      <c r="D163" s="10" t="str">
        <f>VLOOKUP(C163,Region!A:B,2,FALSE)</f>
        <v>Noida</v>
      </c>
      <c r="E163" s="10" t="s">
        <v>1427</v>
      </c>
      <c r="F163" s="11" t="s">
        <v>811</v>
      </c>
      <c r="G163" s="11" t="s">
        <v>3018</v>
      </c>
      <c r="H163" s="10" t="s">
        <v>812</v>
      </c>
    </row>
    <row r="164" spans="1:8" x14ac:dyDescent="0.25">
      <c r="A164" s="11" t="s">
        <v>3040</v>
      </c>
      <c r="B164" s="10" t="s">
        <v>1086</v>
      </c>
      <c r="C164" s="10" t="s">
        <v>2987</v>
      </c>
      <c r="D164" s="10" t="str">
        <f>VLOOKUP(C164,Region!A:B,2,FALSE)</f>
        <v>Noida</v>
      </c>
      <c r="E164" s="10" t="s">
        <v>1427</v>
      </c>
      <c r="F164" s="11" t="s">
        <v>814</v>
      </c>
      <c r="G164" s="11" t="s">
        <v>626</v>
      </c>
      <c r="H164" s="10" t="s">
        <v>812</v>
      </c>
    </row>
    <row r="165" spans="1:8" x14ac:dyDescent="0.25">
      <c r="A165" s="11" t="s">
        <v>1650</v>
      </c>
      <c r="B165" s="10" t="s">
        <v>804</v>
      </c>
      <c r="C165" s="10" t="s">
        <v>1635</v>
      </c>
      <c r="D165" s="10" t="str">
        <f>VLOOKUP(C165,Region!A:B,2,FALSE)</f>
        <v>MBC US</v>
      </c>
      <c r="E165" s="10" t="s">
        <v>806</v>
      </c>
      <c r="F165" s="11" t="s">
        <v>823</v>
      </c>
      <c r="G165" s="11" t="s">
        <v>486</v>
      </c>
      <c r="H165" s="10" t="s">
        <v>812</v>
      </c>
    </row>
    <row r="166" spans="1:8" x14ac:dyDescent="0.25">
      <c r="A166" s="11" t="s">
        <v>2100</v>
      </c>
      <c r="B166" s="10" t="s">
        <v>804</v>
      </c>
      <c r="C166" s="10" t="s">
        <v>2041</v>
      </c>
      <c r="D166" s="10" t="str">
        <f>VLOOKUP(C166,Region!A:B,2,FALSE)</f>
        <v>Hyderabad</v>
      </c>
      <c r="E166" s="10" t="s">
        <v>1427</v>
      </c>
      <c r="F166" s="11" t="s">
        <v>814</v>
      </c>
      <c r="G166" s="11" t="s">
        <v>2101</v>
      </c>
      <c r="H166" s="10" t="s">
        <v>809</v>
      </c>
    </row>
    <row r="167" spans="1:8" x14ac:dyDescent="0.25">
      <c r="A167" s="11" t="s">
        <v>932</v>
      </c>
      <c r="B167" s="10" t="s">
        <v>804</v>
      </c>
      <c r="C167" s="10" t="s">
        <v>805</v>
      </c>
      <c r="D167" s="10" t="str">
        <f>VLOOKUP(C167,Region!A:B,2,FALSE)</f>
        <v>Noida</v>
      </c>
      <c r="E167" s="10" t="s">
        <v>806</v>
      </c>
      <c r="F167" s="11" t="s">
        <v>807</v>
      </c>
      <c r="G167" s="11" t="s">
        <v>933</v>
      </c>
      <c r="H167" s="10" t="s">
        <v>809</v>
      </c>
    </row>
    <row r="168" spans="1:8" x14ac:dyDescent="0.25">
      <c r="A168" s="11" t="s">
        <v>2102</v>
      </c>
      <c r="B168" s="10" t="s">
        <v>804</v>
      </c>
      <c r="C168" s="10" t="s">
        <v>2041</v>
      </c>
      <c r="D168" s="10" t="str">
        <f>VLOOKUP(C168,Region!A:B,2,FALSE)</f>
        <v>Hyderabad</v>
      </c>
      <c r="E168" s="10" t="s">
        <v>1427</v>
      </c>
      <c r="F168" s="11" t="s">
        <v>814</v>
      </c>
      <c r="G168" s="11" t="s">
        <v>2103</v>
      </c>
      <c r="H168" s="10" t="s">
        <v>809</v>
      </c>
    </row>
    <row r="169" spans="1:8" x14ac:dyDescent="0.25">
      <c r="A169" s="11" t="s">
        <v>1653</v>
      </c>
      <c r="B169" s="10" t="s">
        <v>804</v>
      </c>
      <c r="C169" s="10" t="s">
        <v>1635</v>
      </c>
      <c r="D169" s="10" t="str">
        <f>VLOOKUP(C169,Region!A:B,2,FALSE)</f>
        <v>MBC US</v>
      </c>
      <c r="E169" s="10" t="s">
        <v>806</v>
      </c>
      <c r="F169" s="11" t="s">
        <v>807</v>
      </c>
      <c r="G169" s="11" t="s">
        <v>1654</v>
      </c>
      <c r="H169" s="10" t="s">
        <v>809</v>
      </c>
    </row>
    <row r="170" spans="1:8" x14ac:dyDescent="0.25">
      <c r="A170" s="11" t="s">
        <v>2830</v>
      </c>
      <c r="B170" s="10" t="s">
        <v>804</v>
      </c>
      <c r="C170" s="10" t="s">
        <v>2752</v>
      </c>
      <c r="D170" s="10" t="str">
        <f>VLOOKUP(C170,Region!A:B,2,FALSE)</f>
        <v>Noida</v>
      </c>
      <c r="E170" s="10" t="s">
        <v>806</v>
      </c>
      <c r="F170" s="11" t="s">
        <v>823</v>
      </c>
      <c r="G170" s="11" t="s">
        <v>2831</v>
      </c>
      <c r="H170" s="10" t="s">
        <v>809</v>
      </c>
    </row>
    <row r="171" spans="1:8" x14ac:dyDescent="0.25">
      <c r="A171" s="11" t="s">
        <v>1644</v>
      </c>
      <c r="B171" s="10" t="s">
        <v>804</v>
      </c>
      <c r="C171" s="10" t="s">
        <v>1635</v>
      </c>
      <c r="D171" s="10" t="str">
        <f>VLOOKUP(C171,Region!A:B,2,FALSE)</f>
        <v>MBC US</v>
      </c>
      <c r="E171" s="10" t="s">
        <v>806</v>
      </c>
      <c r="F171" s="11" t="s">
        <v>814</v>
      </c>
      <c r="G171" s="11" t="s">
        <v>1645</v>
      </c>
      <c r="H171" s="10" t="s">
        <v>809</v>
      </c>
    </row>
    <row r="172" spans="1:8" x14ac:dyDescent="0.25">
      <c r="A172" s="11" t="s">
        <v>1454</v>
      </c>
      <c r="B172" s="10" t="s">
        <v>1086</v>
      </c>
      <c r="C172" s="10" t="s">
        <v>1426</v>
      </c>
      <c r="D172" s="10" t="str">
        <f>VLOOKUP(C172,Region!A:B,2,FALSE)</f>
        <v>Spain</v>
      </c>
      <c r="E172" s="10" t="s">
        <v>1427</v>
      </c>
      <c r="F172" s="11" t="s">
        <v>823</v>
      </c>
      <c r="G172" s="11" t="s">
        <v>651</v>
      </c>
      <c r="H172" s="10" t="s">
        <v>812</v>
      </c>
    </row>
    <row r="173" spans="1:8" x14ac:dyDescent="0.25">
      <c r="A173" s="11" t="s">
        <v>3307</v>
      </c>
      <c r="B173" s="10" t="s">
        <v>1086</v>
      </c>
      <c r="C173" s="10" t="s">
        <v>3273</v>
      </c>
      <c r="D173" s="10" t="str">
        <f>VLOOKUP(C173,Region!A:B,2,FALSE)</f>
        <v>Noida</v>
      </c>
      <c r="E173" s="10" t="s">
        <v>806</v>
      </c>
      <c r="F173" s="11" t="s">
        <v>823</v>
      </c>
      <c r="G173" s="11" t="s">
        <v>541</v>
      </c>
      <c r="H173" s="10" t="s">
        <v>812</v>
      </c>
    </row>
    <row r="174" spans="1:8" x14ac:dyDescent="0.25">
      <c r="A174" s="11" t="s">
        <v>982</v>
      </c>
      <c r="B174" s="10" t="s">
        <v>804</v>
      </c>
      <c r="C174" s="10" t="s">
        <v>805</v>
      </c>
      <c r="D174" s="10" t="str">
        <f>VLOOKUP(C174,Region!A:B,2,FALSE)</f>
        <v>Noida</v>
      </c>
      <c r="E174" s="10" t="s">
        <v>806</v>
      </c>
      <c r="F174" s="11" t="s">
        <v>814</v>
      </c>
      <c r="G174" s="11" t="s">
        <v>983</v>
      </c>
      <c r="H174" s="10" t="s">
        <v>809</v>
      </c>
    </row>
    <row r="175" spans="1:8" x14ac:dyDescent="0.25">
      <c r="A175" s="11" t="s">
        <v>1456</v>
      </c>
      <c r="B175" s="10" t="s">
        <v>804</v>
      </c>
      <c r="C175" s="10" t="s">
        <v>1426</v>
      </c>
      <c r="D175" s="10" t="str">
        <f>VLOOKUP(C175,Region!A:B,2,FALSE)</f>
        <v>Spain</v>
      </c>
      <c r="E175" s="10" t="s">
        <v>1427</v>
      </c>
      <c r="F175" s="11" t="s">
        <v>811</v>
      </c>
      <c r="G175" s="11" t="s">
        <v>776</v>
      </c>
      <c r="H175" s="10" t="s">
        <v>809</v>
      </c>
    </row>
    <row r="176" spans="1:8" x14ac:dyDescent="0.25">
      <c r="A176" s="11" t="s">
        <v>838</v>
      </c>
      <c r="B176" s="10" t="s">
        <v>804</v>
      </c>
      <c r="C176" s="10" t="s">
        <v>805</v>
      </c>
      <c r="D176" s="10" t="str">
        <f>VLOOKUP(C176,Region!A:B,2,FALSE)</f>
        <v>Noida</v>
      </c>
      <c r="E176" s="10" t="s">
        <v>806</v>
      </c>
      <c r="F176" s="11" t="s">
        <v>811</v>
      </c>
      <c r="G176" s="11" t="s">
        <v>839</v>
      </c>
      <c r="H176" s="10" t="s">
        <v>809</v>
      </c>
    </row>
    <row r="177" spans="1:8" x14ac:dyDescent="0.25">
      <c r="A177" s="11" t="s">
        <v>2162</v>
      </c>
      <c r="B177" s="10" t="s">
        <v>804</v>
      </c>
      <c r="C177" s="10" t="s">
        <v>2041</v>
      </c>
      <c r="D177" s="10" t="str">
        <f>VLOOKUP(C177,Region!A:B,2,FALSE)</f>
        <v>Hyderabad</v>
      </c>
      <c r="E177" s="10" t="s">
        <v>1427</v>
      </c>
      <c r="F177" s="11" t="s">
        <v>811</v>
      </c>
      <c r="G177" s="11" t="s">
        <v>2163</v>
      </c>
      <c r="H177" s="10" t="s">
        <v>812</v>
      </c>
    </row>
    <row r="178" spans="1:8" x14ac:dyDescent="0.25">
      <c r="A178" s="11" t="s">
        <v>3395</v>
      </c>
      <c r="B178" s="10" t="s">
        <v>1086</v>
      </c>
      <c r="C178" s="10" t="s">
        <v>3273</v>
      </c>
      <c r="D178" s="10" t="str">
        <f>VLOOKUP(C178,Region!A:B,2,FALSE)</f>
        <v>Noida</v>
      </c>
      <c r="E178" s="10" t="s">
        <v>806</v>
      </c>
      <c r="F178" s="11" t="s">
        <v>823</v>
      </c>
      <c r="G178" s="11" t="s">
        <v>3396</v>
      </c>
      <c r="H178" s="10" t="s">
        <v>809</v>
      </c>
    </row>
    <row r="179" spans="1:8" x14ac:dyDescent="0.25">
      <c r="A179" s="11" t="s">
        <v>813</v>
      </c>
      <c r="B179" s="10" t="s">
        <v>804</v>
      </c>
      <c r="C179" s="10" t="s">
        <v>805</v>
      </c>
      <c r="D179" s="10" t="str">
        <f>VLOOKUP(C179,Region!A:B,2,FALSE)</f>
        <v>Noida</v>
      </c>
      <c r="E179" s="10" t="s">
        <v>806</v>
      </c>
      <c r="F179" s="11" t="s">
        <v>814</v>
      </c>
      <c r="G179" s="11" t="s">
        <v>815</v>
      </c>
      <c r="H179" s="10" t="s">
        <v>809</v>
      </c>
    </row>
    <row r="180" spans="1:8" x14ac:dyDescent="0.25">
      <c r="A180" s="11" t="s">
        <v>1196</v>
      </c>
      <c r="B180" s="10" t="s">
        <v>1086</v>
      </c>
      <c r="C180" s="10" t="s">
        <v>1087</v>
      </c>
      <c r="D180" s="10" t="str">
        <f>VLOOKUP(C180,Region!A:B,2,FALSE)</f>
        <v>Hyderabad</v>
      </c>
      <c r="E180" s="10" t="s">
        <v>806</v>
      </c>
      <c r="F180" s="11" t="s">
        <v>807</v>
      </c>
      <c r="G180" s="11" t="s">
        <v>1197</v>
      </c>
      <c r="H180" s="10" t="s">
        <v>809</v>
      </c>
    </row>
    <row r="181" spans="1:8" x14ac:dyDescent="0.25">
      <c r="A181" s="11" t="s">
        <v>2818</v>
      </c>
      <c r="B181" s="10" t="s">
        <v>804</v>
      </c>
      <c r="C181" s="10" t="s">
        <v>2752</v>
      </c>
      <c r="D181" s="10" t="str">
        <f>VLOOKUP(C181,Region!A:B,2,FALSE)</f>
        <v>Noida</v>
      </c>
      <c r="E181" s="10" t="s">
        <v>806</v>
      </c>
      <c r="F181" s="11" t="s">
        <v>834</v>
      </c>
      <c r="G181" s="11" t="s">
        <v>2819</v>
      </c>
      <c r="H181" s="10" t="s">
        <v>809</v>
      </c>
    </row>
    <row r="182" spans="1:8" x14ac:dyDescent="0.25">
      <c r="A182" s="11" t="s">
        <v>2270</v>
      </c>
      <c r="B182" s="10" t="s">
        <v>804</v>
      </c>
      <c r="C182" s="10" t="s">
        <v>2041</v>
      </c>
      <c r="D182" s="10" t="str">
        <f>VLOOKUP(C182,Region!A:B,2,FALSE)</f>
        <v>Hyderabad</v>
      </c>
      <c r="E182" s="10" t="s">
        <v>1427</v>
      </c>
      <c r="F182" s="11" t="s">
        <v>807</v>
      </c>
      <c r="G182" s="11" t="s">
        <v>2271</v>
      </c>
      <c r="H182" s="10" t="s">
        <v>809</v>
      </c>
    </row>
    <row r="183" spans="1:8" x14ac:dyDescent="0.25">
      <c r="A183" s="11" t="s">
        <v>2104</v>
      </c>
      <c r="B183" s="10" t="s">
        <v>804</v>
      </c>
      <c r="C183" s="10" t="s">
        <v>2041</v>
      </c>
      <c r="D183" s="10" t="str">
        <f>VLOOKUP(C183,Region!A:B,2,FALSE)</f>
        <v>Hyderabad</v>
      </c>
      <c r="E183" s="10" t="s">
        <v>1427</v>
      </c>
      <c r="F183" s="11" t="s">
        <v>814</v>
      </c>
      <c r="G183" s="11" t="s">
        <v>2105</v>
      </c>
      <c r="H183" s="10" t="s">
        <v>809</v>
      </c>
    </row>
    <row r="184" spans="1:8" x14ac:dyDescent="0.25">
      <c r="A184" s="11" t="s">
        <v>2164</v>
      </c>
      <c r="B184" s="10" t="s">
        <v>804</v>
      </c>
      <c r="C184" s="10" t="s">
        <v>2041</v>
      </c>
      <c r="D184" s="10" t="str">
        <f>VLOOKUP(C184,Region!A:B,2,FALSE)</f>
        <v>Hyderabad</v>
      </c>
      <c r="E184" s="10" t="s">
        <v>1427</v>
      </c>
      <c r="F184" s="11" t="s">
        <v>811</v>
      </c>
      <c r="G184" s="11" t="s">
        <v>2165</v>
      </c>
      <c r="H184" s="10" t="s">
        <v>809</v>
      </c>
    </row>
    <row r="185" spans="1:8" x14ac:dyDescent="0.25">
      <c r="A185" s="11" t="s">
        <v>1040</v>
      </c>
      <c r="B185" s="10" t="s">
        <v>804</v>
      </c>
      <c r="C185" s="10" t="s">
        <v>805</v>
      </c>
      <c r="D185" s="10" t="str">
        <f>VLOOKUP(C185,Region!A:B,2,FALSE)</f>
        <v>Noida</v>
      </c>
      <c r="E185" s="10" t="s">
        <v>806</v>
      </c>
      <c r="F185" s="11" t="s">
        <v>811</v>
      </c>
      <c r="G185" s="11" t="s">
        <v>1041</v>
      </c>
      <c r="H185" s="10" t="s">
        <v>812</v>
      </c>
    </row>
    <row r="186" spans="1:8" x14ac:dyDescent="0.25">
      <c r="A186" s="11" t="s">
        <v>2973</v>
      </c>
      <c r="B186" s="10" t="s">
        <v>804</v>
      </c>
      <c r="C186" s="10" t="s">
        <v>2752</v>
      </c>
      <c r="D186" s="10" t="str">
        <f>VLOOKUP(C186,Region!A:B,2,FALSE)</f>
        <v>Noida</v>
      </c>
      <c r="E186" s="10" t="s">
        <v>806</v>
      </c>
      <c r="F186" s="11" t="s">
        <v>823</v>
      </c>
      <c r="G186" s="11" t="s">
        <v>2974</v>
      </c>
      <c r="H186" s="10" t="s">
        <v>809</v>
      </c>
    </row>
    <row r="187" spans="1:8" x14ac:dyDescent="0.25">
      <c r="A187" s="11" t="s">
        <v>2911</v>
      </c>
      <c r="B187" s="10" t="s">
        <v>804</v>
      </c>
      <c r="C187" s="10" t="s">
        <v>2752</v>
      </c>
      <c r="D187" s="10" t="str">
        <f>VLOOKUP(C187,Region!A:B,2,FALSE)</f>
        <v>Noida</v>
      </c>
      <c r="E187" s="10" t="s">
        <v>806</v>
      </c>
      <c r="F187" s="11" t="s">
        <v>811</v>
      </c>
      <c r="G187" s="11" t="s">
        <v>2912</v>
      </c>
      <c r="H187" s="10" t="s">
        <v>812</v>
      </c>
    </row>
    <row r="188" spans="1:8" x14ac:dyDescent="0.25">
      <c r="A188" s="11" t="s">
        <v>2047</v>
      </c>
      <c r="B188" s="10" t="s">
        <v>804</v>
      </c>
      <c r="C188" s="10" t="s">
        <v>2041</v>
      </c>
      <c r="D188" s="10" t="str">
        <f>VLOOKUP(C188,Region!A:B,2,FALSE)</f>
        <v>Hyderabad</v>
      </c>
      <c r="E188" s="10" t="s">
        <v>1427</v>
      </c>
      <c r="F188" s="11" t="s">
        <v>823</v>
      </c>
      <c r="G188" s="11" t="s">
        <v>2048</v>
      </c>
      <c r="H188" s="10" t="s">
        <v>809</v>
      </c>
    </row>
    <row r="189" spans="1:8" x14ac:dyDescent="0.25">
      <c r="A189" s="11" t="s">
        <v>3242</v>
      </c>
      <c r="B189" s="10" t="s">
        <v>1086</v>
      </c>
      <c r="C189" s="10" t="s">
        <v>2987</v>
      </c>
      <c r="D189" s="10" t="str">
        <f>VLOOKUP(C189,Region!A:B,2,FALSE)</f>
        <v>Noida</v>
      </c>
      <c r="E189" s="10" t="s">
        <v>1427</v>
      </c>
      <c r="F189" s="11" t="s">
        <v>814</v>
      </c>
      <c r="G189" s="11" t="s">
        <v>3243</v>
      </c>
      <c r="H189" s="10" t="s">
        <v>809</v>
      </c>
    </row>
    <row r="190" spans="1:8" x14ac:dyDescent="0.25">
      <c r="A190" s="11" t="s">
        <v>1666</v>
      </c>
      <c r="B190" s="10" t="s">
        <v>1086</v>
      </c>
      <c r="C190" s="10" t="s">
        <v>1635</v>
      </c>
      <c r="D190" s="10" t="str">
        <f>VLOOKUP(C190,Region!A:B,2,FALSE)</f>
        <v>MBC US</v>
      </c>
      <c r="E190" s="10" t="s">
        <v>806</v>
      </c>
      <c r="F190" s="11" t="s">
        <v>823</v>
      </c>
      <c r="G190" s="11" t="s">
        <v>1667</v>
      </c>
      <c r="H190" s="10" t="s">
        <v>809</v>
      </c>
    </row>
    <row r="191" spans="1:8" x14ac:dyDescent="0.25">
      <c r="A191" s="11" t="s">
        <v>2106</v>
      </c>
      <c r="B191" s="10" t="s">
        <v>804</v>
      </c>
      <c r="C191" s="10" t="s">
        <v>2041</v>
      </c>
      <c r="D191" s="10" t="str">
        <f>VLOOKUP(C191,Region!A:B,2,FALSE)</f>
        <v>Hyderabad</v>
      </c>
      <c r="E191" s="10" t="s">
        <v>1427</v>
      </c>
      <c r="F191" s="11" t="s">
        <v>814</v>
      </c>
      <c r="G191" s="11" t="s">
        <v>2107</v>
      </c>
      <c r="H191" s="10" t="s">
        <v>809</v>
      </c>
    </row>
    <row r="192" spans="1:8" x14ac:dyDescent="0.25">
      <c r="A192" s="11" t="s">
        <v>3352</v>
      </c>
      <c r="B192" s="10" t="s">
        <v>1086</v>
      </c>
      <c r="C192" s="10" t="s">
        <v>3273</v>
      </c>
      <c r="D192" s="10" t="str">
        <f>VLOOKUP(C192,Region!A:B,2,FALSE)</f>
        <v>Noida</v>
      </c>
      <c r="E192" s="10" t="s">
        <v>806</v>
      </c>
      <c r="F192" s="11" t="s">
        <v>811</v>
      </c>
      <c r="G192" s="11" t="s">
        <v>439</v>
      </c>
      <c r="H192" s="10" t="s">
        <v>812</v>
      </c>
    </row>
    <row r="193" spans="1:8" x14ac:dyDescent="0.25">
      <c r="A193" s="11" t="s">
        <v>1659</v>
      </c>
      <c r="B193" s="10" t="s">
        <v>1086</v>
      </c>
      <c r="C193" s="10" t="s">
        <v>1635</v>
      </c>
      <c r="D193" s="10" t="str">
        <f>VLOOKUP(C193,Region!A:B,2,FALSE)</f>
        <v>MBC US</v>
      </c>
      <c r="E193" s="10" t="s">
        <v>806</v>
      </c>
      <c r="F193" s="11" t="s">
        <v>811</v>
      </c>
      <c r="G193" s="11" t="s">
        <v>1660</v>
      </c>
      <c r="H193" s="10" t="s">
        <v>809</v>
      </c>
    </row>
    <row r="194" spans="1:8" x14ac:dyDescent="0.25">
      <c r="A194" s="11" t="s">
        <v>1032</v>
      </c>
      <c r="B194" s="10" t="s">
        <v>804</v>
      </c>
      <c r="C194" s="10" t="s">
        <v>805</v>
      </c>
      <c r="D194" s="10" t="str">
        <f>VLOOKUP(C194,Region!A:B,2,FALSE)</f>
        <v>Noida</v>
      </c>
      <c r="E194" s="10" t="s">
        <v>806</v>
      </c>
      <c r="F194" s="11" t="s">
        <v>823</v>
      </c>
      <c r="G194" s="11" t="s">
        <v>1033</v>
      </c>
      <c r="H194" s="10" t="s">
        <v>809</v>
      </c>
    </row>
    <row r="195" spans="1:8" x14ac:dyDescent="0.25">
      <c r="A195" s="11" t="s">
        <v>1664</v>
      </c>
      <c r="B195" s="10" t="s">
        <v>804</v>
      </c>
      <c r="C195" s="10" t="s">
        <v>1635</v>
      </c>
      <c r="D195" s="10" t="str">
        <f>VLOOKUP(C195,Region!A:B,2,FALSE)</f>
        <v>MBC US</v>
      </c>
      <c r="E195" s="10" t="s">
        <v>806</v>
      </c>
      <c r="F195" s="11" t="s">
        <v>814</v>
      </c>
      <c r="G195" s="11" t="s">
        <v>254</v>
      </c>
      <c r="H195" s="10" t="s">
        <v>812</v>
      </c>
    </row>
    <row r="196" spans="1:8" x14ac:dyDescent="0.25">
      <c r="A196" s="11" t="s">
        <v>1665</v>
      </c>
      <c r="B196" s="10" t="s">
        <v>1086</v>
      </c>
      <c r="C196" s="10" t="s">
        <v>1635</v>
      </c>
      <c r="D196" s="10" t="str">
        <f>VLOOKUP(C196,Region!A:B,2,FALSE)</f>
        <v>MBC US</v>
      </c>
      <c r="E196" s="10" t="s">
        <v>806</v>
      </c>
      <c r="F196" s="11" t="s">
        <v>807</v>
      </c>
      <c r="G196" s="11" t="s">
        <v>760</v>
      </c>
      <c r="H196" s="10" t="s">
        <v>812</v>
      </c>
    </row>
    <row r="197" spans="1:8" x14ac:dyDescent="0.25">
      <c r="A197" s="11" t="s">
        <v>2108</v>
      </c>
      <c r="B197" s="10" t="s">
        <v>804</v>
      </c>
      <c r="C197" s="10" t="s">
        <v>2041</v>
      </c>
      <c r="D197" s="10" t="str">
        <f>VLOOKUP(C197,Region!A:B,2,FALSE)</f>
        <v>Hyderabad</v>
      </c>
      <c r="E197" s="10" t="s">
        <v>1427</v>
      </c>
      <c r="F197" s="11" t="s">
        <v>814</v>
      </c>
      <c r="G197" s="11" t="s">
        <v>2109</v>
      </c>
      <c r="H197" s="10" t="s">
        <v>812</v>
      </c>
    </row>
    <row r="198" spans="1:8" x14ac:dyDescent="0.25">
      <c r="A198" s="11" t="s">
        <v>1485</v>
      </c>
      <c r="B198" s="10" t="s">
        <v>1086</v>
      </c>
      <c r="C198" s="10" t="s">
        <v>1426</v>
      </c>
      <c r="D198" s="10" t="str">
        <f>VLOOKUP(C198,Region!A:B,2,FALSE)</f>
        <v>Spain</v>
      </c>
      <c r="E198" s="10" t="s">
        <v>1427</v>
      </c>
      <c r="F198" s="11" t="s">
        <v>823</v>
      </c>
      <c r="G198" s="11" t="s">
        <v>775</v>
      </c>
      <c r="H198" s="10" t="s">
        <v>809</v>
      </c>
    </row>
    <row r="199" spans="1:8" x14ac:dyDescent="0.25">
      <c r="A199" s="11" t="s">
        <v>1486</v>
      </c>
      <c r="B199" s="10" t="s">
        <v>804</v>
      </c>
      <c r="C199" s="10" t="s">
        <v>1426</v>
      </c>
      <c r="D199" s="10" t="str">
        <f>VLOOKUP(C199,Region!A:B,2,FALSE)</f>
        <v>Spain</v>
      </c>
      <c r="E199" s="10" t="s">
        <v>1427</v>
      </c>
      <c r="F199" s="11" t="s">
        <v>823</v>
      </c>
      <c r="G199" s="11" t="s">
        <v>1487</v>
      </c>
      <c r="H199" s="10" t="s">
        <v>809</v>
      </c>
    </row>
    <row r="200" spans="1:8" x14ac:dyDescent="0.25">
      <c r="A200" s="11" t="s">
        <v>2166</v>
      </c>
      <c r="B200" s="10" t="s">
        <v>804</v>
      </c>
      <c r="C200" s="10" t="s">
        <v>2041</v>
      </c>
      <c r="D200" s="10" t="str">
        <f>VLOOKUP(C200,Region!A:B,2,FALSE)</f>
        <v>Hyderabad</v>
      </c>
      <c r="E200" s="10" t="s">
        <v>1427</v>
      </c>
      <c r="F200" s="11" t="s">
        <v>811</v>
      </c>
      <c r="G200" s="11" t="s">
        <v>2167</v>
      </c>
      <c r="H200" s="10" t="s">
        <v>809</v>
      </c>
    </row>
    <row r="201" spans="1:8" x14ac:dyDescent="0.25">
      <c r="A201" s="11" t="s">
        <v>2272</v>
      </c>
      <c r="B201" s="10" t="s">
        <v>804</v>
      </c>
      <c r="C201" s="10" t="s">
        <v>2041</v>
      </c>
      <c r="D201" s="10" t="str">
        <f>VLOOKUP(C201,Region!A:B,2,FALSE)</f>
        <v>Hyderabad</v>
      </c>
      <c r="E201" s="10" t="s">
        <v>1427</v>
      </c>
      <c r="F201" s="11" t="s">
        <v>807</v>
      </c>
      <c r="G201" s="11" t="s">
        <v>2273</v>
      </c>
      <c r="H201" s="10" t="s">
        <v>812</v>
      </c>
    </row>
    <row r="202" spans="1:8" x14ac:dyDescent="0.25">
      <c r="A202" s="11" t="s">
        <v>2168</v>
      </c>
      <c r="B202" s="10" t="s">
        <v>804</v>
      </c>
      <c r="C202" s="10" t="s">
        <v>2041</v>
      </c>
      <c r="D202" s="10" t="str">
        <f>VLOOKUP(C202,Region!A:B,2,FALSE)</f>
        <v>Hyderabad</v>
      </c>
      <c r="E202" s="10" t="s">
        <v>1427</v>
      </c>
      <c r="F202" s="11" t="s">
        <v>811</v>
      </c>
      <c r="G202" s="11" t="s">
        <v>282</v>
      </c>
      <c r="H202" s="10" t="s">
        <v>812</v>
      </c>
    </row>
    <row r="203" spans="1:8" x14ac:dyDescent="0.25">
      <c r="A203" s="11" t="s">
        <v>3325</v>
      </c>
      <c r="B203" s="10" t="s">
        <v>1086</v>
      </c>
      <c r="C203" s="10" t="s">
        <v>3273</v>
      </c>
      <c r="D203" s="10" t="str">
        <f>VLOOKUP(C203,Region!A:B,2,FALSE)</f>
        <v>Noida</v>
      </c>
      <c r="E203" s="10" t="s">
        <v>806</v>
      </c>
      <c r="F203" s="11" t="s">
        <v>807</v>
      </c>
      <c r="G203" s="11" t="s">
        <v>3326</v>
      </c>
      <c r="H203" s="10" t="s">
        <v>809</v>
      </c>
    </row>
    <row r="204" spans="1:8" x14ac:dyDescent="0.25">
      <c r="A204" s="11" t="s">
        <v>3030</v>
      </c>
      <c r="B204" s="10" t="s">
        <v>1086</v>
      </c>
      <c r="C204" s="10" t="s">
        <v>2987</v>
      </c>
      <c r="D204" s="10" t="str">
        <f>VLOOKUP(C204,Region!A:B,2,FALSE)</f>
        <v>Noida</v>
      </c>
      <c r="E204" s="10" t="s">
        <v>1427</v>
      </c>
      <c r="F204" s="11" t="s">
        <v>811</v>
      </c>
      <c r="G204" s="11" t="s">
        <v>3031</v>
      </c>
      <c r="H204" s="10" t="s">
        <v>809</v>
      </c>
    </row>
    <row r="205" spans="1:8" x14ac:dyDescent="0.25">
      <c r="A205" s="11" t="s">
        <v>1483</v>
      </c>
      <c r="B205" s="10" t="s">
        <v>1086</v>
      </c>
      <c r="C205" s="10" t="s">
        <v>1426</v>
      </c>
      <c r="D205" s="10" t="str">
        <f>VLOOKUP(C205,Region!A:B,2,FALSE)</f>
        <v>Spain</v>
      </c>
      <c r="E205" s="10" t="s">
        <v>1427</v>
      </c>
      <c r="F205" s="11" t="s">
        <v>823</v>
      </c>
      <c r="G205" s="11" t="s">
        <v>1484</v>
      </c>
      <c r="H205" s="10" t="s">
        <v>809</v>
      </c>
    </row>
    <row r="206" spans="1:8" x14ac:dyDescent="0.25">
      <c r="A206" s="11" t="s">
        <v>1668</v>
      </c>
      <c r="B206" s="10" t="s">
        <v>804</v>
      </c>
      <c r="C206" s="10" t="s">
        <v>1635</v>
      </c>
      <c r="D206" s="10" t="str">
        <f>VLOOKUP(C206,Region!A:B,2,FALSE)</f>
        <v>MBC US</v>
      </c>
      <c r="E206" s="10" t="s">
        <v>806</v>
      </c>
      <c r="F206" s="11" t="s">
        <v>811</v>
      </c>
      <c r="G206" s="11" t="s">
        <v>1669</v>
      </c>
      <c r="H206" s="10" t="s">
        <v>809</v>
      </c>
    </row>
    <row r="207" spans="1:8" x14ac:dyDescent="0.25">
      <c r="A207" s="11" t="s">
        <v>1661</v>
      </c>
      <c r="B207" s="10" t="s">
        <v>804</v>
      </c>
      <c r="C207" s="10" t="s">
        <v>1635</v>
      </c>
      <c r="D207" s="10" t="str">
        <f>VLOOKUP(C207,Region!A:B,2,FALSE)</f>
        <v>MBC US</v>
      </c>
      <c r="E207" s="10" t="s">
        <v>806</v>
      </c>
      <c r="F207" s="11" t="s">
        <v>807</v>
      </c>
      <c r="G207" s="11" t="s">
        <v>1662</v>
      </c>
      <c r="H207" s="10" t="s">
        <v>809</v>
      </c>
    </row>
    <row r="208" spans="1:8" x14ac:dyDescent="0.25">
      <c r="A208" s="11" t="s">
        <v>897</v>
      </c>
      <c r="B208" s="10" t="s">
        <v>804</v>
      </c>
      <c r="C208" s="10" t="s">
        <v>805</v>
      </c>
      <c r="D208" s="10" t="str">
        <f>VLOOKUP(C208,Region!A:B,2,FALSE)</f>
        <v>Noida</v>
      </c>
      <c r="E208" s="10" t="s">
        <v>806</v>
      </c>
      <c r="F208" s="11" t="s">
        <v>834</v>
      </c>
      <c r="G208" s="11" t="s">
        <v>898</v>
      </c>
      <c r="H208" s="10" t="s">
        <v>812</v>
      </c>
    </row>
    <row r="209" spans="1:8" x14ac:dyDescent="0.25">
      <c r="A209" s="11" t="s">
        <v>2726</v>
      </c>
      <c r="B209" s="10" t="s">
        <v>804</v>
      </c>
      <c r="C209" s="10" t="s">
        <v>2518</v>
      </c>
      <c r="D209" s="10" t="str">
        <f>VLOOKUP(C209,Region!A:B,2,FALSE)</f>
        <v>Noida</v>
      </c>
      <c r="E209" s="10" t="s">
        <v>1427</v>
      </c>
      <c r="F209" s="11" t="s">
        <v>823</v>
      </c>
      <c r="G209" s="11" t="s">
        <v>2727</v>
      </c>
      <c r="H209" s="10" t="s">
        <v>809</v>
      </c>
    </row>
    <row r="210" spans="1:8" x14ac:dyDescent="0.25">
      <c r="A210" s="11" t="s">
        <v>1417</v>
      </c>
      <c r="B210" s="10" t="s">
        <v>1086</v>
      </c>
      <c r="C210" s="10" t="s">
        <v>1087</v>
      </c>
      <c r="D210" s="10" t="str">
        <f>VLOOKUP(C210,Region!A:B,2,FALSE)</f>
        <v>Hyderabad</v>
      </c>
      <c r="E210" s="10" t="s">
        <v>806</v>
      </c>
      <c r="F210" s="11" t="s">
        <v>811</v>
      </c>
      <c r="G210" s="11" t="s">
        <v>1418</v>
      </c>
      <c r="H210" s="10" t="s">
        <v>809</v>
      </c>
    </row>
    <row r="211" spans="1:8" x14ac:dyDescent="0.25">
      <c r="A211" s="11" t="s">
        <v>2033</v>
      </c>
      <c r="B211" s="10" t="s">
        <v>804</v>
      </c>
      <c r="C211" s="10" t="s">
        <v>1635</v>
      </c>
      <c r="D211" s="10" t="str">
        <f>VLOOKUP(C211,Region!A:B,2,FALSE)</f>
        <v>MBC US</v>
      </c>
      <c r="E211" s="10" t="s">
        <v>806</v>
      </c>
      <c r="F211" s="11" t="s">
        <v>814</v>
      </c>
      <c r="G211" s="11" t="s">
        <v>736</v>
      </c>
      <c r="H211" s="10" t="s">
        <v>812</v>
      </c>
    </row>
    <row r="212" spans="1:8" x14ac:dyDescent="0.25">
      <c r="A212" s="11" t="s">
        <v>1122</v>
      </c>
      <c r="B212" s="10" t="s">
        <v>1086</v>
      </c>
      <c r="C212" s="10" t="s">
        <v>1087</v>
      </c>
      <c r="D212" s="10" t="str">
        <f>VLOOKUP(C212,Region!A:B,2,FALSE)</f>
        <v>Hyderabad</v>
      </c>
      <c r="E212" s="10" t="s">
        <v>806</v>
      </c>
      <c r="F212" s="11" t="s">
        <v>823</v>
      </c>
      <c r="G212" s="11" t="s">
        <v>121</v>
      </c>
      <c r="H212" s="10" t="s">
        <v>812</v>
      </c>
    </row>
    <row r="213" spans="1:8" x14ac:dyDescent="0.25">
      <c r="A213" s="11" t="s">
        <v>1657</v>
      </c>
      <c r="B213" s="10" t="s">
        <v>804</v>
      </c>
      <c r="C213" s="10" t="s">
        <v>1635</v>
      </c>
      <c r="D213" s="10" t="str">
        <f>VLOOKUP(C213,Region!A:B,2,FALSE)</f>
        <v>MBC US</v>
      </c>
      <c r="E213" s="10" t="s">
        <v>806</v>
      </c>
      <c r="F213" s="11" t="s">
        <v>807</v>
      </c>
      <c r="G213" s="11" t="s">
        <v>1658</v>
      </c>
      <c r="H213" s="10" t="s">
        <v>809</v>
      </c>
    </row>
    <row r="214" spans="1:8" x14ac:dyDescent="0.25">
      <c r="A214" s="11" t="s">
        <v>3027</v>
      </c>
      <c r="B214" s="10" t="s">
        <v>1086</v>
      </c>
      <c r="C214" s="10" t="s">
        <v>2987</v>
      </c>
      <c r="D214" s="10" t="str">
        <f>VLOOKUP(C214,Region!A:B,2,FALSE)</f>
        <v>Noida</v>
      </c>
      <c r="E214" s="10" t="s">
        <v>1427</v>
      </c>
      <c r="F214" s="11" t="s">
        <v>823</v>
      </c>
      <c r="G214" s="11" t="s">
        <v>490</v>
      </c>
      <c r="H214" s="10" t="s">
        <v>812</v>
      </c>
    </row>
    <row r="215" spans="1:8" x14ac:dyDescent="0.25">
      <c r="A215" s="11" t="s">
        <v>1409</v>
      </c>
      <c r="B215" s="10" t="s">
        <v>1086</v>
      </c>
      <c r="C215" s="10" t="s">
        <v>1087</v>
      </c>
      <c r="D215" s="10" t="str">
        <f>VLOOKUP(C215,Region!A:B,2,FALSE)</f>
        <v>Hyderabad</v>
      </c>
      <c r="E215" s="10" t="s">
        <v>806</v>
      </c>
      <c r="F215" s="11" t="s">
        <v>811</v>
      </c>
      <c r="G215" s="11" t="s">
        <v>1410</v>
      </c>
      <c r="H215" s="10" t="s">
        <v>812</v>
      </c>
    </row>
    <row r="216" spans="1:8" x14ac:dyDescent="0.25">
      <c r="A216" s="11" t="s">
        <v>1341</v>
      </c>
      <c r="B216" s="10" t="s">
        <v>1086</v>
      </c>
      <c r="C216" s="10" t="s">
        <v>1087</v>
      </c>
      <c r="D216" s="10" t="str">
        <f>VLOOKUP(C216,Region!A:B,2,FALSE)</f>
        <v>Hyderabad</v>
      </c>
      <c r="E216" s="10" t="s">
        <v>806</v>
      </c>
      <c r="F216" s="11" t="s">
        <v>807</v>
      </c>
      <c r="G216" s="11" t="s">
        <v>1342</v>
      </c>
      <c r="H216" s="10" t="s">
        <v>809</v>
      </c>
    </row>
    <row r="217" spans="1:8" x14ac:dyDescent="0.25">
      <c r="A217" s="11" t="s">
        <v>1239</v>
      </c>
      <c r="B217" s="10" t="s">
        <v>1086</v>
      </c>
      <c r="C217" s="10" t="s">
        <v>1087</v>
      </c>
      <c r="D217" s="10" t="str">
        <f>VLOOKUP(C217,Region!A:B,2,FALSE)</f>
        <v>Hyderabad</v>
      </c>
      <c r="E217" s="10" t="s">
        <v>806</v>
      </c>
      <c r="F217" s="11" t="s">
        <v>811</v>
      </c>
      <c r="G217" s="11" t="s">
        <v>1240</v>
      </c>
      <c r="H217" s="10" t="s">
        <v>809</v>
      </c>
    </row>
    <row r="218" spans="1:8" x14ac:dyDescent="0.25">
      <c r="A218" s="11" t="s">
        <v>2916</v>
      </c>
      <c r="B218" s="10" t="s">
        <v>804</v>
      </c>
      <c r="C218" s="10" t="s">
        <v>2752</v>
      </c>
      <c r="D218" s="10" t="str">
        <f>VLOOKUP(C218,Region!A:B,2,FALSE)</f>
        <v>Noida</v>
      </c>
      <c r="E218" s="10" t="s">
        <v>806</v>
      </c>
      <c r="F218" s="11" t="s">
        <v>811</v>
      </c>
      <c r="G218" s="11" t="s">
        <v>2917</v>
      </c>
      <c r="H218" s="10" t="s">
        <v>812</v>
      </c>
    </row>
    <row r="219" spans="1:8" x14ac:dyDescent="0.25">
      <c r="A219" s="11" t="s">
        <v>1440</v>
      </c>
      <c r="B219" s="10" t="s">
        <v>1086</v>
      </c>
      <c r="C219" s="10" t="s">
        <v>1426</v>
      </c>
      <c r="D219" s="10" t="str">
        <f>VLOOKUP(C219,Region!A:B,2,FALSE)</f>
        <v>Spain</v>
      </c>
      <c r="E219" s="10" t="s">
        <v>1427</v>
      </c>
      <c r="F219" s="11" t="s">
        <v>807</v>
      </c>
      <c r="G219" s="11" t="s">
        <v>1441</v>
      </c>
      <c r="H219" s="10" t="s">
        <v>809</v>
      </c>
    </row>
    <row r="220" spans="1:8" x14ac:dyDescent="0.25">
      <c r="A220" s="11" t="s">
        <v>2520</v>
      </c>
      <c r="B220" s="10" t="s">
        <v>804</v>
      </c>
      <c r="C220" s="10" t="s">
        <v>2518</v>
      </c>
      <c r="D220" s="10" t="str">
        <f>VLOOKUP(C220,Region!A:B,2,FALSE)</f>
        <v>Noida</v>
      </c>
      <c r="E220" s="10" t="s">
        <v>1427</v>
      </c>
      <c r="F220" s="11" t="s">
        <v>823</v>
      </c>
      <c r="G220" s="11" t="s">
        <v>2521</v>
      </c>
      <c r="H220" s="10" t="s">
        <v>809</v>
      </c>
    </row>
    <row r="221" spans="1:8" x14ac:dyDescent="0.25">
      <c r="A221" s="11" t="s">
        <v>2848</v>
      </c>
      <c r="B221" s="10" t="s">
        <v>804</v>
      </c>
      <c r="C221" s="10" t="s">
        <v>2752</v>
      </c>
      <c r="D221" s="10" t="str">
        <f>VLOOKUP(C221,Region!A:B,2,FALSE)</f>
        <v>Noida</v>
      </c>
      <c r="E221" s="10" t="s">
        <v>806</v>
      </c>
      <c r="F221" s="11" t="s">
        <v>807</v>
      </c>
      <c r="G221" s="11" t="s">
        <v>2849</v>
      </c>
      <c r="H221" s="10" t="s">
        <v>812</v>
      </c>
    </row>
    <row r="222" spans="1:8" x14ac:dyDescent="0.25">
      <c r="A222" s="11" t="s">
        <v>3216</v>
      </c>
      <c r="B222" s="10" t="s">
        <v>1086</v>
      </c>
      <c r="C222" s="10" t="s">
        <v>2987</v>
      </c>
      <c r="D222" s="10" t="str">
        <f>VLOOKUP(C222,Region!A:B,2,FALSE)</f>
        <v>Noida</v>
      </c>
      <c r="E222" s="10" t="s">
        <v>1427</v>
      </c>
      <c r="F222" s="11" t="s">
        <v>823</v>
      </c>
      <c r="G222" s="11" t="s">
        <v>3217</v>
      </c>
      <c r="H222" s="10" t="s">
        <v>809</v>
      </c>
    </row>
    <row r="223" spans="1:8" x14ac:dyDescent="0.25">
      <c r="A223" s="11" t="s">
        <v>2553</v>
      </c>
      <c r="B223" s="10" t="s">
        <v>804</v>
      </c>
      <c r="C223" s="10" t="s">
        <v>2518</v>
      </c>
      <c r="D223" s="10" t="str">
        <f>VLOOKUP(C223,Region!A:B,2,FALSE)</f>
        <v>Noida</v>
      </c>
      <c r="E223" s="10" t="s">
        <v>1427</v>
      </c>
      <c r="F223" s="11" t="s">
        <v>811</v>
      </c>
      <c r="G223" s="11" t="s">
        <v>2554</v>
      </c>
      <c r="H223" s="10" t="s">
        <v>809</v>
      </c>
    </row>
    <row r="224" spans="1:8" x14ac:dyDescent="0.25">
      <c r="A224" s="11" t="s">
        <v>2169</v>
      </c>
      <c r="B224" s="10" t="s">
        <v>804</v>
      </c>
      <c r="C224" s="10" t="s">
        <v>2041</v>
      </c>
      <c r="D224" s="10" t="str">
        <f>VLOOKUP(C224,Region!A:B,2,FALSE)</f>
        <v>Hyderabad</v>
      </c>
      <c r="E224" s="10" t="s">
        <v>1427</v>
      </c>
      <c r="F224" s="11" t="s">
        <v>811</v>
      </c>
      <c r="G224" s="11" t="s">
        <v>2170</v>
      </c>
      <c r="H224" s="10" t="s">
        <v>809</v>
      </c>
    </row>
    <row r="225" spans="1:8" x14ac:dyDescent="0.25">
      <c r="A225" s="11" t="s">
        <v>942</v>
      </c>
      <c r="B225" s="10" t="s">
        <v>804</v>
      </c>
      <c r="C225" s="10" t="s">
        <v>805</v>
      </c>
      <c r="D225" s="10" t="str">
        <f>VLOOKUP(C225,Region!A:B,2,FALSE)</f>
        <v>Noida</v>
      </c>
      <c r="E225" s="10" t="s">
        <v>806</v>
      </c>
      <c r="F225" s="11" t="s">
        <v>814</v>
      </c>
      <c r="G225" s="11" t="s">
        <v>943</v>
      </c>
      <c r="H225" s="10" t="s">
        <v>812</v>
      </c>
    </row>
    <row r="226" spans="1:8" x14ac:dyDescent="0.25">
      <c r="A226" s="11" t="s">
        <v>2854</v>
      </c>
      <c r="B226" s="10" t="s">
        <v>804</v>
      </c>
      <c r="C226" s="10" t="s">
        <v>2752</v>
      </c>
      <c r="D226" s="10" t="str">
        <f>VLOOKUP(C226,Region!A:B,2,FALSE)</f>
        <v>Noida</v>
      </c>
      <c r="E226" s="10" t="s">
        <v>806</v>
      </c>
      <c r="F226" s="11" t="s">
        <v>823</v>
      </c>
      <c r="G226" s="11" t="s">
        <v>2855</v>
      </c>
      <c r="H226" s="10" t="s">
        <v>812</v>
      </c>
    </row>
    <row r="227" spans="1:8" x14ac:dyDescent="0.25">
      <c r="A227" s="11" t="s">
        <v>2694</v>
      </c>
      <c r="B227" s="10" t="s">
        <v>804</v>
      </c>
      <c r="C227" s="10" t="s">
        <v>2518</v>
      </c>
      <c r="D227" s="10" t="str">
        <f>VLOOKUP(C227,Region!A:B,2,FALSE)</f>
        <v>Noida</v>
      </c>
      <c r="E227" s="10" t="s">
        <v>1427</v>
      </c>
      <c r="F227" s="11" t="s">
        <v>807</v>
      </c>
      <c r="G227" s="11" t="s">
        <v>2695</v>
      </c>
      <c r="H227" s="10" t="s">
        <v>812</v>
      </c>
    </row>
    <row r="228" spans="1:8" x14ac:dyDescent="0.25">
      <c r="A228" s="11" t="s">
        <v>810</v>
      </c>
      <c r="B228" s="10" t="s">
        <v>804</v>
      </c>
      <c r="C228" s="10" t="s">
        <v>805</v>
      </c>
      <c r="D228" s="10" t="str">
        <f>VLOOKUP(C228,Region!A:B,2,FALSE)</f>
        <v>Noida</v>
      </c>
      <c r="E228" s="10" t="s">
        <v>806</v>
      </c>
      <c r="F228" s="11" t="s">
        <v>811</v>
      </c>
      <c r="G228" s="11" t="s">
        <v>447</v>
      </c>
      <c r="H228" s="10" t="s">
        <v>812</v>
      </c>
    </row>
    <row r="229" spans="1:8" x14ac:dyDescent="0.25">
      <c r="A229" s="11" t="s">
        <v>903</v>
      </c>
      <c r="B229" s="10" t="s">
        <v>804</v>
      </c>
      <c r="C229" s="10" t="s">
        <v>805</v>
      </c>
      <c r="D229" s="10" t="str">
        <f>VLOOKUP(C229,Region!A:B,2,FALSE)</f>
        <v>Noida</v>
      </c>
      <c r="E229" s="10" t="s">
        <v>806</v>
      </c>
      <c r="F229" s="11" t="s">
        <v>814</v>
      </c>
      <c r="G229" s="11" t="s">
        <v>904</v>
      </c>
      <c r="H229" s="10" t="s">
        <v>809</v>
      </c>
    </row>
    <row r="230" spans="1:8" x14ac:dyDescent="0.25">
      <c r="A230" s="11" t="s">
        <v>2049</v>
      </c>
      <c r="B230" s="10" t="s">
        <v>804</v>
      </c>
      <c r="C230" s="10" t="s">
        <v>2041</v>
      </c>
      <c r="D230" s="10" t="str">
        <f>VLOOKUP(C230,Region!A:B,2,FALSE)</f>
        <v>Hyderabad</v>
      </c>
      <c r="E230" s="10" t="s">
        <v>1427</v>
      </c>
      <c r="F230" s="11" t="s">
        <v>814</v>
      </c>
      <c r="G230" s="11" t="s">
        <v>2050</v>
      </c>
      <c r="H230" s="10" t="s">
        <v>809</v>
      </c>
    </row>
    <row r="231" spans="1:8" x14ac:dyDescent="0.25">
      <c r="A231" s="11" t="s">
        <v>3134</v>
      </c>
      <c r="B231" s="10" t="s">
        <v>1086</v>
      </c>
      <c r="C231" s="10" t="s">
        <v>2987</v>
      </c>
      <c r="D231" s="10" t="str">
        <f>VLOOKUP(C231,Region!A:B,2,FALSE)</f>
        <v>Noida</v>
      </c>
      <c r="E231" s="10" t="s">
        <v>1427</v>
      </c>
      <c r="F231" s="11" t="s">
        <v>823</v>
      </c>
      <c r="G231" s="11" t="s">
        <v>3135</v>
      </c>
      <c r="H231" s="10" t="s">
        <v>812</v>
      </c>
    </row>
    <row r="232" spans="1:8" x14ac:dyDescent="0.25">
      <c r="A232" s="11" t="s">
        <v>1337</v>
      </c>
      <c r="B232" s="10" t="s">
        <v>1086</v>
      </c>
      <c r="C232" s="10" t="s">
        <v>1087</v>
      </c>
      <c r="D232" s="10" t="str">
        <f>VLOOKUP(C232,Region!A:B,2,FALSE)</f>
        <v>Hyderabad</v>
      </c>
      <c r="E232" s="10" t="s">
        <v>806</v>
      </c>
      <c r="F232" s="11" t="s">
        <v>814</v>
      </c>
      <c r="G232" s="11" t="s">
        <v>1338</v>
      </c>
      <c r="H232" s="10" t="s">
        <v>812</v>
      </c>
    </row>
    <row r="233" spans="1:8" x14ac:dyDescent="0.25">
      <c r="A233" s="11" t="s">
        <v>1423</v>
      </c>
      <c r="B233" s="10" t="s">
        <v>1086</v>
      </c>
      <c r="C233" s="10" t="s">
        <v>1087</v>
      </c>
      <c r="D233" s="10" t="str">
        <f>VLOOKUP(C233,Region!A:B,2,FALSE)</f>
        <v>Hyderabad</v>
      </c>
      <c r="E233" s="10" t="s">
        <v>806</v>
      </c>
      <c r="F233" s="11" t="s">
        <v>811</v>
      </c>
      <c r="G233" s="11" t="s">
        <v>1424</v>
      </c>
      <c r="H233" s="10" t="s">
        <v>809</v>
      </c>
    </row>
    <row r="234" spans="1:8" x14ac:dyDescent="0.25">
      <c r="A234" s="11" t="s">
        <v>2274</v>
      </c>
      <c r="B234" s="10" t="s">
        <v>804</v>
      </c>
      <c r="C234" s="10" t="s">
        <v>2041</v>
      </c>
      <c r="D234" s="10" t="str">
        <f>VLOOKUP(C234,Region!A:B,2,FALSE)</f>
        <v>Hyderabad</v>
      </c>
      <c r="E234" s="10" t="s">
        <v>1427</v>
      </c>
      <c r="F234" s="11" t="s">
        <v>807</v>
      </c>
      <c r="G234" s="11" t="s">
        <v>2275</v>
      </c>
      <c r="H234" s="10" t="s">
        <v>809</v>
      </c>
    </row>
    <row r="235" spans="1:8" x14ac:dyDescent="0.25">
      <c r="A235" s="11" t="s">
        <v>2051</v>
      </c>
      <c r="B235" s="10" t="s">
        <v>804</v>
      </c>
      <c r="C235" s="10" t="s">
        <v>2041</v>
      </c>
      <c r="D235" s="10" t="str">
        <f>VLOOKUP(C235,Region!A:B,2,FALSE)</f>
        <v>Hyderabad</v>
      </c>
      <c r="E235" s="10" t="s">
        <v>1427</v>
      </c>
      <c r="F235" s="11" t="s">
        <v>823</v>
      </c>
      <c r="G235" s="11" t="s">
        <v>2052</v>
      </c>
      <c r="H235" s="10" t="s">
        <v>809</v>
      </c>
    </row>
    <row r="236" spans="1:8" x14ac:dyDescent="0.25">
      <c r="A236" s="11" t="s">
        <v>1241</v>
      </c>
      <c r="B236" s="10" t="s">
        <v>1086</v>
      </c>
      <c r="C236" s="10" t="s">
        <v>1087</v>
      </c>
      <c r="D236" s="10" t="str">
        <f>VLOOKUP(C236,Region!A:B,2,FALSE)</f>
        <v>Hyderabad</v>
      </c>
      <c r="E236" s="10" t="s">
        <v>806</v>
      </c>
      <c r="F236" s="11" t="s">
        <v>811</v>
      </c>
      <c r="G236" s="11" t="s">
        <v>1242</v>
      </c>
      <c r="H236" s="10" t="s">
        <v>809</v>
      </c>
    </row>
    <row r="237" spans="1:8" x14ac:dyDescent="0.25">
      <c r="A237" s="11" t="s">
        <v>1243</v>
      </c>
      <c r="B237" s="10" t="s">
        <v>1086</v>
      </c>
      <c r="C237" s="10" t="s">
        <v>1087</v>
      </c>
      <c r="D237" s="10" t="str">
        <f>VLOOKUP(C237,Region!A:B,2,FALSE)</f>
        <v>Hyderabad</v>
      </c>
      <c r="E237" s="10" t="s">
        <v>806</v>
      </c>
      <c r="F237" s="11" t="s">
        <v>811</v>
      </c>
      <c r="G237" s="11" t="s">
        <v>1244</v>
      </c>
      <c r="H237" s="10" t="s">
        <v>809</v>
      </c>
    </row>
    <row r="238" spans="1:8" x14ac:dyDescent="0.25">
      <c r="A238" s="11" t="s">
        <v>2696</v>
      </c>
      <c r="B238" s="10" t="s">
        <v>804</v>
      </c>
      <c r="C238" s="10" t="s">
        <v>2518</v>
      </c>
      <c r="D238" s="10" t="str">
        <f>VLOOKUP(C238,Region!A:B,2,FALSE)</f>
        <v>Noida</v>
      </c>
      <c r="E238" s="10" t="s">
        <v>1427</v>
      </c>
      <c r="F238" s="11" t="s">
        <v>807</v>
      </c>
      <c r="G238" s="11" t="s">
        <v>2697</v>
      </c>
      <c r="H238" s="10" t="s">
        <v>812</v>
      </c>
    </row>
    <row r="239" spans="1:8" x14ac:dyDescent="0.25">
      <c r="A239" s="11" t="s">
        <v>2918</v>
      </c>
      <c r="B239" s="10" t="s">
        <v>804</v>
      </c>
      <c r="C239" s="10" t="s">
        <v>2752</v>
      </c>
      <c r="D239" s="10" t="str">
        <f>VLOOKUP(C239,Region!A:B,2,FALSE)</f>
        <v>Noida</v>
      </c>
      <c r="E239" s="10" t="s">
        <v>806</v>
      </c>
      <c r="F239" s="11" t="s">
        <v>823</v>
      </c>
      <c r="G239" s="11" t="s">
        <v>2919</v>
      </c>
      <c r="H239" s="10" t="s">
        <v>809</v>
      </c>
    </row>
    <row r="240" spans="1:8" x14ac:dyDescent="0.25">
      <c r="A240" s="11" t="s">
        <v>1245</v>
      </c>
      <c r="B240" s="10" t="s">
        <v>1086</v>
      </c>
      <c r="C240" s="10" t="s">
        <v>1087</v>
      </c>
      <c r="D240" s="10" t="str">
        <f>VLOOKUP(C240,Region!A:B,2,FALSE)</f>
        <v>Hyderabad</v>
      </c>
      <c r="E240" s="10" t="s">
        <v>806</v>
      </c>
      <c r="F240" s="11" t="s">
        <v>811</v>
      </c>
      <c r="G240" s="11" t="s">
        <v>1246</v>
      </c>
      <c r="H240" s="10" t="s">
        <v>809</v>
      </c>
    </row>
    <row r="241" spans="1:8" x14ac:dyDescent="0.25">
      <c r="A241" s="11" t="s">
        <v>3032</v>
      </c>
      <c r="B241" s="10" t="s">
        <v>1086</v>
      </c>
      <c r="C241" s="10" t="s">
        <v>2987</v>
      </c>
      <c r="D241" s="10" t="str">
        <f>VLOOKUP(C241,Region!A:B,2,FALSE)</f>
        <v>Noida</v>
      </c>
      <c r="E241" s="10" t="s">
        <v>1427</v>
      </c>
      <c r="F241" s="11" t="s">
        <v>823</v>
      </c>
      <c r="G241" s="11" t="s">
        <v>3033</v>
      </c>
      <c r="H241" s="10" t="s">
        <v>812</v>
      </c>
    </row>
    <row r="242" spans="1:8" x14ac:dyDescent="0.25">
      <c r="A242" s="11" t="s">
        <v>3375</v>
      </c>
      <c r="B242" s="10" t="s">
        <v>1086</v>
      </c>
      <c r="C242" s="10" t="s">
        <v>3273</v>
      </c>
      <c r="D242" s="10" t="str">
        <f>VLOOKUP(C242,Region!A:B,2,FALSE)</f>
        <v>Noida</v>
      </c>
      <c r="E242" s="10" t="s">
        <v>806</v>
      </c>
      <c r="F242" s="11" t="s">
        <v>823</v>
      </c>
      <c r="G242" s="11" t="s">
        <v>3376</v>
      </c>
      <c r="H242" s="10" t="s">
        <v>812</v>
      </c>
    </row>
    <row r="243" spans="1:8" x14ac:dyDescent="0.25">
      <c r="A243" s="11" t="s">
        <v>2555</v>
      </c>
      <c r="B243" s="10" t="s">
        <v>804</v>
      </c>
      <c r="C243" s="10" t="s">
        <v>2518</v>
      </c>
      <c r="D243" s="10" t="str">
        <f>VLOOKUP(C243,Region!A:B,2,FALSE)</f>
        <v>Noida</v>
      </c>
      <c r="E243" s="10" t="s">
        <v>1427</v>
      </c>
      <c r="F243" s="11" t="s">
        <v>811</v>
      </c>
      <c r="G243" s="11" t="s">
        <v>375</v>
      </c>
      <c r="H243" s="10" t="s">
        <v>812</v>
      </c>
    </row>
    <row r="244" spans="1:8" x14ac:dyDescent="0.25">
      <c r="A244" s="11" t="s">
        <v>816</v>
      </c>
      <c r="B244" s="10" t="s">
        <v>804</v>
      </c>
      <c r="C244" s="10" t="s">
        <v>805</v>
      </c>
      <c r="D244" s="10" t="str">
        <f>VLOOKUP(C244,Region!A:B,2,FALSE)</f>
        <v>Noida</v>
      </c>
      <c r="E244" s="10" t="s">
        <v>806</v>
      </c>
      <c r="F244" s="11" t="s">
        <v>811</v>
      </c>
      <c r="G244" s="11" t="s">
        <v>817</v>
      </c>
      <c r="H244" s="10" t="s">
        <v>809</v>
      </c>
    </row>
    <row r="245" spans="1:8" x14ac:dyDescent="0.25">
      <c r="A245" s="11" t="s">
        <v>3332</v>
      </c>
      <c r="B245" s="10" t="s">
        <v>1086</v>
      </c>
      <c r="C245" s="10" t="s">
        <v>3273</v>
      </c>
      <c r="D245" s="10" t="str">
        <f>VLOOKUP(C245,Region!A:B,2,FALSE)</f>
        <v>Noida</v>
      </c>
      <c r="E245" s="10" t="s">
        <v>806</v>
      </c>
      <c r="F245" s="11" t="s">
        <v>811</v>
      </c>
      <c r="G245" s="11" t="s">
        <v>588</v>
      </c>
      <c r="H245" s="10" t="s">
        <v>812</v>
      </c>
    </row>
    <row r="246" spans="1:8" x14ac:dyDescent="0.25">
      <c r="A246" s="11" t="s">
        <v>1446</v>
      </c>
      <c r="B246" s="10" t="s">
        <v>804</v>
      </c>
      <c r="C246" s="10" t="s">
        <v>1426</v>
      </c>
      <c r="D246" s="10" t="str">
        <f>VLOOKUP(C246,Region!A:B,2,FALSE)</f>
        <v>Spain</v>
      </c>
      <c r="E246" s="10" t="s">
        <v>1427</v>
      </c>
      <c r="F246" s="11" t="s">
        <v>814</v>
      </c>
      <c r="G246" s="11" t="s">
        <v>454</v>
      </c>
      <c r="H246" s="10" t="s">
        <v>812</v>
      </c>
    </row>
    <row r="247" spans="1:8" x14ac:dyDescent="0.25">
      <c r="A247" s="11" t="s">
        <v>1247</v>
      </c>
      <c r="B247" s="10" t="s">
        <v>1086</v>
      </c>
      <c r="C247" s="10" t="s">
        <v>1087</v>
      </c>
      <c r="D247" s="10" t="str">
        <f>VLOOKUP(C247,Region!A:B,2,FALSE)</f>
        <v>Hyderabad</v>
      </c>
      <c r="E247" s="10" t="s">
        <v>806</v>
      </c>
      <c r="F247" s="11" t="s">
        <v>807</v>
      </c>
      <c r="G247" s="11" t="s">
        <v>1248</v>
      </c>
      <c r="H247" s="10" t="s">
        <v>812</v>
      </c>
    </row>
    <row r="248" spans="1:8" x14ac:dyDescent="0.25">
      <c r="A248" s="11" t="s">
        <v>3285</v>
      </c>
      <c r="B248" s="10" t="s">
        <v>1086</v>
      </c>
      <c r="C248" s="10" t="s">
        <v>3273</v>
      </c>
      <c r="D248" s="10" t="str">
        <f>VLOOKUP(C248,Region!A:B,2,FALSE)</f>
        <v>Noida</v>
      </c>
      <c r="E248" s="10" t="s">
        <v>806</v>
      </c>
      <c r="F248" s="11" t="s">
        <v>814</v>
      </c>
      <c r="G248" s="11" t="s">
        <v>3286</v>
      </c>
      <c r="H248" s="10" t="s">
        <v>812</v>
      </c>
    </row>
    <row r="249" spans="1:8" x14ac:dyDescent="0.25">
      <c r="A249" s="11" t="s">
        <v>1698</v>
      </c>
      <c r="B249" s="10" t="s">
        <v>804</v>
      </c>
      <c r="C249" s="10" t="s">
        <v>1635</v>
      </c>
      <c r="D249" s="10" t="str">
        <f>VLOOKUP(C249,Region!A:B,2,FALSE)</f>
        <v>MBC US</v>
      </c>
      <c r="E249" s="10" t="s">
        <v>806</v>
      </c>
      <c r="F249" s="11" t="s">
        <v>823</v>
      </c>
      <c r="G249" s="11" t="s">
        <v>494</v>
      </c>
      <c r="H249" s="10" t="s">
        <v>812</v>
      </c>
    </row>
    <row r="250" spans="1:8" x14ac:dyDescent="0.25">
      <c r="A250" s="11" t="s">
        <v>1699</v>
      </c>
      <c r="B250" s="10" t="s">
        <v>1086</v>
      </c>
      <c r="C250" s="10" t="s">
        <v>1635</v>
      </c>
      <c r="D250" s="10" t="str">
        <f>VLOOKUP(C250,Region!A:B,2,FALSE)</f>
        <v>MBC US</v>
      </c>
      <c r="E250" s="10" t="s">
        <v>806</v>
      </c>
      <c r="F250" s="11" t="s">
        <v>807</v>
      </c>
      <c r="G250" s="11" t="s">
        <v>277</v>
      </c>
      <c r="H250" s="10" t="s">
        <v>812</v>
      </c>
    </row>
    <row r="251" spans="1:8" x14ac:dyDescent="0.25">
      <c r="A251" s="11" t="s">
        <v>1684</v>
      </c>
      <c r="B251" s="10" t="s">
        <v>804</v>
      </c>
      <c r="C251" s="10" t="s">
        <v>1635</v>
      </c>
      <c r="D251" s="10" t="str">
        <f>VLOOKUP(C251,Region!A:B,2,FALSE)</f>
        <v>MBC US</v>
      </c>
      <c r="E251" s="10" t="s">
        <v>806</v>
      </c>
      <c r="F251" s="11" t="s">
        <v>814</v>
      </c>
      <c r="G251" s="11" t="s">
        <v>1685</v>
      </c>
      <c r="H251" s="10" t="s">
        <v>809</v>
      </c>
    </row>
    <row r="252" spans="1:8" x14ac:dyDescent="0.25">
      <c r="A252" s="11" t="s">
        <v>1706</v>
      </c>
      <c r="B252" s="10" t="s">
        <v>1086</v>
      </c>
      <c r="C252" s="10" t="s">
        <v>1635</v>
      </c>
      <c r="D252" s="10" t="str">
        <f>VLOOKUP(C252,Region!A:B,2,FALSE)</f>
        <v>MBC US</v>
      </c>
      <c r="E252" s="10" t="s">
        <v>806</v>
      </c>
      <c r="F252" s="11" t="s">
        <v>807</v>
      </c>
      <c r="G252" s="11" t="s">
        <v>1707</v>
      </c>
      <c r="H252" s="10" t="s">
        <v>809</v>
      </c>
    </row>
    <row r="253" spans="1:8" x14ac:dyDescent="0.25">
      <c r="A253" s="11" t="s">
        <v>1700</v>
      </c>
      <c r="B253" s="10" t="s">
        <v>804</v>
      </c>
      <c r="C253" s="10" t="s">
        <v>1635</v>
      </c>
      <c r="D253" s="10" t="str">
        <f>VLOOKUP(C253,Region!A:B,2,FALSE)</f>
        <v>MBC US</v>
      </c>
      <c r="E253" s="10" t="s">
        <v>806</v>
      </c>
      <c r="F253" s="11" t="s">
        <v>814</v>
      </c>
      <c r="G253" s="11" t="s">
        <v>1701</v>
      </c>
      <c r="H253" s="10" t="s">
        <v>809</v>
      </c>
    </row>
    <row r="254" spans="1:8" x14ac:dyDescent="0.25">
      <c r="A254" s="11" t="s">
        <v>1690</v>
      </c>
      <c r="B254" s="10" t="s">
        <v>804</v>
      </c>
      <c r="C254" s="10" t="s">
        <v>1635</v>
      </c>
      <c r="D254" s="10" t="str">
        <f>VLOOKUP(C254,Region!A:B,2,FALSE)</f>
        <v>MBC US</v>
      </c>
      <c r="E254" s="10" t="s">
        <v>806</v>
      </c>
      <c r="F254" s="11" t="s">
        <v>814</v>
      </c>
      <c r="G254" s="11" t="s">
        <v>1691</v>
      </c>
      <c r="H254" s="10" t="s">
        <v>809</v>
      </c>
    </row>
    <row r="255" spans="1:8" x14ac:dyDescent="0.25">
      <c r="A255" s="11" t="s">
        <v>1694</v>
      </c>
      <c r="B255" s="10" t="s">
        <v>1086</v>
      </c>
      <c r="C255" s="10" t="s">
        <v>1635</v>
      </c>
      <c r="D255" s="10" t="str">
        <f>VLOOKUP(C255,Region!A:B,2,FALSE)</f>
        <v>MBC US</v>
      </c>
      <c r="E255" s="10" t="s">
        <v>806</v>
      </c>
      <c r="F255" s="11" t="s">
        <v>807</v>
      </c>
      <c r="G255" s="11" t="s">
        <v>1695</v>
      </c>
      <c r="H255" s="10" t="s">
        <v>809</v>
      </c>
    </row>
    <row r="256" spans="1:8" x14ac:dyDescent="0.25">
      <c r="A256" s="11" t="s">
        <v>1494</v>
      </c>
      <c r="B256" s="10" t="s">
        <v>804</v>
      </c>
      <c r="C256" s="10" t="s">
        <v>1426</v>
      </c>
      <c r="D256" s="10" t="str">
        <f>VLOOKUP(C256,Region!A:B,2,FALSE)</f>
        <v>Spain</v>
      </c>
      <c r="E256" s="10" t="s">
        <v>1427</v>
      </c>
      <c r="F256" s="11" t="s">
        <v>807</v>
      </c>
      <c r="G256" s="11" t="s">
        <v>573</v>
      </c>
      <c r="H256" s="10" t="s">
        <v>812</v>
      </c>
    </row>
    <row r="257" spans="1:8" x14ac:dyDescent="0.25">
      <c r="A257" s="11" t="s">
        <v>1708</v>
      </c>
      <c r="B257" s="10" t="s">
        <v>1086</v>
      </c>
      <c r="C257" s="10" t="s">
        <v>1635</v>
      </c>
      <c r="D257" s="10" t="str">
        <f>VLOOKUP(C257,Region!A:B,2,FALSE)</f>
        <v>MBC US</v>
      </c>
      <c r="E257" s="10" t="s">
        <v>806</v>
      </c>
      <c r="F257" s="11" t="s">
        <v>814</v>
      </c>
      <c r="G257" s="11" t="s">
        <v>727</v>
      </c>
      <c r="H257" s="10" t="s">
        <v>812</v>
      </c>
    </row>
    <row r="258" spans="1:8" x14ac:dyDescent="0.25">
      <c r="A258" s="11" t="s">
        <v>1702</v>
      </c>
      <c r="B258" s="10" t="s">
        <v>1086</v>
      </c>
      <c r="C258" s="10" t="s">
        <v>1635</v>
      </c>
      <c r="D258" s="10" t="str">
        <f>VLOOKUP(C258,Region!A:B,2,FALSE)</f>
        <v>MBC US</v>
      </c>
      <c r="E258" s="10" t="s">
        <v>806</v>
      </c>
      <c r="F258" s="11" t="s">
        <v>823</v>
      </c>
      <c r="G258" s="11" t="s">
        <v>1703</v>
      </c>
      <c r="H258" s="10" t="s">
        <v>812</v>
      </c>
    </row>
    <row r="259" spans="1:8" x14ac:dyDescent="0.25">
      <c r="A259" s="11" t="s">
        <v>1249</v>
      </c>
      <c r="B259" s="10" t="s">
        <v>1086</v>
      </c>
      <c r="C259" s="10" t="s">
        <v>1087</v>
      </c>
      <c r="D259" s="10" t="str">
        <f>VLOOKUP(C259,Region!A:B,2,FALSE)</f>
        <v>Hyderabad</v>
      </c>
      <c r="E259" s="10" t="s">
        <v>806</v>
      </c>
      <c r="F259" s="11" t="s">
        <v>811</v>
      </c>
      <c r="G259" s="11" t="s">
        <v>1250</v>
      </c>
      <c r="H259" s="10" t="s">
        <v>812</v>
      </c>
    </row>
    <row r="260" spans="1:8" x14ac:dyDescent="0.25">
      <c r="A260" s="11" t="s">
        <v>2909</v>
      </c>
      <c r="B260" s="10" t="s">
        <v>804</v>
      </c>
      <c r="C260" s="10" t="s">
        <v>2752</v>
      </c>
      <c r="D260" s="10" t="str">
        <f>VLOOKUP(C260,Region!A:B,2,FALSE)</f>
        <v>Noida</v>
      </c>
      <c r="E260" s="10" t="s">
        <v>806</v>
      </c>
      <c r="F260" s="11" t="s">
        <v>807</v>
      </c>
      <c r="G260" s="11" t="s">
        <v>2910</v>
      </c>
      <c r="H260" s="10" t="s">
        <v>812</v>
      </c>
    </row>
    <row r="261" spans="1:8" x14ac:dyDescent="0.25">
      <c r="A261" s="11" t="s">
        <v>2110</v>
      </c>
      <c r="B261" s="10" t="s">
        <v>804</v>
      </c>
      <c r="C261" s="10" t="s">
        <v>2041</v>
      </c>
      <c r="D261" s="10" t="str">
        <f>VLOOKUP(C261,Region!A:B,2,FALSE)</f>
        <v>Hyderabad</v>
      </c>
      <c r="E261" s="10" t="s">
        <v>1427</v>
      </c>
      <c r="F261" s="11" t="s">
        <v>814</v>
      </c>
      <c r="G261" s="11" t="s">
        <v>2111</v>
      </c>
      <c r="H261" s="10" t="s">
        <v>809</v>
      </c>
    </row>
    <row r="262" spans="1:8" x14ac:dyDescent="0.25">
      <c r="A262" s="11" t="s">
        <v>1676</v>
      </c>
      <c r="B262" s="10" t="s">
        <v>804</v>
      </c>
      <c r="C262" s="10" t="s">
        <v>1635</v>
      </c>
      <c r="D262" s="10" t="str">
        <f>VLOOKUP(C262,Region!A:B,2,FALSE)</f>
        <v>MBC US</v>
      </c>
      <c r="E262" s="10" t="s">
        <v>806</v>
      </c>
      <c r="F262" s="11" t="s">
        <v>823</v>
      </c>
      <c r="G262" s="11" t="s">
        <v>1677</v>
      </c>
      <c r="H262" s="10" t="s">
        <v>809</v>
      </c>
    </row>
    <row r="263" spans="1:8" x14ac:dyDescent="0.25">
      <c r="A263" s="11" t="s">
        <v>1178</v>
      </c>
      <c r="B263" s="10" t="s">
        <v>1086</v>
      </c>
      <c r="C263" s="10" t="s">
        <v>1087</v>
      </c>
      <c r="D263" s="10" t="str">
        <f>VLOOKUP(C263,Region!A:B,2,FALSE)</f>
        <v>Hyderabad</v>
      </c>
      <c r="E263" s="10" t="s">
        <v>806</v>
      </c>
      <c r="F263" s="11" t="s">
        <v>811</v>
      </c>
      <c r="G263" s="11" t="s">
        <v>1179</v>
      </c>
      <c r="H263" s="10" t="s">
        <v>812</v>
      </c>
    </row>
    <row r="264" spans="1:8" x14ac:dyDescent="0.25">
      <c r="A264" s="11" t="s">
        <v>829</v>
      </c>
      <c r="B264" s="10" t="s">
        <v>804</v>
      </c>
      <c r="C264" s="10" t="s">
        <v>805</v>
      </c>
      <c r="D264" s="10" t="str">
        <f>VLOOKUP(C264,Region!A:B,2,FALSE)</f>
        <v>Noida</v>
      </c>
      <c r="E264" s="10" t="s">
        <v>806</v>
      </c>
      <c r="F264" s="11" t="s">
        <v>814</v>
      </c>
      <c r="G264" s="11" t="s">
        <v>830</v>
      </c>
      <c r="H264" s="10" t="s">
        <v>809</v>
      </c>
    </row>
    <row r="265" spans="1:8" x14ac:dyDescent="0.25">
      <c r="A265" s="11" t="s">
        <v>2938</v>
      </c>
      <c r="B265" s="10" t="s">
        <v>804</v>
      </c>
      <c r="C265" s="10" t="s">
        <v>2752</v>
      </c>
      <c r="D265" s="10" t="str">
        <f>VLOOKUP(C265,Region!A:B,2,FALSE)</f>
        <v>Noida</v>
      </c>
      <c r="E265" s="10" t="s">
        <v>806</v>
      </c>
      <c r="F265" s="11" t="s">
        <v>811</v>
      </c>
      <c r="G265" s="11" t="s">
        <v>2939</v>
      </c>
      <c r="H265" s="10" t="s">
        <v>812</v>
      </c>
    </row>
    <row r="266" spans="1:8" x14ac:dyDescent="0.25">
      <c r="A266" s="11" t="s">
        <v>1674</v>
      </c>
      <c r="B266" s="10" t="s">
        <v>804</v>
      </c>
      <c r="C266" s="10" t="s">
        <v>1635</v>
      </c>
      <c r="D266" s="10" t="str">
        <f>VLOOKUP(C266,Region!A:B,2,FALSE)</f>
        <v>MBC US</v>
      </c>
      <c r="E266" s="10" t="s">
        <v>806</v>
      </c>
      <c r="F266" s="11" t="s">
        <v>814</v>
      </c>
      <c r="G266" s="11" t="s">
        <v>1675</v>
      </c>
      <c r="H266" s="10" t="s">
        <v>809</v>
      </c>
    </row>
    <row r="267" spans="1:8" x14ac:dyDescent="0.25">
      <c r="A267" s="11" t="s">
        <v>3114</v>
      </c>
      <c r="B267" s="10" t="s">
        <v>1086</v>
      </c>
      <c r="C267" s="10" t="s">
        <v>2987</v>
      </c>
      <c r="D267" s="10" t="str">
        <f>VLOOKUP(C267,Region!A:B,2,FALSE)</f>
        <v>Noida</v>
      </c>
      <c r="E267" s="10" t="s">
        <v>1427</v>
      </c>
      <c r="F267" s="11" t="s">
        <v>814</v>
      </c>
      <c r="G267" s="11" t="s">
        <v>3115</v>
      </c>
      <c r="H267" s="10" t="s">
        <v>809</v>
      </c>
    </row>
    <row r="268" spans="1:8" x14ac:dyDescent="0.25">
      <c r="A268" s="11" t="s">
        <v>1704</v>
      </c>
      <c r="B268" s="10" t="s">
        <v>1086</v>
      </c>
      <c r="C268" s="10" t="s">
        <v>1635</v>
      </c>
      <c r="D268" s="10" t="str">
        <f>VLOOKUP(C268,Region!A:B,2,FALSE)</f>
        <v>MBC US</v>
      </c>
      <c r="E268" s="10" t="s">
        <v>806</v>
      </c>
      <c r="F268" s="11" t="s">
        <v>807</v>
      </c>
      <c r="G268" s="11" t="s">
        <v>1705</v>
      </c>
      <c r="H268" s="10" t="s">
        <v>809</v>
      </c>
    </row>
    <row r="269" spans="1:8" x14ac:dyDescent="0.25">
      <c r="A269" s="11" t="s">
        <v>1678</v>
      </c>
      <c r="B269" s="10" t="s">
        <v>1086</v>
      </c>
      <c r="C269" s="10" t="s">
        <v>1635</v>
      </c>
      <c r="D269" s="10" t="str">
        <f>VLOOKUP(C269,Region!A:B,2,FALSE)</f>
        <v>MBC US</v>
      </c>
      <c r="E269" s="10" t="s">
        <v>806</v>
      </c>
      <c r="F269" s="11" t="s">
        <v>807</v>
      </c>
      <c r="G269" s="11" t="s">
        <v>1679</v>
      </c>
      <c r="H269" s="10" t="s">
        <v>809</v>
      </c>
    </row>
    <row r="270" spans="1:8" x14ac:dyDescent="0.25">
      <c r="A270" s="11" t="s">
        <v>1692</v>
      </c>
      <c r="B270" s="10" t="s">
        <v>1086</v>
      </c>
      <c r="C270" s="10" t="s">
        <v>1635</v>
      </c>
      <c r="D270" s="10" t="str">
        <f>VLOOKUP(C270,Region!A:B,2,FALSE)</f>
        <v>MBC US</v>
      </c>
      <c r="E270" s="10" t="s">
        <v>806</v>
      </c>
      <c r="F270" s="11" t="s">
        <v>823</v>
      </c>
      <c r="G270" s="11" t="s">
        <v>217</v>
      </c>
      <c r="H270" s="10" t="s">
        <v>812</v>
      </c>
    </row>
    <row r="271" spans="1:8" x14ac:dyDescent="0.25">
      <c r="A271" s="11" t="s">
        <v>1488</v>
      </c>
      <c r="B271" s="10" t="s">
        <v>1086</v>
      </c>
      <c r="C271" s="10" t="s">
        <v>1426</v>
      </c>
      <c r="D271" s="10" t="str">
        <f>VLOOKUP(C271,Region!A:B,2,FALSE)</f>
        <v>Spain</v>
      </c>
      <c r="E271" s="10" t="s">
        <v>1427</v>
      </c>
      <c r="F271" s="11" t="s">
        <v>807</v>
      </c>
      <c r="G271" s="11" t="s">
        <v>1489</v>
      </c>
      <c r="H271" s="10" t="s">
        <v>809</v>
      </c>
    </row>
    <row r="272" spans="1:8" x14ac:dyDescent="0.25">
      <c r="A272" s="11" t="s">
        <v>2820</v>
      </c>
      <c r="B272" s="10" t="s">
        <v>804</v>
      </c>
      <c r="C272" s="10" t="s">
        <v>2752</v>
      </c>
      <c r="D272" s="10" t="str">
        <f>VLOOKUP(C272,Region!A:B,2,FALSE)</f>
        <v>Noida</v>
      </c>
      <c r="E272" s="10" t="s">
        <v>806</v>
      </c>
      <c r="F272" s="11" t="s">
        <v>823</v>
      </c>
      <c r="G272" s="11" t="s">
        <v>2821</v>
      </c>
      <c r="H272" s="10" t="s">
        <v>812</v>
      </c>
    </row>
    <row r="273" spans="1:8" x14ac:dyDescent="0.25">
      <c r="A273" s="11" t="s">
        <v>1012</v>
      </c>
      <c r="B273" s="10" t="s">
        <v>804</v>
      </c>
      <c r="C273" s="10" t="s">
        <v>805</v>
      </c>
      <c r="D273" s="10" t="str">
        <f>VLOOKUP(C273,Region!A:B,2,FALSE)</f>
        <v>Noida</v>
      </c>
      <c r="E273" s="10" t="s">
        <v>806</v>
      </c>
      <c r="F273" s="11" t="s">
        <v>807</v>
      </c>
      <c r="G273" s="11" t="s">
        <v>1013</v>
      </c>
      <c r="H273" s="10" t="s">
        <v>809</v>
      </c>
    </row>
    <row r="274" spans="1:8" x14ac:dyDescent="0.25">
      <c r="A274" s="11" t="s">
        <v>2171</v>
      </c>
      <c r="B274" s="10" t="s">
        <v>804</v>
      </c>
      <c r="C274" s="10" t="s">
        <v>2041</v>
      </c>
      <c r="D274" s="10" t="str">
        <f>VLOOKUP(C274,Region!A:B,2,FALSE)</f>
        <v>Hyderabad</v>
      </c>
      <c r="E274" s="10" t="s">
        <v>1427</v>
      </c>
      <c r="F274" s="11" t="s">
        <v>811</v>
      </c>
      <c r="G274" s="11" t="s">
        <v>456</v>
      </c>
      <c r="H274" s="10" t="s">
        <v>812</v>
      </c>
    </row>
    <row r="275" spans="1:8" x14ac:dyDescent="0.25">
      <c r="A275" s="11" t="s">
        <v>1672</v>
      </c>
      <c r="B275" s="10" t="s">
        <v>804</v>
      </c>
      <c r="C275" s="10" t="s">
        <v>1635</v>
      </c>
      <c r="D275" s="10" t="str">
        <f>VLOOKUP(C275,Region!A:B,2,FALSE)</f>
        <v>MBC US</v>
      </c>
      <c r="E275" s="10" t="s">
        <v>806</v>
      </c>
      <c r="F275" s="11" t="s">
        <v>811</v>
      </c>
      <c r="G275" s="11" t="s">
        <v>1673</v>
      </c>
      <c r="H275" s="10" t="s">
        <v>809</v>
      </c>
    </row>
    <row r="276" spans="1:8" x14ac:dyDescent="0.25">
      <c r="A276" s="11" t="s">
        <v>2172</v>
      </c>
      <c r="B276" s="10" t="s">
        <v>804</v>
      </c>
      <c r="C276" s="10" t="s">
        <v>2041</v>
      </c>
      <c r="D276" s="10" t="str">
        <f>VLOOKUP(C276,Region!A:B,2,FALSE)</f>
        <v>Hyderabad</v>
      </c>
      <c r="E276" s="10" t="s">
        <v>1427</v>
      </c>
      <c r="F276" s="11" t="s">
        <v>811</v>
      </c>
      <c r="G276" s="11" t="s">
        <v>2173</v>
      </c>
      <c r="H276" s="10" t="s">
        <v>809</v>
      </c>
    </row>
    <row r="277" spans="1:8" x14ac:dyDescent="0.25">
      <c r="A277" s="11" t="s">
        <v>1670</v>
      </c>
      <c r="B277" s="10" t="s">
        <v>804</v>
      </c>
      <c r="C277" s="10" t="s">
        <v>1635</v>
      </c>
      <c r="D277" s="10" t="str">
        <f>VLOOKUP(C277,Region!A:B,2,FALSE)</f>
        <v>MBC US</v>
      </c>
      <c r="E277" s="10" t="s">
        <v>806</v>
      </c>
      <c r="F277" s="11" t="s">
        <v>811</v>
      </c>
      <c r="G277" s="11" t="s">
        <v>1671</v>
      </c>
      <c r="H277" s="10" t="s">
        <v>809</v>
      </c>
    </row>
    <row r="278" spans="1:8" x14ac:dyDescent="0.25">
      <c r="A278" s="11" t="s">
        <v>1120</v>
      </c>
      <c r="B278" s="10" t="s">
        <v>1086</v>
      </c>
      <c r="C278" s="10" t="s">
        <v>1087</v>
      </c>
      <c r="D278" s="10" t="str">
        <f>VLOOKUP(C278,Region!A:B,2,FALSE)</f>
        <v>Hyderabad</v>
      </c>
      <c r="E278" s="10" t="s">
        <v>806</v>
      </c>
      <c r="F278" s="11" t="s">
        <v>811</v>
      </c>
      <c r="G278" s="11" t="s">
        <v>1121</v>
      </c>
      <c r="H278" s="10" t="s">
        <v>812</v>
      </c>
    </row>
    <row r="279" spans="1:8" x14ac:dyDescent="0.25">
      <c r="A279" s="11" t="s">
        <v>1696</v>
      </c>
      <c r="B279" s="10" t="s">
        <v>1086</v>
      </c>
      <c r="C279" s="10" t="s">
        <v>1635</v>
      </c>
      <c r="D279" s="10" t="str">
        <f>VLOOKUP(C279,Region!A:B,2,FALSE)</f>
        <v>MBC US</v>
      </c>
      <c r="E279" s="10" t="s">
        <v>806</v>
      </c>
      <c r="F279" s="11" t="s">
        <v>811</v>
      </c>
      <c r="G279" s="11" t="s">
        <v>1697</v>
      </c>
      <c r="H279" s="10" t="s">
        <v>809</v>
      </c>
    </row>
    <row r="280" spans="1:8" x14ac:dyDescent="0.25">
      <c r="A280" s="11" t="s">
        <v>1495</v>
      </c>
      <c r="B280" s="10" t="s">
        <v>804</v>
      </c>
      <c r="C280" s="10" t="s">
        <v>1426</v>
      </c>
      <c r="D280" s="10" t="str">
        <f>VLOOKUP(C280,Region!A:B,2,FALSE)</f>
        <v>Spain</v>
      </c>
      <c r="E280" s="10" t="s">
        <v>1427</v>
      </c>
      <c r="F280" s="11" t="s">
        <v>811</v>
      </c>
      <c r="G280" s="11" t="s">
        <v>535</v>
      </c>
      <c r="H280" s="10" t="s">
        <v>812</v>
      </c>
    </row>
    <row r="281" spans="1:8" x14ac:dyDescent="0.25">
      <c r="A281" s="11" t="s">
        <v>1492</v>
      </c>
      <c r="B281" s="10" t="s">
        <v>804</v>
      </c>
      <c r="C281" s="10" t="s">
        <v>1426</v>
      </c>
      <c r="D281" s="10" t="str">
        <f>VLOOKUP(C281,Region!A:B,2,FALSE)</f>
        <v>Spain</v>
      </c>
      <c r="E281" s="10" t="s">
        <v>1427</v>
      </c>
      <c r="F281" s="11" t="s">
        <v>823</v>
      </c>
      <c r="G281" s="11" t="s">
        <v>1493</v>
      </c>
      <c r="H281" s="10" t="s">
        <v>809</v>
      </c>
    </row>
    <row r="282" spans="1:8" x14ac:dyDescent="0.25">
      <c r="A282" s="11" t="s">
        <v>1490</v>
      </c>
      <c r="B282" s="10" t="s">
        <v>804</v>
      </c>
      <c r="C282" s="10" t="s">
        <v>1426</v>
      </c>
      <c r="D282" s="10" t="str">
        <f>VLOOKUP(C282,Region!A:B,2,FALSE)</f>
        <v>Spain</v>
      </c>
      <c r="E282" s="10" t="s">
        <v>1427</v>
      </c>
      <c r="F282" s="11" t="s">
        <v>811</v>
      </c>
      <c r="G282" s="11" t="s">
        <v>514</v>
      </c>
      <c r="H282" s="10" t="s">
        <v>812</v>
      </c>
    </row>
    <row r="283" spans="1:8" x14ac:dyDescent="0.25">
      <c r="A283" s="11" t="s">
        <v>2355</v>
      </c>
      <c r="B283" s="10" t="s">
        <v>804</v>
      </c>
      <c r="C283" s="10" t="s">
        <v>2041</v>
      </c>
      <c r="D283" s="10" t="str">
        <f>VLOOKUP(C283,Region!A:B,2,FALSE)</f>
        <v>Hyderabad</v>
      </c>
      <c r="E283" s="10" t="s">
        <v>1427</v>
      </c>
      <c r="F283" s="11" t="s">
        <v>814</v>
      </c>
      <c r="G283" s="11" t="s">
        <v>421</v>
      </c>
      <c r="H283" s="10" t="s">
        <v>812</v>
      </c>
    </row>
    <row r="284" spans="1:8" x14ac:dyDescent="0.25">
      <c r="A284" s="11" t="s">
        <v>1682</v>
      </c>
      <c r="B284" s="10" t="s">
        <v>804</v>
      </c>
      <c r="C284" s="10" t="s">
        <v>1635</v>
      </c>
      <c r="D284" s="10" t="str">
        <f>VLOOKUP(C284,Region!A:B,2,FALSE)</f>
        <v>MBC US</v>
      </c>
      <c r="E284" s="10" t="s">
        <v>806</v>
      </c>
      <c r="F284" s="11" t="s">
        <v>814</v>
      </c>
      <c r="G284" s="11" t="s">
        <v>1683</v>
      </c>
      <c r="H284" s="10" t="s">
        <v>809</v>
      </c>
    </row>
    <row r="285" spans="1:8" x14ac:dyDescent="0.25">
      <c r="A285" s="11" t="s">
        <v>1693</v>
      </c>
      <c r="B285" s="10" t="s">
        <v>1086</v>
      </c>
      <c r="C285" s="10" t="s">
        <v>1635</v>
      </c>
      <c r="D285" s="10" t="str">
        <f>VLOOKUP(C285,Region!A:B,2,FALSE)</f>
        <v>MBC US</v>
      </c>
      <c r="E285" s="10" t="s">
        <v>806</v>
      </c>
      <c r="F285" s="11" t="s">
        <v>834</v>
      </c>
      <c r="G285" s="11" t="s">
        <v>721</v>
      </c>
      <c r="H285" s="10" t="s">
        <v>812</v>
      </c>
    </row>
    <row r="286" spans="1:8" x14ac:dyDescent="0.25">
      <c r="A286" s="11" t="s">
        <v>1251</v>
      </c>
      <c r="B286" s="10" t="s">
        <v>1086</v>
      </c>
      <c r="C286" s="10" t="s">
        <v>1087</v>
      </c>
      <c r="D286" s="10" t="str">
        <f>VLOOKUP(C286,Region!A:B,2,FALSE)</f>
        <v>Hyderabad</v>
      </c>
      <c r="E286" s="10" t="s">
        <v>806</v>
      </c>
      <c r="F286" s="11" t="s">
        <v>811</v>
      </c>
      <c r="G286" s="11" t="s">
        <v>1252</v>
      </c>
      <c r="H286" s="10" t="s">
        <v>812</v>
      </c>
    </row>
    <row r="287" spans="1:8" x14ac:dyDescent="0.25">
      <c r="A287" s="11" t="s">
        <v>918</v>
      </c>
      <c r="B287" s="10" t="s">
        <v>804</v>
      </c>
      <c r="C287" s="10" t="s">
        <v>805</v>
      </c>
      <c r="D287" s="10" t="str">
        <f>VLOOKUP(C287,Region!A:B,2,FALSE)</f>
        <v>Noida</v>
      </c>
      <c r="E287" s="10" t="s">
        <v>806</v>
      </c>
      <c r="F287" s="11" t="s">
        <v>814</v>
      </c>
      <c r="G287" s="11" t="s">
        <v>919</v>
      </c>
      <c r="H287" s="10" t="s">
        <v>809</v>
      </c>
    </row>
    <row r="288" spans="1:8" x14ac:dyDescent="0.25">
      <c r="A288" s="11" t="s">
        <v>3036</v>
      </c>
      <c r="B288" s="10" t="s">
        <v>1086</v>
      </c>
      <c r="C288" s="10" t="s">
        <v>2987</v>
      </c>
      <c r="D288" s="10" t="str">
        <f>VLOOKUP(C288,Region!A:B,2,FALSE)</f>
        <v>Noida</v>
      </c>
      <c r="E288" s="10" t="s">
        <v>1427</v>
      </c>
      <c r="F288" s="11" t="s">
        <v>823</v>
      </c>
      <c r="G288" s="11" t="s">
        <v>3037</v>
      </c>
      <c r="H288" s="10" t="s">
        <v>812</v>
      </c>
    </row>
    <row r="289" spans="1:8" x14ac:dyDescent="0.25">
      <c r="A289" s="11" t="s">
        <v>2556</v>
      </c>
      <c r="B289" s="10" t="s">
        <v>804</v>
      </c>
      <c r="C289" s="10" t="s">
        <v>2518</v>
      </c>
      <c r="D289" s="10" t="str">
        <f>VLOOKUP(C289,Region!A:B,2,FALSE)</f>
        <v>Noida</v>
      </c>
      <c r="E289" s="10" t="s">
        <v>1427</v>
      </c>
      <c r="F289" s="11" t="s">
        <v>811</v>
      </c>
      <c r="G289" s="11" t="s">
        <v>2557</v>
      </c>
      <c r="H289" s="10" t="s">
        <v>812</v>
      </c>
    </row>
    <row r="290" spans="1:8" x14ac:dyDescent="0.25">
      <c r="A290" s="11" t="s">
        <v>2698</v>
      </c>
      <c r="B290" s="10" t="s">
        <v>804</v>
      </c>
      <c r="C290" s="10" t="s">
        <v>2518</v>
      </c>
      <c r="D290" s="10" t="str">
        <f>VLOOKUP(C290,Region!A:B,2,FALSE)</f>
        <v>Noida</v>
      </c>
      <c r="E290" s="10" t="s">
        <v>1427</v>
      </c>
      <c r="F290" s="11" t="s">
        <v>807</v>
      </c>
      <c r="G290" s="11" t="s">
        <v>563</v>
      </c>
      <c r="H290" s="10" t="s">
        <v>812</v>
      </c>
    </row>
    <row r="291" spans="1:8" x14ac:dyDescent="0.25">
      <c r="A291" s="11" t="s">
        <v>3377</v>
      </c>
      <c r="B291" s="10" t="s">
        <v>1086</v>
      </c>
      <c r="C291" s="10" t="s">
        <v>3273</v>
      </c>
      <c r="D291" s="10" t="str">
        <f>VLOOKUP(C291,Region!A:B,2,FALSE)</f>
        <v>Noida</v>
      </c>
      <c r="E291" s="10" t="s">
        <v>806</v>
      </c>
      <c r="F291" s="11" t="s">
        <v>823</v>
      </c>
      <c r="G291" s="11" t="s">
        <v>3378</v>
      </c>
      <c r="H291" s="10" t="s">
        <v>812</v>
      </c>
    </row>
    <row r="292" spans="1:8" x14ac:dyDescent="0.25">
      <c r="A292" s="11" t="s">
        <v>1686</v>
      </c>
      <c r="B292" s="10" t="s">
        <v>804</v>
      </c>
      <c r="C292" s="10" t="s">
        <v>1635</v>
      </c>
      <c r="D292" s="10" t="str">
        <f>VLOOKUP(C292,Region!A:B,2,FALSE)</f>
        <v>MBC US</v>
      </c>
      <c r="E292" s="10" t="s">
        <v>806</v>
      </c>
      <c r="F292" s="11" t="s">
        <v>807</v>
      </c>
      <c r="G292" s="11" t="s">
        <v>1687</v>
      </c>
      <c r="H292" s="10" t="s">
        <v>809</v>
      </c>
    </row>
    <row r="293" spans="1:8" x14ac:dyDescent="0.25">
      <c r="A293" s="11" t="s">
        <v>1491</v>
      </c>
      <c r="B293" s="10" t="s">
        <v>804</v>
      </c>
      <c r="C293" s="10" t="s">
        <v>1426</v>
      </c>
      <c r="D293" s="10" t="str">
        <f>VLOOKUP(C293,Region!A:B,2,FALSE)</f>
        <v>Spain</v>
      </c>
      <c r="E293" s="10" t="s">
        <v>1427</v>
      </c>
      <c r="F293" s="11" t="s">
        <v>807</v>
      </c>
      <c r="G293" s="11" t="s">
        <v>603</v>
      </c>
      <c r="H293" s="10" t="s">
        <v>812</v>
      </c>
    </row>
    <row r="294" spans="1:8" x14ac:dyDescent="0.25">
      <c r="A294" s="11" t="s">
        <v>1688</v>
      </c>
      <c r="B294" s="10" t="s">
        <v>804</v>
      </c>
      <c r="C294" s="10" t="s">
        <v>1635</v>
      </c>
      <c r="D294" s="10" t="str">
        <f>VLOOKUP(C294,Region!A:B,2,FALSE)</f>
        <v>MBC US</v>
      </c>
      <c r="E294" s="10" t="s">
        <v>806</v>
      </c>
      <c r="F294" s="11" t="s">
        <v>814</v>
      </c>
      <c r="G294" s="11" t="s">
        <v>1689</v>
      </c>
      <c r="H294" s="10" t="s">
        <v>809</v>
      </c>
    </row>
    <row r="295" spans="1:8" x14ac:dyDescent="0.25">
      <c r="A295" s="11" t="s">
        <v>1680</v>
      </c>
      <c r="B295" s="10" t="s">
        <v>804</v>
      </c>
      <c r="C295" s="10" t="s">
        <v>1635</v>
      </c>
      <c r="D295" s="10" t="str">
        <f>VLOOKUP(C295,Region!A:B,2,FALSE)</f>
        <v>MBC US</v>
      </c>
      <c r="E295" s="10" t="s">
        <v>806</v>
      </c>
      <c r="F295" s="11" t="s">
        <v>814</v>
      </c>
      <c r="G295" s="11" t="s">
        <v>1681</v>
      </c>
      <c r="H295" s="10" t="s">
        <v>809</v>
      </c>
    </row>
    <row r="296" spans="1:8" x14ac:dyDescent="0.25">
      <c r="A296" s="11" t="s">
        <v>1419</v>
      </c>
      <c r="B296" s="10" t="s">
        <v>1086</v>
      </c>
      <c r="C296" s="10" t="s">
        <v>1087</v>
      </c>
      <c r="D296" s="10" t="str">
        <f>VLOOKUP(C296,Region!A:B,2,FALSE)</f>
        <v>Hyderabad</v>
      </c>
      <c r="E296" s="10" t="s">
        <v>806</v>
      </c>
      <c r="F296" s="11" t="s">
        <v>811</v>
      </c>
      <c r="G296" s="11" t="s">
        <v>1420</v>
      </c>
      <c r="H296" s="10" t="s">
        <v>809</v>
      </c>
    </row>
    <row r="297" spans="1:8" x14ac:dyDescent="0.25">
      <c r="A297" s="11" t="s">
        <v>2174</v>
      </c>
      <c r="B297" s="10" t="s">
        <v>804</v>
      </c>
      <c r="C297" s="10" t="s">
        <v>2041</v>
      </c>
      <c r="D297" s="10" t="str">
        <f>VLOOKUP(C297,Region!A:B,2,FALSE)</f>
        <v>Hyderabad</v>
      </c>
      <c r="E297" s="10" t="s">
        <v>1427</v>
      </c>
      <c r="F297" s="11" t="s">
        <v>811</v>
      </c>
      <c r="G297" s="11" t="s">
        <v>2175</v>
      </c>
      <c r="H297" s="10" t="s">
        <v>812</v>
      </c>
    </row>
    <row r="298" spans="1:8" x14ac:dyDescent="0.25">
      <c r="A298" s="11" t="s">
        <v>2638</v>
      </c>
      <c r="B298" s="10" t="s">
        <v>804</v>
      </c>
      <c r="C298" s="10" t="s">
        <v>2518</v>
      </c>
      <c r="D298" s="10" t="str">
        <f>VLOOKUP(C298,Region!A:B,2,FALSE)</f>
        <v>Noida</v>
      </c>
      <c r="E298" s="10" t="s">
        <v>1427</v>
      </c>
      <c r="F298" s="11" t="s">
        <v>823</v>
      </c>
      <c r="G298" s="11" t="s">
        <v>2639</v>
      </c>
      <c r="H298" s="10" t="s">
        <v>809</v>
      </c>
    </row>
    <row r="299" spans="1:8" x14ac:dyDescent="0.25">
      <c r="A299" s="11" t="s">
        <v>1712</v>
      </c>
      <c r="B299" s="10" t="s">
        <v>804</v>
      </c>
      <c r="C299" s="10" t="s">
        <v>1635</v>
      </c>
      <c r="D299" s="10" t="str">
        <f>VLOOKUP(C299,Region!A:B,2,FALSE)</f>
        <v>MBC US</v>
      </c>
      <c r="E299" s="10" t="s">
        <v>806</v>
      </c>
      <c r="F299" s="11" t="s">
        <v>807</v>
      </c>
      <c r="G299" s="11" t="s">
        <v>236</v>
      </c>
      <c r="H299" s="10" t="s">
        <v>812</v>
      </c>
    </row>
    <row r="300" spans="1:8" x14ac:dyDescent="0.25">
      <c r="A300" s="11" t="s">
        <v>928</v>
      </c>
      <c r="B300" s="10" t="s">
        <v>804</v>
      </c>
      <c r="C300" s="10" t="s">
        <v>805</v>
      </c>
      <c r="D300" s="10" t="str">
        <f>VLOOKUP(C300,Region!A:B,2,FALSE)</f>
        <v>Noida</v>
      </c>
      <c r="E300" s="10" t="s">
        <v>806</v>
      </c>
      <c r="F300" s="11" t="s">
        <v>811</v>
      </c>
      <c r="G300" s="11" t="s">
        <v>929</v>
      </c>
      <c r="H300" s="10" t="s">
        <v>812</v>
      </c>
    </row>
    <row r="301" spans="1:8" x14ac:dyDescent="0.25">
      <c r="A301" s="11" t="s">
        <v>3324</v>
      </c>
      <c r="B301" s="10" t="s">
        <v>1086</v>
      </c>
      <c r="C301" s="10" t="s">
        <v>3273</v>
      </c>
      <c r="D301" s="10" t="str">
        <f>VLOOKUP(C301,Region!A:B,2,FALSE)</f>
        <v>Noida</v>
      </c>
      <c r="E301" s="10" t="s">
        <v>806</v>
      </c>
      <c r="F301" s="11" t="s">
        <v>807</v>
      </c>
      <c r="G301" s="11" t="s">
        <v>680</v>
      </c>
      <c r="H301" s="10" t="s">
        <v>812</v>
      </c>
    </row>
    <row r="302" spans="1:8" x14ac:dyDescent="0.25">
      <c r="A302" s="11" t="s">
        <v>3384</v>
      </c>
      <c r="B302" s="10" t="s">
        <v>1086</v>
      </c>
      <c r="C302" s="10" t="s">
        <v>3273</v>
      </c>
      <c r="D302" s="10" t="str">
        <f>VLOOKUP(C302,Region!A:B,2,FALSE)</f>
        <v>Noida</v>
      </c>
      <c r="E302" s="10" t="s">
        <v>806</v>
      </c>
      <c r="F302" s="11" t="s">
        <v>823</v>
      </c>
      <c r="G302" s="11" t="s">
        <v>263</v>
      </c>
      <c r="H302" s="10" t="s">
        <v>812</v>
      </c>
    </row>
    <row r="303" spans="1:8" x14ac:dyDescent="0.25">
      <c r="A303" s="11" t="s">
        <v>1711</v>
      </c>
      <c r="B303" s="10" t="s">
        <v>804</v>
      </c>
      <c r="C303" s="10" t="s">
        <v>1635</v>
      </c>
      <c r="D303" s="10" t="str">
        <f>VLOOKUP(C303,Region!A:B,2,FALSE)</f>
        <v>MBC US</v>
      </c>
      <c r="E303" s="10" t="s">
        <v>806</v>
      </c>
      <c r="F303" s="11" t="s">
        <v>823</v>
      </c>
      <c r="G303" s="11" t="s">
        <v>245</v>
      </c>
      <c r="H303" s="10" t="s">
        <v>812</v>
      </c>
    </row>
    <row r="304" spans="1:8" x14ac:dyDescent="0.25">
      <c r="A304" s="11" t="s">
        <v>1498</v>
      </c>
      <c r="B304" s="10" t="s">
        <v>1086</v>
      </c>
      <c r="C304" s="10" t="s">
        <v>1426</v>
      </c>
      <c r="D304" s="10" t="str">
        <f>VLOOKUP(C304,Region!A:B,2,FALSE)</f>
        <v>Spain</v>
      </c>
      <c r="E304" s="10" t="s">
        <v>1427</v>
      </c>
      <c r="F304" s="11" t="s">
        <v>823</v>
      </c>
      <c r="G304" s="11" t="s">
        <v>168</v>
      </c>
      <c r="H304" s="10" t="s">
        <v>812</v>
      </c>
    </row>
    <row r="305" spans="1:8" x14ac:dyDescent="0.25">
      <c r="A305" s="11" t="s">
        <v>1736</v>
      </c>
      <c r="B305" s="10" t="s">
        <v>804</v>
      </c>
      <c r="C305" s="10" t="s">
        <v>1635</v>
      </c>
      <c r="D305" s="10" t="str">
        <f>VLOOKUP(C305,Region!A:B,2,FALSE)</f>
        <v>MBC US</v>
      </c>
      <c r="E305" s="10" t="s">
        <v>806</v>
      </c>
      <c r="F305" s="11" t="s">
        <v>814</v>
      </c>
      <c r="G305" s="11" t="s">
        <v>215</v>
      </c>
      <c r="H305" s="10" t="s">
        <v>812</v>
      </c>
    </row>
    <row r="306" spans="1:8" x14ac:dyDescent="0.25">
      <c r="A306" s="11" t="s">
        <v>1058</v>
      </c>
      <c r="B306" s="10" t="s">
        <v>804</v>
      </c>
      <c r="C306" s="10" t="s">
        <v>805</v>
      </c>
      <c r="D306" s="10" t="str">
        <f>VLOOKUP(C306,Region!A:B,2,FALSE)</f>
        <v>Noida</v>
      </c>
      <c r="E306" s="10" t="s">
        <v>806</v>
      </c>
      <c r="F306" s="11" t="s">
        <v>807</v>
      </c>
      <c r="G306" s="11" t="s">
        <v>1059</v>
      </c>
      <c r="H306" s="10" t="s">
        <v>809</v>
      </c>
    </row>
    <row r="307" spans="1:8" x14ac:dyDescent="0.25">
      <c r="A307" s="11" t="s">
        <v>3065</v>
      </c>
      <c r="B307" s="10" t="s">
        <v>1086</v>
      </c>
      <c r="C307" s="10" t="s">
        <v>2987</v>
      </c>
      <c r="D307" s="10" t="str">
        <f>VLOOKUP(C307,Region!A:B,2,FALSE)</f>
        <v>Noida</v>
      </c>
      <c r="E307" s="10" t="s">
        <v>1427</v>
      </c>
      <c r="F307" s="11" t="s">
        <v>814</v>
      </c>
      <c r="G307" s="11" t="s">
        <v>3066</v>
      </c>
      <c r="H307" s="10" t="s">
        <v>812</v>
      </c>
    </row>
    <row r="308" spans="1:8" x14ac:dyDescent="0.25">
      <c r="A308" s="11" t="s">
        <v>2053</v>
      </c>
      <c r="B308" s="10" t="s">
        <v>804</v>
      </c>
      <c r="C308" s="10" t="s">
        <v>2041</v>
      </c>
      <c r="D308" s="10" t="str">
        <f>VLOOKUP(C308,Region!A:B,2,FALSE)</f>
        <v>Hyderabad</v>
      </c>
      <c r="E308" s="10" t="s">
        <v>1427</v>
      </c>
      <c r="F308" s="11" t="s">
        <v>823</v>
      </c>
      <c r="G308" s="11" t="s">
        <v>772</v>
      </c>
      <c r="H308" s="10" t="s">
        <v>812</v>
      </c>
    </row>
    <row r="309" spans="1:8" x14ac:dyDescent="0.25">
      <c r="A309" s="11" t="s">
        <v>1713</v>
      </c>
      <c r="B309" s="10" t="s">
        <v>804</v>
      </c>
      <c r="C309" s="10" t="s">
        <v>1635</v>
      </c>
      <c r="D309" s="10" t="str">
        <f>VLOOKUP(C309,Region!A:B,2,FALSE)</f>
        <v>MBC US</v>
      </c>
      <c r="E309" s="10" t="s">
        <v>806</v>
      </c>
      <c r="F309" s="11" t="s">
        <v>814</v>
      </c>
      <c r="G309" s="11" t="s">
        <v>1714</v>
      </c>
      <c r="H309" s="10" t="s">
        <v>809</v>
      </c>
    </row>
    <row r="310" spans="1:8" x14ac:dyDescent="0.25">
      <c r="A310" s="11" t="s">
        <v>3385</v>
      </c>
      <c r="B310" s="10" t="s">
        <v>1086</v>
      </c>
      <c r="C310" s="10" t="s">
        <v>3273</v>
      </c>
      <c r="D310" s="10" t="str">
        <f>VLOOKUP(C310,Region!A:B,2,FALSE)</f>
        <v>Noida</v>
      </c>
      <c r="E310" s="10" t="s">
        <v>806</v>
      </c>
      <c r="F310" s="11" t="s">
        <v>811</v>
      </c>
      <c r="G310" s="11" t="s">
        <v>3386</v>
      </c>
      <c r="H310" s="10" t="s">
        <v>809</v>
      </c>
    </row>
    <row r="311" spans="1:8" x14ac:dyDescent="0.25">
      <c r="A311" s="11" t="s">
        <v>3453</v>
      </c>
      <c r="B311" s="10" t="s">
        <v>1086</v>
      </c>
      <c r="C311" s="10" t="s">
        <v>3273</v>
      </c>
      <c r="D311" s="10" t="str">
        <f>VLOOKUP(C311,Region!A:B,2,FALSE)</f>
        <v>Noida</v>
      </c>
      <c r="E311" s="10" t="s">
        <v>806</v>
      </c>
      <c r="F311" s="11" t="s">
        <v>823</v>
      </c>
      <c r="G311" s="11" t="s">
        <v>3454</v>
      </c>
      <c r="H311" s="10" t="s">
        <v>809</v>
      </c>
    </row>
    <row r="312" spans="1:8" x14ac:dyDescent="0.25">
      <c r="A312" s="11" t="s">
        <v>1732</v>
      </c>
      <c r="B312" s="10" t="s">
        <v>804</v>
      </c>
      <c r="C312" s="10" t="s">
        <v>1635</v>
      </c>
      <c r="D312" s="10" t="str">
        <f>VLOOKUP(C312,Region!A:B,2,FALSE)</f>
        <v>MBC US</v>
      </c>
      <c r="E312" s="10" t="s">
        <v>806</v>
      </c>
      <c r="F312" s="11" t="s">
        <v>814</v>
      </c>
      <c r="G312" s="11" t="s">
        <v>791</v>
      </c>
      <c r="H312" s="10" t="s">
        <v>809</v>
      </c>
    </row>
    <row r="313" spans="1:8" x14ac:dyDescent="0.25">
      <c r="A313" s="11" t="s">
        <v>1731</v>
      </c>
      <c r="B313" s="10" t="s">
        <v>1086</v>
      </c>
      <c r="C313" s="10" t="s">
        <v>1635</v>
      </c>
      <c r="D313" s="10" t="str">
        <f>VLOOKUP(C313,Region!A:B,2,FALSE)</f>
        <v>MBC US</v>
      </c>
      <c r="E313" s="10" t="s">
        <v>806</v>
      </c>
      <c r="F313" s="11" t="s">
        <v>814</v>
      </c>
      <c r="G313" s="11" t="s">
        <v>246</v>
      </c>
      <c r="H313" s="10" t="s">
        <v>812</v>
      </c>
    </row>
    <row r="314" spans="1:8" x14ac:dyDescent="0.25">
      <c r="A314" s="11" t="s">
        <v>1743</v>
      </c>
      <c r="B314" s="10" t="s">
        <v>1086</v>
      </c>
      <c r="C314" s="10" t="s">
        <v>1635</v>
      </c>
      <c r="D314" s="10" t="str">
        <f>VLOOKUP(C314,Region!A:B,2,FALSE)</f>
        <v>MBC US</v>
      </c>
      <c r="E314" s="10" t="s">
        <v>806</v>
      </c>
      <c r="F314" s="11" t="s">
        <v>811</v>
      </c>
      <c r="G314" s="11" t="s">
        <v>249</v>
      </c>
      <c r="H314" s="10" t="s">
        <v>812</v>
      </c>
    </row>
    <row r="315" spans="1:8" x14ac:dyDescent="0.25">
      <c r="A315" s="11" t="s">
        <v>2558</v>
      </c>
      <c r="B315" s="10" t="s">
        <v>804</v>
      </c>
      <c r="C315" s="10" t="s">
        <v>2518</v>
      </c>
      <c r="D315" s="10" t="str">
        <f>VLOOKUP(C315,Region!A:B,2,FALSE)</f>
        <v>Noida</v>
      </c>
      <c r="E315" s="10" t="s">
        <v>1427</v>
      </c>
      <c r="F315" s="11" t="s">
        <v>811</v>
      </c>
      <c r="G315" s="11" t="s">
        <v>2559</v>
      </c>
      <c r="H315" s="10" t="s">
        <v>809</v>
      </c>
    </row>
    <row r="316" spans="1:8" x14ac:dyDescent="0.25">
      <c r="A316" s="11" t="s">
        <v>1496</v>
      </c>
      <c r="B316" s="10" t="s">
        <v>804</v>
      </c>
      <c r="C316" s="10" t="s">
        <v>1426</v>
      </c>
      <c r="D316" s="10" t="str">
        <f>VLOOKUP(C316,Region!A:B,2,FALSE)</f>
        <v>Spain</v>
      </c>
      <c r="E316" s="10" t="s">
        <v>1427</v>
      </c>
      <c r="F316" s="11" t="s">
        <v>807</v>
      </c>
      <c r="G316" s="11" t="s">
        <v>534</v>
      </c>
      <c r="H316" s="10" t="s">
        <v>812</v>
      </c>
    </row>
    <row r="317" spans="1:8" x14ac:dyDescent="0.25">
      <c r="A317" s="11" t="s">
        <v>1709</v>
      </c>
      <c r="B317" s="10" t="s">
        <v>804</v>
      </c>
      <c r="C317" s="10" t="s">
        <v>1635</v>
      </c>
      <c r="D317" s="10" t="str">
        <f>VLOOKUP(C317,Region!A:B,2,FALSE)</f>
        <v>MBC US</v>
      </c>
      <c r="E317" s="10" t="s">
        <v>806</v>
      </c>
      <c r="F317" s="11" t="s">
        <v>814</v>
      </c>
      <c r="G317" s="11" t="s">
        <v>1710</v>
      </c>
      <c r="H317" s="10" t="s">
        <v>809</v>
      </c>
    </row>
    <row r="318" spans="1:8" x14ac:dyDescent="0.25">
      <c r="A318" s="11" t="s">
        <v>1719</v>
      </c>
      <c r="B318" s="10" t="s">
        <v>804</v>
      </c>
      <c r="C318" s="10" t="s">
        <v>1635</v>
      </c>
      <c r="D318" s="10" t="str">
        <f>VLOOKUP(C318,Region!A:B,2,FALSE)</f>
        <v>MBC US</v>
      </c>
      <c r="E318" s="10" t="s">
        <v>806</v>
      </c>
      <c r="F318" s="11" t="s">
        <v>807</v>
      </c>
      <c r="G318" s="11" t="s">
        <v>1720</v>
      </c>
      <c r="H318" s="10" t="s">
        <v>809</v>
      </c>
    </row>
    <row r="319" spans="1:8" x14ac:dyDescent="0.25">
      <c r="A319" s="11" t="s">
        <v>1739</v>
      </c>
      <c r="B319" s="10" t="s">
        <v>1086</v>
      </c>
      <c r="C319" s="10" t="s">
        <v>1635</v>
      </c>
      <c r="D319" s="10" t="str">
        <f>VLOOKUP(C319,Region!A:B,2,FALSE)</f>
        <v>MBC US</v>
      </c>
      <c r="E319" s="10" t="s">
        <v>806</v>
      </c>
      <c r="F319" s="11" t="s">
        <v>814</v>
      </c>
      <c r="G319" s="11" t="s">
        <v>1740</v>
      </c>
      <c r="H319" s="10" t="s">
        <v>809</v>
      </c>
    </row>
    <row r="320" spans="1:8" x14ac:dyDescent="0.25">
      <c r="A320" s="11" t="s">
        <v>1497</v>
      </c>
      <c r="B320" s="10" t="s">
        <v>804</v>
      </c>
      <c r="C320" s="10" t="s">
        <v>1426</v>
      </c>
      <c r="D320" s="10" t="str">
        <f>VLOOKUP(C320,Region!A:B,2,FALSE)</f>
        <v>Spain</v>
      </c>
      <c r="E320" s="10" t="s">
        <v>1427</v>
      </c>
      <c r="F320" s="11" t="s">
        <v>807</v>
      </c>
      <c r="G320" s="11" t="s">
        <v>188</v>
      </c>
      <c r="H320" s="10" t="s">
        <v>812</v>
      </c>
    </row>
    <row r="321" spans="1:8" x14ac:dyDescent="0.25">
      <c r="A321" s="11" t="s">
        <v>1741</v>
      </c>
      <c r="B321" s="10" t="s">
        <v>804</v>
      </c>
      <c r="C321" s="10" t="s">
        <v>1635</v>
      </c>
      <c r="D321" s="10" t="str">
        <f>VLOOKUP(C321,Region!A:B,2,FALSE)</f>
        <v>MBC US</v>
      </c>
      <c r="E321" s="10" t="s">
        <v>806</v>
      </c>
      <c r="F321" s="11" t="s">
        <v>814</v>
      </c>
      <c r="G321" s="11" t="s">
        <v>1742</v>
      </c>
      <c r="H321" s="10" t="s">
        <v>809</v>
      </c>
    </row>
    <row r="322" spans="1:8" x14ac:dyDescent="0.25">
      <c r="A322" s="11" t="s">
        <v>1724</v>
      </c>
      <c r="B322" s="10" t="s">
        <v>804</v>
      </c>
      <c r="C322" s="10" t="s">
        <v>1635</v>
      </c>
      <c r="D322" s="10" t="str">
        <f>VLOOKUP(C322,Region!A:B,2,FALSE)</f>
        <v>MBC US</v>
      </c>
      <c r="E322" s="10" t="s">
        <v>806</v>
      </c>
      <c r="F322" s="11" t="s">
        <v>814</v>
      </c>
      <c r="G322" s="11" t="s">
        <v>1725</v>
      </c>
      <c r="H322" s="10" t="s">
        <v>809</v>
      </c>
    </row>
    <row r="323" spans="1:8" x14ac:dyDescent="0.25">
      <c r="A323" s="11" t="s">
        <v>2674</v>
      </c>
      <c r="B323" s="10" t="s">
        <v>804</v>
      </c>
      <c r="C323" s="10" t="s">
        <v>2518</v>
      </c>
      <c r="D323" s="10" t="str">
        <f>VLOOKUP(C323,Region!A:B,2,FALSE)</f>
        <v>Noida</v>
      </c>
      <c r="E323" s="10" t="s">
        <v>1427</v>
      </c>
      <c r="F323" s="11" t="s">
        <v>811</v>
      </c>
      <c r="G323" s="11" t="s">
        <v>551</v>
      </c>
      <c r="H323" s="10" t="s">
        <v>812</v>
      </c>
    </row>
    <row r="324" spans="1:8" x14ac:dyDescent="0.25">
      <c r="A324" s="11" t="s">
        <v>1737</v>
      </c>
      <c r="B324" s="10" t="s">
        <v>804</v>
      </c>
      <c r="C324" s="10" t="s">
        <v>1635</v>
      </c>
      <c r="D324" s="10" t="str">
        <f>VLOOKUP(C324,Region!A:B,2,FALSE)</f>
        <v>MBC US</v>
      </c>
      <c r="E324" s="10" t="s">
        <v>806</v>
      </c>
      <c r="F324" s="11" t="s">
        <v>814</v>
      </c>
      <c r="G324" s="11" t="s">
        <v>1738</v>
      </c>
      <c r="H324" s="10" t="s">
        <v>809</v>
      </c>
    </row>
    <row r="325" spans="1:8" x14ac:dyDescent="0.25">
      <c r="A325" s="11" t="s">
        <v>2699</v>
      </c>
      <c r="B325" s="10" t="s">
        <v>804</v>
      </c>
      <c r="C325" s="10" t="s">
        <v>2518</v>
      </c>
      <c r="D325" s="10" t="str">
        <f>VLOOKUP(C325,Region!A:B,2,FALSE)</f>
        <v>Noida</v>
      </c>
      <c r="E325" s="10" t="s">
        <v>1427</v>
      </c>
      <c r="F325" s="11" t="s">
        <v>807</v>
      </c>
      <c r="G325" s="11" t="s">
        <v>2700</v>
      </c>
      <c r="H325" s="10" t="s">
        <v>809</v>
      </c>
    </row>
    <row r="326" spans="1:8" x14ac:dyDescent="0.25">
      <c r="A326" s="11" t="s">
        <v>1125</v>
      </c>
      <c r="B326" s="10" t="s">
        <v>1086</v>
      </c>
      <c r="C326" s="10" t="s">
        <v>1087</v>
      </c>
      <c r="D326" s="10" t="str">
        <f>VLOOKUP(C326,Region!A:B,2,FALSE)</f>
        <v>Hyderabad</v>
      </c>
      <c r="E326" s="10" t="s">
        <v>806</v>
      </c>
      <c r="F326" s="11" t="s">
        <v>811</v>
      </c>
      <c r="G326" s="11" t="s">
        <v>1126</v>
      </c>
      <c r="H326" s="10" t="s">
        <v>809</v>
      </c>
    </row>
    <row r="327" spans="1:8" x14ac:dyDescent="0.25">
      <c r="A327" s="11" t="s">
        <v>840</v>
      </c>
      <c r="B327" s="10" t="s">
        <v>804</v>
      </c>
      <c r="C327" s="10" t="s">
        <v>805</v>
      </c>
      <c r="D327" s="10" t="str">
        <f>VLOOKUP(C327,Region!A:B,2,FALSE)</f>
        <v>Noida</v>
      </c>
      <c r="E327" s="10" t="s">
        <v>806</v>
      </c>
      <c r="F327" s="11" t="s">
        <v>814</v>
      </c>
      <c r="G327" s="11" t="s">
        <v>841</v>
      </c>
      <c r="H327" s="10" t="s">
        <v>812</v>
      </c>
    </row>
    <row r="328" spans="1:8" x14ac:dyDescent="0.25">
      <c r="A328" s="11" t="s">
        <v>1717</v>
      </c>
      <c r="B328" s="10" t="s">
        <v>804</v>
      </c>
      <c r="C328" s="10" t="s">
        <v>1635</v>
      </c>
      <c r="D328" s="10" t="str">
        <f>VLOOKUP(C328,Region!A:B,2,FALSE)</f>
        <v>MBC US</v>
      </c>
      <c r="E328" s="10" t="s">
        <v>806</v>
      </c>
      <c r="F328" s="11" t="s">
        <v>811</v>
      </c>
      <c r="G328" s="11" t="s">
        <v>1718</v>
      </c>
      <c r="H328" s="10" t="s">
        <v>809</v>
      </c>
    </row>
    <row r="329" spans="1:8" x14ac:dyDescent="0.25">
      <c r="A329" s="11" t="s">
        <v>3041</v>
      </c>
      <c r="B329" s="10" t="s">
        <v>1086</v>
      </c>
      <c r="C329" s="10" t="s">
        <v>2987</v>
      </c>
      <c r="D329" s="10" t="str">
        <f>VLOOKUP(C329,Region!A:B,2,FALSE)</f>
        <v>Noida</v>
      </c>
      <c r="E329" s="10" t="s">
        <v>1427</v>
      </c>
      <c r="F329" s="11" t="s">
        <v>823</v>
      </c>
      <c r="G329" s="11" t="s">
        <v>3042</v>
      </c>
      <c r="H329" s="10" t="s">
        <v>812</v>
      </c>
    </row>
    <row r="330" spans="1:8" x14ac:dyDescent="0.25">
      <c r="A330" s="11" t="s">
        <v>1499</v>
      </c>
      <c r="B330" s="10" t="s">
        <v>1086</v>
      </c>
      <c r="C330" s="10" t="s">
        <v>1426</v>
      </c>
      <c r="D330" s="10" t="str">
        <f>VLOOKUP(C330,Region!A:B,2,FALSE)</f>
        <v>Spain</v>
      </c>
      <c r="E330" s="10" t="s">
        <v>1427</v>
      </c>
      <c r="F330" s="11" t="s">
        <v>807</v>
      </c>
      <c r="G330" s="11" t="s">
        <v>1500</v>
      </c>
      <c r="H330" s="10" t="s">
        <v>809</v>
      </c>
    </row>
    <row r="331" spans="1:8" x14ac:dyDescent="0.25">
      <c r="A331" s="11" t="s">
        <v>1721</v>
      </c>
      <c r="B331" s="10" t="s">
        <v>804</v>
      </c>
      <c r="C331" s="10" t="s">
        <v>1635</v>
      </c>
      <c r="D331" s="10" t="str">
        <f>VLOOKUP(C331,Region!A:B,2,FALSE)</f>
        <v>MBC US</v>
      </c>
      <c r="E331" s="10" t="s">
        <v>806</v>
      </c>
      <c r="F331" s="11" t="s">
        <v>814</v>
      </c>
      <c r="G331" s="11" t="s">
        <v>397</v>
      </c>
      <c r="H331" s="10" t="s">
        <v>812</v>
      </c>
    </row>
    <row r="332" spans="1:8" x14ac:dyDescent="0.25">
      <c r="A332" s="11" t="s">
        <v>1744</v>
      </c>
      <c r="B332" s="10" t="s">
        <v>804</v>
      </c>
      <c r="C332" s="10" t="s">
        <v>1635</v>
      </c>
      <c r="D332" s="10" t="str">
        <f>VLOOKUP(C332,Region!A:B,2,FALSE)</f>
        <v>MBC US</v>
      </c>
      <c r="E332" s="10" t="s">
        <v>806</v>
      </c>
      <c r="F332" s="11" t="s">
        <v>814</v>
      </c>
      <c r="G332" s="11" t="s">
        <v>1745</v>
      </c>
      <c r="H332" s="10" t="s">
        <v>809</v>
      </c>
    </row>
    <row r="333" spans="1:8" x14ac:dyDescent="0.25">
      <c r="A333" s="11" t="s">
        <v>1726</v>
      </c>
      <c r="B333" s="10" t="s">
        <v>804</v>
      </c>
      <c r="C333" s="10" t="s">
        <v>1635</v>
      </c>
      <c r="D333" s="10" t="str">
        <f>VLOOKUP(C333,Region!A:B,2,FALSE)</f>
        <v>MBC US</v>
      </c>
      <c r="E333" s="10" t="s">
        <v>806</v>
      </c>
      <c r="F333" s="11" t="s">
        <v>807</v>
      </c>
      <c r="G333" s="11" t="s">
        <v>756</v>
      </c>
      <c r="H333" s="10" t="s">
        <v>812</v>
      </c>
    </row>
    <row r="334" spans="1:8" x14ac:dyDescent="0.25">
      <c r="A334" s="11" t="s">
        <v>1501</v>
      </c>
      <c r="B334" s="10" t="s">
        <v>804</v>
      </c>
      <c r="C334" s="10" t="s">
        <v>1426</v>
      </c>
      <c r="D334" s="10" t="str">
        <f>VLOOKUP(C334,Region!A:B,2,FALSE)</f>
        <v>Spain</v>
      </c>
      <c r="E334" s="10" t="s">
        <v>1427</v>
      </c>
      <c r="F334" s="11" t="s">
        <v>814</v>
      </c>
      <c r="G334" s="11" t="s">
        <v>1502</v>
      </c>
      <c r="H334" s="10" t="s">
        <v>809</v>
      </c>
    </row>
    <row r="335" spans="1:8" x14ac:dyDescent="0.25">
      <c r="A335" s="11" t="s">
        <v>2112</v>
      </c>
      <c r="B335" s="10" t="s">
        <v>804</v>
      </c>
      <c r="C335" s="10" t="s">
        <v>2041</v>
      </c>
      <c r="D335" s="10" t="str">
        <f>VLOOKUP(C335,Region!A:B,2,FALSE)</f>
        <v>Hyderabad</v>
      </c>
      <c r="E335" s="10" t="s">
        <v>1427</v>
      </c>
      <c r="F335" s="11" t="s">
        <v>814</v>
      </c>
      <c r="G335" s="11" t="s">
        <v>2113</v>
      </c>
      <c r="H335" s="10" t="s">
        <v>809</v>
      </c>
    </row>
    <row r="336" spans="1:8" x14ac:dyDescent="0.25">
      <c r="A336" s="11" t="s">
        <v>1727</v>
      </c>
      <c r="B336" s="10" t="s">
        <v>804</v>
      </c>
      <c r="C336" s="10" t="s">
        <v>1635</v>
      </c>
      <c r="D336" s="10" t="str">
        <f>VLOOKUP(C336,Region!A:B,2,FALSE)</f>
        <v>MBC US</v>
      </c>
      <c r="E336" s="10" t="s">
        <v>806</v>
      </c>
      <c r="F336" s="11" t="s">
        <v>834</v>
      </c>
      <c r="G336" s="11" t="s">
        <v>242</v>
      </c>
      <c r="H336" s="10" t="s">
        <v>812</v>
      </c>
    </row>
    <row r="337" spans="1:8" x14ac:dyDescent="0.25">
      <c r="A337" s="11" t="s">
        <v>1715</v>
      </c>
      <c r="B337" s="10" t="s">
        <v>1086</v>
      </c>
      <c r="C337" s="10" t="s">
        <v>1635</v>
      </c>
      <c r="D337" s="10" t="str">
        <f>VLOOKUP(C337,Region!A:B,2,FALSE)</f>
        <v>MBC US</v>
      </c>
      <c r="E337" s="10" t="s">
        <v>806</v>
      </c>
      <c r="F337" s="11" t="s">
        <v>807</v>
      </c>
      <c r="G337" s="11" t="s">
        <v>1716</v>
      </c>
      <c r="H337" s="10" t="s">
        <v>809</v>
      </c>
    </row>
    <row r="338" spans="1:8" x14ac:dyDescent="0.25">
      <c r="A338" s="11" t="s">
        <v>2054</v>
      </c>
      <c r="B338" s="10" t="s">
        <v>804</v>
      </c>
      <c r="C338" s="10" t="s">
        <v>2041</v>
      </c>
      <c r="D338" s="10" t="str">
        <f>VLOOKUP(C338,Region!A:B,2,FALSE)</f>
        <v>Hyderabad</v>
      </c>
      <c r="E338" s="10" t="s">
        <v>1427</v>
      </c>
      <c r="F338" s="11" t="s">
        <v>823</v>
      </c>
      <c r="G338" s="11" t="s">
        <v>299</v>
      </c>
      <c r="H338" s="10" t="s">
        <v>812</v>
      </c>
    </row>
    <row r="339" spans="1:8" x14ac:dyDescent="0.25">
      <c r="A339" s="11" t="s">
        <v>2473</v>
      </c>
      <c r="B339" s="10" t="s">
        <v>804</v>
      </c>
      <c r="C339" s="10" t="s">
        <v>2041</v>
      </c>
      <c r="D339" s="10" t="str">
        <f>VLOOKUP(C339,Region!A:B,2,FALSE)</f>
        <v>Hyderabad</v>
      </c>
      <c r="E339" s="10" t="s">
        <v>1427</v>
      </c>
      <c r="F339" s="11" t="s">
        <v>811</v>
      </c>
      <c r="G339" s="11" t="s">
        <v>2474</v>
      </c>
      <c r="H339" s="10" t="s">
        <v>809</v>
      </c>
    </row>
    <row r="340" spans="1:8" x14ac:dyDescent="0.25">
      <c r="A340" s="11" t="s">
        <v>1722</v>
      </c>
      <c r="B340" s="10" t="s">
        <v>804</v>
      </c>
      <c r="C340" s="10" t="s">
        <v>1635</v>
      </c>
      <c r="D340" s="10" t="str">
        <f>VLOOKUP(C340,Region!A:B,2,FALSE)</f>
        <v>MBC US</v>
      </c>
      <c r="E340" s="10" t="s">
        <v>806</v>
      </c>
      <c r="F340" s="11" t="s">
        <v>811</v>
      </c>
      <c r="G340" s="11" t="s">
        <v>1723</v>
      </c>
      <c r="H340" s="10" t="s">
        <v>809</v>
      </c>
    </row>
    <row r="341" spans="1:8" x14ac:dyDescent="0.25">
      <c r="A341" s="11" t="s">
        <v>1503</v>
      </c>
      <c r="B341" s="10" t="s">
        <v>804</v>
      </c>
      <c r="C341" s="10" t="s">
        <v>1426</v>
      </c>
      <c r="D341" s="10" t="str">
        <f>VLOOKUP(C341,Region!A:B,2,FALSE)</f>
        <v>Spain</v>
      </c>
      <c r="E341" s="10" t="s">
        <v>1427</v>
      </c>
      <c r="F341" s="11" t="s">
        <v>811</v>
      </c>
      <c r="G341" s="11" t="s">
        <v>1504</v>
      </c>
      <c r="H341" s="10" t="s">
        <v>809</v>
      </c>
    </row>
    <row r="342" spans="1:8" x14ac:dyDescent="0.25">
      <c r="A342" s="11" t="s">
        <v>2497</v>
      </c>
      <c r="B342" s="10" t="s">
        <v>804</v>
      </c>
      <c r="C342" s="10" t="s">
        <v>2041</v>
      </c>
      <c r="D342" s="10" t="str">
        <f>VLOOKUP(C342,Region!A:B,2,FALSE)</f>
        <v>Hyderabad</v>
      </c>
      <c r="E342" s="10" t="s">
        <v>1427</v>
      </c>
      <c r="F342" s="11" t="s">
        <v>814</v>
      </c>
      <c r="G342" s="11" t="s">
        <v>2498</v>
      </c>
      <c r="H342" s="10" t="s">
        <v>809</v>
      </c>
    </row>
    <row r="343" spans="1:8" x14ac:dyDescent="0.25">
      <c r="A343" s="11" t="s">
        <v>1505</v>
      </c>
      <c r="B343" s="10" t="s">
        <v>1086</v>
      </c>
      <c r="C343" s="10" t="s">
        <v>1426</v>
      </c>
      <c r="D343" s="10" t="str">
        <f>VLOOKUP(C343,Region!A:B,2,FALSE)</f>
        <v>Spain</v>
      </c>
      <c r="E343" s="10" t="s">
        <v>1427</v>
      </c>
      <c r="F343" s="11" t="s">
        <v>807</v>
      </c>
      <c r="G343" s="11" t="s">
        <v>195</v>
      </c>
      <c r="H343" s="10" t="s">
        <v>812</v>
      </c>
    </row>
    <row r="344" spans="1:8" x14ac:dyDescent="0.25">
      <c r="A344" s="11" t="s">
        <v>3322</v>
      </c>
      <c r="B344" s="10" t="s">
        <v>1086</v>
      </c>
      <c r="C344" s="10" t="s">
        <v>3273</v>
      </c>
      <c r="D344" s="10" t="str">
        <f>VLOOKUP(C344,Region!A:B,2,FALSE)</f>
        <v>Noida</v>
      </c>
      <c r="E344" s="10" t="s">
        <v>806</v>
      </c>
      <c r="F344" s="11" t="s">
        <v>823</v>
      </c>
      <c r="G344" s="11" t="s">
        <v>3323</v>
      </c>
      <c r="H344" s="10" t="s">
        <v>809</v>
      </c>
    </row>
    <row r="345" spans="1:8" x14ac:dyDescent="0.25">
      <c r="A345" s="11" t="s">
        <v>1508</v>
      </c>
      <c r="B345" s="10" t="s">
        <v>1086</v>
      </c>
      <c r="C345" s="10" t="s">
        <v>1426</v>
      </c>
      <c r="D345" s="10" t="str">
        <f>VLOOKUP(C345,Region!A:B,2,FALSE)</f>
        <v>Spain</v>
      </c>
      <c r="E345" s="10" t="s">
        <v>1427</v>
      </c>
      <c r="F345" s="11" t="s">
        <v>823</v>
      </c>
      <c r="G345" s="11" t="s">
        <v>1509</v>
      </c>
      <c r="H345" s="10" t="s">
        <v>809</v>
      </c>
    </row>
    <row r="346" spans="1:8" x14ac:dyDescent="0.25">
      <c r="A346" s="11" t="s">
        <v>1413</v>
      </c>
      <c r="B346" s="10" t="s">
        <v>1086</v>
      </c>
      <c r="C346" s="10" t="s">
        <v>1087</v>
      </c>
      <c r="D346" s="10" t="str">
        <f>VLOOKUP(C346,Region!A:B,2,FALSE)</f>
        <v>Hyderabad</v>
      </c>
      <c r="E346" s="10" t="s">
        <v>806</v>
      </c>
      <c r="F346" s="11" t="s">
        <v>823</v>
      </c>
      <c r="G346" s="11" t="s">
        <v>1414</v>
      </c>
      <c r="H346" s="10" t="s">
        <v>809</v>
      </c>
    </row>
    <row r="347" spans="1:8" x14ac:dyDescent="0.25">
      <c r="A347" s="11" t="s">
        <v>2114</v>
      </c>
      <c r="B347" s="10" t="s">
        <v>804</v>
      </c>
      <c r="C347" s="10" t="s">
        <v>2041</v>
      </c>
      <c r="D347" s="10" t="str">
        <f>VLOOKUP(C347,Region!A:B,2,FALSE)</f>
        <v>Hyderabad</v>
      </c>
      <c r="E347" s="10" t="s">
        <v>1427</v>
      </c>
      <c r="F347" s="11" t="s">
        <v>814</v>
      </c>
      <c r="G347" s="11" t="s">
        <v>2115</v>
      </c>
      <c r="H347" s="10" t="s">
        <v>809</v>
      </c>
    </row>
    <row r="348" spans="1:8" x14ac:dyDescent="0.25">
      <c r="A348" s="11" t="s">
        <v>2883</v>
      </c>
      <c r="B348" s="10" t="s">
        <v>804</v>
      </c>
      <c r="C348" s="10" t="s">
        <v>2752</v>
      </c>
      <c r="D348" s="10" t="str">
        <f>VLOOKUP(C348,Region!A:B,2,FALSE)</f>
        <v>Noida</v>
      </c>
      <c r="E348" s="10" t="s">
        <v>806</v>
      </c>
      <c r="F348" s="11" t="s">
        <v>814</v>
      </c>
      <c r="G348" s="11" t="s">
        <v>2884</v>
      </c>
      <c r="H348" s="10" t="s">
        <v>812</v>
      </c>
    </row>
    <row r="349" spans="1:8" x14ac:dyDescent="0.25">
      <c r="A349" s="11" t="s">
        <v>2495</v>
      </c>
      <c r="B349" s="10" t="s">
        <v>804</v>
      </c>
      <c r="C349" s="10" t="s">
        <v>2041</v>
      </c>
      <c r="D349" s="10" t="str">
        <f>VLOOKUP(C349,Region!A:B,2,FALSE)</f>
        <v>Hyderabad</v>
      </c>
      <c r="E349" s="10" t="s">
        <v>1427</v>
      </c>
      <c r="F349" s="11" t="s">
        <v>814</v>
      </c>
      <c r="G349" s="11" t="s">
        <v>2496</v>
      </c>
      <c r="H349" s="10" t="s">
        <v>809</v>
      </c>
    </row>
    <row r="350" spans="1:8" x14ac:dyDescent="0.25">
      <c r="A350" s="11" t="s">
        <v>1733</v>
      </c>
      <c r="B350" s="10" t="s">
        <v>804</v>
      </c>
      <c r="C350" s="10" t="s">
        <v>1635</v>
      </c>
      <c r="D350" s="10" t="str">
        <f>VLOOKUP(C350,Region!A:B,2,FALSE)</f>
        <v>MBC US</v>
      </c>
      <c r="E350" s="10" t="s">
        <v>806</v>
      </c>
      <c r="F350" s="11" t="s">
        <v>814</v>
      </c>
      <c r="G350" s="11" t="s">
        <v>1734</v>
      </c>
      <c r="H350" s="10" t="s">
        <v>809</v>
      </c>
    </row>
    <row r="351" spans="1:8" x14ac:dyDescent="0.25">
      <c r="A351" s="11" t="s">
        <v>2832</v>
      </c>
      <c r="B351" s="10" t="s">
        <v>804</v>
      </c>
      <c r="C351" s="10" t="s">
        <v>2752</v>
      </c>
      <c r="D351" s="10" t="str">
        <f>VLOOKUP(C351,Region!A:B,2,FALSE)</f>
        <v>Noida</v>
      </c>
      <c r="E351" s="10" t="s">
        <v>806</v>
      </c>
      <c r="F351" s="11" t="s">
        <v>811</v>
      </c>
      <c r="G351" s="11" t="s">
        <v>2833</v>
      </c>
      <c r="H351" s="10" t="s">
        <v>812</v>
      </c>
    </row>
    <row r="352" spans="1:8" x14ac:dyDescent="0.25">
      <c r="A352" s="11" t="s">
        <v>3320</v>
      </c>
      <c r="B352" s="10" t="s">
        <v>1086</v>
      </c>
      <c r="C352" s="10" t="s">
        <v>3273</v>
      </c>
      <c r="D352" s="10" t="str">
        <f>VLOOKUP(C352,Region!A:B,2,FALSE)</f>
        <v>Noida</v>
      </c>
      <c r="E352" s="10" t="s">
        <v>806</v>
      </c>
      <c r="F352" s="11" t="s">
        <v>823</v>
      </c>
      <c r="G352" s="11" t="s">
        <v>3321</v>
      </c>
      <c r="H352" s="10" t="s">
        <v>809</v>
      </c>
    </row>
    <row r="353" spans="1:8" x14ac:dyDescent="0.25">
      <c r="A353" s="11" t="s">
        <v>2276</v>
      </c>
      <c r="B353" s="10" t="s">
        <v>804</v>
      </c>
      <c r="C353" s="10" t="s">
        <v>2041</v>
      </c>
      <c r="D353" s="10" t="str">
        <f>VLOOKUP(C353,Region!A:B,2,FALSE)</f>
        <v>Hyderabad</v>
      </c>
      <c r="E353" s="10" t="s">
        <v>1427</v>
      </c>
      <c r="F353" s="11" t="s">
        <v>807</v>
      </c>
      <c r="G353" s="11" t="s">
        <v>2277</v>
      </c>
      <c r="H353" s="10" t="s">
        <v>809</v>
      </c>
    </row>
    <row r="354" spans="1:8" x14ac:dyDescent="0.25">
      <c r="A354" s="11" t="s">
        <v>3038</v>
      </c>
      <c r="B354" s="10" t="s">
        <v>1086</v>
      </c>
      <c r="C354" s="10" t="s">
        <v>2987</v>
      </c>
      <c r="D354" s="10" t="str">
        <f>VLOOKUP(C354,Region!A:B,2,FALSE)</f>
        <v>Noida</v>
      </c>
      <c r="E354" s="10" t="s">
        <v>1427</v>
      </c>
      <c r="F354" s="11" t="s">
        <v>823</v>
      </c>
      <c r="G354" s="11" t="s">
        <v>3039</v>
      </c>
      <c r="H354" s="10" t="s">
        <v>809</v>
      </c>
    </row>
    <row r="355" spans="1:8" x14ac:dyDescent="0.25">
      <c r="A355" s="11" t="s">
        <v>1735</v>
      </c>
      <c r="B355" s="10" t="s">
        <v>804</v>
      </c>
      <c r="C355" s="10" t="s">
        <v>1635</v>
      </c>
      <c r="D355" s="10" t="str">
        <f>VLOOKUP(C355,Region!A:B,2,FALSE)</f>
        <v>MBC US</v>
      </c>
      <c r="E355" s="10" t="s">
        <v>806</v>
      </c>
      <c r="F355" s="11" t="s">
        <v>807</v>
      </c>
      <c r="G355" s="11" t="s">
        <v>414</v>
      </c>
      <c r="H355" s="10" t="s">
        <v>812</v>
      </c>
    </row>
    <row r="356" spans="1:8" x14ac:dyDescent="0.25">
      <c r="A356" s="11" t="s">
        <v>2640</v>
      </c>
      <c r="B356" s="10" t="s">
        <v>804</v>
      </c>
      <c r="C356" s="10" t="s">
        <v>2518</v>
      </c>
      <c r="D356" s="10" t="str">
        <f>VLOOKUP(C356,Region!A:B,2,FALSE)</f>
        <v>Noida</v>
      </c>
      <c r="E356" s="10" t="s">
        <v>1427</v>
      </c>
      <c r="F356" s="11" t="s">
        <v>823</v>
      </c>
      <c r="G356" s="11" t="s">
        <v>2641</v>
      </c>
      <c r="H356" s="10" t="s">
        <v>809</v>
      </c>
    </row>
    <row r="357" spans="1:8" x14ac:dyDescent="0.25">
      <c r="A357" s="11" t="s">
        <v>3043</v>
      </c>
      <c r="B357" s="10" t="s">
        <v>1086</v>
      </c>
      <c r="C357" s="10" t="s">
        <v>2987</v>
      </c>
      <c r="D357" s="10" t="str">
        <f>VLOOKUP(C357,Region!A:B,2,FALSE)</f>
        <v>Noida</v>
      </c>
      <c r="E357" s="10" t="s">
        <v>1427</v>
      </c>
      <c r="F357" s="11" t="s">
        <v>823</v>
      </c>
      <c r="G357" s="11" t="s">
        <v>3044</v>
      </c>
      <c r="H357" s="10" t="s">
        <v>812</v>
      </c>
    </row>
    <row r="358" spans="1:8" x14ac:dyDescent="0.25">
      <c r="A358" s="11" t="s">
        <v>2522</v>
      </c>
      <c r="B358" s="10" t="s">
        <v>804</v>
      </c>
      <c r="C358" s="10" t="s">
        <v>2518</v>
      </c>
      <c r="D358" s="10" t="str">
        <f>VLOOKUP(C358,Region!A:B,2,FALSE)</f>
        <v>Noida</v>
      </c>
      <c r="E358" s="10" t="s">
        <v>1427</v>
      </c>
      <c r="F358" s="11" t="s">
        <v>823</v>
      </c>
      <c r="G358" s="11" t="s">
        <v>2523</v>
      </c>
      <c r="H358" s="10" t="s">
        <v>812</v>
      </c>
    </row>
    <row r="359" spans="1:8" x14ac:dyDescent="0.25">
      <c r="A359" s="11" t="s">
        <v>1123</v>
      </c>
      <c r="B359" s="10" t="s">
        <v>1086</v>
      </c>
      <c r="C359" s="10" t="s">
        <v>1087</v>
      </c>
      <c r="D359" s="10" t="str">
        <f>VLOOKUP(C359,Region!A:B,2,FALSE)</f>
        <v>Hyderabad</v>
      </c>
      <c r="E359" s="10" t="s">
        <v>806</v>
      </c>
      <c r="F359" s="11" t="s">
        <v>811</v>
      </c>
      <c r="G359" s="11" t="s">
        <v>1124</v>
      </c>
      <c r="H359" s="10" t="s">
        <v>809</v>
      </c>
    </row>
    <row r="360" spans="1:8" x14ac:dyDescent="0.25">
      <c r="A360" s="11" t="s">
        <v>2356</v>
      </c>
      <c r="B360" s="10" t="s">
        <v>804</v>
      </c>
      <c r="C360" s="10" t="s">
        <v>2041</v>
      </c>
      <c r="D360" s="10" t="str">
        <f>VLOOKUP(C360,Region!A:B,2,FALSE)</f>
        <v>Hyderabad</v>
      </c>
      <c r="E360" s="10" t="s">
        <v>1427</v>
      </c>
      <c r="F360" s="11" t="s">
        <v>814</v>
      </c>
      <c r="G360" s="11" t="s">
        <v>2357</v>
      </c>
      <c r="H360" s="10" t="s">
        <v>812</v>
      </c>
    </row>
    <row r="361" spans="1:8" x14ac:dyDescent="0.25">
      <c r="A361" s="11" t="s">
        <v>1728</v>
      </c>
      <c r="B361" s="10" t="s">
        <v>804</v>
      </c>
      <c r="C361" s="10" t="s">
        <v>1635</v>
      </c>
      <c r="D361" s="10" t="str">
        <f>VLOOKUP(C361,Region!A:B,2,FALSE)</f>
        <v>MBC US</v>
      </c>
      <c r="E361" s="10" t="s">
        <v>806</v>
      </c>
      <c r="F361" s="11" t="s">
        <v>834</v>
      </c>
      <c r="G361" s="11" t="s">
        <v>270</v>
      </c>
      <c r="H361" s="10" t="s">
        <v>812</v>
      </c>
    </row>
    <row r="362" spans="1:8" x14ac:dyDescent="0.25">
      <c r="A362" s="11" t="s">
        <v>2642</v>
      </c>
      <c r="B362" s="10" t="s">
        <v>804</v>
      </c>
      <c r="C362" s="10" t="s">
        <v>2518</v>
      </c>
      <c r="D362" s="10" t="str">
        <f>VLOOKUP(C362,Region!A:B,2,FALSE)</f>
        <v>Noida</v>
      </c>
      <c r="E362" s="10" t="s">
        <v>1427</v>
      </c>
      <c r="F362" s="11" t="s">
        <v>823</v>
      </c>
      <c r="G362" s="11" t="s">
        <v>665</v>
      </c>
      <c r="H362" s="10" t="s">
        <v>812</v>
      </c>
    </row>
    <row r="363" spans="1:8" x14ac:dyDescent="0.25">
      <c r="A363" s="11" t="s">
        <v>1729</v>
      </c>
      <c r="B363" s="10" t="s">
        <v>804</v>
      </c>
      <c r="C363" s="10" t="s">
        <v>1635</v>
      </c>
      <c r="D363" s="10" t="str">
        <f>VLOOKUP(C363,Region!A:B,2,FALSE)</f>
        <v>MBC US</v>
      </c>
      <c r="E363" s="10" t="s">
        <v>806</v>
      </c>
      <c r="F363" s="11" t="s">
        <v>811</v>
      </c>
      <c r="G363" s="11" t="s">
        <v>1730</v>
      </c>
      <c r="H363" s="10" t="s">
        <v>809</v>
      </c>
    </row>
    <row r="364" spans="1:8" x14ac:dyDescent="0.25">
      <c r="A364" s="11" t="s">
        <v>1746</v>
      </c>
      <c r="B364" s="10" t="s">
        <v>804</v>
      </c>
      <c r="C364" s="10" t="s">
        <v>1635</v>
      </c>
      <c r="D364" s="10" t="str">
        <f>VLOOKUP(C364,Region!A:B,2,FALSE)</f>
        <v>MBC US</v>
      </c>
      <c r="E364" s="10" t="s">
        <v>806</v>
      </c>
      <c r="F364" s="11" t="s">
        <v>814</v>
      </c>
      <c r="G364" s="11" t="s">
        <v>502</v>
      </c>
      <c r="H364" s="10" t="s">
        <v>812</v>
      </c>
    </row>
    <row r="365" spans="1:8" x14ac:dyDescent="0.25">
      <c r="A365" s="11" t="s">
        <v>1754</v>
      </c>
      <c r="B365" s="10" t="s">
        <v>804</v>
      </c>
      <c r="C365" s="10" t="s">
        <v>1635</v>
      </c>
      <c r="D365" s="10" t="str">
        <f>VLOOKUP(C365,Region!A:B,2,FALSE)</f>
        <v>MBC US</v>
      </c>
      <c r="E365" s="10" t="s">
        <v>806</v>
      </c>
      <c r="F365" s="11" t="s">
        <v>811</v>
      </c>
      <c r="G365" s="11" t="s">
        <v>1755</v>
      </c>
      <c r="H365" s="10" t="s">
        <v>809</v>
      </c>
    </row>
    <row r="366" spans="1:8" x14ac:dyDescent="0.25">
      <c r="A366" s="11" t="s">
        <v>1835</v>
      </c>
      <c r="B366" s="10" t="s">
        <v>804</v>
      </c>
      <c r="C366" s="10" t="s">
        <v>1635</v>
      </c>
      <c r="D366" s="10" t="str">
        <f>VLOOKUP(C366,Region!A:B,2,FALSE)</f>
        <v>MBC US</v>
      </c>
      <c r="E366" s="10" t="s">
        <v>806</v>
      </c>
      <c r="F366" s="11" t="s">
        <v>807</v>
      </c>
      <c r="G366" s="11" t="s">
        <v>1836</v>
      </c>
      <c r="H366" s="10" t="s">
        <v>809</v>
      </c>
    </row>
    <row r="367" spans="1:8" x14ac:dyDescent="0.25">
      <c r="A367" s="11" t="s">
        <v>954</v>
      </c>
      <c r="B367" s="10" t="s">
        <v>804</v>
      </c>
      <c r="C367" s="10" t="s">
        <v>805</v>
      </c>
      <c r="D367" s="10" t="str">
        <f>VLOOKUP(C367,Region!A:B,2,FALSE)</f>
        <v>Noida</v>
      </c>
      <c r="E367" s="10" t="s">
        <v>806</v>
      </c>
      <c r="F367" s="11" t="s">
        <v>811</v>
      </c>
      <c r="G367" s="11" t="s">
        <v>955</v>
      </c>
      <c r="H367" s="10" t="s">
        <v>809</v>
      </c>
    </row>
    <row r="368" spans="1:8" x14ac:dyDescent="0.25">
      <c r="A368" s="11" t="s">
        <v>1752</v>
      </c>
      <c r="B368" s="10" t="s">
        <v>804</v>
      </c>
      <c r="C368" s="10" t="s">
        <v>1635</v>
      </c>
      <c r="D368" s="10" t="str">
        <f>VLOOKUP(C368,Region!A:B,2,FALSE)</f>
        <v>MBC US</v>
      </c>
      <c r="E368" s="10" t="s">
        <v>806</v>
      </c>
      <c r="F368" s="11" t="s">
        <v>823</v>
      </c>
      <c r="G368" s="11" t="s">
        <v>1753</v>
      </c>
      <c r="H368" s="10" t="s">
        <v>809</v>
      </c>
    </row>
    <row r="369" spans="1:8" x14ac:dyDescent="0.25">
      <c r="A369" s="11" t="s">
        <v>1367</v>
      </c>
      <c r="B369" s="10" t="s">
        <v>1086</v>
      </c>
      <c r="C369" s="10" t="s">
        <v>1087</v>
      </c>
      <c r="D369" s="10" t="str">
        <f>VLOOKUP(C369,Region!A:B,2,FALSE)</f>
        <v>Hyderabad</v>
      </c>
      <c r="E369" s="10" t="s">
        <v>806</v>
      </c>
      <c r="F369" s="11" t="s">
        <v>814</v>
      </c>
      <c r="G369" s="11" t="s">
        <v>1368</v>
      </c>
      <c r="H369" s="10" t="s">
        <v>809</v>
      </c>
    </row>
    <row r="370" spans="1:8" x14ac:dyDescent="0.25">
      <c r="A370" s="11" t="s">
        <v>1127</v>
      </c>
      <c r="B370" s="10" t="s">
        <v>1086</v>
      </c>
      <c r="C370" s="10" t="s">
        <v>1087</v>
      </c>
      <c r="D370" s="10" t="str">
        <f>VLOOKUP(C370,Region!A:B,2,FALSE)</f>
        <v>Hyderabad</v>
      </c>
      <c r="E370" s="10" t="s">
        <v>806</v>
      </c>
      <c r="F370" s="11" t="s">
        <v>814</v>
      </c>
      <c r="G370" s="11" t="s">
        <v>1128</v>
      </c>
      <c r="H370" s="10" t="s">
        <v>809</v>
      </c>
    </row>
    <row r="371" spans="1:8" x14ac:dyDescent="0.25">
      <c r="A371" s="11" t="s">
        <v>1756</v>
      </c>
      <c r="B371" s="10" t="s">
        <v>1086</v>
      </c>
      <c r="C371" s="10" t="s">
        <v>1635</v>
      </c>
      <c r="D371" s="10" t="str">
        <f>VLOOKUP(C371,Region!A:B,2,FALSE)</f>
        <v>MBC US</v>
      </c>
      <c r="E371" s="10" t="s">
        <v>806</v>
      </c>
      <c r="F371" s="11" t="s">
        <v>811</v>
      </c>
      <c r="G371" s="11" t="s">
        <v>1757</v>
      </c>
      <c r="H371" s="10" t="s">
        <v>809</v>
      </c>
    </row>
    <row r="372" spans="1:8" x14ac:dyDescent="0.25">
      <c r="A372" s="11" t="s">
        <v>1747</v>
      </c>
      <c r="B372" s="10" t="s">
        <v>1086</v>
      </c>
      <c r="C372" s="10" t="s">
        <v>1635</v>
      </c>
      <c r="D372" s="10" t="str">
        <f>VLOOKUP(C372,Region!A:B,2,FALSE)</f>
        <v>MBC US</v>
      </c>
      <c r="E372" s="10" t="s">
        <v>806</v>
      </c>
      <c r="F372" s="11" t="s">
        <v>823</v>
      </c>
      <c r="G372" s="11" t="s">
        <v>1748</v>
      </c>
      <c r="H372" s="10" t="s">
        <v>809</v>
      </c>
    </row>
    <row r="373" spans="1:8" x14ac:dyDescent="0.25">
      <c r="A373" s="11" t="s">
        <v>1758</v>
      </c>
      <c r="B373" s="10" t="s">
        <v>804</v>
      </c>
      <c r="C373" s="10" t="s">
        <v>1635</v>
      </c>
      <c r="D373" s="10" t="str">
        <f>VLOOKUP(C373,Region!A:B,2,FALSE)</f>
        <v>MBC US</v>
      </c>
      <c r="E373" s="10" t="s">
        <v>806</v>
      </c>
      <c r="F373" s="11" t="s">
        <v>814</v>
      </c>
      <c r="G373" s="11" t="s">
        <v>525</v>
      </c>
      <c r="H373" s="10" t="s">
        <v>812</v>
      </c>
    </row>
    <row r="374" spans="1:8" x14ac:dyDescent="0.25">
      <c r="A374" s="11" t="s">
        <v>1765</v>
      </c>
      <c r="B374" s="10" t="s">
        <v>804</v>
      </c>
      <c r="C374" s="10" t="s">
        <v>1635</v>
      </c>
      <c r="D374" s="10" t="str">
        <f>VLOOKUP(C374,Region!A:B,2,FALSE)</f>
        <v>MBC US</v>
      </c>
      <c r="E374" s="10" t="s">
        <v>806</v>
      </c>
      <c r="F374" s="11" t="s">
        <v>834</v>
      </c>
      <c r="G374" s="11" t="s">
        <v>392</v>
      </c>
      <c r="H374" s="10" t="s">
        <v>812</v>
      </c>
    </row>
    <row r="375" spans="1:8" x14ac:dyDescent="0.25">
      <c r="A375" s="11" t="s">
        <v>1759</v>
      </c>
      <c r="B375" s="10" t="s">
        <v>1086</v>
      </c>
      <c r="C375" s="10" t="s">
        <v>1635</v>
      </c>
      <c r="D375" s="10" t="str">
        <f>VLOOKUP(C375,Region!A:B,2,FALSE)</f>
        <v>MBC US</v>
      </c>
      <c r="E375" s="10" t="s">
        <v>806</v>
      </c>
      <c r="F375" s="11" t="s">
        <v>814</v>
      </c>
      <c r="G375" s="11" t="s">
        <v>1760</v>
      </c>
      <c r="H375" s="10" t="s">
        <v>809</v>
      </c>
    </row>
    <row r="376" spans="1:8" x14ac:dyDescent="0.25">
      <c r="A376" s="11" t="s">
        <v>1761</v>
      </c>
      <c r="B376" s="10" t="s">
        <v>804</v>
      </c>
      <c r="C376" s="10" t="s">
        <v>1635</v>
      </c>
      <c r="D376" s="10" t="str">
        <f>VLOOKUP(C376,Region!A:B,2,FALSE)</f>
        <v>MBC US</v>
      </c>
      <c r="E376" s="10" t="s">
        <v>806</v>
      </c>
      <c r="F376" s="11" t="s">
        <v>823</v>
      </c>
      <c r="G376" s="11" t="s">
        <v>1762</v>
      </c>
      <c r="H376" s="10" t="s">
        <v>809</v>
      </c>
    </row>
    <row r="377" spans="1:8" x14ac:dyDescent="0.25">
      <c r="A377" s="11" t="s">
        <v>2358</v>
      </c>
      <c r="B377" s="10" t="s">
        <v>804</v>
      </c>
      <c r="C377" s="10" t="s">
        <v>2041</v>
      </c>
      <c r="D377" s="10" t="str">
        <f>VLOOKUP(C377,Region!A:B,2,FALSE)</f>
        <v>Hyderabad</v>
      </c>
      <c r="E377" s="10" t="s">
        <v>1427</v>
      </c>
      <c r="F377" s="11" t="s">
        <v>814</v>
      </c>
      <c r="G377" s="11" t="s">
        <v>2359</v>
      </c>
      <c r="H377" s="10" t="s">
        <v>809</v>
      </c>
    </row>
    <row r="378" spans="1:8" x14ac:dyDescent="0.25">
      <c r="A378" s="11" t="s">
        <v>1763</v>
      </c>
      <c r="B378" s="10" t="s">
        <v>804</v>
      </c>
      <c r="C378" s="10" t="s">
        <v>1635</v>
      </c>
      <c r="D378" s="10" t="str">
        <f>VLOOKUP(C378,Region!A:B,2,FALSE)</f>
        <v>MBC US</v>
      </c>
      <c r="E378" s="10" t="s">
        <v>806</v>
      </c>
      <c r="F378" s="11" t="s">
        <v>814</v>
      </c>
      <c r="G378" s="11" t="s">
        <v>1764</v>
      </c>
      <c r="H378" s="10" t="s">
        <v>809</v>
      </c>
    </row>
    <row r="379" spans="1:8" x14ac:dyDescent="0.25">
      <c r="A379" s="11" t="s">
        <v>1616</v>
      </c>
      <c r="B379" s="10" t="s">
        <v>1086</v>
      </c>
      <c r="C379" s="10" t="s">
        <v>1426</v>
      </c>
      <c r="D379" s="10" t="str">
        <f>VLOOKUP(C379,Region!A:B,2,FALSE)</f>
        <v>Spain</v>
      </c>
      <c r="E379" s="10" t="s">
        <v>1427</v>
      </c>
      <c r="F379" s="11" t="s">
        <v>807</v>
      </c>
      <c r="G379" s="11" t="s">
        <v>194</v>
      </c>
      <c r="H379" s="10" t="s">
        <v>812</v>
      </c>
    </row>
    <row r="380" spans="1:8" x14ac:dyDescent="0.25">
      <c r="A380" s="11" t="s">
        <v>1442</v>
      </c>
      <c r="B380" s="10" t="s">
        <v>1086</v>
      </c>
      <c r="C380" s="10" t="s">
        <v>1426</v>
      </c>
      <c r="D380" s="10" t="str">
        <f>VLOOKUP(C380,Region!A:B,2,FALSE)</f>
        <v>Spain</v>
      </c>
      <c r="E380" s="10" t="s">
        <v>1427</v>
      </c>
      <c r="F380" s="11" t="s">
        <v>807</v>
      </c>
      <c r="G380" s="11" t="s">
        <v>477</v>
      </c>
      <c r="H380" s="10" t="s">
        <v>812</v>
      </c>
    </row>
    <row r="381" spans="1:8" x14ac:dyDescent="0.25">
      <c r="A381" s="11" t="s">
        <v>3228</v>
      </c>
      <c r="B381" s="10" t="s">
        <v>1086</v>
      </c>
      <c r="C381" s="10" t="s">
        <v>2987</v>
      </c>
      <c r="D381" s="10" t="str">
        <f>VLOOKUP(C381,Region!A:B,2,FALSE)</f>
        <v>Noida</v>
      </c>
      <c r="E381" s="10" t="s">
        <v>1427</v>
      </c>
      <c r="F381" s="11" t="s">
        <v>823</v>
      </c>
      <c r="G381" s="11" t="s">
        <v>3229</v>
      </c>
      <c r="H381" s="10" t="s">
        <v>809</v>
      </c>
    </row>
    <row r="382" spans="1:8" x14ac:dyDescent="0.25">
      <c r="A382" s="11" t="s">
        <v>1750</v>
      </c>
      <c r="B382" s="10" t="s">
        <v>804</v>
      </c>
      <c r="C382" s="10" t="s">
        <v>1635</v>
      </c>
      <c r="D382" s="10" t="str">
        <f>VLOOKUP(C382,Region!A:B,2,FALSE)</f>
        <v>MBC US</v>
      </c>
      <c r="E382" s="10" t="s">
        <v>806</v>
      </c>
      <c r="F382" s="11" t="s">
        <v>823</v>
      </c>
      <c r="G382" s="11" t="s">
        <v>1751</v>
      </c>
      <c r="H382" s="10" t="s">
        <v>809</v>
      </c>
    </row>
    <row r="383" spans="1:8" x14ac:dyDescent="0.25">
      <c r="A383" s="11" t="s">
        <v>1506</v>
      </c>
      <c r="B383" s="10" t="s">
        <v>1086</v>
      </c>
      <c r="C383" s="10" t="s">
        <v>1426</v>
      </c>
      <c r="D383" s="10" t="str">
        <f>VLOOKUP(C383,Region!A:B,2,FALSE)</f>
        <v>Spain</v>
      </c>
      <c r="E383" s="10" t="s">
        <v>1427</v>
      </c>
      <c r="F383" s="11" t="s">
        <v>807</v>
      </c>
      <c r="G383" s="11" t="s">
        <v>1507</v>
      </c>
      <c r="H383" s="10" t="s">
        <v>809</v>
      </c>
    </row>
    <row r="384" spans="1:8" x14ac:dyDescent="0.25">
      <c r="A384" s="11" t="s">
        <v>1749</v>
      </c>
      <c r="B384" s="10" t="s">
        <v>804</v>
      </c>
      <c r="C384" s="10" t="s">
        <v>1635</v>
      </c>
      <c r="D384" s="10" t="str">
        <f>VLOOKUP(C384,Region!A:B,2,FALSE)</f>
        <v>MBC US</v>
      </c>
      <c r="E384" s="10" t="s">
        <v>806</v>
      </c>
      <c r="F384" s="11" t="s">
        <v>807</v>
      </c>
      <c r="G384" s="11" t="s">
        <v>284</v>
      </c>
      <c r="H384" s="10" t="s">
        <v>812</v>
      </c>
    </row>
    <row r="385" spans="1:8" x14ac:dyDescent="0.25">
      <c r="A385" s="11" t="s">
        <v>1766</v>
      </c>
      <c r="B385" s="10" t="s">
        <v>804</v>
      </c>
      <c r="C385" s="10" t="s">
        <v>1635</v>
      </c>
      <c r="D385" s="10" t="str">
        <f>VLOOKUP(C385,Region!A:B,2,FALSE)</f>
        <v>MBC US</v>
      </c>
      <c r="E385" s="10" t="s">
        <v>806</v>
      </c>
      <c r="F385" s="11" t="s">
        <v>811</v>
      </c>
      <c r="G385" s="11" t="s">
        <v>1767</v>
      </c>
      <c r="H385" s="10" t="s">
        <v>809</v>
      </c>
    </row>
    <row r="386" spans="1:8" x14ac:dyDescent="0.25">
      <c r="A386" s="11" t="s">
        <v>1510</v>
      </c>
      <c r="B386" s="10" t="s">
        <v>1086</v>
      </c>
      <c r="C386" s="10" t="s">
        <v>1426</v>
      </c>
      <c r="D386" s="10" t="str">
        <f>VLOOKUP(C386,Region!A:B,2,FALSE)</f>
        <v>Spain</v>
      </c>
      <c r="E386" s="10" t="s">
        <v>1427</v>
      </c>
      <c r="F386" s="11" t="s">
        <v>814</v>
      </c>
      <c r="G386" s="11" t="s">
        <v>1511</v>
      </c>
      <c r="H386" s="10" t="s">
        <v>809</v>
      </c>
    </row>
    <row r="387" spans="1:8" x14ac:dyDescent="0.25">
      <c r="A387" s="11" t="s">
        <v>1512</v>
      </c>
      <c r="B387" s="10" t="s">
        <v>1086</v>
      </c>
      <c r="C387" s="10" t="s">
        <v>1426</v>
      </c>
      <c r="D387" s="10" t="str">
        <f>VLOOKUP(C387,Region!A:B,2,FALSE)</f>
        <v>Spain</v>
      </c>
      <c r="E387" s="10" t="s">
        <v>1427</v>
      </c>
      <c r="F387" s="11" t="s">
        <v>823</v>
      </c>
      <c r="G387" s="11" t="s">
        <v>759</v>
      </c>
      <c r="H387" s="10" t="s">
        <v>812</v>
      </c>
    </row>
    <row r="388" spans="1:8" x14ac:dyDescent="0.25">
      <c r="A388" s="11" t="s">
        <v>2998</v>
      </c>
      <c r="B388" s="10" t="s">
        <v>1086</v>
      </c>
      <c r="C388" s="10" t="s">
        <v>2987</v>
      </c>
      <c r="D388" s="10" t="str">
        <f>VLOOKUP(C388,Region!A:B,2,FALSE)</f>
        <v>Noida</v>
      </c>
      <c r="E388" s="10" t="s">
        <v>1427</v>
      </c>
      <c r="F388" s="11" t="s">
        <v>811</v>
      </c>
      <c r="G388" s="11" t="s">
        <v>2999</v>
      </c>
      <c r="H388" s="10" t="s">
        <v>812</v>
      </c>
    </row>
    <row r="389" spans="1:8" x14ac:dyDescent="0.25">
      <c r="A389" s="11" t="s">
        <v>2176</v>
      </c>
      <c r="B389" s="10" t="s">
        <v>804</v>
      </c>
      <c r="C389" s="10" t="s">
        <v>2041</v>
      </c>
      <c r="D389" s="10" t="str">
        <f>VLOOKUP(C389,Region!A:B,2,FALSE)</f>
        <v>Hyderabad</v>
      </c>
      <c r="E389" s="10" t="s">
        <v>1427</v>
      </c>
      <c r="F389" s="11" t="s">
        <v>811</v>
      </c>
      <c r="G389" s="11" t="s">
        <v>2177</v>
      </c>
      <c r="H389" s="10" t="s">
        <v>809</v>
      </c>
    </row>
    <row r="390" spans="1:8" x14ac:dyDescent="0.25">
      <c r="A390" s="11" t="s">
        <v>3047</v>
      </c>
      <c r="B390" s="10" t="s">
        <v>1086</v>
      </c>
      <c r="C390" s="10" t="s">
        <v>2987</v>
      </c>
      <c r="D390" s="10" t="str">
        <f>VLOOKUP(C390,Region!A:B,2,FALSE)</f>
        <v>Noida</v>
      </c>
      <c r="E390" s="10" t="s">
        <v>1427</v>
      </c>
      <c r="F390" s="11" t="s">
        <v>811</v>
      </c>
      <c r="G390" s="11" t="s">
        <v>357</v>
      </c>
      <c r="H390" s="10" t="s">
        <v>812</v>
      </c>
    </row>
    <row r="391" spans="1:8" x14ac:dyDescent="0.25">
      <c r="A391" s="11" t="s">
        <v>1060</v>
      </c>
      <c r="B391" s="10" t="s">
        <v>804</v>
      </c>
      <c r="C391" s="10" t="s">
        <v>805</v>
      </c>
      <c r="D391" s="10" t="str">
        <f>VLOOKUP(C391,Region!A:B,2,FALSE)</f>
        <v>Noida</v>
      </c>
      <c r="E391" s="10" t="s">
        <v>806</v>
      </c>
      <c r="F391" s="11" t="s">
        <v>811</v>
      </c>
      <c r="G391" s="11" t="s">
        <v>1061</v>
      </c>
      <c r="H391" s="10" t="s">
        <v>809</v>
      </c>
    </row>
    <row r="392" spans="1:8" x14ac:dyDescent="0.25">
      <c r="A392" s="11" t="s">
        <v>1515</v>
      </c>
      <c r="B392" s="10" t="s">
        <v>804</v>
      </c>
      <c r="C392" s="10" t="s">
        <v>1426</v>
      </c>
      <c r="D392" s="10" t="str">
        <f>VLOOKUP(C392,Region!A:B,2,FALSE)</f>
        <v>Spain</v>
      </c>
      <c r="E392" s="10" t="s">
        <v>1427</v>
      </c>
      <c r="F392" s="11" t="s">
        <v>814</v>
      </c>
      <c r="G392" s="11" t="s">
        <v>1516</v>
      </c>
      <c r="H392" s="10" t="s">
        <v>809</v>
      </c>
    </row>
    <row r="393" spans="1:8" x14ac:dyDescent="0.25">
      <c r="A393" s="11" t="s">
        <v>3299</v>
      </c>
      <c r="B393" s="10" t="s">
        <v>1086</v>
      </c>
      <c r="C393" s="10" t="s">
        <v>3273</v>
      </c>
      <c r="D393" s="10" t="str">
        <f>VLOOKUP(C393,Region!A:B,2,FALSE)</f>
        <v>Noida</v>
      </c>
      <c r="E393" s="10" t="s">
        <v>806</v>
      </c>
      <c r="F393" s="11" t="s">
        <v>814</v>
      </c>
      <c r="G393" s="11" t="s">
        <v>3300</v>
      </c>
      <c r="H393" s="10" t="s">
        <v>812</v>
      </c>
    </row>
    <row r="394" spans="1:8" x14ac:dyDescent="0.25">
      <c r="A394" s="11" t="s">
        <v>3471</v>
      </c>
      <c r="B394" s="10" t="s">
        <v>1086</v>
      </c>
      <c r="C394" s="10" t="s">
        <v>3273</v>
      </c>
      <c r="D394" s="10" t="str">
        <f>VLOOKUP(C394,Region!A:B,2,FALSE)</f>
        <v>Noida</v>
      </c>
      <c r="E394" s="10" t="s">
        <v>806</v>
      </c>
      <c r="F394" s="11" t="s">
        <v>811</v>
      </c>
      <c r="G394" s="11" t="s">
        <v>3472</v>
      </c>
      <c r="H394" s="10" t="s">
        <v>812</v>
      </c>
    </row>
    <row r="395" spans="1:8" x14ac:dyDescent="0.25">
      <c r="A395" s="11" t="s">
        <v>1774</v>
      </c>
      <c r="B395" s="10" t="s">
        <v>804</v>
      </c>
      <c r="C395" s="10" t="s">
        <v>1635</v>
      </c>
      <c r="D395" s="10" t="str">
        <f>VLOOKUP(C395,Region!A:B,2,FALSE)</f>
        <v>MBC US</v>
      </c>
      <c r="E395" s="10" t="s">
        <v>806</v>
      </c>
      <c r="F395" s="11" t="s">
        <v>814</v>
      </c>
      <c r="G395" s="11" t="s">
        <v>1775</v>
      </c>
      <c r="H395" s="10" t="s">
        <v>809</v>
      </c>
    </row>
    <row r="396" spans="1:8" x14ac:dyDescent="0.25">
      <c r="A396" s="11" t="s">
        <v>1782</v>
      </c>
      <c r="B396" s="10" t="s">
        <v>804</v>
      </c>
      <c r="C396" s="10" t="s">
        <v>1635</v>
      </c>
      <c r="D396" s="10" t="str">
        <f>VLOOKUP(C396,Region!A:B,2,FALSE)</f>
        <v>MBC US</v>
      </c>
      <c r="E396" s="10" t="s">
        <v>806</v>
      </c>
      <c r="F396" s="11" t="s">
        <v>814</v>
      </c>
      <c r="G396" s="11" t="s">
        <v>1783</v>
      </c>
      <c r="H396" s="10" t="s">
        <v>809</v>
      </c>
    </row>
    <row r="397" spans="1:8" x14ac:dyDescent="0.25">
      <c r="A397" s="11" t="s">
        <v>3051</v>
      </c>
      <c r="B397" s="10" t="s">
        <v>1086</v>
      </c>
      <c r="C397" s="10" t="s">
        <v>2987</v>
      </c>
      <c r="D397" s="10" t="str">
        <f>VLOOKUP(C397,Region!A:B,2,FALSE)</f>
        <v>Noida</v>
      </c>
      <c r="E397" s="10" t="s">
        <v>1427</v>
      </c>
      <c r="F397" s="11" t="s">
        <v>823</v>
      </c>
      <c r="G397" s="11" t="s">
        <v>3052</v>
      </c>
      <c r="H397" s="10" t="s">
        <v>812</v>
      </c>
    </row>
    <row r="398" spans="1:8" x14ac:dyDescent="0.25">
      <c r="A398" s="11" t="s">
        <v>868</v>
      </c>
      <c r="B398" s="10" t="s">
        <v>804</v>
      </c>
      <c r="C398" s="10" t="s">
        <v>805</v>
      </c>
      <c r="D398" s="10" t="str">
        <f>VLOOKUP(C398,Region!A:B,2,FALSE)</f>
        <v>Noida</v>
      </c>
      <c r="E398" s="10" t="s">
        <v>806</v>
      </c>
      <c r="F398" s="11" t="s">
        <v>814</v>
      </c>
      <c r="G398" s="11" t="s">
        <v>869</v>
      </c>
      <c r="H398" s="10" t="s">
        <v>812</v>
      </c>
    </row>
    <row r="399" spans="1:8" x14ac:dyDescent="0.25">
      <c r="A399" s="11" t="s">
        <v>1770</v>
      </c>
      <c r="B399" s="10" t="s">
        <v>1086</v>
      </c>
      <c r="C399" s="10" t="s">
        <v>1635</v>
      </c>
      <c r="D399" s="10" t="str">
        <f>VLOOKUP(C399,Region!A:B,2,FALSE)</f>
        <v>MBC US</v>
      </c>
      <c r="E399" s="10" t="s">
        <v>806</v>
      </c>
      <c r="F399" s="11" t="s">
        <v>807</v>
      </c>
      <c r="G399" s="11" t="s">
        <v>633</v>
      </c>
      <c r="H399" s="10" t="s">
        <v>812</v>
      </c>
    </row>
    <row r="400" spans="1:8" x14ac:dyDescent="0.25">
      <c r="A400" s="11" t="s">
        <v>1771</v>
      </c>
      <c r="B400" s="10" t="s">
        <v>804</v>
      </c>
      <c r="C400" s="10" t="s">
        <v>1635</v>
      </c>
      <c r="D400" s="10" t="str">
        <f>VLOOKUP(C400,Region!A:B,2,FALSE)</f>
        <v>MBC US</v>
      </c>
      <c r="E400" s="10" t="s">
        <v>806</v>
      </c>
      <c r="F400" s="11" t="s">
        <v>814</v>
      </c>
      <c r="G400" s="11" t="s">
        <v>1772</v>
      </c>
      <c r="H400" s="10" t="s">
        <v>809</v>
      </c>
    </row>
    <row r="401" spans="1:8" x14ac:dyDescent="0.25">
      <c r="A401" s="11" t="s">
        <v>1523</v>
      </c>
      <c r="B401" s="10" t="s">
        <v>804</v>
      </c>
      <c r="C401" s="10" t="s">
        <v>1426</v>
      </c>
      <c r="D401" s="10" t="str">
        <f>VLOOKUP(C401,Region!A:B,2,FALSE)</f>
        <v>Spain</v>
      </c>
      <c r="E401" s="10" t="s">
        <v>1427</v>
      </c>
      <c r="F401" s="11" t="s">
        <v>807</v>
      </c>
      <c r="G401" s="11" t="s">
        <v>1524</v>
      </c>
      <c r="H401" s="10" t="s">
        <v>809</v>
      </c>
    </row>
    <row r="402" spans="1:8" x14ac:dyDescent="0.25">
      <c r="A402" s="11" t="s">
        <v>3459</v>
      </c>
      <c r="B402" s="10" t="s">
        <v>1086</v>
      </c>
      <c r="C402" s="10" t="s">
        <v>3273</v>
      </c>
      <c r="D402" s="10" t="str">
        <f>VLOOKUP(C402,Region!A:B,2,FALSE)</f>
        <v>Noida</v>
      </c>
      <c r="E402" s="10" t="s">
        <v>806</v>
      </c>
      <c r="F402" s="11" t="s">
        <v>811</v>
      </c>
      <c r="G402" s="11" t="s">
        <v>3460</v>
      </c>
      <c r="H402" s="10" t="s">
        <v>809</v>
      </c>
    </row>
    <row r="403" spans="1:8" x14ac:dyDescent="0.25">
      <c r="A403" s="11" t="s">
        <v>2116</v>
      </c>
      <c r="B403" s="10" t="s">
        <v>804</v>
      </c>
      <c r="C403" s="10" t="s">
        <v>2041</v>
      </c>
      <c r="D403" s="10" t="str">
        <f>VLOOKUP(C403,Region!A:B,2,FALSE)</f>
        <v>Hyderabad</v>
      </c>
      <c r="E403" s="10" t="s">
        <v>1427</v>
      </c>
      <c r="F403" s="11" t="s">
        <v>814</v>
      </c>
      <c r="G403" s="11" t="s">
        <v>480</v>
      </c>
      <c r="H403" s="10" t="s">
        <v>812</v>
      </c>
    </row>
    <row r="404" spans="1:8" x14ac:dyDescent="0.25">
      <c r="A404" s="11" t="s">
        <v>3055</v>
      </c>
      <c r="B404" s="10" t="s">
        <v>1086</v>
      </c>
      <c r="C404" s="10" t="s">
        <v>2987</v>
      </c>
      <c r="D404" s="10" t="str">
        <f>VLOOKUP(C404,Region!A:B,2,FALSE)</f>
        <v>Noida</v>
      </c>
      <c r="E404" s="10" t="s">
        <v>1427</v>
      </c>
      <c r="F404" s="11" t="s">
        <v>823</v>
      </c>
      <c r="G404" s="11" t="s">
        <v>3056</v>
      </c>
      <c r="H404" s="10" t="s">
        <v>812</v>
      </c>
    </row>
    <row r="405" spans="1:8" x14ac:dyDescent="0.25">
      <c r="A405" s="11" t="s">
        <v>1131</v>
      </c>
      <c r="B405" s="10" t="s">
        <v>1086</v>
      </c>
      <c r="C405" s="10" t="s">
        <v>1087</v>
      </c>
      <c r="D405" s="10" t="str">
        <f>VLOOKUP(C405,Region!A:B,2,FALSE)</f>
        <v>Hyderabad</v>
      </c>
      <c r="E405" s="10" t="s">
        <v>806</v>
      </c>
      <c r="F405" s="11" t="s">
        <v>811</v>
      </c>
      <c r="G405" s="11" t="s">
        <v>1132</v>
      </c>
      <c r="H405" s="10" t="s">
        <v>812</v>
      </c>
    </row>
    <row r="406" spans="1:8" x14ac:dyDescent="0.25">
      <c r="A406" s="11" t="s">
        <v>1519</v>
      </c>
      <c r="B406" s="10" t="s">
        <v>804</v>
      </c>
      <c r="C406" s="10" t="s">
        <v>1426</v>
      </c>
      <c r="D406" s="10" t="str">
        <f>VLOOKUP(C406,Region!A:B,2,FALSE)</f>
        <v>Spain</v>
      </c>
      <c r="E406" s="10" t="s">
        <v>1427</v>
      </c>
      <c r="F406" s="11" t="s">
        <v>807</v>
      </c>
      <c r="G406" s="11" t="s">
        <v>1520</v>
      </c>
      <c r="H406" s="10" t="s">
        <v>809</v>
      </c>
    </row>
    <row r="407" spans="1:8" x14ac:dyDescent="0.25">
      <c r="A407" s="11" t="s">
        <v>3211</v>
      </c>
      <c r="B407" s="10" t="s">
        <v>1086</v>
      </c>
      <c r="C407" s="10" t="s">
        <v>2987</v>
      </c>
      <c r="D407" s="10" t="str">
        <f>VLOOKUP(C407,Region!A:B,2,FALSE)</f>
        <v>Noida</v>
      </c>
      <c r="E407" s="10" t="s">
        <v>1427</v>
      </c>
      <c r="F407" s="11" t="s">
        <v>807</v>
      </c>
      <c r="G407" s="11" t="s">
        <v>720</v>
      </c>
      <c r="H407" s="10" t="s">
        <v>812</v>
      </c>
    </row>
    <row r="408" spans="1:8" x14ac:dyDescent="0.25">
      <c r="A408" s="11" t="s">
        <v>2560</v>
      </c>
      <c r="B408" s="10" t="s">
        <v>804</v>
      </c>
      <c r="C408" s="10" t="s">
        <v>2518</v>
      </c>
      <c r="D408" s="10" t="str">
        <f>VLOOKUP(C408,Region!A:B,2,FALSE)</f>
        <v>Noida</v>
      </c>
      <c r="E408" s="10" t="s">
        <v>1427</v>
      </c>
      <c r="F408" s="11" t="s">
        <v>811</v>
      </c>
      <c r="G408" s="11" t="s">
        <v>2561</v>
      </c>
      <c r="H408" s="10" t="s">
        <v>812</v>
      </c>
    </row>
    <row r="409" spans="1:8" x14ac:dyDescent="0.25">
      <c r="A409" s="11" t="s">
        <v>1784</v>
      </c>
      <c r="B409" s="10" t="s">
        <v>804</v>
      </c>
      <c r="C409" s="10" t="s">
        <v>1635</v>
      </c>
      <c r="D409" s="10" t="str">
        <f>VLOOKUP(C409,Region!A:B,2,FALSE)</f>
        <v>MBC US</v>
      </c>
      <c r="E409" s="10" t="s">
        <v>806</v>
      </c>
      <c r="F409" s="11" t="s">
        <v>834</v>
      </c>
      <c r="G409" s="11" t="s">
        <v>272</v>
      </c>
      <c r="H409" s="10" t="s">
        <v>812</v>
      </c>
    </row>
    <row r="410" spans="1:8" x14ac:dyDescent="0.25">
      <c r="A410" s="11" t="s">
        <v>3050</v>
      </c>
      <c r="B410" s="10" t="s">
        <v>1086</v>
      </c>
      <c r="C410" s="10" t="s">
        <v>2987</v>
      </c>
      <c r="D410" s="10" t="str">
        <f>VLOOKUP(C410,Region!A:B,2,FALSE)</f>
        <v>Noida</v>
      </c>
      <c r="E410" s="10" t="s">
        <v>1427</v>
      </c>
      <c r="F410" s="11" t="s">
        <v>811</v>
      </c>
      <c r="G410" s="11" t="s">
        <v>432</v>
      </c>
      <c r="H410" s="10" t="s">
        <v>812</v>
      </c>
    </row>
    <row r="411" spans="1:8" x14ac:dyDescent="0.25">
      <c r="A411" s="11" t="s">
        <v>944</v>
      </c>
      <c r="B411" s="10" t="s">
        <v>804</v>
      </c>
      <c r="C411" s="10" t="s">
        <v>805</v>
      </c>
      <c r="D411" s="10" t="str">
        <f>VLOOKUP(C411,Region!A:B,2,FALSE)</f>
        <v>Noida</v>
      </c>
      <c r="E411" s="10" t="s">
        <v>806</v>
      </c>
      <c r="F411" s="11" t="s">
        <v>807</v>
      </c>
      <c r="G411" s="11" t="s">
        <v>945</v>
      </c>
      <c r="H411" s="10" t="s">
        <v>812</v>
      </c>
    </row>
    <row r="412" spans="1:8" x14ac:dyDescent="0.25">
      <c r="A412" s="11" t="s">
        <v>2524</v>
      </c>
      <c r="B412" s="10" t="s">
        <v>804</v>
      </c>
      <c r="C412" s="10" t="s">
        <v>2518</v>
      </c>
      <c r="D412" s="10" t="str">
        <f>VLOOKUP(C412,Region!A:B,2,FALSE)</f>
        <v>Noida</v>
      </c>
      <c r="E412" s="10" t="s">
        <v>1427</v>
      </c>
      <c r="F412" s="11" t="s">
        <v>823</v>
      </c>
      <c r="G412" s="11" t="s">
        <v>2525</v>
      </c>
      <c r="H412" s="10" t="s">
        <v>809</v>
      </c>
    </row>
    <row r="413" spans="1:8" x14ac:dyDescent="0.25">
      <c r="A413" s="11" t="s">
        <v>1173</v>
      </c>
      <c r="B413" s="10" t="s">
        <v>1086</v>
      </c>
      <c r="C413" s="10" t="s">
        <v>1087</v>
      </c>
      <c r="D413" s="10" t="str">
        <f>VLOOKUP(C413,Region!A:B,2,FALSE)</f>
        <v>Hyderabad</v>
      </c>
      <c r="E413" s="10" t="s">
        <v>806</v>
      </c>
      <c r="F413" s="11" t="s">
        <v>807</v>
      </c>
      <c r="G413" s="11" t="s">
        <v>178</v>
      </c>
      <c r="H413" s="10" t="s">
        <v>812</v>
      </c>
    </row>
    <row r="414" spans="1:8" x14ac:dyDescent="0.25">
      <c r="A414" s="11" t="s">
        <v>1004</v>
      </c>
      <c r="B414" s="10" t="s">
        <v>804</v>
      </c>
      <c r="C414" s="10" t="s">
        <v>805</v>
      </c>
      <c r="D414" s="10" t="str">
        <f>VLOOKUP(C414,Region!A:B,2,FALSE)</f>
        <v>Noida</v>
      </c>
      <c r="E414" s="10" t="s">
        <v>806</v>
      </c>
      <c r="F414" s="11" t="s">
        <v>807</v>
      </c>
      <c r="G414" s="11" t="s">
        <v>1005</v>
      </c>
      <c r="H414" s="10" t="s">
        <v>812</v>
      </c>
    </row>
    <row r="415" spans="1:8" x14ac:dyDescent="0.25">
      <c r="A415" s="11" t="s">
        <v>1517</v>
      </c>
      <c r="B415" s="10" t="s">
        <v>804</v>
      </c>
      <c r="C415" s="10" t="s">
        <v>1426</v>
      </c>
      <c r="D415" s="10" t="str">
        <f>VLOOKUP(C415,Region!A:B,2,FALSE)</f>
        <v>Spain</v>
      </c>
      <c r="E415" s="10" t="s">
        <v>1427</v>
      </c>
      <c r="F415" s="11" t="s">
        <v>811</v>
      </c>
      <c r="G415" s="11" t="s">
        <v>1518</v>
      </c>
      <c r="H415" s="10" t="s">
        <v>812</v>
      </c>
    </row>
    <row r="416" spans="1:8" x14ac:dyDescent="0.25">
      <c r="A416" s="11" t="s">
        <v>2117</v>
      </c>
      <c r="B416" s="10" t="s">
        <v>804</v>
      </c>
      <c r="C416" s="10" t="s">
        <v>2041</v>
      </c>
      <c r="D416" s="10" t="str">
        <f>VLOOKUP(C416,Region!A:B,2,FALSE)</f>
        <v>Hyderabad</v>
      </c>
      <c r="E416" s="10" t="s">
        <v>1427</v>
      </c>
      <c r="F416" s="11" t="s">
        <v>814</v>
      </c>
      <c r="G416" s="11" t="s">
        <v>2118</v>
      </c>
      <c r="H416" s="10" t="s">
        <v>809</v>
      </c>
    </row>
    <row r="417" spans="1:8" x14ac:dyDescent="0.25">
      <c r="A417" s="11" t="s">
        <v>1253</v>
      </c>
      <c r="B417" s="10" t="s">
        <v>1086</v>
      </c>
      <c r="C417" s="10" t="s">
        <v>1087</v>
      </c>
      <c r="D417" s="10" t="str">
        <f>VLOOKUP(C417,Region!A:B,2,FALSE)</f>
        <v>Hyderabad</v>
      </c>
      <c r="E417" s="10" t="s">
        <v>806</v>
      </c>
      <c r="F417" s="11" t="s">
        <v>811</v>
      </c>
      <c r="G417" s="11" t="s">
        <v>1254</v>
      </c>
      <c r="H417" s="10" t="s">
        <v>809</v>
      </c>
    </row>
    <row r="418" spans="1:8" x14ac:dyDescent="0.25">
      <c r="A418" s="11" t="s">
        <v>1776</v>
      </c>
      <c r="B418" s="10" t="s">
        <v>1086</v>
      </c>
      <c r="C418" s="10" t="s">
        <v>1635</v>
      </c>
      <c r="D418" s="10" t="str">
        <f>VLOOKUP(C418,Region!A:B,2,FALSE)</f>
        <v>MBC US</v>
      </c>
      <c r="E418" s="10" t="s">
        <v>806</v>
      </c>
      <c r="F418" s="11" t="s">
        <v>823</v>
      </c>
      <c r="G418" s="11" t="s">
        <v>1777</v>
      </c>
      <c r="H418" s="10" t="s">
        <v>809</v>
      </c>
    </row>
    <row r="419" spans="1:8" x14ac:dyDescent="0.25">
      <c r="A419" s="11" t="s">
        <v>1773</v>
      </c>
      <c r="B419" s="10" t="s">
        <v>1086</v>
      </c>
      <c r="C419" s="10" t="s">
        <v>1635</v>
      </c>
      <c r="D419" s="10" t="str">
        <f>VLOOKUP(C419,Region!A:B,2,FALSE)</f>
        <v>MBC US</v>
      </c>
      <c r="E419" s="10" t="s">
        <v>806</v>
      </c>
      <c r="F419" s="11" t="s">
        <v>807</v>
      </c>
      <c r="G419" s="11" t="s">
        <v>396</v>
      </c>
      <c r="H419" s="10" t="s">
        <v>812</v>
      </c>
    </row>
    <row r="420" spans="1:8" x14ac:dyDescent="0.25">
      <c r="A420" s="11" t="s">
        <v>1034</v>
      </c>
      <c r="B420" s="10" t="s">
        <v>804</v>
      </c>
      <c r="C420" s="10" t="s">
        <v>805</v>
      </c>
      <c r="D420" s="10" t="str">
        <f>VLOOKUP(C420,Region!A:B,2,FALSE)</f>
        <v>Noida</v>
      </c>
      <c r="E420" s="10" t="s">
        <v>806</v>
      </c>
      <c r="F420" s="11" t="s">
        <v>811</v>
      </c>
      <c r="G420" s="11" t="s">
        <v>1035</v>
      </c>
      <c r="H420" s="10" t="s">
        <v>809</v>
      </c>
    </row>
    <row r="421" spans="1:8" x14ac:dyDescent="0.25">
      <c r="A421" s="11" t="s">
        <v>3048</v>
      </c>
      <c r="B421" s="10" t="s">
        <v>1086</v>
      </c>
      <c r="C421" s="10" t="s">
        <v>2987</v>
      </c>
      <c r="D421" s="10" t="str">
        <f>VLOOKUP(C421,Region!A:B,2,FALSE)</f>
        <v>Noida</v>
      </c>
      <c r="E421" s="10" t="s">
        <v>1427</v>
      </c>
      <c r="F421" s="11" t="s">
        <v>823</v>
      </c>
      <c r="G421" s="11" t="s">
        <v>3049</v>
      </c>
      <c r="H421" s="10" t="s">
        <v>812</v>
      </c>
    </row>
    <row r="422" spans="1:8" x14ac:dyDescent="0.25">
      <c r="A422" s="11" t="s">
        <v>2178</v>
      </c>
      <c r="B422" s="10" t="s">
        <v>804</v>
      </c>
      <c r="C422" s="10" t="s">
        <v>2041</v>
      </c>
      <c r="D422" s="10" t="str">
        <f>VLOOKUP(C422,Region!A:B,2,FALSE)</f>
        <v>Hyderabad</v>
      </c>
      <c r="E422" s="10" t="s">
        <v>1427</v>
      </c>
      <c r="F422" s="11" t="s">
        <v>811</v>
      </c>
      <c r="G422" s="11" t="s">
        <v>2179</v>
      </c>
      <c r="H422" s="10" t="s">
        <v>812</v>
      </c>
    </row>
    <row r="423" spans="1:8" x14ac:dyDescent="0.25">
      <c r="A423" s="11" t="s">
        <v>1778</v>
      </c>
      <c r="B423" s="10" t="s">
        <v>804</v>
      </c>
      <c r="C423" s="10" t="s">
        <v>1635</v>
      </c>
      <c r="D423" s="10" t="str">
        <f>VLOOKUP(C423,Region!A:B,2,FALSE)</f>
        <v>MBC US</v>
      </c>
      <c r="E423" s="10" t="s">
        <v>806</v>
      </c>
      <c r="F423" s="11" t="s">
        <v>811</v>
      </c>
      <c r="G423" s="11" t="s">
        <v>1779</v>
      </c>
      <c r="H423" s="10" t="s">
        <v>809</v>
      </c>
    </row>
    <row r="424" spans="1:8" x14ac:dyDescent="0.25">
      <c r="A424" s="11" t="s">
        <v>3053</v>
      </c>
      <c r="B424" s="10" t="s">
        <v>1086</v>
      </c>
      <c r="C424" s="10" t="s">
        <v>2987</v>
      </c>
      <c r="D424" s="10" t="str">
        <f>VLOOKUP(C424,Region!A:B,2,FALSE)</f>
        <v>Noida</v>
      </c>
      <c r="E424" s="10" t="s">
        <v>1427</v>
      </c>
      <c r="F424" s="11" t="s">
        <v>823</v>
      </c>
      <c r="G424" s="11" t="s">
        <v>3054</v>
      </c>
      <c r="H424" s="10" t="s">
        <v>809</v>
      </c>
    </row>
    <row r="425" spans="1:8" x14ac:dyDescent="0.25">
      <c r="A425" s="11" t="s">
        <v>1403</v>
      </c>
      <c r="B425" s="10" t="s">
        <v>1086</v>
      </c>
      <c r="C425" s="10" t="s">
        <v>1087</v>
      </c>
      <c r="D425" s="10" t="str">
        <f>VLOOKUP(C425,Region!A:B,2,FALSE)</f>
        <v>Hyderabad</v>
      </c>
      <c r="E425" s="10" t="s">
        <v>806</v>
      </c>
      <c r="F425" s="11" t="s">
        <v>823</v>
      </c>
      <c r="G425" s="11" t="s">
        <v>1404</v>
      </c>
      <c r="H425" s="10" t="s">
        <v>812</v>
      </c>
    </row>
    <row r="426" spans="1:8" x14ac:dyDescent="0.25">
      <c r="A426" s="11" t="s">
        <v>1129</v>
      </c>
      <c r="B426" s="10" t="s">
        <v>1086</v>
      </c>
      <c r="C426" s="10" t="s">
        <v>1087</v>
      </c>
      <c r="D426" s="10" t="str">
        <f>VLOOKUP(C426,Region!A:B,2,FALSE)</f>
        <v>Hyderabad</v>
      </c>
      <c r="E426" s="10" t="s">
        <v>806</v>
      </c>
      <c r="F426" s="11" t="s">
        <v>814</v>
      </c>
      <c r="G426" s="11" t="s">
        <v>1130</v>
      </c>
      <c r="H426" s="10" t="s">
        <v>809</v>
      </c>
    </row>
    <row r="427" spans="1:8" x14ac:dyDescent="0.25">
      <c r="A427" s="11" t="s">
        <v>1002</v>
      </c>
      <c r="B427" s="10" t="s">
        <v>804</v>
      </c>
      <c r="C427" s="10" t="s">
        <v>805</v>
      </c>
      <c r="D427" s="10" t="str">
        <f>VLOOKUP(C427,Region!A:B,2,FALSE)</f>
        <v>Noida</v>
      </c>
      <c r="E427" s="10" t="s">
        <v>806</v>
      </c>
      <c r="F427" s="11" t="s">
        <v>814</v>
      </c>
      <c r="G427" s="11" t="s">
        <v>1003</v>
      </c>
      <c r="H427" s="10" t="s">
        <v>812</v>
      </c>
    </row>
    <row r="428" spans="1:8" x14ac:dyDescent="0.25">
      <c r="A428" s="11" t="s">
        <v>1780</v>
      </c>
      <c r="B428" s="10" t="s">
        <v>1086</v>
      </c>
      <c r="C428" s="10" t="s">
        <v>1635</v>
      </c>
      <c r="D428" s="10" t="str">
        <f>VLOOKUP(C428,Region!A:B,2,FALSE)</f>
        <v>MBC US</v>
      </c>
      <c r="E428" s="10" t="s">
        <v>806</v>
      </c>
      <c r="F428" s="11" t="s">
        <v>823</v>
      </c>
      <c r="G428" s="11" t="s">
        <v>1781</v>
      </c>
      <c r="H428" s="10" t="s">
        <v>812</v>
      </c>
    </row>
    <row r="429" spans="1:8" x14ac:dyDescent="0.25">
      <c r="A429" s="11" t="s">
        <v>2360</v>
      </c>
      <c r="B429" s="10" t="s">
        <v>804</v>
      </c>
      <c r="C429" s="10" t="s">
        <v>2041</v>
      </c>
      <c r="D429" s="10" t="str">
        <f>VLOOKUP(C429,Region!A:B,2,FALSE)</f>
        <v>Hyderabad</v>
      </c>
      <c r="E429" s="10" t="s">
        <v>1427</v>
      </c>
      <c r="F429" s="11" t="s">
        <v>814</v>
      </c>
      <c r="G429" s="11" t="s">
        <v>2361</v>
      </c>
      <c r="H429" s="10" t="s">
        <v>809</v>
      </c>
    </row>
    <row r="430" spans="1:8" x14ac:dyDescent="0.25">
      <c r="A430" s="11" t="s">
        <v>2526</v>
      </c>
      <c r="B430" s="10" t="s">
        <v>804</v>
      </c>
      <c r="C430" s="10" t="s">
        <v>2518</v>
      </c>
      <c r="D430" s="10" t="str">
        <f>VLOOKUP(C430,Region!A:B,2,FALSE)</f>
        <v>Noida</v>
      </c>
      <c r="E430" s="10" t="s">
        <v>1427</v>
      </c>
      <c r="F430" s="11" t="s">
        <v>823</v>
      </c>
      <c r="G430" s="11" t="s">
        <v>2527</v>
      </c>
      <c r="H430" s="10" t="s">
        <v>812</v>
      </c>
    </row>
    <row r="431" spans="1:8" x14ac:dyDescent="0.25">
      <c r="A431" s="11" t="s">
        <v>3314</v>
      </c>
      <c r="B431" s="10" t="s">
        <v>1086</v>
      </c>
      <c r="C431" s="10" t="s">
        <v>3273</v>
      </c>
      <c r="D431" s="10" t="str">
        <f>VLOOKUP(C431,Region!A:B,2,FALSE)</f>
        <v>Noida</v>
      </c>
      <c r="E431" s="10" t="s">
        <v>806</v>
      </c>
      <c r="F431" s="11" t="s">
        <v>807</v>
      </c>
      <c r="G431" s="11" t="s">
        <v>3315</v>
      </c>
      <c r="H431" s="10" t="s">
        <v>812</v>
      </c>
    </row>
    <row r="432" spans="1:8" x14ac:dyDescent="0.25">
      <c r="A432" s="11" t="s">
        <v>1014</v>
      </c>
      <c r="B432" s="10" t="s">
        <v>804</v>
      </c>
      <c r="C432" s="10" t="s">
        <v>805</v>
      </c>
      <c r="D432" s="10" t="str">
        <f>VLOOKUP(C432,Region!A:B,2,FALSE)</f>
        <v>Noida</v>
      </c>
      <c r="E432" s="10" t="s">
        <v>806</v>
      </c>
      <c r="F432" s="11" t="s">
        <v>811</v>
      </c>
      <c r="G432" s="11" t="s">
        <v>1015</v>
      </c>
      <c r="H432" s="10" t="s">
        <v>809</v>
      </c>
    </row>
    <row r="433" spans="1:8" x14ac:dyDescent="0.25">
      <c r="A433" s="11" t="s">
        <v>1072</v>
      </c>
      <c r="B433" s="10" t="s">
        <v>804</v>
      </c>
      <c r="C433" s="10" t="s">
        <v>805</v>
      </c>
      <c r="D433" s="10" t="str">
        <f>VLOOKUP(C433,Region!A:B,2,FALSE)</f>
        <v>Noida</v>
      </c>
      <c r="E433" s="10" t="s">
        <v>806</v>
      </c>
      <c r="F433" s="11" t="s">
        <v>823</v>
      </c>
      <c r="G433" s="11" t="s">
        <v>1073</v>
      </c>
      <c r="H433" s="10" t="s">
        <v>812</v>
      </c>
    </row>
    <row r="434" spans="1:8" x14ac:dyDescent="0.25">
      <c r="A434" s="11" t="s">
        <v>2822</v>
      </c>
      <c r="B434" s="10" t="s">
        <v>804</v>
      </c>
      <c r="C434" s="10" t="s">
        <v>2752</v>
      </c>
      <c r="D434" s="10" t="str">
        <f>VLOOKUP(C434,Region!A:B,2,FALSE)</f>
        <v>Noida</v>
      </c>
      <c r="E434" s="10" t="s">
        <v>806</v>
      </c>
      <c r="F434" s="11" t="s">
        <v>823</v>
      </c>
      <c r="G434" s="11" t="s">
        <v>2823</v>
      </c>
      <c r="H434" s="10" t="s">
        <v>809</v>
      </c>
    </row>
    <row r="435" spans="1:8" x14ac:dyDescent="0.25">
      <c r="A435" s="11" t="s">
        <v>1255</v>
      </c>
      <c r="B435" s="10" t="s">
        <v>1086</v>
      </c>
      <c r="C435" s="10" t="s">
        <v>1087</v>
      </c>
      <c r="D435" s="10" t="str">
        <f>VLOOKUP(C435,Region!A:B,2,FALSE)</f>
        <v>Hyderabad</v>
      </c>
      <c r="E435" s="10" t="s">
        <v>806</v>
      </c>
      <c r="F435" s="11" t="s">
        <v>814</v>
      </c>
      <c r="G435" s="11" t="s">
        <v>1256</v>
      </c>
      <c r="H435" s="10" t="s">
        <v>809</v>
      </c>
    </row>
    <row r="436" spans="1:8" x14ac:dyDescent="0.25">
      <c r="A436" s="11" t="s">
        <v>2506</v>
      </c>
      <c r="B436" s="10" t="s">
        <v>804</v>
      </c>
      <c r="C436" s="10" t="s">
        <v>2041</v>
      </c>
      <c r="D436" s="10" t="str">
        <f>VLOOKUP(C436,Region!A:B,2,FALSE)</f>
        <v>Hyderabad</v>
      </c>
      <c r="E436" s="10" t="s">
        <v>1427</v>
      </c>
      <c r="F436" s="11" t="s">
        <v>814</v>
      </c>
      <c r="G436" s="11" t="s">
        <v>2507</v>
      </c>
      <c r="H436" s="10" t="s">
        <v>812</v>
      </c>
    </row>
    <row r="437" spans="1:8" x14ac:dyDescent="0.25">
      <c r="A437" s="11" t="s">
        <v>3222</v>
      </c>
      <c r="B437" s="10" t="s">
        <v>1086</v>
      </c>
      <c r="C437" s="10" t="s">
        <v>2987</v>
      </c>
      <c r="D437" s="10" t="str">
        <f>VLOOKUP(C437,Region!A:B,2,FALSE)</f>
        <v>Noida</v>
      </c>
      <c r="E437" s="10" t="s">
        <v>1427</v>
      </c>
      <c r="F437" s="11" t="s">
        <v>823</v>
      </c>
      <c r="G437" s="11" t="s">
        <v>3223</v>
      </c>
      <c r="H437" s="10" t="s">
        <v>812</v>
      </c>
    </row>
    <row r="438" spans="1:8" x14ac:dyDescent="0.25">
      <c r="A438" s="11" t="s">
        <v>1217</v>
      </c>
      <c r="B438" s="10" t="s">
        <v>1086</v>
      </c>
      <c r="C438" s="10" t="s">
        <v>1087</v>
      </c>
      <c r="D438" s="10" t="str">
        <f>VLOOKUP(C438,Region!A:B,2,FALSE)</f>
        <v>Hyderabad</v>
      </c>
      <c r="E438" s="10" t="s">
        <v>806</v>
      </c>
      <c r="F438" s="11" t="s">
        <v>814</v>
      </c>
      <c r="G438" s="11" t="s">
        <v>1218</v>
      </c>
      <c r="H438" s="10" t="s">
        <v>809</v>
      </c>
    </row>
    <row r="439" spans="1:8" x14ac:dyDescent="0.25">
      <c r="A439" s="11" t="s">
        <v>1090</v>
      </c>
      <c r="B439" s="10" t="s">
        <v>1086</v>
      </c>
      <c r="C439" s="10" t="s">
        <v>1087</v>
      </c>
      <c r="D439" s="10" t="str">
        <f>VLOOKUP(C439,Region!A:B,2,FALSE)</f>
        <v>Hyderabad</v>
      </c>
      <c r="E439" s="10" t="s">
        <v>806</v>
      </c>
      <c r="F439" s="11" t="s">
        <v>807</v>
      </c>
      <c r="G439" s="11" t="s">
        <v>1091</v>
      </c>
      <c r="H439" s="10" t="s">
        <v>809</v>
      </c>
    </row>
    <row r="440" spans="1:8" x14ac:dyDescent="0.25">
      <c r="A440" s="11" t="s">
        <v>2457</v>
      </c>
      <c r="B440" s="10" t="s">
        <v>804</v>
      </c>
      <c r="C440" s="10" t="s">
        <v>2041</v>
      </c>
      <c r="D440" s="10" t="str">
        <f>VLOOKUP(C440,Region!A:B,2,FALSE)</f>
        <v>Hyderabad</v>
      </c>
      <c r="E440" s="10" t="s">
        <v>1427</v>
      </c>
      <c r="F440" s="11" t="s">
        <v>811</v>
      </c>
      <c r="G440" s="11" t="s">
        <v>2458</v>
      </c>
      <c r="H440" s="10" t="s">
        <v>812</v>
      </c>
    </row>
    <row r="441" spans="1:8" x14ac:dyDescent="0.25">
      <c r="A441" s="11" t="s">
        <v>1062</v>
      </c>
      <c r="B441" s="10" t="s">
        <v>804</v>
      </c>
      <c r="C441" s="10" t="s">
        <v>805</v>
      </c>
      <c r="D441" s="10" t="str">
        <f>VLOOKUP(C441,Region!A:B,2,FALSE)</f>
        <v>Noida</v>
      </c>
      <c r="E441" s="10" t="s">
        <v>806</v>
      </c>
      <c r="F441" s="11" t="s">
        <v>811</v>
      </c>
      <c r="G441" s="11" t="s">
        <v>1063</v>
      </c>
      <c r="H441" s="10" t="s">
        <v>809</v>
      </c>
    </row>
    <row r="442" spans="1:8" x14ac:dyDescent="0.25">
      <c r="A442" s="11" t="s">
        <v>1521</v>
      </c>
      <c r="B442" s="10" t="s">
        <v>1086</v>
      </c>
      <c r="C442" s="10" t="s">
        <v>1426</v>
      </c>
      <c r="D442" s="10" t="str">
        <f>VLOOKUP(C442,Region!A:B,2,FALSE)</f>
        <v>Spain</v>
      </c>
      <c r="E442" s="10" t="s">
        <v>1427</v>
      </c>
      <c r="F442" s="11" t="s">
        <v>823</v>
      </c>
      <c r="G442" s="11" t="s">
        <v>1522</v>
      </c>
      <c r="H442" s="10" t="s">
        <v>809</v>
      </c>
    </row>
    <row r="443" spans="1:8" x14ac:dyDescent="0.25">
      <c r="A443" s="11" t="s">
        <v>3067</v>
      </c>
      <c r="B443" s="10" t="s">
        <v>1086</v>
      </c>
      <c r="C443" s="10" t="s">
        <v>2987</v>
      </c>
      <c r="D443" s="10" t="str">
        <f>VLOOKUP(C443,Region!A:B,2,FALSE)</f>
        <v>Noida</v>
      </c>
      <c r="E443" s="10" t="s">
        <v>1427</v>
      </c>
      <c r="F443" s="11" t="s">
        <v>823</v>
      </c>
      <c r="G443" s="11" t="s">
        <v>3068</v>
      </c>
      <c r="H443" s="10" t="s">
        <v>809</v>
      </c>
    </row>
    <row r="444" spans="1:8" x14ac:dyDescent="0.25">
      <c r="A444" s="11" t="s">
        <v>3063</v>
      </c>
      <c r="B444" s="10" t="s">
        <v>1086</v>
      </c>
      <c r="C444" s="10" t="s">
        <v>2987</v>
      </c>
      <c r="D444" s="10" t="str">
        <f>VLOOKUP(C444,Region!A:B,2,FALSE)</f>
        <v>Noida</v>
      </c>
      <c r="E444" s="10" t="s">
        <v>1427</v>
      </c>
      <c r="F444" s="11" t="s">
        <v>823</v>
      </c>
      <c r="G444" s="11" t="s">
        <v>3064</v>
      </c>
      <c r="H444" s="10" t="s">
        <v>809</v>
      </c>
    </row>
    <row r="445" spans="1:8" x14ac:dyDescent="0.25">
      <c r="A445" s="11" t="s">
        <v>970</v>
      </c>
      <c r="B445" s="10" t="s">
        <v>804</v>
      </c>
      <c r="C445" s="10" t="s">
        <v>805</v>
      </c>
      <c r="D445" s="10" t="str">
        <f>VLOOKUP(C445,Region!A:B,2,FALSE)</f>
        <v>Noida</v>
      </c>
      <c r="E445" s="10" t="s">
        <v>806</v>
      </c>
      <c r="F445" s="11" t="s">
        <v>811</v>
      </c>
      <c r="G445" s="11" t="s">
        <v>684</v>
      </c>
      <c r="H445" s="10" t="s">
        <v>812</v>
      </c>
    </row>
    <row r="446" spans="1:8" x14ac:dyDescent="0.25">
      <c r="A446" s="11" t="s">
        <v>3343</v>
      </c>
      <c r="B446" s="10" t="s">
        <v>1086</v>
      </c>
      <c r="C446" s="10" t="s">
        <v>3273</v>
      </c>
      <c r="D446" s="10" t="str">
        <f>VLOOKUP(C446,Region!A:B,2,FALSE)</f>
        <v>Noida</v>
      </c>
      <c r="E446" s="10" t="s">
        <v>806</v>
      </c>
      <c r="F446" s="11" t="s">
        <v>811</v>
      </c>
      <c r="G446" s="11" t="s">
        <v>774</v>
      </c>
      <c r="H446" s="10" t="s">
        <v>812</v>
      </c>
    </row>
    <row r="447" spans="1:8" x14ac:dyDescent="0.25">
      <c r="A447" s="11" t="s">
        <v>2786</v>
      </c>
      <c r="B447" s="10" t="s">
        <v>804</v>
      </c>
      <c r="C447" s="10" t="s">
        <v>2752</v>
      </c>
      <c r="D447" s="10" t="str">
        <f>VLOOKUP(C447,Region!A:B,2,FALSE)</f>
        <v>Noida</v>
      </c>
      <c r="E447" s="10" t="s">
        <v>806</v>
      </c>
      <c r="F447" s="11" t="s">
        <v>814</v>
      </c>
      <c r="G447" s="11" t="s">
        <v>2787</v>
      </c>
      <c r="H447" s="10" t="s">
        <v>809</v>
      </c>
    </row>
    <row r="448" spans="1:8" x14ac:dyDescent="0.25">
      <c r="A448" s="11" t="s">
        <v>3071</v>
      </c>
      <c r="B448" s="10" t="s">
        <v>1086</v>
      </c>
      <c r="C448" s="10" t="s">
        <v>2987</v>
      </c>
      <c r="D448" s="10" t="str">
        <f>VLOOKUP(C448,Region!A:B,2,FALSE)</f>
        <v>Noida</v>
      </c>
      <c r="E448" s="10" t="s">
        <v>1427</v>
      </c>
      <c r="F448" s="11" t="s">
        <v>823</v>
      </c>
      <c r="G448" s="11" t="s">
        <v>3072</v>
      </c>
      <c r="H448" s="10" t="s">
        <v>809</v>
      </c>
    </row>
    <row r="449" spans="1:8" x14ac:dyDescent="0.25">
      <c r="A449" s="11" t="s">
        <v>1768</v>
      </c>
      <c r="B449" s="10" t="s">
        <v>1086</v>
      </c>
      <c r="C449" s="10" t="s">
        <v>1635</v>
      </c>
      <c r="D449" s="10" t="str">
        <f>VLOOKUP(C449,Region!A:B,2,FALSE)</f>
        <v>MBC US</v>
      </c>
      <c r="E449" s="10" t="s">
        <v>806</v>
      </c>
      <c r="F449" s="11" t="s">
        <v>823</v>
      </c>
      <c r="G449" s="11" t="s">
        <v>1769</v>
      </c>
      <c r="H449" s="10" t="s">
        <v>812</v>
      </c>
    </row>
    <row r="450" spans="1:8" x14ac:dyDescent="0.25">
      <c r="A450" s="11" t="s">
        <v>1525</v>
      </c>
      <c r="B450" s="10" t="s">
        <v>1086</v>
      </c>
      <c r="C450" s="10" t="s">
        <v>1426</v>
      </c>
      <c r="D450" s="10" t="str">
        <f>VLOOKUP(C450,Region!A:B,2,FALSE)</f>
        <v>Spain</v>
      </c>
      <c r="E450" s="10" t="s">
        <v>1427</v>
      </c>
      <c r="F450" s="11" t="s">
        <v>823</v>
      </c>
      <c r="G450" s="11" t="s">
        <v>1526</v>
      </c>
      <c r="H450" s="10" t="s">
        <v>809</v>
      </c>
    </row>
    <row r="451" spans="1:8" x14ac:dyDescent="0.25">
      <c r="A451" s="11" t="s">
        <v>1789</v>
      </c>
      <c r="B451" s="10" t="s">
        <v>1086</v>
      </c>
      <c r="C451" s="10" t="s">
        <v>1635</v>
      </c>
      <c r="D451" s="10" t="str">
        <f>VLOOKUP(C451,Region!A:B,2,FALSE)</f>
        <v>MBC US</v>
      </c>
      <c r="E451" s="10" t="s">
        <v>806</v>
      </c>
      <c r="F451" s="11" t="s">
        <v>811</v>
      </c>
      <c r="G451" s="11" t="s">
        <v>1790</v>
      </c>
      <c r="H451" s="10" t="s">
        <v>809</v>
      </c>
    </row>
    <row r="452" spans="1:8" x14ac:dyDescent="0.25">
      <c r="A452" s="11" t="s">
        <v>1785</v>
      </c>
      <c r="B452" s="10" t="s">
        <v>804</v>
      </c>
      <c r="C452" s="10" t="s">
        <v>1635</v>
      </c>
      <c r="D452" s="10" t="str">
        <f>VLOOKUP(C452,Region!A:B,2,FALSE)</f>
        <v>MBC US</v>
      </c>
      <c r="E452" s="10" t="s">
        <v>806</v>
      </c>
      <c r="F452" s="11" t="s">
        <v>814</v>
      </c>
      <c r="G452" s="11" t="s">
        <v>1786</v>
      </c>
      <c r="H452" s="10" t="s">
        <v>809</v>
      </c>
    </row>
    <row r="453" spans="1:8" x14ac:dyDescent="0.25">
      <c r="A453" s="11" t="s">
        <v>3057</v>
      </c>
      <c r="B453" s="10" t="s">
        <v>1086</v>
      </c>
      <c r="C453" s="10" t="s">
        <v>2987</v>
      </c>
      <c r="D453" s="10" t="str">
        <f>VLOOKUP(C453,Region!A:B,2,FALSE)</f>
        <v>Noida</v>
      </c>
      <c r="E453" s="10" t="s">
        <v>1427</v>
      </c>
      <c r="F453" s="11" t="s">
        <v>807</v>
      </c>
      <c r="G453" s="11" t="s">
        <v>3058</v>
      </c>
      <c r="H453" s="10" t="s">
        <v>809</v>
      </c>
    </row>
    <row r="454" spans="1:8" x14ac:dyDescent="0.25">
      <c r="A454" s="11" t="s">
        <v>2856</v>
      </c>
      <c r="B454" s="10" t="s">
        <v>804</v>
      </c>
      <c r="C454" s="10" t="s">
        <v>2752</v>
      </c>
      <c r="D454" s="10" t="str">
        <f>VLOOKUP(C454,Region!A:B,2,FALSE)</f>
        <v>Noida</v>
      </c>
      <c r="E454" s="10" t="s">
        <v>806</v>
      </c>
      <c r="F454" s="11" t="s">
        <v>814</v>
      </c>
      <c r="G454" s="11" t="s">
        <v>2857</v>
      </c>
      <c r="H454" s="10" t="s">
        <v>809</v>
      </c>
    </row>
    <row r="455" spans="1:8" x14ac:dyDescent="0.25">
      <c r="A455" s="11" t="s">
        <v>984</v>
      </c>
      <c r="B455" s="10" t="s">
        <v>804</v>
      </c>
      <c r="C455" s="10" t="s">
        <v>805</v>
      </c>
      <c r="D455" s="10" t="str">
        <f>VLOOKUP(C455,Region!A:B,2,FALSE)</f>
        <v>Noida</v>
      </c>
      <c r="E455" s="10" t="s">
        <v>806</v>
      </c>
      <c r="F455" s="11" t="s">
        <v>823</v>
      </c>
      <c r="G455" s="11" t="s">
        <v>985</v>
      </c>
      <c r="H455" s="10" t="s">
        <v>809</v>
      </c>
    </row>
    <row r="456" spans="1:8" x14ac:dyDescent="0.25">
      <c r="A456" s="11" t="s">
        <v>3061</v>
      </c>
      <c r="B456" s="10" t="s">
        <v>1086</v>
      </c>
      <c r="C456" s="10" t="s">
        <v>2987</v>
      </c>
      <c r="D456" s="10" t="str">
        <f>VLOOKUP(C456,Region!A:B,2,FALSE)</f>
        <v>Noida</v>
      </c>
      <c r="E456" s="10" t="s">
        <v>1427</v>
      </c>
      <c r="F456" s="11" t="s">
        <v>823</v>
      </c>
      <c r="G456" s="11" t="s">
        <v>3062</v>
      </c>
      <c r="H456" s="10" t="s">
        <v>809</v>
      </c>
    </row>
    <row r="457" spans="1:8" x14ac:dyDescent="0.25">
      <c r="A457" s="11" t="s">
        <v>2362</v>
      </c>
      <c r="B457" s="10" t="s">
        <v>804</v>
      </c>
      <c r="C457" s="10" t="s">
        <v>2041</v>
      </c>
      <c r="D457" s="10" t="str">
        <f>VLOOKUP(C457,Region!A:B,2,FALSE)</f>
        <v>Hyderabad</v>
      </c>
      <c r="E457" s="10" t="s">
        <v>1427</v>
      </c>
      <c r="F457" s="11" t="s">
        <v>814</v>
      </c>
      <c r="G457" s="11" t="s">
        <v>2363</v>
      </c>
      <c r="H457" s="10" t="s">
        <v>809</v>
      </c>
    </row>
    <row r="458" spans="1:8" x14ac:dyDescent="0.25">
      <c r="A458" s="11" t="s">
        <v>3382</v>
      </c>
      <c r="B458" s="10" t="s">
        <v>1086</v>
      </c>
      <c r="C458" s="10" t="s">
        <v>3273</v>
      </c>
      <c r="D458" s="10" t="str">
        <f>VLOOKUP(C458,Region!A:B,2,FALSE)</f>
        <v>Noida</v>
      </c>
      <c r="E458" s="10" t="s">
        <v>806</v>
      </c>
      <c r="F458" s="11" t="s">
        <v>823</v>
      </c>
      <c r="G458" s="11" t="s">
        <v>660</v>
      </c>
      <c r="H458" s="10" t="s">
        <v>812</v>
      </c>
    </row>
    <row r="459" spans="1:8" x14ac:dyDescent="0.25">
      <c r="A459" s="11" t="s">
        <v>3391</v>
      </c>
      <c r="B459" s="10" t="s">
        <v>1086</v>
      </c>
      <c r="C459" s="10" t="s">
        <v>3273</v>
      </c>
      <c r="D459" s="10" t="str">
        <f>VLOOKUP(C459,Region!A:B,2,FALSE)</f>
        <v>Noida</v>
      </c>
      <c r="E459" s="10" t="s">
        <v>806</v>
      </c>
      <c r="F459" s="11" t="s">
        <v>814</v>
      </c>
      <c r="G459" s="11" t="s">
        <v>3392</v>
      </c>
      <c r="H459" s="10" t="s">
        <v>812</v>
      </c>
    </row>
    <row r="460" spans="1:8" x14ac:dyDescent="0.25">
      <c r="A460" s="11" t="s">
        <v>3021</v>
      </c>
      <c r="B460" s="10" t="s">
        <v>1086</v>
      </c>
      <c r="C460" s="10" t="s">
        <v>2987</v>
      </c>
      <c r="D460" s="10" t="str">
        <f>VLOOKUP(C460,Region!A:B,2,FALSE)</f>
        <v>Noida</v>
      </c>
      <c r="E460" s="10" t="s">
        <v>1427</v>
      </c>
      <c r="F460" s="11" t="s">
        <v>814</v>
      </c>
      <c r="G460" s="11" t="s">
        <v>3022</v>
      </c>
      <c r="H460" s="10" t="s">
        <v>812</v>
      </c>
    </row>
    <row r="461" spans="1:8" x14ac:dyDescent="0.25">
      <c r="A461" s="11" t="s">
        <v>2866</v>
      </c>
      <c r="B461" s="10" t="s">
        <v>804</v>
      </c>
      <c r="C461" s="10" t="s">
        <v>2752</v>
      </c>
      <c r="D461" s="10" t="str">
        <f>VLOOKUP(C461,Region!A:B,2,FALSE)</f>
        <v>Noida</v>
      </c>
      <c r="E461" s="10" t="s">
        <v>806</v>
      </c>
      <c r="F461" s="11" t="s">
        <v>823</v>
      </c>
      <c r="G461" s="11" t="s">
        <v>2867</v>
      </c>
      <c r="H461" s="10" t="s">
        <v>812</v>
      </c>
    </row>
    <row r="462" spans="1:8" x14ac:dyDescent="0.25">
      <c r="A462" s="11" t="s">
        <v>1527</v>
      </c>
      <c r="B462" s="10" t="s">
        <v>804</v>
      </c>
      <c r="C462" s="10" t="s">
        <v>1426</v>
      </c>
      <c r="D462" s="10" t="str">
        <f>VLOOKUP(C462,Region!A:B,2,FALSE)</f>
        <v>Spain</v>
      </c>
      <c r="E462" s="10" t="s">
        <v>1427</v>
      </c>
      <c r="F462" s="11" t="s">
        <v>811</v>
      </c>
      <c r="G462" s="11" t="s">
        <v>1528</v>
      </c>
      <c r="H462" s="10" t="s">
        <v>809</v>
      </c>
    </row>
    <row r="463" spans="1:8" x14ac:dyDescent="0.25">
      <c r="A463" s="11" t="s">
        <v>1089</v>
      </c>
      <c r="B463" s="10" t="s">
        <v>1086</v>
      </c>
      <c r="C463" s="10" t="s">
        <v>1087</v>
      </c>
      <c r="D463" s="10" t="str">
        <f>VLOOKUP(C463,Region!A:B,2,FALSE)</f>
        <v>Hyderabad</v>
      </c>
      <c r="E463" s="10" t="s">
        <v>806</v>
      </c>
      <c r="F463" s="11" t="s">
        <v>814</v>
      </c>
      <c r="G463" s="11" t="s">
        <v>261</v>
      </c>
      <c r="H463" s="10" t="s">
        <v>812</v>
      </c>
    </row>
    <row r="464" spans="1:8" x14ac:dyDescent="0.25">
      <c r="A464" s="11" t="s">
        <v>3244</v>
      </c>
      <c r="B464" s="10" t="s">
        <v>1086</v>
      </c>
      <c r="C464" s="10" t="s">
        <v>2987</v>
      </c>
      <c r="D464" s="10" t="str">
        <f>VLOOKUP(C464,Region!A:B,2,FALSE)</f>
        <v>Noida</v>
      </c>
      <c r="E464" s="10" t="s">
        <v>1427</v>
      </c>
      <c r="F464" s="11" t="s">
        <v>811</v>
      </c>
      <c r="G464" s="11" t="s">
        <v>3245</v>
      </c>
      <c r="H464" s="10" t="s">
        <v>812</v>
      </c>
    </row>
    <row r="465" spans="1:8" x14ac:dyDescent="0.25">
      <c r="A465" s="11" t="s">
        <v>3059</v>
      </c>
      <c r="B465" s="10" t="s">
        <v>1086</v>
      </c>
      <c r="C465" s="10" t="s">
        <v>2987</v>
      </c>
      <c r="D465" s="10" t="str">
        <f>VLOOKUP(C465,Region!A:B,2,FALSE)</f>
        <v>Noida</v>
      </c>
      <c r="E465" s="10" t="s">
        <v>1427</v>
      </c>
      <c r="F465" s="11" t="s">
        <v>823</v>
      </c>
      <c r="G465" s="11" t="s">
        <v>3060</v>
      </c>
      <c r="H465" s="10" t="s">
        <v>809</v>
      </c>
    </row>
    <row r="466" spans="1:8" x14ac:dyDescent="0.25">
      <c r="A466" s="11" t="s">
        <v>2119</v>
      </c>
      <c r="B466" s="10" t="s">
        <v>804</v>
      </c>
      <c r="C466" s="10" t="s">
        <v>2041</v>
      </c>
      <c r="D466" s="10" t="str">
        <f>VLOOKUP(C466,Region!A:B,2,FALSE)</f>
        <v>Hyderabad</v>
      </c>
      <c r="E466" s="10" t="s">
        <v>1427</v>
      </c>
      <c r="F466" s="11" t="s">
        <v>814</v>
      </c>
      <c r="G466" s="11" t="s">
        <v>2120</v>
      </c>
      <c r="H466" s="10" t="s">
        <v>809</v>
      </c>
    </row>
    <row r="467" spans="1:8" x14ac:dyDescent="0.25">
      <c r="A467" s="11" t="s">
        <v>884</v>
      </c>
      <c r="B467" s="10" t="s">
        <v>804</v>
      </c>
      <c r="C467" s="10" t="s">
        <v>805</v>
      </c>
      <c r="D467" s="10" t="str">
        <f>VLOOKUP(C467,Region!A:B,2,FALSE)</f>
        <v>Noida</v>
      </c>
      <c r="E467" s="10" t="s">
        <v>806</v>
      </c>
      <c r="F467" s="11" t="s">
        <v>811</v>
      </c>
      <c r="G467" s="11" t="s">
        <v>885</v>
      </c>
      <c r="H467" s="10" t="s">
        <v>812</v>
      </c>
    </row>
    <row r="468" spans="1:8" x14ac:dyDescent="0.25">
      <c r="A468" s="11" t="s">
        <v>1161</v>
      </c>
      <c r="B468" s="10" t="s">
        <v>1086</v>
      </c>
      <c r="C468" s="10" t="s">
        <v>1087</v>
      </c>
      <c r="D468" s="10" t="str">
        <f>VLOOKUP(C468,Region!A:B,2,FALSE)</f>
        <v>Hyderabad</v>
      </c>
      <c r="E468" s="10" t="s">
        <v>806</v>
      </c>
      <c r="F468" s="11" t="s">
        <v>823</v>
      </c>
      <c r="G468" s="11" t="s">
        <v>1162</v>
      </c>
      <c r="H468" s="10" t="s">
        <v>809</v>
      </c>
    </row>
    <row r="469" spans="1:8" x14ac:dyDescent="0.25">
      <c r="A469" s="11" t="s">
        <v>3124</v>
      </c>
      <c r="B469" s="10" t="s">
        <v>1086</v>
      </c>
      <c r="C469" s="10" t="s">
        <v>2987</v>
      </c>
      <c r="D469" s="10" t="str">
        <f>VLOOKUP(C469,Region!A:B,2,FALSE)</f>
        <v>Noida</v>
      </c>
      <c r="E469" s="10" t="s">
        <v>1427</v>
      </c>
      <c r="F469" s="11" t="s">
        <v>814</v>
      </c>
      <c r="G469" s="11" t="s">
        <v>640</v>
      </c>
      <c r="H469" s="10" t="s">
        <v>812</v>
      </c>
    </row>
    <row r="470" spans="1:8" x14ac:dyDescent="0.25">
      <c r="A470" s="11" t="s">
        <v>2824</v>
      </c>
      <c r="B470" s="10" t="s">
        <v>804</v>
      </c>
      <c r="C470" s="10" t="s">
        <v>2752</v>
      </c>
      <c r="D470" s="10" t="str">
        <f>VLOOKUP(C470,Region!A:B,2,FALSE)</f>
        <v>Noida</v>
      </c>
      <c r="E470" s="10" t="s">
        <v>806</v>
      </c>
      <c r="F470" s="11" t="s">
        <v>807</v>
      </c>
      <c r="G470" s="11" t="s">
        <v>2825</v>
      </c>
      <c r="H470" s="10" t="s">
        <v>809</v>
      </c>
    </row>
    <row r="471" spans="1:8" x14ac:dyDescent="0.25">
      <c r="A471" s="11" t="s">
        <v>2643</v>
      </c>
      <c r="B471" s="10" t="s">
        <v>804</v>
      </c>
      <c r="C471" s="10" t="s">
        <v>2518</v>
      </c>
      <c r="D471" s="10" t="str">
        <f>VLOOKUP(C471,Region!A:B,2,FALSE)</f>
        <v>Noida</v>
      </c>
      <c r="E471" s="10" t="s">
        <v>1427</v>
      </c>
      <c r="F471" s="11" t="s">
        <v>823</v>
      </c>
      <c r="G471" s="11" t="s">
        <v>2644</v>
      </c>
      <c r="H471" s="10" t="s">
        <v>809</v>
      </c>
    </row>
    <row r="472" spans="1:8" x14ac:dyDescent="0.25">
      <c r="A472" s="11" t="s">
        <v>1787</v>
      </c>
      <c r="B472" s="10" t="s">
        <v>804</v>
      </c>
      <c r="C472" s="10" t="s">
        <v>1635</v>
      </c>
      <c r="D472" s="10" t="str">
        <f>VLOOKUP(C472,Region!A:B,2,FALSE)</f>
        <v>MBC US</v>
      </c>
      <c r="E472" s="10" t="s">
        <v>806</v>
      </c>
      <c r="F472" s="11" t="s">
        <v>807</v>
      </c>
      <c r="G472" s="11" t="s">
        <v>1788</v>
      </c>
      <c r="H472" s="10" t="s">
        <v>809</v>
      </c>
    </row>
    <row r="473" spans="1:8" x14ac:dyDescent="0.25">
      <c r="A473" s="11" t="s">
        <v>1257</v>
      </c>
      <c r="B473" s="10" t="s">
        <v>1086</v>
      </c>
      <c r="C473" s="10" t="s">
        <v>1087</v>
      </c>
      <c r="D473" s="10" t="str">
        <f>VLOOKUP(C473,Region!A:B,2,FALSE)</f>
        <v>Hyderabad</v>
      </c>
      <c r="E473" s="10" t="s">
        <v>806</v>
      </c>
      <c r="F473" s="11" t="s">
        <v>823</v>
      </c>
      <c r="G473" s="11" t="s">
        <v>1258</v>
      </c>
      <c r="H473" s="10" t="s">
        <v>809</v>
      </c>
    </row>
    <row r="474" spans="1:8" x14ac:dyDescent="0.25">
      <c r="A474" s="11" t="s">
        <v>3073</v>
      </c>
      <c r="B474" s="10" t="s">
        <v>1086</v>
      </c>
      <c r="C474" s="10" t="s">
        <v>2987</v>
      </c>
      <c r="D474" s="10" t="str">
        <f>VLOOKUP(C474,Region!A:B,2,FALSE)</f>
        <v>Noida</v>
      </c>
      <c r="E474" s="10" t="s">
        <v>1427</v>
      </c>
      <c r="F474" s="11" t="s">
        <v>823</v>
      </c>
      <c r="G474" s="11" t="s">
        <v>3074</v>
      </c>
      <c r="H474" s="10" t="s">
        <v>809</v>
      </c>
    </row>
    <row r="475" spans="1:8" x14ac:dyDescent="0.25">
      <c r="A475" s="11" t="s">
        <v>3069</v>
      </c>
      <c r="B475" s="10" t="s">
        <v>1086</v>
      </c>
      <c r="C475" s="10" t="s">
        <v>2987</v>
      </c>
      <c r="D475" s="10" t="str">
        <f>VLOOKUP(C475,Region!A:B,2,FALSE)</f>
        <v>Noida</v>
      </c>
      <c r="E475" s="10" t="s">
        <v>1427</v>
      </c>
      <c r="F475" s="11" t="s">
        <v>811</v>
      </c>
      <c r="G475" s="11" t="s">
        <v>3070</v>
      </c>
      <c r="H475" s="10" t="s">
        <v>809</v>
      </c>
    </row>
    <row r="476" spans="1:8" x14ac:dyDescent="0.25">
      <c r="A476" s="11" t="s">
        <v>1531</v>
      </c>
      <c r="B476" s="10" t="s">
        <v>1086</v>
      </c>
      <c r="C476" s="10" t="s">
        <v>1426</v>
      </c>
      <c r="D476" s="10" t="str">
        <f>VLOOKUP(C476,Region!A:B,2,FALSE)</f>
        <v>Spain</v>
      </c>
      <c r="E476" s="10" t="s">
        <v>1427</v>
      </c>
      <c r="F476" s="11" t="s">
        <v>811</v>
      </c>
      <c r="G476" s="11" t="s">
        <v>192</v>
      </c>
      <c r="H476" s="10" t="s">
        <v>812</v>
      </c>
    </row>
    <row r="477" spans="1:8" x14ac:dyDescent="0.25">
      <c r="A477" s="11" t="s">
        <v>1529</v>
      </c>
      <c r="B477" s="10" t="s">
        <v>804</v>
      </c>
      <c r="C477" s="10" t="s">
        <v>1426</v>
      </c>
      <c r="D477" s="10" t="str">
        <f>VLOOKUP(C477,Region!A:B,2,FALSE)</f>
        <v>Spain</v>
      </c>
      <c r="E477" s="10" t="s">
        <v>1427</v>
      </c>
      <c r="F477" s="11" t="s">
        <v>807</v>
      </c>
      <c r="G477" s="11" t="s">
        <v>1530</v>
      </c>
      <c r="H477" s="10" t="s">
        <v>809</v>
      </c>
    </row>
    <row r="478" spans="1:8" x14ac:dyDescent="0.25">
      <c r="A478" s="11" t="s">
        <v>1532</v>
      </c>
      <c r="B478" s="10" t="s">
        <v>804</v>
      </c>
      <c r="C478" s="10" t="s">
        <v>1426</v>
      </c>
      <c r="D478" s="10" t="str">
        <f>VLOOKUP(C478,Region!A:B,2,FALSE)</f>
        <v>Spain</v>
      </c>
      <c r="E478" s="10" t="s">
        <v>1427</v>
      </c>
      <c r="F478" s="11" t="s">
        <v>823</v>
      </c>
      <c r="G478" s="11" t="s">
        <v>1533</v>
      </c>
      <c r="H478" s="10" t="s">
        <v>809</v>
      </c>
    </row>
    <row r="479" spans="1:8" x14ac:dyDescent="0.25">
      <c r="A479" s="11" t="s">
        <v>2994</v>
      </c>
      <c r="B479" s="10" t="s">
        <v>1086</v>
      </c>
      <c r="C479" s="10" t="s">
        <v>2987</v>
      </c>
      <c r="D479" s="10" t="str">
        <f>VLOOKUP(C479,Region!A:B,2,FALSE)</f>
        <v>Noida</v>
      </c>
      <c r="E479" s="10" t="s">
        <v>1427</v>
      </c>
      <c r="F479" s="11" t="s">
        <v>823</v>
      </c>
      <c r="G479" s="11" t="s">
        <v>2995</v>
      </c>
      <c r="H479" s="10" t="s">
        <v>812</v>
      </c>
    </row>
    <row r="480" spans="1:8" x14ac:dyDescent="0.25">
      <c r="A480" s="11" t="s">
        <v>3077</v>
      </c>
      <c r="B480" s="10" t="s">
        <v>1086</v>
      </c>
      <c r="C480" s="10" t="s">
        <v>2987</v>
      </c>
      <c r="D480" s="10" t="str">
        <f>VLOOKUP(C480,Region!A:B,2,FALSE)</f>
        <v>Noida</v>
      </c>
      <c r="E480" s="10" t="s">
        <v>1427</v>
      </c>
      <c r="F480" s="11" t="s">
        <v>823</v>
      </c>
      <c r="G480" s="11" t="s">
        <v>3078</v>
      </c>
      <c r="H480" s="10" t="s">
        <v>809</v>
      </c>
    </row>
    <row r="481" spans="1:8" x14ac:dyDescent="0.25">
      <c r="A481" s="11" t="s">
        <v>2121</v>
      </c>
      <c r="B481" s="10" t="s">
        <v>804</v>
      </c>
      <c r="C481" s="10" t="s">
        <v>2041</v>
      </c>
      <c r="D481" s="10" t="str">
        <f>VLOOKUP(C481,Region!A:B,2,FALSE)</f>
        <v>Hyderabad</v>
      </c>
      <c r="E481" s="10" t="s">
        <v>1427</v>
      </c>
      <c r="F481" s="11" t="s">
        <v>814</v>
      </c>
      <c r="G481" s="11" t="s">
        <v>2122</v>
      </c>
      <c r="H481" s="10" t="s">
        <v>809</v>
      </c>
    </row>
    <row r="482" spans="1:8" x14ac:dyDescent="0.25">
      <c r="A482" s="11" t="s">
        <v>3371</v>
      </c>
      <c r="B482" s="10" t="s">
        <v>1086</v>
      </c>
      <c r="C482" s="10" t="s">
        <v>3273</v>
      </c>
      <c r="D482" s="10" t="str">
        <f>VLOOKUP(C482,Region!A:B,2,FALSE)</f>
        <v>Noida</v>
      </c>
      <c r="E482" s="10" t="s">
        <v>806</v>
      </c>
      <c r="F482" s="11" t="s">
        <v>823</v>
      </c>
      <c r="G482" s="11" t="s">
        <v>3372</v>
      </c>
      <c r="H482" s="10" t="s">
        <v>809</v>
      </c>
    </row>
    <row r="483" spans="1:8" x14ac:dyDescent="0.25">
      <c r="A483" s="11" t="s">
        <v>1534</v>
      </c>
      <c r="B483" s="10" t="s">
        <v>804</v>
      </c>
      <c r="C483" s="10" t="s">
        <v>1426</v>
      </c>
      <c r="D483" s="10" t="str">
        <f>VLOOKUP(C483,Region!A:B,2,FALSE)</f>
        <v>Spain</v>
      </c>
      <c r="E483" s="10" t="s">
        <v>1427</v>
      </c>
      <c r="F483" s="11" t="s">
        <v>807</v>
      </c>
      <c r="G483" s="11" t="s">
        <v>202</v>
      </c>
      <c r="H483" s="10" t="s">
        <v>812</v>
      </c>
    </row>
    <row r="484" spans="1:8" x14ac:dyDescent="0.25">
      <c r="A484" s="11" t="s">
        <v>2055</v>
      </c>
      <c r="B484" s="10" t="s">
        <v>804</v>
      </c>
      <c r="C484" s="10" t="s">
        <v>2041</v>
      </c>
      <c r="D484" s="10" t="str">
        <f>VLOOKUP(C484,Region!A:B,2,FALSE)</f>
        <v>Hyderabad</v>
      </c>
      <c r="E484" s="10" t="s">
        <v>1427</v>
      </c>
      <c r="F484" s="11" t="s">
        <v>823</v>
      </c>
      <c r="G484" s="11" t="s">
        <v>2056</v>
      </c>
      <c r="H484" s="10" t="s">
        <v>809</v>
      </c>
    </row>
    <row r="485" spans="1:8" x14ac:dyDescent="0.25">
      <c r="A485" s="11" t="s">
        <v>2040</v>
      </c>
      <c r="B485" s="10" t="s">
        <v>804</v>
      </c>
      <c r="C485" s="10" t="s">
        <v>2041</v>
      </c>
      <c r="D485" s="10" t="str">
        <f>VLOOKUP(C485,Region!A:B,2,FALSE)</f>
        <v>Hyderabad</v>
      </c>
      <c r="E485" s="10" t="s">
        <v>1427</v>
      </c>
      <c r="F485" s="11" t="s">
        <v>823</v>
      </c>
      <c r="G485" s="11" t="s">
        <v>2042</v>
      </c>
      <c r="H485" s="10" t="s">
        <v>809</v>
      </c>
    </row>
    <row r="486" spans="1:8" x14ac:dyDescent="0.25">
      <c r="A486" s="11" t="s">
        <v>3333</v>
      </c>
      <c r="B486" s="10" t="s">
        <v>1086</v>
      </c>
      <c r="C486" s="10" t="s">
        <v>3273</v>
      </c>
      <c r="D486" s="10" t="str">
        <f>VLOOKUP(C486,Region!A:B,2,FALSE)</f>
        <v>Noida</v>
      </c>
      <c r="E486" s="10" t="s">
        <v>806</v>
      </c>
      <c r="F486" s="11" t="s">
        <v>823</v>
      </c>
      <c r="G486" s="11" t="s">
        <v>3334</v>
      </c>
      <c r="H486" s="10" t="s">
        <v>809</v>
      </c>
    </row>
    <row r="487" spans="1:8" x14ac:dyDescent="0.25">
      <c r="A487" s="11" t="s">
        <v>1826</v>
      </c>
      <c r="B487" s="10" t="s">
        <v>804</v>
      </c>
      <c r="C487" s="10" t="s">
        <v>1635</v>
      </c>
      <c r="D487" s="10" t="str">
        <f>VLOOKUP(C487,Region!A:B,2,FALSE)</f>
        <v>MBC US</v>
      </c>
      <c r="E487" s="10" t="s">
        <v>806</v>
      </c>
      <c r="F487" s="11" t="s">
        <v>807</v>
      </c>
      <c r="G487" s="11" t="s">
        <v>1827</v>
      </c>
      <c r="H487" s="10" t="s">
        <v>809</v>
      </c>
    </row>
    <row r="488" spans="1:8" x14ac:dyDescent="0.25">
      <c r="A488" s="11" t="s">
        <v>1535</v>
      </c>
      <c r="B488" s="10" t="s">
        <v>1086</v>
      </c>
      <c r="C488" s="10" t="s">
        <v>1426</v>
      </c>
      <c r="D488" s="10" t="str">
        <f>VLOOKUP(C488,Region!A:B,2,FALSE)</f>
        <v>Spain</v>
      </c>
      <c r="E488" s="10" t="s">
        <v>1427</v>
      </c>
      <c r="F488" s="11" t="s">
        <v>823</v>
      </c>
      <c r="G488" s="11" t="s">
        <v>778</v>
      </c>
      <c r="H488" s="10" t="s">
        <v>809</v>
      </c>
    </row>
    <row r="489" spans="1:8" x14ac:dyDescent="0.25">
      <c r="A489" s="11" t="s">
        <v>1176</v>
      </c>
      <c r="B489" s="10" t="s">
        <v>1086</v>
      </c>
      <c r="C489" s="10" t="s">
        <v>1087</v>
      </c>
      <c r="D489" s="10" t="str">
        <f>VLOOKUP(C489,Region!A:B,2,FALSE)</f>
        <v>Hyderabad</v>
      </c>
      <c r="E489" s="10" t="s">
        <v>806</v>
      </c>
      <c r="F489" s="11" t="s">
        <v>814</v>
      </c>
      <c r="G489" s="11" t="s">
        <v>1177</v>
      </c>
      <c r="H489" s="10" t="s">
        <v>812</v>
      </c>
    </row>
    <row r="490" spans="1:8" x14ac:dyDescent="0.25">
      <c r="A490" s="11" t="s">
        <v>1425</v>
      </c>
      <c r="B490" s="10" t="s">
        <v>804</v>
      </c>
      <c r="C490" s="10" t="s">
        <v>1426</v>
      </c>
      <c r="D490" s="10" t="str">
        <f>VLOOKUP(C490,Region!A:B,2,FALSE)</f>
        <v>Spain</v>
      </c>
      <c r="E490" s="10" t="s">
        <v>1427</v>
      </c>
      <c r="F490" s="11" t="s">
        <v>807</v>
      </c>
      <c r="G490" s="11" t="s">
        <v>1428</v>
      </c>
      <c r="H490" s="10" t="s">
        <v>809</v>
      </c>
    </row>
    <row r="491" spans="1:8" x14ac:dyDescent="0.25">
      <c r="A491" s="11" t="s">
        <v>1828</v>
      </c>
      <c r="B491" s="10" t="s">
        <v>1086</v>
      </c>
      <c r="C491" s="10" t="s">
        <v>1635</v>
      </c>
      <c r="D491" s="10" t="str">
        <f>VLOOKUP(C491,Region!A:B,2,FALSE)</f>
        <v>MBC US</v>
      </c>
      <c r="E491" s="10" t="s">
        <v>806</v>
      </c>
      <c r="F491" s="11" t="s">
        <v>834</v>
      </c>
      <c r="G491" s="11" t="s">
        <v>1829</v>
      </c>
      <c r="H491" s="10" t="s">
        <v>809</v>
      </c>
    </row>
    <row r="492" spans="1:8" x14ac:dyDescent="0.25">
      <c r="A492" s="11" t="s">
        <v>2443</v>
      </c>
      <c r="B492" s="10" t="s">
        <v>804</v>
      </c>
      <c r="C492" s="10" t="s">
        <v>2041</v>
      </c>
      <c r="D492" s="10" t="str">
        <f>VLOOKUP(C492,Region!A:B,2,FALSE)</f>
        <v>Hyderabad</v>
      </c>
      <c r="E492" s="10" t="s">
        <v>1427</v>
      </c>
      <c r="F492" s="11" t="s">
        <v>811</v>
      </c>
      <c r="G492" s="11" t="s">
        <v>2444</v>
      </c>
      <c r="H492" s="10" t="s">
        <v>812</v>
      </c>
    </row>
    <row r="493" spans="1:8" x14ac:dyDescent="0.25">
      <c r="A493" s="11" t="s">
        <v>2278</v>
      </c>
      <c r="B493" s="10" t="s">
        <v>804</v>
      </c>
      <c r="C493" s="10" t="s">
        <v>2041</v>
      </c>
      <c r="D493" s="10" t="str">
        <f>VLOOKUP(C493,Region!A:B,2,FALSE)</f>
        <v>Hyderabad</v>
      </c>
      <c r="E493" s="10" t="s">
        <v>1427</v>
      </c>
      <c r="F493" s="11" t="s">
        <v>807</v>
      </c>
      <c r="G493" s="11" t="s">
        <v>2279</v>
      </c>
      <c r="H493" s="10" t="s">
        <v>809</v>
      </c>
    </row>
    <row r="494" spans="1:8" x14ac:dyDescent="0.25">
      <c r="A494" s="11" t="s">
        <v>1229</v>
      </c>
      <c r="B494" s="10" t="s">
        <v>1086</v>
      </c>
      <c r="C494" s="10" t="s">
        <v>1087</v>
      </c>
      <c r="D494" s="10" t="str">
        <f>VLOOKUP(C494,Region!A:B,2,FALSE)</f>
        <v>Hyderabad</v>
      </c>
      <c r="E494" s="10" t="s">
        <v>806</v>
      </c>
      <c r="F494" s="11" t="s">
        <v>811</v>
      </c>
      <c r="G494" s="11" t="s">
        <v>1230</v>
      </c>
      <c r="H494" s="10" t="s">
        <v>809</v>
      </c>
    </row>
    <row r="495" spans="1:8" x14ac:dyDescent="0.25">
      <c r="A495" s="11" t="s">
        <v>1540</v>
      </c>
      <c r="B495" s="10" t="s">
        <v>1086</v>
      </c>
      <c r="C495" s="10" t="s">
        <v>1426</v>
      </c>
      <c r="D495" s="10" t="str">
        <f>VLOOKUP(C495,Region!A:B,2,FALSE)</f>
        <v>Spain</v>
      </c>
      <c r="E495" s="10" t="s">
        <v>1427</v>
      </c>
      <c r="F495" s="11" t="s">
        <v>807</v>
      </c>
      <c r="G495" s="11" t="s">
        <v>1541</v>
      </c>
      <c r="H495" s="10" t="s">
        <v>809</v>
      </c>
    </row>
    <row r="496" spans="1:8" x14ac:dyDescent="0.25">
      <c r="A496" s="11" t="s">
        <v>1799</v>
      </c>
      <c r="B496" s="10" t="s">
        <v>1086</v>
      </c>
      <c r="C496" s="10" t="s">
        <v>1635</v>
      </c>
      <c r="D496" s="10" t="str">
        <f>VLOOKUP(C496,Region!A:B,2,FALSE)</f>
        <v>MBC US</v>
      </c>
      <c r="E496" s="10" t="s">
        <v>806</v>
      </c>
      <c r="F496" s="11" t="s">
        <v>811</v>
      </c>
      <c r="G496" s="11" t="s">
        <v>1800</v>
      </c>
      <c r="H496" s="10" t="s">
        <v>812</v>
      </c>
    </row>
    <row r="497" spans="1:8" x14ac:dyDescent="0.25">
      <c r="A497" s="11" t="s">
        <v>1824</v>
      </c>
      <c r="B497" s="10" t="s">
        <v>804</v>
      </c>
      <c r="C497" s="10" t="s">
        <v>1635</v>
      </c>
      <c r="D497" s="10" t="str">
        <f>VLOOKUP(C497,Region!A:B,2,FALSE)</f>
        <v>MBC US</v>
      </c>
      <c r="E497" s="10" t="s">
        <v>806</v>
      </c>
      <c r="F497" s="11" t="s">
        <v>823</v>
      </c>
      <c r="G497" s="11" t="s">
        <v>488</v>
      </c>
      <c r="H497" s="10" t="s">
        <v>812</v>
      </c>
    </row>
    <row r="498" spans="1:8" x14ac:dyDescent="0.25">
      <c r="A498" s="11" t="s">
        <v>2858</v>
      </c>
      <c r="B498" s="10" t="s">
        <v>804</v>
      </c>
      <c r="C498" s="10" t="s">
        <v>2752</v>
      </c>
      <c r="D498" s="10" t="str">
        <f>VLOOKUP(C498,Region!A:B,2,FALSE)</f>
        <v>Noida</v>
      </c>
      <c r="E498" s="10" t="s">
        <v>806</v>
      </c>
      <c r="F498" s="11" t="s">
        <v>814</v>
      </c>
      <c r="G498" s="11" t="s">
        <v>2859</v>
      </c>
      <c r="H498" s="10" t="s">
        <v>812</v>
      </c>
    </row>
    <row r="499" spans="1:8" x14ac:dyDescent="0.25">
      <c r="A499" s="11" t="s">
        <v>1813</v>
      </c>
      <c r="B499" s="10" t="s">
        <v>804</v>
      </c>
      <c r="C499" s="10" t="s">
        <v>1635</v>
      </c>
      <c r="D499" s="10" t="str">
        <f>VLOOKUP(C499,Region!A:B,2,FALSE)</f>
        <v>MBC US</v>
      </c>
      <c r="E499" s="10" t="s">
        <v>806</v>
      </c>
      <c r="F499" s="11" t="s">
        <v>807</v>
      </c>
      <c r="G499" s="11" t="s">
        <v>1814</v>
      </c>
      <c r="H499" s="10" t="s">
        <v>809</v>
      </c>
    </row>
    <row r="500" spans="1:8" x14ac:dyDescent="0.25">
      <c r="A500" s="11" t="s">
        <v>1572</v>
      </c>
      <c r="B500" s="10" t="s">
        <v>1086</v>
      </c>
      <c r="C500" s="10" t="s">
        <v>1426</v>
      </c>
      <c r="D500" s="10" t="str">
        <f>VLOOKUP(C500,Region!A:B,2,FALSE)</f>
        <v>Spain</v>
      </c>
      <c r="E500" s="10" t="s">
        <v>1427</v>
      </c>
      <c r="F500" s="11" t="s">
        <v>807</v>
      </c>
      <c r="G500" s="11" t="s">
        <v>1573</v>
      </c>
      <c r="H500" s="10" t="s">
        <v>809</v>
      </c>
    </row>
    <row r="501" spans="1:8" x14ac:dyDescent="0.25">
      <c r="A501" s="11" t="s">
        <v>2800</v>
      </c>
      <c r="B501" s="10" t="s">
        <v>804</v>
      </c>
      <c r="C501" s="10" t="s">
        <v>2752</v>
      </c>
      <c r="D501" s="10" t="str">
        <f>VLOOKUP(C501,Region!A:B,2,FALSE)</f>
        <v>Noida</v>
      </c>
      <c r="E501" s="10" t="s">
        <v>806</v>
      </c>
      <c r="F501" s="11" t="s">
        <v>811</v>
      </c>
      <c r="G501" s="11" t="s">
        <v>2801</v>
      </c>
      <c r="H501" s="10" t="s">
        <v>809</v>
      </c>
    </row>
    <row r="502" spans="1:8" x14ac:dyDescent="0.25">
      <c r="A502" s="11" t="s">
        <v>1804</v>
      </c>
      <c r="B502" s="10" t="s">
        <v>1086</v>
      </c>
      <c r="C502" s="10" t="s">
        <v>1635</v>
      </c>
      <c r="D502" s="10" t="str">
        <f>VLOOKUP(C502,Region!A:B,2,FALSE)</f>
        <v>MBC US</v>
      </c>
      <c r="E502" s="10" t="s">
        <v>806</v>
      </c>
      <c r="F502" s="11" t="s">
        <v>823</v>
      </c>
      <c r="G502" s="11" t="s">
        <v>1805</v>
      </c>
      <c r="H502" s="10" t="s">
        <v>809</v>
      </c>
    </row>
    <row r="503" spans="1:8" x14ac:dyDescent="0.25">
      <c r="A503" s="11" t="s">
        <v>1820</v>
      </c>
      <c r="B503" s="10" t="s">
        <v>1086</v>
      </c>
      <c r="C503" s="10" t="s">
        <v>1635</v>
      </c>
      <c r="D503" s="10" t="str">
        <f>VLOOKUP(C503,Region!A:B,2,FALSE)</f>
        <v>MBC US</v>
      </c>
      <c r="E503" s="10" t="s">
        <v>806</v>
      </c>
      <c r="F503" s="11" t="s">
        <v>807</v>
      </c>
      <c r="G503" s="11" t="s">
        <v>1821</v>
      </c>
      <c r="H503" s="10" t="s">
        <v>809</v>
      </c>
    </row>
    <row r="504" spans="1:8" x14ac:dyDescent="0.25">
      <c r="A504" s="11" t="s">
        <v>1840</v>
      </c>
      <c r="B504" s="10" t="s">
        <v>804</v>
      </c>
      <c r="C504" s="10" t="s">
        <v>1635</v>
      </c>
      <c r="D504" s="10" t="str">
        <f>VLOOKUP(C504,Region!A:B,2,FALSE)</f>
        <v>MBC US</v>
      </c>
      <c r="E504" s="10" t="s">
        <v>806</v>
      </c>
      <c r="F504" s="11" t="s">
        <v>823</v>
      </c>
      <c r="G504" s="11" t="s">
        <v>500</v>
      </c>
      <c r="H504" s="10" t="s">
        <v>812</v>
      </c>
    </row>
    <row r="505" spans="1:8" x14ac:dyDescent="0.25">
      <c r="A505" s="11" t="s">
        <v>1831</v>
      </c>
      <c r="B505" s="10" t="s">
        <v>1086</v>
      </c>
      <c r="C505" s="10" t="s">
        <v>1635</v>
      </c>
      <c r="D505" s="10" t="str">
        <f>VLOOKUP(C505,Region!A:B,2,FALSE)</f>
        <v>MBC US</v>
      </c>
      <c r="E505" s="10" t="s">
        <v>806</v>
      </c>
      <c r="F505" s="11" t="s">
        <v>807</v>
      </c>
      <c r="G505" s="11" t="s">
        <v>1832</v>
      </c>
      <c r="H505" s="10" t="s">
        <v>809</v>
      </c>
    </row>
    <row r="506" spans="1:8" x14ac:dyDescent="0.25">
      <c r="A506" s="11" t="s">
        <v>1843</v>
      </c>
      <c r="B506" s="10" t="s">
        <v>804</v>
      </c>
      <c r="C506" s="10" t="s">
        <v>1635</v>
      </c>
      <c r="D506" s="10" t="str">
        <f>VLOOKUP(C506,Region!A:B,2,FALSE)</f>
        <v>MBC US</v>
      </c>
      <c r="E506" s="10" t="s">
        <v>806</v>
      </c>
      <c r="F506" s="11" t="s">
        <v>814</v>
      </c>
      <c r="G506" s="11" t="s">
        <v>734</v>
      </c>
      <c r="H506" s="10" t="s">
        <v>812</v>
      </c>
    </row>
    <row r="507" spans="1:8" x14ac:dyDescent="0.25">
      <c r="A507" s="11" t="s">
        <v>3141</v>
      </c>
      <c r="B507" s="10" t="s">
        <v>1086</v>
      </c>
      <c r="C507" s="10" t="s">
        <v>2987</v>
      </c>
      <c r="D507" s="10" t="str">
        <f>VLOOKUP(C507,Region!A:B,2,FALSE)</f>
        <v>Noida</v>
      </c>
      <c r="E507" s="10" t="s">
        <v>1427</v>
      </c>
      <c r="F507" s="11" t="s">
        <v>814</v>
      </c>
      <c r="G507" s="11" t="s">
        <v>3142</v>
      </c>
      <c r="H507" s="10" t="s">
        <v>812</v>
      </c>
    </row>
    <row r="508" spans="1:8" x14ac:dyDescent="0.25">
      <c r="A508" s="11" t="s">
        <v>1375</v>
      </c>
      <c r="B508" s="10" t="s">
        <v>1086</v>
      </c>
      <c r="C508" s="10" t="s">
        <v>1087</v>
      </c>
      <c r="D508" s="10" t="str">
        <f>VLOOKUP(C508,Region!A:B,2,FALSE)</f>
        <v>Hyderabad</v>
      </c>
      <c r="E508" s="10" t="s">
        <v>806</v>
      </c>
      <c r="F508" s="11" t="s">
        <v>823</v>
      </c>
      <c r="G508" s="11" t="s">
        <v>1376</v>
      </c>
      <c r="H508" s="10" t="s">
        <v>809</v>
      </c>
    </row>
    <row r="509" spans="1:8" x14ac:dyDescent="0.25">
      <c r="A509" s="11" t="s">
        <v>1806</v>
      </c>
      <c r="B509" s="10" t="s">
        <v>804</v>
      </c>
      <c r="C509" s="10" t="s">
        <v>1635</v>
      </c>
      <c r="D509" s="10" t="str">
        <f>VLOOKUP(C509,Region!A:B,2,FALSE)</f>
        <v>MBC US</v>
      </c>
      <c r="E509" s="10" t="s">
        <v>806</v>
      </c>
      <c r="F509" s="11" t="s">
        <v>807</v>
      </c>
      <c r="G509" s="11" t="s">
        <v>1807</v>
      </c>
      <c r="H509" s="10" t="s">
        <v>809</v>
      </c>
    </row>
    <row r="510" spans="1:8" x14ac:dyDescent="0.25">
      <c r="A510" s="11" t="s">
        <v>894</v>
      </c>
      <c r="B510" s="10" t="s">
        <v>804</v>
      </c>
      <c r="C510" s="10" t="s">
        <v>805</v>
      </c>
      <c r="D510" s="10" t="str">
        <f>VLOOKUP(C510,Region!A:B,2,FALSE)</f>
        <v>Noida</v>
      </c>
      <c r="E510" s="10" t="s">
        <v>806</v>
      </c>
      <c r="F510" s="11" t="s">
        <v>823</v>
      </c>
      <c r="G510" s="11" t="s">
        <v>895</v>
      </c>
      <c r="H510" s="10" t="s">
        <v>812</v>
      </c>
    </row>
    <row r="511" spans="1:8" x14ac:dyDescent="0.25">
      <c r="A511" s="11" t="s">
        <v>1791</v>
      </c>
      <c r="B511" s="10" t="s">
        <v>804</v>
      </c>
      <c r="C511" s="10" t="s">
        <v>1635</v>
      </c>
      <c r="D511" s="10" t="str">
        <f>VLOOKUP(C511,Region!A:B,2,FALSE)</f>
        <v>MBC US</v>
      </c>
      <c r="E511" s="10" t="s">
        <v>806</v>
      </c>
      <c r="F511" s="11" t="s">
        <v>814</v>
      </c>
      <c r="G511" s="11" t="s">
        <v>1792</v>
      </c>
      <c r="H511" s="10" t="s">
        <v>809</v>
      </c>
    </row>
    <row r="512" spans="1:8" x14ac:dyDescent="0.25">
      <c r="A512" s="11" t="s">
        <v>2280</v>
      </c>
      <c r="B512" s="10" t="s">
        <v>804</v>
      </c>
      <c r="C512" s="10" t="s">
        <v>2041</v>
      </c>
      <c r="D512" s="10" t="str">
        <f>VLOOKUP(C512,Region!A:B,2,FALSE)</f>
        <v>Hyderabad</v>
      </c>
      <c r="E512" s="10" t="s">
        <v>1427</v>
      </c>
      <c r="F512" s="11" t="s">
        <v>807</v>
      </c>
      <c r="G512" s="11" t="s">
        <v>2281</v>
      </c>
      <c r="H512" s="10" t="s">
        <v>809</v>
      </c>
    </row>
    <row r="513" spans="1:8" x14ac:dyDescent="0.25">
      <c r="A513" s="11" t="s">
        <v>1815</v>
      </c>
      <c r="B513" s="10" t="s">
        <v>804</v>
      </c>
      <c r="C513" s="10" t="s">
        <v>1635</v>
      </c>
      <c r="D513" s="10" t="str">
        <f>VLOOKUP(C513,Region!A:B,2,FALSE)</f>
        <v>MBC US</v>
      </c>
      <c r="E513" s="10" t="s">
        <v>806</v>
      </c>
      <c r="F513" s="11" t="s">
        <v>814</v>
      </c>
      <c r="G513" s="11" t="s">
        <v>1816</v>
      </c>
      <c r="H513" s="10" t="s">
        <v>809</v>
      </c>
    </row>
    <row r="514" spans="1:8" x14ac:dyDescent="0.25">
      <c r="A514" s="11" t="s">
        <v>1822</v>
      </c>
      <c r="B514" s="10" t="s">
        <v>804</v>
      </c>
      <c r="C514" s="10" t="s">
        <v>1635</v>
      </c>
      <c r="D514" s="10" t="str">
        <f>VLOOKUP(C514,Region!A:B,2,FALSE)</f>
        <v>MBC US</v>
      </c>
      <c r="E514" s="10" t="s">
        <v>806</v>
      </c>
      <c r="F514" s="11" t="s">
        <v>814</v>
      </c>
      <c r="G514" s="11" t="s">
        <v>1823</v>
      </c>
      <c r="H514" s="10" t="s">
        <v>809</v>
      </c>
    </row>
    <row r="515" spans="1:8" x14ac:dyDescent="0.25">
      <c r="A515" s="11" t="s">
        <v>2645</v>
      </c>
      <c r="B515" s="10" t="s">
        <v>804</v>
      </c>
      <c r="C515" s="10" t="s">
        <v>2518</v>
      </c>
      <c r="D515" s="10" t="str">
        <f>VLOOKUP(C515,Region!A:B,2,FALSE)</f>
        <v>Noida</v>
      </c>
      <c r="E515" s="10" t="s">
        <v>1427</v>
      </c>
      <c r="F515" s="11" t="s">
        <v>823</v>
      </c>
      <c r="G515" s="11" t="s">
        <v>228</v>
      </c>
      <c r="H515" s="10" t="s">
        <v>812</v>
      </c>
    </row>
    <row r="516" spans="1:8" x14ac:dyDescent="0.25">
      <c r="A516" s="11" t="s">
        <v>2180</v>
      </c>
      <c r="B516" s="10" t="s">
        <v>804</v>
      </c>
      <c r="C516" s="10" t="s">
        <v>2041</v>
      </c>
      <c r="D516" s="10" t="str">
        <f>VLOOKUP(C516,Region!A:B,2,FALSE)</f>
        <v>Hyderabad</v>
      </c>
      <c r="E516" s="10" t="s">
        <v>1427</v>
      </c>
      <c r="F516" s="11" t="s">
        <v>811</v>
      </c>
      <c r="G516" s="11" t="s">
        <v>2181</v>
      </c>
      <c r="H516" s="10" t="s">
        <v>809</v>
      </c>
    </row>
    <row r="517" spans="1:8" x14ac:dyDescent="0.25">
      <c r="A517" s="11" t="s">
        <v>1801</v>
      </c>
      <c r="B517" s="10" t="s">
        <v>804</v>
      </c>
      <c r="C517" s="10" t="s">
        <v>1635</v>
      </c>
      <c r="D517" s="10" t="str">
        <f>VLOOKUP(C517,Region!A:B,2,FALSE)</f>
        <v>MBC US</v>
      </c>
      <c r="E517" s="10" t="s">
        <v>806</v>
      </c>
      <c r="F517" s="11" t="s">
        <v>823</v>
      </c>
      <c r="G517" s="11" t="s">
        <v>501</v>
      </c>
      <c r="H517" s="10" t="s">
        <v>812</v>
      </c>
    </row>
    <row r="518" spans="1:8" x14ac:dyDescent="0.25">
      <c r="A518" s="11" t="s">
        <v>1802</v>
      </c>
      <c r="B518" s="10" t="s">
        <v>1086</v>
      </c>
      <c r="C518" s="10" t="s">
        <v>1635</v>
      </c>
      <c r="D518" s="10" t="str">
        <f>VLOOKUP(C518,Region!A:B,2,FALSE)</f>
        <v>MBC US</v>
      </c>
      <c r="E518" s="10" t="s">
        <v>806</v>
      </c>
      <c r="F518" s="11" t="s">
        <v>807</v>
      </c>
      <c r="G518" s="11" t="s">
        <v>1803</v>
      </c>
      <c r="H518" s="10" t="s">
        <v>809</v>
      </c>
    </row>
    <row r="519" spans="1:8" x14ac:dyDescent="0.25">
      <c r="A519" s="11" t="s">
        <v>1819</v>
      </c>
      <c r="B519" s="10" t="s">
        <v>804</v>
      </c>
      <c r="C519" s="10" t="s">
        <v>1635</v>
      </c>
      <c r="D519" s="10" t="str">
        <f>VLOOKUP(C519,Region!A:B,2,FALSE)</f>
        <v>MBC US</v>
      </c>
      <c r="E519" s="10" t="s">
        <v>806</v>
      </c>
      <c r="F519" s="11" t="s">
        <v>807</v>
      </c>
      <c r="G519" s="11" t="s">
        <v>255</v>
      </c>
      <c r="H519" s="10" t="s">
        <v>812</v>
      </c>
    </row>
    <row r="520" spans="1:8" x14ac:dyDescent="0.25">
      <c r="A520" s="11" t="s">
        <v>1841</v>
      </c>
      <c r="B520" s="10" t="s">
        <v>804</v>
      </c>
      <c r="C520" s="10" t="s">
        <v>1635</v>
      </c>
      <c r="D520" s="10" t="str">
        <f>VLOOKUP(C520,Region!A:B,2,FALSE)</f>
        <v>MBC US</v>
      </c>
      <c r="E520" s="10" t="s">
        <v>806</v>
      </c>
      <c r="F520" s="11" t="s">
        <v>814</v>
      </c>
      <c r="G520" s="11" t="s">
        <v>1842</v>
      </c>
      <c r="H520" s="10" t="s">
        <v>812</v>
      </c>
    </row>
    <row r="521" spans="1:8" x14ac:dyDescent="0.25">
      <c r="A521" s="11" t="s">
        <v>3346</v>
      </c>
      <c r="B521" s="10" t="s">
        <v>1086</v>
      </c>
      <c r="C521" s="10" t="s">
        <v>3273</v>
      </c>
      <c r="D521" s="10" t="str">
        <f>VLOOKUP(C521,Region!A:B,2,FALSE)</f>
        <v>Noida</v>
      </c>
      <c r="E521" s="10" t="s">
        <v>806</v>
      </c>
      <c r="F521" s="11" t="s">
        <v>823</v>
      </c>
      <c r="G521" s="11" t="s">
        <v>3347</v>
      </c>
      <c r="H521" s="10" t="s">
        <v>812</v>
      </c>
    </row>
    <row r="522" spans="1:8" x14ac:dyDescent="0.25">
      <c r="A522" s="11" t="s">
        <v>1825</v>
      </c>
      <c r="B522" s="10" t="s">
        <v>1086</v>
      </c>
      <c r="C522" s="10" t="s">
        <v>1635</v>
      </c>
      <c r="D522" s="10" t="str">
        <f>VLOOKUP(C522,Region!A:B,2,FALSE)</f>
        <v>MBC US</v>
      </c>
      <c r="E522" s="10" t="s">
        <v>806</v>
      </c>
      <c r="F522" s="11" t="s">
        <v>814</v>
      </c>
      <c r="G522" s="11" t="s">
        <v>285</v>
      </c>
      <c r="H522" s="10" t="s">
        <v>812</v>
      </c>
    </row>
    <row r="523" spans="1:8" x14ac:dyDescent="0.25">
      <c r="A523" s="11" t="s">
        <v>1837</v>
      </c>
      <c r="B523" s="10" t="s">
        <v>804</v>
      </c>
      <c r="C523" s="10" t="s">
        <v>1635</v>
      </c>
      <c r="D523" s="10" t="str">
        <f>VLOOKUP(C523,Region!A:B,2,FALSE)</f>
        <v>MBC US</v>
      </c>
      <c r="E523" s="10" t="s">
        <v>806</v>
      </c>
      <c r="F523" s="11" t="s">
        <v>814</v>
      </c>
      <c r="G523" s="11" t="s">
        <v>267</v>
      </c>
      <c r="H523" s="10" t="s">
        <v>812</v>
      </c>
    </row>
    <row r="524" spans="1:8" x14ac:dyDescent="0.25">
      <c r="A524" s="11" t="s">
        <v>1833</v>
      </c>
      <c r="B524" s="10" t="s">
        <v>804</v>
      </c>
      <c r="C524" s="10" t="s">
        <v>1635</v>
      </c>
      <c r="D524" s="10" t="str">
        <f>VLOOKUP(C524,Region!A:B,2,FALSE)</f>
        <v>MBC US</v>
      </c>
      <c r="E524" s="10" t="s">
        <v>806</v>
      </c>
      <c r="F524" s="11" t="s">
        <v>811</v>
      </c>
      <c r="G524" s="11" t="s">
        <v>1834</v>
      </c>
      <c r="H524" s="10" t="s">
        <v>809</v>
      </c>
    </row>
    <row r="525" spans="1:8" x14ac:dyDescent="0.25">
      <c r="A525" s="11" t="s">
        <v>2722</v>
      </c>
      <c r="B525" s="10" t="s">
        <v>804</v>
      </c>
      <c r="C525" s="10" t="s">
        <v>2518</v>
      </c>
      <c r="D525" s="10" t="str">
        <f>VLOOKUP(C525,Region!A:B,2,FALSE)</f>
        <v>Noida</v>
      </c>
      <c r="E525" s="10" t="s">
        <v>1427</v>
      </c>
      <c r="F525" s="11" t="s">
        <v>823</v>
      </c>
      <c r="G525" s="11" t="s">
        <v>2723</v>
      </c>
      <c r="H525" s="10" t="s">
        <v>809</v>
      </c>
    </row>
    <row r="526" spans="1:8" x14ac:dyDescent="0.25">
      <c r="A526" s="11" t="s">
        <v>1808</v>
      </c>
      <c r="B526" s="10" t="s">
        <v>1086</v>
      </c>
      <c r="C526" s="10" t="s">
        <v>1635</v>
      </c>
      <c r="D526" s="10" t="str">
        <f>VLOOKUP(C526,Region!A:B,2,FALSE)</f>
        <v>MBC US</v>
      </c>
      <c r="E526" s="10" t="s">
        <v>806</v>
      </c>
      <c r="F526" s="11" t="s">
        <v>814</v>
      </c>
      <c r="G526" s="11" t="s">
        <v>311</v>
      </c>
      <c r="H526" s="10" t="s">
        <v>812</v>
      </c>
    </row>
    <row r="527" spans="1:8" x14ac:dyDescent="0.25">
      <c r="A527" s="11" t="s">
        <v>3083</v>
      </c>
      <c r="B527" s="10" t="s">
        <v>1086</v>
      </c>
      <c r="C527" s="10" t="s">
        <v>2987</v>
      </c>
      <c r="D527" s="10" t="str">
        <f>VLOOKUP(C527,Region!A:B,2,FALSE)</f>
        <v>Noida</v>
      </c>
      <c r="E527" s="10" t="s">
        <v>1427</v>
      </c>
      <c r="F527" s="11" t="s">
        <v>823</v>
      </c>
      <c r="G527" s="11" t="s">
        <v>3084</v>
      </c>
      <c r="H527" s="10" t="s">
        <v>809</v>
      </c>
    </row>
    <row r="528" spans="1:8" x14ac:dyDescent="0.25">
      <c r="A528" s="11" t="s">
        <v>1546</v>
      </c>
      <c r="B528" s="10" t="s">
        <v>1086</v>
      </c>
      <c r="C528" s="10" t="s">
        <v>1426</v>
      </c>
      <c r="D528" s="10" t="str">
        <f>VLOOKUP(C528,Region!A:B,2,FALSE)</f>
        <v>Spain</v>
      </c>
      <c r="E528" s="10" t="s">
        <v>1427</v>
      </c>
      <c r="F528" s="11" t="s">
        <v>811</v>
      </c>
      <c r="G528" s="11" t="s">
        <v>1547</v>
      </c>
      <c r="H528" s="10" t="s">
        <v>809</v>
      </c>
    </row>
    <row r="529" spans="1:8" x14ac:dyDescent="0.25">
      <c r="A529" s="11" t="s">
        <v>1793</v>
      </c>
      <c r="B529" s="10" t="s">
        <v>804</v>
      </c>
      <c r="C529" s="10" t="s">
        <v>1635</v>
      </c>
      <c r="D529" s="10" t="str">
        <f>VLOOKUP(C529,Region!A:B,2,FALSE)</f>
        <v>MBC US</v>
      </c>
      <c r="E529" s="10" t="s">
        <v>806</v>
      </c>
      <c r="F529" s="11" t="s">
        <v>834</v>
      </c>
      <c r="G529" s="11" t="s">
        <v>505</v>
      </c>
      <c r="H529" s="10" t="s">
        <v>812</v>
      </c>
    </row>
    <row r="530" spans="1:8" x14ac:dyDescent="0.25">
      <c r="A530" s="11" t="s">
        <v>1202</v>
      </c>
      <c r="B530" s="10" t="s">
        <v>1086</v>
      </c>
      <c r="C530" s="10" t="s">
        <v>1087</v>
      </c>
      <c r="D530" s="10" t="str">
        <f>VLOOKUP(C530,Region!A:B,2,FALSE)</f>
        <v>Hyderabad</v>
      </c>
      <c r="E530" s="10" t="s">
        <v>806</v>
      </c>
      <c r="F530" s="11" t="s">
        <v>807</v>
      </c>
      <c r="G530" s="11" t="s">
        <v>1203</v>
      </c>
      <c r="H530" s="10" t="s">
        <v>812</v>
      </c>
    </row>
    <row r="531" spans="1:8" x14ac:dyDescent="0.25">
      <c r="A531" s="11" t="s">
        <v>3455</v>
      </c>
      <c r="B531" s="10" t="s">
        <v>1086</v>
      </c>
      <c r="C531" s="10" t="s">
        <v>3273</v>
      </c>
      <c r="D531" s="10" t="str">
        <f>VLOOKUP(C531,Region!A:B,2,FALSE)</f>
        <v>Noida</v>
      </c>
      <c r="E531" s="10" t="s">
        <v>806</v>
      </c>
      <c r="F531" s="11" t="s">
        <v>823</v>
      </c>
      <c r="G531" s="11" t="s">
        <v>3456</v>
      </c>
      <c r="H531" s="10" t="s">
        <v>809</v>
      </c>
    </row>
    <row r="532" spans="1:8" x14ac:dyDescent="0.25">
      <c r="A532" s="11" t="s">
        <v>3081</v>
      </c>
      <c r="B532" s="10" t="s">
        <v>1086</v>
      </c>
      <c r="C532" s="10" t="s">
        <v>2987</v>
      </c>
      <c r="D532" s="10" t="str">
        <f>VLOOKUP(C532,Region!A:B,2,FALSE)</f>
        <v>Noida</v>
      </c>
      <c r="E532" s="10" t="s">
        <v>1427</v>
      </c>
      <c r="F532" s="11" t="s">
        <v>823</v>
      </c>
      <c r="G532" s="11" t="s">
        <v>3082</v>
      </c>
      <c r="H532" s="10" t="s">
        <v>809</v>
      </c>
    </row>
    <row r="533" spans="1:8" x14ac:dyDescent="0.25">
      <c r="A533" s="11" t="s">
        <v>2364</v>
      </c>
      <c r="B533" s="10" t="s">
        <v>804</v>
      </c>
      <c r="C533" s="10" t="s">
        <v>2041</v>
      </c>
      <c r="D533" s="10" t="str">
        <f>VLOOKUP(C533,Region!A:B,2,FALSE)</f>
        <v>Hyderabad</v>
      </c>
      <c r="E533" s="10" t="s">
        <v>1427</v>
      </c>
      <c r="F533" s="11" t="s">
        <v>814</v>
      </c>
      <c r="G533" s="11" t="s">
        <v>2365</v>
      </c>
      <c r="H533" s="10" t="s">
        <v>809</v>
      </c>
    </row>
    <row r="534" spans="1:8" x14ac:dyDescent="0.25">
      <c r="A534" s="11" t="s">
        <v>2562</v>
      </c>
      <c r="B534" s="10" t="s">
        <v>804</v>
      </c>
      <c r="C534" s="10" t="s">
        <v>2518</v>
      </c>
      <c r="D534" s="10" t="str">
        <f>VLOOKUP(C534,Region!A:B,2,FALSE)</f>
        <v>Noida</v>
      </c>
      <c r="E534" s="10" t="s">
        <v>1427</v>
      </c>
      <c r="F534" s="11" t="s">
        <v>811</v>
      </c>
      <c r="G534" s="11" t="s">
        <v>2563</v>
      </c>
      <c r="H534" s="10" t="s">
        <v>812</v>
      </c>
    </row>
    <row r="535" spans="1:8" x14ac:dyDescent="0.25">
      <c r="A535" s="11" t="s">
        <v>1809</v>
      </c>
      <c r="B535" s="10" t="s">
        <v>1086</v>
      </c>
      <c r="C535" s="10" t="s">
        <v>1635</v>
      </c>
      <c r="D535" s="10" t="str">
        <f>VLOOKUP(C535,Region!A:B,2,FALSE)</f>
        <v>MBC US</v>
      </c>
      <c r="E535" s="10" t="s">
        <v>806</v>
      </c>
      <c r="F535" s="11" t="s">
        <v>823</v>
      </c>
      <c r="G535" s="11" t="s">
        <v>1810</v>
      </c>
      <c r="H535" s="10" t="s">
        <v>809</v>
      </c>
    </row>
    <row r="536" spans="1:8" x14ac:dyDescent="0.25">
      <c r="A536" s="11" t="s">
        <v>1838</v>
      </c>
      <c r="B536" s="10" t="s">
        <v>804</v>
      </c>
      <c r="C536" s="10" t="s">
        <v>1635</v>
      </c>
      <c r="D536" s="10" t="str">
        <f>VLOOKUP(C536,Region!A:B,2,FALSE)</f>
        <v>MBC US</v>
      </c>
      <c r="E536" s="10" t="s">
        <v>806</v>
      </c>
      <c r="F536" s="11" t="s">
        <v>811</v>
      </c>
      <c r="G536" s="11" t="s">
        <v>1839</v>
      </c>
      <c r="H536" s="10" t="s">
        <v>809</v>
      </c>
    </row>
    <row r="537" spans="1:8" x14ac:dyDescent="0.25">
      <c r="A537" s="11" t="s">
        <v>1817</v>
      </c>
      <c r="B537" s="10" t="s">
        <v>804</v>
      </c>
      <c r="C537" s="10" t="s">
        <v>1635</v>
      </c>
      <c r="D537" s="10" t="str">
        <f>VLOOKUP(C537,Region!A:B,2,FALSE)</f>
        <v>MBC US</v>
      </c>
      <c r="E537" s="10" t="s">
        <v>806</v>
      </c>
      <c r="F537" s="11" t="s">
        <v>814</v>
      </c>
      <c r="G537" s="11" t="s">
        <v>1818</v>
      </c>
      <c r="H537" s="10" t="s">
        <v>809</v>
      </c>
    </row>
    <row r="538" spans="1:8" x14ac:dyDescent="0.25">
      <c r="A538" s="11" t="s">
        <v>2282</v>
      </c>
      <c r="B538" s="10" t="s">
        <v>804</v>
      </c>
      <c r="C538" s="10" t="s">
        <v>2041</v>
      </c>
      <c r="D538" s="10" t="str">
        <f>VLOOKUP(C538,Region!A:B,2,FALSE)</f>
        <v>Hyderabad</v>
      </c>
      <c r="E538" s="10" t="s">
        <v>1427</v>
      </c>
      <c r="F538" s="11" t="s">
        <v>807</v>
      </c>
      <c r="G538" s="11" t="s">
        <v>2283</v>
      </c>
      <c r="H538" s="10" t="s">
        <v>809</v>
      </c>
    </row>
    <row r="539" spans="1:8" x14ac:dyDescent="0.25">
      <c r="A539" s="11" t="s">
        <v>2284</v>
      </c>
      <c r="B539" s="10" t="s">
        <v>804</v>
      </c>
      <c r="C539" s="10" t="s">
        <v>2041</v>
      </c>
      <c r="D539" s="10" t="str">
        <f>VLOOKUP(C539,Region!A:B,2,FALSE)</f>
        <v>Hyderabad</v>
      </c>
      <c r="E539" s="10" t="s">
        <v>1427</v>
      </c>
      <c r="F539" s="11" t="s">
        <v>807</v>
      </c>
      <c r="G539" s="11" t="s">
        <v>2285</v>
      </c>
      <c r="H539" s="10" t="s">
        <v>812</v>
      </c>
    </row>
    <row r="540" spans="1:8" x14ac:dyDescent="0.25">
      <c r="A540" s="11" t="s">
        <v>3232</v>
      </c>
      <c r="B540" s="10" t="s">
        <v>1086</v>
      </c>
      <c r="C540" s="10" t="s">
        <v>2987</v>
      </c>
      <c r="D540" s="10" t="str">
        <f>VLOOKUP(C540,Region!A:B,2,FALSE)</f>
        <v>Noida</v>
      </c>
      <c r="E540" s="10" t="s">
        <v>1427</v>
      </c>
      <c r="F540" s="11" t="s">
        <v>814</v>
      </c>
      <c r="G540" s="11" t="s">
        <v>3233</v>
      </c>
      <c r="H540" s="10" t="s">
        <v>809</v>
      </c>
    </row>
    <row r="541" spans="1:8" x14ac:dyDescent="0.25">
      <c r="A541" s="11" t="s">
        <v>1552</v>
      </c>
      <c r="B541" s="10" t="s">
        <v>804</v>
      </c>
      <c r="C541" s="10" t="s">
        <v>1426</v>
      </c>
      <c r="D541" s="10" t="str">
        <f>VLOOKUP(C541,Region!A:B,2,FALSE)</f>
        <v>Spain</v>
      </c>
      <c r="E541" s="10" t="s">
        <v>1427</v>
      </c>
      <c r="F541" s="11" t="s">
        <v>807</v>
      </c>
      <c r="G541" s="11" t="s">
        <v>472</v>
      </c>
      <c r="H541" s="10" t="s">
        <v>812</v>
      </c>
    </row>
    <row r="542" spans="1:8" x14ac:dyDescent="0.25">
      <c r="A542" s="11" t="s">
        <v>1544</v>
      </c>
      <c r="B542" s="10" t="s">
        <v>1086</v>
      </c>
      <c r="C542" s="10" t="s">
        <v>1426</v>
      </c>
      <c r="D542" s="10" t="str">
        <f>VLOOKUP(C542,Region!A:B,2,FALSE)</f>
        <v>Spain</v>
      </c>
      <c r="E542" s="10" t="s">
        <v>1427</v>
      </c>
      <c r="F542" s="11" t="s">
        <v>807</v>
      </c>
      <c r="G542" s="11" t="s">
        <v>1545</v>
      </c>
      <c r="H542" s="10" t="s">
        <v>809</v>
      </c>
    </row>
    <row r="543" spans="1:8" x14ac:dyDescent="0.25">
      <c r="A543" s="11" t="s">
        <v>2182</v>
      </c>
      <c r="B543" s="10" t="s">
        <v>804</v>
      </c>
      <c r="C543" s="10" t="s">
        <v>2041</v>
      </c>
      <c r="D543" s="10" t="str">
        <f>VLOOKUP(C543,Region!A:B,2,FALSE)</f>
        <v>Hyderabad</v>
      </c>
      <c r="E543" s="10" t="s">
        <v>1427</v>
      </c>
      <c r="F543" s="11" t="s">
        <v>811</v>
      </c>
      <c r="G543" s="11" t="s">
        <v>2183</v>
      </c>
      <c r="H543" s="10" t="s">
        <v>809</v>
      </c>
    </row>
    <row r="544" spans="1:8" x14ac:dyDescent="0.25">
      <c r="A544" s="11" t="s">
        <v>3250</v>
      </c>
      <c r="B544" s="10" t="s">
        <v>1086</v>
      </c>
      <c r="C544" s="10" t="s">
        <v>2987</v>
      </c>
      <c r="D544" s="10" t="str">
        <f>VLOOKUP(C544,Region!A:B,2,FALSE)</f>
        <v>Noida</v>
      </c>
      <c r="E544" s="10" t="s">
        <v>1427</v>
      </c>
      <c r="F544" s="11" t="s">
        <v>811</v>
      </c>
      <c r="G544" s="11" t="s">
        <v>3251</v>
      </c>
      <c r="H544" s="10" t="s">
        <v>809</v>
      </c>
    </row>
    <row r="545" spans="1:8" x14ac:dyDescent="0.25">
      <c r="A545" s="11" t="s">
        <v>1549</v>
      </c>
      <c r="B545" s="10" t="s">
        <v>1086</v>
      </c>
      <c r="C545" s="10" t="s">
        <v>1426</v>
      </c>
      <c r="D545" s="10" t="str">
        <f>VLOOKUP(C545,Region!A:B,2,FALSE)</f>
        <v>Spain</v>
      </c>
      <c r="E545" s="10" t="s">
        <v>1427</v>
      </c>
      <c r="F545" s="11" t="s">
        <v>823</v>
      </c>
      <c r="G545" s="11" t="s">
        <v>1550</v>
      </c>
      <c r="H545" s="10" t="s">
        <v>809</v>
      </c>
    </row>
    <row r="546" spans="1:8" x14ac:dyDescent="0.25">
      <c r="A546" s="11" t="s">
        <v>1551</v>
      </c>
      <c r="B546" s="10" t="s">
        <v>804</v>
      </c>
      <c r="C546" s="10" t="s">
        <v>1426</v>
      </c>
      <c r="D546" s="10" t="str">
        <f>VLOOKUP(C546,Region!A:B,2,FALSE)</f>
        <v>Spain</v>
      </c>
      <c r="E546" s="10" t="s">
        <v>1427</v>
      </c>
      <c r="F546" s="11" t="s">
        <v>823</v>
      </c>
      <c r="G546" s="11" t="s">
        <v>294</v>
      </c>
      <c r="H546" s="10" t="s">
        <v>812</v>
      </c>
    </row>
    <row r="547" spans="1:8" x14ac:dyDescent="0.25">
      <c r="A547" s="11" t="s">
        <v>1538</v>
      </c>
      <c r="B547" s="10" t="s">
        <v>804</v>
      </c>
      <c r="C547" s="10" t="s">
        <v>1426</v>
      </c>
      <c r="D547" s="10" t="str">
        <f>VLOOKUP(C547,Region!A:B,2,FALSE)</f>
        <v>Spain</v>
      </c>
      <c r="E547" s="10" t="s">
        <v>1427</v>
      </c>
      <c r="F547" s="11" t="s">
        <v>807</v>
      </c>
      <c r="G547" s="11" t="s">
        <v>1539</v>
      </c>
      <c r="H547" s="10" t="s">
        <v>809</v>
      </c>
    </row>
    <row r="548" spans="1:8" x14ac:dyDescent="0.25">
      <c r="A548" s="11" t="s">
        <v>1794</v>
      </c>
      <c r="B548" s="10" t="s">
        <v>804</v>
      </c>
      <c r="C548" s="10" t="s">
        <v>1635</v>
      </c>
      <c r="D548" s="10" t="str">
        <f>VLOOKUP(C548,Region!A:B,2,FALSE)</f>
        <v>MBC US</v>
      </c>
      <c r="E548" s="10" t="s">
        <v>806</v>
      </c>
      <c r="F548" s="11" t="s">
        <v>834</v>
      </c>
      <c r="G548" s="11" t="s">
        <v>1795</v>
      </c>
      <c r="H548" s="10" t="s">
        <v>809</v>
      </c>
    </row>
    <row r="549" spans="1:8" x14ac:dyDescent="0.25">
      <c r="A549" s="11" t="s">
        <v>2366</v>
      </c>
      <c r="B549" s="10" t="s">
        <v>804</v>
      </c>
      <c r="C549" s="10" t="s">
        <v>2041</v>
      </c>
      <c r="D549" s="10" t="str">
        <f>VLOOKUP(C549,Region!A:B,2,FALSE)</f>
        <v>Hyderabad</v>
      </c>
      <c r="E549" s="10" t="s">
        <v>1427</v>
      </c>
      <c r="F549" s="11" t="s">
        <v>814</v>
      </c>
      <c r="G549" s="11" t="s">
        <v>2367</v>
      </c>
      <c r="H549" s="10" t="s">
        <v>809</v>
      </c>
    </row>
    <row r="550" spans="1:8" x14ac:dyDescent="0.25">
      <c r="A550" s="11" t="s">
        <v>2724</v>
      </c>
      <c r="B550" s="10" t="s">
        <v>804</v>
      </c>
      <c r="C550" s="10" t="s">
        <v>2518</v>
      </c>
      <c r="D550" s="10" t="str">
        <f>VLOOKUP(C550,Region!A:B,2,FALSE)</f>
        <v>Noida</v>
      </c>
      <c r="E550" s="10" t="s">
        <v>1427</v>
      </c>
      <c r="F550" s="11" t="s">
        <v>823</v>
      </c>
      <c r="G550" s="11" t="s">
        <v>2725</v>
      </c>
      <c r="H550" s="10" t="s">
        <v>809</v>
      </c>
    </row>
    <row r="551" spans="1:8" x14ac:dyDescent="0.25">
      <c r="A551" s="11" t="s">
        <v>2564</v>
      </c>
      <c r="B551" s="10" t="s">
        <v>804</v>
      </c>
      <c r="C551" s="10" t="s">
        <v>2518</v>
      </c>
      <c r="D551" s="10" t="str">
        <f>VLOOKUP(C551,Region!A:B,2,FALSE)</f>
        <v>Noida</v>
      </c>
      <c r="E551" s="10" t="s">
        <v>1427</v>
      </c>
      <c r="F551" s="11" t="s">
        <v>811</v>
      </c>
      <c r="G551" s="11" t="s">
        <v>2565</v>
      </c>
      <c r="H551" s="10" t="s">
        <v>812</v>
      </c>
    </row>
    <row r="552" spans="1:8" x14ac:dyDescent="0.25">
      <c r="A552" s="11" t="s">
        <v>3301</v>
      </c>
      <c r="B552" s="10" t="s">
        <v>1086</v>
      </c>
      <c r="C552" s="10" t="s">
        <v>3273</v>
      </c>
      <c r="D552" s="10" t="str">
        <f>VLOOKUP(C552,Region!A:B,2,FALSE)</f>
        <v>Noida</v>
      </c>
      <c r="E552" s="10" t="s">
        <v>806</v>
      </c>
      <c r="F552" s="11" t="s">
        <v>807</v>
      </c>
      <c r="G552" s="11" t="s">
        <v>3302</v>
      </c>
      <c r="H552" s="10" t="s">
        <v>809</v>
      </c>
    </row>
    <row r="553" spans="1:8" x14ac:dyDescent="0.25">
      <c r="A553" s="11" t="s">
        <v>924</v>
      </c>
      <c r="B553" s="10" t="s">
        <v>804</v>
      </c>
      <c r="C553" s="10" t="s">
        <v>805</v>
      </c>
      <c r="D553" s="10" t="str">
        <f>VLOOKUP(C553,Region!A:B,2,FALSE)</f>
        <v>Noida</v>
      </c>
      <c r="E553" s="10" t="s">
        <v>806</v>
      </c>
      <c r="F553" s="11" t="s">
        <v>814</v>
      </c>
      <c r="G553" s="11" t="s">
        <v>925</v>
      </c>
      <c r="H553" s="10" t="s">
        <v>809</v>
      </c>
    </row>
    <row r="554" spans="1:8" x14ac:dyDescent="0.25">
      <c r="A554" s="11" t="s">
        <v>2953</v>
      </c>
      <c r="B554" s="10" t="s">
        <v>804</v>
      </c>
      <c r="C554" s="10" t="s">
        <v>2752</v>
      </c>
      <c r="D554" s="10" t="str">
        <f>VLOOKUP(C554,Region!A:B,2,FALSE)</f>
        <v>Noida</v>
      </c>
      <c r="E554" s="10" t="s">
        <v>806</v>
      </c>
      <c r="F554" s="11" t="s">
        <v>811</v>
      </c>
      <c r="G554" s="11" t="s">
        <v>2954</v>
      </c>
      <c r="H554" s="10" t="s">
        <v>812</v>
      </c>
    </row>
    <row r="555" spans="1:8" x14ac:dyDescent="0.25">
      <c r="A555" s="11" t="s">
        <v>2510</v>
      </c>
      <c r="B555" s="10" t="s">
        <v>804</v>
      </c>
      <c r="C555" s="10" t="s">
        <v>2041</v>
      </c>
      <c r="D555" s="10" t="str">
        <f>VLOOKUP(C555,Region!A:B,2,FALSE)</f>
        <v>Hyderabad</v>
      </c>
      <c r="E555" s="10" t="s">
        <v>1427</v>
      </c>
      <c r="F555" s="11" t="s">
        <v>814</v>
      </c>
      <c r="G555" s="11" t="s">
        <v>2511</v>
      </c>
      <c r="H555" s="10" t="s">
        <v>809</v>
      </c>
    </row>
    <row r="556" spans="1:8" x14ac:dyDescent="0.25">
      <c r="A556" s="11" t="s">
        <v>1830</v>
      </c>
      <c r="B556" s="10" t="s">
        <v>804</v>
      </c>
      <c r="C556" s="10" t="s">
        <v>1635</v>
      </c>
      <c r="D556" s="10" t="str">
        <f>VLOOKUP(C556,Region!A:B,2,FALSE)</f>
        <v>MBC US</v>
      </c>
      <c r="E556" s="10" t="s">
        <v>806</v>
      </c>
      <c r="F556" s="11" t="s">
        <v>811</v>
      </c>
      <c r="G556" s="11" t="s">
        <v>280</v>
      </c>
      <c r="H556" s="10" t="s">
        <v>812</v>
      </c>
    </row>
    <row r="557" spans="1:8" x14ac:dyDescent="0.25">
      <c r="A557" s="11" t="s">
        <v>852</v>
      </c>
      <c r="B557" s="10" t="s">
        <v>804</v>
      </c>
      <c r="C557" s="10" t="s">
        <v>805</v>
      </c>
      <c r="D557" s="10" t="str">
        <f>VLOOKUP(C557,Region!A:B,2,FALSE)</f>
        <v>Noida</v>
      </c>
      <c r="E557" s="10" t="s">
        <v>806</v>
      </c>
      <c r="F557" s="11" t="s">
        <v>823</v>
      </c>
      <c r="G557" s="11" t="s">
        <v>853</v>
      </c>
      <c r="H557" s="10" t="s">
        <v>812</v>
      </c>
    </row>
    <row r="558" spans="1:8" x14ac:dyDescent="0.25">
      <c r="A558" s="11" t="s">
        <v>1796</v>
      </c>
      <c r="B558" s="10" t="s">
        <v>804</v>
      </c>
      <c r="C558" s="10" t="s">
        <v>1635</v>
      </c>
      <c r="D558" s="10" t="str">
        <f>VLOOKUP(C558,Region!A:B,2,FALSE)</f>
        <v>MBC US</v>
      </c>
      <c r="E558" s="10" t="s">
        <v>806</v>
      </c>
      <c r="F558" s="11" t="s">
        <v>814</v>
      </c>
      <c r="G558" s="11" t="s">
        <v>1797</v>
      </c>
      <c r="H558" s="10" t="s">
        <v>809</v>
      </c>
    </row>
    <row r="559" spans="1:8" x14ac:dyDescent="0.25">
      <c r="A559" s="11" t="s">
        <v>1543</v>
      </c>
      <c r="B559" s="10" t="s">
        <v>1086</v>
      </c>
      <c r="C559" s="10" t="s">
        <v>1426</v>
      </c>
      <c r="D559" s="10" t="str">
        <f>VLOOKUP(C559,Region!A:B,2,FALSE)</f>
        <v>Spain</v>
      </c>
      <c r="E559" s="10" t="s">
        <v>1427</v>
      </c>
      <c r="F559" s="11" t="s">
        <v>807</v>
      </c>
      <c r="G559" s="11" t="s">
        <v>247</v>
      </c>
      <c r="H559" s="10" t="s">
        <v>812</v>
      </c>
    </row>
    <row r="560" spans="1:8" x14ac:dyDescent="0.25">
      <c r="A560" s="11" t="s">
        <v>825</v>
      </c>
      <c r="B560" s="10" t="s">
        <v>804</v>
      </c>
      <c r="C560" s="10" t="s">
        <v>805</v>
      </c>
      <c r="D560" s="10" t="str">
        <f>VLOOKUP(C560,Region!A:B,2,FALSE)</f>
        <v>Noida</v>
      </c>
      <c r="E560" s="10" t="s">
        <v>806</v>
      </c>
      <c r="F560" s="11" t="s">
        <v>807</v>
      </c>
      <c r="G560" s="11" t="s">
        <v>826</v>
      </c>
      <c r="H560" s="10" t="s">
        <v>809</v>
      </c>
    </row>
    <row r="561" spans="1:8" x14ac:dyDescent="0.25">
      <c r="A561" s="11" t="s">
        <v>3258</v>
      </c>
      <c r="B561" s="10" t="s">
        <v>1086</v>
      </c>
      <c r="C561" s="10" t="s">
        <v>2987</v>
      </c>
      <c r="D561" s="10" t="str">
        <f>VLOOKUP(C561,Region!A:B,2,FALSE)</f>
        <v>Noida</v>
      </c>
      <c r="E561" s="10" t="s">
        <v>1427</v>
      </c>
      <c r="F561" s="11" t="s">
        <v>811</v>
      </c>
      <c r="G561" s="11" t="s">
        <v>3259</v>
      </c>
      <c r="H561" s="10" t="s">
        <v>809</v>
      </c>
    </row>
    <row r="562" spans="1:8" x14ac:dyDescent="0.25">
      <c r="A562" s="11" t="s">
        <v>1798</v>
      </c>
      <c r="B562" s="10" t="s">
        <v>804</v>
      </c>
      <c r="C562" s="10" t="s">
        <v>1635</v>
      </c>
      <c r="D562" s="10" t="str">
        <f>VLOOKUP(C562,Region!A:B,2,FALSE)</f>
        <v>MBC US</v>
      </c>
      <c r="E562" s="10" t="s">
        <v>806</v>
      </c>
      <c r="F562" s="11" t="s">
        <v>814</v>
      </c>
      <c r="G562" s="11" t="s">
        <v>496</v>
      </c>
      <c r="H562" s="10" t="s">
        <v>812</v>
      </c>
    </row>
    <row r="563" spans="1:8" x14ac:dyDescent="0.25">
      <c r="A563" s="11" t="s">
        <v>1553</v>
      </c>
      <c r="B563" s="10" t="s">
        <v>1086</v>
      </c>
      <c r="C563" s="10" t="s">
        <v>1426</v>
      </c>
      <c r="D563" s="10" t="str">
        <f>VLOOKUP(C563,Region!A:B,2,FALSE)</f>
        <v>Spain</v>
      </c>
      <c r="E563" s="10" t="s">
        <v>1427</v>
      </c>
      <c r="F563" s="11" t="s">
        <v>807</v>
      </c>
      <c r="G563" s="11" t="s">
        <v>1554</v>
      </c>
      <c r="H563" s="10" t="s">
        <v>809</v>
      </c>
    </row>
    <row r="564" spans="1:8" x14ac:dyDescent="0.25">
      <c r="A564" s="11" t="s">
        <v>1811</v>
      </c>
      <c r="B564" s="10" t="s">
        <v>804</v>
      </c>
      <c r="C564" s="10" t="s">
        <v>1635</v>
      </c>
      <c r="D564" s="10" t="str">
        <f>VLOOKUP(C564,Region!A:B,2,FALSE)</f>
        <v>MBC US</v>
      </c>
      <c r="E564" s="10" t="s">
        <v>806</v>
      </c>
      <c r="F564" s="11" t="s">
        <v>814</v>
      </c>
      <c r="G564" s="11" t="s">
        <v>1812</v>
      </c>
      <c r="H564" s="10" t="s">
        <v>809</v>
      </c>
    </row>
    <row r="565" spans="1:8" x14ac:dyDescent="0.25">
      <c r="A565" s="11" t="s">
        <v>3447</v>
      </c>
      <c r="B565" s="10" t="s">
        <v>1086</v>
      </c>
      <c r="C565" s="10" t="s">
        <v>3273</v>
      </c>
      <c r="D565" s="10" t="str">
        <f>VLOOKUP(C565,Region!A:B,2,FALSE)</f>
        <v>Noida</v>
      </c>
      <c r="E565" s="10" t="s">
        <v>806</v>
      </c>
      <c r="F565" s="11" t="s">
        <v>811</v>
      </c>
      <c r="G565" s="11" t="s">
        <v>3448</v>
      </c>
      <c r="H565" s="10" t="s">
        <v>809</v>
      </c>
    </row>
    <row r="566" spans="1:8" x14ac:dyDescent="0.25">
      <c r="A566" s="11" t="s">
        <v>3079</v>
      </c>
      <c r="B566" s="10" t="s">
        <v>1086</v>
      </c>
      <c r="C566" s="10" t="s">
        <v>2987</v>
      </c>
      <c r="D566" s="10" t="str">
        <f>VLOOKUP(C566,Region!A:B,2,FALSE)</f>
        <v>Noida</v>
      </c>
      <c r="E566" s="10" t="s">
        <v>1427</v>
      </c>
      <c r="F566" s="11" t="s">
        <v>811</v>
      </c>
      <c r="G566" s="11" t="s">
        <v>3080</v>
      </c>
      <c r="H566" s="10" t="s">
        <v>809</v>
      </c>
    </row>
    <row r="567" spans="1:8" x14ac:dyDescent="0.25">
      <c r="A567" s="11" t="s">
        <v>2286</v>
      </c>
      <c r="B567" s="10" t="s">
        <v>804</v>
      </c>
      <c r="C567" s="10" t="s">
        <v>2041</v>
      </c>
      <c r="D567" s="10" t="str">
        <f>VLOOKUP(C567,Region!A:B,2,FALSE)</f>
        <v>Hyderabad</v>
      </c>
      <c r="E567" s="10" t="s">
        <v>1427</v>
      </c>
      <c r="F567" s="11" t="s">
        <v>807</v>
      </c>
      <c r="G567" s="11" t="s">
        <v>2287</v>
      </c>
      <c r="H567" s="10" t="s">
        <v>809</v>
      </c>
    </row>
    <row r="568" spans="1:8" x14ac:dyDescent="0.25">
      <c r="A568" s="11" t="s">
        <v>2826</v>
      </c>
      <c r="B568" s="10" t="s">
        <v>804</v>
      </c>
      <c r="C568" s="10" t="s">
        <v>2752</v>
      </c>
      <c r="D568" s="10" t="str">
        <f>VLOOKUP(C568,Region!A:B,2,FALSE)</f>
        <v>Noida</v>
      </c>
      <c r="E568" s="10" t="s">
        <v>806</v>
      </c>
      <c r="F568" s="11" t="s">
        <v>823</v>
      </c>
      <c r="G568" s="11" t="s">
        <v>2827</v>
      </c>
      <c r="H568" s="10" t="s">
        <v>812</v>
      </c>
    </row>
    <row r="569" spans="1:8" x14ac:dyDescent="0.25">
      <c r="A569" s="11" t="s">
        <v>1851</v>
      </c>
      <c r="B569" s="10" t="s">
        <v>804</v>
      </c>
      <c r="C569" s="10" t="s">
        <v>1635</v>
      </c>
      <c r="D569" s="10" t="str">
        <f>VLOOKUP(C569,Region!A:B,2,FALSE)</f>
        <v>MBC US</v>
      </c>
      <c r="E569" s="10" t="s">
        <v>806</v>
      </c>
      <c r="F569" s="11" t="s">
        <v>823</v>
      </c>
      <c r="G569" s="11" t="s">
        <v>216</v>
      </c>
      <c r="H569" s="10" t="s">
        <v>812</v>
      </c>
    </row>
    <row r="570" spans="1:8" x14ac:dyDescent="0.25">
      <c r="A570" s="11" t="s">
        <v>1190</v>
      </c>
      <c r="B570" s="10" t="s">
        <v>1086</v>
      </c>
      <c r="C570" s="10" t="s">
        <v>1087</v>
      </c>
      <c r="D570" s="10" t="str">
        <f>VLOOKUP(C570,Region!A:B,2,FALSE)</f>
        <v>Hyderabad</v>
      </c>
      <c r="E570" s="10" t="s">
        <v>806</v>
      </c>
      <c r="F570" s="11" t="s">
        <v>807</v>
      </c>
      <c r="G570" s="11" t="s">
        <v>1191</v>
      </c>
      <c r="H570" s="10" t="s">
        <v>812</v>
      </c>
    </row>
    <row r="571" spans="1:8" x14ac:dyDescent="0.25">
      <c r="A571" s="11" t="s">
        <v>2834</v>
      </c>
      <c r="B571" s="10" t="s">
        <v>804</v>
      </c>
      <c r="C571" s="10" t="s">
        <v>2752</v>
      </c>
      <c r="D571" s="10" t="str">
        <f>VLOOKUP(C571,Region!A:B,2,FALSE)</f>
        <v>Noida</v>
      </c>
      <c r="E571" s="10" t="s">
        <v>806</v>
      </c>
      <c r="F571" s="11" t="s">
        <v>823</v>
      </c>
      <c r="G571" s="11" t="s">
        <v>2835</v>
      </c>
      <c r="H571" s="10" t="s">
        <v>812</v>
      </c>
    </row>
    <row r="572" spans="1:8" x14ac:dyDescent="0.25">
      <c r="A572" s="11" t="s">
        <v>1133</v>
      </c>
      <c r="B572" s="10" t="s">
        <v>1086</v>
      </c>
      <c r="C572" s="10" t="s">
        <v>1087</v>
      </c>
      <c r="D572" s="10" t="str">
        <f>VLOOKUP(C572,Region!A:B,2,FALSE)</f>
        <v>Hyderabad</v>
      </c>
      <c r="E572" s="10" t="s">
        <v>806</v>
      </c>
      <c r="F572" s="11" t="s">
        <v>811</v>
      </c>
      <c r="G572" s="11" t="s">
        <v>1134</v>
      </c>
      <c r="H572" s="10" t="s">
        <v>809</v>
      </c>
    </row>
    <row r="573" spans="1:8" x14ac:dyDescent="0.25">
      <c r="A573" s="11" t="s">
        <v>1853</v>
      </c>
      <c r="B573" s="10" t="s">
        <v>804</v>
      </c>
      <c r="C573" s="10" t="s">
        <v>1635</v>
      </c>
      <c r="D573" s="10" t="str">
        <f>VLOOKUP(C573,Region!A:B,2,FALSE)</f>
        <v>MBC US</v>
      </c>
      <c r="E573" s="10" t="s">
        <v>806</v>
      </c>
      <c r="F573" s="11" t="s">
        <v>814</v>
      </c>
      <c r="G573" s="11" t="s">
        <v>1854</v>
      </c>
      <c r="H573" s="10" t="s">
        <v>809</v>
      </c>
    </row>
    <row r="574" spans="1:8" x14ac:dyDescent="0.25">
      <c r="A574" s="11" t="s">
        <v>2368</v>
      </c>
      <c r="B574" s="10" t="s">
        <v>804</v>
      </c>
      <c r="C574" s="10" t="s">
        <v>2041</v>
      </c>
      <c r="D574" s="10" t="str">
        <f>VLOOKUP(C574,Region!A:B,2,FALSE)</f>
        <v>Hyderabad</v>
      </c>
      <c r="E574" s="10" t="s">
        <v>1427</v>
      </c>
      <c r="F574" s="11" t="s">
        <v>814</v>
      </c>
      <c r="G574" s="11" t="s">
        <v>2369</v>
      </c>
      <c r="H574" s="10" t="s">
        <v>809</v>
      </c>
    </row>
    <row r="575" spans="1:8" x14ac:dyDescent="0.25">
      <c r="A575" s="11" t="s">
        <v>3087</v>
      </c>
      <c r="B575" s="10" t="s">
        <v>1086</v>
      </c>
      <c r="C575" s="10" t="s">
        <v>2987</v>
      </c>
      <c r="D575" s="10" t="str">
        <f>VLOOKUP(C575,Region!A:B,2,FALSE)</f>
        <v>Noida</v>
      </c>
      <c r="E575" s="10" t="s">
        <v>1427</v>
      </c>
      <c r="F575" s="11" t="s">
        <v>807</v>
      </c>
      <c r="G575" s="11" t="s">
        <v>3088</v>
      </c>
      <c r="H575" s="10" t="s">
        <v>809</v>
      </c>
    </row>
    <row r="576" spans="1:8" x14ac:dyDescent="0.25">
      <c r="A576" s="11" t="s">
        <v>2184</v>
      </c>
      <c r="B576" s="10" t="s">
        <v>804</v>
      </c>
      <c r="C576" s="10" t="s">
        <v>2041</v>
      </c>
      <c r="D576" s="10" t="str">
        <f>VLOOKUP(C576,Region!A:B,2,FALSE)</f>
        <v>Hyderabad</v>
      </c>
      <c r="E576" s="10" t="s">
        <v>1427</v>
      </c>
      <c r="F576" s="11" t="s">
        <v>811</v>
      </c>
      <c r="G576" s="11" t="s">
        <v>2185</v>
      </c>
      <c r="H576" s="10" t="s">
        <v>809</v>
      </c>
    </row>
    <row r="577" spans="1:8" x14ac:dyDescent="0.25">
      <c r="A577" s="11" t="s">
        <v>3089</v>
      </c>
      <c r="B577" s="10" t="s">
        <v>1086</v>
      </c>
      <c r="C577" s="10" t="s">
        <v>2987</v>
      </c>
      <c r="D577" s="10" t="str">
        <f>VLOOKUP(C577,Region!A:B,2,FALSE)</f>
        <v>Noida</v>
      </c>
      <c r="E577" s="10" t="s">
        <v>1427</v>
      </c>
      <c r="F577" s="11" t="s">
        <v>811</v>
      </c>
      <c r="G577" s="11" t="s">
        <v>3090</v>
      </c>
      <c r="H577" s="10" t="s">
        <v>812</v>
      </c>
    </row>
    <row r="578" spans="1:8" x14ac:dyDescent="0.25">
      <c r="A578" s="11" t="s">
        <v>2485</v>
      </c>
      <c r="B578" s="10" t="s">
        <v>804</v>
      </c>
      <c r="C578" s="10" t="s">
        <v>2041</v>
      </c>
      <c r="D578" s="10" t="str">
        <f>VLOOKUP(C578,Region!A:B,2,FALSE)</f>
        <v>Hyderabad</v>
      </c>
      <c r="E578" s="10" t="s">
        <v>1427</v>
      </c>
      <c r="F578" s="11" t="s">
        <v>823</v>
      </c>
      <c r="G578" s="11" t="s">
        <v>2486</v>
      </c>
      <c r="H578" s="10" t="s">
        <v>812</v>
      </c>
    </row>
    <row r="579" spans="1:8" x14ac:dyDescent="0.25">
      <c r="A579" s="11" t="s">
        <v>1110</v>
      </c>
      <c r="B579" s="10" t="s">
        <v>1086</v>
      </c>
      <c r="C579" s="10" t="s">
        <v>1087</v>
      </c>
      <c r="D579" s="10" t="str">
        <f>VLOOKUP(C579,Region!A:B,2,FALSE)</f>
        <v>Hyderabad</v>
      </c>
      <c r="E579" s="10" t="s">
        <v>806</v>
      </c>
      <c r="F579" s="11" t="s">
        <v>811</v>
      </c>
      <c r="G579" s="11" t="s">
        <v>1111</v>
      </c>
      <c r="H579" s="10" t="s">
        <v>809</v>
      </c>
    </row>
    <row r="580" spans="1:8" x14ac:dyDescent="0.25">
      <c r="A580" s="11" t="s">
        <v>3234</v>
      </c>
      <c r="B580" s="10" t="s">
        <v>1086</v>
      </c>
      <c r="C580" s="10" t="s">
        <v>2987</v>
      </c>
      <c r="D580" s="10" t="str">
        <f>VLOOKUP(C580,Region!A:B,2,FALSE)</f>
        <v>Noida</v>
      </c>
      <c r="E580" s="10" t="s">
        <v>1427</v>
      </c>
      <c r="F580" s="11" t="s">
        <v>807</v>
      </c>
      <c r="G580" s="11" t="s">
        <v>3235</v>
      </c>
      <c r="H580" s="10" t="s">
        <v>812</v>
      </c>
    </row>
    <row r="581" spans="1:8" x14ac:dyDescent="0.25">
      <c r="A581" s="11" t="s">
        <v>2483</v>
      </c>
      <c r="B581" s="10" t="s">
        <v>804</v>
      </c>
      <c r="C581" s="10" t="s">
        <v>2041</v>
      </c>
      <c r="D581" s="10" t="str">
        <f>VLOOKUP(C581,Region!A:B,2,FALSE)</f>
        <v>Hyderabad</v>
      </c>
      <c r="E581" s="10" t="s">
        <v>1427</v>
      </c>
      <c r="F581" s="11" t="s">
        <v>811</v>
      </c>
      <c r="G581" s="11" t="s">
        <v>2484</v>
      </c>
      <c r="H581" s="10" t="s">
        <v>809</v>
      </c>
    </row>
    <row r="582" spans="1:8" x14ac:dyDescent="0.25">
      <c r="A582" s="11" t="s">
        <v>1860</v>
      </c>
      <c r="B582" s="10" t="s">
        <v>804</v>
      </c>
      <c r="C582" s="10" t="s">
        <v>1635</v>
      </c>
      <c r="D582" s="10" t="str">
        <f>VLOOKUP(C582,Region!A:B,2,FALSE)</f>
        <v>MBC US</v>
      </c>
      <c r="E582" s="10" t="s">
        <v>806</v>
      </c>
      <c r="F582" s="11" t="s">
        <v>814</v>
      </c>
      <c r="G582" s="11" t="s">
        <v>399</v>
      </c>
      <c r="H582" s="10" t="s">
        <v>812</v>
      </c>
    </row>
    <row r="583" spans="1:8" x14ac:dyDescent="0.25">
      <c r="A583" s="11" t="s">
        <v>1259</v>
      </c>
      <c r="B583" s="10" t="s">
        <v>1086</v>
      </c>
      <c r="C583" s="10" t="s">
        <v>1087</v>
      </c>
      <c r="D583" s="10" t="str">
        <f>VLOOKUP(C583,Region!A:B,2,FALSE)</f>
        <v>Hyderabad</v>
      </c>
      <c r="E583" s="10" t="s">
        <v>806</v>
      </c>
      <c r="F583" s="11" t="s">
        <v>823</v>
      </c>
      <c r="G583" s="11" t="s">
        <v>1260</v>
      </c>
      <c r="H583" s="10" t="s">
        <v>809</v>
      </c>
    </row>
    <row r="584" spans="1:8" x14ac:dyDescent="0.25">
      <c r="A584" s="11" t="s">
        <v>2745</v>
      </c>
      <c r="B584" s="10" t="s">
        <v>804</v>
      </c>
      <c r="C584" s="10" t="s">
        <v>2518</v>
      </c>
      <c r="D584" s="10" t="str">
        <f>VLOOKUP(C584,Region!A:B,2,FALSE)</f>
        <v>Noida</v>
      </c>
      <c r="E584" s="10" t="s">
        <v>1427</v>
      </c>
      <c r="F584" s="11" t="s">
        <v>823</v>
      </c>
      <c r="G584" s="11" t="s">
        <v>2746</v>
      </c>
      <c r="H584" s="10" t="s">
        <v>809</v>
      </c>
    </row>
    <row r="585" spans="1:8" x14ac:dyDescent="0.25">
      <c r="A585" s="11" t="s">
        <v>1261</v>
      </c>
      <c r="B585" s="10" t="s">
        <v>1086</v>
      </c>
      <c r="C585" s="10" t="s">
        <v>1087</v>
      </c>
      <c r="D585" s="10" t="str">
        <f>VLOOKUP(C585,Region!A:B,2,FALSE)</f>
        <v>Hyderabad</v>
      </c>
      <c r="E585" s="10" t="s">
        <v>806</v>
      </c>
      <c r="F585" s="11" t="s">
        <v>823</v>
      </c>
      <c r="G585" s="11" t="s">
        <v>1262</v>
      </c>
      <c r="H585" s="10" t="s">
        <v>812</v>
      </c>
    </row>
    <row r="586" spans="1:8" x14ac:dyDescent="0.25">
      <c r="A586" s="11" t="s">
        <v>1263</v>
      </c>
      <c r="B586" s="10" t="s">
        <v>1086</v>
      </c>
      <c r="C586" s="10" t="s">
        <v>1087</v>
      </c>
      <c r="D586" s="10" t="str">
        <f>VLOOKUP(C586,Region!A:B,2,FALSE)</f>
        <v>Hyderabad</v>
      </c>
      <c r="E586" s="10" t="s">
        <v>806</v>
      </c>
      <c r="F586" s="11" t="s">
        <v>823</v>
      </c>
      <c r="G586" s="11" t="s">
        <v>1264</v>
      </c>
      <c r="H586" s="10" t="s">
        <v>812</v>
      </c>
    </row>
    <row r="587" spans="1:8" x14ac:dyDescent="0.25">
      <c r="A587" s="11" t="s">
        <v>3075</v>
      </c>
      <c r="B587" s="10" t="s">
        <v>1086</v>
      </c>
      <c r="C587" s="10" t="s">
        <v>2987</v>
      </c>
      <c r="D587" s="10" t="str">
        <f>VLOOKUP(C587,Region!A:B,2,FALSE)</f>
        <v>Noida</v>
      </c>
      <c r="E587" s="10" t="s">
        <v>1427</v>
      </c>
      <c r="F587" s="11" t="s">
        <v>811</v>
      </c>
      <c r="G587" s="11" t="s">
        <v>3076</v>
      </c>
      <c r="H587" s="10" t="s">
        <v>812</v>
      </c>
    </row>
    <row r="588" spans="1:8" x14ac:dyDescent="0.25">
      <c r="A588" s="11" t="s">
        <v>3099</v>
      </c>
      <c r="B588" s="10" t="s">
        <v>1086</v>
      </c>
      <c r="C588" s="10" t="s">
        <v>2987</v>
      </c>
      <c r="D588" s="10" t="str">
        <f>VLOOKUP(C588,Region!A:B,2,FALSE)</f>
        <v>Noida</v>
      </c>
      <c r="E588" s="10" t="s">
        <v>1427</v>
      </c>
      <c r="F588" s="11" t="s">
        <v>823</v>
      </c>
      <c r="G588" s="11" t="s">
        <v>3100</v>
      </c>
      <c r="H588" s="10" t="s">
        <v>809</v>
      </c>
    </row>
    <row r="589" spans="1:8" x14ac:dyDescent="0.25">
      <c r="A589" s="11" t="s">
        <v>2288</v>
      </c>
      <c r="B589" s="10" t="s">
        <v>804</v>
      </c>
      <c r="C589" s="10" t="s">
        <v>2041</v>
      </c>
      <c r="D589" s="10" t="str">
        <f>VLOOKUP(C589,Region!A:B,2,FALSE)</f>
        <v>Hyderabad</v>
      </c>
      <c r="E589" s="10" t="s">
        <v>1427</v>
      </c>
      <c r="F589" s="11" t="s">
        <v>807</v>
      </c>
      <c r="G589" s="11" t="s">
        <v>2289</v>
      </c>
      <c r="H589" s="10" t="s">
        <v>809</v>
      </c>
    </row>
    <row r="590" spans="1:8" x14ac:dyDescent="0.25">
      <c r="A590" s="11" t="s">
        <v>2646</v>
      </c>
      <c r="B590" s="10" t="s">
        <v>804</v>
      </c>
      <c r="C590" s="10" t="s">
        <v>2518</v>
      </c>
      <c r="D590" s="10" t="str">
        <f>VLOOKUP(C590,Region!A:B,2,FALSE)</f>
        <v>Noida</v>
      </c>
      <c r="E590" s="10" t="s">
        <v>1427</v>
      </c>
      <c r="F590" s="11" t="s">
        <v>823</v>
      </c>
      <c r="G590" s="11" t="s">
        <v>180</v>
      </c>
      <c r="H590" s="10" t="s">
        <v>812</v>
      </c>
    </row>
    <row r="591" spans="1:8" x14ac:dyDescent="0.25">
      <c r="A591" s="11" t="s">
        <v>2991</v>
      </c>
      <c r="B591" s="10" t="s">
        <v>1086</v>
      </c>
      <c r="C591" s="10" t="s">
        <v>2987</v>
      </c>
      <c r="D591" s="10" t="str">
        <f>VLOOKUP(C591,Region!A:B,2,FALSE)</f>
        <v>Noida</v>
      </c>
      <c r="E591" s="10" t="s">
        <v>1427</v>
      </c>
      <c r="F591" s="11" t="s">
        <v>2992</v>
      </c>
      <c r="G591" s="11" t="s">
        <v>2993</v>
      </c>
      <c r="H591" s="10" t="s">
        <v>809</v>
      </c>
    </row>
    <row r="592" spans="1:8" x14ac:dyDescent="0.25">
      <c r="A592" s="11" t="s">
        <v>1844</v>
      </c>
      <c r="B592" s="10" t="s">
        <v>804</v>
      </c>
      <c r="C592" s="10" t="s">
        <v>1635</v>
      </c>
      <c r="D592" s="10" t="str">
        <f>VLOOKUP(C592,Region!A:B,2,FALSE)</f>
        <v>MBC US</v>
      </c>
      <c r="E592" s="10" t="s">
        <v>806</v>
      </c>
      <c r="F592" s="11" t="s">
        <v>814</v>
      </c>
      <c r="G592" s="11" t="s">
        <v>733</v>
      </c>
      <c r="H592" s="10" t="s">
        <v>812</v>
      </c>
    </row>
    <row r="593" spans="1:8" x14ac:dyDescent="0.25">
      <c r="A593" s="11" t="s">
        <v>1219</v>
      </c>
      <c r="B593" s="10" t="s">
        <v>1086</v>
      </c>
      <c r="C593" s="10" t="s">
        <v>1087</v>
      </c>
      <c r="D593" s="10" t="str">
        <f>VLOOKUP(C593,Region!A:B,2,FALSE)</f>
        <v>Hyderabad</v>
      </c>
      <c r="E593" s="10" t="s">
        <v>806</v>
      </c>
      <c r="F593" s="11" t="s">
        <v>814</v>
      </c>
      <c r="G593" s="11" t="s">
        <v>1220</v>
      </c>
      <c r="H593" s="10" t="s">
        <v>809</v>
      </c>
    </row>
    <row r="594" spans="1:8" x14ac:dyDescent="0.25">
      <c r="A594" s="11" t="s">
        <v>3457</v>
      </c>
      <c r="B594" s="10" t="s">
        <v>1086</v>
      </c>
      <c r="C594" s="10" t="s">
        <v>3273</v>
      </c>
      <c r="D594" s="10" t="str">
        <f>VLOOKUP(C594,Region!A:B,2,FALSE)</f>
        <v>Noida</v>
      </c>
      <c r="E594" s="10" t="s">
        <v>806</v>
      </c>
      <c r="F594" s="11" t="s">
        <v>823</v>
      </c>
      <c r="G594" s="11" t="s">
        <v>3458</v>
      </c>
      <c r="H594" s="10" t="s">
        <v>809</v>
      </c>
    </row>
    <row r="595" spans="1:8" x14ac:dyDescent="0.25">
      <c r="A595" s="11" t="s">
        <v>1265</v>
      </c>
      <c r="B595" s="10" t="s">
        <v>1086</v>
      </c>
      <c r="C595" s="10" t="s">
        <v>1087</v>
      </c>
      <c r="D595" s="10" t="str">
        <f>VLOOKUP(C595,Region!A:B,2,FALSE)</f>
        <v>Hyderabad</v>
      </c>
      <c r="E595" s="10" t="s">
        <v>806</v>
      </c>
      <c r="F595" s="11" t="s">
        <v>811</v>
      </c>
      <c r="G595" s="11" t="s">
        <v>1266</v>
      </c>
      <c r="H595" s="10" t="s">
        <v>809</v>
      </c>
    </row>
    <row r="596" spans="1:8" x14ac:dyDescent="0.25">
      <c r="A596" s="11" t="s">
        <v>1339</v>
      </c>
      <c r="B596" s="10" t="s">
        <v>1086</v>
      </c>
      <c r="C596" s="10" t="s">
        <v>1087</v>
      </c>
      <c r="D596" s="10" t="str">
        <f>VLOOKUP(C596,Region!A:B,2,FALSE)</f>
        <v>Hyderabad</v>
      </c>
      <c r="E596" s="10" t="s">
        <v>806</v>
      </c>
      <c r="F596" s="11" t="s">
        <v>823</v>
      </c>
      <c r="G596" s="11" t="s">
        <v>1340</v>
      </c>
      <c r="H596" s="10" t="s">
        <v>812</v>
      </c>
    </row>
    <row r="597" spans="1:8" x14ac:dyDescent="0.25">
      <c r="A597" s="11" t="s">
        <v>2968</v>
      </c>
      <c r="B597" s="10" t="s">
        <v>804</v>
      </c>
      <c r="C597" s="10" t="s">
        <v>2752</v>
      </c>
      <c r="D597" s="10" t="str">
        <f>VLOOKUP(C597,Region!A:B,2,FALSE)</f>
        <v>Noida</v>
      </c>
      <c r="E597" s="10" t="s">
        <v>806</v>
      </c>
      <c r="F597" s="11" t="s">
        <v>834</v>
      </c>
      <c r="G597" s="11" t="s">
        <v>362</v>
      </c>
      <c r="H597" s="10" t="s">
        <v>812</v>
      </c>
    </row>
    <row r="598" spans="1:8" x14ac:dyDescent="0.25">
      <c r="A598" s="11" t="s">
        <v>1848</v>
      </c>
      <c r="B598" s="10" t="s">
        <v>804</v>
      </c>
      <c r="C598" s="10" t="s">
        <v>1635</v>
      </c>
      <c r="D598" s="10" t="str">
        <f>VLOOKUP(C598,Region!A:B,2,FALSE)</f>
        <v>MBC US</v>
      </c>
      <c r="E598" s="10" t="s">
        <v>806</v>
      </c>
      <c r="F598" s="11" t="s">
        <v>814</v>
      </c>
      <c r="G598" s="11" t="s">
        <v>783</v>
      </c>
      <c r="H598" s="10" t="s">
        <v>809</v>
      </c>
    </row>
    <row r="599" spans="1:8" x14ac:dyDescent="0.25">
      <c r="A599" s="11" t="s">
        <v>1861</v>
      </c>
      <c r="B599" s="10" t="s">
        <v>804</v>
      </c>
      <c r="C599" s="10" t="s">
        <v>1635</v>
      </c>
      <c r="D599" s="10" t="str">
        <f>VLOOKUP(C599,Region!A:B,2,FALSE)</f>
        <v>MBC US</v>
      </c>
      <c r="E599" s="10" t="s">
        <v>806</v>
      </c>
      <c r="F599" s="11" t="s">
        <v>814</v>
      </c>
      <c r="G599" s="11" t="s">
        <v>1862</v>
      </c>
      <c r="H599" s="10" t="s">
        <v>809</v>
      </c>
    </row>
    <row r="600" spans="1:8" x14ac:dyDescent="0.25">
      <c r="A600" s="11" t="s">
        <v>2924</v>
      </c>
      <c r="B600" s="10" t="s">
        <v>804</v>
      </c>
      <c r="C600" s="10" t="s">
        <v>2752</v>
      </c>
      <c r="D600" s="10" t="str">
        <f>VLOOKUP(C600,Region!A:B,2,FALSE)</f>
        <v>Noida</v>
      </c>
      <c r="E600" s="10" t="s">
        <v>806</v>
      </c>
      <c r="F600" s="11" t="s">
        <v>814</v>
      </c>
      <c r="G600" s="11" t="s">
        <v>2925</v>
      </c>
      <c r="H600" s="10" t="s">
        <v>809</v>
      </c>
    </row>
    <row r="601" spans="1:8" x14ac:dyDescent="0.25">
      <c r="A601" s="11" t="s">
        <v>1184</v>
      </c>
      <c r="B601" s="10" t="s">
        <v>1086</v>
      </c>
      <c r="C601" s="10" t="s">
        <v>1087</v>
      </c>
      <c r="D601" s="10" t="str">
        <f>VLOOKUP(C601,Region!A:B,2,FALSE)</f>
        <v>Hyderabad</v>
      </c>
      <c r="E601" s="10" t="s">
        <v>806</v>
      </c>
      <c r="F601" s="11" t="s">
        <v>811</v>
      </c>
      <c r="G601" s="11" t="s">
        <v>1185</v>
      </c>
      <c r="H601" s="10" t="s">
        <v>809</v>
      </c>
    </row>
    <row r="602" spans="1:8" x14ac:dyDescent="0.25">
      <c r="A602" s="11" t="s">
        <v>2738</v>
      </c>
      <c r="B602" s="10" t="s">
        <v>804</v>
      </c>
      <c r="C602" s="10" t="s">
        <v>2518</v>
      </c>
      <c r="D602" s="10" t="str">
        <f>VLOOKUP(C602,Region!A:B,2,FALSE)</f>
        <v>Noida</v>
      </c>
      <c r="E602" s="10" t="s">
        <v>1427</v>
      </c>
      <c r="F602" s="11" t="s">
        <v>823</v>
      </c>
      <c r="G602" s="11" t="s">
        <v>2739</v>
      </c>
      <c r="H602" s="10" t="s">
        <v>812</v>
      </c>
    </row>
    <row r="603" spans="1:8" x14ac:dyDescent="0.25">
      <c r="A603" s="11" t="s">
        <v>1381</v>
      </c>
      <c r="B603" s="10" t="s">
        <v>1086</v>
      </c>
      <c r="C603" s="10" t="s">
        <v>1087</v>
      </c>
      <c r="D603" s="10" t="str">
        <f>VLOOKUP(C603,Region!A:B,2,FALSE)</f>
        <v>Hyderabad</v>
      </c>
      <c r="E603" s="10" t="s">
        <v>806</v>
      </c>
      <c r="F603" s="11" t="s">
        <v>811</v>
      </c>
      <c r="G603" s="11" t="s">
        <v>1382</v>
      </c>
      <c r="H603" s="10" t="s">
        <v>809</v>
      </c>
    </row>
    <row r="604" spans="1:8" x14ac:dyDescent="0.25">
      <c r="A604" s="11" t="s">
        <v>2186</v>
      </c>
      <c r="B604" s="10" t="s">
        <v>804</v>
      </c>
      <c r="C604" s="10" t="s">
        <v>2041</v>
      </c>
      <c r="D604" s="10" t="str">
        <f>VLOOKUP(C604,Region!A:B,2,FALSE)</f>
        <v>Hyderabad</v>
      </c>
      <c r="E604" s="10" t="s">
        <v>1427</v>
      </c>
      <c r="F604" s="11" t="s">
        <v>811</v>
      </c>
      <c r="G604" s="11" t="s">
        <v>2187</v>
      </c>
      <c r="H604" s="10" t="s">
        <v>809</v>
      </c>
    </row>
    <row r="605" spans="1:8" x14ac:dyDescent="0.25">
      <c r="A605" s="11" t="s">
        <v>2850</v>
      </c>
      <c r="B605" s="10" t="s">
        <v>804</v>
      </c>
      <c r="C605" s="10" t="s">
        <v>2752</v>
      </c>
      <c r="D605" s="10" t="str">
        <f>VLOOKUP(C605,Region!A:B,2,FALSE)</f>
        <v>Noida</v>
      </c>
      <c r="E605" s="10" t="s">
        <v>806</v>
      </c>
      <c r="F605" s="11" t="s">
        <v>811</v>
      </c>
      <c r="G605" s="11" t="s">
        <v>2851</v>
      </c>
      <c r="H605" s="10" t="s">
        <v>812</v>
      </c>
    </row>
    <row r="606" spans="1:8" x14ac:dyDescent="0.25">
      <c r="A606" s="11" t="s">
        <v>1135</v>
      </c>
      <c r="B606" s="10" t="s">
        <v>1086</v>
      </c>
      <c r="C606" s="10" t="s">
        <v>1087</v>
      </c>
      <c r="D606" s="10" t="str">
        <f>VLOOKUP(C606,Region!A:B,2,FALSE)</f>
        <v>Hyderabad</v>
      </c>
      <c r="E606" s="10" t="s">
        <v>806</v>
      </c>
      <c r="F606" s="11" t="s">
        <v>811</v>
      </c>
      <c r="G606" s="11" t="s">
        <v>1136</v>
      </c>
      <c r="H606" s="10" t="s">
        <v>812</v>
      </c>
    </row>
    <row r="607" spans="1:8" x14ac:dyDescent="0.25">
      <c r="A607" s="11" t="s">
        <v>2188</v>
      </c>
      <c r="B607" s="10" t="s">
        <v>804</v>
      </c>
      <c r="C607" s="10" t="s">
        <v>2041</v>
      </c>
      <c r="D607" s="10" t="str">
        <f>VLOOKUP(C607,Region!A:B,2,FALSE)</f>
        <v>Hyderabad</v>
      </c>
      <c r="E607" s="10" t="s">
        <v>1427</v>
      </c>
      <c r="F607" s="11" t="s">
        <v>811</v>
      </c>
      <c r="G607" s="11" t="s">
        <v>320</v>
      </c>
      <c r="H607" s="10" t="s">
        <v>812</v>
      </c>
    </row>
    <row r="608" spans="1:8" x14ac:dyDescent="0.25">
      <c r="A608" s="11" t="s">
        <v>2290</v>
      </c>
      <c r="B608" s="10" t="s">
        <v>804</v>
      </c>
      <c r="C608" s="10" t="s">
        <v>2041</v>
      </c>
      <c r="D608" s="10" t="str">
        <f>VLOOKUP(C608,Region!A:B,2,FALSE)</f>
        <v>Hyderabad</v>
      </c>
      <c r="E608" s="10" t="s">
        <v>1427</v>
      </c>
      <c r="F608" s="11" t="s">
        <v>807</v>
      </c>
      <c r="G608" s="11" t="s">
        <v>584</v>
      </c>
      <c r="H608" s="10" t="s">
        <v>812</v>
      </c>
    </row>
    <row r="609" spans="1:8" x14ac:dyDescent="0.25">
      <c r="A609" s="11" t="s">
        <v>1431</v>
      </c>
      <c r="B609" s="10" t="s">
        <v>804</v>
      </c>
      <c r="C609" s="10" t="s">
        <v>1426</v>
      </c>
      <c r="D609" s="10" t="str">
        <f>VLOOKUP(C609,Region!A:B,2,FALSE)</f>
        <v>Spain</v>
      </c>
      <c r="E609" s="10" t="s">
        <v>1427</v>
      </c>
      <c r="F609" s="11" t="s">
        <v>807</v>
      </c>
      <c r="G609" s="11" t="s">
        <v>1432</v>
      </c>
      <c r="H609" s="10" t="s">
        <v>809</v>
      </c>
    </row>
    <row r="610" spans="1:8" x14ac:dyDescent="0.25">
      <c r="A610" s="11" t="s">
        <v>3095</v>
      </c>
      <c r="B610" s="10" t="s">
        <v>1086</v>
      </c>
      <c r="C610" s="10" t="s">
        <v>2987</v>
      </c>
      <c r="D610" s="10" t="str">
        <f>VLOOKUP(C610,Region!A:B,2,FALSE)</f>
        <v>Noida</v>
      </c>
      <c r="E610" s="10" t="s">
        <v>1427</v>
      </c>
      <c r="F610" s="11" t="s">
        <v>823</v>
      </c>
      <c r="G610" s="11" t="s">
        <v>3096</v>
      </c>
      <c r="H610" s="10" t="s">
        <v>809</v>
      </c>
    </row>
    <row r="611" spans="1:8" x14ac:dyDescent="0.25">
      <c r="A611" s="11" t="s">
        <v>2123</v>
      </c>
      <c r="B611" s="10" t="s">
        <v>804</v>
      </c>
      <c r="C611" s="10" t="s">
        <v>2041</v>
      </c>
      <c r="D611" s="10" t="str">
        <f>VLOOKUP(C611,Region!A:B,2,FALSE)</f>
        <v>Hyderabad</v>
      </c>
      <c r="E611" s="10" t="s">
        <v>1427</v>
      </c>
      <c r="F611" s="11" t="s">
        <v>814</v>
      </c>
      <c r="G611" s="11" t="s">
        <v>2124</v>
      </c>
      <c r="H611" s="10" t="s">
        <v>809</v>
      </c>
    </row>
    <row r="612" spans="1:8" x14ac:dyDescent="0.25">
      <c r="A612" s="11" t="s">
        <v>1106</v>
      </c>
      <c r="B612" s="10" t="s">
        <v>1086</v>
      </c>
      <c r="C612" s="10" t="s">
        <v>1087</v>
      </c>
      <c r="D612" s="10" t="str">
        <f>VLOOKUP(C612,Region!A:B,2,FALSE)</f>
        <v>Hyderabad</v>
      </c>
      <c r="E612" s="10" t="s">
        <v>806</v>
      </c>
      <c r="F612" s="11" t="s">
        <v>823</v>
      </c>
      <c r="G612" s="11" t="s">
        <v>1107</v>
      </c>
      <c r="H612" s="10" t="s">
        <v>809</v>
      </c>
    </row>
    <row r="613" spans="1:8" x14ac:dyDescent="0.25">
      <c r="A613" s="11" t="s">
        <v>2901</v>
      </c>
      <c r="B613" s="10" t="s">
        <v>804</v>
      </c>
      <c r="C613" s="10" t="s">
        <v>2752</v>
      </c>
      <c r="D613" s="10" t="str">
        <f>VLOOKUP(C613,Region!A:B,2,FALSE)</f>
        <v>Noida</v>
      </c>
      <c r="E613" s="10" t="s">
        <v>806</v>
      </c>
      <c r="F613" s="11" t="s">
        <v>823</v>
      </c>
      <c r="G613" s="11" t="s">
        <v>2902</v>
      </c>
      <c r="H613" s="10" t="s">
        <v>812</v>
      </c>
    </row>
    <row r="614" spans="1:8" x14ac:dyDescent="0.25">
      <c r="A614" s="11" t="s">
        <v>1267</v>
      </c>
      <c r="B614" s="10" t="s">
        <v>1086</v>
      </c>
      <c r="C614" s="10" t="s">
        <v>1087</v>
      </c>
      <c r="D614" s="10" t="str">
        <f>VLOOKUP(C614,Region!A:B,2,FALSE)</f>
        <v>Hyderabad</v>
      </c>
      <c r="E614" s="10" t="s">
        <v>806</v>
      </c>
      <c r="F614" s="11" t="s">
        <v>811</v>
      </c>
      <c r="G614" s="11" t="s">
        <v>1268</v>
      </c>
      <c r="H614" s="10" t="s">
        <v>812</v>
      </c>
    </row>
    <row r="615" spans="1:8" x14ac:dyDescent="0.25">
      <c r="A615" s="11" t="s">
        <v>1064</v>
      </c>
      <c r="B615" s="10" t="s">
        <v>804</v>
      </c>
      <c r="C615" s="10" t="s">
        <v>805</v>
      </c>
      <c r="D615" s="10" t="str">
        <f>VLOOKUP(C615,Region!A:B,2,FALSE)</f>
        <v>Noida</v>
      </c>
      <c r="E615" s="10" t="s">
        <v>806</v>
      </c>
      <c r="F615" s="11" t="s">
        <v>823</v>
      </c>
      <c r="G615" s="11" t="s">
        <v>1065</v>
      </c>
      <c r="H615" s="10" t="s">
        <v>809</v>
      </c>
    </row>
    <row r="616" spans="1:8" x14ac:dyDescent="0.25">
      <c r="A616" s="11" t="s">
        <v>2897</v>
      </c>
      <c r="B616" s="10" t="s">
        <v>804</v>
      </c>
      <c r="C616" s="10" t="s">
        <v>2752</v>
      </c>
      <c r="D616" s="10" t="str">
        <f>VLOOKUP(C616,Region!A:B,2,FALSE)</f>
        <v>Noida</v>
      </c>
      <c r="E616" s="10" t="s">
        <v>806</v>
      </c>
      <c r="F616" s="11" t="s">
        <v>811</v>
      </c>
      <c r="G616" s="11" t="s">
        <v>2898</v>
      </c>
      <c r="H616" s="10" t="s">
        <v>812</v>
      </c>
    </row>
    <row r="617" spans="1:8" x14ac:dyDescent="0.25">
      <c r="A617" s="11" t="s">
        <v>1108</v>
      </c>
      <c r="B617" s="10" t="s">
        <v>1086</v>
      </c>
      <c r="C617" s="10" t="s">
        <v>1087</v>
      </c>
      <c r="D617" s="10" t="str">
        <f>VLOOKUP(C617,Region!A:B,2,FALSE)</f>
        <v>Hyderabad</v>
      </c>
      <c r="E617" s="10" t="s">
        <v>806</v>
      </c>
      <c r="F617" s="11" t="s">
        <v>811</v>
      </c>
      <c r="G617" s="11" t="s">
        <v>1109</v>
      </c>
      <c r="H617" s="10" t="s">
        <v>809</v>
      </c>
    </row>
    <row r="618" spans="1:8" x14ac:dyDescent="0.25">
      <c r="A618" s="11" t="s">
        <v>1038</v>
      </c>
      <c r="B618" s="10" t="s">
        <v>804</v>
      </c>
      <c r="C618" s="10" t="s">
        <v>805</v>
      </c>
      <c r="D618" s="10" t="str">
        <f>VLOOKUP(C618,Region!A:B,2,FALSE)</f>
        <v>Noida</v>
      </c>
      <c r="E618" s="10" t="s">
        <v>806</v>
      </c>
      <c r="F618" s="11" t="s">
        <v>807</v>
      </c>
      <c r="G618" s="11" t="s">
        <v>1039</v>
      </c>
      <c r="H618" s="10" t="s">
        <v>809</v>
      </c>
    </row>
    <row r="619" spans="1:8" x14ac:dyDescent="0.25">
      <c r="A619" s="11" t="s">
        <v>1849</v>
      </c>
      <c r="B619" s="10" t="s">
        <v>804</v>
      </c>
      <c r="C619" s="10" t="s">
        <v>1635</v>
      </c>
      <c r="D619" s="10" t="str">
        <f>VLOOKUP(C619,Region!A:B,2,FALSE)</f>
        <v>MBC US</v>
      </c>
      <c r="E619" s="10" t="s">
        <v>806</v>
      </c>
      <c r="F619" s="11" t="s">
        <v>814</v>
      </c>
      <c r="G619" s="11" t="s">
        <v>1850</v>
      </c>
      <c r="H619" s="10" t="s">
        <v>809</v>
      </c>
    </row>
    <row r="620" spans="1:8" x14ac:dyDescent="0.25">
      <c r="A620" s="11" t="s">
        <v>870</v>
      </c>
      <c r="B620" s="10" t="s">
        <v>804</v>
      </c>
      <c r="C620" s="10" t="s">
        <v>805</v>
      </c>
      <c r="D620" s="10" t="str">
        <f>VLOOKUP(C620,Region!A:B,2,FALSE)</f>
        <v>Noida</v>
      </c>
      <c r="E620" s="10" t="s">
        <v>806</v>
      </c>
      <c r="F620" s="11" t="s">
        <v>823</v>
      </c>
      <c r="G620" s="11" t="s">
        <v>871</v>
      </c>
      <c r="H620" s="10" t="s">
        <v>812</v>
      </c>
    </row>
    <row r="621" spans="1:8" x14ac:dyDescent="0.25">
      <c r="A621" s="11" t="s">
        <v>1858</v>
      </c>
      <c r="B621" s="10" t="s">
        <v>804</v>
      </c>
      <c r="C621" s="10" t="s">
        <v>1635</v>
      </c>
      <c r="D621" s="10" t="str">
        <f>VLOOKUP(C621,Region!A:B,2,FALSE)</f>
        <v>MBC US</v>
      </c>
      <c r="E621" s="10" t="s">
        <v>806</v>
      </c>
      <c r="F621" s="11" t="s">
        <v>823</v>
      </c>
      <c r="G621" s="11" t="s">
        <v>1859</v>
      </c>
      <c r="H621" s="10" t="s">
        <v>809</v>
      </c>
    </row>
    <row r="622" spans="1:8" x14ac:dyDescent="0.25">
      <c r="A622" s="11" t="s">
        <v>1845</v>
      </c>
      <c r="B622" s="10" t="s">
        <v>1086</v>
      </c>
      <c r="C622" s="10" t="s">
        <v>1635</v>
      </c>
      <c r="D622" s="10" t="str">
        <f>VLOOKUP(C622,Region!A:B,2,FALSE)</f>
        <v>MBC US</v>
      </c>
      <c r="E622" s="10" t="s">
        <v>806</v>
      </c>
      <c r="F622" s="11" t="s">
        <v>1846</v>
      </c>
      <c r="G622" s="11" t="s">
        <v>1847</v>
      </c>
      <c r="H622" s="10" t="s">
        <v>809</v>
      </c>
    </row>
    <row r="623" spans="1:8" x14ac:dyDescent="0.25">
      <c r="A623" s="11" t="s">
        <v>1863</v>
      </c>
      <c r="B623" s="10" t="s">
        <v>804</v>
      </c>
      <c r="C623" s="10" t="s">
        <v>1635</v>
      </c>
      <c r="D623" s="10" t="str">
        <f>VLOOKUP(C623,Region!A:B,2,FALSE)</f>
        <v>MBC US</v>
      </c>
      <c r="E623" s="10" t="s">
        <v>806</v>
      </c>
      <c r="F623" s="11" t="s">
        <v>834</v>
      </c>
      <c r="G623" s="11" t="s">
        <v>1864</v>
      </c>
      <c r="H623" s="10" t="s">
        <v>809</v>
      </c>
    </row>
    <row r="624" spans="1:8" x14ac:dyDescent="0.25">
      <c r="A624" s="11" t="s">
        <v>1852</v>
      </c>
      <c r="B624" s="10" t="s">
        <v>804</v>
      </c>
      <c r="C624" s="10" t="s">
        <v>1635</v>
      </c>
      <c r="D624" s="10" t="str">
        <f>VLOOKUP(C624,Region!A:B,2,FALSE)</f>
        <v>MBC US</v>
      </c>
      <c r="E624" s="10" t="s">
        <v>806</v>
      </c>
      <c r="F624" s="11" t="s">
        <v>823</v>
      </c>
      <c r="G624" s="11" t="s">
        <v>243</v>
      </c>
      <c r="H624" s="10" t="s">
        <v>812</v>
      </c>
    </row>
    <row r="625" spans="1:8" x14ac:dyDescent="0.25">
      <c r="A625" s="11" t="s">
        <v>2647</v>
      </c>
      <c r="B625" s="10" t="s">
        <v>804</v>
      </c>
      <c r="C625" s="10" t="s">
        <v>2518</v>
      </c>
      <c r="D625" s="10" t="str">
        <f>VLOOKUP(C625,Region!A:B,2,FALSE)</f>
        <v>Noida</v>
      </c>
      <c r="E625" s="10" t="s">
        <v>1427</v>
      </c>
      <c r="F625" s="11" t="s">
        <v>823</v>
      </c>
      <c r="G625" s="11" t="s">
        <v>691</v>
      </c>
      <c r="H625" s="10" t="s">
        <v>812</v>
      </c>
    </row>
    <row r="626" spans="1:8" x14ac:dyDescent="0.25">
      <c r="A626" s="11" t="s">
        <v>2057</v>
      </c>
      <c r="B626" s="10" t="s">
        <v>804</v>
      </c>
      <c r="C626" s="10" t="s">
        <v>2041</v>
      </c>
      <c r="D626" s="10" t="str">
        <f>VLOOKUP(C626,Region!A:B,2,FALSE)</f>
        <v>Hyderabad</v>
      </c>
      <c r="E626" s="10" t="s">
        <v>1427</v>
      </c>
      <c r="F626" s="11" t="s">
        <v>823</v>
      </c>
      <c r="G626" s="11" t="s">
        <v>2058</v>
      </c>
      <c r="H626" s="10" t="s">
        <v>809</v>
      </c>
    </row>
    <row r="627" spans="1:8" x14ac:dyDescent="0.25">
      <c r="A627" s="11" t="s">
        <v>2566</v>
      </c>
      <c r="B627" s="10" t="s">
        <v>804</v>
      </c>
      <c r="C627" s="10" t="s">
        <v>2518</v>
      </c>
      <c r="D627" s="10" t="str">
        <f>VLOOKUP(C627,Region!A:B,2,FALSE)</f>
        <v>Noida</v>
      </c>
      <c r="E627" s="10" t="s">
        <v>1427</v>
      </c>
      <c r="F627" s="11" t="s">
        <v>811</v>
      </c>
      <c r="G627" s="11" t="s">
        <v>2567</v>
      </c>
      <c r="H627" s="10" t="s">
        <v>812</v>
      </c>
    </row>
    <row r="628" spans="1:8" x14ac:dyDescent="0.25">
      <c r="A628" s="11" t="s">
        <v>1066</v>
      </c>
      <c r="B628" s="10" t="s">
        <v>804</v>
      </c>
      <c r="C628" s="10" t="s">
        <v>805</v>
      </c>
      <c r="D628" s="10" t="str">
        <f>VLOOKUP(C628,Region!A:B,2,FALSE)</f>
        <v>Noida</v>
      </c>
      <c r="E628" s="10" t="s">
        <v>806</v>
      </c>
      <c r="F628" s="11" t="s">
        <v>823</v>
      </c>
      <c r="G628" s="11" t="s">
        <v>1067</v>
      </c>
      <c r="H628" s="10" t="s">
        <v>809</v>
      </c>
    </row>
    <row r="629" spans="1:8" x14ac:dyDescent="0.25">
      <c r="A629" s="11" t="s">
        <v>2971</v>
      </c>
      <c r="B629" s="10" t="s">
        <v>804</v>
      </c>
      <c r="C629" s="10" t="s">
        <v>2752</v>
      </c>
      <c r="D629" s="10" t="str">
        <f>VLOOKUP(C629,Region!A:B,2,FALSE)</f>
        <v>Noida</v>
      </c>
      <c r="E629" s="10" t="s">
        <v>806</v>
      </c>
      <c r="F629" s="11" t="s">
        <v>811</v>
      </c>
      <c r="G629" s="11" t="s">
        <v>704</v>
      </c>
      <c r="H629" s="10" t="s">
        <v>812</v>
      </c>
    </row>
    <row r="630" spans="1:8" x14ac:dyDescent="0.25">
      <c r="A630" s="11" t="s">
        <v>1363</v>
      </c>
      <c r="B630" s="10" t="s">
        <v>1086</v>
      </c>
      <c r="C630" s="10" t="s">
        <v>1087</v>
      </c>
      <c r="D630" s="10" t="str">
        <f>VLOOKUP(C630,Region!A:B,2,FALSE)</f>
        <v>Hyderabad</v>
      </c>
      <c r="E630" s="10" t="s">
        <v>806</v>
      </c>
      <c r="F630" s="11" t="s">
        <v>823</v>
      </c>
      <c r="G630" s="11" t="s">
        <v>1364</v>
      </c>
      <c r="H630" s="10" t="s">
        <v>809</v>
      </c>
    </row>
    <row r="631" spans="1:8" x14ac:dyDescent="0.25">
      <c r="A631" s="11" t="s">
        <v>854</v>
      </c>
      <c r="B631" s="10" t="s">
        <v>804</v>
      </c>
      <c r="C631" s="10" t="s">
        <v>805</v>
      </c>
      <c r="D631" s="10" t="str">
        <f>VLOOKUP(C631,Region!A:B,2,FALSE)</f>
        <v>Noida</v>
      </c>
      <c r="E631" s="10" t="s">
        <v>806</v>
      </c>
      <c r="F631" s="11" t="s">
        <v>823</v>
      </c>
      <c r="G631" s="11" t="s">
        <v>855</v>
      </c>
      <c r="H631" s="10" t="s">
        <v>812</v>
      </c>
    </row>
    <row r="632" spans="1:8" x14ac:dyDescent="0.25">
      <c r="A632" s="11" t="s">
        <v>1871</v>
      </c>
      <c r="B632" s="10" t="s">
        <v>804</v>
      </c>
      <c r="C632" s="10" t="s">
        <v>1635</v>
      </c>
      <c r="D632" s="10" t="str">
        <f>VLOOKUP(C632,Region!A:B,2,FALSE)</f>
        <v>MBC US</v>
      </c>
      <c r="E632" s="10" t="s">
        <v>806</v>
      </c>
      <c r="F632" s="11" t="s">
        <v>814</v>
      </c>
      <c r="G632" s="11" t="s">
        <v>755</v>
      </c>
      <c r="H632" s="10" t="s">
        <v>812</v>
      </c>
    </row>
    <row r="633" spans="1:8" x14ac:dyDescent="0.25">
      <c r="A633" s="11" t="s">
        <v>1433</v>
      </c>
      <c r="B633" s="10" t="s">
        <v>804</v>
      </c>
      <c r="C633" s="10" t="s">
        <v>1426</v>
      </c>
      <c r="D633" s="10" t="str">
        <f>VLOOKUP(C633,Region!A:B,2,FALSE)</f>
        <v>Spain</v>
      </c>
      <c r="E633" s="10" t="s">
        <v>1427</v>
      </c>
      <c r="F633" s="11" t="s">
        <v>807</v>
      </c>
      <c r="G633" s="11" t="s">
        <v>1434</v>
      </c>
      <c r="H633" s="10" t="s">
        <v>809</v>
      </c>
    </row>
    <row r="634" spans="1:8" x14ac:dyDescent="0.25">
      <c r="A634" s="11" t="s">
        <v>1872</v>
      </c>
      <c r="B634" s="10" t="s">
        <v>1086</v>
      </c>
      <c r="C634" s="10" t="s">
        <v>1635</v>
      </c>
      <c r="D634" s="10" t="str">
        <f>VLOOKUP(C634,Region!A:B,2,FALSE)</f>
        <v>MBC US</v>
      </c>
      <c r="E634" s="10" t="s">
        <v>806</v>
      </c>
      <c r="F634" s="11" t="s">
        <v>807</v>
      </c>
      <c r="G634" s="11" t="s">
        <v>1873</v>
      </c>
      <c r="H634" s="10" t="s">
        <v>809</v>
      </c>
    </row>
    <row r="635" spans="1:8" x14ac:dyDescent="0.25">
      <c r="A635" s="11" t="s">
        <v>1449</v>
      </c>
      <c r="B635" s="10" t="s">
        <v>1086</v>
      </c>
      <c r="C635" s="10" t="s">
        <v>1426</v>
      </c>
      <c r="D635" s="10" t="str">
        <f>VLOOKUP(C635,Region!A:B,2,FALSE)</f>
        <v>Spain</v>
      </c>
      <c r="E635" s="10" t="s">
        <v>1427</v>
      </c>
      <c r="F635" s="11" t="s">
        <v>811</v>
      </c>
      <c r="G635" s="11" t="s">
        <v>1450</v>
      </c>
      <c r="H635" s="10" t="s">
        <v>809</v>
      </c>
    </row>
    <row r="636" spans="1:8" x14ac:dyDescent="0.25">
      <c r="A636" s="11" t="s">
        <v>2189</v>
      </c>
      <c r="B636" s="10" t="s">
        <v>804</v>
      </c>
      <c r="C636" s="10" t="s">
        <v>2041</v>
      </c>
      <c r="D636" s="10" t="str">
        <f>VLOOKUP(C636,Region!A:B,2,FALSE)</f>
        <v>Hyderabad</v>
      </c>
      <c r="E636" s="10" t="s">
        <v>1427</v>
      </c>
      <c r="F636" s="11" t="s">
        <v>811</v>
      </c>
      <c r="G636" s="11" t="s">
        <v>2190</v>
      </c>
      <c r="H636" s="10" t="s">
        <v>809</v>
      </c>
    </row>
    <row r="637" spans="1:8" x14ac:dyDescent="0.25">
      <c r="A637" s="11" t="s">
        <v>2059</v>
      </c>
      <c r="B637" s="10" t="s">
        <v>804</v>
      </c>
      <c r="C637" s="10" t="s">
        <v>2041</v>
      </c>
      <c r="D637" s="10" t="str">
        <f>VLOOKUP(C637,Region!A:B,2,FALSE)</f>
        <v>Hyderabad</v>
      </c>
      <c r="E637" s="10" t="s">
        <v>1427</v>
      </c>
      <c r="F637" s="11" t="s">
        <v>823</v>
      </c>
      <c r="G637" s="11" t="s">
        <v>689</v>
      </c>
      <c r="H637" s="10" t="s">
        <v>812</v>
      </c>
    </row>
    <row r="638" spans="1:8" x14ac:dyDescent="0.25">
      <c r="A638" s="11" t="s">
        <v>1869</v>
      </c>
      <c r="B638" s="10" t="s">
        <v>1086</v>
      </c>
      <c r="C638" s="10" t="s">
        <v>1635</v>
      </c>
      <c r="D638" s="10" t="str">
        <f>VLOOKUP(C638,Region!A:B,2,FALSE)</f>
        <v>MBC US</v>
      </c>
      <c r="E638" s="10" t="s">
        <v>806</v>
      </c>
      <c r="F638" s="11" t="s">
        <v>823</v>
      </c>
      <c r="G638" s="11" t="s">
        <v>1870</v>
      </c>
      <c r="H638" s="10" t="s">
        <v>809</v>
      </c>
    </row>
    <row r="639" spans="1:8" x14ac:dyDescent="0.25">
      <c r="A639" s="11" t="s">
        <v>2191</v>
      </c>
      <c r="B639" s="10" t="s">
        <v>804</v>
      </c>
      <c r="C639" s="10" t="s">
        <v>2041</v>
      </c>
      <c r="D639" s="10" t="str">
        <f>VLOOKUP(C639,Region!A:B,2,FALSE)</f>
        <v>Hyderabad</v>
      </c>
      <c r="E639" s="10" t="s">
        <v>1427</v>
      </c>
      <c r="F639" s="11" t="s">
        <v>811</v>
      </c>
      <c r="G639" s="11" t="s">
        <v>2192</v>
      </c>
      <c r="H639" s="10" t="s">
        <v>809</v>
      </c>
    </row>
    <row r="640" spans="1:8" x14ac:dyDescent="0.25">
      <c r="A640" s="11" t="s">
        <v>1269</v>
      </c>
      <c r="B640" s="10" t="s">
        <v>1086</v>
      </c>
      <c r="C640" s="10" t="s">
        <v>1087</v>
      </c>
      <c r="D640" s="10" t="str">
        <f>VLOOKUP(C640,Region!A:B,2,FALSE)</f>
        <v>Hyderabad</v>
      </c>
      <c r="E640" s="10" t="s">
        <v>806</v>
      </c>
      <c r="F640" s="11" t="s">
        <v>811</v>
      </c>
      <c r="G640" s="11" t="s">
        <v>1270</v>
      </c>
      <c r="H640" s="10" t="s">
        <v>812</v>
      </c>
    </row>
    <row r="641" spans="1:8" x14ac:dyDescent="0.25">
      <c r="A641" s="11" t="s">
        <v>1866</v>
      </c>
      <c r="B641" s="10" t="s">
        <v>1086</v>
      </c>
      <c r="C641" s="10" t="s">
        <v>1635</v>
      </c>
      <c r="D641" s="10" t="str">
        <f>VLOOKUP(C641,Region!A:B,2,FALSE)</f>
        <v>MBC US</v>
      </c>
      <c r="E641" s="10" t="s">
        <v>806</v>
      </c>
      <c r="F641" s="11" t="s">
        <v>823</v>
      </c>
      <c r="G641" s="11" t="s">
        <v>416</v>
      </c>
      <c r="H641" s="10" t="s">
        <v>812</v>
      </c>
    </row>
    <row r="642" spans="1:8" x14ac:dyDescent="0.25">
      <c r="A642" s="11" t="s">
        <v>905</v>
      </c>
      <c r="B642" s="10" t="s">
        <v>804</v>
      </c>
      <c r="C642" s="10" t="s">
        <v>805</v>
      </c>
      <c r="D642" s="10" t="str">
        <f>VLOOKUP(C642,Region!A:B,2,FALSE)</f>
        <v>Noida</v>
      </c>
      <c r="E642" s="10" t="s">
        <v>806</v>
      </c>
      <c r="F642" s="11" t="s">
        <v>823</v>
      </c>
      <c r="G642" s="11" t="s">
        <v>906</v>
      </c>
      <c r="H642" s="10" t="s">
        <v>812</v>
      </c>
    </row>
    <row r="643" spans="1:8" x14ac:dyDescent="0.25">
      <c r="A643" s="11" t="s">
        <v>956</v>
      </c>
      <c r="B643" s="10" t="s">
        <v>804</v>
      </c>
      <c r="C643" s="10" t="s">
        <v>805</v>
      </c>
      <c r="D643" s="10" t="str">
        <f>VLOOKUP(C643,Region!A:B,2,FALSE)</f>
        <v>Noida</v>
      </c>
      <c r="E643" s="10" t="s">
        <v>806</v>
      </c>
      <c r="F643" s="11" t="s">
        <v>814</v>
      </c>
      <c r="G643" s="11" t="s">
        <v>957</v>
      </c>
      <c r="H643" s="10" t="s">
        <v>812</v>
      </c>
    </row>
    <row r="644" spans="1:8" x14ac:dyDescent="0.25">
      <c r="A644" s="11" t="s">
        <v>1271</v>
      </c>
      <c r="B644" s="10" t="s">
        <v>1086</v>
      </c>
      <c r="C644" s="10" t="s">
        <v>1087</v>
      </c>
      <c r="D644" s="10" t="str">
        <f>VLOOKUP(C644,Region!A:B,2,FALSE)</f>
        <v>Hyderabad</v>
      </c>
      <c r="E644" s="10" t="s">
        <v>806</v>
      </c>
      <c r="F644" s="11" t="s">
        <v>807</v>
      </c>
      <c r="G644" s="11" t="s">
        <v>1272</v>
      </c>
      <c r="H644" s="10" t="s">
        <v>809</v>
      </c>
    </row>
    <row r="645" spans="1:8" x14ac:dyDescent="0.25">
      <c r="A645" s="11" t="s">
        <v>3091</v>
      </c>
      <c r="B645" s="10" t="s">
        <v>1086</v>
      </c>
      <c r="C645" s="10" t="s">
        <v>2987</v>
      </c>
      <c r="D645" s="10" t="str">
        <f>VLOOKUP(C645,Region!A:B,2,FALSE)</f>
        <v>Noida</v>
      </c>
      <c r="E645" s="10" t="s">
        <v>1427</v>
      </c>
      <c r="F645" s="11" t="s">
        <v>807</v>
      </c>
      <c r="G645" s="11" t="s">
        <v>3092</v>
      </c>
      <c r="H645" s="10" t="s">
        <v>809</v>
      </c>
    </row>
    <row r="646" spans="1:8" x14ac:dyDescent="0.25">
      <c r="A646" s="11" t="s">
        <v>1273</v>
      </c>
      <c r="B646" s="10" t="s">
        <v>1086</v>
      </c>
      <c r="C646" s="10" t="s">
        <v>1087</v>
      </c>
      <c r="D646" s="10" t="str">
        <f>VLOOKUP(C646,Region!A:B,2,FALSE)</f>
        <v>Hyderabad</v>
      </c>
      <c r="E646" s="10" t="s">
        <v>806</v>
      </c>
      <c r="F646" s="11" t="s">
        <v>823</v>
      </c>
      <c r="G646" s="11" t="s">
        <v>1274</v>
      </c>
      <c r="H646" s="10" t="s">
        <v>812</v>
      </c>
    </row>
    <row r="647" spans="1:8" x14ac:dyDescent="0.25">
      <c r="A647" s="11" t="s">
        <v>1056</v>
      </c>
      <c r="B647" s="10" t="s">
        <v>804</v>
      </c>
      <c r="C647" s="10" t="s">
        <v>805</v>
      </c>
      <c r="D647" s="10" t="str">
        <f>VLOOKUP(C647,Region!A:B,2,FALSE)</f>
        <v>Noida</v>
      </c>
      <c r="E647" s="10" t="s">
        <v>806</v>
      </c>
      <c r="F647" s="11" t="s">
        <v>807</v>
      </c>
      <c r="G647" s="11" t="s">
        <v>1057</v>
      </c>
      <c r="H647" s="10" t="s">
        <v>809</v>
      </c>
    </row>
    <row r="648" spans="1:8" x14ac:dyDescent="0.25">
      <c r="A648" s="11" t="s">
        <v>1867</v>
      </c>
      <c r="B648" s="10" t="s">
        <v>804</v>
      </c>
      <c r="C648" s="10" t="s">
        <v>1635</v>
      </c>
      <c r="D648" s="10" t="str">
        <f>VLOOKUP(C648,Region!A:B,2,FALSE)</f>
        <v>MBC US</v>
      </c>
      <c r="E648" s="10" t="s">
        <v>806</v>
      </c>
      <c r="F648" s="11" t="s">
        <v>811</v>
      </c>
      <c r="G648" s="11" t="s">
        <v>1868</v>
      </c>
      <c r="H648" s="10" t="s">
        <v>809</v>
      </c>
    </row>
    <row r="649" spans="1:8" x14ac:dyDescent="0.25">
      <c r="A649" s="11" t="s">
        <v>2816</v>
      </c>
      <c r="B649" s="10" t="s">
        <v>804</v>
      </c>
      <c r="C649" s="10" t="s">
        <v>2752</v>
      </c>
      <c r="D649" s="10" t="str">
        <f>VLOOKUP(C649,Region!A:B,2,FALSE)</f>
        <v>Noida</v>
      </c>
      <c r="E649" s="10" t="s">
        <v>806</v>
      </c>
      <c r="F649" s="11" t="s">
        <v>814</v>
      </c>
      <c r="G649" s="11" t="s">
        <v>2817</v>
      </c>
      <c r="H649" s="10" t="s">
        <v>809</v>
      </c>
    </row>
    <row r="650" spans="1:8" x14ac:dyDescent="0.25">
      <c r="A650" s="11" t="s">
        <v>1865</v>
      </c>
      <c r="B650" s="10" t="s">
        <v>804</v>
      </c>
      <c r="C650" s="10" t="s">
        <v>1635</v>
      </c>
      <c r="D650" s="10" t="str">
        <f>VLOOKUP(C650,Region!A:B,2,FALSE)</f>
        <v>MBC US</v>
      </c>
      <c r="E650" s="10" t="s">
        <v>806</v>
      </c>
      <c r="F650" s="11" t="s">
        <v>807</v>
      </c>
      <c r="G650" s="11" t="s">
        <v>262</v>
      </c>
      <c r="H650" s="10" t="s">
        <v>812</v>
      </c>
    </row>
    <row r="651" spans="1:8" x14ac:dyDescent="0.25">
      <c r="A651" s="11" t="s">
        <v>3379</v>
      </c>
      <c r="B651" s="10" t="s">
        <v>1086</v>
      </c>
      <c r="C651" s="10" t="s">
        <v>3273</v>
      </c>
      <c r="D651" s="10" t="str">
        <f>VLOOKUP(C651,Region!A:B,2,FALSE)</f>
        <v>Noida</v>
      </c>
      <c r="E651" s="10" t="s">
        <v>806</v>
      </c>
      <c r="F651" s="11" t="s">
        <v>823</v>
      </c>
      <c r="G651" s="11" t="s">
        <v>3380</v>
      </c>
      <c r="H651" s="10" t="s">
        <v>812</v>
      </c>
    </row>
    <row r="652" spans="1:8" x14ac:dyDescent="0.25">
      <c r="A652" s="11" t="s">
        <v>1018</v>
      </c>
      <c r="B652" s="10" t="s">
        <v>804</v>
      </c>
      <c r="C652" s="10" t="s">
        <v>805</v>
      </c>
      <c r="D652" s="10" t="str">
        <f>VLOOKUP(C652,Region!A:B,2,FALSE)</f>
        <v>Noida</v>
      </c>
      <c r="E652" s="10" t="s">
        <v>806</v>
      </c>
      <c r="F652" s="11" t="s">
        <v>823</v>
      </c>
      <c r="G652" s="11" t="s">
        <v>1019</v>
      </c>
      <c r="H652" s="10" t="s">
        <v>809</v>
      </c>
    </row>
    <row r="653" spans="1:8" x14ac:dyDescent="0.25">
      <c r="A653" s="11" t="s">
        <v>1886</v>
      </c>
      <c r="B653" s="10" t="s">
        <v>804</v>
      </c>
      <c r="C653" s="10" t="s">
        <v>1635</v>
      </c>
      <c r="D653" s="10" t="str">
        <f>VLOOKUP(C653,Region!A:B,2,FALSE)</f>
        <v>MBC US</v>
      </c>
      <c r="E653" s="10" t="s">
        <v>806</v>
      </c>
      <c r="F653" s="11" t="s">
        <v>814</v>
      </c>
      <c r="G653" s="11" t="s">
        <v>1887</v>
      </c>
      <c r="H653" s="10" t="s">
        <v>809</v>
      </c>
    </row>
    <row r="654" spans="1:8" x14ac:dyDescent="0.25">
      <c r="A654" s="11" t="s">
        <v>3181</v>
      </c>
      <c r="B654" s="10" t="s">
        <v>1086</v>
      </c>
      <c r="C654" s="10" t="s">
        <v>2987</v>
      </c>
      <c r="D654" s="10" t="str">
        <f>VLOOKUP(C654,Region!A:B,2,FALSE)</f>
        <v>Noida</v>
      </c>
      <c r="E654" s="10" t="s">
        <v>1427</v>
      </c>
      <c r="F654" s="11" t="s">
        <v>823</v>
      </c>
      <c r="G654" s="11" t="s">
        <v>3182</v>
      </c>
      <c r="H654" s="10" t="s">
        <v>809</v>
      </c>
    </row>
    <row r="655" spans="1:8" x14ac:dyDescent="0.25">
      <c r="A655" s="11" t="s">
        <v>2568</v>
      </c>
      <c r="B655" s="10" t="s">
        <v>804</v>
      </c>
      <c r="C655" s="10" t="s">
        <v>2518</v>
      </c>
      <c r="D655" s="10" t="str">
        <f>VLOOKUP(C655,Region!A:B,2,FALSE)</f>
        <v>Noida</v>
      </c>
      <c r="E655" s="10" t="s">
        <v>1427</v>
      </c>
      <c r="F655" s="11" t="s">
        <v>811</v>
      </c>
      <c r="G655" s="11" t="s">
        <v>2569</v>
      </c>
      <c r="H655" s="10" t="s">
        <v>812</v>
      </c>
    </row>
    <row r="656" spans="1:8" x14ac:dyDescent="0.25">
      <c r="A656" s="11" t="s">
        <v>2528</v>
      </c>
      <c r="B656" s="10" t="s">
        <v>804</v>
      </c>
      <c r="C656" s="10" t="s">
        <v>2518</v>
      </c>
      <c r="D656" s="10" t="str">
        <f>VLOOKUP(C656,Region!A:B,2,FALSE)</f>
        <v>Noida</v>
      </c>
      <c r="E656" s="10" t="s">
        <v>1427</v>
      </c>
      <c r="F656" s="11" t="s">
        <v>823</v>
      </c>
      <c r="G656" s="11" t="s">
        <v>2529</v>
      </c>
      <c r="H656" s="10" t="s">
        <v>809</v>
      </c>
    </row>
    <row r="657" spans="1:8" x14ac:dyDescent="0.25">
      <c r="A657" s="11" t="s">
        <v>2773</v>
      </c>
      <c r="B657" s="10" t="s">
        <v>804</v>
      </c>
      <c r="C657" s="10" t="s">
        <v>2752</v>
      </c>
      <c r="D657" s="10" t="str">
        <f>VLOOKUP(C657,Region!A:B,2,FALSE)</f>
        <v>Noida</v>
      </c>
      <c r="E657" s="10" t="s">
        <v>806</v>
      </c>
      <c r="F657" s="11" t="s">
        <v>814</v>
      </c>
      <c r="G657" s="11" t="s">
        <v>2774</v>
      </c>
      <c r="H657" s="10" t="s">
        <v>812</v>
      </c>
    </row>
    <row r="658" spans="1:8" x14ac:dyDescent="0.25">
      <c r="A658" s="11" t="s">
        <v>3415</v>
      </c>
      <c r="B658" s="10" t="s">
        <v>1086</v>
      </c>
      <c r="C658" s="10" t="s">
        <v>3273</v>
      </c>
      <c r="D658" s="10" t="str">
        <f>VLOOKUP(C658,Region!A:B,2,FALSE)</f>
        <v>Noida</v>
      </c>
      <c r="E658" s="10" t="s">
        <v>806</v>
      </c>
      <c r="F658" s="11" t="s">
        <v>811</v>
      </c>
      <c r="G658" s="11" t="s">
        <v>3416</v>
      </c>
      <c r="H658" s="10" t="s">
        <v>812</v>
      </c>
    </row>
    <row r="659" spans="1:8" x14ac:dyDescent="0.25">
      <c r="A659" s="11" t="s">
        <v>1081</v>
      </c>
      <c r="B659" s="10" t="s">
        <v>804</v>
      </c>
      <c r="C659" s="10" t="s">
        <v>805</v>
      </c>
      <c r="D659" s="10" t="str">
        <f>VLOOKUP(C659,Region!A:B,2,FALSE)</f>
        <v>Noida</v>
      </c>
      <c r="E659" s="10" t="s">
        <v>806</v>
      </c>
      <c r="F659" s="11" t="s">
        <v>823</v>
      </c>
      <c r="G659" s="11" t="s">
        <v>1082</v>
      </c>
      <c r="H659" s="10" t="s">
        <v>812</v>
      </c>
    </row>
    <row r="660" spans="1:8" x14ac:dyDescent="0.25">
      <c r="A660" s="11" t="s">
        <v>1163</v>
      </c>
      <c r="B660" s="10" t="s">
        <v>1086</v>
      </c>
      <c r="C660" s="10" t="s">
        <v>1087</v>
      </c>
      <c r="D660" s="10" t="str">
        <f>VLOOKUP(C660,Region!A:B,2,FALSE)</f>
        <v>Hyderabad</v>
      </c>
      <c r="E660" s="10" t="s">
        <v>806</v>
      </c>
      <c r="F660" s="11" t="s">
        <v>823</v>
      </c>
      <c r="G660" s="11" t="s">
        <v>1164</v>
      </c>
      <c r="H660" s="10" t="s">
        <v>809</v>
      </c>
    </row>
    <row r="661" spans="1:8" x14ac:dyDescent="0.25">
      <c r="A661" s="11" t="s">
        <v>1890</v>
      </c>
      <c r="B661" s="10" t="s">
        <v>804</v>
      </c>
      <c r="C661" s="10" t="s">
        <v>1635</v>
      </c>
      <c r="D661" s="10" t="str">
        <f>VLOOKUP(C661,Region!A:B,2,FALSE)</f>
        <v>MBC US</v>
      </c>
      <c r="E661" s="10" t="s">
        <v>806</v>
      </c>
      <c r="F661" s="11" t="s">
        <v>814</v>
      </c>
      <c r="G661" s="11" t="s">
        <v>1891</v>
      </c>
      <c r="H661" s="10" t="s">
        <v>809</v>
      </c>
    </row>
    <row r="662" spans="1:8" x14ac:dyDescent="0.25">
      <c r="A662" s="11" t="s">
        <v>1275</v>
      </c>
      <c r="B662" s="10" t="s">
        <v>1086</v>
      </c>
      <c r="C662" s="10" t="s">
        <v>1087</v>
      </c>
      <c r="D662" s="10" t="str">
        <f>VLOOKUP(C662,Region!A:B,2,FALSE)</f>
        <v>Hyderabad</v>
      </c>
      <c r="E662" s="10" t="s">
        <v>806</v>
      </c>
      <c r="F662" s="11" t="s">
        <v>814</v>
      </c>
      <c r="G662" s="11" t="s">
        <v>1276</v>
      </c>
      <c r="H662" s="10" t="s">
        <v>809</v>
      </c>
    </row>
    <row r="663" spans="1:8" x14ac:dyDescent="0.25">
      <c r="A663" s="11" t="s">
        <v>1888</v>
      </c>
      <c r="B663" s="10" t="s">
        <v>804</v>
      </c>
      <c r="C663" s="10" t="s">
        <v>1635</v>
      </c>
      <c r="D663" s="10" t="str">
        <f>VLOOKUP(C663,Region!A:B,2,FALSE)</f>
        <v>MBC US</v>
      </c>
      <c r="E663" s="10" t="s">
        <v>806</v>
      </c>
      <c r="F663" s="11" t="s">
        <v>811</v>
      </c>
      <c r="G663" s="11" t="s">
        <v>1889</v>
      </c>
      <c r="H663" s="10" t="s">
        <v>809</v>
      </c>
    </row>
    <row r="664" spans="1:8" x14ac:dyDescent="0.25">
      <c r="A664" s="11" t="s">
        <v>3105</v>
      </c>
      <c r="B664" s="10" t="s">
        <v>1086</v>
      </c>
      <c r="C664" s="10" t="s">
        <v>2987</v>
      </c>
      <c r="D664" s="10" t="str">
        <f>VLOOKUP(C664,Region!A:B,2,FALSE)</f>
        <v>Noida</v>
      </c>
      <c r="E664" s="10" t="s">
        <v>1427</v>
      </c>
      <c r="F664" s="11" t="s">
        <v>823</v>
      </c>
      <c r="G664" s="11" t="s">
        <v>3106</v>
      </c>
      <c r="H664" s="10" t="s">
        <v>809</v>
      </c>
    </row>
    <row r="665" spans="1:8" x14ac:dyDescent="0.25">
      <c r="A665" s="11" t="s">
        <v>1892</v>
      </c>
      <c r="B665" s="10" t="s">
        <v>804</v>
      </c>
      <c r="C665" s="10" t="s">
        <v>1635</v>
      </c>
      <c r="D665" s="10" t="str">
        <f>VLOOKUP(C665,Region!A:B,2,FALSE)</f>
        <v>MBC US</v>
      </c>
      <c r="E665" s="10" t="s">
        <v>806</v>
      </c>
      <c r="F665" s="11" t="s">
        <v>823</v>
      </c>
      <c r="G665" s="11" t="s">
        <v>1893</v>
      </c>
      <c r="H665" s="10" t="s">
        <v>809</v>
      </c>
    </row>
    <row r="666" spans="1:8" x14ac:dyDescent="0.25">
      <c r="A666" s="11" t="s">
        <v>1876</v>
      </c>
      <c r="B666" s="10" t="s">
        <v>804</v>
      </c>
      <c r="C666" s="10" t="s">
        <v>1635</v>
      </c>
      <c r="D666" s="10" t="str">
        <f>VLOOKUP(C666,Region!A:B,2,FALSE)</f>
        <v>MBC US</v>
      </c>
      <c r="E666" s="10" t="s">
        <v>806</v>
      </c>
      <c r="F666" s="11" t="s">
        <v>814</v>
      </c>
      <c r="G666" s="11" t="s">
        <v>1877</v>
      </c>
      <c r="H666" s="10" t="s">
        <v>809</v>
      </c>
    </row>
    <row r="667" spans="1:8" x14ac:dyDescent="0.25">
      <c r="A667" s="11" t="s">
        <v>1443</v>
      </c>
      <c r="B667" s="10" t="s">
        <v>1086</v>
      </c>
      <c r="C667" s="10" t="s">
        <v>1426</v>
      </c>
      <c r="D667" s="10" t="str">
        <f>VLOOKUP(C667,Region!A:B,2,FALSE)</f>
        <v>Spain</v>
      </c>
      <c r="E667" s="10" t="s">
        <v>1427</v>
      </c>
      <c r="F667" s="11" t="s">
        <v>807</v>
      </c>
      <c r="G667" s="11" t="s">
        <v>1444</v>
      </c>
      <c r="H667" s="10" t="s">
        <v>809</v>
      </c>
    </row>
    <row r="668" spans="1:8" x14ac:dyDescent="0.25">
      <c r="A668" s="11" t="s">
        <v>1894</v>
      </c>
      <c r="B668" s="10" t="s">
        <v>804</v>
      </c>
      <c r="C668" s="10" t="s">
        <v>1635</v>
      </c>
      <c r="D668" s="10" t="str">
        <f>VLOOKUP(C668,Region!A:B,2,FALSE)</f>
        <v>MBC US</v>
      </c>
      <c r="E668" s="10" t="s">
        <v>806</v>
      </c>
      <c r="F668" s="11" t="s">
        <v>807</v>
      </c>
      <c r="G668" s="11" t="s">
        <v>1895</v>
      </c>
      <c r="H668" s="10" t="s">
        <v>809</v>
      </c>
    </row>
    <row r="669" spans="1:8" x14ac:dyDescent="0.25">
      <c r="A669" s="11" t="s">
        <v>1214</v>
      </c>
      <c r="B669" s="10" t="s">
        <v>1086</v>
      </c>
      <c r="C669" s="10" t="s">
        <v>1087</v>
      </c>
      <c r="D669" s="10" t="str">
        <f>VLOOKUP(C669,Region!A:B,2,FALSE)</f>
        <v>Hyderabad</v>
      </c>
      <c r="E669" s="10" t="s">
        <v>806</v>
      </c>
      <c r="F669" s="11" t="s">
        <v>814</v>
      </c>
      <c r="G669" s="11" t="s">
        <v>1215</v>
      </c>
      <c r="H669" s="10" t="s">
        <v>809</v>
      </c>
    </row>
    <row r="670" spans="1:8" x14ac:dyDescent="0.25">
      <c r="A670" s="11" t="s">
        <v>2291</v>
      </c>
      <c r="B670" s="10" t="s">
        <v>804</v>
      </c>
      <c r="C670" s="10" t="s">
        <v>2041</v>
      </c>
      <c r="D670" s="10" t="str">
        <f>VLOOKUP(C670,Region!A:B,2,FALSE)</f>
        <v>Hyderabad</v>
      </c>
      <c r="E670" s="10" t="s">
        <v>1427</v>
      </c>
      <c r="F670" s="11" t="s">
        <v>807</v>
      </c>
      <c r="G670" s="11" t="s">
        <v>2292</v>
      </c>
      <c r="H670" s="10" t="s">
        <v>809</v>
      </c>
    </row>
    <row r="671" spans="1:8" x14ac:dyDescent="0.25">
      <c r="A671" s="11" t="s">
        <v>2570</v>
      </c>
      <c r="B671" s="10" t="s">
        <v>804</v>
      </c>
      <c r="C671" s="10" t="s">
        <v>2518</v>
      </c>
      <c r="D671" s="10" t="str">
        <f>VLOOKUP(C671,Region!A:B,2,FALSE)</f>
        <v>Noida</v>
      </c>
      <c r="E671" s="10" t="s">
        <v>1427</v>
      </c>
      <c r="F671" s="11" t="s">
        <v>811</v>
      </c>
      <c r="G671" s="11" t="s">
        <v>479</v>
      </c>
      <c r="H671" s="10" t="s">
        <v>812</v>
      </c>
    </row>
    <row r="672" spans="1:8" x14ac:dyDescent="0.25">
      <c r="A672" s="11" t="s">
        <v>1571</v>
      </c>
      <c r="B672" s="10" t="s">
        <v>804</v>
      </c>
      <c r="C672" s="10" t="s">
        <v>1426</v>
      </c>
      <c r="D672" s="10" t="str">
        <f>VLOOKUP(C672,Region!A:B,2,FALSE)</f>
        <v>Spain</v>
      </c>
      <c r="E672" s="10" t="s">
        <v>1427</v>
      </c>
      <c r="F672" s="11" t="s">
        <v>823</v>
      </c>
      <c r="G672" s="11" t="s">
        <v>196</v>
      </c>
      <c r="H672" s="10" t="s">
        <v>812</v>
      </c>
    </row>
    <row r="673" spans="1:8" x14ac:dyDescent="0.25">
      <c r="A673" s="11" t="s">
        <v>1897</v>
      </c>
      <c r="B673" s="10" t="s">
        <v>804</v>
      </c>
      <c r="C673" s="10" t="s">
        <v>1635</v>
      </c>
      <c r="D673" s="10" t="str">
        <f>VLOOKUP(C673,Region!A:B,2,FALSE)</f>
        <v>MBC US</v>
      </c>
      <c r="E673" s="10" t="s">
        <v>806</v>
      </c>
      <c r="F673" s="11" t="s">
        <v>823</v>
      </c>
      <c r="G673" s="11" t="s">
        <v>1898</v>
      </c>
      <c r="H673" s="10" t="s">
        <v>812</v>
      </c>
    </row>
    <row r="674" spans="1:8" x14ac:dyDescent="0.25">
      <c r="A674" s="11" t="s">
        <v>1882</v>
      </c>
      <c r="B674" s="10" t="s">
        <v>804</v>
      </c>
      <c r="C674" s="10" t="s">
        <v>1635</v>
      </c>
      <c r="D674" s="10" t="str">
        <f>VLOOKUP(C674,Region!A:B,2,FALSE)</f>
        <v>MBC US</v>
      </c>
      <c r="E674" s="10" t="s">
        <v>806</v>
      </c>
      <c r="F674" s="11" t="s">
        <v>814</v>
      </c>
      <c r="G674" s="11" t="s">
        <v>1883</v>
      </c>
      <c r="H674" s="10" t="s">
        <v>809</v>
      </c>
    </row>
    <row r="675" spans="1:8" x14ac:dyDescent="0.25">
      <c r="A675" s="11" t="s">
        <v>2760</v>
      </c>
      <c r="B675" s="10" t="s">
        <v>804</v>
      </c>
      <c r="C675" s="10" t="s">
        <v>2752</v>
      </c>
      <c r="D675" s="10" t="str">
        <f>VLOOKUP(C675,Region!A:B,2,FALSE)</f>
        <v>Noida</v>
      </c>
      <c r="E675" s="10" t="s">
        <v>806</v>
      </c>
      <c r="F675" s="11" t="s">
        <v>807</v>
      </c>
      <c r="G675" s="11" t="s">
        <v>2761</v>
      </c>
      <c r="H675" s="10" t="s">
        <v>812</v>
      </c>
    </row>
    <row r="676" spans="1:8" x14ac:dyDescent="0.25">
      <c r="A676" s="11" t="s">
        <v>1878</v>
      </c>
      <c r="B676" s="10" t="s">
        <v>804</v>
      </c>
      <c r="C676" s="10" t="s">
        <v>1635</v>
      </c>
      <c r="D676" s="10" t="str">
        <f>VLOOKUP(C676,Region!A:B,2,FALSE)</f>
        <v>MBC US</v>
      </c>
      <c r="E676" s="10" t="s">
        <v>806</v>
      </c>
      <c r="F676" s="11" t="s">
        <v>814</v>
      </c>
      <c r="G676" s="11" t="s">
        <v>241</v>
      </c>
      <c r="H676" s="10" t="s">
        <v>812</v>
      </c>
    </row>
    <row r="677" spans="1:8" x14ac:dyDescent="0.25">
      <c r="A677" s="11" t="s">
        <v>1102</v>
      </c>
      <c r="B677" s="10" t="s">
        <v>1086</v>
      </c>
      <c r="C677" s="10" t="s">
        <v>1087</v>
      </c>
      <c r="D677" s="10" t="str">
        <f>VLOOKUP(C677,Region!A:B,2,FALSE)</f>
        <v>Hyderabad</v>
      </c>
      <c r="E677" s="10" t="s">
        <v>806</v>
      </c>
      <c r="F677" s="11" t="s">
        <v>807</v>
      </c>
      <c r="G677" s="11" t="s">
        <v>1103</v>
      </c>
      <c r="H677" s="10" t="s">
        <v>812</v>
      </c>
    </row>
    <row r="678" spans="1:8" x14ac:dyDescent="0.25">
      <c r="A678" s="11" t="s">
        <v>1277</v>
      </c>
      <c r="B678" s="10" t="s">
        <v>1086</v>
      </c>
      <c r="C678" s="10" t="s">
        <v>1087</v>
      </c>
      <c r="D678" s="10" t="str">
        <f>VLOOKUP(C678,Region!A:B,2,FALSE)</f>
        <v>Hyderabad</v>
      </c>
      <c r="E678" s="10" t="s">
        <v>806</v>
      </c>
      <c r="F678" s="11" t="s">
        <v>814</v>
      </c>
      <c r="G678" s="11" t="s">
        <v>1278</v>
      </c>
      <c r="H678" s="10" t="s">
        <v>812</v>
      </c>
    </row>
    <row r="679" spans="1:8" x14ac:dyDescent="0.25">
      <c r="A679" s="10" t="s">
        <v>3506</v>
      </c>
      <c r="B679" s="10" t="s">
        <v>804</v>
      </c>
      <c r="C679" s="10" t="s">
        <v>1426</v>
      </c>
      <c r="D679" s="10" t="str">
        <f>VLOOKUP(C679,Region!A:B,2,FALSE)</f>
        <v>Spain</v>
      </c>
      <c r="E679" s="10" t="s">
        <v>1427</v>
      </c>
      <c r="F679" s="10" t="s">
        <v>811</v>
      </c>
      <c r="G679" s="10"/>
      <c r="H679" s="10"/>
    </row>
    <row r="680" spans="1:8" x14ac:dyDescent="0.25">
      <c r="A680" s="11" t="s">
        <v>1561</v>
      </c>
      <c r="B680" s="10" t="s">
        <v>804</v>
      </c>
      <c r="C680" s="10" t="s">
        <v>1426</v>
      </c>
      <c r="D680" s="10" t="str">
        <f>VLOOKUP(C680,Region!A:B,2,FALSE)</f>
        <v>Spain</v>
      </c>
      <c r="E680" s="10" t="s">
        <v>1427</v>
      </c>
      <c r="F680" s="11" t="s">
        <v>814</v>
      </c>
      <c r="G680" s="11" t="s">
        <v>792</v>
      </c>
      <c r="H680" s="10" t="s">
        <v>812</v>
      </c>
    </row>
    <row r="681" spans="1:8" x14ac:dyDescent="0.25">
      <c r="A681" s="11" t="s">
        <v>3129</v>
      </c>
      <c r="B681" s="10" t="s">
        <v>1086</v>
      </c>
      <c r="C681" s="10" t="s">
        <v>2987</v>
      </c>
      <c r="D681" s="10" t="str">
        <f>VLOOKUP(C681,Region!A:B,2,FALSE)</f>
        <v>Noida</v>
      </c>
      <c r="E681" s="10" t="s">
        <v>1427</v>
      </c>
      <c r="F681" s="11" t="s">
        <v>807</v>
      </c>
      <c r="G681" s="11" t="s">
        <v>3130</v>
      </c>
      <c r="H681" s="10" t="s">
        <v>812</v>
      </c>
    </row>
    <row r="682" spans="1:8" x14ac:dyDescent="0.25">
      <c r="A682" s="11" t="s">
        <v>1557</v>
      </c>
      <c r="B682" s="10" t="s">
        <v>1086</v>
      </c>
      <c r="C682" s="10" t="s">
        <v>1426</v>
      </c>
      <c r="D682" s="10" t="str">
        <f>VLOOKUP(C682,Region!A:B,2,FALSE)</f>
        <v>Spain</v>
      </c>
      <c r="E682" s="10" t="s">
        <v>1427</v>
      </c>
      <c r="F682" s="11" t="s">
        <v>807</v>
      </c>
      <c r="G682" s="11" t="s">
        <v>1558</v>
      </c>
      <c r="H682" s="10" t="s">
        <v>809</v>
      </c>
    </row>
    <row r="683" spans="1:8" x14ac:dyDescent="0.25">
      <c r="A683" s="11" t="s">
        <v>1575</v>
      </c>
      <c r="B683" s="10" t="s">
        <v>1086</v>
      </c>
      <c r="C683" s="10" t="s">
        <v>1426</v>
      </c>
      <c r="D683" s="10" t="str">
        <f>VLOOKUP(C683,Region!A:B,2,FALSE)</f>
        <v>Spain</v>
      </c>
      <c r="E683" s="10" t="s">
        <v>1427</v>
      </c>
      <c r="F683" s="11" t="s">
        <v>807</v>
      </c>
      <c r="G683" s="11" t="s">
        <v>1576</v>
      </c>
      <c r="H683" s="10" t="s">
        <v>809</v>
      </c>
    </row>
    <row r="684" spans="1:8" x14ac:dyDescent="0.25">
      <c r="A684" s="11" t="s">
        <v>1562</v>
      </c>
      <c r="B684" s="10" t="s">
        <v>1086</v>
      </c>
      <c r="C684" s="10" t="s">
        <v>1426</v>
      </c>
      <c r="D684" s="10" t="str">
        <f>VLOOKUP(C684,Region!A:B,2,FALSE)</f>
        <v>Spain</v>
      </c>
      <c r="E684" s="10" t="s">
        <v>1427</v>
      </c>
      <c r="F684" s="11" t="s">
        <v>811</v>
      </c>
      <c r="G684" s="11" t="s">
        <v>1563</v>
      </c>
      <c r="H684" s="10" t="s">
        <v>809</v>
      </c>
    </row>
    <row r="685" spans="1:8" x14ac:dyDescent="0.25">
      <c r="A685" s="11" t="s">
        <v>1566</v>
      </c>
      <c r="B685" s="10" t="s">
        <v>1086</v>
      </c>
      <c r="C685" s="10" t="s">
        <v>1426</v>
      </c>
      <c r="D685" s="10" t="str">
        <f>VLOOKUP(C685,Region!A:B,2,FALSE)</f>
        <v>Spain</v>
      </c>
      <c r="E685" s="10" t="s">
        <v>1427</v>
      </c>
      <c r="F685" s="11" t="s">
        <v>823</v>
      </c>
      <c r="G685" s="11" t="s">
        <v>1567</v>
      </c>
      <c r="H685" s="10" t="s">
        <v>809</v>
      </c>
    </row>
    <row r="686" spans="1:8" x14ac:dyDescent="0.25">
      <c r="A686" s="11" t="s">
        <v>2701</v>
      </c>
      <c r="B686" s="10" t="s">
        <v>804</v>
      </c>
      <c r="C686" s="10" t="s">
        <v>2518</v>
      </c>
      <c r="D686" s="10" t="str">
        <f>VLOOKUP(C686,Region!A:B,2,FALSE)</f>
        <v>Noida</v>
      </c>
      <c r="E686" s="10" t="s">
        <v>1427</v>
      </c>
      <c r="F686" s="11" t="s">
        <v>807</v>
      </c>
      <c r="G686" s="11" t="s">
        <v>2702</v>
      </c>
      <c r="H686" s="10" t="s">
        <v>812</v>
      </c>
    </row>
    <row r="687" spans="1:8" x14ac:dyDescent="0.25">
      <c r="A687" s="11" t="s">
        <v>907</v>
      </c>
      <c r="B687" s="10" t="s">
        <v>804</v>
      </c>
      <c r="C687" s="10" t="s">
        <v>805</v>
      </c>
      <c r="D687" s="10" t="str">
        <f>VLOOKUP(C687,Region!A:B,2,FALSE)</f>
        <v>Noida</v>
      </c>
      <c r="E687" s="10" t="s">
        <v>806</v>
      </c>
      <c r="F687" s="11" t="s">
        <v>807</v>
      </c>
      <c r="G687" s="11" t="s">
        <v>908</v>
      </c>
      <c r="H687" s="10" t="s">
        <v>809</v>
      </c>
    </row>
    <row r="688" spans="1:8" x14ac:dyDescent="0.25">
      <c r="A688" s="11" t="s">
        <v>1076</v>
      </c>
      <c r="B688" s="10" t="s">
        <v>804</v>
      </c>
      <c r="C688" s="10" t="s">
        <v>805</v>
      </c>
      <c r="D688" s="10" t="str">
        <f>VLOOKUP(C688,Region!A:B,2,FALSE)</f>
        <v>Noida</v>
      </c>
      <c r="E688" s="10" t="s">
        <v>806</v>
      </c>
      <c r="F688" s="11" t="s">
        <v>807</v>
      </c>
      <c r="G688" s="11" t="s">
        <v>1077</v>
      </c>
      <c r="H688" s="10" t="s">
        <v>812</v>
      </c>
    </row>
    <row r="689" spans="1:8" x14ac:dyDescent="0.25">
      <c r="A689" s="11" t="s">
        <v>1902</v>
      </c>
      <c r="B689" s="10" t="s">
        <v>804</v>
      </c>
      <c r="C689" s="10" t="s">
        <v>1635</v>
      </c>
      <c r="D689" s="10" t="str">
        <f>VLOOKUP(C689,Region!A:B,2,FALSE)</f>
        <v>MBC US</v>
      </c>
      <c r="E689" s="10" t="s">
        <v>806</v>
      </c>
      <c r="F689" s="11" t="s">
        <v>814</v>
      </c>
      <c r="G689" s="11" t="s">
        <v>1903</v>
      </c>
      <c r="H689" s="10" t="s">
        <v>809</v>
      </c>
    </row>
    <row r="690" spans="1:8" x14ac:dyDescent="0.25">
      <c r="A690" s="11" t="s">
        <v>1896</v>
      </c>
      <c r="B690" s="10" t="s">
        <v>1086</v>
      </c>
      <c r="C690" s="10" t="s">
        <v>1635</v>
      </c>
      <c r="D690" s="10" t="str">
        <f>VLOOKUP(C690,Region!A:B,2,FALSE)</f>
        <v>MBC US</v>
      </c>
      <c r="E690" s="10" t="s">
        <v>806</v>
      </c>
      <c r="F690" s="11" t="s">
        <v>823</v>
      </c>
      <c r="G690" s="11" t="s">
        <v>379</v>
      </c>
      <c r="H690" s="10" t="s">
        <v>812</v>
      </c>
    </row>
    <row r="691" spans="1:8" x14ac:dyDescent="0.25">
      <c r="A691" s="11" t="s">
        <v>2775</v>
      </c>
      <c r="B691" s="10" t="s">
        <v>804</v>
      </c>
      <c r="C691" s="10" t="s">
        <v>2752</v>
      </c>
      <c r="D691" s="10" t="str">
        <f>VLOOKUP(C691,Region!A:B,2,FALSE)</f>
        <v>Noida</v>
      </c>
      <c r="E691" s="10" t="s">
        <v>806</v>
      </c>
      <c r="F691" s="11" t="s">
        <v>834</v>
      </c>
      <c r="G691" s="11" t="s">
        <v>2776</v>
      </c>
      <c r="H691" s="10" t="s">
        <v>812</v>
      </c>
    </row>
    <row r="692" spans="1:8" x14ac:dyDescent="0.25">
      <c r="A692" s="11" t="s">
        <v>2293</v>
      </c>
      <c r="B692" s="10" t="s">
        <v>804</v>
      </c>
      <c r="C692" s="10" t="s">
        <v>2041</v>
      </c>
      <c r="D692" s="10" t="str">
        <f>VLOOKUP(C692,Region!A:B,2,FALSE)</f>
        <v>Hyderabad</v>
      </c>
      <c r="E692" s="10" t="s">
        <v>1427</v>
      </c>
      <c r="F692" s="11" t="s">
        <v>807</v>
      </c>
      <c r="G692" s="11" t="s">
        <v>2294</v>
      </c>
      <c r="H692" s="10" t="s">
        <v>809</v>
      </c>
    </row>
    <row r="693" spans="1:8" x14ac:dyDescent="0.25">
      <c r="A693" s="11" t="s">
        <v>1279</v>
      </c>
      <c r="B693" s="10" t="s">
        <v>1086</v>
      </c>
      <c r="C693" s="10" t="s">
        <v>1087</v>
      </c>
      <c r="D693" s="10" t="str">
        <f>VLOOKUP(C693,Region!A:B,2,FALSE)</f>
        <v>Hyderabad</v>
      </c>
      <c r="E693" s="10" t="s">
        <v>806</v>
      </c>
      <c r="F693" s="11" t="s">
        <v>823</v>
      </c>
      <c r="G693" s="11" t="s">
        <v>1280</v>
      </c>
      <c r="H693" s="10" t="s">
        <v>812</v>
      </c>
    </row>
    <row r="694" spans="1:8" x14ac:dyDescent="0.25">
      <c r="A694" s="11" t="s">
        <v>2060</v>
      </c>
      <c r="B694" s="10" t="s">
        <v>804</v>
      </c>
      <c r="C694" s="10" t="s">
        <v>2041</v>
      </c>
      <c r="D694" s="10" t="str">
        <f>VLOOKUP(C694,Region!A:B,2,FALSE)</f>
        <v>Hyderabad</v>
      </c>
      <c r="E694" s="10" t="s">
        <v>1427</v>
      </c>
      <c r="F694" s="11" t="s">
        <v>823</v>
      </c>
      <c r="G694" s="11" t="s">
        <v>2061</v>
      </c>
      <c r="H694" s="10" t="s">
        <v>809</v>
      </c>
    </row>
    <row r="695" spans="1:8" x14ac:dyDescent="0.25">
      <c r="A695" s="11" t="s">
        <v>2836</v>
      </c>
      <c r="B695" s="10" t="s">
        <v>804</v>
      </c>
      <c r="C695" s="10" t="s">
        <v>2752</v>
      </c>
      <c r="D695" s="10" t="str">
        <f>VLOOKUP(C695,Region!A:B,2,FALSE)</f>
        <v>Noida</v>
      </c>
      <c r="E695" s="10" t="s">
        <v>806</v>
      </c>
      <c r="F695" s="11" t="s">
        <v>814</v>
      </c>
      <c r="G695" s="11" t="s">
        <v>2837</v>
      </c>
      <c r="H695" s="10" t="s">
        <v>809</v>
      </c>
    </row>
    <row r="696" spans="1:8" x14ac:dyDescent="0.25">
      <c r="A696" s="11" t="s">
        <v>3366</v>
      </c>
      <c r="B696" s="10" t="s">
        <v>1086</v>
      </c>
      <c r="C696" s="10" t="s">
        <v>3273</v>
      </c>
      <c r="D696" s="10" t="str">
        <f>VLOOKUP(C696,Region!A:B,2,FALSE)</f>
        <v>Noida</v>
      </c>
      <c r="E696" s="10" t="s">
        <v>806</v>
      </c>
      <c r="F696" s="11" t="s">
        <v>823</v>
      </c>
      <c r="G696" s="11" t="s">
        <v>3367</v>
      </c>
      <c r="H696" s="10" t="s">
        <v>812</v>
      </c>
    </row>
    <row r="697" spans="1:8" x14ac:dyDescent="0.25">
      <c r="A697" s="11" t="s">
        <v>3262</v>
      </c>
      <c r="B697" s="10" t="s">
        <v>1086</v>
      </c>
      <c r="C697" s="10" t="s">
        <v>2987</v>
      </c>
      <c r="D697" s="10" t="str">
        <f>VLOOKUP(C697,Region!A:B,2,FALSE)</f>
        <v>Noida</v>
      </c>
      <c r="E697" s="10" t="s">
        <v>1427</v>
      </c>
      <c r="F697" s="11" t="s">
        <v>811</v>
      </c>
      <c r="G697" s="11" t="s">
        <v>3263</v>
      </c>
      <c r="H697" s="10" t="s">
        <v>812</v>
      </c>
    </row>
    <row r="698" spans="1:8" x14ac:dyDescent="0.25">
      <c r="A698" s="11" t="s">
        <v>2062</v>
      </c>
      <c r="B698" s="10" t="s">
        <v>804</v>
      </c>
      <c r="C698" s="10" t="s">
        <v>2041</v>
      </c>
      <c r="D698" s="10" t="str">
        <f>VLOOKUP(C698,Region!A:B,2,FALSE)</f>
        <v>Hyderabad</v>
      </c>
      <c r="E698" s="10" t="s">
        <v>1427</v>
      </c>
      <c r="F698" s="11" t="s">
        <v>823</v>
      </c>
      <c r="G698" s="11" t="s">
        <v>2063</v>
      </c>
      <c r="H698" s="10" t="s">
        <v>809</v>
      </c>
    </row>
    <row r="699" spans="1:8" x14ac:dyDescent="0.25">
      <c r="A699" s="11" t="s">
        <v>3270</v>
      </c>
      <c r="B699" s="10" t="s">
        <v>1086</v>
      </c>
      <c r="C699" s="10" t="s">
        <v>2987</v>
      </c>
      <c r="D699" s="10" t="str">
        <f>VLOOKUP(C699,Region!A:B,2,FALSE)</f>
        <v>Noida</v>
      </c>
      <c r="E699" s="10" t="s">
        <v>1427</v>
      </c>
      <c r="F699" s="11" t="s">
        <v>823</v>
      </c>
      <c r="G699" s="11" t="s">
        <v>3271</v>
      </c>
      <c r="H699" s="10" t="s">
        <v>809</v>
      </c>
    </row>
    <row r="700" spans="1:8" x14ac:dyDescent="0.25">
      <c r="A700" s="11" t="s">
        <v>2193</v>
      </c>
      <c r="B700" s="10" t="s">
        <v>804</v>
      </c>
      <c r="C700" s="10" t="s">
        <v>2041</v>
      </c>
      <c r="D700" s="10" t="str">
        <f>VLOOKUP(C700,Region!A:B,2,FALSE)</f>
        <v>Hyderabad</v>
      </c>
      <c r="E700" s="10" t="s">
        <v>1427</v>
      </c>
      <c r="F700" s="11" t="s">
        <v>811</v>
      </c>
      <c r="G700" s="11" t="s">
        <v>2194</v>
      </c>
      <c r="H700" s="10" t="s">
        <v>812</v>
      </c>
    </row>
    <row r="701" spans="1:8" x14ac:dyDescent="0.25">
      <c r="A701" s="11" t="s">
        <v>1028</v>
      </c>
      <c r="B701" s="10" t="s">
        <v>804</v>
      </c>
      <c r="C701" s="10" t="s">
        <v>805</v>
      </c>
      <c r="D701" s="10" t="str">
        <f>VLOOKUP(C701,Region!A:B,2,FALSE)</f>
        <v>Noida</v>
      </c>
      <c r="E701" s="10" t="s">
        <v>806</v>
      </c>
      <c r="F701" s="11" t="s">
        <v>811</v>
      </c>
      <c r="G701" s="11" t="s">
        <v>1029</v>
      </c>
      <c r="H701" s="10" t="s">
        <v>809</v>
      </c>
    </row>
    <row r="702" spans="1:8" x14ac:dyDescent="0.25">
      <c r="A702" s="11" t="s">
        <v>1100</v>
      </c>
      <c r="B702" s="10" t="s">
        <v>1086</v>
      </c>
      <c r="C702" s="10" t="s">
        <v>1087</v>
      </c>
      <c r="D702" s="10" t="str">
        <f>VLOOKUP(C702,Region!A:B,2,FALSE)</f>
        <v>Hyderabad</v>
      </c>
      <c r="E702" s="10" t="s">
        <v>806</v>
      </c>
      <c r="F702" s="11" t="s">
        <v>811</v>
      </c>
      <c r="G702" s="11" t="s">
        <v>1101</v>
      </c>
      <c r="H702" s="10" t="s">
        <v>809</v>
      </c>
    </row>
    <row r="703" spans="1:8" x14ac:dyDescent="0.25">
      <c r="A703" s="11" t="s">
        <v>2571</v>
      </c>
      <c r="B703" s="10" t="s">
        <v>804</v>
      </c>
      <c r="C703" s="10" t="s">
        <v>2518</v>
      </c>
      <c r="D703" s="10" t="str">
        <f>VLOOKUP(C703,Region!A:B,2,FALSE)</f>
        <v>Noida</v>
      </c>
      <c r="E703" s="10" t="s">
        <v>1427</v>
      </c>
      <c r="F703" s="11" t="s">
        <v>811</v>
      </c>
      <c r="G703" s="11" t="s">
        <v>2572</v>
      </c>
      <c r="H703" s="10" t="s">
        <v>812</v>
      </c>
    </row>
    <row r="704" spans="1:8" x14ac:dyDescent="0.25">
      <c r="A704" s="11" t="s">
        <v>1574</v>
      </c>
      <c r="B704" s="10" t="s">
        <v>1086</v>
      </c>
      <c r="C704" s="10" t="s">
        <v>1426</v>
      </c>
      <c r="D704" s="10" t="str">
        <f>VLOOKUP(C704,Region!A:B,2,FALSE)</f>
        <v>Spain</v>
      </c>
      <c r="E704" s="10" t="s">
        <v>1427</v>
      </c>
      <c r="F704" s="11" t="s">
        <v>823</v>
      </c>
      <c r="G704" s="11" t="s">
        <v>513</v>
      </c>
      <c r="H704" s="10" t="s">
        <v>812</v>
      </c>
    </row>
    <row r="705" spans="1:8" x14ac:dyDescent="0.25">
      <c r="A705" s="11" t="s">
        <v>1331</v>
      </c>
      <c r="B705" s="10" t="s">
        <v>1086</v>
      </c>
      <c r="C705" s="10" t="s">
        <v>1087</v>
      </c>
      <c r="D705" s="10" t="str">
        <f>VLOOKUP(C705,Region!A:B,2,FALSE)</f>
        <v>Hyderabad</v>
      </c>
      <c r="E705" s="10" t="s">
        <v>806</v>
      </c>
      <c r="F705" s="11" t="s">
        <v>814</v>
      </c>
      <c r="G705" s="11" t="s">
        <v>1332</v>
      </c>
      <c r="H705" s="10" t="s">
        <v>809</v>
      </c>
    </row>
    <row r="706" spans="1:8" x14ac:dyDescent="0.25">
      <c r="A706" s="11" t="s">
        <v>1568</v>
      </c>
      <c r="B706" s="10" t="s">
        <v>1086</v>
      </c>
      <c r="C706" s="10" t="s">
        <v>1426</v>
      </c>
      <c r="D706" s="10" t="str">
        <f>VLOOKUP(C706,Region!A:B,2,FALSE)</f>
        <v>Spain</v>
      </c>
      <c r="E706" s="10" t="s">
        <v>1427</v>
      </c>
      <c r="F706" s="11" t="s">
        <v>823</v>
      </c>
      <c r="G706" s="11" t="s">
        <v>162</v>
      </c>
      <c r="H706" s="10" t="s">
        <v>812</v>
      </c>
    </row>
    <row r="707" spans="1:8" x14ac:dyDescent="0.25">
      <c r="A707" s="11" t="s">
        <v>1577</v>
      </c>
      <c r="B707" s="10" t="s">
        <v>1086</v>
      </c>
      <c r="C707" s="10" t="s">
        <v>1426</v>
      </c>
      <c r="D707" s="10" t="str">
        <f>VLOOKUP(C707,Region!A:B,2,FALSE)</f>
        <v>Spain</v>
      </c>
      <c r="E707" s="10" t="s">
        <v>1427</v>
      </c>
      <c r="F707" s="11" t="s">
        <v>807</v>
      </c>
      <c r="G707" s="11" t="s">
        <v>1578</v>
      </c>
      <c r="H707" s="10" t="s">
        <v>809</v>
      </c>
    </row>
    <row r="708" spans="1:8" x14ac:dyDescent="0.25">
      <c r="A708" s="11" t="s">
        <v>2195</v>
      </c>
      <c r="B708" s="10" t="s">
        <v>804</v>
      </c>
      <c r="C708" s="10" t="s">
        <v>2041</v>
      </c>
      <c r="D708" s="10" t="str">
        <f>VLOOKUP(C708,Region!A:B,2,FALSE)</f>
        <v>Hyderabad</v>
      </c>
      <c r="E708" s="10" t="s">
        <v>1427</v>
      </c>
      <c r="F708" s="11" t="s">
        <v>811</v>
      </c>
      <c r="G708" s="11" t="s">
        <v>2196</v>
      </c>
      <c r="H708" s="10" t="s">
        <v>809</v>
      </c>
    </row>
    <row r="709" spans="1:8" x14ac:dyDescent="0.25">
      <c r="A709" s="11" t="s">
        <v>2784</v>
      </c>
      <c r="B709" s="10" t="s">
        <v>804</v>
      </c>
      <c r="C709" s="10" t="s">
        <v>2752</v>
      </c>
      <c r="D709" s="10" t="str">
        <f>VLOOKUP(C709,Region!A:B,2,FALSE)</f>
        <v>Noida</v>
      </c>
      <c r="E709" s="10" t="s">
        <v>806</v>
      </c>
      <c r="F709" s="11" t="s">
        <v>811</v>
      </c>
      <c r="G709" s="11" t="s">
        <v>2785</v>
      </c>
      <c r="H709" s="10" t="s">
        <v>812</v>
      </c>
    </row>
    <row r="710" spans="1:8" x14ac:dyDescent="0.25">
      <c r="A710" s="11" t="s">
        <v>2730</v>
      </c>
      <c r="B710" s="10" t="s">
        <v>804</v>
      </c>
      <c r="C710" s="10" t="s">
        <v>2518</v>
      </c>
      <c r="D710" s="10" t="str">
        <f>VLOOKUP(C710,Region!A:B,2,FALSE)</f>
        <v>Noida</v>
      </c>
      <c r="E710" s="10" t="s">
        <v>1427</v>
      </c>
      <c r="F710" s="11" t="s">
        <v>823</v>
      </c>
      <c r="G710" s="11" t="s">
        <v>2731</v>
      </c>
      <c r="H710" s="10" t="s">
        <v>809</v>
      </c>
    </row>
    <row r="711" spans="1:8" x14ac:dyDescent="0.25">
      <c r="A711" s="11" t="s">
        <v>2802</v>
      </c>
      <c r="B711" s="10" t="s">
        <v>804</v>
      </c>
      <c r="C711" s="10" t="s">
        <v>2752</v>
      </c>
      <c r="D711" s="10" t="str">
        <f>VLOOKUP(C711,Region!A:B,2,FALSE)</f>
        <v>Noida</v>
      </c>
      <c r="E711" s="10" t="s">
        <v>806</v>
      </c>
      <c r="F711" s="11" t="s">
        <v>823</v>
      </c>
      <c r="G711" s="11" t="s">
        <v>2803</v>
      </c>
      <c r="H711" s="10" t="s">
        <v>809</v>
      </c>
    </row>
    <row r="712" spans="1:8" x14ac:dyDescent="0.25">
      <c r="A712" s="11" t="s">
        <v>833</v>
      </c>
      <c r="B712" s="10" t="s">
        <v>804</v>
      </c>
      <c r="C712" s="10" t="s">
        <v>805</v>
      </c>
      <c r="D712" s="10" t="str">
        <f>VLOOKUP(C712,Region!A:B,2,FALSE)</f>
        <v>Noida</v>
      </c>
      <c r="E712" s="10" t="s">
        <v>806</v>
      </c>
      <c r="F712" s="11" t="s">
        <v>834</v>
      </c>
      <c r="G712" s="11" t="s">
        <v>835</v>
      </c>
      <c r="H712" s="10" t="s">
        <v>809</v>
      </c>
    </row>
    <row r="713" spans="1:8" x14ac:dyDescent="0.25">
      <c r="A713" s="11" t="s">
        <v>1900</v>
      </c>
      <c r="B713" s="10" t="s">
        <v>804</v>
      </c>
      <c r="C713" s="10" t="s">
        <v>1635</v>
      </c>
      <c r="D713" s="10" t="str">
        <f>VLOOKUP(C713,Region!A:B,2,FALSE)</f>
        <v>MBC US</v>
      </c>
      <c r="E713" s="10" t="s">
        <v>806</v>
      </c>
      <c r="F713" s="11" t="s">
        <v>807</v>
      </c>
      <c r="G713" s="11" t="s">
        <v>1901</v>
      </c>
      <c r="H713" s="10" t="s">
        <v>809</v>
      </c>
    </row>
    <row r="714" spans="1:8" x14ac:dyDescent="0.25">
      <c r="A714" s="11" t="s">
        <v>2370</v>
      </c>
      <c r="B714" s="10" t="s">
        <v>804</v>
      </c>
      <c r="C714" s="10" t="s">
        <v>2041</v>
      </c>
      <c r="D714" s="10" t="str">
        <f>VLOOKUP(C714,Region!A:B,2,FALSE)</f>
        <v>Hyderabad</v>
      </c>
      <c r="E714" s="10" t="s">
        <v>1427</v>
      </c>
      <c r="F714" s="11" t="s">
        <v>814</v>
      </c>
      <c r="G714" s="11" t="s">
        <v>2371</v>
      </c>
      <c r="H714" s="10" t="s">
        <v>809</v>
      </c>
    </row>
    <row r="715" spans="1:8" x14ac:dyDescent="0.25">
      <c r="A715" s="11" t="s">
        <v>971</v>
      </c>
      <c r="B715" s="10" t="s">
        <v>804</v>
      </c>
      <c r="C715" s="10" t="s">
        <v>805</v>
      </c>
      <c r="D715" s="10" t="str">
        <f>VLOOKUP(C715,Region!A:B,2,FALSE)</f>
        <v>Noida</v>
      </c>
      <c r="E715" s="10" t="s">
        <v>806</v>
      </c>
      <c r="F715" s="11" t="s">
        <v>834</v>
      </c>
      <c r="G715" s="11" t="s">
        <v>109</v>
      </c>
      <c r="H715" s="10" t="s">
        <v>812</v>
      </c>
    </row>
    <row r="716" spans="1:8" x14ac:dyDescent="0.25">
      <c r="A716" s="11" t="s">
        <v>1904</v>
      </c>
      <c r="B716" s="10" t="s">
        <v>804</v>
      </c>
      <c r="C716" s="10" t="s">
        <v>1635</v>
      </c>
      <c r="D716" s="10" t="str">
        <f>VLOOKUP(C716,Region!A:B,2,FALSE)</f>
        <v>MBC US</v>
      </c>
      <c r="E716" s="10" t="s">
        <v>806</v>
      </c>
      <c r="F716" s="11" t="s">
        <v>814</v>
      </c>
      <c r="G716" s="11" t="s">
        <v>1905</v>
      </c>
      <c r="H716" s="10" t="s">
        <v>809</v>
      </c>
    </row>
    <row r="717" spans="1:8" x14ac:dyDescent="0.25">
      <c r="A717" s="11" t="s">
        <v>3405</v>
      </c>
      <c r="B717" s="10" t="s">
        <v>1086</v>
      </c>
      <c r="C717" s="10" t="s">
        <v>3273</v>
      </c>
      <c r="D717" s="10" t="str">
        <f>VLOOKUP(C717,Region!A:B,2,FALSE)</f>
        <v>Noida</v>
      </c>
      <c r="E717" s="10" t="s">
        <v>806</v>
      </c>
      <c r="F717" s="11" t="s">
        <v>823</v>
      </c>
      <c r="G717" s="11" t="s">
        <v>3406</v>
      </c>
      <c r="H717" s="10" t="s">
        <v>812</v>
      </c>
    </row>
    <row r="718" spans="1:8" x14ac:dyDescent="0.25">
      <c r="A718" s="11" t="s">
        <v>3465</v>
      </c>
      <c r="B718" s="10" t="s">
        <v>1086</v>
      </c>
      <c r="C718" s="10" t="s">
        <v>3273</v>
      </c>
      <c r="D718" s="10" t="str">
        <f>VLOOKUP(C718,Region!A:B,2,FALSE)</f>
        <v>Noida</v>
      </c>
      <c r="E718" s="10" t="s">
        <v>806</v>
      </c>
      <c r="F718" s="11" t="s">
        <v>823</v>
      </c>
      <c r="G718" s="11" t="s">
        <v>3466</v>
      </c>
      <c r="H718" s="10" t="s">
        <v>809</v>
      </c>
    </row>
    <row r="719" spans="1:8" x14ac:dyDescent="0.25">
      <c r="A719" s="11" t="s">
        <v>3218</v>
      </c>
      <c r="B719" s="10" t="s">
        <v>1086</v>
      </c>
      <c r="C719" s="10" t="s">
        <v>2987</v>
      </c>
      <c r="D719" s="10" t="str">
        <f>VLOOKUP(C719,Region!A:B,2,FALSE)</f>
        <v>Noida</v>
      </c>
      <c r="E719" s="10" t="s">
        <v>1427</v>
      </c>
      <c r="F719" s="11" t="s">
        <v>823</v>
      </c>
      <c r="G719" s="11" t="s">
        <v>3219</v>
      </c>
      <c r="H719" s="10" t="s">
        <v>809</v>
      </c>
    </row>
    <row r="720" spans="1:8" x14ac:dyDescent="0.25">
      <c r="A720" s="11" t="s">
        <v>827</v>
      </c>
      <c r="B720" s="10" t="s">
        <v>804</v>
      </c>
      <c r="C720" s="10" t="s">
        <v>805</v>
      </c>
      <c r="D720" s="10" t="str">
        <f>VLOOKUP(C720,Region!A:B,2,FALSE)</f>
        <v>Noida</v>
      </c>
      <c r="E720" s="10" t="s">
        <v>806</v>
      </c>
      <c r="F720" s="11" t="s">
        <v>807</v>
      </c>
      <c r="G720" s="11" t="s">
        <v>828</v>
      </c>
      <c r="H720" s="10" t="s">
        <v>809</v>
      </c>
    </row>
    <row r="721" spans="1:8" x14ac:dyDescent="0.25">
      <c r="A721" s="11" t="s">
        <v>2703</v>
      </c>
      <c r="B721" s="10" t="s">
        <v>804</v>
      </c>
      <c r="C721" s="10" t="s">
        <v>2518</v>
      </c>
      <c r="D721" s="10" t="str">
        <f>VLOOKUP(C721,Region!A:B,2,FALSE)</f>
        <v>Noida</v>
      </c>
      <c r="E721" s="10" t="s">
        <v>1427</v>
      </c>
      <c r="F721" s="11" t="s">
        <v>807</v>
      </c>
      <c r="G721" s="11" t="s">
        <v>221</v>
      </c>
      <c r="H721" s="10" t="s">
        <v>812</v>
      </c>
    </row>
    <row r="722" spans="1:8" x14ac:dyDescent="0.25">
      <c r="A722" s="11" t="s">
        <v>803</v>
      </c>
      <c r="B722" s="10" t="s">
        <v>804</v>
      </c>
      <c r="C722" s="10" t="s">
        <v>805</v>
      </c>
      <c r="D722" s="10" t="str">
        <f>VLOOKUP(C722,Region!A:B,2,FALSE)</f>
        <v>Noida</v>
      </c>
      <c r="E722" s="10" t="s">
        <v>806</v>
      </c>
      <c r="F722" s="11" t="s">
        <v>807</v>
      </c>
      <c r="G722" s="11" t="s">
        <v>808</v>
      </c>
      <c r="H722" s="10" t="s">
        <v>809</v>
      </c>
    </row>
    <row r="723" spans="1:8" x14ac:dyDescent="0.25">
      <c r="A723" s="11" t="s">
        <v>2125</v>
      </c>
      <c r="B723" s="10" t="s">
        <v>804</v>
      </c>
      <c r="C723" s="10" t="s">
        <v>2041</v>
      </c>
      <c r="D723" s="10" t="str">
        <f>VLOOKUP(C723,Region!A:B,2,FALSE)</f>
        <v>Hyderabad</v>
      </c>
      <c r="E723" s="10" t="s">
        <v>1427</v>
      </c>
      <c r="F723" s="11" t="s">
        <v>814</v>
      </c>
      <c r="G723" s="11" t="s">
        <v>2126</v>
      </c>
      <c r="H723" s="10" t="s">
        <v>812</v>
      </c>
    </row>
    <row r="724" spans="1:8" x14ac:dyDescent="0.25">
      <c r="A724" s="11" t="s">
        <v>3252</v>
      </c>
      <c r="B724" s="10" t="s">
        <v>1086</v>
      </c>
      <c r="C724" s="10" t="s">
        <v>2987</v>
      </c>
      <c r="D724" s="10" t="str">
        <f>VLOOKUP(C724,Region!A:B,2,FALSE)</f>
        <v>Noida</v>
      </c>
      <c r="E724" s="10" t="s">
        <v>1427</v>
      </c>
      <c r="F724" s="11" t="s">
        <v>811</v>
      </c>
      <c r="G724" s="11" t="s">
        <v>3253</v>
      </c>
      <c r="H724" s="10" t="s">
        <v>809</v>
      </c>
    </row>
    <row r="725" spans="1:8" x14ac:dyDescent="0.25">
      <c r="A725" s="11" t="s">
        <v>1906</v>
      </c>
      <c r="B725" s="10" t="s">
        <v>1086</v>
      </c>
      <c r="C725" s="10" t="s">
        <v>1635</v>
      </c>
      <c r="D725" s="10" t="str">
        <f>VLOOKUP(C725,Region!A:B,2,FALSE)</f>
        <v>MBC US</v>
      </c>
      <c r="E725" s="10" t="s">
        <v>806</v>
      </c>
      <c r="F725" s="11" t="s">
        <v>834</v>
      </c>
      <c r="G725" s="11" t="s">
        <v>317</v>
      </c>
      <c r="H725" s="10" t="s">
        <v>812</v>
      </c>
    </row>
    <row r="726" spans="1:8" x14ac:dyDescent="0.25">
      <c r="A726" s="11" t="s">
        <v>1881</v>
      </c>
      <c r="B726" s="10" t="s">
        <v>804</v>
      </c>
      <c r="C726" s="10" t="s">
        <v>1635</v>
      </c>
      <c r="D726" s="10" t="str">
        <f>VLOOKUP(C726,Region!A:B,2,FALSE)</f>
        <v>MBC US</v>
      </c>
      <c r="E726" s="10" t="s">
        <v>806</v>
      </c>
      <c r="F726" s="11" t="s">
        <v>814</v>
      </c>
      <c r="G726" s="11" t="s">
        <v>395</v>
      </c>
      <c r="H726" s="10" t="s">
        <v>812</v>
      </c>
    </row>
    <row r="727" spans="1:8" x14ac:dyDescent="0.25">
      <c r="A727" s="11" t="s">
        <v>3419</v>
      </c>
      <c r="B727" s="10" t="s">
        <v>1086</v>
      </c>
      <c r="C727" s="10" t="s">
        <v>3273</v>
      </c>
      <c r="D727" s="10" t="str">
        <f>VLOOKUP(C727,Region!A:B,2,FALSE)</f>
        <v>Noida</v>
      </c>
      <c r="E727" s="10" t="s">
        <v>806</v>
      </c>
      <c r="F727" s="11" t="s">
        <v>811</v>
      </c>
      <c r="G727" s="11" t="s">
        <v>3420</v>
      </c>
      <c r="H727" s="10" t="s">
        <v>809</v>
      </c>
    </row>
    <row r="728" spans="1:8" x14ac:dyDescent="0.25">
      <c r="A728" s="11" t="s">
        <v>972</v>
      </c>
      <c r="B728" s="10" t="s">
        <v>804</v>
      </c>
      <c r="C728" s="10" t="s">
        <v>805</v>
      </c>
      <c r="D728" s="10" t="str">
        <f>VLOOKUP(C728,Region!A:B,2,FALSE)</f>
        <v>Noida</v>
      </c>
      <c r="E728" s="10" t="s">
        <v>806</v>
      </c>
      <c r="F728" s="11" t="s">
        <v>811</v>
      </c>
      <c r="G728" s="11" t="s">
        <v>973</v>
      </c>
      <c r="H728" s="10" t="s">
        <v>809</v>
      </c>
    </row>
    <row r="729" spans="1:8" x14ac:dyDescent="0.25">
      <c r="A729" s="11" t="s">
        <v>3355</v>
      </c>
      <c r="B729" s="10" t="s">
        <v>1086</v>
      </c>
      <c r="C729" s="10" t="s">
        <v>3273</v>
      </c>
      <c r="D729" s="10" t="str">
        <f>VLOOKUP(C729,Region!A:B,2,FALSE)</f>
        <v>Noida</v>
      </c>
      <c r="E729" s="10" t="s">
        <v>806</v>
      </c>
      <c r="F729" s="11" t="s">
        <v>811</v>
      </c>
      <c r="G729" s="11" t="s">
        <v>3356</v>
      </c>
      <c r="H729" s="10" t="s">
        <v>809</v>
      </c>
    </row>
    <row r="730" spans="1:8" x14ac:dyDescent="0.25">
      <c r="A730" s="11" t="s">
        <v>1907</v>
      </c>
      <c r="B730" s="10" t="s">
        <v>1086</v>
      </c>
      <c r="C730" s="10" t="s">
        <v>1635</v>
      </c>
      <c r="D730" s="10" t="str">
        <f>VLOOKUP(C730,Region!A:B,2,FALSE)</f>
        <v>MBC US</v>
      </c>
      <c r="E730" s="10" t="s">
        <v>806</v>
      </c>
      <c r="F730" s="11" t="s">
        <v>823</v>
      </c>
      <c r="G730" s="11" t="s">
        <v>1908</v>
      </c>
      <c r="H730" s="10" t="s">
        <v>809</v>
      </c>
    </row>
    <row r="731" spans="1:8" x14ac:dyDescent="0.25">
      <c r="A731" s="11" t="s">
        <v>2447</v>
      </c>
      <c r="B731" s="10" t="s">
        <v>804</v>
      </c>
      <c r="C731" s="10" t="s">
        <v>2041</v>
      </c>
      <c r="D731" s="10" t="str">
        <f>VLOOKUP(C731,Region!A:B,2,FALSE)</f>
        <v>Hyderabad</v>
      </c>
      <c r="E731" s="10" t="s">
        <v>1427</v>
      </c>
      <c r="F731" s="11" t="s">
        <v>811</v>
      </c>
      <c r="G731" s="11" t="s">
        <v>2448</v>
      </c>
      <c r="H731" s="10" t="s">
        <v>809</v>
      </c>
    </row>
    <row r="732" spans="1:8" x14ac:dyDescent="0.25">
      <c r="A732" s="11" t="s">
        <v>1327</v>
      </c>
      <c r="B732" s="10" t="s">
        <v>1086</v>
      </c>
      <c r="C732" s="10" t="s">
        <v>1087</v>
      </c>
      <c r="D732" s="10" t="str">
        <f>VLOOKUP(C732,Region!A:B,2,FALSE)</f>
        <v>Hyderabad</v>
      </c>
      <c r="E732" s="10" t="s">
        <v>806</v>
      </c>
      <c r="F732" s="11" t="s">
        <v>807</v>
      </c>
      <c r="G732" s="11" t="s">
        <v>1328</v>
      </c>
      <c r="H732" s="10" t="s">
        <v>809</v>
      </c>
    </row>
    <row r="733" spans="1:8" x14ac:dyDescent="0.25">
      <c r="A733" s="11" t="s">
        <v>2617</v>
      </c>
      <c r="B733" s="10" t="s">
        <v>804</v>
      </c>
      <c r="C733" s="10" t="s">
        <v>2518</v>
      </c>
      <c r="D733" s="10" t="str">
        <f>VLOOKUP(C733,Region!A:B,2,FALSE)</f>
        <v>Noida</v>
      </c>
      <c r="E733" s="10" t="s">
        <v>1427</v>
      </c>
      <c r="F733" s="11" t="s">
        <v>814</v>
      </c>
      <c r="G733" s="11" t="s">
        <v>2618</v>
      </c>
      <c r="H733" s="10" t="s">
        <v>812</v>
      </c>
    </row>
    <row r="734" spans="1:8" x14ac:dyDescent="0.25">
      <c r="A734" s="11" t="s">
        <v>2573</v>
      </c>
      <c r="B734" s="10" t="s">
        <v>804</v>
      </c>
      <c r="C734" s="10" t="s">
        <v>2518</v>
      </c>
      <c r="D734" s="10" t="str">
        <f>VLOOKUP(C734,Region!A:B,2,FALSE)</f>
        <v>Noida</v>
      </c>
      <c r="E734" s="10" t="s">
        <v>1427</v>
      </c>
      <c r="F734" s="11" t="s">
        <v>811</v>
      </c>
      <c r="G734" s="11" t="s">
        <v>2574</v>
      </c>
      <c r="H734" s="10" t="s">
        <v>809</v>
      </c>
    </row>
    <row r="735" spans="1:8" x14ac:dyDescent="0.25">
      <c r="A735" s="11" t="s">
        <v>2979</v>
      </c>
      <c r="B735" s="10" t="s">
        <v>804</v>
      </c>
      <c r="C735" s="10" t="s">
        <v>2752</v>
      </c>
      <c r="D735" s="10" t="str">
        <f>VLOOKUP(C735,Region!A:B,2,FALSE)</f>
        <v>Noida</v>
      </c>
      <c r="E735" s="10" t="s">
        <v>806</v>
      </c>
      <c r="F735" s="11" t="s">
        <v>823</v>
      </c>
      <c r="G735" s="11" t="s">
        <v>2980</v>
      </c>
      <c r="H735" s="10" t="s">
        <v>812</v>
      </c>
    </row>
    <row r="736" spans="1:8" x14ac:dyDescent="0.25">
      <c r="A736" s="11" t="s">
        <v>1281</v>
      </c>
      <c r="B736" s="10" t="s">
        <v>1086</v>
      </c>
      <c r="C736" s="10" t="s">
        <v>1087</v>
      </c>
      <c r="D736" s="10" t="str">
        <f>VLOOKUP(C736,Region!A:B,2,FALSE)</f>
        <v>Hyderabad</v>
      </c>
      <c r="E736" s="10" t="s">
        <v>806</v>
      </c>
      <c r="F736" s="11" t="s">
        <v>823</v>
      </c>
      <c r="G736" s="11" t="s">
        <v>1282</v>
      </c>
      <c r="H736" s="10" t="s">
        <v>812</v>
      </c>
    </row>
    <row r="737" spans="1:8" x14ac:dyDescent="0.25">
      <c r="A737" s="11" t="s">
        <v>2740</v>
      </c>
      <c r="B737" s="10" t="s">
        <v>804</v>
      </c>
      <c r="C737" s="10" t="s">
        <v>2518</v>
      </c>
      <c r="D737" s="10" t="str">
        <f>VLOOKUP(C737,Region!A:B,2,FALSE)</f>
        <v>Noida</v>
      </c>
      <c r="E737" s="10" t="s">
        <v>1427</v>
      </c>
      <c r="F737" s="11" t="s">
        <v>823</v>
      </c>
      <c r="G737" s="11" t="s">
        <v>150</v>
      </c>
      <c r="H737" s="10" t="s">
        <v>812</v>
      </c>
    </row>
    <row r="738" spans="1:8" x14ac:dyDescent="0.25">
      <c r="A738" s="11" t="s">
        <v>1874</v>
      </c>
      <c r="B738" s="10" t="s">
        <v>1086</v>
      </c>
      <c r="C738" s="10" t="s">
        <v>1635</v>
      </c>
      <c r="D738" s="10" t="str">
        <f>VLOOKUP(C738,Region!A:B,2,FALSE)</f>
        <v>MBC US</v>
      </c>
      <c r="E738" s="10" t="s">
        <v>806</v>
      </c>
      <c r="F738" s="11" t="s">
        <v>823</v>
      </c>
      <c r="G738" s="11" t="s">
        <v>1875</v>
      </c>
      <c r="H738" s="10" t="s">
        <v>809</v>
      </c>
    </row>
    <row r="739" spans="1:8" x14ac:dyDescent="0.25">
      <c r="A739" s="11" t="s">
        <v>842</v>
      </c>
      <c r="B739" s="10" t="s">
        <v>804</v>
      </c>
      <c r="C739" s="10" t="s">
        <v>805</v>
      </c>
      <c r="D739" s="10" t="str">
        <f>VLOOKUP(C739,Region!A:B,2,FALSE)</f>
        <v>Noida</v>
      </c>
      <c r="E739" s="10" t="s">
        <v>806</v>
      </c>
      <c r="F739" s="11" t="s">
        <v>823</v>
      </c>
      <c r="G739" s="11" t="s">
        <v>843</v>
      </c>
      <c r="H739" s="10" t="s">
        <v>809</v>
      </c>
    </row>
    <row r="740" spans="1:8" x14ac:dyDescent="0.25">
      <c r="A740" s="11" t="s">
        <v>1194</v>
      </c>
      <c r="B740" s="10" t="s">
        <v>1086</v>
      </c>
      <c r="C740" s="10" t="s">
        <v>1087</v>
      </c>
      <c r="D740" s="10" t="str">
        <f>VLOOKUP(C740,Region!A:B,2,FALSE)</f>
        <v>Hyderabad</v>
      </c>
      <c r="E740" s="10" t="s">
        <v>806</v>
      </c>
      <c r="F740" s="11" t="s">
        <v>807</v>
      </c>
      <c r="G740" s="11" t="s">
        <v>1195</v>
      </c>
      <c r="H740" s="10" t="s">
        <v>812</v>
      </c>
    </row>
    <row r="741" spans="1:8" x14ac:dyDescent="0.25">
      <c r="A741" s="11" t="s">
        <v>1909</v>
      </c>
      <c r="B741" s="10" t="s">
        <v>1086</v>
      </c>
      <c r="C741" s="10" t="s">
        <v>1635</v>
      </c>
      <c r="D741" s="10" t="str">
        <f>VLOOKUP(C741,Region!A:B,2,FALSE)</f>
        <v>MBC US</v>
      </c>
      <c r="E741" s="10" t="s">
        <v>806</v>
      </c>
      <c r="F741" s="11" t="s">
        <v>807</v>
      </c>
      <c r="G741" s="11" t="s">
        <v>1910</v>
      </c>
      <c r="H741" s="10" t="s">
        <v>809</v>
      </c>
    </row>
    <row r="742" spans="1:8" x14ac:dyDescent="0.25">
      <c r="A742" s="11" t="s">
        <v>2372</v>
      </c>
      <c r="B742" s="10" t="s">
        <v>804</v>
      </c>
      <c r="C742" s="10" t="s">
        <v>2041</v>
      </c>
      <c r="D742" s="10" t="str">
        <f>VLOOKUP(C742,Region!A:B,2,FALSE)</f>
        <v>Hyderabad</v>
      </c>
      <c r="E742" s="10" t="s">
        <v>1427</v>
      </c>
      <c r="F742" s="11" t="s">
        <v>814</v>
      </c>
      <c r="G742" s="11" t="s">
        <v>2373</v>
      </c>
      <c r="H742" s="10" t="s">
        <v>812</v>
      </c>
    </row>
    <row r="743" spans="1:8" x14ac:dyDescent="0.25">
      <c r="A743" s="11" t="s">
        <v>1617</v>
      </c>
      <c r="B743" s="10" t="s">
        <v>804</v>
      </c>
      <c r="C743" s="10" t="s">
        <v>1426</v>
      </c>
      <c r="D743" s="10" t="str">
        <f>VLOOKUP(C743,Region!A:B,2,FALSE)</f>
        <v>Spain</v>
      </c>
      <c r="E743" s="10" t="s">
        <v>1427</v>
      </c>
      <c r="F743" s="11" t="s">
        <v>811</v>
      </c>
      <c r="G743" s="11" t="s">
        <v>201</v>
      </c>
      <c r="H743" s="10" t="s">
        <v>812</v>
      </c>
    </row>
    <row r="744" spans="1:8" x14ac:dyDescent="0.25">
      <c r="A744" s="11" t="s">
        <v>1353</v>
      </c>
      <c r="B744" s="10" t="s">
        <v>1086</v>
      </c>
      <c r="C744" s="10" t="s">
        <v>1087</v>
      </c>
      <c r="D744" s="10" t="str">
        <f>VLOOKUP(C744,Region!A:B,2,FALSE)</f>
        <v>Hyderabad</v>
      </c>
      <c r="E744" s="10" t="s">
        <v>806</v>
      </c>
      <c r="F744" s="11" t="s">
        <v>811</v>
      </c>
      <c r="G744" s="11" t="s">
        <v>1354</v>
      </c>
      <c r="H744" s="10" t="s">
        <v>812</v>
      </c>
    </row>
    <row r="745" spans="1:8" x14ac:dyDescent="0.25">
      <c r="A745" s="11" t="s">
        <v>2500</v>
      </c>
      <c r="B745" s="10" t="s">
        <v>804</v>
      </c>
      <c r="C745" s="10" t="s">
        <v>2041</v>
      </c>
      <c r="D745" s="10" t="str">
        <f>VLOOKUP(C745,Region!A:B,2,FALSE)</f>
        <v>Hyderabad</v>
      </c>
      <c r="E745" s="10" t="s">
        <v>1427</v>
      </c>
      <c r="F745" s="11" t="s">
        <v>823</v>
      </c>
      <c r="G745" s="11" t="s">
        <v>2501</v>
      </c>
      <c r="H745" s="10" t="s">
        <v>809</v>
      </c>
    </row>
    <row r="746" spans="1:8" x14ac:dyDescent="0.25">
      <c r="A746" s="11" t="s">
        <v>3289</v>
      </c>
      <c r="B746" s="10" t="s">
        <v>1086</v>
      </c>
      <c r="C746" s="10" t="s">
        <v>3273</v>
      </c>
      <c r="D746" s="10" t="str">
        <f>VLOOKUP(C746,Region!A:B,2,FALSE)</f>
        <v>Noida</v>
      </c>
      <c r="E746" s="10" t="s">
        <v>806</v>
      </c>
      <c r="F746" s="11" t="s">
        <v>807</v>
      </c>
      <c r="G746" s="11" t="s">
        <v>3290</v>
      </c>
      <c r="H746" s="10" t="s">
        <v>812</v>
      </c>
    </row>
    <row r="747" spans="1:8" x14ac:dyDescent="0.25">
      <c r="A747" s="11" t="s">
        <v>3281</v>
      </c>
      <c r="B747" s="10" t="s">
        <v>1086</v>
      </c>
      <c r="C747" s="10" t="s">
        <v>3273</v>
      </c>
      <c r="D747" s="10" t="str">
        <f>VLOOKUP(C747,Region!A:B,2,FALSE)</f>
        <v>Noida</v>
      </c>
      <c r="E747" s="10" t="s">
        <v>806</v>
      </c>
      <c r="F747" s="11" t="s">
        <v>814</v>
      </c>
      <c r="G747" s="11" t="s">
        <v>3282</v>
      </c>
      <c r="H747" s="10" t="s">
        <v>812</v>
      </c>
    </row>
    <row r="748" spans="1:8" x14ac:dyDescent="0.25">
      <c r="A748" s="11" t="s">
        <v>2756</v>
      </c>
      <c r="B748" s="10" t="s">
        <v>804</v>
      </c>
      <c r="C748" s="10" t="s">
        <v>2752</v>
      </c>
      <c r="D748" s="10" t="str">
        <f>VLOOKUP(C748,Region!A:B,2,FALSE)</f>
        <v>Noida</v>
      </c>
      <c r="E748" s="10" t="s">
        <v>806</v>
      </c>
      <c r="F748" s="11" t="s">
        <v>811</v>
      </c>
      <c r="G748" s="11" t="s">
        <v>2757</v>
      </c>
      <c r="H748" s="10" t="s">
        <v>812</v>
      </c>
    </row>
    <row r="749" spans="1:8" x14ac:dyDescent="0.25">
      <c r="A749" s="11" t="s">
        <v>3177</v>
      </c>
      <c r="B749" s="10" t="s">
        <v>1086</v>
      </c>
      <c r="C749" s="10" t="s">
        <v>2987</v>
      </c>
      <c r="D749" s="10" t="str">
        <f>VLOOKUP(C749,Region!A:B,2,FALSE)</f>
        <v>Noida</v>
      </c>
      <c r="E749" s="10" t="s">
        <v>1427</v>
      </c>
      <c r="F749" s="11" t="s">
        <v>811</v>
      </c>
      <c r="G749" s="11" t="s">
        <v>3178</v>
      </c>
      <c r="H749" s="10" t="s">
        <v>809</v>
      </c>
    </row>
    <row r="750" spans="1:8" x14ac:dyDescent="0.25">
      <c r="A750" s="11" t="s">
        <v>2502</v>
      </c>
      <c r="B750" s="10" t="s">
        <v>804</v>
      </c>
      <c r="C750" s="10" t="s">
        <v>2041</v>
      </c>
      <c r="D750" s="10" t="str">
        <f>VLOOKUP(C750,Region!A:B,2,FALSE)</f>
        <v>Hyderabad</v>
      </c>
      <c r="E750" s="10" t="s">
        <v>1427</v>
      </c>
      <c r="F750" s="11" t="s">
        <v>814</v>
      </c>
      <c r="G750" s="11" t="s">
        <v>2503</v>
      </c>
      <c r="H750" s="10" t="s">
        <v>809</v>
      </c>
    </row>
    <row r="751" spans="1:8" x14ac:dyDescent="0.25">
      <c r="A751" s="11" t="s">
        <v>2197</v>
      </c>
      <c r="B751" s="10" t="s">
        <v>804</v>
      </c>
      <c r="C751" s="10" t="s">
        <v>2041</v>
      </c>
      <c r="D751" s="10" t="str">
        <f>VLOOKUP(C751,Region!A:B,2,FALSE)</f>
        <v>Hyderabad</v>
      </c>
      <c r="E751" s="10" t="s">
        <v>1427</v>
      </c>
      <c r="F751" s="11" t="s">
        <v>811</v>
      </c>
      <c r="G751" s="11" t="s">
        <v>2198</v>
      </c>
      <c r="H751" s="10" t="s">
        <v>809</v>
      </c>
    </row>
    <row r="752" spans="1:8" x14ac:dyDescent="0.25">
      <c r="A752" s="11" t="s">
        <v>3097</v>
      </c>
      <c r="B752" s="10" t="s">
        <v>1086</v>
      </c>
      <c r="C752" s="10" t="s">
        <v>2987</v>
      </c>
      <c r="D752" s="10" t="str">
        <f>VLOOKUP(C752,Region!A:B,2,FALSE)</f>
        <v>Noida</v>
      </c>
      <c r="E752" s="10" t="s">
        <v>1427</v>
      </c>
      <c r="F752" s="11" t="s">
        <v>811</v>
      </c>
      <c r="G752" s="11" t="s">
        <v>3098</v>
      </c>
      <c r="H752" s="10" t="s">
        <v>809</v>
      </c>
    </row>
    <row r="753" spans="1:8" x14ac:dyDescent="0.25">
      <c r="A753" s="11" t="s">
        <v>3409</v>
      </c>
      <c r="B753" s="10" t="s">
        <v>1086</v>
      </c>
      <c r="C753" s="10" t="s">
        <v>3273</v>
      </c>
      <c r="D753" s="10" t="str">
        <f>VLOOKUP(C753,Region!A:B,2,FALSE)</f>
        <v>Noida</v>
      </c>
      <c r="E753" s="10" t="s">
        <v>806</v>
      </c>
      <c r="F753" s="11" t="s">
        <v>823</v>
      </c>
      <c r="G753" s="11" t="s">
        <v>3410</v>
      </c>
      <c r="H753" s="10" t="s">
        <v>809</v>
      </c>
    </row>
    <row r="754" spans="1:8" x14ac:dyDescent="0.25">
      <c r="A754" s="11" t="s">
        <v>1569</v>
      </c>
      <c r="B754" s="10" t="s">
        <v>1086</v>
      </c>
      <c r="C754" s="10" t="s">
        <v>1426</v>
      </c>
      <c r="D754" s="10" t="str">
        <f>VLOOKUP(C754,Region!A:B,2,FALSE)</f>
        <v>Spain</v>
      </c>
      <c r="E754" s="10" t="s">
        <v>1427</v>
      </c>
      <c r="F754" s="11" t="s">
        <v>823</v>
      </c>
      <c r="G754" s="11" t="s">
        <v>1570</v>
      </c>
      <c r="H754" s="10" t="s">
        <v>809</v>
      </c>
    </row>
    <row r="755" spans="1:8" x14ac:dyDescent="0.25">
      <c r="A755" s="11" t="s">
        <v>1559</v>
      </c>
      <c r="B755" s="10" t="s">
        <v>804</v>
      </c>
      <c r="C755" s="10" t="s">
        <v>1426</v>
      </c>
      <c r="D755" s="10" t="str">
        <f>VLOOKUP(C755,Region!A:B,2,FALSE)</f>
        <v>Spain</v>
      </c>
      <c r="E755" s="10" t="s">
        <v>1427</v>
      </c>
      <c r="F755" s="11" t="s">
        <v>814</v>
      </c>
      <c r="G755" s="11" t="s">
        <v>1560</v>
      </c>
      <c r="H755" s="10" t="s">
        <v>809</v>
      </c>
    </row>
    <row r="756" spans="1:8" x14ac:dyDescent="0.25">
      <c r="A756" s="11" t="s">
        <v>1283</v>
      </c>
      <c r="B756" s="10" t="s">
        <v>1086</v>
      </c>
      <c r="C756" s="10" t="s">
        <v>1087</v>
      </c>
      <c r="D756" s="10" t="str">
        <f>VLOOKUP(C756,Region!A:B,2,FALSE)</f>
        <v>Hyderabad</v>
      </c>
      <c r="E756" s="10" t="s">
        <v>806</v>
      </c>
      <c r="F756" s="11" t="s">
        <v>807</v>
      </c>
      <c r="G756" s="11" t="s">
        <v>1284</v>
      </c>
      <c r="H756" s="10" t="s">
        <v>809</v>
      </c>
    </row>
    <row r="757" spans="1:8" x14ac:dyDescent="0.25">
      <c r="A757" s="11" t="s">
        <v>1879</v>
      </c>
      <c r="B757" s="10" t="s">
        <v>1086</v>
      </c>
      <c r="C757" s="10" t="s">
        <v>1635</v>
      </c>
      <c r="D757" s="10" t="str">
        <f>VLOOKUP(C757,Region!A:B,2,FALSE)</f>
        <v>MBC US</v>
      </c>
      <c r="E757" s="10" t="s">
        <v>806</v>
      </c>
      <c r="F757" s="11" t="s">
        <v>823</v>
      </c>
      <c r="G757" s="11" t="s">
        <v>1880</v>
      </c>
      <c r="H757" s="10" t="s">
        <v>809</v>
      </c>
    </row>
    <row r="758" spans="1:8" x14ac:dyDescent="0.25">
      <c r="A758" s="11" t="s">
        <v>1556</v>
      </c>
      <c r="B758" s="10" t="s">
        <v>1086</v>
      </c>
      <c r="C758" s="10" t="s">
        <v>1426</v>
      </c>
      <c r="D758" s="10" t="str">
        <f>VLOOKUP(C758,Region!A:B,2,FALSE)</f>
        <v>Spain</v>
      </c>
      <c r="E758" s="10" t="s">
        <v>1427</v>
      </c>
      <c r="F758" s="11" t="s">
        <v>807</v>
      </c>
      <c r="G758" s="11" t="s">
        <v>359</v>
      </c>
      <c r="H758" s="10" t="s">
        <v>812</v>
      </c>
    </row>
    <row r="759" spans="1:8" x14ac:dyDescent="0.25">
      <c r="A759" s="11" t="s">
        <v>1285</v>
      </c>
      <c r="B759" s="10" t="s">
        <v>1086</v>
      </c>
      <c r="C759" s="10" t="s">
        <v>1087</v>
      </c>
      <c r="D759" s="10" t="str">
        <f>VLOOKUP(C759,Region!A:B,2,FALSE)</f>
        <v>Hyderabad</v>
      </c>
      <c r="E759" s="10" t="s">
        <v>806</v>
      </c>
      <c r="F759" s="11" t="s">
        <v>823</v>
      </c>
      <c r="G759" s="11" t="s">
        <v>1286</v>
      </c>
      <c r="H759" s="10" t="s">
        <v>812</v>
      </c>
    </row>
    <row r="760" spans="1:8" x14ac:dyDescent="0.25">
      <c r="A760" s="11" t="s">
        <v>3238</v>
      </c>
      <c r="B760" s="10" t="s">
        <v>1086</v>
      </c>
      <c r="C760" s="10" t="s">
        <v>2987</v>
      </c>
      <c r="D760" s="10" t="str">
        <f>VLOOKUP(C760,Region!A:B,2,FALSE)</f>
        <v>Noida</v>
      </c>
      <c r="E760" s="10" t="s">
        <v>1427</v>
      </c>
      <c r="F760" s="11" t="s">
        <v>814</v>
      </c>
      <c r="G760" s="11" t="s">
        <v>3239</v>
      </c>
      <c r="H760" s="10" t="s">
        <v>809</v>
      </c>
    </row>
    <row r="761" spans="1:8" x14ac:dyDescent="0.25">
      <c r="A761" s="11" t="s">
        <v>1192</v>
      </c>
      <c r="B761" s="10" t="s">
        <v>1086</v>
      </c>
      <c r="C761" s="10" t="s">
        <v>1087</v>
      </c>
      <c r="D761" s="10" t="str">
        <f>VLOOKUP(C761,Region!A:B,2,FALSE)</f>
        <v>Hyderabad</v>
      </c>
      <c r="E761" s="10" t="s">
        <v>806</v>
      </c>
      <c r="F761" s="11" t="s">
        <v>807</v>
      </c>
      <c r="G761" s="11" t="s">
        <v>1193</v>
      </c>
      <c r="H761" s="10" t="s">
        <v>812</v>
      </c>
    </row>
    <row r="762" spans="1:8" x14ac:dyDescent="0.25">
      <c r="A762" s="11" t="s">
        <v>2295</v>
      </c>
      <c r="B762" s="10" t="s">
        <v>804</v>
      </c>
      <c r="C762" s="10" t="s">
        <v>2041</v>
      </c>
      <c r="D762" s="10" t="str">
        <f>VLOOKUP(C762,Region!A:B,2,FALSE)</f>
        <v>Hyderabad</v>
      </c>
      <c r="E762" s="10" t="s">
        <v>1427</v>
      </c>
      <c r="F762" s="11" t="s">
        <v>807</v>
      </c>
      <c r="G762" s="11" t="s">
        <v>2296</v>
      </c>
      <c r="H762" s="10" t="s">
        <v>809</v>
      </c>
    </row>
    <row r="763" spans="1:8" x14ac:dyDescent="0.25">
      <c r="A763" s="11" t="s">
        <v>2878</v>
      </c>
      <c r="B763" s="10" t="s">
        <v>804</v>
      </c>
      <c r="C763" s="10" t="s">
        <v>2752</v>
      </c>
      <c r="D763" s="10" t="str">
        <f>VLOOKUP(C763,Region!A:B,2,FALSE)</f>
        <v>Noida</v>
      </c>
      <c r="E763" s="10" t="s">
        <v>806</v>
      </c>
      <c r="F763" s="11" t="s">
        <v>823</v>
      </c>
      <c r="G763" s="11" t="s">
        <v>2879</v>
      </c>
      <c r="H763" s="10" t="s">
        <v>809</v>
      </c>
    </row>
    <row r="764" spans="1:8" x14ac:dyDescent="0.25">
      <c r="A764" s="11" t="s">
        <v>1564</v>
      </c>
      <c r="B764" s="10" t="s">
        <v>1086</v>
      </c>
      <c r="C764" s="10" t="s">
        <v>1426</v>
      </c>
      <c r="D764" s="10" t="str">
        <f>VLOOKUP(C764,Region!A:B,2,FALSE)</f>
        <v>Spain</v>
      </c>
      <c r="E764" s="10" t="s">
        <v>1427</v>
      </c>
      <c r="F764" s="11" t="s">
        <v>823</v>
      </c>
      <c r="G764" s="11" t="s">
        <v>1565</v>
      </c>
      <c r="H764" s="10" t="s">
        <v>809</v>
      </c>
    </row>
    <row r="765" spans="1:8" x14ac:dyDescent="0.25">
      <c r="A765" s="11" t="s">
        <v>1899</v>
      </c>
      <c r="B765" s="10" t="s">
        <v>1086</v>
      </c>
      <c r="C765" s="10" t="s">
        <v>1635</v>
      </c>
      <c r="D765" s="10" t="str">
        <f>VLOOKUP(C765,Region!A:B,2,FALSE)</f>
        <v>MBC US</v>
      </c>
      <c r="E765" s="10" t="s">
        <v>806</v>
      </c>
      <c r="F765" s="11" t="s">
        <v>807</v>
      </c>
      <c r="G765" s="11" t="s">
        <v>635</v>
      </c>
      <c r="H765" s="10" t="s">
        <v>812</v>
      </c>
    </row>
    <row r="766" spans="1:8" x14ac:dyDescent="0.25">
      <c r="A766" s="11" t="s">
        <v>1884</v>
      </c>
      <c r="B766" s="10" t="s">
        <v>1086</v>
      </c>
      <c r="C766" s="10" t="s">
        <v>1635</v>
      </c>
      <c r="D766" s="10" t="str">
        <f>VLOOKUP(C766,Region!A:B,2,FALSE)</f>
        <v>MBC US</v>
      </c>
      <c r="E766" s="10" t="s">
        <v>806</v>
      </c>
      <c r="F766" s="11" t="s">
        <v>823</v>
      </c>
      <c r="G766" s="11" t="s">
        <v>1885</v>
      </c>
      <c r="H766" s="10" t="s">
        <v>809</v>
      </c>
    </row>
    <row r="767" spans="1:8" x14ac:dyDescent="0.25">
      <c r="A767" s="11" t="s">
        <v>2374</v>
      </c>
      <c r="B767" s="10" t="s">
        <v>804</v>
      </c>
      <c r="C767" s="10" t="s">
        <v>2041</v>
      </c>
      <c r="D767" s="10" t="str">
        <f>VLOOKUP(C767,Region!A:B,2,FALSE)</f>
        <v>Hyderabad</v>
      </c>
      <c r="E767" s="10" t="s">
        <v>1427</v>
      </c>
      <c r="F767" s="11" t="s">
        <v>814</v>
      </c>
      <c r="G767" s="11" t="s">
        <v>2375</v>
      </c>
      <c r="H767" s="10" t="s">
        <v>812</v>
      </c>
    </row>
    <row r="768" spans="1:8" x14ac:dyDescent="0.25">
      <c r="A768" s="11" t="s">
        <v>3467</v>
      </c>
      <c r="B768" s="10" t="s">
        <v>1086</v>
      </c>
      <c r="C768" s="10" t="s">
        <v>3273</v>
      </c>
      <c r="D768" s="10" t="str">
        <f>VLOOKUP(C768,Region!A:B,2,FALSE)</f>
        <v>Noida</v>
      </c>
      <c r="E768" s="10" t="s">
        <v>806</v>
      </c>
      <c r="F768" s="11" t="s">
        <v>823</v>
      </c>
      <c r="G768" s="11" t="s">
        <v>753</v>
      </c>
      <c r="H768" s="10" t="s">
        <v>812</v>
      </c>
    </row>
    <row r="769" spans="1:8" x14ac:dyDescent="0.25">
      <c r="A769" s="11" t="s">
        <v>3318</v>
      </c>
      <c r="B769" s="10" t="s">
        <v>1086</v>
      </c>
      <c r="C769" s="10" t="s">
        <v>3273</v>
      </c>
      <c r="D769" s="10" t="str">
        <f>VLOOKUP(C769,Region!A:B,2,FALSE)</f>
        <v>Noida</v>
      </c>
      <c r="E769" s="10" t="s">
        <v>806</v>
      </c>
      <c r="F769" s="11" t="s">
        <v>823</v>
      </c>
      <c r="G769" s="11" t="s">
        <v>3319</v>
      </c>
      <c r="H769" s="10" t="s">
        <v>812</v>
      </c>
    </row>
    <row r="770" spans="1:8" x14ac:dyDescent="0.25">
      <c r="A770" s="11" t="s">
        <v>2648</v>
      </c>
      <c r="B770" s="10" t="s">
        <v>804</v>
      </c>
      <c r="C770" s="10" t="s">
        <v>2518</v>
      </c>
      <c r="D770" s="10" t="str">
        <f>VLOOKUP(C770,Region!A:B,2,FALSE)</f>
        <v>Noida</v>
      </c>
      <c r="E770" s="10" t="s">
        <v>1427</v>
      </c>
      <c r="F770" s="11" t="s">
        <v>823</v>
      </c>
      <c r="G770" s="11" t="s">
        <v>300</v>
      </c>
      <c r="H770" s="10" t="s">
        <v>812</v>
      </c>
    </row>
    <row r="771" spans="1:8" x14ac:dyDescent="0.25">
      <c r="A771" s="11" t="s">
        <v>2127</v>
      </c>
      <c r="B771" s="10" t="s">
        <v>804</v>
      </c>
      <c r="C771" s="10" t="s">
        <v>2041</v>
      </c>
      <c r="D771" s="10" t="str">
        <f>VLOOKUP(C771,Region!A:B,2,FALSE)</f>
        <v>Hyderabad</v>
      </c>
      <c r="E771" s="10" t="s">
        <v>1427</v>
      </c>
      <c r="F771" s="11" t="s">
        <v>814</v>
      </c>
      <c r="G771" s="11" t="s">
        <v>449</v>
      </c>
      <c r="H771" s="10" t="s">
        <v>812</v>
      </c>
    </row>
    <row r="772" spans="1:8" x14ac:dyDescent="0.25">
      <c r="A772" s="11" t="s">
        <v>2199</v>
      </c>
      <c r="B772" s="10" t="s">
        <v>804</v>
      </c>
      <c r="C772" s="10" t="s">
        <v>2041</v>
      </c>
      <c r="D772" s="10" t="str">
        <f>VLOOKUP(C772,Region!A:B,2,FALSE)</f>
        <v>Hyderabad</v>
      </c>
      <c r="E772" s="10" t="s">
        <v>1427</v>
      </c>
      <c r="F772" s="11" t="s">
        <v>811</v>
      </c>
      <c r="G772" s="11" t="s">
        <v>105</v>
      </c>
      <c r="H772" s="10" t="s">
        <v>812</v>
      </c>
    </row>
    <row r="773" spans="1:8" x14ac:dyDescent="0.25">
      <c r="A773" s="11" t="s">
        <v>1918</v>
      </c>
      <c r="B773" s="10" t="s">
        <v>1086</v>
      </c>
      <c r="C773" s="10" t="s">
        <v>1635</v>
      </c>
      <c r="D773" s="10" t="str">
        <f>VLOOKUP(C773,Region!A:B,2,FALSE)</f>
        <v>MBC US</v>
      </c>
      <c r="E773" s="10" t="s">
        <v>806</v>
      </c>
      <c r="F773" s="11" t="s">
        <v>814</v>
      </c>
      <c r="G773" s="11" t="s">
        <v>729</v>
      </c>
      <c r="H773" s="10" t="s">
        <v>812</v>
      </c>
    </row>
    <row r="774" spans="1:8" x14ac:dyDescent="0.25">
      <c r="A774" s="11" t="s">
        <v>1359</v>
      </c>
      <c r="B774" s="10" t="s">
        <v>1086</v>
      </c>
      <c r="C774" s="10" t="s">
        <v>1087</v>
      </c>
      <c r="D774" s="10" t="str">
        <f>VLOOKUP(C774,Region!A:B,2,FALSE)</f>
        <v>Hyderabad</v>
      </c>
      <c r="E774" s="10" t="s">
        <v>806</v>
      </c>
      <c r="F774" s="11" t="s">
        <v>823</v>
      </c>
      <c r="G774" s="11" t="s">
        <v>1360</v>
      </c>
      <c r="H774" s="10" t="s">
        <v>809</v>
      </c>
    </row>
    <row r="775" spans="1:8" x14ac:dyDescent="0.25">
      <c r="A775" s="11" t="s">
        <v>2769</v>
      </c>
      <c r="B775" s="10" t="s">
        <v>804</v>
      </c>
      <c r="C775" s="10" t="s">
        <v>2752</v>
      </c>
      <c r="D775" s="10" t="str">
        <f>VLOOKUP(C775,Region!A:B,2,FALSE)</f>
        <v>Noida</v>
      </c>
      <c r="E775" s="10" t="s">
        <v>806</v>
      </c>
      <c r="F775" s="11" t="s">
        <v>811</v>
      </c>
      <c r="G775" s="11" t="s">
        <v>2770</v>
      </c>
      <c r="H775" s="10" t="s">
        <v>812</v>
      </c>
    </row>
    <row r="776" spans="1:8" x14ac:dyDescent="0.25">
      <c r="A776" s="11" t="s">
        <v>2649</v>
      </c>
      <c r="B776" s="10" t="s">
        <v>804</v>
      </c>
      <c r="C776" s="10" t="s">
        <v>2518</v>
      </c>
      <c r="D776" s="10" t="str">
        <f>VLOOKUP(C776,Region!A:B,2,FALSE)</f>
        <v>Noida</v>
      </c>
      <c r="E776" s="10" t="s">
        <v>1427</v>
      </c>
      <c r="F776" s="11" t="s">
        <v>823</v>
      </c>
      <c r="G776" s="11" t="s">
        <v>2650</v>
      </c>
      <c r="H776" s="10" t="s">
        <v>809</v>
      </c>
    </row>
    <row r="777" spans="1:8" x14ac:dyDescent="0.25">
      <c r="A777" s="11" t="s">
        <v>1912</v>
      </c>
      <c r="B777" s="10" t="s">
        <v>804</v>
      </c>
      <c r="C777" s="10" t="s">
        <v>1635</v>
      </c>
      <c r="D777" s="10" t="str">
        <f>VLOOKUP(C777,Region!A:B,2,FALSE)</f>
        <v>MBC US</v>
      </c>
      <c r="E777" s="10" t="s">
        <v>806</v>
      </c>
      <c r="F777" s="11" t="s">
        <v>814</v>
      </c>
      <c r="G777" s="11" t="s">
        <v>1913</v>
      </c>
      <c r="H777" s="10" t="s">
        <v>809</v>
      </c>
    </row>
    <row r="778" spans="1:8" x14ac:dyDescent="0.25">
      <c r="A778" s="11" t="s">
        <v>2200</v>
      </c>
      <c r="B778" s="10" t="s">
        <v>804</v>
      </c>
      <c r="C778" s="10" t="s">
        <v>2041</v>
      </c>
      <c r="D778" s="10" t="str">
        <f>VLOOKUP(C778,Region!A:B,2,FALSE)</f>
        <v>Hyderabad</v>
      </c>
      <c r="E778" s="10" t="s">
        <v>1427</v>
      </c>
      <c r="F778" s="11" t="s">
        <v>811</v>
      </c>
      <c r="G778" s="11" t="s">
        <v>2201</v>
      </c>
      <c r="H778" s="10" t="s">
        <v>809</v>
      </c>
    </row>
    <row r="779" spans="1:8" x14ac:dyDescent="0.25">
      <c r="A779" s="11" t="s">
        <v>1068</v>
      </c>
      <c r="B779" s="10" t="s">
        <v>804</v>
      </c>
      <c r="C779" s="10" t="s">
        <v>805</v>
      </c>
      <c r="D779" s="10" t="str">
        <f>VLOOKUP(C779,Region!A:B,2,FALSE)</f>
        <v>Noida</v>
      </c>
      <c r="E779" s="10" t="s">
        <v>806</v>
      </c>
      <c r="F779" s="11" t="s">
        <v>823</v>
      </c>
      <c r="G779" s="11" t="s">
        <v>1069</v>
      </c>
      <c r="H779" s="10" t="s">
        <v>809</v>
      </c>
    </row>
    <row r="780" spans="1:8" x14ac:dyDescent="0.25">
      <c r="A780" s="11" t="s">
        <v>1078</v>
      </c>
      <c r="B780" s="10" t="s">
        <v>804</v>
      </c>
      <c r="C780" s="10" t="s">
        <v>805</v>
      </c>
      <c r="D780" s="10" t="str">
        <f>VLOOKUP(C780,Region!A:B,2,FALSE)</f>
        <v>Noida</v>
      </c>
      <c r="E780" s="10" t="s">
        <v>806</v>
      </c>
      <c r="F780" s="11" t="s">
        <v>811</v>
      </c>
      <c r="G780" s="11" t="s">
        <v>1079</v>
      </c>
      <c r="H780" s="10" t="s">
        <v>809</v>
      </c>
    </row>
    <row r="781" spans="1:8" x14ac:dyDescent="0.25">
      <c r="A781" s="11" t="s">
        <v>1916</v>
      </c>
      <c r="B781" s="10" t="s">
        <v>1086</v>
      </c>
      <c r="C781" s="10" t="s">
        <v>1635</v>
      </c>
      <c r="D781" s="10" t="str">
        <f>VLOOKUP(C781,Region!A:B,2,FALSE)</f>
        <v>MBC US</v>
      </c>
      <c r="E781" s="10" t="s">
        <v>806</v>
      </c>
      <c r="F781" s="11" t="s">
        <v>811</v>
      </c>
      <c r="G781" s="11" t="s">
        <v>1917</v>
      </c>
      <c r="H781" s="10" t="s">
        <v>809</v>
      </c>
    </row>
    <row r="782" spans="1:8" x14ac:dyDescent="0.25">
      <c r="A782" s="11" t="s">
        <v>3329</v>
      </c>
      <c r="B782" s="10" t="s">
        <v>1086</v>
      </c>
      <c r="C782" s="10" t="s">
        <v>3273</v>
      </c>
      <c r="D782" s="10" t="str">
        <f>VLOOKUP(C782,Region!A:B,2,FALSE)</f>
        <v>Noida</v>
      </c>
      <c r="E782" s="10" t="s">
        <v>806</v>
      </c>
      <c r="F782" s="11" t="s">
        <v>811</v>
      </c>
      <c r="G782" s="11" t="s">
        <v>446</v>
      </c>
      <c r="H782" s="10" t="s">
        <v>812</v>
      </c>
    </row>
    <row r="783" spans="1:8" x14ac:dyDescent="0.25">
      <c r="A783" s="11" t="s">
        <v>1914</v>
      </c>
      <c r="B783" s="10" t="s">
        <v>804</v>
      </c>
      <c r="C783" s="10" t="s">
        <v>1635</v>
      </c>
      <c r="D783" s="10" t="str">
        <f>VLOOKUP(C783,Region!A:B,2,FALSE)</f>
        <v>MBC US</v>
      </c>
      <c r="E783" s="10" t="s">
        <v>806</v>
      </c>
      <c r="F783" s="11" t="s">
        <v>814</v>
      </c>
      <c r="G783" s="11" t="s">
        <v>1915</v>
      </c>
      <c r="H783" s="10" t="s">
        <v>809</v>
      </c>
    </row>
    <row r="784" spans="1:8" x14ac:dyDescent="0.25">
      <c r="A784" s="11" t="s">
        <v>986</v>
      </c>
      <c r="B784" s="10" t="s">
        <v>804</v>
      </c>
      <c r="C784" s="10" t="s">
        <v>805</v>
      </c>
      <c r="D784" s="10" t="str">
        <f>VLOOKUP(C784,Region!A:B,2,FALSE)</f>
        <v>Noida</v>
      </c>
      <c r="E784" s="10" t="s">
        <v>806</v>
      </c>
      <c r="F784" s="11" t="s">
        <v>823</v>
      </c>
      <c r="G784" s="11" t="s">
        <v>987</v>
      </c>
      <c r="H784" s="10" t="s">
        <v>809</v>
      </c>
    </row>
    <row r="785" spans="1:8" x14ac:dyDescent="0.25">
      <c r="A785" s="11" t="s">
        <v>1581</v>
      </c>
      <c r="B785" s="10" t="s">
        <v>804</v>
      </c>
      <c r="C785" s="10" t="s">
        <v>1426</v>
      </c>
      <c r="D785" s="10" t="str">
        <f>VLOOKUP(C785,Region!A:B,2,FALSE)</f>
        <v>Spain</v>
      </c>
      <c r="E785" s="10" t="s">
        <v>1427</v>
      </c>
      <c r="F785" s="11" t="s">
        <v>807</v>
      </c>
      <c r="G785" s="11" t="s">
        <v>1582</v>
      </c>
      <c r="H785" s="10" t="s">
        <v>809</v>
      </c>
    </row>
    <row r="786" spans="1:8" x14ac:dyDescent="0.25">
      <c r="A786" s="11" t="s">
        <v>3421</v>
      </c>
      <c r="B786" s="10" t="s">
        <v>1086</v>
      </c>
      <c r="C786" s="10" t="s">
        <v>3273</v>
      </c>
      <c r="D786" s="10" t="str">
        <f>VLOOKUP(C786,Region!A:B,2,FALSE)</f>
        <v>Noida</v>
      </c>
      <c r="E786" s="10" t="s">
        <v>806</v>
      </c>
      <c r="F786" s="11" t="s">
        <v>807</v>
      </c>
      <c r="G786" s="11" t="s">
        <v>3422</v>
      </c>
      <c r="H786" s="10" t="s">
        <v>812</v>
      </c>
    </row>
    <row r="787" spans="1:8" x14ac:dyDescent="0.25">
      <c r="A787" s="11" t="s">
        <v>1579</v>
      </c>
      <c r="B787" s="10" t="s">
        <v>804</v>
      </c>
      <c r="C787" s="10" t="s">
        <v>1426</v>
      </c>
      <c r="D787" s="10" t="str">
        <f>VLOOKUP(C787,Region!A:B,2,FALSE)</f>
        <v>Spain</v>
      </c>
      <c r="E787" s="10" t="s">
        <v>1427</v>
      </c>
      <c r="F787" s="11" t="s">
        <v>823</v>
      </c>
      <c r="G787" s="11" t="s">
        <v>1580</v>
      </c>
      <c r="H787" s="10" t="s">
        <v>809</v>
      </c>
    </row>
    <row r="788" spans="1:8" x14ac:dyDescent="0.25">
      <c r="A788" s="11" t="s">
        <v>2788</v>
      </c>
      <c r="B788" s="10" t="s">
        <v>804</v>
      </c>
      <c r="C788" s="10" t="s">
        <v>2752</v>
      </c>
      <c r="D788" s="10" t="str">
        <f>VLOOKUP(C788,Region!A:B,2,FALSE)</f>
        <v>Noida</v>
      </c>
      <c r="E788" s="10" t="s">
        <v>806</v>
      </c>
      <c r="F788" s="11" t="s">
        <v>807</v>
      </c>
      <c r="G788" s="11" t="s">
        <v>2789</v>
      </c>
      <c r="H788" s="10" t="s">
        <v>809</v>
      </c>
    </row>
    <row r="789" spans="1:8" x14ac:dyDescent="0.25">
      <c r="A789" s="11" t="s">
        <v>909</v>
      </c>
      <c r="B789" s="10" t="s">
        <v>804</v>
      </c>
      <c r="C789" s="10" t="s">
        <v>805</v>
      </c>
      <c r="D789" s="10" t="str">
        <f>VLOOKUP(C789,Region!A:B,2,FALSE)</f>
        <v>Noida</v>
      </c>
      <c r="E789" s="10" t="s">
        <v>806</v>
      </c>
      <c r="F789" s="11" t="s">
        <v>814</v>
      </c>
      <c r="G789" s="11" t="s">
        <v>910</v>
      </c>
      <c r="H789" s="10" t="s">
        <v>809</v>
      </c>
    </row>
    <row r="790" spans="1:8" x14ac:dyDescent="0.25">
      <c r="A790" s="11" t="s">
        <v>2684</v>
      </c>
      <c r="B790" s="10" t="s">
        <v>804</v>
      </c>
      <c r="C790" s="10" t="s">
        <v>2518</v>
      </c>
      <c r="D790" s="10" t="str">
        <f>VLOOKUP(C790,Region!A:B,2,FALSE)</f>
        <v>Noida</v>
      </c>
      <c r="E790" s="10" t="s">
        <v>1427</v>
      </c>
      <c r="F790" s="11" t="s">
        <v>834</v>
      </c>
      <c r="G790" s="11" t="s">
        <v>2685</v>
      </c>
      <c r="H790" s="10" t="s">
        <v>812</v>
      </c>
    </row>
    <row r="791" spans="1:8" x14ac:dyDescent="0.25">
      <c r="A791" s="11" t="s">
        <v>2651</v>
      </c>
      <c r="B791" s="10" t="s">
        <v>804</v>
      </c>
      <c r="C791" s="10" t="s">
        <v>2518</v>
      </c>
      <c r="D791" s="10" t="str">
        <f>VLOOKUP(C791,Region!A:B,2,FALSE)</f>
        <v>Noida</v>
      </c>
      <c r="E791" s="10" t="s">
        <v>1427</v>
      </c>
      <c r="F791" s="11" t="s">
        <v>823</v>
      </c>
      <c r="G791" s="11" t="s">
        <v>2652</v>
      </c>
      <c r="H791" s="10" t="s">
        <v>812</v>
      </c>
    </row>
    <row r="792" spans="1:8" x14ac:dyDescent="0.25">
      <c r="A792" s="11" t="s">
        <v>1343</v>
      </c>
      <c r="B792" s="10" t="s">
        <v>1086</v>
      </c>
      <c r="C792" s="10" t="s">
        <v>1087</v>
      </c>
      <c r="D792" s="10" t="str">
        <f>VLOOKUP(C792,Region!A:B,2,FALSE)</f>
        <v>Hyderabad</v>
      </c>
      <c r="E792" s="10" t="s">
        <v>806</v>
      </c>
      <c r="F792" s="11" t="s">
        <v>807</v>
      </c>
      <c r="G792" s="11" t="s">
        <v>1344</v>
      </c>
      <c r="H792" s="10" t="s">
        <v>809</v>
      </c>
    </row>
    <row r="793" spans="1:8" x14ac:dyDescent="0.25">
      <c r="A793" s="11" t="s">
        <v>2653</v>
      </c>
      <c r="B793" s="10" t="s">
        <v>804</v>
      </c>
      <c r="C793" s="10" t="s">
        <v>2518</v>
      </c>
      <c r="D793" s="10" t="str">
        <f>VLOOKUP(C793,Region!A:B,2,FALSE)</f>
        <v>Noida</v>
      </c>
      <c r="E793" s="10" t="s">
        <v>1427</v>
      </c>
      <c r="F793" s="11" t="s">
        <v>823</v>
      </c>
      <c r="G793" s="11" t="s">
        <v>2654</v>
      </c>
      <c r="H793" s="10" t="s">
        <v>812</v>
      </c>
    </row>
    <row r="794" spans="1:8" x14ac:dyDescent="0.25">
      <c r="A794" s="11" t="s">
        <v>1092</v>
      </c>
      <c r="B794" s="10" t="s">
        <v>1086</v>
      </c>
      <c r="C794" s="10" t="s">
        <v>1087</v>
      </c>
      <c r="D794" s="10" t="str">
        <f>VLOOKUP(C794,Region!A:B,2,FALSE)</f>
        <v>Hyderabad</v>
      </c>
      <c r="E794" s="10" t="s">
        <v>806</v>
      </c>
      <c r="F794" s="11" t="s">
        <v>807</v>
      </c>
      <c r="G794" s="11" t="s">
        <v>1093</v>
      </c>
      <c r="H794" s="10" t="s">
        <v>809</v>
      </c>
    </row>
    <row r="795" spans="1:8" x14ac:dyDescent="0.25">
      <c r="A795" s="11" t="s">
        <v>1116</v>
      </c>
      <c r="B795" s="10" t="s">
        <v>1086</v>
      </c>
      <c r="C795" s="10" t="s">
        <v>1087</v>
      </c>
      <c r="D795" s="10" t="str">
        <f>VLOOKUP(C795,Region!A:B,2,FALSE)</f>
        <v>Hyderabad</v>
      </c>
      <c r="E795" s="10" t="s">
        <v>806</v>
      </c>
      <c r="F795" s="11" t="s">
        <v>811</v>
      </c>
      <c r="G795" s="11" t="s">
        <v>1117</v>
      </c>
      <c r="H795" s="10" t="s">
        <v>809</v>
      </c>
    </row>
    <row r="796" spans="1:8" x14ac:dyDescent="0.25">
      <c r="A796" s="11" t="s">
        <v>1221</v>
      </c>
      <c r="B796" s="10" t="s">
        <v>1086</v>
      </c>
      <c r="C796" s="10" t="s">
        <v>1087</v>
      </c>
      <c r="D796" s="10" t="str">
        <f>VLOOKUP(C796,Region!A:B,2,FALSE)</f>
        <v>Hyderabad</v>
      </c>
      <c r="E796" s="10" t="s">
        <v>806</v>
      </c>
      <c r="F796" s="11" t="s">
        <v>814</v>
      </c>
      <c r="G796" s="11" t="s">
        <v>1222</v>
      </c>
      <c r="H796" s="10" t="s">
        <v>809</v>
      </c>
    </row>
    <row r="797" spans="1:8" x14ac:dyDescent="0.25">
      <c r="A797" s="11" t="s">
        <v>856</v>
      </c>
      <c r="B797" s="10" t="s">
        <v>804</v>
      </c>
      <c r="C797" s="10" t="s">
        <v>805</v>
      </c>
      <c r="D797" s="10" t="str">
        <f>VLOOKUP(C797,Region!A:B,2,FALSE)</f>
        <v>Noida</v>
      </c>
      <c r="E797" s="10" t="s">
        <v>806</v>
      </c>
      <c r="F797" s="11" t="s">
        <v>811</v>
      </c>
      <c r="G797" s="11" t="s">
        <v>857</v>
      </c>
      <c r="H797" s="10" t="s">
        <v>812</v>
      </c>
    </row>
    <row r="798" spans="1:8" x14ac:dyDescent="0.25">
      <c r="A798" s="11" t="s">
        <v>886</v>
      </c>
      <c r="B798" s="10" t="s">
        <v>804</v>
      </c>
      <c r="C798" s="10" t="s">
        <v>805</v>
      </c>
      <c r="D798" s="10" t="str">
        <f>VLOOKUP(C798,Region!A:B,2,FALSE)</f>
        <v>Noida</v>
      </c>
      <c r="E798" s="10" t="s">
        <v>806</v>
      </c>
      <c r="F798" s="11" t="s">
        <v>807</v>
      </c>
      <c r="G798" s="11" t="s">
        <v>887</v>
      </c>
      <c r="H798" s="10" t="s">
        <v>809</v>
      </c>
    </row>
    <row r="799" spans="1:8" x14ac:dyDescent="0.25">
      <c r="A799" s="11" t="s">
        <v>844</v>
      </c>
      <c r="B799" s="10" t="s">
        <v>804</v>
      </c>
      <c r="C799" s="10" t="s">
        <v>805</v>
      </c>
      <c r="D799" s="10" t="str">
        <f>VLOOKUP(C799,Region!A:B,2,FALSE)</f>
        <v>Noida</v>
      </c>
      <c r="E799" s="10" t="s">
        <v>806</v>
      </c>
      <c r="F799" s="11" t="s">
        <v>823</v>
      </c>
      <c r="G799" s="11" t="s">
        <v>845</v>
      </c>
      <c r="H799" s="10" t="s">
        <v>812</v>
      </c>
    </row>
    <row r="800" spans="1:8" x14ac:dyDescent="0.25">
      <c r="A800" s="11" t="s">
        <v>1139</v>
      </c>
      <c r="B800" s="10" t="s">
        <v>1086</v>
      </c>
      <c r="C800" s="10" t="s">
        <v>1087</v>
      </c>
      <c r="D800" s="10" t="str">
        <f>VLOOKUP(C800,Region!A:B,2,FALSE)</f>
        <v>Hyderabad</v>
      </c>
      <c r="E800" s="10" t="s">
        <v>806</v>
      </c>
      <c r="F800" s="11" t="s">
        <v>823</v>
      </c>
      <c r="G800" s="11" t="s">
        <v>99</v>
      </c>
      <c r="H800" s="10" t="s">
        <v>812</v>
      </c>
    </row>
    <row r="801" spans="1:8" x14ac:dyDescent="0.25">
      <c r="A801" s="11" t="s">
        <v>974</v>
      </c>
      <c r="B801" s="10" t="s">
        <v>804</v>
      </c>
      <c r="C801" s="10" t="s">
        <v>805</v>
      </c>
      <c r="D801" s="10" t="str">
        <f>VLOOKUP(C801,Region!A:B,2,FALSE)</f>
        <v>Noida</v>
      </c>
      <c r="E801" s="10" t="s">
        <v>806</v>
      </c>
      <c r="F801" s="11" t="s">
        <v>811</v>
      </c>
      <c r="G801" s="11" t="s">
        <v>975</v>
      </c>
      <c r="H801" s="10" t="s">
        <v>809</v>
      </c>
    </row>
    <row r="802" spans="1:8" x14ac:dyDescent="0.25">
      <c r="A802" s="11" t="s">
        <v>2064</v>
      </c>
      <c r="B802" s="10" t="s">
        <v>804</v>
      </c>
      <c r="C802" s="10" t="s">
        <v>2041</v>
      </c>
      <c r="D802" s="10" t="str">
        <f>VLOOKUP(C802,Region!A:B,2,FALSE)</f>
        <v>Hyderabad</v>
      </c>
      <c r="E802" s="10" t="s">
        <v>1427</v>
      </c>
      <c r="F802" s="11" t="s">
        <v>823</v>
      </c>
      <c r="G802" s="11" t="s">
        <v>2065</v>
      </c>
      <c r="H802" s="10" t="s">
        <v>809</v>
      </c>
    </row>
    <row r="803" spans="1:8" x14ac:dyDescent="0.25">
      <c r="A803" s="11" t="s">
        <v>831</v>
      </c>
      <c r="B803" s="10" t="s">
        <v>804</v>
      </c>
      <c r="C803" s="10" t="s">
        <v>805</v>
      </c>
      <c r="D803" s="10" t="str">
        <f>VLOOKUP(C803,Region!A:B,2,FALSE)</f>
        <v>Noida</v>
      </c>
      <c r="E803" s="10" t="s">
        <v>806</v>
      </c>
      <c r="F803" s="11" t="s">
        <v>807</v>
      </c>
      <c r="G803" s="11" t="s">
        <v>832</v>
      </c>
      <c r="H803" s="10" t="s">
        <v>809</v>
      </c>
    </row>
    <row r="804" spans="1:8" x14ac:dyDescent="0.25">
      <c r="A804" s="11" t="s">
        <v>2804</v>
      </c>
      <c r="B804" s="10" t="s">
        <v>804</v>
      </c>
      <c r="C804" s="10" t="s">
        <v>2752</v>
      </c>
      <c r="D804" s="10" t="str">
        <f>VLOOKUP(C804,Region!A:B,2,FALSE)</f>
        <v>Noida</v>
      </c>
      <c r="E804" s="10" t="s">
        <v>806</v>
      </c>
      <c r="F804" s="11" t="s">
        <v>811</v>
      </c>
      <c r="G804" s="11" t="s">
        <v>2805</v>
      </c>
      <c r="H804" s="10" t="s">
        <v>809</v>
      </c>
    </row>
    <row r="805" spans="1:8" x14ac:dyDescent="0.25">
      <c r="A805" s="11" t="s">
        <v>3103</v>
      </c>
      <c r="B805" s="10" t="s">
        <v>1086</v>
      </c>
      <c r="C805" s="10" t="s">
        <v>2987</v>
      </c>
      <c r="D805" s="10" t="str">
        <f>VLOOKUP(C805,Region!A:B,2,FALSE)</f>
        <v>Noida</v>
      </c>
      <c r="E805" s="10" t="s">
        <v>1427</v>
      </c>
      <c r="F805" s="11" t="s">
        <v>811</v>
      </c>
      <c r="G805" s="11" t="s">
        <v>3104</v>
      </c>
      <c r="H805" s="10" t="s">
        <v>812</v>
      </c>
    </row>
    <row r="806" spans="1:8" x14ac:dyDescent="0.25">
      <c r="A806" s="11" t="s">
        <v>2297</v>
      </c>
      <c r="B806" s="10" t="s">
        <v>804</v>
      </c>
      <c r="C806" s="10" t="s">
        <v>2041</v>
      </c>
      <c r="D806" s="10" t="str">
        <f>VLOOKUP(C806,Region!A:B,2,FALSE)</f>
        <v>Hyderabad</v>
      </c>
      <c r="E806" s="10" t="s">
        <v>1427</v>
      </c>
      <c r="F806" s="11" t="s">
        <v>807</v>
      </c>
      <c r="G806" s="11" t="s">
        <v>2298</v>
      </c>
      <c r="H806" s="10" t="s">
        <v>809</v>
      </c>
    </row>
    <row r="807" spans="1:8" x14ac:dyDescent="0.25">
      <c r="A807" s="11" t="s">
        <v>2575</v>
      </c>
      <c r="B807" s="10" t="s">
        <v>804</v>
      </c>
      <c r="C807" s="10" t="s">
        <v>2518</v>
      </c>
      <c r="D807" s="10" t="str">
        <f>VLOOKUP(C807,Region!A:B,2,FALSE)</f>
        <v>Noida</v>
      </c>
      <c r="E807" s="10" t="s">
        <v>1427</v>
      </c>
      <c r="F807" s="11" t="s">
        <v>811</v>
      </c>
      <c r="G807" s="11" t="s">
        <v>533</v>
      </c>
      <c r="H807" s="10" t="s">
        <v>812</v>
      </c>
    </row>
    <row r="808" spans="1:8" x14ac:dyDescent="0.25">
      <c r="A808" s="11" t="s">
        <v>2530</v>
      </c>
      <c r="B808" s="10" t="s">
        <v>804</v>
      </c>
      <c r="C808" s="10" t="s">
        <v>2518</v>
      </c>
      <c r="D808" s="10" t="str">
        <f>VLOOKUP(C808,Region!A:B,2,FALSE)</f>
        <v>Noida</v>
      </c>
      <c r="E808" s="10" t="s">
        <v>1427</v>
      </c>
      <c r="F808" s="11" t="s">
        <v>823</v>
      </c>
      <c r="G808" s="11" t="s">
        <v>2531</v>
      </c>
      <c r="H808" s="10" t="s">
        <v>812</v>
      </c>
    </row>
    <row r="809" spans="1:8" x14ac:dyDescent="0.25">
      <c r="A809" s="11" t="s">
        <v>2767</v>
      </c>
      <c r="B809" s="10" t="s">
        <v>804</v>
      </c>
      <c r="C809" s="10" t="s">
        <v>2752</v>
      </c>
      <c r="D809" s="10" t="str">
        <f>VLOOKUP(C809,Region!A:B,2,FALSE)</f>
        <v>Noida</v>
      </c>
      <c r="E809" s="10" t="s">
        <v>806</v>
      </c>
      <c r="F809" s="11" t="s">
        <v>823</v>
      </c>
      <c r="G809" s="11" t="s">
        <v>2768</v>
      </c>
      <c r="H809" s="10" t="s">
        <v>812</v>
      </c>
    </row>
    <row r="810" spans="1:8" x14ac:dyDescent="0.25">
      <c r="A810" s="11" t="s">
        <v>2202</v>
      </c>
      <c r="B810" s="10" t="s">
        <v>804</v>
      </c>
      <c r="C810" s="10" t="s">
        <v>2041</v>
      </c>
      <c r="D810" s="10" t="str">
        <f>VLOOKUP(C810,Region!A:B,2,FALSE)</f>
        <v>Hyderabad</v>
      </c>
      <c r="E810" s="10" t="s">
        <v>1427</v>
      </c>
      <c r="F810" s="11" t="s">
        <v>811</v>
      </c>
      <c r="G810" s="11" t="s">
        <v>2203</v>
      </c>
      <c r="H810" s="10" t="s">
        <v>812</v>
      </c>
    </row>
    <row r="811" spans="1:8" x14ac:dyDescent="0.25">
      <c r="A811" s="11" t="s">
        <v>818</v>
      </c>
      <c r="B811" s="10" t="s">
        <v>804</v>
      </c>
      <c r="C811" s="10" t="s">
        <v>805</v>
      </c>
      <c r="D811" s="10" t="str">
        <f>VLOOKUP(C811,Region!A:B,2,FALSE)</f>
        <v>Noida</v>
      </c>
      <c r="E811" s="10" t="s">
        <v>806</v>
      </c>
      <c r="F811" s="11" t="s">
        <v>814</v>
      </c>
      <c r="G811" s="11" t="s">
        <v>819</v>
      </c>
      <c r="H811" s="10" t="s">
        <v>812</v>
      </c>
    </row>
    <row r="812" spans="1:8" x14ac:dyDescent="0.25">
      <c r="A812" s="11" t="s">
        <v>2066</v>
      </c>
      <c r="B812" s="10" t="s">
        <v>804</v>
      </c>
      <c r="C812" s="10" t="s">
        <v>2041</v>
      </c>
      <c r="D812" s="10" t="str">
        <f>VLOOKUP(C812,Region!A:B,2,FALSE)</f>
        <v>Hyderabad</v>
      </c>
      <c r="E812" s="10" t="s">
        <v>1427</v>
      </c>
      <c r="F812" s="11" t="s">
        <v>811</v>
      </c>
      <c r="G812" s="11" t="s">
        <v>2067</v>
      </c>
      <c r="H812" s="10" t="s">
        <v>809</v>
      </c>
    </row>
    <row r="813" spans="1:8" x14ac:dyDescent="0.25">
      <c r="A813" s="11" t="s">
        <v>1317</v>
      </c>
      <c r="B813" s="10" t="s">
        <v>1086</v>
      </c>
      <c r="C813" s="10" t="s">
        <v>1087</v>
      </c>
      <c r="D813" s="10" t="str">
        <f>VLOOKUP(C813,Region!A:B,2,FALSE)</f>
        <v>Hyderabad</v>
      </c>
      <c r="E813" s="10" t="s">
        <v>806</v>
      </c>
      <c r="F813" s="11" t="s">
        <v>823</v>
      </c>
      <c r="G813" s="11" t="s">
        <v>723</v>
      </c>
      <c r="H813" s="10" t="s">
        <v>812</v>
      </c>
    </row>
    <row r="814" spans="1:8" x14ac:dyDescent="0.25">
      <c r="A814" s="11" t="s">
        <v>2885</v>
      </c>
      <c r="B814" s="10" t="s">
        <v>804</v>
      </c>
      <c r="C814" s="10" t="s">
        <v>2752</v>
      </c>
      <c r="D814" s="10" t="str">
        <f>VLOOKUP(C814,Region!A:B,2,FALSE)</f>
        <v>Noida</v>
      </c>
      <c r="E814" s="10" t="s">
        <v>806</v>
      </c>
      <c r="F814" s="11" t="s">
        <v>823</v>
      </c>
      <c r="G814" s="11" t="s">
        <v>2886</v>
      </c>
      <c r="H814" s="10" t="s">
        <v>812</v>
      </c>
    </row>
    <row r="815" spans="1:8" x14ac:dyDescent="0.25">
      <c r="A815" s="11" t="s">
        <v>1373</v>
      </c>
      <c r="B815" s="10" t="s">
        <v>1086</v>
      </c>
      <c r="C815" s="10" t="s">
        <v>1087</v>
      </c>
      <c r="D815" s="10" t="str">
        <f>VLOOKUP(C815,Region!A:B,2,FALSE)</f>
        <v>Hyderabad</v>
      </c>
      <c r="E815" s="10" t="s">
        <v>806</v>
      </c>
      <c r="F815" s="11" t="s">
        <v>807</v>
      </c>
      <c r="G815" s="11" t="s">
        <v>1374</v>
      </c>
      <c r="H815" s="10" t="s">
        <v>812</v>
      </c>
    </row>
    <row r="816" spans="1:8" x14ac:dyDescent="0.25">
      <c r="A816" s="11" t="s">
        <v>3111</v>
      </c>
      <c r="B816" s="10" t="s">
        <v>1086</v>
      </c>
      <c r="C816" s="10" t="s">
        <v>2987</v>
      </c>
      <c r="D816" s="10" t="str">
        <f>VLOOKUP(C816,Region!A:B,2,FALSE)</f>
        <v>Noida</v>
      </c>
      <c r="E816" s="10" t="s">
        <v>1427</v>
      </c>
      <c r="F816" s="11" t="s">
        <v>823</v>
      </c>
      <c r="G816" s="11" t="s">
        <v>345</v>
      </c>
      <c r="H816" s="10" t="s">
        <v>812</v>
      </c>
    </row>
    <row r="817" spans="1:8" x14ac:dyDescent="0.25">
      <c r="A817" s="11" t="s">
        <v>2714</v>
      </c>
      <c r="B817" s="10" t="s">
        <v>804</v>
      </c>
      <c r="C817" s="10" t="s">
        <v>2518</v>
      </c>
      <c r="D817" s="10" t="str">
        <f>VLOOKUP(C817,Region!A:B,2,FALSE)</f>
        <v>Noida</v>
      </c>
      <c r="E817" s="10" t="s">
        <v>1427</v>
      </c>
      <c r="F817" s="11" t="s">
        <v>823</v>
      </c>
      <c r="G817" s="11" t="s">
        <v>2715</v>
      </c>
      <c r="H817" s="10" t="s">
        <v>809</v>
      </c>
    </row>
    <row r="818" spans="1:8" x14ac:dyDescent="0.25">
      <c r="A818" s="11" t="s">
        <v>3120</v>
      </c>
      <c r="B818" s="10" t="s">
        <v>1086</v>
      </c>
      <c r="C818" s="10" t="s">
        <v>2987</v>
      </c>
      <c r="D818" s="10" t="str">
        <f>VLOOKUP(C818,Region!A:B,2,FALSE)</f>
        <v>Noida</v>
      </c>
      <c r="E818" s="10" t="s">
        <v>1427</v>
      </c>
      <c r="F818" s="11" t="s">
        <v>823</v>
      </c>
      <c r="G818" s="11" t="s">
        <v>3121</v>
      </c>
      <c r="H818" s="10" t="s">
        <v>809</v>
      </c>
    </row>
    <row r="819" spans="1:8" x14ac:dyDescent="0.25">
      <c r="A819" s="11" t="s">
        <v>1287</v>
      </c>
      <c r="B819" s="10" t="s">
        <v>1086</v>
      </c>
      <c r="C819" s="10" t="s">
        <v>1087</v>
      </c>
      <c r="D819" s="10" t="str">
        <f>VLOOKUP(C819,Region!A:B,2,FALSE)</f>
        <v>Hyderabad</v>
      </c>
      <c r="E819" s="10" t="s">
        <v>806</v>
      </c>
      <c r="F819" s="11" t="s">
        <v>807</v>
      </c>
      <c r="G819" s="11" t="s">
        <v>1288</v>
      </c>
      <c r="H819" s="10" t="s">
        <v>812</v>
      </c>
    </row>
    <row r="820" spans="1:8" x14ac:dyDescent="0.25">
      <c r="A820" s="11" t="s">
        <v>2475</v>
      </c>
      <c r="B820" s="10" t="s">
        <v>804</v>
      </c>
      <c r="C820" s="10" t="s">
        <v>2041</v>
      </c>
      <c r="D820" s="10" t="str">
        <f>VLOOKUP(C820,Region!A:B,2,FALSE)</f>
        <v>Hyderabad</v>
      </c>
      <c r="E820" s="10" t="s">
        <v>1427</v>
      </c>
      <c r="F820" s="11" t="s">
        <v>811</v>
      </c>
      <c r="G820" s="11" t="s">
        <v>2476</v>
      </c>
      <c r="H820" s="10" t="s">
        <v>809</v>
      </c>
    </row>
    <row r="821" spans="1:8" x14ac:dyDescent="0.25">
      <c r="A821" s="11" t="s">
        <v>2876</v>
      </c>
      <c r="B821" s="10" t="s">
        <v>804</v>
      </c>
      <c r="C821" s="10" t="s">
        <v>2752</v>
      </c>
      <c r="D821" s="10" t="str">
        <f>VLOOKUP(C821,Region!A:B,2,FALSE)</f>
        <v>Noida</v>
      </c>
      <c r="E821" s="10" t="s">
        <v>806</v>
      </c>
      <c r="F821" s="11" t="s">
        <v>823</v>
      </c>
      <c r="G821" s="11" t="s">
        <v>2877</v>
      </c>
      <c r="H821" s="10" t="s">
        <v>812</v>
      </c>
    </row>
    <row r="822" spans="1:8" x14ac:dyDescent="0.25">
      <c r="A822" s="11" t="s">
        <v>3116</v>
      </c>
      <c r="B822" s="10" t="s">
        <v>1086</v>
      </c>
      <c r="C822" s="10" t="s">
        <v>2987</v>
      </c>
      <c r="D822" s="10" t="str">
        <f>VLOOKUP(C822,Region!A:B,2,FALSE)</f>
        <v>Noida</v>
      </c>
      <c r="E822" s="10" t="s">
        <v>1427</v>
      </c>
      <c r="F822" s="11" t="s">
        <v>823</v>
      </c>
      <c r="G822" s="11" t="s">
        <v>3117</v>
      </c>
      <c r="H822" s="10" t="s">
        <v>809</v>
      </c>
    </row>
    <row r="823" spans="1:8" x14ac:dyDescent="0.25">
      <c r="A823" s="11" t="s">
        <v>3403</v>
      </c>
      <c r="B823" s="10" t="s">
        <v>1086</v>
      </c>
      <c r="C823" s="10" t="s">
        <v>3273</v>
      </c>
      <c r="D823" s="10" t="str">
        <f>VLOOKUP(C823,Region!A:B,2,FALSE)</f>
        <v>Noida</v>
      </c>
      <c r="E823" s="10" t="s">
        <v>806</v>
      </c>
      <c r="F823" s="11" t="s">
        <v>823</v>
      </c>
      <c r="G823" s="11" t="s">
        <v>3404</v>
      </c>
      <c r="H823" s="10" t="s">
        <v>809</v>
      </c>
    </row>
    <row r="824" spans="1:8" x14ac:dyDescent="0.25">
      <c r="A824" s="11" t="s">
        <v>2619</v>
      </c>
      <c r="B824" s="10" t="s">
        <v>804</v>
      </c>
      <c r="C824" s="10" t="s">
        <v>2518</v>
      </c>
      <c r="D824" s="10" t="str">
        <f>VLOOKUP(C824,Region!A:B,2,FALSE)</f>
        <v>Noida</v>
      </c>
      <c r="E824" s="10" t="s">
        <v>1427</v>
      </c>
      <c r="F824" s="11" t="s">
        <v>814</v>
      </c>
      <c r="G824" s="11" t="s">
        <v>2620</v>
      </c>
      <c r="H824" s="10" t="s">
        <v>812</v>
      </c>
    </row>
    <row r="825" spans="1:8" x14ac:dyDescent="0.25">
      <c r="A825" s="11" t="s">
        <v>3230</v>
      </c>
      <c r="B825" s="10" t="s">
        <v>1086</v>
      </c>
      <c r="C825" s="10" t="s">
        <v>2987</v>
      </c>
      <c r="D825" s="10" t="str">
        <f>VLOOKUP(C825,Region!A:B,2,FALSE)</f>
        <v>Noida</v>
      </c>
      <c r="E825" s="10" t="s">
        <v>1427</v>
      </c>
      <c r="F825" s="11" t="s">
        <v>823</v>
      </c>
      <c r="G825" s="11" t="s">
        <v>3231</v>
      </c>
      <c r="H825" s="10" t="s">
        <v>809</v>
      </c>
    </row>
    <row r="826" spans="1:8" x14ac:dyDescent="0.25">
      <c r="A826" s="11" t="s">
        <v>2704</v>
      </c>
      <c r="B826" s="10" t="s">
        <v>804</v>
      </c>
      <c r="C826" s="10" t="s">
        <v>2518</v>
      </c>
      <c r="D826" s="10" t="str">
        <f>VLOOKUP(C826,Region!A:B,2,FALSE)</f>
        <v>Noida</v>
      </c>
      <c r="E826" s="10" t="s">
        <v>1427</v>
      </c>
      <c r="F826" s="11" t="s">
        <v>807</v>
      </c>
      <c r="G826" s="11" t="s">
        <v>143</v>
      </c>
      <c r="H826" s="10" t="s">
        <v>812</v>
      </c>
    </row>
    <row r="827" spans="1:8" x14ac:dyDescent="0.25">
      <c r="A827" s="11" t="s">
        <v>1335</v>
      </c>
      <c r="B827" s="10" t="s">
        <v>1086</v>
      </c>
      <c r="C827" s="10" t="s">
        <v>1087</v>
      </c>
      <c r="D827" s="10" t="str">
        <f>VLOOKUP(C827,Region!A:B,2,FALSE)</f>
        <v>Hyderabad</v>
      </c>
      <c r="E827" s="10" t="s">
        <v>806</v>
      </c>
      <c r="F827" s="11" t="s">
        <v>814</v>
      </c>
      <c r="G827" s="11" t="s">
        <v>1336</v>
      </c>
      <c r="H827" s="10" t="s">
        <v>812</v>
      </c>
    </row>
    <row r="828" spans="1:8" x14ac:dyDescent="0.25">
      <c r="A828" s="11" t="s">
        <v>1329</v>
      </c>
      <c r="B828" s="10" t="s">
        <v>1086</v>
      </c>
      <c r="C828" s="10" t="s">
        <v>1087</v>
      </c>
      <c r="D828" s="10" t="str">
        <f>VLOOKUP(C828,Region!A:B,2,FALSE)</f>
        <v>Hyderabad</v>
      </c>
      <c r="E828" s="10" t="s">
        <v>806</v>
      </c>
      <c r="F828" s="11" t="s">
        <v>814</v>
      </c>
      <c r="G828" s="11" t="s">
        <v>1330</v>
      </c>
      <c r="H828" s="10" t="s">
        <v>809</v>
      </c>
    </row>
    <row r="829" spans="1:8" x14ac:dyDescent="0.25">
      <c r="A829" s="11" t="s">
        <v>1919</v>
      </c>
      <c r="B829" s="10" t="s">
        <v>804</v>
      </c>
      <c r="C829" s="10" t="s">
        <v>1635</v>
      </c>
      <c r="D829" s="10" t="str">
        <f>VLOOKUP(C829,Region!A:B,2,FALSE)</f>
        <v>MBC US</v>
      </c>
      <c r="E829" s="10" t="s">
        <v>806</v>
      </c>
      <c r="F829" s="11" t="s">
        <v>814</v>
      </c>
      <c r="G829" s="11" t="s">
        <v>677</v>
      </c>
      <c r="H829" s="10" t="s">
        <v>812</v>
      </c>
    </row>
    <row r="830" spans="1:8" x14ac:dyDescent="0.25">
      <c r="A830" s="11" t="s">
        <v>3118</v>
      </c>
      <c r="B830" s="10" t="s">
        <v>1086</v>
      </c>
      <c r="C830" s="10" t="s">
        <v>2987</v>
      </c>
      <c r="D830" s="10" t="str">
        <f>VLOOKUP(C830,Region!A:B,2,FALSE)</f>
        <v>Noida</v>
      </c>
      <c r="E830" s="10" t="s">
        <v>1427</v>
      </c>
      <c r="F830" s="11" t="s">
        <v>823</v>
      </c>
      <c r="G830" s="11" t="s">
        <v>3119</v>
      </c>
      <c r="H830" s="10" t="s">
        <v>812</v>
      </c>
    </row>
    <row r="831" spans="1:8" x14ac:dyDescent="0.25">
      <c r="A831" s="11" t="s">
        <v>1911</v>
      </c>
      <c r="B831" s="10" t="s">
        <v>804</v>
      </c>
      <c r="C831" s="10" t="s">
        <v>1635</v>
      </c>
      <c r="D831" s="10" t="str">
        <f>VLOOKUP(C831,Region!A:B,2,FALSE)</f>
        <v>MBC US</v>
      </c>
      <c r="E831" s="10" t="s">
        <v>806</v>
      </c>
      <c r="F831" s="11" t="s">
        <v>814</v>
      </c>
      <c r="G831" s="11" t="s">
        <v>643</v>
      </c>
      <c r="H831" s="10" t="s">
        <v>812</v>
      </c>
    </row>
    <row r="832" spans="1:8" x14ac:dyDescent="0.25">
      <c r="A832" s="11" t="s">
        <v>872</v>
      </c>
      <c r="B832" s="10" t="s">
        <v>804</v>
      </c>
      <c r="C832" s="10" t="s">
        <v>805</v>
      </c>
      <c r="D832" s="10" t="str">
        <f>VLOOKUP(C832,Region!A:B,2,FALSE)</f>
        <v>Noida</v>
      </c>
      <c r="E832" s="10" t="s">
        <v>806</v>
      </c>
      <c r="F832" s="11" t="s">
        <v>823</v>
      </c>
      <c r="G832" s="11" t="s">
        <v>873</v>
      </c>
      <c r="H832" s="10" t="s">
        <v>809</v>
      </c>
    </row>
    <row r="833" spans="1:8" x14ac:dyDescent="0.25">
      <c r="A833" s="11" t="s">
        <v>3112</v>
      </c>
      <c r="B833" s="10" t="s">
        <v>1086</v>
      </c>
      <c r="C833" s="10" t="s">
        <v>2987</v>
      </c>
      <c r="D833" s="10" t="str">
        <f>VLOOKUP(C833,Region!A:B,2,FALSE)</f>
        <v>Noida</v>
      </c>
      <c r="E833" s="10" t="s">
        <v>1427</v>
      </c>
      <c r="F833" s="11" t="s">
        <v>823</v>
      </c>
      <c r="G833" s="11" t="s">
        <v>3113</v>
      </c>
      <c r="H833" s="10" t="s">
        <v>809</v>
      </c>
    </row>
    <row r="834" spans="1:8" x14ac:dyDescent="0.25">
      <c r="A834" s="11" t="s">
        <v>1118</v>
      </c>
      <c r="B834" s="10" t="s">
        <v>1086</v>
      </c>
      <c r="C834" s="10" t="s">
        <v>1087</v>
      </c>
      <c r="D834" s="10" t="str">
        <f>VLOOKUP(C834,Region!A:B,2,FALSE)</f>
        <v>Hyderabad</v>
      </c>
      <c r="E834" s="10" t="s">
        <v>806</v>
      </c>
      <c r="F834" s="11" t="s">
        <v>811</v>
      </c>
      <c r="G834" s="11" t="s">
        <v>1119</v>
      </c>
      <c r="H834" s="10" t="s">
        <v>809</v>
      </c>
    </row>
    <row r="835" spans="1:8" x14ac:dyDescent="0.25">
      <c r="A835" s="11" t="s">
        <v>2532</v>
      </c>
      <c r="B835" s="10" t="s">
        <v>804</v>
      </c>
      <c r="C835" s="10" t="s">
        <v>2518</v>
      </c>
      <c r="D835" s="10" t="str">
        <f>VLOOKUP(C835,Region!A:B,2,FALSE)</f>
        <v>Noida</v>
      </c>
      <c r="E835" s="10" t="s">
        <v>1427</v>
      </c>
      <c r="F835" s="11" t="s">
        <v>823</v>
      </c>
      <c r="G835" s="11" t="s">
        <v>2533</v>
      </c>
      <c r="H835" s="10" t="s">
        <v>812</v>
      </c>
    </row>
    <row r="836" spans="1:8" x14ac:dyDescent="0.25">
      <c r="A836" s="11" t="s">
        <v>1137</v>
      </c>
      <c r="B836" s="10" t="s">
        <v>1086</v>
      </c>
      <c r="C836" s="10" t="s">
        <v>1087</v>
      </c>
      <c r="D836" s="10" t="str">
        <f>VLOOKUP(C836,Region!A:B,2,FALSE)</f>
        <v>Hyderabad</v>
      </c>
      <c r="E836" s="10" t="s">
        <v>806</v>
      </c>
      <c r="F836" s="11" t="s">
        <v>814</v>
      </c>
      <c r="G836" s="11" t="s">
        <v>1138</v>
      </c>
      <c r="H836" s="10" t="s">
        <v>809</v>
      </c>
    </row>
    <row r="837" spans="1:8" x14ac:dyDescent="0.25">
      <c r="A837" s="11" t="s">
        <v>1583</v>
      </c>
      <c r="B837" s="10" t="s">
        <v>1086</v>
      </c>
      <c r="C837" s="10" t="s">
        <v>1426</v>
      </c>
      <c r="D837" s="10" t="str">
        <f>VLOOKUP(C837,Region!A:B,2,FALSE)</f>
        <v>Spain</v>
      </c>
      <c r="E837" s="10" t="s">
        <v>1427</v>
      </c>
      <c r="F837" s="11" t="s">
        <v>811</v>
      </c>
      <c r="G837" s="11" t="s">
        <v>1584</v>
      </c>
      <c r="H837" s="10" t="s">
        <v>809</v>
      </c>
    </row>
    <row r="838" spans="1:8" x14ac:dyDescent="0.25">
      <c r="A838" s="11" t="s">
        <v>2576</v>
      </c>
      <c r="B838" s="10" t="s">
        <v>804</v>
      </c>
      <c r="C838" s="10" t="s">
        <v>2518</v>
      </c>
      <c r="D838" s="10" t="str">
        <f>VLOOKUP(C838,Region!A:B,2,FALSE)</f>
        <v>Noida</v>
      </c>
      <c r="E838" s="10" t="s">
        <v>1427</v>
      </c>
      <c r="F838" s="11" t="s">
        <v>811</v>
      </c>
      <c r="G838" s="11" t="s">
        <v>710</v>
      </c>
      <c r="H838" s="10" t="s">
        <v>812</v>
      </c>
    </row>
    <row r="839" spans="1:8" x14ac:dyDescent="0.25">
      <c r="A839" s="11" t="s">
        <v>1555</v>
      </c>
      <c r="B839" s="10" t="s">
        <v>1086</v>
      </c>
      <c r="C839" s="10" t="s">
        <v>1426</v>
      </c>
      <c r="D839" s="10" t="str">
        <f>VLOOKUP(C839,Region!A:B,2,FALSE)</f>
        <v>Spain</v>
      </c>
      <c r="E839" s="10" t="s">
        <v>1427</v>
      </c>
      <c r="F839" s="11" t="s">
        <v>823</v>
      </c>
      <c r="G839" s="11" t="s">
        <v>777</v>
      </c>
      <c r="H839" s="10" t="s">
        <v>809</v>
      </c>
    </row>
    <row r="840" spans="1:8" x14ac:dyDescent="0.25">
      <c r="A840" s="11" t="s">
        <v>1588</v>
      </c>
      <c r="B840" s="10" t="s">
        <v>804</v>
      </c>
      <c r="C840" s="10" t="s">
        <v>1426</v>
      </c>
      <c r="D840" s="10" t="str">
        <f>VLOOKUP(C840,Region!A:B,2,FALSE)</f>
        <v>Spain</v>
      </c>
      <c r="E840" s="10" t="s">
        <v>1427</v>
      </c>
      <c r="F840" s="11" t="s">
        <v>807</v>
      </c>
      <c r="G840" s="11" t="s">
        <v>1589</v>
      </c>
      <c r="H840" s="10" t="s">
        <v>809</v>
      </c>
    </row>
    <row r="841" spans="1:8" x14ac:dyDescent="0.25">
      <c r="A841" s="11" t="s">
        <v>2852</v>
      </c>
      <c r="B841" s="10" t="s">
        <v>804</v>
      </c>
      <c r="C841" s="10" t="s">
        <v>2752</v>
      </c>
      <c r="D841" s="10" t="str">
        <f>VLOOKUP(C841,Region!A:B,2,FALSE)</f>
        <v>Noida</v>
      </c>
      <c r="E841" s="10" t="s">
        <v>806</v>
      </c>
      <c r="F841" s="11" t="s">
        <v>814</v>
      </c>
      <c r="G841" s="11" t="s">
        <v>2853</v>
      </c>
      <c r="H841" s="10" t="s">
        <v>812</v>
      </c>
    </row>
    <row r="842" spans="1:8" x14ac:dyDescent="0.25">
      <c r="A842" s="11" t="s">
        <v>2299</v>
      </c>
      <c r="B842" s="10" t="s">
        <v>804</v>
      </c>
      <c r="C842" s="10" t="s">
        <v>2041</v>
      </c>
      <c r="D842" s="10" t="str">
        <f>VLOOKUP(C842,Region!A:B,2,FALSE)</f>
        <v>Hyderabad</v>
      </c>
      <c r="E842" s="10" t="s">
        <v>1427</v>
      </c>
      <c r="F842" s="11" t="s">
        <v>807</v>
      </c>
      <c r="G842" s="11" t="s">
        <v>669</v>
      </c>
      <c r="H842" s="10" t="s">
        <v>812</v>
      </c>
    </row>
    <row r="843" spans="1:8" x14ac:dyDescent="0.25">
      <c r="A843" s="11" t="s">
        <v>1140</v>
      </c>
      <c r="B843" s="10" t="s">
        <v>1086</v>
      </c>
      <c r="C843" s="10" t="s">
        <v>1087</v>
      </c>
      <c r="D843" s="10" t="str">
        <f>VLOOKUP(C843,Region!A:B,2,FALSE)</f>
        <v>Hyderabad</v>
      </c>
      <c r="E843" s="10" t="s">
        <v>806</v>
      </c>
      <c r="F843" s="11" t="s">
        <v>823</v>
      </c>
      <c r="G843" s="11" t="s">
        <v>1141</v>
      </c>
      <c r="H843" s="10" t="s">
        <v>809</v>
      </c>
    </row>
    <row r="844" spans="1:8" x14ac:dyDescent="0.25">
      <c r="A844" s="11" t="s">
        <v>1379</v>
      </c>
      <c r="B844" s="10" t="s">
        <v>1086</v>
      </c>
      <c r="C844" s="10" t="s">
        <v>1087</v>
      </c>
      <c r="D844" s="10" t="str">
        <f>VLOOKUP(C844,Region!A:B,2,FALSE)</f>
        <v>Hyderabad</v>
      </c>
      <c r="E844" s="10" t="s">
        <v>806</v>
      </c>
      <c r="F844" s="11" t="s">
        <v>811</v>
      </c>
      <c r="G844" s="11" t="s">
        <v>1380</v>
      </c>
      <c r="H844" s="10" t="s">
        <v>809</v>
      </c>
    </row>
    <row r="845" spans="1:8" x14ac:dyDescent="0.25">
      <c r="A845" s="11" t="s">
        <v>2613</v>
      </c>
      <c r="B845" s="10" t="s">
        <v>804</v>
      </c>
      <c r="C845" s="10" t="s">
        <v>2518</v>
      </c>
      <c r="D845" s="10" t="str">
        <f>VLOOKUP(C845,Region!A:B,2,FALSE)</f>
        <v>Noida</v>
      </c>
      <c r="E845" s="10" t="s">
        <v>1427</v>
      </c>
      <c r="F845" s="11" t="s">
        <v>834</v>
      </c>
      <c r="G845" s="11" t="s">
        <v>2614</v>
      </c>
      <c r="H845" s="10" t="s">
        <v>809</v>
      </c>
    </row>
    <row r="846" spans="1:8" x14ac:dyDescent="0.25">
      <c r="A846" s="11" t="s">
        <v>1594</v>
      </c>
      <c r="B846" s="10" t="s">
        <v>1086</v>
      </c>
      <c r="C846" s="10" t="s">
        <v>1426</v>
      </c>
      <c r="D846" s="10" t="str">
        <f>VLOOKUP(C846,Region!A:B,2,FALSE)</f>
        <v>Spain</v>
      </c>
      <c r="E846" s="10" t="s">
        <v>1427</v>
      </c>
      <c r="F846" s="11" t="s">
        <v>807</v>
      </c>
      <c r="G846" s="11" t="s">
        <v>1595</v>
      </c>
      <c r="H846" s="10" t="s">
        <v>809</v>
      </c>
    </row>
    <row r="847" spans="1:8" x14ac:dyDescent="0.25">
      <c r="A847" s="11" t="s">
        <v>1592</v>
      </c>
      <c r="B847" s="10" t="s">
        <v>1086</v>
      </c>
      <c r="C847" s="10" t="s">
        <v>1426</v>
      </c>
      <c r="D847" s="10" t="str">
        <f>VLOOKUP(C847,Region!A:B,2,FALSE)</f>
        <v>Spain</v>
      </c>
      <c r="E847" s="10" t="s">
        <v>1427</v>
      </c>
      <c r="F847" s="11" t="s">
        <v>823</v>
      </c>
      <c r="G847" s="11" t="s">
        <v>1593</v>
      </c>
      <c r="H847" s="10" t="s">
        <v>809</v>
      </c>
    </row>
    <row r="848" spans="1:8" x14ac:dyDescent="0.25">
      <c r="A848" s="11" t="s">
        <v>2204</v>
      </c>
      <c r="B848" s="10" t="s">
        <v>804</v>
      </c>
      <c r="C848" s="10" t="s">
        <v>2041</v>
      </c>
      <c r="D848" s="10" t="str">
        <f>VLOOKUP(C848,Region!A:B,2,FALSE)</f>
        <v>Hyderabad</v>
      </c>
      <c r="E848" s="10" t="s">
        <v>1427</v>
      </c>
      <c r="F848" s="11" t="s">
        <v>811</v>
      </c>
      <c r="G848" s="11" t="s">
        <v>2205</v>
      </c>
      <c r="H848" s="10" t="s">
        <v>812</v>
      </c>
    </row>
    <row r="849" spans="1:8" x14ac:dyDescent="0.25">
      <c r="A849" s="11" t="s">
        <v>1393</v>
      </c>
      <c r="B849" s="10" t="s">
        <v>1086</v>
      </c>
      <c r="C849" s="10" t="s">
        <v>1087</v>
      </c>
      <c r="D849" s="10" t="str">
        <f>VLOOKUP(C849,Region!A:B,2,FALSE)</f>
        <v>Hyderabad</v>
      </c>
      <c r="E849" s="10" t="s">
        <v>806</v>
      </c>
      <c r="F849" s="11" t="s">
        <v>811</v>
      </c>
      <c r="G849" s="11" t="s">
        <v>1394</v>
      </c>
      <c r="H849" s="10" t="s">
        <v>809</v>
      </c>
    </row>
    <row r="850" spans="1:8" x14ac:dyDescent="0.25">
      <c r="A850" s="11" t="s">
        <v>2577</v>
      </c>
      <c r="B850" s="10" t="s">
        <v>804</v>
      </c>
      <c r="C850" s="10" t="s">
        <v>2518</v>
      </c>
      <c r="D850" s="10" t="str">
        <f>VLOOKUP(C850,Region!A:B,2,FALSE)</f>
        <v>Noida</v>
      </c>
      <c r="E850" s="10" t="s">
        <v>1427</v>
      </c>
      <c r="F850" s="11" t="s">
        <v>811</v>
      </c>
      <c r="G850" s="11" t="s">
        <v>2578</v>
      </c>
      <c r="H850" s="10" t="s">
        <v>809</v>
      </c>
    </row>
    <row r="851" spans="1:8" x14ac:dyDescent="0.25">
      <c r="A851" s="11" t="s">
        <v>3093</v>
      </c>
      <c r="B851" s="10" t="s">
        <v>1086</v>
      </c>
      <c r="C851" s="10" t="s">
        <v>2987</v>
      </c>
      <c r="D851" s="10" t="str">
        <f>VLOOKUP(C851,Region!A:B,2,FALSE)</f>
        <v>Noida</v>
      </c>
      <c r="E851" s="10" t="s">
        <v>1427</v>
      </c>
      <c r="F851" s="11" t="s">
        <v>811</v>
      </c>
      <c r="G851" s="11" t="s">
        <v>3094</v>
      </c>
      <c r="H851" s="10" t="s">
        <v>809</v>
      </c>
    </row>
    <row r="852" spans="1:8" x14ac:dyDescent="0.25">
      <c r="A852" s="11" t="s">
        <v>2376</v>
      </c>
      <c r="B852" s="10" t="s">
        <v>804</v>
      </c>
      <c r="C852" s="10" t="s">
        <v>2041</v>
      </c>
      <c r="D852" s="10" t="str">
        <f>VLOOKUP(C852,Region!A:B,2,FALSE)</f>
        <v>Hyderabad</v>
      </c>
      <c r="E852" s="10" t="s">
        <v>1427</v>
      </c>
      <c r="F852" s="11" t="s">
        <v>814</v>
      </c>
      <c r="G852" s="11" t="s">
        <v>2377</v>
      </c>
      <c r="H852" s="10" t="s">
        <v>812</v>
      </c>
    </row>
    <row r="853" spans="1:8" x14ac:dyDescent="0.25">
      <c r="A853" s="11" t="s">
        <v>2026</v>
      </c>
      <c r="B853" s="10" t="s">
        <v>1086</v>
      </c>
      <c r="C853" s="10" t="s">
        <v>1635</v>
      </c>
      <c r="D853" s="10" t="str">
        <f>VLOOKUP(C853,Region!A:B,2,FALSE)</f>
        <v>MBC US</v>
      </c>
      <c r="E853" s="10" t="s">
        <v>806</v>
      </c>
      <c r="F853" s="11" t="s">
        <v>834</v>
      </c>
      <c r="G853" s="11" t="s">
        <v>2027</v>
      </c>
      <c r="H853" s="10" t="s">
        <v>809</v>
      </c>
    </row>
    <row r="854" spans="1:8" x14ac:dyDescent="0.25">
      <c r="A854" s="11" t="s">
        <v>1036</v>
      </c>
      <c r="B854" s="10" t="s">
        <v>804</v>
      </c>
      <c r="C854" s="10" t="s">
        <v>805</v>
      </c>
      <c r="D854" s="10" t="str">
        <f>VLOOKUP(C854,Region!A:B,2,FALSE)</f>
        <v>Noida</v>
      </c>
      <c r="E854" s="10" t="s">
        <v>806</v>
      </c>
      <c r="F854" s="11" t="s">
        <v>823</v>
      </c>
      <c r="G854" s="11" t="s">
        <v>1037</v>
      </c>
      <c r="H854" s="10" t="s">
        <v>809</v>
      </c>
    </row>
    <row r="855" spans="1:8" x14ac:dyDescent="0.25">
      <c r="A855" s="11" t="s">
        <v>3308</v>
      </c>
      <c r="B855" s="10" t="s">
        <v>1086</v>
      </c>
      <c r="C855" s="10" t="s">
        <v>3273</v>
      </c>
      <c r="D855" s="10" t="str">
        <f>VLOOKUP(C855,Region!A:B,2,FALSE)</f>
        <v>Noida</v>
      </c>
      <c r="E855" s="10" t="s">
        <v>806</v>
      </c>
      <c r="F855" s="11" t="s">
        <v>823</v>
      </c>
      <c r="G855" s="11" t="s">
        <v>3309</v>
      </c>
      <c r="H855" s="10" t="s">
        <v>812</v>
      </c>
    </row>
    <row r="856" spans="1:8" x14ac:dyDescent="0.25">
      <c r="A856" s="11" t="s">
        <v>1389</v>
      </c>
      <c r="B856" s="10" t="s">
        <v>1086</v>
      </c>
      <c r="C856" s="10" t="s">
        <v>1087</v>
      </c>
      <c r="D856" s="10" t="str">
        <f>VLOOKUP(C856,Region!A:B,2,FALSE)</f>
        <v>Hyderabad</v>
      </c>
      <c r="E856" s="10" t="s">
        <v>806</v>
      </c>
      <c r="F856" s="11" t="s">
        <v>811</v>
      </c>
      <c r="G856" s="11" t="s">
        <v>1390</v>
      </c>
      <c r="H856" s="10" t="s">
        <v>809</v>
      </c>
    </row>
    <row r="857" spans="1:8" x14ac:dyDescent="0.25">
      <c r="A857" s="11" t="s">
        <v>1933</v>
      </c>
      <c r="B857" s="10" t="s">
        <v>804</v>
      </c>
      <c r="C857" s="10" t="s">
        <v>1635</v>
      </c>
      <c r="D857" s="10" t="str">
        <f>VLOOKUP(C857,Region!A:B,2,FALSE)</f>
        <v>MBC US</v>
      </c>
      <c r="E857" s="10" t="s">
        <v>806</v>
      </c>
      <c r="F857" s="11" t="s">
        <v>814</v>
      </c>
      <c r="G857" s="11" t="s">
        <v>1934</v>
      </c>
      <c r="H857" s="10" t="s">
        <v>809</v>
      </c>
    </row>
    <row r="858" spans="1:8" x14ac:dyDescent="0.25">
      <c r="A858" s="11" t="s">
        <v>2913</v>
      </c>
      <c r="B858" s="10" t="s">
        <v>804</v>
      </c>
      <c r="C858" s="10" t="s">
        <v>2752</v>
      </c>
      <c r="D858" s="10" t="str">
        <f>VLOOKUP(C858,Region!A:B,2,FALSE)</f>
        <v>Noida</v>
      </c>
      <c r="E858" s="10" t="s">
        <v>806</v>
      </c>
      <c r="F858" s="11" t="s">
        <v>823</v>
      </c>
      <c r="G858" s="11" t="s">
        <v>2914</v>
      </c>
      <c r="H858" s="10" t="s">
        <v>812</v>
      </c>
    </row>
    <row r="859" spans="1:8" x14ac:dyDescent="0.25">
      <c r="A859" s="11" t="s">
        <v>1318</v>
      </c>
      <c r="B859" s="10" t="s">
        <v>1086</v>
      </c>
      <c r="C859" s="10" t="s">
        <v>1087</v>
      </c>
      <c r="D859" s="10" t="str">
        <f>VLOOKUP(C859,Region!A:B,2,FALSE)</f>
        <v>Hyderabad</v>
      </c>
      <c r="E859" s="10" t="s">
        <v>806</v>
      </c>
      <c r="F859" s="11" t="s">
        <v>811</v>
      </c>
      <c r="G859" s="11" t="s">
        <v>1319</v>
      </c>
      <c r="H859" s="10" t="s">
        <v>809</v>
      </c>
    </row>
    <row r="860" spans="1:8" x14ac:dyDescent="0.25">
      <c r="A860" s="11" t="s">
        <v>1585</v>
      </c>
      <c r="B860" s="10" t="s">
        <v>804</v>
      </c>
      <c r="C860" s="10" t="s">
        <v>1426</v>
      </c>
      <c r="D860" s="10" t="str">
        <f>VLOOKUP(C860,Region!A:B,2,FALSE)</f>
        <v>Spain</v>
      </c>
      <c r="E860" s="10" t="s">
        <v>1427</v>
      </c>
      <c r="F860" s="11" t="s">
        <v>807</v>
      </c>
      <c r="G860" s="11" t="s">
        <v>570</v>
      </c>
      <c r="H860" s="10" t="s">
        <v>812</v>
      </c>
    </row>
    <row r="861" spans="1:8" x14ac:dyDescent="0.25">
      <c r="A861" s="11" t="s">
        <v>1590</v>
      </c>
      <c r="B861" s="10" t="s">
        <v>804</v>
      </c>
      <c r="C861" s="10" t="s">
        <v>1426</v>
      </c>
      <c r="D861" s="10" t="str">
        <f>VLOOKUP(C861,Region!A:B,2,FALSE)</f>
        <v>Spain</v>
      </c>
      <c r="E861" s="10" t="s">
        <v>1427</v>
      </c>
      <c r="F861" s="11" t="s">
        <v>814</v>
      </c>
      <c r="G861" s="11" t="s">
        <v>1591</v>
      </c>
      <c r="H861" s="10" t="s">
        <v>809</v>
      </c>
    </row>
    <row r="862" spans="1:8" x14ac:dyDescent="0.25">
      <c r="A862" s="11" t="s">
        <v>2920</v>
      </c>
      <c r="B862" s="10" t="s">
        <v>804</v>
      </c>
      <c r="C862" s="10" t="s">
        <v>2752</v>
      </c>
      <c r="D862" s="10" t="str">
        <f>VLOOKUP(C862,Region!A:B,2,FALSE)</f>
        <v>Noida</v>
      </c>
      <c r="E862" s="10" t="s">
        <v>806</v>
      </c>
      <c r="F862" s="11" t="s">
        <v>807</v>
      </c>
      <c r="G862" s="11" t="s">
        <v>2921</v>
      </c>
      <c r="H862" s="10" t="s">
        <v>812</v>
      </c>
    </row>
    <row r="863" spans="1:8" x14ac:dyDescent="0.25">
      <c r="A863" s="11" t="s">
        <v>2720</v>
      </c>
      <c r="B863" s="10" t="s">
        <v>804</v>
      </c>
      <c r="C863" s="10" t="s">
        <v>2518</v>
      </c>
      <c r="D863" s="10" t="str">
        <f>VLOOKUP(C863,Region!A:B,2,FALSE)</f>
        <v>Noida</v>
      </c>
      <c r="E863" s="10" t="s">
        <v>1427</v>
      </c>
      <c r="F863" s="11" t="s">
        <v>823</v>
      </c>
      <c r="G863" s="11" t="s">
        <v>2721</v>
      </c>
      <c r="H863" s="10" t="s">
        <v>812</v>
      </c>
    </row>
    <row r="864" spans="1:8" x14ac:dyDescent="0.25">
      <c r="A864" s="11" t="s">
        <v>2655</v>
      </c>
      <c r="B864" s="10" t="s">
        <v>804</v>
      </c>
      <c r="C864" s="10" t="s">
        <v>2518</v>
      </c>
      <c r="D864" s="10" t="str">
        <f>VLOOKUP(C864,Region!A:B,2,FALSE)</f>
        <v>Noida</v>
      </c>
      <c r="E864" s="10" t="s">
        <v>1427</v>
      </c>
      <c r="F864" s="11" t="s">
        <v>823</v>
      </c>
      <c r="G864" s="11" t="s">
        <v>592</v>
      </c>
      <c r="H864" s="10" t="s">
        <v>812</v>
      </c>
    </row>
    <row r="865" spans="1:8" x14ac:dyDescent="0.25">
      <c r="A865" s="11" t="s">
        <v>1325</v>
      </c>
      <c r="B865" s="10" t="s">
        <v>1086</v>
      </c>
      <c r="C865" s="10" t="s">
        <v>1087</v>
      </c>
      <c r="D865" s="10" t="str">
        <f>VLOOKUP(C865,Region!A:B,2,FALSE)</f>
        <v>Hyderabad</v>
      </c>
      <c r="E865" s="10" t="s">
        <v>806</v>
      </c>
      <c r="F865" s="11" t="s">
        <v>807</v>
      </c>
      <c r="G865" s="11" t="s">
        <v>1326</v>
      </c>
      <c r="H865" s="10" t="s">
        <v>809</v>
      </c>
    </row>
    <row r="866" spans="1:8" x14ac:dyDescent="0.25">
      <c r="A866" s="11" t="s">
        <v>1920</v>
      </c>
      <c r="B866" s="10" t="s">
        <v>1086</v>
      </c>
      <c r="C866" s="10" t="s">
        <v>1635</v>
      </c>
      <c r="D866" s="10" t="str">
        <f>VLOOKUP(C866,Region!A:B,2,FALSE)</f>
        <v>MBC US</v>
      </c>
      <c r="E866" s="10" t="s">
        <v>806</v>
      </c>
      <c r="F866" s="11" t="s">
        <v>1846</v>
      </c>
      <c r="G866" s="11" t="s">
        <v>1921</v>
      </c>
      <c r="H866" s="10" t="s">
        <v>809</v>
      </c>
    </row>
    <row r="867" spans="1:8" x14ac:dyDescent="0.25">
      <c r="A867" s="11" t="s">
        <v>1924</v>
      </c>
      <c r="B867" s="10" t="s">
        <v>1086</v>
      </c>
      <c r="C867" s="10" t="s">
        <v>1635</v>
      </c>
      <c r="D867" s="10" t="str">
        <f>VLOOKUP(C867,Region!A:B,2,FALSE)</f>
        <v>MBC US</v>
      </c>
      <c r="E867" s="10" t="s">
        <v>806</v>
      </c>
      <c r="F867" s="11" t="s">
        <v>834</v>
      </c>
      <c r="G867" s="11" t="s">
        <v>1925</v>
      </c>
      <c r="H867" s="10" t="s">
        <v>809</v>
      </c>
    </row>
    <row r="868" spans="1:8" x14ac:dyDescent="0.25">
      <c r="A868" s="11" t="s">
        <v>1926</v>
      </c>
      <c r="B868" s="10" t="s">
        <v>804</v>
      </c>
      <c r="C868" s="10" t="s">
        <v>1635</v>
      </c>
      <c r="D868" s="10" t="str">
        <f>VLOOKUP(C868,Region!A:B,2,FALSE)</f>
        <v>MBC US</v>
      </c>
      <c r="E868" s="10" t="s">
        <v>806</v>
      </c>
      <c r="F868" s="11" t="s">
        <v>811</v>
      </c>
      <c r="G868" s="11" t="s">
        <v>1927</v>
      </c>
      <c r="H868" s="10" t="s">
        <v>809</v>
      </c>
    </row>
    <row r="869" spans="1:8" x14ac:dyDescent="0.25">
      <c r="A869" s="11" t="s">
        <v>1289</v>
      </c>
      <c r="B869" s="10" t="s">
        <v>1086</v>
      </c>
      <c r="C869" s="10" t="s">
        <v>1087</v>
      </c>
      <c r="D869" s="10" t="str">
        <f>VLOOKUP(C869,Region!A:B,2,FALSE)</f>
        <v>Hyderabad</v>
      </c>
      <c r="E869" s="10" t="s">
        <v>806</v>
      </c>
      <c r="F869" s="11" t="s">
        <v>823</v>
      </c>
      <c r="G869" s="11" t="s">
        <v>1290</v>
      </c>
      <c r="H869" s="10" t="s">
        <v>812</v>
      </c>
    </row>
    <row r="870" spans="1:8" x14ac:dyDescent="0.25">
      <c r="A870" s="11" t="s">
        <v>3107</v>
      </c>
      <c r="B870" s="10" t="s">
        <v>1086</v>
      </c>
      <c r="C870" s="10" t="s">
        <v>2987</v>
      </c>
      <c r="D870" s="10" t="str">
        <f>VLOOKUP(C870,Region!A:B,2,FALSE)</f>
        <v>Noida</v>
      </c>
      <c r="E870" s="10" t="s">
        <v>1427</v>
      </c>
      <c r="F870" s="11" t="s">
        <v>811</v>
      </c>
      <c r="G870" s="11" t="s">
        <v>3108</v>
      </c>
      <c r="H870" s="10" t="s">
        <v>809</v>
      </c>
    </row>
    <row r="871" spans="1:8" x14ac:dyDescent="0.25">
      <c r="A871" s="11" t="s">
        <v>1291</v>
      </c>
      <c r="B871" s="10" t="s">
        <v>1086</v>
      </c>
      <c r="C871" s="10" t="s">
        <v>1087</v>
      </c>
      <c r="D871" s="10" t="str">
        <f>VLOOKUP(C871,Region!A:B,2,FALSE)</f>
        <v>Hyderabad</v>
      </c>
      <c r="E871" s="10" t="s">
        <v>806</v>
      </c>
      <c r="F871" s="11" t="s">
        <v>811</v>
      </c>
      <c r="G871" s="11" t="s">
        <v>1292</v>
      </c>
      <c r="H871" s="10" t="s">
        <v>812</v>
      </c>
    </row>
    <row r="872" spans="1:8" x14ac:dyDescent="0.25">
      <c r="A872" s="11" t="s">
        <v>3127</v>
      </c>
      <c r="B872" s="10" t="s">
        <v>1086</v>
      </c>
      <c r="C872" s="10" t="s">
        <v>2987</v>
      </c>
      <c r="D872" s="10" t="str">
        <f>VLOOKUP(C872,Region!A:B,2,FALSE)</f>
        <v>Noida</v>
      </c>
      <c r="E872" s="10" t="s">
        <v>1427</v>
      </c>
      <c r="F872" s="11" t="s">
        <v>823</v>
      </c>
      <c r="G872" s="11" t="s">
        <v>3128</v>
      </c>
      <c r="H872" s="10" t="s">
        <v>809</v>
      </c>
    </row>
    <row r="873" spans="1:8" x14ac:dyDescent="0.25">
      <c r="A873" s="11" t="s">
        <v>3449</v>
      </c>
      <c r="B873" s="10" t="s">
        <v>1086</v>
      </c>
      <c r="C873" s="10" t="s">
        <v>3273</v>
      </c>
      <c r="D873" s="10" t="str">
        <f>VLOOKUP(C873,Region!A:B,2,FALSE)</f>
        <v>Noida</v>
      </c>
      <c r="E873" s="10" t="s">
        <v>806</v>
      </c>
      <c r="F873" s="11" t="s">
        <v>811</v>
      </c>
      <c r="G873" s="11" t="s">
        <v>3450</v>
      </c>
      <c r="H873" s="10" t="s">
        <v>809</v>
      </c>
    </row>
    <row r="874" spans="1:8" x14ac:dyDescent="0.25">
      <c r="A874" s="11" t="s">
        <v>2621</v>
      </c>
      <c r="B874" s="10" t="s">
        <v>804</v>
      </c>
      <c r="C874" s="10" t="s">
        <v>2518</v>
      </c>
      <c r="D874" s="10" t="str">
        <f>VLOOKUP(C874,Region!A:B,2,FALSE)</f>
        <v>Noida</v>
      </c>
      <c r="E874" s="10" t="s">
        <v>1427</v>
      </c>
      <c r="F874" s="11" t="s">
        <v>814</v>
      </c>
      <c r="G874" s="11" t="s">
        <v>2622</v>
      </c>
      <c r="H874" s="10" t="s">
        <v>812</v>
      </c>
    </row>
    <row r="875" spans="1:8" x14ac:dyDescent="0.25">
      <c r="A875" s="11" t="s">
        <v>2960</v>
      </c>
      <c r="B875" s="10" t="s">
        <v>804</v>
      </c>
      <c r="C875" s="10" t="s">
        <v>2752</v>
      </c>
      <c r="D875" s="10" t="str">
        <f>VLOOKUP(C875,Region!A:B,2,FALSE)</f>
        <v>Noida</v>
      </c>
      <c r="E875" s="10" t="s">
        <v>806</v>
      </c>
      <c r="F875" s="11" t="s">
        <v>823</v>
      </c>
      <c r="G875" s="11" t="s">
        <v>2961</v>
      </c>
      <c r="H875" s="10" t="s">
        <v>812</v>
      </c>
    </row>
    <row r="876" spans="1:8" x14ac:dyDescent="0.25">
      <c r="A876" s="11" t="s">
        <v>2206</v>
      </c>
      <c r="B876" s="10" t="s">
        <v>804</v>
      </c>
      <c r="C876" s="10" t="s">
        <v>2041</v>
      </c>
      <c r="D876" s="10" t="str">
        <f>VLOOKUP(C876,Region!A:B,2,FALSE)</f>
        <v>Hyderabad</v>
      </c>
      <c r="E876" s="10" t="s">
        <v>1427</v>
      </c>
      <c r="F876" s="11" t="s">
        <v>811</v>
      </c>
      <c r="G876" s="11" t="s">
        <v>2207</v>
      </c>
      <c r="H876" s="10" t="s">
        <v>812</v>
      </c>
    </row>
    <row r="877" spans="1:8" x14ac:dyDescent="0.25">
      <c r="A877" s="11" t="s">
        <v>1293</v>
      </c>
      <c r="B877" s="10" t="s">
        <v>1086</v>
      </c>
      <c r="C877" s="10" t="s">
        <v>1087</v>
      </c>
      <c r="D877" s="10" t="str">
        <f>VLOOKUP(C877,Region!A:B,2,FALSE)</f>
        <v>Hyderabad</v>
      </c>
      <c r="E877" s="10" t="s">
        <v>806</v>
      </c>
      <c r="F877" s="11" t="s">
        <v>811</v>
      </c>
      <c r="G877" s="11" t="s">
        <v>1294</v>
      </c>
      <c r="H877" s="10" t="s">
        <v>812</v>
      </c>
    </row>
    <row r="878" spans="1:8" x14ac:dyDescent="0.25">
      <c r="A878" s="11" t="s">
        <v>1598</v>
      </c>
      <c r="B878" s="10" t="s">
        <v>1086</v>
      </c>
      <c r="C878" s="10" t="s">
        <v>1426</v>
      </c>
      <c r="D878" s="10" t="str">
        <f>VLOOKUP(C878,Region!A:B,2,FALSE)</f>
        <v>Spain</v>
      </c>
      <c r="E878" s="10" t="s">
        <v>1427</v>
      </c>
      <c r="F878" s="11" t="s">
        <v>823</v>
      </c>
      <c r="G878" s="11" t="s">
        <v>1599</v>
      </c>
      <c r="H878" s="10" t="s">
        <v>809</v>
      </c>
    </row>
    <row r="879" spans="1:8" x14ac:dyDescent="0.25">
      <c r="A879" s="11" t="s">
        <v>3131</v>
      </c>
      <c r="B879" s="10" t="s">
        <v>1086</v>
      </c>
      <c r="C879" s="10" t="s">
        <v>2987</v>
      </c>
      <c r="D879" s="10" t="str">
        <f>VLOOKUP(C879,Region!A:B,2,FALSE)</f>
        <v>Noida</v>
      </c>
      <c r="E879" s="10" t="s">
        <v>1427</v>
      </c>
      <c r="F879" s="11" t="s">
        <v>823</v>
      </c>
      <c r="G879" s="11" t="s">
        <v>3132</v>
      </c>
      <c r="H879" s="10" t="s">
        <v>809</v>
      </c>
    </row>
    <row r="880" spans="1:8" x14ac:dyDescent="0.25">
      <c r="A880" s="11" t="s">
        <v>2068</v>
      </c>
      <c r="B880" s="10" t="s">
        <v>804</v>
      </c>
      <c r="C880" s="10" t="s">
        <v>2041</v>
      </c>
      <c r="D880" s="10" t="str">
        <f>VLOOKUP(C880,Region!A:B,2,FALSE)</f>
        <v>Hyderabad</v>
      </c>
      <c r="E880" s="10" t="s">
        <v>1427</v>
      </c>
      <c r="F880" s="11" t="s">
        <v>823</v>
      </c>
      <c r="G880" s="11" t="s">
        <v>2069</v>
      </c>
      <c r="H880" s="10" t="s">
        <v>809</v>
      </c>
    </row>
    <row r="881" spans="1:8" x14ac:dyDescent="0.25">
      <c r="A881" s="11" t="s">
        <v>3224</v>
      </c>
      <c r="B881" s="10" t="s">
        <v>1086</v>
      </c>
      <c r="C881" s="10" t="s">
        <v>2987</v>
      </c>
      <c r="D881" s="10" t="str">
        <f>VLOOKUP(C881,Region!A:B,2,FALSE)</f>
        <v>Noida</v>
      </c>
      <c r="E881" s="10" t="s">
        <v>1427</v>
      </c>
      <c r="F881" s="11" t="s">
        <v>823</v>
      </c>
      <c r="G881" s="11" t="s">
        <v>3225</v>
      </c>
      <c r="H881" s="10" t="s">
        <v>809</v>
      </c>
    </row>
    <row r="882" spans="1:8" x14ac:dyDescent="0.25">
      <c r="A882" s="11" t="s">
        <v>2828</v>
      </c>
      <c r="B882" s="10" t="s">
        <v>804</v>
      </c>
      <c r="C882" s="10" t="s">
        <v>2752</v>
      </c>
      <c r="D882" s="10" t="str">
        <f>VLOOKUP(C882,Region!A:B,2,FALSE)</f>
        <v>Noida</v>
      </c>
      <c r="E882" s="10" t="s">
        <v>806</v>
      </c>
      <c r="F882" s="11" t="s">
        <v>811</v>
      </c>
      <c r="G882" s="11" t="s">
        <v>2829</v>
      </c>
      <c r="H882" s="10" t="s">
        <v>812</v>
      </c>
    </row>
    <row r="883" spans="1:8" x14ac:dyDescent="0.25">
      <c r="A883" s="11" t="s">
        <v>1365</v>
      </c>
      <c r="B883" s="10" t="s">
        <v>1086</v>
      </c>
      <c r="C883" s="10" t="s">
        <v>1087</v>
      </c>
      <c r="D883" s="10" t="str">
        <f>VLOOKUP(C883,Region!A:B,2,FALSE)</f>
        <v>Hyderabad</v>
      </c>
      <c r="E883" s="10" t="s">
        <v>806</v>
      </c>
      <c r="F883" s="11" t="s">
        <v>807</v>
      </c>
      <c r="G883" s="11" t="s">
        <v>1366</v>
      </c>
      <c r="H883" s="10" t="s">
        <v>809</v>
      </c>
    </row>
    <row r="884" spans="1:8" x14ac:dyDescent="0.25">
      <c r="A884" s="11" t="s">
        <v>960</v>
      </c>
      <c r="B884" s="10" t="s">
        <v>804</v>
      </c>
      <c r="C884" s="10" t="s">
        <v>805</v>
      </c>
      <c r="D884" s="10" t="str">
        <f>VLOOKUP(C884,Region!A:B,2,FALSE)</f>
        <v>Noida</v>
      </c>
      <c r="E884" s="10" t="s">
        <v>806</v>
      </c>
      <c r="F884" s="11" t="s">
        <v>811</v>
      </c>
      <c r="G884" s="11" t="s">
        <v>961</v>
      </c>
      <c r="H884" s="10" t="s">
        <v>809</v>
      </c>
    </row>
    <row r="885" spans="1:8" x14ac:dyDescent="0.25">
      <c r="A885" s="11" t="s">
        <v>3101</v>
      </c>
      <c r="B885" s="10" t="s">
        <v>1086</v>
      </c>
      <c r="C885" s="10" t="s">
        <v>2987</v>
      </c>
      <c r="D885" s="10" t="str">
        <f>VLOOKUP(C885,Region!A:B,2,FALSE)</f>
        <v>Noida</v>
      </c>
      <c r="E885" s="10" t="s">
        <v>1427</v>
      </c>
      <c r="F885" s="11" t="s">
        <v>823</v>
      </c>
      <c r="G885" s="11" t="s">
        <v>3102</v>
      </c>
      <c r="H885" s="10" t="s">
        <v>809</v>
      </c>
    </row>
    <row r="886" spans="1:8" x14ac:dyDescent="0.25">
      <c r="A886" s="11" t="s">
        <v>1357</v>
      </c>
      <c r="B886" s="10" t="s">
        <v>1086</v>
      </c>
      <c r="C886" s="10" t="s">
        <v>1087</v>
      </c>
      <c r="D886" s="10" t="str">
        <f>VLOOKUP(C886,Region!A:B,2,FALSE)</f>
        <v>Hyderabad</v>
      </c>
      <c r="E886" s="10" t="s">
        <v>806</v>
      </c>
      <c r="F886" s="11" t="s">
        <v>823</v>
      </c>
      <c r="G886" s="11" t="s">
        <v>1358</v>
      </c>
      <c r="H886" s="10" t="s">
        <v>809</v>
      </c>
    </row>
    <row r="887" spans="1:8" x14ac:dyDescent="0.25">
      <c r="A887" s="11" t="s">
        <v>2940</v>
      </c>
      <c r="B887" s="10" t="s">
        <v>804</v>
      </c>
      <c r="C887" s="10" t="s">
        <v>2752</v>
      </c>
      <c r="D887" s="10" t="str">
        <f>VLOOKUP(C887,Region!A:B,2,FALSE)</f>
        <v>Noida</v>
      </c>
      <c r="E887" s="10" t="s">
        <v>806</v>
      </c>
      <c r="F887" s="11" t="s">
        <v>811</v>
      </c>
      <c r="G887" s="11" t="s">
        <v>2941</v>
      </c>
      <c r="H887" s="10" t="s">
        <v>809</v>
      </c>
    </row>
    <row r="888" spans="1:8" x14ac:dyDescent="0.25">
      <c r="A888" s="11" t="s">
        <v>1383</v>
      </c>
      <c r="B888" s="10" t="s">
        <v>1086</v>
      </c>
      <c r="C888" s="10" t="s">
        <v>1087</v>
      </c>
      <c r="D888" s="10" t="str">
        <f>VLOOKUP(C888,Region!A:B,2,FALSE)</f>
        <v>Hyderabad</v>
      </c>
      <c r="E888" s="10" t="s">
        <v>806</v>
      </c>
      <c r="F888" s="11" t="s">
        <v>811</v>
      </c>
      <c r="G888" s="11" t="s">
        <v>1384</v>
      </c>
      <c r="H888" s="10" t="s">
        <v>809</v>
      </c>
    </row>
    <row r="889" spans="1:8" x14ac:dyDescent="0.25">
      <c r="A889" s="11" t="s">
        <v>1929</v>
      </c>
      <c r="B889" s="10" t="s">
        <v>804</v>
      </c>
      <c r="C889" s="10" t="s">
        <v>1635</v>
      </c>
      <c r="D889" s="10" t="str">
        <f>VLOOKUP(C889,Region!A:B,2,FALSE)</f>
        <v>MBC US</v>
      </c>
      <c r="E889" s="10" t="s">
        <v>806</v>
      </c>
      <c r="F889" s="11" t="s">
        <v>807</v>
      </c>
      <c r="G889" s="11" t="s">
        <v>1930</v>
      </c>
      <c r="H889" s="10" t="s">
        <v>809</v>
      </c>
    </row>
    <row r="890" spans="1:8" x14ac:dyDescent="0.25">
      <c r="A890" s="11" t="s">
        <v>1399</v>
      </c>
      <c r="B890" s="10" t="s">
        <v>1086</v>
      </c>
      <c r="C890" s="10" t="s">
        <v>1087</v>
      </c>
      <c r="D890" s="10" t="str">
        <f>VLOOKUP(C890,Region!A:B,2,FALSE)</f>
        <v>Hyderabad</v>
      </c>
      <c r="E890" s="10" t="s">
        <v>806</v>
      </c>
      <c r="F890" s="11" t="s">
        <v>811</v>
      </c>
      <c r="G890" s="11" t="s">
        <v>1400</v>
      </c>
      <c r="H890" s="10" t="s">
        <v>812</v>
      </c>
    </row>
    <row r="891" spans="1:8" x14ac:dyDescent="0.25">
      <c r="A891" s="11" t="s">
        <v>2128</v>
      </c>
      <c r="B891" s="10" t="s">
        <v>804</v>
      </c>
      <c r="C891" s="10" t="s">
        <v>2041</v>
      </c>
      <c r="D891" s="10" t="str">
        <f>VLOOKUP(C891,Region!A:B,2,FALSE)</f>
        <v>Hyderabad</v>
      </c>
      <c r="E891" s="10" t="s">
        <v>1427</v>
      </c>
      <c r="F891" s="11" t="s">
        <v>814</v>
      </c>
      <c r="G891" s="11" t="s">
        <v>2129</v>
      </c>
      <c r="H891" s="10" t="s">
        <v>809</v>
      </c>
    </row>
    <row r="892" spans="1:8" x14ac:dyDescent="0.25">
      <c r="A892" s="11" t="s">
        <v>1587</v>
      </c>
      <c r="B892" s="10" t="s">
        <v>804</v>
      </c>
      <c r="C892" s="10" t="s">
        <v>1426</v>
      </c>
      <c r="D892" s="10" t="str">
        <f>VLOOKUP(C892,Region!A:B,2,FALSE)</f>
        <v>Spain</v>
      </c>
      <c r="E892" s="10" t="s">
        <v>1427</v>
      </c>
      <c r="F892" s="11" t="s">
        <v>823</v>
      </c>
      <c r="G892" s="11" t="s">
        <v>476</v>
      </c>
      <c r="H892" s="10" t="s">
        <v>812</v>
      </c>
    </row>
    <row r="893" spans="1:8" x14ac:dyDescent="0.25">
      <c r="A893" s="11" t="s">
        <v>2790</v>
      </c>
      <c r="B893" s="10" t="s">
        <v>804</v>
      </c>
      <c r="C893" s="10" t="s">
        <v>2752</v>
      </c>
      <c r="D893" s="10" t="str">
        <f>VLOOKUP(C893,Region!A:B,2,FALSE)</f>
        <v>Noida</v>
      </c>
      <c r="E893" s="10" t="s">
        <v>806</v>
      </c>
      <c r="F893" s="11" t="s">
        <v>823</v>
      </c>
      <c r="G893" s="11" t="s">
        <v>2791</v>
      </c>
      <c r="H893" s="10" t="s">
        <v>812</v>
      </c>
    </row>
    <row r="894" spans="1:8" x14ac:dyDescent="0.25">
      <c r="A894" s="11" t="s">
        <v>1395</v>
      </c>
      <c r="B894" s="10" t="s">
        <v>1086</v>
      </c>
      <c r="C894" s="10" t="s">
        <v>1087</v>
      </c>
      <c r="D894" s="10" t="str">
        <f>VLOOKUP(C894,Region!A:B,2,FALSE)</f>
        <v>Hyderabad</v>
      </c>
      <c r="E894" s="10" t="s">
        <v>806</v>
      </c>
      <c r="F894" s="11" t="s">
        <v>807</v>
      </c>
      <c r="G894" s="11" t="s">
        <v>1396</v>
      </c>
      <c r="H894" s="10" t="s">
        <v>809</v>
      </c>
    </row>
    <row r="895" spans="1:8" x14ac:dyDescent="0.25">
      <c r="A895" s="11" t="s">
        <v>1046</v>
      </c>
      <c r="B895" s="10" t="s">
        <v>804</v>
      </c>
      <c r="C895" s="10" t="s">
        <v>805</v>
      </c>
      <c r="D895" s="10" t="str">
        <f>VLOOKUP(C895,Region!A:B,2,FALSE)</f>
        <v>Noida</v>
      </c>
      <c r="E895" s="10" t="s">
        <v>806</v>
      </c>
      <c r="F895" s="11" t="s">
        <v>811</v>
      </c>
      <c r="G895" s="11" t="s">
        <v>1047</v>
      </c>
      <c r="H895" s="10" t="s">
        <v>809</v>
      </c>
    </row>
    <row r="896" spans="1:8" x14ac:dyDescent="0.25">
      <c r="A896" s="11" t="s">
        <v>2656</v>
      </c>
      <c r="B896" s="10" t="s">
        <v>804</v>
      </c>
      <c r="C896" s="10" t="s">
        <v>2518</v>
      </c>
      <c r="D896" s="10" t="str">
        <f>VLOOKUP(C896,Region!A:B,2,FALSE)</f>
        <v>Noida</v>
      </c>
      <c r="E896" s="10" t="s">
        <v>1427</v>
      </c>
      <c r="F896" s="11" t="s">
        <v>823</v>
      </c>
      <c r="G896" s="11" t="s">
        <v>2657</v>
      </c>
      <c r="H896" s="10" t="s">
        <v>812</v>
      </c>
    </row>
    <row r="897" spans="1:8" x14ac:dyDescent="0.25">
      <c r="A897" s="11" t="s">
        <v>1922</v>
      </c>
      <c r="B897" s="10" t="s">
        <v>804</v>
      </c>
      <c r="C897" s="10" t="s">
        <v>1635</v>
      </c>
      <c r="D897" s="10" t="str">
        <f>VLOOKUP(C897,Region!A:B,2,FALSE)</f>
        <v>MBC US</v>
      </c>
      <c r="E897" s="10" t="s">
        <v>806</v>
      </c>
      <c r="F897" s="11" t="s">
        <v>811</v>
      </c>
      <c r="G897" s="11" t="s">
        <v>1923</v>
      </c>
      <c r="H897" s="10" t="s">
        <v>809</v>
      </c>
    </row>
    <row r="898" spans="1:8" x14ac:dyDescent="0.25">
      <c r="A898" s="11" t="s">
        <v>2952</v>
      </c>
      <c r="B898" s="10" t="s">
        <v>804</v>
      </c>
      <c r="C898" s="10" t="s">
        <v>2752</v>
      </c>
      <c r="D898" s="10" t="str">
        <f>VLOOKUP(C898,Region!A:B,2,FALSE)</f>
        <v>Noida</v>
      </c>
      <c r="E898" s="10" t="s">
        <v>806</v>
      </c>
      <c r="F898" s="11" t="s">
        <v>834</v>
      </c>
      <c r="G898" s="11" t="s">
        <v>346</v>
      </c>
      <c r="H898" s="10" t="s">
        <v>812</v>
      </c>
    </row>
    <row r="899" spans="1:8" x14ac:dyDescent="0.25">
      <c r="A899" s="11" t="s">
        <v>1928</v>
      </c>
      <c r="B899" s="10" t="s">
        <v>804</v>
      </c>
      <c r="C899" s="10" t="s">
        <v>1635</v>
      </c>
      <c r="D899" s="10" t="str">
        <f>VLOOKUP(C899,Region!A:B,2,FALSE)</f>
        <v>MBC US</v>
      </c>
      <c r="E899" s="10" t="s">
        <v>806</v>
      </c>
      <c r="F899" s="11" t="s">
        <v>814</v>
      </c>
      <c r="G899" s="11" t="s">
        <v>763</v>
      </c>
      <c r="H899" s="10" t="s">
        <v>812</v>
      </c>
    </row>
    <row r="900" spans="1:8" x14ac:dyDescent="0.25">
      <c r="A900" s="11" t="s">
        <v>1295</v>
      </c>
      <c r="B900" s="10" t="s">
        <v>1086</v>
      </c>
      <c r="C900" s="10" t="s">
        <v>1087</v>
      </c>
      <c r="D900" s="10" t="str">
        <f>VLOOKUP(C900,Region!A:B,2,FALSE)</f>
        <v>Hyderabad</v>
      </c>
      <c r="E900" s="10" t="s">
        <v>806</v>
      </c>
      <c r="F900" s="11" t="s">
        <v>811</v>
      </c>
      <c r="G900" s="11" t="s">
        <v>1296</v>
      </c>
      <c r="H900" s="10" t="s">
        <v>809</v>
      </c>
    </row>
    <row r="901" spans="1:8" x14ac:dyDescent="0.25">
      <c r="A901" s="11" t="s">
        <v>2964</v>
      </c>
      <c r="B901" s="10" t="s">
        <v>804</v>
      </c>
      <c r="C901" s="10" t="s">
        <v>2752</v>
      </c>
      <c r="D901" s="10" t="str">
        <f>VLOOKUP(C901,Region!A:B,2,FALSE)</f>
        <v>Noida</v>
      </c>
      <c r="E901" s="10" t="s">
        <v>806</v>
      </c>
      <c r="F901" s="11" t="s">
        <v>807</v>
      </c>
      <c r="G901" s="11" t="s">
        <v>2965</v>
      </c>
      <c r="H901" s="10" t="s">
        <v>812</v>
      </c>
    </row>
    <row r="902" spans="1:8" x14ac:dyDescent="0.25">
      <c r="A902" s="11" t="s">
        <v>1006</v>
      </c>
      <c r="B902" s="10" t="s">
        <v>804</v>
      </c>
      <c r="C902" s="10" t="s">
        <v>805</v>
      </c>
      <c r="D902" s="10" t="str">
        <f>VLOOKUP(C902,Region!A:B,2,FALSE)</f>
        <v>Noida</v>
      </c>
      <c r="E902" s="10" t="s">
        <v>806</v>
      </c>
      <c r="F902" s="11" t="s">
        <v>807</v>
      </c>
      <c r="G902" s="11" t="s">
        <v>1007</v>
      </c>
      <c r="H902" s="10" t="s">
        <v>809</v>
      </c>
    </row>
    <row r="903" spans="1:8" x14ac:dyDescent="0.25">
      <c r="A903" s="11" t="s">
        <v>1452</v>
      </c>
      <c r="B903" s="10" t="s">
        <v>1086</v>
      </c>
      <c r="C903" s="10" t="s">
        <v>1426</v>
      </c>
      <c r="D903" s="10" t="str">
        <f>VLOOKUP(C903,Region!A:B,2,FALSE)</f>
        <v>Spain</v>
      </c>
      <c r="E903" s="10" t="s">
        <v>1427</v>
      </c>
      <c r="F903" s="11" t="s">
        <v>823</v>
      </c>
      <c r="G903" s="11" t="s">
        <v>1453</v>
      </c>
      <c r="H903" s="10" t="s">
        <v>809</v>
      </c>
    </row>
    <row r="904" spans="1:8" x14ac:dyDescent="0.25">
      <c r="A904" s="11" t="s">
        <v>1586</v>
      </c>
      <c r="B904" s="10" t="s">
        <v>804</v>
      </c>
      <c r="C904" s="10" t="s">
        <v>1426</v>
      </c>
      <c r="D904" s="10" t="str">
        <f>VLOOKUP(C904,Region!A:B,2,FALSE)</f>
        <v>Spain</v>
      </c>
      <c r="E904" s="10" t="s">
        <v>1427</v>
      </c>
      <c r="F904" s="11" t="s">
        <v>814</v>
      </c>
      <c r="G904" s="11" t="s">
        <v>183</v>
      </c>
      <c r="H904" s="10" t="s">
        <v>812</v>
      </c>
    </row>
    <row r="905" spans="1:8" x14ac:dyDescent="0.25">
      <c r="A905" s="11" t="s">
        <v>2732</v>
      </c>
      <c r="B905" s="10" t="s">
        <v>804</v>
      </c>
      <c r="C905" s="10" t="s">
        <v>2518</v>
      </c>
      <c r="D905" s="10" t="str">
        <f>VLOOKUP(C905,Region!A:B,2,FALSE)</f>
        <v>Noida</v>
      </c>
      <c r="E905" s="10" t="s">
        <v>1427</v>
      </c>
      <c r="F905" s="11" t="s">
        <v>823</v>
      </c>
      <c r="G905" s="11" t="s">
        <v>2733</v>
      </c>
      <c r="H905" s="10" t="s">
        <v>812</v>
      </c>
    </row>
    <row r="906" spans="1:8" x14ac:dyDescent="0.25">
      <c r="A906" s="11" t="s">
        <v>3226</v>
      </c>
      <c r="B906" s="10" t="s">
        <v>1086</v>
      </c>
      <c r="C906" s="10" t="s">
        <v>2987</v>
      </c>
      <c r="D906" s="10" t="str">
        <f>VLOOKUP(C906,Region!A:B,2,FALSE)</f>
        <v>Noida</v>
      </c>
      <c r="E906" s="10" t="s">
        <v>1427</v>
      </c>
      <c r="F906" s="11" t="s">
        <v>823</v>
      </c>
      <c r="G906" s="11" t="s">
        <v>3227</v>
      </c>
      <c r="H906" s="10" t="s">
        <v>809</v>
      </c>
    </row>
    <row r="907" spans="1:8" x14ac:dyDescent="0.25">
      <c r="A907" s="11" t="s">
        <v>3136</v>
      </c>
      <c r="B907" s="10" t="s">
        <v>1086</v>
      </c>
      <c r="C907" s="10" t="s">
        <v>2987</v>
      </c>
      <c r="D907" s="10" t="str">
        <f>VLOOKUP(C907,Region!A:B,2,FALSE)</f>
        <v>Noida</v>
      </c>
      <c r="E907" s="10" t="s">
        <v>1427</v>
      </c>
      <c r="F907" s="11" t="s">
        <v>823</v>
      </c>
      <c r="G907" s="11" t="s">
        <v>3137</v>
      </c>
      <c r="H907" s="10" t="s">
        <v>809</v>
      </c>
    </row>
    <row r="908" spans="1:8" x14ac:dyDescent="0.25">
      <c r="A908" s="11" t="s">
        <v>1216</v>
      </c>
      <c r="B908" s="10" t="s">
        <v>1086</v>
      </c>
      <c r="C908" s="10" t="s">
        <v>1087</v>
      </c>
      <c r="D908" s="10" t="str">
        <f>VLOOKUP(C908,Region!A:B,2,FALSE)</f>
        <v>Hyderabad</v>
      </c>
      <c r="E908" s="10" t="s">
        <v>806</v>
      </c>
      <c r="F908" s="11" t="s">
        <v>814</v>
      </c>
      <c r="G908" s="11" t="s">
        <v>615</v>
      </c>
      <c r="H908" s="10" t="s">
        <v>812</v>
      </c>
    </row>
    <row r="909" spans="1:8" x14ac:dyDescent="0.25">
      <c r="A909" s="11" t="s">
        <v>958</v>
      </c>
      <c r="B909" s="10" t="s">
        <v>804</v>
      </c>
      <c r="C909" s="10" t="s">
        <v>805</v>
      </c>
      <c r="D909" s="10" t="str">
        <f>VLOOKUP(C909,Region!A:B,2,FALSE)</f>
        <v>Noida</v>
      </c>
      <c r="E909" s="10" t="s">
        <v>806</v>
      </c>
      <c r="F909" s="11" t="s">
        <v>823</v>
      </c>
      <c r="G909" s="11" t="s">
        <v>959</v>
      </c>
      <c r="H909" s="10" t="s">
        <v>809</v>
      </c>
    </row>
    <row r="910" spans="1:8" x14ac:dyDescent="0.25">
      <c r="A910" s="11" t="s">
        <v>2378</v>
      </c>
      <c r="B910" s="10" t="s">
        <v>804</v>
      </c>
      <c r="C910" s="10" t="s">
        <v>2041</v>
      </c>
      <c r="D910" s="10" t="str">
        <f>VLOOKUP(C910,Region!A:B,2,FALSE)</f>
        <v>Hyderabad</v>
      </c>
      <c r="E910" s="10" t="s">
        <v>1427</v>
      </c>
      <c r="F910" s="11" t="s">
        <v>814</v>
      </c>
      <c r="G910" s="11" t="s">
        <v>2379</v>
      </c>
      <c r="H910" s="10" t="s">
        <v>809</v>
      </c>
    </row>
    <row r="911" spans="1:8" x14ac:dyDescent="0.25">
      <c r="A911" s="11" t="s">
        <v>2208</v>
      </c>
      <c r="B911" s="10" t="s">
        <v>804</v>
      </c>
      <c r="C911" s="10" t="s">
        <v>2041</v>
      </c>
      <c r="D911" s="10" t="str">
        <f>VLOOKUP(C911,Region!A:B,2,FALSE)</f>
        <v>Hyderabad</v>
      </c>
      <c r="E911" s="10" t="s">
        <v>1427</v>
      </c>
      <c r="F911" s="11" t="s">
        <v>811</v>
      </c>
      <c r="G911" s="11" t="s">
        <v>2209</v>
      </c>
      <c r="H911" s="10" t="s">
        <v>809</v>
      </c>
    </row>
    <row r="912" spans="1:8" x14ac:dyDescent="0.25">
      <c r="A912" s="11" t="s">
        <v>1208</v>
      </c>
      <c r="B912" s="10" t="s">
        <v>1086</v>
      </c>
      <c r="C912" s="10" t="s">
        <v>1087</v>
      </c>
      <c r="D912" s="10" t="str">
        <f>VLOOKUP(C912,Region!A:B,2,FALSE)</f>
        <v>Hyderabad</v>
      </c>
      <c r="E912" s="10" t="s">
        <v>806</v>
      </c>
      <c r="F912" s="11" t="s">
        <v>814</v>
      </c>
      <c r="G912" s="11" t="s">
        <v>1209</v>
      </c>
      <c r="H912" s="10" t="s">
        <v>809</v>
      </c>
    </row>
    <row r="913" spans="1:8" x14ac:dyDescent="0.25">
      <c r="A913" s="11" t="s">
        <v>994</v>
      </c>
      <c r="B913" s="10" t="s">
        <v>804</v>
      </c>
      <c r="C913" s="10" t="s">
        <v>805</v>
      </c>
      <c r="D913" s="10" t="str">
        <f>VLOOKUP(C913,Region!A:B,2,FALSE)</f>
        <v>Noida</v>
      </c>
      <c r="E913" s="10" t="s">
        <v>806</v>
      </c>
      <c r="F913" s="11" t="s">
        <v>823</v>
      </c>
      <c r="G913" s="11" t="s">
        <v>995</v>
      </c>
      <c r="H913" s="10" t="s">
        <v>812</v>
      </c>
    </row>
    <row r="914" spans="1:8" x14ac:dyDescent="0.25">
      <c r="A914" s="11" t="s">
        <v>2996</v>
      </c>
      <c r="B914" s="10" t="s">
        <v>1086</v>
      </c>
      <c r="C914" s="10" t="s">
        <v>2987</v>
      </c>
      <c r="D914" s="10" t="str">
        <f>VLOOKUP(C914,Region!A:B,2,FALSE)</f>
        <v>Noida</v>
      </c>
      <c r="E914" s="10" t="s">
        <v>1427</v>
      </c>
      <c r="F914" s="11" t="s">
        <v>823</v>
      </c>
      <c r="G914" s="11" t="s">
        <v>2997</v>
      </c>
      <c r="H914" s="10" t="s">
        <v>809</v>
      </c>
    </row>
    <row r="915" spans="1:8" x14ac:dyDescent="0.25">
      <c r="A915" s="11" t="s">
        <v>3373</v>
      </c>
      <c r="B915" s="10" t="s">
        <v>1086</v>
      </c>
      <c r="C915" s="10" t="s">
        <v>3273</v>
      </c>
      <c r="D915" s="10" t="str">
        <f>VLOOKUP(C915,Region!A:B,2,FALSE)</f>
        <v>Noida</v>
      </c>
      <c r="E915" s="10" t="s">
        <v>806</v>
      </c>
      <c r="F915" s="11" t="s">
        <v>823</v>
      </c>
      <c r="G915" s="11" t="s">
        <v>3374</v>
      </c>
      <c r="H915" s="10" t="s">
        <v>809</v>
      </c>
    </row>
    <row r="916" spans="1:8" x14ac:dyDescent="0.25">
      <c r="A916" s="11" t="s">
        <v>2070</v>
      </c>
      <c r="B916" s="10" t="s">
        <v>804</v>
      </c>
      <c r="C916" s="10" t="s">
        <v>2041</v>
      </c>
      <c r="D916" s="10" t="str">
        <f>VLOOKUP(C916,Region!A:B,2,FALSE)</f>
        <v>Hyderabad</v>
      </c>
      <c r="E916" s="10" t="s">
        <v>1427</v>
      </c>
      <c r="F916" s="11" t="s">
        <v>823</v>
      </c>
      <c r="G916" s="11" t="s">
        <v>2071</v>
      </c>
      <c r="H916" s="10" t="s">
        <v>809</v>
      </c>
    </row>
    <row r="917" spans="1:8" x14ac:dyDescent="0.25">
      <c r="A917" s="11" t="s">
        <v>3256</v>
      </c>
      <c r="B917" s="10" t="s">
        <v>1086</v>
      </c>
      <c r="C917" s="10" t="s">
        <v>2987</v>
      </c>
      <c r="D917" s="10" t="str">
        <f>VLOOKUP(C917,Region!A:B,2,FALSE)</f>
        <v>Noida</v>
      </c>
      <c r="E917" s="10" t="s">
        <v>1427</v>
      </c>
      <c r="F917" s="11" t="s">
        <v>811</v>
      </c>
      <c r="G917" s="11" t="s">
        <v>3257</v>
      </c>
      <c r="H917" s="10" t="s">
        <v>812</v>
      </c>
    </row>
    <row r="918" spans="1:8" x14ac:dyDescent="0.25">
      <c r="A918" s="11" t="s">
        <v>2210</v>
      </c>
      <c r="B918" s="10" t="s">
        <v>804</v>
      </c>
      <c r="C918" s="10" t="s">
        <v>2041</v>
      </c>
      <c r="D918" s="10" t="str">
        <f>VLOOKUP(C918,Region!A:B,2,FALSE)</f>
        <v>Hyderabad</v>
      </c>
      <c r="E918" s="10" t="s">
        <v>1427</v>
      </c>
      <c r="F918" s="11" t="s">
        <v>811</v>
      </c>
      <c r="G918" s="11" t="s">
        <v>2211</v>
      </c>
      <c r="H918" s="10" t="s">
        <v>809</v>
      </c>
    </row>
    <row r="919" spans="1:8" x14ac:dyDescent="0.25">
      <c r="A919" s="11" t="s">
        <v>1371</v>
      </c>
      <c r="B919" s="10" t="s">
        <v>1086</v>
      </c>
      <c r="C919" s="10" t="s">
        <v>1087</v>
      </c>
      <c r="D919" s="10" t="str">
        <f>VLOOKUP(C919,Region!A:B,2,FALSE)</f>
        <v>Hyderabad</v>
      </c>
      <c r="E919" s="10" t="s">
        <v>806</v>
      </c>
      <c r="F919" s="11" t="s">
        <v>807</v>
      </c>
      <c r="G919" s="11" t="s">
        <v>1372</v>
      </c>
      <c r="H919" s="10" t="s">
        <v>812</v>
      </c>
    </row>
    <row r="920" spans="1:8" x14ac:dyDescent="0.25">
      <c r="A920" s="11" t="s">
        <v>3109</v>
      </c>
      <c r="B920" s="10" t="s">
        <v>1086</v>
      </c>
      <c r="C920" s="10" t="s">
        <v>2987</v>
      </c>
      <c r="D920" s="10" t="str">
        <f>VLOOKUP(C920,Region!A:B,2,FALSE)</f>
        <v>Noida</v>
      </c>
      <c r="E920" s="10" t="s">
        <v>1427</v>
      </c>
      <c r="F920" s="11" t="s">
        <v>811</v>
      </c>
      <c r="G920" s="11" t="s">
        <v>3110</v>
      </c>
      <c r="H920" s="10" t="s">
        <v>809</v>
      </c>
    </row>
    <row r="921" spans="1:8" x14ac:dyDescent="0.25">
      <c r="A921" s="11" t="s">
        <v>2512</v>
      </c>
      <c r="B921" s="10" t="s">
        <v>804</v>
      </c>
      <c r="C921" s="10" t="s">
        <v>2041</v>
      </c>
      <c r="D921" s="10" t="str">
        <f>VLOOKUP(C921,Region!A:B,2,FALSE)</f>
        <v>Hyderabad</v>
      </c>
      <c r="E921" s="10" t="s">
        <v>1427</v>
      </c>
      <c r="F921" s="11" t="s">
        <v>814</v>
      </c>
      <c r="G921" s="11" t="s">
        <v>2513</v>
      </c>
      <c r="H921" s="10" t="s">
        <v>812</v>
      </c>
    </row>
    <row r="922" spans="1:8" x14ac:dyDescent="0.25">
      <c r="A922" s="11" t="s">
        <v>2380</v>
      </c>
      <c r="B922" s="10" t="s">
        <v>804</v>
      </c>
      <c r="C922" s="10" t="s">
        <v>2041</v>
      </c>
      <c r="D922" s="10" t="str">
        <f>VLOOKUP(C922,Region!A:B,2,FALSE)</f>
        <v>Hyderabad</v>
      </c>
      <c r="E922" s="10" t="s">
        <v>1427</v>
      </c>
      <c r="F922" s="11" t="s">
        <v>814</v>
      </c>
      <c r="G922" s="11" t="s">
        <v>2381</v>
      </c>
      <c r="H922" s="10" t="s">
        <v>812</v>
      </c>
    </row>
    <row r="923" spans="1:8" x14ac:dyDescent="0.25">
      <c r="A923" s="11" t="s">
        <v>2072</v>
      </c>
      <c r="B923" s="10" t="s">
        <v>804</v>
      </c>
      <c r="C923" s="10" t="s">
        <v>2041</v>
      </c>
      <c r="D923" s="10" t="str">
        <f>VLOOKUP(C923,Region!A:B,2,FALSE)</f>
        <v>Hyderabad</v>
      </c>
      <c r="E923" s="10" t="s">
        <v>1427</v>
      </c>
      <c r="F923" s="11" t="s">
        <v>823</v>
      </c>
      <c r="G923" s="11" t="s">
        <v>175</v>
      </c>
      <c r="H923" s="10" t="s">
        <v>812</v>
      </c>
    </row>
    <row r="924" spans="1:8" x14ac:dyDescent="0.25">
      <c r="A924" s="11" t="s">
        <v>2300</v>
      </c>
      <c r="B924" s="10" t="s">
        <v>804</v>
      </c>
      <c r="C924" s="10" t="s">
        <v>2041</v>
      </c>
      <c r="D924" s="10" t="str">
        <f>VLOOKUP(C924,Region!A:B,2,FALSE)</f>
        <v>Hyderabad</v>
      </c>
      <c r="E924" s="10" t="s">
        <v>1427</v>
      </c>
      <c r="F924" s="11" t="s">
        <v>807</v>
      </c>
      <c r="G924" s="11" t="s">
        <v>2301</v>
      </c>
      <c r="H924" s="10" t="s">
        <v>809</v>
      </c>
    </row>
    <row r="925" spans="1:8" x14ac:dyDescent="0.25">
      <c r="A925" s="11" t="s">
        <v>3145</v>
      </c>
      <c r="B925" s="10" t="s">
        <v>1086</v>
      </c>
      <c r="C925" s="10" t="s">
        <v>2987</v>
      </c>
      <c r="D925" s="10" t="str">
        <f>VLOOKUP(C925,Region!A:B,2,FALSE)</f>
        <v>Noida</v>
      </c>
      <c r="E925" s="10" t="s">
        <v>1427</v>
      </c>
      <c r="F925" s="11" t="s">
        <v>814</v>
      </c>
      <c r="G925" s="11" t="s">
        <v>3146</v>
      </c>
      <c r="H925" s="10" t="s">
        <v>809</v>
      </c>
    </row>
    <row r="926" spans="1:8" x14ac:dyDescent="0.25">
      <c r="A926" s="11" t="s">
        <v>2382</v>
      </c>
      <c r="B926" s="10" t="s">
        <v>804</v>
      </c>
      <c r="C926" s="10" t="s">
        <v>2041</v>
      </c>
      <c r="D926" s="10" t="str">
        <f>VLOOKUP(C926,Region!A:B,2,FALSE)</f>
        <v>Hyderabad</v>
      </c>
      <c r="E926" s="10" t="s">
        <v>1427</v>
      </c>
      <c r="F926" s="11" t="s">
        <v>814</v>
      </c>
      <c r="G926" s="11" t="s">
        <v>2383</v>
      </c>
      <c r="H926" s="10" t="s">
        <v>809</v>
      </c>
    </row>
    <row r="927" spans="1:8" x14ac:dyDescent="0.25">
      <c r="A927" s="11" t="s">
        <v>2579</v>
      </c>
      <c r="B927" s="10" t="s">
        <v>804</v>
      </c>
      <c r="C927" s="10" t="s">
        <v>2518</v>
      </c>
      <c r="D927" s="10" t="str">
        <f>VLOOKUP(C927,Region!A:B,2,FALSE)</f>
        <v>Noida</v>
      </c>
      <c r="E927" s="10" t="s">
        <v>1427</v>
      </c>
      <c r="F927" s="11" t="s">
        <v>811</v>
      </c>
      <c r="G927" s="11" t="s">
        <v>2580</v>
      </c>
      <c r="H927" s="10" t="s">
        <v>812</v>
      </c>
    </row>
    <row r="928" spans="1:8" x14ac:dyDescent="0.25">
      <c r="A928" s="11" t="s">
        <v>3125</v>
      </c>
      <c r="B928" s="10" t="s">
        <v>1086</v>
      </c>
      <c r="C928" s="10" t="s">
        <v>2987</v>
      </c>
      <c r="D928" s="10" t="str">
        <f>VLOOKUP(C928,Region!A:B,2,FALSE)</f>
        <v>Noida</v>
      </c>
      <c r="E928" s="10" t="s">
        <v>1427</v>
      </c>
      <c r="F928" s="11" t="s">
        <v>823</v>
      </c>
      <c r="G928" s="11" t="s">
        <v>3126</v>
      </c>
      <c r="H928" s="10" t="s">
        <v>809</v>
      </c>
    </row>
    <row r="929" spans="1:8" x14ac:dyDescent="0.25">
      <c r="A929" s="11" t="s">
        <v>848</v>
      </c>
      <c r="B929" s="10" t="s">
        <v>804</v>
      </c>
      <c r="C929" s="10" t="s">
        <v>805</v>
      </c>
      <c r="D929" s="10" t="str">
        <f>VLOOKUP(C929,Region!A:B,2,FALSE)</f>
        <v>Noida</v>
      </c>
      <c r="E929" s="10" t="s">
        <v>806</v>
      </c>
      <c r="F929" s="11" t="s">
        <v>823</v>
      </c>
      <c r="G929" s="11" t="s">
        <v>849</v>
      </c>
      <c r="H929" s="10" t="s">
        <v>809</v>
      </c>
    </row>
    <row r="930" spans="1:8" x14ac:dyDescent="0.25">
      <c r="A930" s="11" t="s">
        <v>1085</v>
      </c>
      <c r="B930" s="10" t="s">
        <v>1086</v>
      </c>
      <c r="C930" s="10" t="s">
        <v>1087</v>
      </c>
      <c r="D930" s="10" t="str">
        <f>VLOOKUP(C930,Region!A:B,2,FALSE)</f>
        <v>Hyderabad</v>
      </c>
      <c r="E930" s="10" t="s">
        <v>806</v>
      </c>
      <c r="F930" s="11" t="s">
        <v>823</v>
      </c>
      <c r="G930" s="11" t="s">
        <v>687</v>
      </c>
      <c r="H930" s="10" t="s">
        <v>812</v>
      </c>
    </row>
    <row r="931" spans="1:8" x14ac:dyDescent="0.25">
      <c r="A931" s="11" t="s">
        <v>2534</v>
      </c>
      <c r="B931" s="10" t="s">
        <v>804</v>
      </c>
      <c r="C931" s="10" t="s">
        <v>2518</v>
      </c>
      <c r="D931" s="10" t="str">
        <f>VLOOKUP(C931,Region!A:B,2,FALSE)</f>
        <v>Noida</v>
      </c>
      <c r="E931" s="10" t="s">
        <v>1427</v>
      </c>
      <c r="F931" s="11" t="s">
        <v>823</v>
      </c>
      <c r="G931" s="11" t="s">
        <v>657</v>
      </c>
      <c r="H931" s="10" t="s">
        <v>812</v>
      </c>
    </row>
    <row r="932" spans="1:8" x14ac:dyDescent="0.25">
      <c r="A932" s="11" t="s">
        <v>2747</v>
      </c>
      <c r="B932" s="10" t="s">
        <v>804</v>
      </c>
      <c r="C932" s="10" t="s">
        <v>2518</v>
      </c>
      <c r="D932" s="10" t="str">
        <f>VLOOKUP(C932,Region!A:B,2,FALSE)</f>
        <v>Noida</v>
      </c>
      <c r="E932" s="10" t="s">
        <v>1427</v>
      </c>
      <c r="F932" s="11" t="s">
        <v>811</v>
      </c>
      <c r="G932" s="11" t="s">
        <v>2748</v>
      </c>
      <c r="H932" s="10" t="s">
        <v>812</v>
      </c>
    </row>
    <row r="933" spans="1:8" x14ac:dyDescent="0.25">
      <c r="A933" s="11" t="s">
        <v>2212</v>
      </c>
      <c r="B933" s="10" t="s">
        <v>804</v>
      </c>
      <c r="C933" s="10" t="s">
        <v>2041</v>
      </c>
      <c r="D933" s="10" t="str">
        <f>VLOOKUP(C933,Region!A:B,2,FALSE)</f>
        <v>Hyderabad</v>
      </c>
      <c r="E933" s="10" t="s">
        <v>1427</v>
      </c>
      <c r="F933" s="11" t="s">
        <v>811</v>
      </c>
      <c r="G933" s="11" t="s">
        <v>120</v>
      </c>
      <c r="H933" s="10" t="s">
        <v>812</v>
      </c>
    </row>
    <row r="934" spans="1:8" x14ac:dyDescent="0.25">
      <c r="A934" s="11" t="s">
        <v>1931</v>
      </c>
      <c r="B934" s="10" t="s">
        <v>1086</v>
      </c>
      <c r="C934" s="10" t="s">
        <v>1635</v>
      </c>
      <c r="D934" s="10" t="str">
        <f>VLOOKUP(C934,Region!A:B,2,FALSE)</f>
        <v>MBC US</v>
      </c>
      <c r="E934" s="10" t="s">
        <v>806</v>
      </c>
      <c r="F934" s="11" t="s">
        <v>823</v>
      </c>
      <c r="G934" s="11" t="s">
        <v>1932</v>
      </c>
      <c r="H934" s="10" t="s">
        <v>809</v>
      </c>
    </row>
    <row r="935" spans="1:8" x14ac:dyDescent="0.25">
      <c r="A935" s="11" t="s">
        <v>2838</v>
      </c>
      <c r="B935" s="10" t="s">
        <v>804</v>
      </c>
      <c r="C935" s="10" t="s">
        <v>2752</v>
      </c>
      <c r="D935" s="10" t="str">
        <f>VLOOKUP(C935,Region!A:B,2,FALSE)</f>
        <v>Noida</v>
      </c>
      <c r="E935" s="10" t="s">
        <v>806</v>
      </c>
      <c r="F935" s="11" t="s">
        <v>811</v>
      </c>
      <c r="G935" s="11" t="s">
        <v>2839</v>
      </c>
      <c r="H935" s="10" t="s">
        <v>812</v>
      </c>
    </row>
    <row r="936" spans="1:8" x14ac:dyDescent="0.25">
      <c r="A936" s="11" t="s">
        <v>1935</v>
      </c>
      <c r="B936" s="10" t="s">
        <v>804</v>
      </c>
      <c r="C936" s="10" t="s">
        <v>1635</v>
      </c>
      <c r="D936" s="10" t="str">
        <f>VLOOKUP(C936,Region!A:B,2,FALSE)</f>
        <v>MBC US</v>
      </c>
      <c r="E936" s="10" t="s">
        <v>806</v>
      </c>
      <c r="F936" s="11" t="s">
        <v>814</v>
      </c>
      <c r="G936" s="11" t="s">
        <v>1936</v>
      </c>
      <c r="H936" s="10" t="s">
        <v>809</v>
      </c>
    </row>
    <row r="937" spans="1:8" x14ac:dyDescent="0.25">
      <c r="A937" s="11" t="s">
        <v>2213</v>
      </c>
      <c r="B937" s="10" t="s">
        <v>804</v>
      </c>
      <c r="C937" s="10" t="s">
        <v>2041</v>
      </c>
      <c r="D937" s="10" t="str">
        <f>VLOOKUP(C937,Region!A:B,2,FALSE)</f>
        <v>Hyderabad</v>
      </c>
      <c r="E937" s="10" t="s">
        <v>1427</v>
      </c>
      <c r="F937" s="11" t="s">
        <v>811</v>
      </c>
      <c r="G937" s="11" t="s">
        <v>2214</v>
      </c>
      <c r="H937" s="10" t="s">
        <v>809</v>
      </c>
    </row>
    <row r="938" spans="1:8" x14ac:dyDescent="0.25">
      <c r="A938" s="11" t="s">
        <v>2384</v>
      </c>
      <c r="B938" s="10" t="s">
        <v>804</v>
      </c>
      <c r="C938" s="10" t="s">
        <v>2041</v>
      </c>
      <c r="D938" s="10" t="str">
        <f>VLOOKUP(C938,Region!A:B,2,FALSE)</f>
        <v>Hyderabad</v>
      </c>
      <c r="E938" s="10" t="s">
        <v>1427</v>
      </c>
      <c r="F938" s="11" t="s">
        <v>814</v>
      </c>
      <c r="G938" s="11" t="s">
        <v>2385</v>
      </c>
      <c r="H938" s="10" t="s">
        <v>809</v>
      </c>
    </row>
    <row r="939" spans="1:8" x14ac:dyDescent="0.25">
      <c r="A939" s="11" t="s">
        <v>1605</v>
      </c>
      <c r="B939" s="10" t="s">
        <v>804</v>
      </c>
      <c r="C939" s="10" t="s">
        <v>1426</v>
      </c>
      <c r="D939" s="10" t="str">
        <f>VLOOKUP(C939,Region!A:B,2,FALSE)</f>
        <v>Spain</v>
      </c>
      <c r="E939" s="10" t="s">
        <v>1427</v>
      </c>
      <c r="F939" s="11" t="s">
        <v>823</v>
      </c>
      <c r="G939" s="11" t="s">
        <v>323</v>
      </c>
      <c r="H939" s="10" t="s">
        <v>812</v>
      </c>
    </row>
    <row r="940" spans="1:8" x14ac:dyDescent="0.25">
      <c r="A940" s="11" t="s">
        <v>3368</v>
      </c>
      <c r="B940" s="10" t="s">
        <v>1086</v>
      </c>
      <c r="C940" s="10" t="s">
        <v>3273</v>
      </c>
      <c r="D940" s="10" t="str">
        <f>VLOOKUP(C940,Region!A:B,2,FALSE)</f>
        <v>Noida</v>
      </c>
      <c r="E940" s="10" t="s">
        <v>806</v>
      </c>
      <c r="F940" s="11" t="s">
        <v>823</v>
      </c>
      <c r="G940" s="11" t="s">
        <v>654</v>
      </c>
      <c r="H940" s="10" t="s">
        <v>812</v>
      </c>
    </row>
    <row r="941" spans="1:8" x14ac:dyDescent="0.25">
      <c r="A941" s="11" t="s">
        <v>976</v>
      </c>
      <c r="B941" s="10" t="s">
        <v>804</v>
      </c>
      <c r="C941" s="10" t="s">
        <v>805</v>
      </c>
      <c r="D941" s="10" t="str">
        <f>VLOOKUP(C941,Region!A:B,2,FALSE)</f>
        <v>Noida</v>
      </c>
      <c r="E941" s="10" t="s">
        <v>806</v>
      </c>
      <c r="F941" s="11" t="s">
        <v>814</v>
      </c>
      <c r="G941" s="11" t="s">
        <v>977</v>
      </c>
      <c r="H941" s="10" t="s">
        <v>812</v>
      </c>
    </row>
    <row r="942" spans="1:8" x14ac:dyDescent="0.25">
      <c r="A942" s="11" t="s">
        <v>2215</v>
      </c>
      <c r="B942" s="10" t="s">
        <v>804</v>
      </c>
      <c r="C942" s="10" t="s">
        <v>2041</v>
      </c>
      <c r="D942" s="10" t="str">
        <f>VLOOKUP(C942,Region!A:B,2,FALSE)</f>
        <v>Hyderabad</v>
      </c>
      <c r="E942" s="10" t="s">
        <v>1427</v>
      </c>
      <c r="F942" s="11" t="s">
        <v>811</v>
      </c>
      <c r="G942" s="11" t="s">
        <v>2216</v>
      </c>
      <c r="H942" s="10" t="s">
        <v>812</v>
      </c>
    </row>
    <row r="943" spans="1:8" x14ac:dyDescent="0.25">
      <c r="A943" s="11" t="s">
        <v>2073</v>
      </c>
      <c r="B943" s="10" t="s">
        <v>804</v>
      </c>
      <c r="C943" s="10" t="s">
        <v>2041</v>
      </c>
      <c r="D943" s="10" t="str">
        <f>VLOOKUP(C943,Region!A:B,2,FALSE)</f>
        <v>Hyderabad</v>
      </c>
      <c r="E943" s="10" t="s">
        <v>1427</v>
      </c>
      <c r="F943" s="11" t="s">
        <v>823</v>
      </c>
      <c r="G943" s="11" t="s">
        <v>2074</v>
      </c>
      <c r="H943" s="10" t="s">
        <v>809</v>
      </c>
    </row>
    <row r="944" spans="1:8" x14ac:dyDescent="0.25">
      <c r="A944" s="11" t="s">
        <v>1954</v>
      </c>
      <c r="B944" s="10" t="s">
        <v>804</v>
      </c>
      <c r="C944" s="10" t="s">
        <v>1635</v>
      </c>
      <c r="D944" s="10" t="str">
        <f>VLOOKUP(C944,Region!A:B,2,FALSE)</f>
        <v>MBC US</v>
      </c>
      <c r="E944" s="10" t="s">
        <v>806</v>
      </c>
      <c r="F944" s="11" t="s">
        <v>811</v>
      </c>
      <c r="G944" s="11" t="s">
        <v>1955</v>
      </c>
      <c r="H944" s="10" t="s">
        <v>809</v>
      </c>
    </row>
    <row r="945" spans="1:8" x14ac:dyDescent="0.25">
      <c r="A945" s="11" t="s">
        <v>2217</v>
      </c>
      <c r="B945" s="10" t="s">
        <v>804</v>
      </c>
      <c r="C945" s="10" t="s">
        <v>2041</v>
      </c>
      <c r="D945" s="10" t="str">
        <f>VLOOKUP(C945,Region!A:B,2,FALSE)</f>
        <v>Hyderabad</v>
      </c>
      <c r="E945" s="10" t="s">
        <v>1427</v>
      </c>
      <c r="F945" s="11" t="s">
        <v>811</v>
      </c>
      <c r="G945" s="11" t="s">
        <v>2218</v>
      </c>
      <c r="H945" s="10" t="s">
        <v>809</v>
      </c>
    </row>
    <row r="946" spans="1:8" x14ac:dyDescent="0.25">
      <c r="A946" s="11" t="s">
        <v>2675</v>
      </c>
      <c r="B946" s="10" t="s">
        <v>804</v>
      </c>
      <c r="C946" s="10" t="s">
        <v>2518</v>
      </c>
      <c r="D946" s="10" t="str">
        <f>VLOOKUP(C946,Region!A:B,2,FALSE)</f>
        <v>Noida</v>
      </c>
      <c r="E946" s="10" t="s">
        <v>1427</v>
      </c>
      <c r="F946" s="11" t="s">
        <v>814</v>
      </c>
      <c r="G946" s="11" t="s">
        <v>2676</v>
      </c>
      <c r="H946" s="10" t="s">
        <v>812</v>
      </c>
    </row>
    <row r="947" spans="1:8" x14ac:dyDescent="0.25">
      <c r="A947" s="11" t="s">
        <v>2219</v>
      </c>
      <c r="B947" s="10" t="s">
        <v>804</v>
      </c>
      <c r="C947" s="10" t="s">
        <v>2041</v>
      </c>
      <c r="D947" s="10" t="str">
        <f>VLOOKUP(C947,Region!A:B,2,FALSE)</f>
        <v>Hyderabad</v>
      </c>
      <c r="E947" s="10" t="s">
        <v>1427</v>
      </c>
      <c r="F947" s="11" t="s">
        <v>811</v>
      </c>
      <c r="G947" s="11" t="s">
        <v>322</v>
      </c>
      <c r="H947" s="10" t="s">
        <v>812</v>
      </c>
    </row>
    <row r="948" spans="1:8" x14ac:dyDescent="0.25">
      <c r="A948" s="11" t="s">
        <v>2493</v>
      </c>
      <c r="B948" s="10" t="s">
        <v>804</v>
      </c>
      <c r="C948" s="10" t="s">
        <v>2041</v>
      </c>
      <c r="D948" s="10" t="str">
        <f>VLOOKUP(C948,Region!A:B,2,FALSE)</f>
        <v>Hyderabad</v>
      </c>
      <c r="E948" s="10" t="s">
        <v>1427</v>
      </c>
      <c r="F948" s="11" t="s">
        <v>823</v>
      </c>
      <c r="G948" s="11" t="s">
        <v>2494</v>
      </c>
      <c r="H948" s="10" t="s">
        <v>809</v>
      </c>
    </row>
    <row r="949" spans="1:8" x14ac:dyDescent="0.25">
      <c r="A949" s="11" t="s">
        <v>1947</v>
      </c>
      <c r="B949" s="10" t="s">
        <v>1086</v>
      </c>
      <c r="C949" s="10" t="s">
        <v>1635</v>
      </c>
      <c r="D949" s="10" t="str">
        <f>VLOOKUP(C949,Region!A:B,2,FALSE)</f>
        <v>MBC US</v>
      </c>
      <c r="E949" s="10" t="s">
        <v>806</v>
      </c>
      <c r="F949" s="11" t="s">
        <v>823</v>
      </c>
      <c r="G949" s="11" t="s">
        <v>1948</v>
      </c>
      <c r="H949" s="10" t="s">
        <v>809</v>
      </c>
    </row>
    <row r="950" spans="1:8" x14ac:dyDescent="0.25">
      <c r="A950" s="11" t="s">
        <v>2075</v>
      </c>
      <c r="B950" s="10" t="s">
        <v>804</v>
      </c>
      <c r="C950" s="10" t="s">
        <v>2041</v>
      </c>
      <c r="D950" s="10" t="str">
        <f>VLOOKUP(C950,Region!A:B,2,FALSE)</f>
        <v>Hyderabad</v>
      </c>
      <c r="E950" s="10" t="s">
        <v>1427</v>
      </c>
      <c r="F950" s="11" t="s">
        <v>814</v>
      </c>
      <c r="G950" s="11" t="s">
        <v>2076</v>
      </c>
      <c r="H950" s="10" t="s">
        <v>809</v>
      </c>
    </row>
    <row r="951" spans="1:8" x14ac:dyDescent="0.25">
      <c r="A951" s="11" t="s">
        <v>1976</v>
      </c>
      <c r="B951" s="10" t="s">
        <v>804</v>
      </c>
      <c r="C951" s="10" t="s">
        <v>1635</v>
      </c>
      <c r="D951" s="10" t="str">
        <f>VLOOKUP(C951,Region!A:B,2,FALSE)</f>
        <v>MBC US</v>
      </c>
      <c r="E951" s="10" t="s">
        <v>806</v>
      </c>
      <c r="F951" s="11" t="s">
        <v>814</v>
      </c>
      <c r="G951" s="11" t="s">
        <v>1977</v>
      </c>
      <c r="H951" s="10" t="s">
        <v>809</v>
      </c>
    </row>
    <row r="952" spans="1:8" x14ac:dyDescent="0.25">
      <c r="A952" s="11" t="s">
        <v>1949</v>
      </c>
      <c r="B952" s="10" t="s">
        <v>804</v>
      </c>
      <c r="C952" s="10" t="s">
        <v>1635</v>
      </c>
      <c r="D952" s="10" t="str">
        <f>VLOOKUP(C952,Region!A:B,2,FALSE)</f>
        <v>MBC US</v>
      </c>
      <c r="E952" s="10" t="s">
        <v>806</v>
      </c>
      <c r="F952" s="11" t="s">
        <v>814</v>
      </c>
      <c r="G952" s="11" t="s">
        <v>1950</v>
      </c>
      <c r="H952" s="10" t="s">
        <v>809</v>
      </c>
    </row>
    <row r="953" spans="1:8" x14ac:dyDescent="0.25">
      <c r="A953" s="11" t="s">
        <v>3122</v>
      </c>
      <c r="B953" s="10" t="s">
        <v>1086</v>
      </c>
      <c r="C953" s="10" t="s">
        <v>2987</v>
      </c>
      <c r="D953" s="10" t="str">
        <f>VLOOKUP(C953,Region!A:B,2,FALSE)</f>
        <v>Noida</v>
      </c>
      <c r="E953" s="10" t="s">
        <v>1427</v>
      </c>
      <c r="F953" s="11" t="s">
        <v>811</v>
      </c>
      <c r="G953" s="11" t="s">
        <v>3123</v>
      </c>
      <c r="H953" s="10" t="s">
        <v>809</v>
      </c>
    </row>
    <row r="954" spans="1:8" x14ac:dyDescent="0.25">
      <c r="A954" s="11" t="s">
        <v>3436</v>
      </c>
      <c r="B954" s="10" t="s">
        <v>1086</v>
      </c>
      <c r="C954" s="10" t="s">
        <v>3273</v>
      </c>
      <c r="D954" s="10" t="str">
        <f>VLOOKUP(C954,Region!A:B,2,FALSE)</f>
        <v>Noida</v>
      </c>
      <c r="E954" s="10" t="s">
        <v>806</v>
      </c>
      <c r="F954" s="11" t="s">
        <v>811</v>
      </c>
      <c r="G954" s="11" t="s">
        <v>3437</v>
      </c>
      <c r="H954" s="10" t="s">
        <v>809</v>
      </c>
    </row>
    <row r="955" spans="1:8" x14ac:dyDescent="0.25">
      <c r="A955" s="11" t="s">
        <v>3165</v>
      </c>
      <c r="B955" s="10" t="s">
        <v>1086</v>
      </c>
      <c r="C955" s="10" t="s">
        <v>2987</v>
      </c>
      <c r="D955" s="10" t="str">
        <f>VLOOKUP(C955,Region!A:B,2,FALSE)</f>
        <v>Noida</v>
      </c>
      <c r="E955" s="10" t="s">
        <v>1427</v>
      </c>
      <c r="F955" s="11" t="s">
        <v>814</v>
      </c>
      <c r="G955" s="11" t="s">
        <v>3166</v>
      </c>
      <c r="H955" s="10" t="s">
        <v>809</v>
      </c>
    </row>
    <row r="956" spans="1:8" x14ac:dyDescent="0.25">
      <c r="A956" s="11" t="s">
        <v>2465</v>
      </c>
      <c r="B956" s="10" t="s">
        <v>804</v>
      </c>
      <c r="C956" s="10" t="s">
        <v>2041</v>
      </c>
      <c r="D956" s="10" t="str">
        <f>VLOOKUP(C956,Region!A:B,2,FALSE)</f>
        <v>Hyderabad</v>
      </c>
      <c r="E956" s="10" t="s">
        <v>1427</v>
      </c>
      <c r="F956" s="11" t="s">
        <v>811</v>
      </c>
      <c r="G956" s="11" t="s">
        <v>2466</v>
      </c>
      <c r="H956" s="10" t="s">
        <v>809</v>
      </c>
    </row>
    <row r="957" spans="1:8" x14ac:dyDescent="0.25">
      <c r="A957" s="11" t="s">
        <v>1965</v>
      </c>
      <c r="B957" s="10" t="s">
        <v>804</v>
      </c>
      <c r="C957" s="10" t="s">
        <v>1635</v>
      </c>
      <c r="D957" s="10" t="str">
        <f>VLOOKUP(C957,Region!A:B,2,FALSE)</f>
        <v>MBC US</v>
      </c>
      <c r="E957" s="10" t="s">
        <v>806</v>
      </c>
      <c r="F957" s="11" t="s">
        <v>807</v>
      </c>
      <c r="G957" s="11" t="s">
        <v>527</v>
      </c>
      <c r="H957" s="10" t="s">
        <v>812</v>
      </c>
    </row>
    <row r="958" spans="1:8" x14ac:dyDescent="0.25">
      <c r="A958" s="11" t="s">
        <v>1613</v>
      </c>
      <c r="B958" s="10" t="s">
        <v>1086</v>
      </c>
      <c r="C958" s="10" t="s">
        <v>1426</v>
      </c>
      <c r="D958" s="10" t="str">
        <f>VLOOKUP(C958,Region!A:B,2,FALSE)</f>
        <v>Spain</v>
      </c>
      <c r="E958" s="10" t="s">
        <v>1427</v>
      </c>
      <c r="F958" s="11" t="s">
        <v>807</v>
      </c>
      <c r="G958" s="11" t="s">
        <v>160</v>
      </c>
      <c r="H958" s="10" t="s">
        <v>812</v>
      </c>
    </row>
    <row r="959" spans="1:8" x14ac:dyDescent="0.25">
      <c r="A959" s="11" t="s">
        <v>1951</v>
      </c>
      <c r="B959" s="10" t="s">
        <v>804</v>
      </c>
      <c r="C959" s="10" t="s">
        <v>1635</v>
      </c>
      <c r="D959" s="10" t="str">
        <f>VLOOKUP(C959,Region!A:B,2,FALSE)</f>
        <v>MBC US</v>
      </c>
      <c r="E959" s="10" t="s">
        <v>806</v>
      </c>
      <c r="F959" s="11" t="s">
        <v>834</v>
      </c>
      <c r="G959" s="11" t="s">
        <v>499</v>
      </c>
      <c r="H959" s="10" t="s">
        <v>812</v>
      </c>
    </row>
    <row r="960" spans="1:8" x14ac:dyDescent="0.25">
      <c r="A960" s="11" t="s">
        <v>1188</v>
      </c>
      <c r="B960" s="10" t="s">
        <v>1086</v>
      </c>
      <c r="C960" s="10" t="s">
        <v>1087</v>
      </c>
      <c r="D960" s="10" t="str">
        <f>VLOOKUP(C960,Region!A:B,2,FALSE)</f>
        <v>Hyderabad</v>
      </c>
      <c r="E960" s="10" t="s">
        <v>806</v>
      </c>
      <c r="F960" s="11" t="s">
        <v>807</v>
      </c>
      <c r="G960" s="11" t="s">
        <v>1189</v>
      </c>
      <c r="H960" s="10" t="s">
        <v>809</v>
      </c>
    </row>
    <row r="961" spans="1:8" x14ac:dyDescent="0.25">
      <c r="A961" s="11" t="s">
        <v>2966</v>
      </c>
      <c r="B961" s="10" t="s">
        <v>804</v>
      </c>
      <c r="C961" s="10" t="s">
        <v>2752</v>
      </c>
      <c r="D961" s="10" t="str">
        <f>VLOOKUP(C961,Region!A:B,2,FALSE)</f>
        <v>Noida</v>
      </c>
      <c r="E961" s="10" t="s">
        <v>806</v>
      </c>
      <c r="F961" s="11" t="s">
        <v>823</v>
      </c>
      <c r="G961" s="11" t="s">
        <v>2967</v>
      </c>
      <c r="H961" s="10" t="s">
        <v>812</v>
      </c>
    </row>
    <row r="962" spans="1:8" x14ac:dyDescent="0.25">
      <c r="A962" s="11" t="s">
        <v>2677</v>
      </c>
      <c r="B962" s="10" t="s">
        <v>804</v>
      </c>
      <c r="C962" s="10" t="s">
        <v>2518</v>
      </c>
      <c r="D962" s="10" t="str">
        <f>VLOOKUP(C962,Region!A:B,2,FALSE)</f>
        <v>Noida</v>
      </c>
      <c r="E962" s="10" t="s">
        <v>1427</v>
      </c>
      <c r="F962" s="11" t="s">
        <v>823</v>
      </c>
      <c r="G962" s="11" t="s">
        <v>2678</v>
      </c>
      <c r="H962" s="10" t="s">
        <v>812</v>
      </c>
    </row>
    <row r="963" spans="1:8" x14ac:dyDescent="0.25">
      <c r="A963" s="11" t="s">
        <v>1952</v>
      </c>
      <c r="B963" s="10" t="s">
        <v>1086</v>
      </c>
      <c r="C963" s="10" t="s">
        <v>1635</v>
      </c>
      <c r="D963" s="10" t="str">
        <f>VLOOKUP(C963,Region!A:B,2,FALSE)</f>
        <v>MBC US</v>
      </c>
      <c r="E963" s="10" t="s">
        <v>806</v>
      </c>
      <c r="F963" s="11" t="s">
        <v>807</v>
      </c>
      <c r="G963" s="11" t="s">
        <v>1953</v>
      </c>
      <c r="H963" s="10" t="s">
        <v>809</v>
      </c>
    </row>
    <row r="964" spans="1:8" x14ac:dyDescent="0.25">
      <c r="A964" s="11" t="s">
        <v>1973</v>
      </c>
      <c r="B964" s="10" t="s">
        <v>804</v>
      </c>
      <c r="C964" s="10" t="s">
        <v>1635</v>
      </c>
      <c r="D964" s="10" t="str">
        <f>VLOOKUP(C964,Region!A:B,2,FALSE)</f>
        <v>MBC US</v>
      </c>
      <c r="E964" s="10" t="s">
        <v>806</v>
      </c>
      <c r="F964" s="11" t="s">
        <v>823</v>
      </c>
      <c r="G964" s="11" t="s">
        <v>1974</v>
      </c>
      <c r="H964" s="10" t="s">
        <v>812</v>
      </c>
    </row>
    <row r="965" spans="1:8" x14ac:dyDescent="0.25">
      <c r="A965" s="11" t="s">
        <v>1608</v>
      </c>
      <c r="B965" s="10" t="s">
        <v>1086</v>
      </c>
      <c r="C965" s="10" t="s">
        <v>1426</v>
      </c>
      <c r="D965" s="10" t="str">
        <f>VLOOKUP(C965,Region!A:B,2,FALSE)</f>
        <v>Spain</v>
      </c>
      <c r="E965" s="10" t="s">
        <v>1427</v>
      </c>
      <c r="F965" s="11" t="s">
        <v>807</v>
      </c>
      <c r="G965" s="11" t="s">
        <v>184</v>
      </c>
      <c r="H965" s="10" t="s">
        <v>812</v>
      </c>
    </row>
    <row r="966" spans="1:8" x14ac:dyDescent="0.25">
      <c r="A966" s="11" t="s">
        <v>1606</v>
      </c>
      <c r="B966" s="10" t="s">
        <v>1086</v>
      </c>
      <c r="C966" s="10" t="s">
        <v>1426</v>
      </c>
      <c r="D966" s="10" t="str">
        <f>VLOOKUP(C966,Region!A:B,2,FALSE)</f>
        <v>Spain</v>
      </c>
      <c r="E966" s="10" t="s">
        <v>1427</v>
      </c>
      <c r="F966" s="11" t="s">
        <v>811</v>
      </c>
      <c r="G966" s="11" t="s">
        <v>1607</v>
      </c>
      <c r="H966" s="10" t="s">
        <v>809</v>
      </c>
    </row>
    <row r="967" spans="1:8" x14ac:dyDescent="0.25">
      <c r="A967" s="11" t="s">
        <v>1601</v>
      </c>
      <c r="B967" s="10" t="s">
        <v>804</v>
      </c>
      <c r="C967" s="10" t="s">
        <v>1426</v>
      </c>
      <c r="D967" s="10" t="str">
        <f>VLOOKUP(C967,Region!A:B,2,FALSE)</f>
        <v>Spain</v>
      </c>
      <c r="E967" s="10" t="s">
        <v>1427</v>
      </c>
      <c r="F967" s="11" t="s">
        <v>823</v>
      </c>
      <c r="G967" s="11" t="s">
        <v>1602</v>
      </c>
      <c r="H967" s="10" t="s">
        <v>809</v>
      </c>
    </row>
    <row r="968" spans="1:8" x14ac:dyDescent="0.25">
      <c r="A968" s="11" t="s">
        <v>2302</v>
      </c>
      <c r="B968" s="10" t="s">
        <v>804</v>
      </c>
      <c r="C968" s="10" t="s">
        <v>2041</v>
      </c>
      <c r="D968" s="10" t="str">
        <f>VLOOKUP(C968,Region!A:B,2,FALSE)</f>
        <v>Hyderabad</v>
      </c>
      <c r="E968" s="10" t="s">
        <v>1427</v>
      </c>
      <c r="F968" s="11" t="s">
        <v>807</v>
      </c>
      <c r="G968" s="11" t="s">
        <v>2303</v>
      </c>
      <c r="H968" s="10" t="s">
        <v>809</v>
      </c>
    </row>
    <row r="969" spans="1:8" x14ac:dyDescent="0.25">
      <c r="A969" s="11" t="s">
        <v>2386</v>
      </c>
      <c r="B969" s="10" t="s">
        <v>804</v>
      </c>
      <c r="C969" s="10" t="s">
        <v>2041</v>
      </c>
      <c r="D969" s="10" t="str">
        <f>VLOOKUP(C969,Region!A:B,2,FALSE)</f>
        <v>Hyderabad</v>
      </c>
      <c r="E969" s="10" t="s">
        <v>1427</v>
      </c>
      <c r="F969" s="11" t="s">
        <v>814</v>
      </c>
      <c r="G969" s="11" t="s">
        <v>2387</v>
      </c>
      <c r="H969" s="10" t="s">
        <v>812</v>
      </c>
    </row>
    <row r="970" spans="1:8" x14ac:dyDescent="0.25">
      <c r="A970" s="11" t="s">
        <v>2304</v>
      </c>
      <c r="B970" s="10" t="s">
        <v>804</v>
      </c>
      <c r="C970" s="10" t="s">
        <v>2041</v>
      </c>
      <c r="D970" s="10" t="str">
        <f>VLOOKUP(C970,Region!A:B,2,FALSE)</f>
        <v>Hyderabad</v>
      </c>
      <c r="E970" s="10" t="s">
        <v>1427</v>
      </c>
      <c r="F970" s="11" t="s">
        <v>807</v>
      </c>
      <c r="G970" s="11" t="s">
        <v>2305</v>
      </c>
      <c r="H970" s="10" t="s">
        <v>809</v>
      </c>
    </row>
    <row r="971" spans="1:8" x14ac:dyDescent="0.25">
      <c r="A971" s="11" t="s">
        <v>1603</v>
      </c>
      <c r="B971" s="10" t="s">
        <v>804</v>
      </c>
      <c r="C971" s="10" t="s">
        <v>1426</v>
      </c>
      <c r="D971" s="10" t="str">
        <f>VLOOKUP(C971,Region!A:B,2,FALSE)</f>
        <v>Spain</v>
      </c>
      <c r="E971" s="10" t="s">
        <v>1427</v>
      </c>
      <c r="F971" s="11" t="s">
        <v>814</v>
      </c>
      <c r="G971" s="11" t="s">
        <v>1604</v>
      </c>
      <c r="H971" s="10" t="s">
        <v>809</v>
      </c>
    </row>
    <row r="972" spans="1:8" x14ac:dyDescent="0.25">
      <c r="A972" s="11" t="s">
        <v>2771</v>
      </c>
      <c r="B972" s="10" t="s">
        <v>804</v>
      </c>
      <c r="C972" s="10" t="s">
        <v>2752</v>
      </c>
      <c r="D972" s="10" t="str">
        <f>VLOOKUP(C972,Region!A:B,2,FALSE)</f>
        <v>Noida</v>
      </c>
      <c r="E972" s="10" t="s">
        <v>806</v>
      </c>
      <c r="F972" s="11" t="s">
        <v>811</v>
      </c>
      <c r="G972" s="11" t="s">
        <v>2772</v>
      </c>
      <c r="H972" s="10" t="s">
        <v>809</v>
      </c>
    </row>
    <row r="973" spans="1:8" x14ac:dyDescent="0.25">
      <c r="A973" s="11" t="s">
        <v>998</v>
      </c>
      <c r="B973" s="10" t="s">
        <v>804</v>
      </c>
      <c r="C973" s="10" t="s">
        <v>805</v>
      </c>
      <c r="D973" s="10" t="str">
        <f>VLOOKUP(C973,Region!A:B,2,FALSE)</f>
        <v>Noida</v>
      </c>
      <c r="E973" s="10" t="s">
        <v>806</v>
      </c>
      <c r="F973" s="11" t="s">
        <v>823</v>
      </c>
      <c r="G973" s="11" t="s">
        <v>999</v>
      </c>
      <c r="H973" s="10" t="s">
        <v>809</v>
      </c>
    </row>
    <row r="974" spans="1:8" x14ac:dyDescent="0.25">
      <c r="A974" s="11" t="s">
        <v>2130</v>
      </c>
      <c r="B974" s="10" t="s">
        <v>804</v>
      </c>
      <c r="C974" s="10" t="s">
        <v>2041</v>
      </c>
      <c r="D974" s="10" t="str">
        <f>VLOOKUP(C974,Region!A:B,2,FALSE)</f>
        <v>Hyderabad</v>
      </c>
      <c r="E974" s="10" t="s">
        <v>1427</v>
      </c>
      <c r="F974" s="11" t="s">
        <v>814</v>
      </c>
      <c r="G974" s="11" t="s">
        <v>2131</v>
      </c>
      <c r="H974" s="10" t="s">
        <v>812</v>
      </c>
    </row>
    <row r="975" spans="1:8" x14ac:dyDescent="0.25">
      <c r="A975" s="11" t="s">
        <v>2806</v>
      </c>
      <c r="B975" s="10" t="s">
        <v>804</v>
      </c>
      <c r="C975" s="10" t="s">
        <v>2752</v>
      </c>
      <c r="D975" s="10" t="str">
        <f>VLOOKUP(C975,Region!A:B,2,FALSE)</f>
        <v>Noida</v>
      </c>
      <c r="E975" s="10" t="s">
        <v>806</v>
      </c>
      <c r="F975" s="11" t="s">
        <v>814</v>
      </c>
      <c r="G975" s="11" t="s">
        <v>2807</v>
      </c>
      <c r="H975" s="10" t="s">
        <v>809</v>
      </c>
    </row>
    <row r="976" spans="1:8" x14ac:dyDescent="0.25">
      <c r="A976" s="11" t="s">
        <v>3430</v>
      </c>
      <c r="B976" s="10" t="s">
        <v>1086</v>
      </c>
      <c r="C976" s="10" t="s">
        <v>3273</v>
      </c>
      <c r="D976" s="10" t="str">
        <f>VLOOKUP(C976,Region!A:B,2,FALSE)</f>
        <v>Noida</v>
      </c>
      <c r="E976" s="10" t="s">
        <v>806</v>
      </c>
      <c r="F976" s="11" t="s">
        <v>814</v>
      </c>
      <c r="G976" s="11" t="s">
        <v>3431</v>
      </c>
      <c r="H976" s="10" t="s">
        <v>812</v>
      </c>
    </row>
    <row r="977" spans="1:8" x14ac:dyDescent="0.25">
      <c r="A977" s="11" t="s">
        <v>1361</v>
      </c>
      <c r="B977" s="10" t="s">
        <v>1086</v>
      </c>
      <c r="C977" s="10" t="s">
        <v>1087</v>
      </c>
      <c r="D977" s="10" t="str">
        <f>VLOOKUP(C977,Region!A:B,2,FALSE)</f>
        <v>Hyderabad</v>
      </c>
      <c r="E977" s="10" t="s">
        <v>806</v>
      </c>
      <c r="F977" s="11" t="s">
        <v>823</v>
      </c>
      <c r="G977" s="11" t="s">
        <v>1362</v>
      </c>
      <c r="H977" s="10" t="s">
        <v>812</v>
      </c>
    </row>
    <row r="978" spans="1:8" x14ac:dyDescent="0.25">
      <c r="A978" s="11" t="s">
        <v>1610</v>
      </c>
      <c r="B978" s="10" t="s">
        <v>804</v>
      </c>
      <c r="C978" s="10" t="s">
        <v>1426</v>
      </c>
      <c r="D978" s="10" t="str">
        <f>VLOOKUP(C978,Region!A:B,2,FALSE)</f>
        <v>Spain</v>
      </c>
      <c r="E978" s="10" t="s">
        <v>1427</v>
      </c>
      <c r="F978" s="11" t="s">
        <v>814</v>
      </c>
      <c r="G978" s="11" t="s">
        <v>1611</v>
      </c>
      <c r="H978" s="10" t="s">
        <v>809</v>
      </c>
    </row>
    <row r="979" spans="1:8" x14ac:dyDescent="0.25">
      <c r="A979" s="11" t="s">
        <v>1155</v>
      </c>
      <c r="B979" s="10" t="s">
        <v>1086</v>
      </c>
      <c r="C979" s="10" t="s">
        <v>1087</v>
      </c>
      <c r="D979" s="10" t="str">
        <f>VLOOKUP(C979,Region!A:B,2,FALSE)</f>
        <v>Hyderabad</v>
      </c>
      <c r="E979" s="10" t="s">
        <v>806</v>
      </c>
      <c r="F979" s="11" t="s">
        <v>814</v>
      </c>
      <c r="G979" s="11" t="s">
        <v>1156</v>
      </c>
      <c r="H979" s="10" t="s">
        <v>809</v>
      </c>
    </row>
    <row r="980" spans="1:8" x14ac:dyDescent="0.25">
      <c r="A980" s="11" t="s">
        <v>1968</v>
      </c>
      <c r="B980" s="10" t="s">
        <v>804</v>
      </c>
      <c r="C980" s="10" t="s">
        <v>1635</v>
      </c>
      <c r="D980" s="10" t="str">
        <f>VLOOKUP(C980,Region!A:B,2,FALSE)</f>
        <v>MBC US</v>
      </c>
      <c r="E980" s="10" t="s">
        <v>806</v>
      </c>
      <c r="F980" s="11" t="s">
        <v>811</v>
      </c>
      <c r="G980" s="11" t="s">
        <v>1969</v>
      </c>
      <c r="H980" s="10" t="s">
        <v>809</v>
      </c>
    </row>
    <row r="981" spans="1:8" x14ac:dyDescent="0.25">
      <c r="A981" s="11" t="s">
        <v>1945</v>
      </c>
      <c r="B981" s="10" t="s">
        <v>804</v>
      </c>
      <c r="C981" s="10" t="s">
        <v>1635</v>
      </c>
      <c r="D981" s="10" t="str">
        <f>VLOOKUP(C981,Region!A:B,2,FALSE)</f>
        <v>MBC US</v>
      </c>
      <c r="E981" s="10" t="s">
        <v>806</v>
      </c>
      <c r="F981" s="11" t="s">
        <v>814</v>
      </c>
      <c r="G981" s="11" t="s">
        <v>1946</v>
      </c>
      <c r="H981" s="10" t="s">
        <v>809</v>
      </c>
    </row>
    <row r="982" spans="1:8" x14ac:dyDescent="0.25">
      <c r="A982" s="11" t="s">
        <v>2535</v>
      </c>
      <c r="B982" s="10" t="s">
        <v>804</v>
      </c>
      <c r="C982" s="10" t="s">
        <v>2518</v>
      </c>
      <c r="D982" s="10" t="str">
        <f>VLOOKUP(C982,Region!A:B,2,FALSE)</f>
        <v>Noida</v>
      </c>
      <c r="E982" s="10" t="s">
        <v>1427</v>
      </c>
      <c r="F982" s="11" t="s">
        <v>823</v>
      </c>
      <c r="G982" s="11" t="s">
        <v>2536</v>
      </c>
      <c r="H982" s="10" t="s">
        <v>809</v>
      </c>
    </row>
    <row r="983" spans="1:8" x14ac:dyDescent="0.25">
      <c r="A983" s="11" t="s">
        <v>2932</v>
      </c>
      <c r="B983" s="10" t="s">
        <v>804</v>
      </c>
      <c r="C983" s="10" t="s">
        <v>2752</v>
      </c>
      <c r="D983" s="10" t="str">
        <f>VLOOKUP(C983,Region!A:B,2,FALSE)</f>
        <v>Noida</v>
      </c>
      <c r="E983" s="10" t="s">
        <v>806</v>
      </c>
      <c r="F983" s="11" t="s">
        <v>811</v>
      </c>
      <c r="G983" s="11" t="s">
        <v>2933</v>
      </c>
      <c r="H983" s="10" t="s">
        <v>809</v>
      </c>
    </row>
    <row r="984" spans="1:8" x14ac:dyDescent="0.25">
      <c r="A984" s="11" t="s">
        <v>858</v>
      </c>
      <c r="B984" s="10" t="s">
        <v>804</v>
      </c>
      <c r="C984" s="10" t="s">
        <v>805</v>
      </c>
      <c r="D984" s="10" t="str">
        <f>VLOOKUP(C984,Region!A:B,2,FALSE)</f>
        <v>Noida</v>
      </c>
      <c r="E984" s="10" t="s">
        <v>806</v>
      </c>
      <c r="F984" s="11" t="s">
        <v>811</v>
      </c>
      <c r="G984" s="11" t="s">
        <v>859</v>
      </c>
      <c r="H984" s="10" t="s">
        <v>812</v>
      </c>
    </row>
    <row r="985" spans="1:8" x14ac:dyDescent="0.25">
      <c r="A985" s="11" t="s">
        <v>1297</v>
      </c>
      <c r="B985" s="10" t="s">
        <v>1086</v>
      </c>
      <c r="C985" s="10" t="s">
        <v>1087</v>
      </c>
      <c r="D985" s="10" t="str">
        <f>VLOOKUP(C985,Region!A:B,2,FALSE)</f>
        <v>Hyderabad</v>
      </c>
      <c r="E985" s="10" t="s">
        <v>806</v>
      </c>
      <c r="F985" s="11" t="s">
        <v>811</v>
      </c>
      <c r="G985" s="11" t="s">
        <v>1298</v>
      </c>
      <c r="H985" s="10" t="s">
        <v>812</v>
      </c>
    </row>
    <row r="986" spans="1:8" x14ac:dyDescent="0.25">
      <c r="A986" s="11" t="s">
        <v>1963</v>
      </c>
      <c r="B986" s="10" t="s">
        <v>804</v>
      </c>
      <c r="C986" s="10" t="s">
        <v>1635</v>
      </c>
      <c r="D986" s="10" t="str">
        <f>VLOOKUP(C986,Region!A:B,2,FALSE)</f>
        <v>MBC US</v>
      </c>
      <c r="E986" s="10" t="s">
        <v>806</v>
      </c>
      <c r="F986" s="11" t="s">
        <v>814</v>
      </c>
      <c r="G986" s="11" t="s">
        <v>1964</v>
      </c>
      <c r="H986" s="10" t="s">
        <v>809</v>
      </c>
    </row>
    <row r="987" spans="1:8" x14ac:dyDescent="0.25">
      <c r="A987" s="11" t="s">
        <v>1956</v>
      </c>
      <c r="B987" s="10" t="s">
        <v>1086</v>
      </c>
      <c r="C987" s="10" t="s">
        <v>1635</v>
      </c>
      <c r="D987" s="10" t="str">
        <f>VLOOKUP(C987,Region!A:B,2,FALSE)</f>
        <v>MBC US</v>
      </c>
      <c r="E987" s="10" t="s">
        <v>806</v>
      </c>
      <c r="F987" s="11" t="s">
        <v>814</v>
      </c>
      <c r="G987" s="11" t="s">
        <v>732</v>
      </c>
      <c r="H987" s="10" t="s">
        <v>812</v>
      </c>
    </row>
    <row r="988" spans="1:8" x14ac:dyDescent="0.25">
      <c r="A988" s="11" t="s">
        <v>2306</v>
      </c>
      <c r="B988" s="10" t="s">
        <v>804</v>
      </c>
      <c r="C988" s="10" t="s">
        <v>2041</v>
      </c>
      <c r="D988" s="10" t="str">
        <f>VLOOKUP(C988,Region!A:B,2,FALSE)</f>
        <v>Hyderabad</v>
      </c>
      <c r="E988" s="10" t="s">
        <v>1427</v>
      </c>
      <c r="F988" s="11" t="s">
        <v>807</v>
      </c>
      <c r="G988" s="11" t="s">
        <v>2307</v>
      </c>
      <c r="H988" s="10" t="s">
        <v>809</v>
      </c>
    </row>
    <row r="989" spans="1:8" x14ac:dyDescent="0.25">
      <c r="A989" s="11" t="s">
        <v>1369</v>
      </c>
      <c r="B989" s="10" t="s">
        <v>1086</v>
      </c>
      <c r="C989" s="10" t="s">
        <v>1087</v>
      </c>
      <c r="D989" s="10" t="str">
        <f>VLOOKUP(C989,Region!A:B,2,FALSE)</f>
        <v>Hyderabad</v>
      </c>
      <c r="E989" s="10" t="s">
        <v>806</v>
      </c>
      <c r="F989" s="11" t="s">
        <v>807</v>
      </c>
      <c r="G989" s="11" t="s">
        <v>1370</v>
      </c>
      <c r="H989" s="10" t="s">
        <v>809</v>
      </c>
    </row>
    <row r="990" spans="1:8" x14ac:dyDescent="0.25">
      <c r="A990" s="11" t="s">
        <v>3133</v>
      </c>
      <c r="B990" s="10" t="s">
        <v>1086</v>
      </c>
      <c r="C990" s="10" t="s">
        <v>2987</v>
      </c>
      <c r="D990" s="10" t="str">
        <f>VLOOKUP(C990,Region!A:B,2,FALSE)</f>
        <v>Noida</v>
      </c>
      <c r="E990" s="10" t="s">
        <v>1427</v>
      </c>
      <c r="F990" s="11" t="s">
        <v>811</v>
      </c>
      <c r="G990" s="11" t="s">
        <v>172</v>
      </c>
      <c r="H990" s="10" t="s">
        <v>812</v>
      </c>
    </row>
    <row r="991" spans="1:8" x14ac:dyDescent="0.25">
      <c r="A991" s="11" t="s">
        <v>2905</v>
      </c>
      <c r="B991" s="10" t="s">
        <v>804</v>
      </c>
      <c r="C991" s="10" t="s">
        <v>2752</v>
      </c>
      <c r="D991" s="10" t="str">
        <f>VLOOKUP(C991,Region!A:B,2,FALSE)</f>
        <v>Noida</v>
      </c>
      <c r="E991" s="10" t="s">
        <v>806</v>
      </c>
      <c r="F991" s="11" t="s">
        <v>814</v>
      </c>
      <c r="G991" s="11" t="s">
        <v>2906</v>
      </c>
      <c r="H991" s="10" t="s">
        <v>812</v>
      </c>
    </row>
    <row r="992" spans="1:8" x14ac:dyDescent="0.25">
      <c r="A992" s="11" t="s">
        <v>2581</v>
      </c>
      <c r="B992" s="10" t="s">
        <v>804</v>
      </c>
      <c r="C992" s="10" t="s">
        <v>2518</v>
      </c>
      <c r="D992" s="10" t="str">
        <f>VLOOKUP(C992,Region!A:B,2,FALSE)</f>
        <v>Noida</v>
      </c>
      <c r="E992" s="10" t="s">
        <v>1427</v>
      </c>
      <c r="F992" s="11" t="s">
        <v>811</v>
      </c>
      <c r="G992" s="11" t="s">
        <v>2582</v>
      </c>
      <c r="H992" s="10" t="s">
        <v>809</v>
      </c>
    </row>
    <row r="993" spans="1:8" x14ac:dyDescent="0.25">
      <c r="A993" s="11" t="s">
        <v>2955</v>
      </c>
      <c r="B993" s="10" t="s">
        <v>804</v>
      </c>
      <c r="C993" s="10" t="s">
        <v>2752</v>
      </c>
      <c r="D993" s="10" t="str">
        <f>VLOOKUP(C993,Region!A:B,2,FALSE)</f>
        <v>Noida</v>
      </c>
      <c r="E993" s="10" t="s">
        <v>806</v>
      </c>
      <c r="F993" s="11" t="s">
        <v>807</v>
      </c>
      <c r="G993" s="11" t="s">
        <v>589</v>
      </c>
      <c r="H993" s="10" t="s">
        <v>812</v>
      </c>
    </row>
    <row r="994" spans="1:8" x14ac:dyDescent="0.25">
      <c r="A994" s="11" t="s">
        <v>2860</v>
      </c>
      <c r="B994" s="10" t="s">
        <v>804</v>
      </c>
      <c r="C994" s="10" t="s">
        <v>2752</v>
      </c>
      <c r="D994" s="10" t="str">
        <f>VLOOKUP(C994,Region!A:B,2,FALSE)</f>
        <v>Noida</v>
      </c>
      <c r="E994" s="10" t="s">
        <v>806</v>
      </c>
      <c r="F994" s="11" t="s">
        <v>807</v>
      </c>
      <c r="G994" s="11" t="s">
        <v>2861</v>
      </c>
      <c r="H994" s="10" t="s">
        <v>812</v>
      </c>
    </row>
    <row r="995" spans="1:8" x14ac:dyDescent="0.25">
      <c r="A995" s="11" t="s">
        <v>3147</v>
      </c>
      <c r="B995" s="10" t="s">
        <v>1086</v>
      </c>
      <c r="C995" s="10" t="s">
        <v>2987</v>
      </c>
      <c r="D995" s="10" t="str">
        <f>VLOOKUP(C995,Region!A:B,2,FALSE)</f>
        <v>Noida</v>
      </c>
      <c r="E995" s="10" t="s">
        <v>1427</v>
      </c>
      <c r="F995" s="11" t="s">
        <v>814</v>
      </c>
      <c r="G995" s="11" t="s">
        <v>383</v>
      </c>
      <c r="H995" s="10" t="s">
        <v>812</v>
      </c>
    </row>
    <row r="996" spans="1:8" x14ac:dyDescent="0.25">
      <c r="A996" s="11" t="s">
        <v>3150</v>
      </c>
      <c r="B996" s="10" t="s">
        <v>1086</v>
      </c>
      <c r="C996" s="10" t="s">
        <v>2987</v>
      </c>
      <c r="D996" s="10" t="str">
        <f>VLOOKUP(C996,Region!A:B,2,FALSE)</f>
        <v>Noida</v>
      </c>
      <c r="E996" s="10" t="s">
        <v>1427</v>
      </c>
      <c r="F996" s="11" t="s">
        <v>823</v>
      </c>
      <c r="G996" s="11" t="s">
        <v>3151</v>
      </c>
      <c r="H996" s="10" t="s">
        <v>812</v>
      </c>
    </row>
    <row r="997" spans="1:8" x14ac:dyDescent="0.25">
      <c r="A997" s="11" t="s">
        <v>2679</v>
      </c>
      <c r="B997" s="10" t="s">
        <v>804</v>
      </c>
      <c r="C997" s="10" t="s">
        <v>2518</v>
      </c>
      <c r="D997" s="10" t="str">
        <f>VLOOKUP(C997,Region!A:B,2,FALSE)</f>
        <v>Noida</v>
      </c>
      <c r="E997" s="10" t="s">
        <v>1427</v>
      </c>
      <c r="F997" s="11" t="s">
        <v>834</v>
      </c>
      <c r="G997" s="11" t="s">
        <v>2680</v>
      </c>
      <c r="H997" s="10" t="s">
        <v>812</v>
      </c>
    </row>
    <row r="998" spans="1:8" x14ac:dyDescent="0.25">
      <c r="A998" s="11" t="s">
        <v>1957</v>
      </c>
      <c r="B998" s="10" t="s">
        <v>1086</v>
      </c>
      <c r="C998" s="10" t="s">
        <v>1635</v>
      </c>
      <c r="D998" s="10" t="str">
        <f>VLOOKUP(C998,Region!A:B,2,FALSE)</f>
        <v>MBC US</v>
      </c>
      <c r="E998" s="10" t="s">
        <v>806</v>
      </c>
      <c r="F998" s="11" t="s">
        <v>823</v>
      </c>
      <c r="G998" s="11" t="s">
        <v>1958</v>
      </c>
      <c r="H998" s="10" t="s">
        <v>809</v>
      </c>
    </row>
    <row r="999" spans="1:8" x14ac:dyDescent="0.25">
      <c r="A999" s="11" t="s">
        <v>1938</v>
      </c>
      <c r="B999" s="10" t="s">
        <v>1086</v>
      </c>
      <c r="C999" s="10" t="s">
        <v>1635</v>
      </c>
      <c r="D999" s="10" t="str">
        <f>VLOOKUP(C999,Region!A:B,2,FALSE)</f>
        <v>MBC US</v>
      </c>
      <c r="E999" s="10" t="s">
        <v>806</v>
      </c>
      <c r="F999" s="11" t="s">
        <v>823</v>
      </c>
      <c r="G999" s="11" t="s">
        <v>1939</v>
      </c>
      <c r="H999" s="10" t="s">
        <v>812</v>
      </c>
    </row>
    <row r="1000" spans="1:8" x14ac:dyDescent="0.25">
      <c r="A1000" s="11" t="s">
        <v>1355</v>
      </c>
      <c r="B1000" s="10" t="s">
        <v>1086</v>
      </c>
      <c r="C1000" s="10" t="s">
        <v>1087</v>
      </c>
      <c r="D1000" s="10" t="str">
        <f>VLOOKUP(C1000,Region!A:B,2,FALSE)</f>
        <v>Hyderabad</v>
      </c>
      <c r="E1000" s="10" t="s">
        <v>806</v>
      </c>
      <c r="F1000" s="11" t="s">
        <v>823</v>
      </c>
      <c r="G1000" s="11" t="s">
        <v>1356</v>
      </c>
      <c r="H1000" s="10" t="s">
        <v>809</v>
      </c>
    </row>
    <row r="1001" spans="1:8" x14ac:dyDescent="0.25">
      <c r="A1001" s="11" t="s">
        <v>2930</v>
      </c>
      <c r="B1001" s="10" t="s">
        <v>804</v>
      </c>
      <c r="C1001" s="10" t="s">
        <v>2752</v>
      </c>
      <c r="D1001" s="10" t="str">
        <f>VLOOKUP(C1001,Region!A:B,2,FALSE)</f>
        <v>Noida</v>
      </c>
      <c r="E1001" s="10" t="s">
        <v>806</v>
      </c>
      <c r="F1001" s="11" t="s">
        <v>811</v>
      </c>
      <c r="G1001" s="11" t="s">
        <v>2931</v>
      </c>
      <c r="H1001" s="10" t="s">
        <v>809</v>
      </c>
    </row>
    <row r="1002" spans="1:8" x14ac:dyDescent="0.25">
      <c r="A1002" s="11" t="s">
        <v>2077</v>
      </c>
      <c r="B1002" s="10" t="s">
        <v>804</v>
      </c>
      <c r="C1002" s="10" t="s">
        <v>2041</v>
      </c>
      <c r="D1002" s="10" t="str">
        <f>VLOOKUP(C1002,Region!A:B,2,FALSE)</f>
        <v>Hyderabad</v>
      </c>
      <c r="E1002" s="10" t="s">
        <v>1427</v>
      </c>
      <c r="F1002" s="11" t="s">
        <v>823</v>
      </c>
      <c r="G1002" s="11" t="s">
        <v>2078</v>
      </c>
      <c r="H1002" s="10" t="s">
        <v>812</v>
      </c>
    </row>
    <row r="1003" spans="1:8" x14ac:dyDescent="0.25">
      <c r="A1003" s="11" t="s">
        <v>1600</v>
      </c>
      <c r="B1003" s="10" t="s">
        <v>804</v>
      </c>
      <c r="C1003" s="10" t="s">
        <v>1426</v>
      </c>
      <c r="D1003" s="10" t="str">
        <f>VLOOKUP(C1003,Region!A:B,2,FALSE)</f>
        <v>Spain</v>
      </c>
      <c r="E1003" s="10" t="s">
        <v>1427</v>
      </c>
      <c r="F1003" s="11" t="s">
        <v>823</v>
      </c>
      <c r="G1003" s="11" t="s">
        <v>781</v>
      </c>
      <c r="H1003" s="10" t="s">
        <v>809</v>
      </c>
    </row>
    <row r="1004" spans="1:8" x14ac:dyDescent="0.25">
      <c r="A1004" s="11" t="s">
        <v>1959</v>
      </c>
      <c r="B1004" s="10" t="s">
        <v>804</v>
      </c>
      <c r="C1004" s="10" t="s">
        <v>1635</v>
      </c>
      <c r="D1004" s="10" t="str">
        <f>VLOOKUP(C1004,Region!A:B,2,FALSE)</f>
        <v>MBC US</v>
      </c>
      <c r="E1004" s="10" t="s">
        <v>806</v>
      </c>
      <c r="F1004" s="11" t="s">
        <v>814</v>
      </c>
      <c r="G1004" s="11" t="s">
        <v>1960</v>
      </c>
      <c r="H1004" s="10" t="s">
        <v>809</v>
      </c>
    </row>
    <row r="1005" spans="1:8" x14ac:dyDescent="0.25">
      <c r="A1005" s="11" t="s">
        <v>2583</v>
      </c>
      <c r="B1005" s="10" t="s">
        <v>804</v>
      </c>
      <c r="C1005" s="10" t="s">
        <v>2518</v>
      </c>
      <c r="D1005" s="10" t="str">
        <f>VLOOKUP(C1005,Region!A:B,2,FALSE)</f>
        <v>Noida</v>
      </c>
      <c r="E1005" s="10" t="s">
        <v>1427</v>
      </c>
      <c r="F1005" s="11" t="s">
        <v>811</v>
      </c>
      <c r="G1005" s="11" t="s">
        <v>765</v>
      </c>
      <c r="H1005" s="10" t="s">
        <v>812</v>
      </c>
    </row>
    <row r="1006" spans="1:8" x14ac:dyDescent="0.25">
      <c r="A1006" s="11" t="s">
        <v>1970</v>
      </c>
      <c r="B1006" s="10" t="s">
        <v>1086</v>
      </c>
      <c r="C1006" s="10" t="s">
        <v>1635</v>
      </c>
      <c r="D1006" s="10" t="str">
        <f>VLOOKUP(C1006,Region!A:B,2,FALSE)</f>
        <v>MBC US</v>
      </c>
      <c r="E1006" s="10" t="s">
        <v>806</v>
      </c>
      <c r="F1006" s="11" t="s">
        <v>814</v>
      </c>
      <c r="G1006" s="11" t="s">
        <v>1971</v>
      </c>
      <c r="H1006" s="10" t="s">
        <v>812</v>
      </c>
    </row>
    <row r="1007" spans="1:8" x14ac:dyDescent="0.25">
      <c r="A1007" s="11" t="s">
        <v>2220</v>
      </c>
      <c r="B1007" s="10" t="s">
        <v>804</v>
      </c>
      <c r="C1007" s="10" t="s">
        <v>2041</v>
      </c>
      <c r="D1007" s="10" t="str">
        <f>VLOOKUP(C1007,Region!A:B,2,FALSE)</f>
        <v>Hyderabad</v>
      </c>
      <c r="E1007" s="10" t="s">
        <v>1427</v>
      </c>
      <c r="F1007" s="11" t="s">
        <v>811</v>
      </c>
      <c r="G1007" s="11" t="s">
        <v>2221</v>
      </c>
      <c r="H1007" s="10" t="s">
        <v>809</v>
      </c>
    </row>
    <row r="1008" spans="1:8" x14ac:dyDescent="0.25">
      <c r="A1008" s="11" t="s">
        <v>2388</v>
      </c>
      <c r="B1008" s="10" t="s">
        <v>804</v>
      </c>
      <c r="C1008" s="10" t="s">
        <v>2041</v>
      </c>
      <c r="D1008" s="10" t="str">
        <f>VLOOKUP(C1008,Region!A:B,2,FALSE)</f>
        <v>Hyderabad</v>
      </c>
      <c r="E1008" s="10" t="s">
        <v>1427</v>
      </c>
      <c r="F1008" s="11" t="s">
        <v>814</v>
      </c>
      <c r="G1008" s="11" t="s">
        <v>2389</v>
      </c>
      <c r="H1008" s="10" t="s">
        <v>809</v>
      </c>
    </row>
    <row r="1009" spans="1:8" x14ac:dyDescent="0.25">
      <c r="A1009" s="11" t="s">
        <v>2390</v>
      </c>
      <c r="B1009" s="10" t="s">
        <v>804</v>
      </c>
      <c r="C1009" s="10" t="s">
        <v>2041</v>
      </c>
      <c r="D1009" s="10" t="str">
        <f>VLOOKUP(C1009,Region!A:B,2,FALSE)</f>
        <v>Hyderabad</v>
      </c>
      <c r="E1009" s="10" t="s">
        <v>1427</v>
      </c>
      <c r="F1009" s="11" t="s">
        <v>814</v>
      </c>
      <c r="G1009" s="11" t="s">
        <v>2391</v>
      </c>
      <c r="H1009" s="10" t="s">
        <v>809</v>
      </c>
    </row>
    <row r="1010" spans="1:8" x14ac:dyDescent="0.25">
      <c r="A1010" s="11" t="s">
        <v>2808</v>
      </c>
      <c r="B1010" s="10" t="s">
        <v>804</v>
      </c>
      <c r="C1010" s="10" t="s">
        <v>2752</v>
      </c>
      <c r="D1010" s="10" t="str">
        <f>VLOOKUP(C1010,Region!A:B,2,FALSE)</f>
        <v>Noida</v>
      </c>
      <c r="E1010" s="10" t="s">
        <v>806</v>
      </c>
      <c r="F1010" s="11" t="s">
        <v>823</v>
      </c>
      <c r="G1010" s="11" t="s">
        <v>2809</v>
      </c>
      <c r="H1010" s="10" t="s">
        <v>812</v>
      </c>
    </row>
    <row r="1011" spans="1:8" x14ac:dyDescent="0.25">
      <c r="A1011" s="11" t="s">
        <v>1937</v>
      </c>
      <c r="B1011" s="10" t="s">
        <v>804</v>
      </c>
      <c r="C1011" s="10" t="s">
        <v>1635</v>
      </c>
      <c r="D1011" s="10" t="str">
        <f>VLOOKUP(C1011,Region!A:B,2,FALSE)</f>
        <v>MBC US</v>
      </c>
      <c r="E1011" s="10" t="s">
        <v>806</v>
      </c>
      <c r="F1011" s="11" t="s">
        <v>807</v>
      </c>
      <c r="G1011" s="11" t="s">
        <v>380</v>
      </c>
      <c r="H1011" s="10" t="s">
        <v>812</v>
      </c>
    </row>
    <row r="1012" spans="1:8" x14ac:dyDescent="0.25">
      <c r="A1012" s="11" t="s">
        <v>2623</v>
      </c>
      <c r="B1012" s="10" t="s">
        <v>804</v>
      </c>
      <c r="C1012" s="10" t="s">
        <v>2518</v>
      </c>
      <c r="D1012" s="10" t="str">
        <f>VLOOKUP(C1012,Region!A:B,2,FALSE)</f>
        <v>Noida</v>
      </c>
      <c r="E1012" s="10" t="s">
        <v>1427</v>
      </c>
      <c r="F1012" s="11" t="s">
        <v>814</v>
      </c>
      <c r="G1012" s="11" t="s">
        <v>2624</v>
      </c>
      <c r="H1012" s="10" t="s">
        <v>809</v>
      </c>
    </row>
    <row r="1013" spans="1:8" x14ac:dyDescent="0.25">
      <c r="A1013" s="11" t="s">
        <v>2132</v>
      </c>
      <c r="B1013" s="10" t="s">
        <v>804</v>
      </c>
      <c r="C1013" s="10" t="s">
        <v>2041</v>
      </c>
      <c r="D1013" s="10" t="str">
        <f>VLOOKUP(C1013,Region!A:B,2,FALSE)</f>
        <v>Hyderabad</v>
      </c>
      <c r="E1013" s="10" t="s">
        <v>1427</v>
      </c>
      <c r="F1013" s="11" t="s">
        <v>814</v>
      </c>
      <c r="G1013" s="11" t="s">
        <v>2133</v>
      </c>
      <c r="H1013" s="10" t="s">
        <v>812</v>
      </c>
    </row>
    <row r="1014" spans="1:8" x14ac:dyDescent="0.25">
      <c r="A1014" s="11" t="s">
        <v>2893</v>
      </c>
      <c r="B1014" s="10" t="s">
        <v>804</v>
      </c>
      <c r="C1014" s="10" t="s">
        <v>2752</v>
      </c>
      <c r="D1014" s="10" t="str">
        <f>VLOOKUP(C1014,Region!A:B,2,FALSE)</f>
        <v>Noida</v>
      </c>
      <c r="E1014" s="10" t="s">
        <v>806</v>
      </c>
      <c r="F1014" s="11" t="s">
        <v>811</v>
      </c>
      <c r="G1014" s="11" t="s">
        <v>2894</v>
      </c>
      <c r="H1014" s="10" t="s">
        <v>812</v>
      </c>
    </row>
    <row r="1015" spans="1:8" x14ac:dyDescent="0.25">
      <c r="A1015" s="11" t="s">
        <v>1618</v>
      </c>
      <c r="B1015" s="10" t="s">
        <v>804</v>
      </c>
      <c r="C1015" s="10" t="s">
        <v>1426</v>
      </c>
      <c r="D1015" s="10" t="str">
        <f>VLOOKUP(C1015,Region!A:B,2,FALSE)</f>
        <v>Spain</v>
      </c>
      <c r="E1015" s="10" t="s">
        <v>1427</v>
      </c>
      <c r="F1015" s="11" t="s">
        <v>814</v>
      </c>
      <c r="G1015" s="11" t="s">
        <v>549</v>
      </c>
      <c r="H1015" s="10" t="s">
        <v>812</v>
      </c>
    </row>
    <row r="1016" spans="1:8" x14ac:dyDescent="0.25">
      <c r="A1016" s="11" t="s">
        <v>1198</v>
      </c>
      <c r="B1016" s="10" t="s">
        <v>1086</v>
      </c>
      <c r="C1016" s="10" t="s">
        <v>1087</v>
      </c>
      <c r="D1016" s="10" t="str">
        <f>VLOOKUP(C1016,Region!A:B,2,FALSE)</f>
        <v>Hyderabad</v>
      </c>
      <c r="E1016" s="10" t="s">
        <v>806</v>
      </c>
      <c r="F1016" s="11" t="s">
        <v>807</v>
      </c>
      <c r="G1016" s="11" t="s">
        <v>1199</v>
      </c>
      <c r="H1016" s="10" t="s">
        <v>812</v>
      </c>
    </row>
    <row r="1017" spans="1:8" x14ac:dyDescent="0.25">
      <c r="A1017" s="11" t="s">
        <v>1978</v>
      </c>
      <c r="B1017" s="10" t="s">
        <v>1086</v>
      </c>
      <c r="C1017" s="10" t="s">
        <v>1635</v>
      </c>
      <c r="D1017" s="10" t="str">
        <f>VLOOKUP(C1017,Region!A:B,2,FALSE)</f>
        <v>MBC US</v>
      </c>
      <c r="E1017" s="10" t="s">
        <v>806</v>
      </c>
      <c r="F1017" s="11" t="s">
        <v>1846</v>
      </c>
      <c r="G1017" s="11" t="s">
        <v>1979</v>
      </c>
      <c r="H1017" s="10" t="s">
        <v>809</v>
      </c>
    </row>
    <row r="1018" spans="1:8" x14ac:dyDescent="0.25">
      <c r="A1018" s="11" t="s">
        <v>3152</v>
      </c>
      <c r="B1018" s="10" t="s">
        <v>1086</v>
      </c>
      <c r="C1018" s="10" t="s">
        <v>2987</v>
      </c>
      <c r="D1018" s="10" t="str">
        <f>VLOOKUP(C1018,Region!A:B,2,FALSE)</f>
        <v>Noida</v>
      </c>
      <c r="E1018" s="10" t="s">
        <v>1427</v>
      </c>
      <c r="F1018" s="11" t="s">
        <v>823</v>
      </c>
      <c r="G1018" s="11" t="s">
        <v>3153</v>
      </c>
      <c r="H1018" s="10" t="s">
        <v>812</v>
      </c>
    </row>
    <row r="1019" spans="1:8" x14ac:dyDescent="0.25">
      <c r="A1019" s="11" t="s">
        <v>2463</v>
      </c>
      <c r="B1019" s="10" t="s">
        <v>804</v>
      </c>
      <c r="C1019" s="10" t="s">
        <v>2041</v>
      </c>
      <c r="D1019" s="10" t="str">
        <f>VLOOKUP(C1019,Region!A:B,2,FALSE)</f>
        <v>Hyderabad</v>
      </c>
      <c r="E1019" s="10" t="s">
        <v>1427</v>
      </c>
      <c r="F1019" s="11" t="s">
        <v>811</v>
      </c>
      <c r="G1019" s="11" t="s">
        <v>2464</v>
      </c>
      <c r="H1019" s="10" t="s">
        <v>812</v>
      </c>
    </row>
    <row r="1020" spans="1:8" x14ac:dyDescent="0.25">
      <c r="A1020" s="11" t="s">
        <v>1972</v>
      </c>
      <c r="B1020" s="10" t="s">
        <v>804</v>
      </c>
      <c r="C1020" s="10" t="s">
        <v>1635</v>
      </c>
      <c r="D1020" s="10" t="str">
        <f>VLOOKUP(C1020,Region!A:B,2,FALSE)</f>
        <v>MBC US</v>
      </c>
      <c r="E1020" s="10" t="s">
        <v>806</v>
      </c>
      <c r="F1020" s="11" t="s">
        <v>814</v>
      </c>
      <c r="G1020" s="11" t="s">
        <v>401</v>
      </c>
      <c r="H1020" s="10" t="s">
        <v>812</v>
      </c>
    </row>
    <row r="1021" spans="1:8" x14ac:dyDescent="0.25">
      <c r="A1021" s="11" t="s">
        <v>2134</v>
      </c>
      <c r="B1021" s="10" t="s">
        <v>804</v>
      </c>
      <c r="C1021" s="10" t="s">
        <v>2041</v>
      </c>
      <c r="D1021" s="10" t="str">
        <f>VLOOKUP(C1021,Region!A:B,2,FALSE)</f>
        <v>Hyderabad</v>
      </c>
      <c r="E1021" s="10" t="s">
        <v>1427</v>
      </c>
      <c r="F1021" s="11" t="s">
        <v>814</v>
      </c>
      <c r="G1021" s="11" t="s">
        <v>2135</v>
      </c>
      <c r="H1021" s="10" t="s">
        <v>809</v>
      </c>
    </row>
    <row r="1022" spans="1:8" x14ac:dyDescent="0.25">
      <c r="A1022" s="11" t="s">
        <v>874</v>
      </c>
      <c r="B1022" s="10" t="s">
        <v>804</v>
      </c>
      <c r="C1022" s="10" t="s">
        <v>805</v>
      </c>
      <c r="D1022" s="10" t="str">
        <f>VLOOKUP(C1022,Region!A:B,2,FALSE)</f>
        <v>Noida</v>
      </c>
      <c r="E1022" s="10" t="s">
        <v>806</v>
      </c>
      <c r="F1022" s="11" t="s">
        <v>814</v>
      </c>
      <c r="G1022" s="11" t="s">
        <v>875</v>
      </c>
      <c r="H1022" s="10" t="s">
        <v>809</v>
      </c>
    </row>
    <row r="1023" spans="1:8" x14ac:dyDescent="0.25">
      <c r="A1023" s="11" t="s">
        <v>3359</v>
      </c>
      <c r="B1023" s="10" t="s">
        <v>1086</v>
      </c>
      <c r="C1023" s="10" t="s">
        <v>3273</v>
      </c>
      <c r="D1023" s="10" t="str">
        <f>VLOOKUP(C1023,Region!A:B,2,FALSE)</f>
        <v>Noida</v>
      </c>
      <c r="E1023" s="10" t="s">
        <v>806</v>
      </c>
      <c r="F1023" s="11" t="s">
        <v>811</v>
      </c>
      <c r="G1023" s="11" t="s">
        <v>3360</v>
      </c>
      <c r="H1023" s="10" t="s">
        <v>812</v>
      </c>
    </row>
    <row r="1024" spans="1:8" x14ac:dyDescent="0.25">
      <c r="A1024" s="11" t="s">
        <v>2584</v>
      </c>
      <c r="B1024" s="10" t="s">
        <v>804</v>
      </c>
      <c r="C1024" s="10" t="s">
        <v>2518</v>
      </c>
      <c r="D1024" s="10" t="str">
        <f>VLOOKUP(C1024,Region!A:B,2,FALSE)</f>
        <v>Noida</v>
      </c>
      <c r="E1024" s="10" t="s">
        <v>1427</v>
      </c>
      <c r="F1024" s="11" t="s">
        <v>811</v>
      </c>
      <c r="G1024" s="11" t="s">
        <v>2585</v>
      </c>
      <c r="H1024" s="10" t="s">
        <v>809</v>
      </c>
    </row>
    <row r="1025" spans="1:8" x14ac:dyDescent="0.25">
      <c r="A1025" s="11" t="s">
        <v>1112</v>
      </c>
      <c r="B1025" s="10" t="s">
        <v>1086</v>
      </c>
      <c r="C1025" s="10" t="s">
        <v>1087</v>
      </c>
      <c r="D1025" s="10" t="str">
        <f>VLOOKUP(C1025,Region!A:B,2,FALSE)</f>
        <v>Hyderabad</v>
      </c>
      <c r="E1025" s="10" t="s">
        <v>806</v>
      </c>
      <c r="F1025" s="11" t="s">
        <v>811</v>
      </c>
      <c r="G1025" s="11" t="s">
        <v>1113</v>
      </c>
      <c r="H1025" s="10" t="s">
        <v>809</v>
      </c>
    </row>
    <row r="1026" spans="1:8" x14ac:dyDescent="0.25">
      <c r="A1026" s="11" t="s">
        <v>3138</v>
      </c>
      <c r="B1026" s="10" t="s">
        <v>1086</v>
      </c>
      <c r="C1026" s="10" t="s">
        <v>2987</v>
      </c>
      <c r="D1026" s="10" t="str">
        <f>VLOOKUP(C1026,Region!A:B,2,FALSE)</f>
        <v>Noida</v>
      </c>
      <c r="E1026" s="10" t="s">
        <v>1427</v>
      </c>
      <c r="F1026" s="11" t="s">
        <v>823</v>
      </c>
      <c r="G1026" s="11" t="s">
        <v>467</v>
      </c>
      <c r="H1026" s="10" t="s">
        <v>812</v>
      </c>
    </row>
    <row r="1027" spans="1:8" x14ac:dyDescent="0.25">
      <c r="A1027" s="11" t="s">
        <v>968</v>
      </c>
      <c r="B1027" s="10" t="s">
        <v>804</v>
      </c>
      <c r="C1027" s="10" t="s">
        <v>805</v>
      </c>
      <c r="D1027" s="10" t="str">
        <f>VLOOKUP(C1027,Region!A:B,2,FALSE)</f>
        <v>Noida</v>
      </c>
      <c r="E1027" s="10" t="s">
        <v>806</v>
      </c>
      <c r="F1027" s="11" t="s">
        <v>823</v>
      </c>
      <c r="G1027" s="11" t="s">
        <v>969</v>
      </c>
      <c r="H1027" s="10" t="s">
        <v>812</v>
      </c>
    </row>
    <row r="1028" spans="1:8" x14ac:dyDescent="0.25">
      <c r="A1028" s="11" t="s">
        <v>1411</v>
      </c>
      <c r="B1028" s="10" t="s">
        <v>1086</v>
      </c>
      <c r="C1028" s="10" t="s">
        <v>1087</v>
      </c>
      <c r="D1028" s="10" t="str">
        <f>VLOOKUP(C1028,Region!A:B,2,FALSE)</f>
        <v>Hyderabad</v>
      </c>
      <c r="E1028" s="10" t="s">
        <v>806</v>
      </c>
      <c r="F1028" s="11" t="s">
        <v>823</v>
      </c>
      <c r="G1028" s="11" t="s">
        <v>1412</v>
      </c>
      <c r="H1028" s="10" t="s">
        <v>812</v>
      </c>
    </row>
    <row r="1029" spans="1:8" x14ac:dyDescent="0.25">
      <c r="A1029" s="11" t="s">
        <v>980</v>
      </c>
      <c r="B1029" s="10" t="s">
        <v>804</v>
      </c>
      <c r="C1029" s="10" t="s">
        <v>805</v>
      </c>
      <c r="D1029" s="10" t="str">
        <f>VLOOKUP(C1029,Region!A:B,2,FALSE)</f>
        <v>Noida</v>
      </c>
      <c r="E1029" s="10" t="s">
        <v>806</v>
      </c>
      <c r="F1029" s="11" t="s">
        <v>834</v>
      </c>
      <c r="G1029" s="11" t="s">
        <v>981</v>
      </c>
      <c r="H1029" s="10" t="s">
        <v>809</v>
      </c>
    </row>
    <row r="1030" spans="1:8" x14ac:dyDescent="0.25">
      <c r="A1030" s="11" t="s">
        <v>2872</v>
      </c>
      <c r="B1030" s="10" t="s">
        <v>804</v>
      </c>
      <c r="C1030" s="10" t="s">
        <v>2752</v>
      </c>
      <c r="D1030" s="10" t="str">
        <f>VLOOKUP(C1030,Region!A:B,2,FALSE)</f>
        <v>Noida</v>
      </c>
      <c r="E1030" s="10" t="s">
        <v>806</v>
      </c>
      <c r="F1030" s="11" t="s">
        <v>823</v>
      </c>
      <c r="G1030" s="11" t="s">
        <v>2873</v>
      </c>
      <c r="H1030" s="10" t="s">
        <v>809</v>
      </c>
    </row>
    <row r="1031" spans="1:8" x14ac:dyDescent="0.25">
      <c r="A1031" s="11" t="s">
        <v>2079</v>
      </c>
      <c r="B1031" s="10" t="s">
        <v>804</v>
      </c>
      <c r="C1031" s="10" t="s">
        <v>2041</v>
      </c>
      <c r="D1031" s="10" t="str">
        <f>VLOOKUP(C1031,Region!A:B,2,FALSE)</f>
        <v>Hyderabad</v>
      </c>
      <c r="E1031" s="10" t="s">
        <v>1427</v>
      </c>
      <c r="F1031" s="11" t="s">
        <v>823</v>
      </c>
      <c r="G1031" s="11" t="s">
        <v>2080</v>
      </c>
      <c r="H1031" s="10" t="s">
        <v>809</v>
      </c>
    </row>
    <row r="1032" spans="1:8" x14ac:dyDescent="0.25">
      <c r="A1032" s="11" t="s">
        <v>1080</v>
      </c>
      <c r="B1032" s="10" t="s">
        <v>804</v>
      </c>
      <c r="C1032" s="10" t="s">
        <v>805</v>
      </c>
      <c r="D1032" s="10" t="str">
        <f>VLOOKUP(C1032,Region!A:B,2,FALSE)</f>
        <v>Noida</v>
      </c>
      <c r="E1032" s="10" t="s">
        <v>806</v>
      </c>
      <c r="F1032" s="11" t="s">
        <v>823</v>
      </c>
      <c r="G1032" s="11" t="s">
        <v>693</v>
      </c>
      <c r="H1032" s="10" t="s">
        <v>812</v>
      </c>
    </row>
    <row r="1033" spans="1:8" x14ac:dyDescent="0.25">
      <c r="A1033" s="11" t="s">
        <v>1299</v>
      </c>
      <c r="B1033" s="10" t="s">
        <v>1086</v>
      </c>
      <c r="C1033" s="10" t="s">
        <v>1087</v>
      </c>
      <c r="D1033" s="10" t="str">
        <f>VLOOKUP(C1033,Region!A:B,2,FALSE)</f>
        <v>Hyderabad</v>
      </c>
      <c r="E1033" s="10" t="s">
        <v>806</v>
      </c>
      <c r="F1033" s="11" t="s">
        <v>811</v>
      </c>
      <c r="G1033" s="11" t="s">
        <v>1300</v>
      </c>
      <c r="H1033" s="10" t="s">
        <v>812</v>
      </c>
    </row>
    <row r="1034" spans="1:8" x14ac:dyDescent="0.25">
      <c r="A1034" s="11" t="s">
        <v>2984</v>
      </c>
      <c r="B1034" s="10" t="s">
        <v>804</v>
      </c>
      <c r="C1034" s="10" t="s">
        <v>2752</v>
      </c>
      <c r="D1034" s="10" t="str">
        <f>VLOOKUP(C1034,Region!A:B,2,FALSE)</f>
        <v>Noida</v>
      </c>
      <c r="E1034" s="10" t="s">
        <v>806</v>
      </c>
      <c r="F1034" s="11" t="s">
        <v>823</v>
      </c>
      <c r="G1034" s="11" t="s">
        <v>2985</v>
      </c>
      <c r="H1034" s="10" t="s">
        <v>809</v>
      </c>
    </row>
    <row r="1035" spans="1:8" x14ac:dyDescent="0.25">
      <c r="A1035" s="11" t="s">
        <v>2864</v>
      </c>
      <c r="B1035" s="10" t="s">
        <v>804</v>
      </c>
      <c r="C1035" s="10" t="s">
        <v>2752</v>
      </c>
      <c r="D1035" s="10" t="str">
        <f>VLOOKUP(C1035,Region!A:B,2,FALSE)</f>
        <v>Noida</v>
      </c>
      <c r="E1035" s="10" t="s">
        <v>806</v>
      </c>
      <c r="F1035" s="11" t="s">
        <v>814</v>
      </c>
      <c r="G1035" s="11" t="s">
        <v>2865</v>
      </c>
      <c r="H1035" s="10" t="s">
        <v>812</v>
      </c>
    </row>
    <row r="1036" spans="1:8" x14ac:dyDescent="0.25">
      <c r="A1036" s="11" t="s">
        <v>3477</v>
      </c>
      <c r="B1036" s="10" t="s">
        <v>1086</v>
      </c>
      <c r="C1036" s="10" t="s">
        <v>3273</v>
      </c>
      <c r="D1036" s="10" t="str">
        <f>VLOOKUP(C1036,Region!A:B,2,FALSE)</f>
        <v>Noida</v>
      </c>
      <c r="E1036" s="10" t="s">
        <v>806</v>
      </c>
      <c r="F1036" s="11" t="s">
        <v>811</v>
      </c>
      <c r="G1036" s="11" t="s">
        <v>3478</v>
      </c>
      <c r="H1036" s="10" t="s">
        <v>812</v>
      </c>
    </row>
    <row r="1037" spans="1:8" x14ac:dyDescent="0.25">
      <c r="A1037" s="10" t="s">
        <v>3508</v>
      </c>
      <c r="B1037" s="10" t="s">
        <v>1086</v>
      </c>
      <c r="C1037" s="10" t="s">
        <v>3273</v>
      </c>
      <c r="D1037" s="10" t="str">
        <f>VLOOKUP(C1037,Region!A:B,2,FALSE)</f>
        <v>Noida</v>
      </c>
      <c r="E1037" s="10" t="s">
        <v>806</v>
      </c>
      <c r="F1037" s="10" t="s">
        <v>823</v>
      </c>
      <c r="G1037" s="10"/>
      <c r="H1037" s="10"/>
    </row>
    <row r="1038" spans="1:8" x14ac:dyDescent="0.25">
      <c r="A1038" s="11" t="s">
        <v>3401</v>
      </c>
      <c r="B1038" s="10" t="s">
        <v>1086</v>
      </c>
      <c r="C1038" s="10" t="s">
        <v>3273</v>
      </c>
      <c r="D1038" s="10" t="str">
        <f>VLOOKUP(C1038,Region!A:B,2,FALSE)</f>
        <v>Noida</v>
      </c>
      <c r="E1038" s="10" t="s">
        <v>806</v>
      </c>
      <c r="F1038" s="11" t="s">
        <v>811</v>
      </c>
      <c r="G1038" s="11" t="s">
        <v>3402</v>
      </c>
      <c r="H1038" s="10" t="s">
        <v>812</v>
      </c>
    </row>
    <row r="1039" spans="1:8" x14ac:dyDescent="0.25">
      <c r="A1039" s="11" t="s">
        <v>2716</v>
      </c>
      <c r="B1039" s="10" t="s">
        <v>804</v>
      </c>
      <c r="C1039" s="10" t="s">
        <v>2518</v>
      </c>
      <c r="D1039" s="10" t="str">
        <f>VLOOKUP(C1039,Region!A:B,2,FALSE)</f>
        <v>Noida</v>
      </c>
      <c r="E1039" s="10" t="s">
        <v>1427</v>
      </c>
      <c r="F1039" s="11" t="s">
        <v>823</v>
      </c>
      <c r="G1039" s="11" t="s">
        <v>2717</v>
      </c>
      <c r="H1039" s="10" t="s">
        <v>809</v>
      </c>
    </row>
    <row r="1040" spans="1:8" x14ac:dyDescent="0.25">
      <c r="A1040" s="11" t="s">
        <v>3169</v>
      </c>
      <c r="B1040" s="10" t="s">
        <v>1086</v>
      </c>
      <c r="C1040" s="10" t="s">
        <v>2987</v>
      </c>
      <c r="D1040" s="10" t="str">
        <f>VLOOKUP(C1040,Region!A:B,2,FALSE)</f>
        <v>Noida</v>
      </c>
      <c r="E1040" s="10" t="s">
        <v>1427</v>
      </c>
      <c r="F1040" s="11" t="s">
        <v>814</v>
      </c>
      <c r="G1040" s="11" t="s">
        <v>3170</v>
      </c>
      <c r="H1040" s="10" t="s">
        <v>809</v>
      </c>
    </row>
    <row r="1041" spans="1:8" x14ac:dyDescent="0.25">
      <c r="A1041" s="11" t="s">
        <v>1435</v>
      </c>
      <c r="B1041" s="10" t="s">
        <v>804</v>
      </c>
      <c r="C1041" s="10" t="s">
        <v>1426</v>
      </c>
      <c r="D1041" s="10" t="str">
        <f>VLOOKUP(C1041,Region!A:B,2,FALSE)</f>
        <v>Spain</v>
      </c>
      <c r="E1041" s="10" t="s">
        <v>1427</v>
      </c>
      <c r="F1041" s="11" t="s">
        <v>807</v>
      </c>
      <c r="G1041" s="11" t="s">
        <v>675</v>
      </c>
      <c r="H1041" s="10" t="s">
        <v>812</v>
      </c>
    </row>
    <row r="1042" spans="1:8" x14ac:dyDescent="0.25">
      <c r="A1042" s="11" t="s">
        <v>2308</v>
      </c>
      <c r="B1042" s="10" t="s">
        <v>804</v>
      </c>
      <c r="C1042" s="10" t="s">
        <v>2041</v>
      </c>
      <c r="D1042" s="10" t="str">
        <f>VLOOKUP(C1042,Region!A:B,2,FALSE)</f>
        <v>Hyderabad</v>
      </c>
      <c r="E1042" s="10" t="s">
        <v>1427</v>
      </c>
      <c r="F1042" s="11" t="s">
        <v>807</v>
      </c>
      <c r="G1042" s="11" t="s">
        <v>2309</v>
      </c>
      <c r="H1042" s="10" t="s">
        <v>809</v>
      </c>
    </row>
    <row r="1043" spans="1:8" x14ac:dyDescent="0.25">
      <c r="A1043" s="11" t="s">
        <v>1612</v>
      </c>
      <c r="B1043" s="10" t="s">
        <v>804</v>
      </c>
      <c r="C1043" s="10" t="s">
        <v>1426</v>
      </c>
      <c r="D1043" s="10" t="str">
        <f>VLOOKUP(C1043,Region!A:B,2,FALSE)</f>
        <v>Spain</v>
      </c>
      <c r="E1043" s="10" t="s">
        <v>1427</v>
      </c>
      <c r="F1043" s="11" t="s">
        <v>811</v>
      </c>
      <c r="G1043" s="11" t="s">
        <v>393</v>
      </c>
      <c r="H1043" s="10" t="s">
        <v>812</v>
      </c>
    </row>
    <row r="1044" spans="1:8" x14ac:dyDescent="0.25">
      <c r="A1044" s="11" t="s">
        <v>2658</v>
      </c>
      <c r="B1044" s="10" t="s">
        <v>804</v>
      </c>
      <c r="C1044" s="10" t="s">
        <v>2518</v>
      </c>
      <c r="D1044" s="10" t="str">
        <f>VLOOKUP(C1044,Region!A:B,2,FALSE)</f>
        <v>Noida</v>
      </c>
      <c r="E1044" s="10" t="s">
        <v>1427</v>
      </c>
      <c r="F1044" s="11" t="s">
        <v>823</v>
      </c>
      <c r="G1044" s="11" t="s">
        <v>2659</v>
      </c>
      <c r="H1044" s="10" t="s">
        <v>812</v>
      </c>
    </row>
    <row r="1045" spans="1:8" x14ac:dyDescent="0.25">
      <c r="A1045" s="11" t="s">
        <v>3357</v>
      </c>
      <c r="B1045" s="10" t="s">
        <v>1086</v>
      </c>
      <c r="C1045" s="10" t="s">
        <v>3273</v>
      </c>
      <c r="D1045" s="10" t="str">
        <f>VLOOKUP(C1045,Region!A:B,2,FALSE)</f>
        <v>Noida</v>
      </c>
      <c r="E1045" s="10" t="s">
        <v>806</v>
      </c>
      <c r="F1045" s="11" t="s">
        <v>811</v>
      </c>
      <c r="G1045" s="11" t="s">
        <v>3358</v>
      </c>
      <c r="H1045" s="10" t="s">
        <v>809</v>
      </c>
    </row>
    <row r="1046" spans="1:8" x14ac:dyDescent="0.25">
      <c r="A1046" s="11" t="s">
        <v>1966</v>
      </c>
      <c r="B1046" s="10" t="s">
        <v>804</v>
      </c>
      <c r="C1046" s="10" t="s">
        <v>1635</v>
      </c>
      <c r="D1046" s="10" t="str">
        <f>VLOOKUP(C1046,Region!A:B,2,FALSE)</f>
        <v>MBC US</v>
      </c>
      <c r="E1046" s="10" t="s">
        <v>806</v>
      </c>
      <c r="F1046" s="11" t="s">
        <v>814</v>
      </c>
      <c r="G1046" s="11" t="s">
        <v>1967</v>
      </c>
      <c r="H1046" s="10" t="s">
        <v>812</v>
      </c>
    </row>
    <row r="1047" spans="1:8" x14ac:dyDescent="0.25">
      <c r="A1047" s="11" t="s">
        <v>2754</v>
      </c>
      <c r="B1047" s="10" t="s">
        <v>804</v>
      </c>
      <c r="C1047" s="10" t="s">
        <v>2752</v>
      </c>
      <c r="D1047" s="10" t="str">
        <f>VLOOKUP(C1047,Region!A:B,2,FALSE)</f>
        <v>Noida</v>
      </c>
      <c r="E1047" s="10" t="s">
        <v>806</v>
      </c>
      <c r="F1047" s="11" t="s">
        <v>823</v>
      </c>
      <c r="G1047" s="11" t="s">
        <v>2755</v>
      </c>
      <c r="H1047" s="10" t="s">
        <v>809</v>
      </c>
    </row>
    <row r="1048" spans="1:8" x14ac:dyDescent="0.25">
      <c r="A1048" s="11" t="s">
        <v>1385</v>
      </c>
      <c r="B1048" s="10" t="s">
        <v>1086</v>
      </c>
      <c r="C1048" s="10" t="s">
        <v>1087</v>
      </c>
      <c r="D1048" s="10" t="str">
        <f>VLOOKUP(C1048,Region!A:B,2,FALSE)</f>
        <v>Hyderabad</v>
      </c>
      <c r="E1048" s="10" t="s">
        <v>806</v>
      </c>
      <c r="F1048" s="11" t="s">
        <v>811</v>
      </c>
      <c r="G1048" s="11" t="s">
        <v>1386</v>
      </c>
      <c r="H1048" s="10" t="s">
        <v>809</v>
      </c>
    </row>
    <row r="1049" spans="1:8" x14ac:dyDescent="0.25">
      <c r="A1049" s="11" t="s">
        <v>3175</v>
      </c>
      <c r="B1049" s="10" t="s">
        <v>1086</v>
      </c>
      <c r="C1049" s="10" t="s">
        <v>2987</v>
      </c>
      <c r="D1049" s="10" t="str">
        <f>VLOOKUP(C1049,Region!A:B,2,FALSE)</f>
        <v>Noida</v>
      </c>
      <c r="E1049" s="10" t="s">
        <v>1427</v>
      </c>
      <c r="F1049" s="11" t="s">
        <v>814</v>
      </c>
      <c r="G1049" s="11" t="s">
        <v>3176</v>
      </c>
      <c r="H1049" s="10" t="s">
        <v>809</v>
      </c>
    </row>
    <row r="1050" spans="1:8" x14ac:dyDescent="0.25">
      <c r="A1050" s="11" t="s">
        <v>2870</v>
      </c>
      <c r="B1050" s="10" t="s">
        <v>804</v>
      </c>
      <c r="C1050" s="10" t="s">
        <v>2752</v>
      </c>
      <c r="D1050" s="10" t="str">
        <f>VLOOKUP(C1050,Region!A:B,2,FALSE)</f>
        <v>Noida</v>
      </c>
      <c r="E1050" s="10" t="s">
        <v>806</v>
      </c>
      <c r="F1050" s="11" t="s">
        <v>823</v>
      </c>
      <c r="G1050" s="11" t="s">
        <v>2871</v>
      </c>
      <c r="H1050" s="10" t="s">
        <v>812</v>
      </c>
    </row>
    <row r="1051" spans="1:8" x14ac:dyDescent="0.25">
      <c r="A1051" s="11" t="s">
        <v>2682</v>
      </c>
      <c r="B1051" s="10" t="s">
        <v>804</v>
      </c>
      <c r="C1051" s="10" t="s">
        <v>2518</v>
      </c>
      <c r="D1051" s="10" t="str">
        <f>VLOOKUP(C1051,Region!A:B,2,FALSE)</f>
        <v>Noida</v>
      </c>
      <c r="E1051" s="10" t="s">
        <v>1427</v>
      </c>
      <c r="F1051" s="11" t="s">
        <v>834</v>
      </c>
      <c r="G1051" s="11" t="s">
        <v>2683</v>
      </c>
      <c r="H1051" s="10" t="s">
        <v>812</v>
      </c>
    </row>
    <row r="1052" spans="1:8" x14ac:dyDescent="0.25">
      <c r="A1052" s="11" t="s">
        <v>3397</v>
      </c>
      <c r="B1052" s="10" t="s">
        <v>1086</v>
      </c>
      <c r="C1052" s="10" t="s">
        <v>3273</v>
      </c>
      <c r="D1052" s="10" t="str">
        <f>VLOOKUP(C1052,Region!A:B,2,FALSE)</f>
        <v>Noida</v>
      </c>
      <c r="E1052" s="10" t="s">
        <v>806</v>
      </c>
      <c r="F1052" s="11" t="s">
        <v>814</v>
      </c>
      <c r="G1052" s="11" t="s">
        <v>3398</v>
      </c>
      <c r="H1052" s="10" t="s">
        <v>809</v>
      </c>
    </row>
    <row r="1053" spans="1:8" x14ac:dyDescent="0.25">
      <c r="A1053" s="11" t="s">
        <v>2779</v>
      </c>
      <c r="B1053" s="10" t="s">
        <v>804</v>
      </c>
      <c r="C1053" s="10" t="s">
        <v>2752</v>
      </c>
      <c r="D1053" s="10" t="str">
        <f>VLOOKUP(C1053,Region!A:B,2,FALSE)</f>
        <v>Noida</v>
      </c>
      <c r="E1053" s="10" t="s">
        <v>806</v>
      </c>
      <c r="F1053" s="11" t="s">
        <v>811</v>
      </c>
      <c r="G1053" s="11" t="s">
        <v>2780</v>
      </c>
      <c r="H1053" s="10" t="s">
        <v>812</v>
      </c>
    </row>
    <row r="1054" spans="1:8" x14ac:dyDescent="0.25">
      <c r="A1054" s="11" t="s">
        <v>3348</v>
      </c>
      <c r="B1054" s="10" t="s">
        <v>1086</v>
      </c>
      <c r="C1054" s="10" t="s">
        <v>3273</v>
      </c>
      <c r="D1054" s="10" t="str">
        <f>VLOOKUP(C1054,Region!A:B,2,FALSE)</f>
        <v>Noida</v>
      </c>
      <c r="E1054" s="10" t="s">
        <v>806</v>
      </c>
      <c r="F1054" s="11" t="s">
        <v>807</v>
      </c>
      <c r="G1054" s="11" t="s">
        <v>3349</v>
      </c>
      <c r="H1054" s="10" t="s">
        <v>809</v>
      </c>
    </row>
    <row r="1055" spans="1:8" x14ac:dyDescent="0.25">
      <c r="A1055" s="11" t="s">
        <v>1940</v>
      </c>
      <c r="B1055" s="10" t="s">
        <v>1086</v>
      </c>
      <c r="C1055" s="10" t="s">
        <v>1635</v>
      </c>
      <c r="D1055" s="10" t="str">
        <f>VLOOKUP(C1055,Region!A:B,2,FALSE)</f>
        <v>MBC US</v>
      </c>
      <c r="E1055" s="10" t="s">
        <v>806</v>
      </c>
      <c r="F1055" s="11" t="s">
        <v>807</v>
      </c>
      <c r="G1055" s="11" t="s">
        <v>1941</v>
      </c>
      <c r="H1055" s="10" t="s">
        <v>809</v>
      </c>
    </row>
    <row r="1056" spans="1:8" x14ac:dyDescent="0.25">
      <c r="A1056" s="11" t="s">
        <v>2969</v>
      </c>
      <c r="B1056" s="10" t="s">
        <v>804</v>
      </c>
      <c r="C1056" s="10" t="s">
        <v>2752</v>
      </c>
      <c r="D1056" s="10" t="str">
        <f>VLOOKUP(C1056,Region!A:B,2,FALSE)</f>
        <v>Noida</v>
      </c>
      <c r="E1056" s="10" t="s">
        <v>806</v>
      </c>
      <c r="F1056" s="11" t="s">
        <v>834</v>
      </c>
      <c r="G1056" s="11" t="s">
        <v>2970</v>
      </c>
      <c r="H1056" s="10" t="s">
        <v>809</v>
      </c>
    </row>
    <row r="1057" spans="1:8" x14ac:dyDescent="0.25">
      <c r="A1057" s="11" t="s">
        <v>1074</v>
      </c>
      <c r="B1057" s="10" t="s">
        <v>804</v>
      </c>
      <c r="C1057" s="10" t="s">
        <v>805</v>
      </c>
      <c r="D1057" s="10" t="str">
        <f>VLOOKUP(C1057,Region!A:B,2,FALSE)</f>
        <v>Noida</v>
      </c>
      <c r="E1057" s="10" t="s">
        <v>806</v>
      </c>
      <c r="F1057" s="11" t="s">
        <v>811</v>
      </c>
      <c r="G1057" s="11" t="s">
        <v>1075</v>
      </c>
      <c r="H1057" s="10" t="s">
        <v>809</v>
      </c>
    </row>
    <row r="1058" spans="1:8" x14ac:dyDescent="0.25">
      <c r="A1058" s="11" t="s">
        <v>3427</v>
      </c>
      <c r="B1058" s="10" t="s">
        <v>1086</v>
      </c>
      <c r="C1058" s="10" t="s">
        <v>3273</v>
      </c>
      <c r="D1058" s="10" t="str">
        <f>VLOOKUP(C1058,Region!A:B,2,FALSE)</f>
        <v>Noida</v>
      </c>
      <c r="E1058" s="10" t="s">
        <v>806</v>
      </c>
      <c r="F1058" s="11" t="s">
        <v>811</v>
      </c>
      <c r="G1058" s="11" t="s">
        <v>647</v>
      </c>
      <c r="H1058" s="10" t="s">
        <v>812</v>
      </c>
    </row>
    <row r="1059" spans="1:8" x14ac:dyDescent="0.25">
      <c r="A1059" s="11" t="s">
        <v>1942</v>
      </c>
      <c r="B1059" s="10" t="s">
        <v>804</v>
      </c>
      <c r="C1059" s="10" t="s">
        <v>1635</v>
      </c>
      <c r="D1059" s="10" t="str">
        <f>VLOOKUP(C1059,Region!A:B,2,FALSE)</f>
        <v>MBC US</v>
      </c>
      <c r="E1059" s="10" t="s">
        <v>806</v>
      </c>
      <c r="F1059" s="11" t="s">
        <v>814</v>
      </c>
      <c r="G1059" s="11" t="s">
        <v>1943</v>
      </c>
      <c r="H1059" s="10" t="s">
        <v>809</v>
      </c>
    </row>
    <row r="1060" spans="1:8" x14ac:dyDescent="0.25">
      <c r="A1060" s="11" t="s">
        <v>2445</v>
      </c>
      <c r="B1060" s="10" t="s">
        <v>804</v>
      </c>
      <c r="C1060" s="10" t="s">
        <v>2041</v>
      </c>
      <c r="D1060" s="10" t="str">
        <f>VLOOKUP(C1060,Region!A:B,2,FALSE)</f>
        <v>Hyderabad</v>
      </c>
      <c r="E1060" s="10" t="s">
        <v>1427</v>
      </c>
      <c r="F1060" s="11" t="s">
        <v>811</v>
      </c>
      <c r="G1060" s="11" t="s">
        <v>2446</v>
      </c>
      <c r="H1060" s="10" t="s">
        <v>809</v>
      </c>
    </row>
    <row r="1061" spans="1:8" x14ac:dyDescent="0.25">
      <c r="A1061" s="11" t="s">
        <v>1114</v>
      </c>
      <c r="B1061" s="10" t="s">
        <v>1086</v>
      </c>
      <c r="C1061" s="10" t="s">
        <v>1087</v>
      </c>
      <c r="D1061" s="10" t="str">
        <f>VLOOKUP(C1061,Region!A:B,2,FALSE)</f>
        <v>Hyderabad</v>
      </c>
      <c r="E1061" s="10" t="s">
        <v>806</v>
      </c>
      <c r="F1061" s="11" t="s">
        <v>807</v>
      </c>
      <c r="G1061" s="11" t="s">
        <v>1115</v>
      </c>
      <c r="H1061" s="10" t="s">
        <v>809</v>
      </c>
    </row>
    <row r="1062" spans="1:8" x14ac:dyDescent="0.25">
      <c r="A1062" s="11" t="s">
        <v>1944</v>
      </c>
      <c r="B1062" s="10" t="s">
        <v>1086</v>
      </c>
      <c r="C1062" s="10" t="s">
        <v>1635</v>
      </c>
      <c r="D1062" s="10" t="str">
        <f>VLOOKUP(C1062,Region!A:B,2,FALSE)</f>
        <v>MBC US</v>
      </c>
      <c r="E1062" s="10" t="s">
        <v>806</v>
      </c>
      <c r="F1062" s="11" t="s">
        <v>814</v>
      </c>
      <c r="G1062" s="11" t="s">
        <v>409</v>
      </c>
      <c r="H1062" s="10" t="s">
        <v>812</v>
      </c>
    </row>
    <row r="1063" spans="1:8" x14ac:dyDescent="0.25">
      <c r="A1063" s="11" t="s">
        <v>890</v>
      </c>
      <c r="B1063" s="10" t="s">
        <v>804</v>
      </c>
      <c r="C1063" s="10" t="s">
        <v>805</v>
      </c>
      <c r="D1063" s="10" t="str">
        <f>VLOOKUP(C1063,Region!A:B,2,FALSE)</f>
        <v>Noida</v>
      </c>
      <c r="E1063" s="10" t="s">
        <v>806</v>
      </c>
      <c r="F1063" s="11" t="s">
        <v>807</v>
      </c>
      <c r="G1063" s="11" t="s">
        <v>891</v>
      </c>
      <c r="H1063" s="10" t="s">
        <v>812</v>
      </c>
    </row>
    <row r="1064" spans="1:8" x14ac:dyDescent="0.25">
      <c r="A1064" s="11" t="s">
        <v>2310</v>
      </c>
      <c r="B1064" s="10" t="s">
        <v>804</v>
      </c>
      <c r="C1064" s="10" t="s">
        <v>2041</v>
      </c>
      <c r="D1064" s="10" t="str">
        <f>VLOOKUP(C1064,Region!A:B,2,FALSE)</f>
        <v>Hyderabad</v>
      </c>
      <c r="E1064" s="10" t="s">
        <v>1427</v>
      </c>
      <c r="F1064" s="11" t="s">
        <v>807</v>
      </c>
      <c r="G1064" s="11" t="s">
        <v>2311</v>
      </c>
      <c r="H1064" s="10" t="s">
        <v>812</v>
      </c>
    </row>
    <row r="1065" spans="1:8" x14ac:dyDescent="0.25">
      <c r="A1065" s="11" t="s">
        <v>2977</v>
      </c>
      <c r="B1065" s="10" t="s">
        <v>804</v>
      </c>
      <c r="C1065" s="10" t="s">
        <v>2752</v>
      </c>
      <c r="D1065" s="10" t="str">
        <f>VLOOKUP(C1065,Region!A:B,2,FALSE)</f>
        <v>Noida</v>
      </c>
      <c r="E1065" s="10" t="s">
        <v>806</v>
      </c>
      <c r="F1065" s="11" t="s">
        <v>807</v>
      </c>
      <c r="G1065" s="11" t="s">
        <v>2978</v>
      </c>
      <c r="H1065" s="10" t="s">
        <v>812</v>
      </c>
    </row>
    <row r="1066" spans="1:8" x14ac:dyDescent="0.25">
      <c r="A1066" s="11" t="s">
        <v>2586</v>
      </c>
      <c r="B1066" s="10" t="s">
        <v>804</v>
      </c>
      <c r="C1066" s="10" t="s">
        <v>2518</v>
      </c>
      <c r="D1066" s="10" t="str">
        <f>VLOOKUP(C1066,Region!A:B,2,FALSE)</f>
        <v>Noida</v>
      </c>
      <c r="E1066" s="10" t="s">
        <v>1427</v>
      </c>
      <c r="F1066" s="11" t="s">
        <v>811</v>
      </c>
      <c r="G1066" s="11" t="s">
        <v>2587</v>
      </c>
      <c r="H1066" s="10" t="s">
        <v>812</v>
      </c>
    </row>
    <row r="1067" spans="1:8" x14ac:dyDescent="0.25">
      <c r="A1067" s="11" t="s">
        <v>2392</v>
      </c>
      <c r="B1067" s="10" t="s">
        <v>804</v>
      </c>
      <c r="C1067" s="10" t="s">
        <v>2041</v>
      </c>
      <c r="D1067" s="10" t="str">
        <f>VLOOKUP(C1067,Region!A:B,2,FALSE)</f>
        <v>Hyderabad</v>
      </c>
      <c r="E1067" s="10" t="s">
        <v>1427</v>
      </c>
      <c r="F1067" s="11" t="s">
        <v>814</v>
      </c>
      <c r="G1067" s="11" t="s">
        <v>2393</v>
      </c>
      <c r="H1067" s="10" t="s">
        <v>812</v>
      </c>
    </row>
    <row r="1068" spans="1:8" x14ac:dyDescent="0.25">
      <c r="A1068" s="11" t="s">
        <v>2312</v>
      </c>
      <c r="B1068" s="10" t="s">
        <v>804</v>
      </c>
      <c r="C1068" s="10" t="s">
        <v>2041</v>
      </c>
      <c r="D1068" s="10" t="str">
        <f>VLOOKUP(C1068,Region!A:B,2,FALSE)</f>
        <v>Hyderabad</v>
      </c>
      <c r="E1068" s="10" t="s">
        <v>1427</v>
      </c>
      <c r="F1068" s="11" t="s">
        <v>807</v>
      </c>
      <c r="G1068" s="11" t="s">
        <v>226</v>
      </c>
      <c r="H1068" s="10" t="s">
        <v>812</v>
      </c>
    </row>
    <row r="1069" spans="1:8" x14ac:dyDescent="0.25">
      <c r="A1069" s="11" t="s">
        <v>1008</v>
      </c>
      <c r="B1069" s="10" t="s">
        <v>804</v>
      </c>
      <c r="C1069" s="10" t="s">
        <v>805</v>
      </c>
      <c r="D1069" s="10" t="str">
        <f>VLOOKUP(C1069,Region!A:B,2,FALSE)</f>
        <v>Noida</v>
      </c>
      <c r="E1069" s="10" t="s">
        <v>806</v>
      </c>
      <c r="F1069" s="11" t="s">
        <v>814</v>
      </c>
      <c r="G1069" s="11" t="s">
        <v>1009</v>
      </c>
      <c r="H1069" s="10" t="s">
        <v>812</v>
      </c>
    </row>
    <row r="1070" spans="1:8" x14ac:dyDescent="0.25">
      <c r="A1070" s="11" t="s">
        <v>1975</v>
      </c>
      <c r="B1070" s="10" t="s">
        <v>804</v>
      </c>
      <c r="C1070" s="10" t="s">
        <v>1635</v>
      </c>
      <c r="D1070" s="10" t="str">
        <f>VLOOKUP(C1070,Region!A:B,2,FALSE)</f>
        <v>MBC US</v>
      </c>
      <c r="E1070" s="10" t="s">
        <v>806</v>
      </c>
      <c r="F1070" s="11" t="s">
        <v>811</v>
      </c>
      <c r="G1070" s="11" t="s">
        <v>768</v>
      </c>
      <c r="H1070" s="10" t="s">
        <v>812</v>
      </c>
    </row>
    <row r="1071" spans="1:8" x14ac:dyDescent="0.25">
      <c r="A1071" s="11" t="s">
        <v>3473</v>
      </c>
      <c r="B1071" s="10" t="s">
        <v>1086</v>
      </c>
      <c r="C1071" s="10" t="s">
        <v>3273</v>
      </c>
      <c r="D1071" s="10" t="str">
        <f>VLOOKUP(C1071,Region!A:B,2,FALSE)</f>
        <v>Noida</v>
      </c>
      <c r="E1071" s="10" t="s">
        <v>806</v>
      </c>
      <c r="F1071" s="11" t="s">
        <v>807</v>
      </c>
      <c r="G1071" s="11" t="s">
        <v>3474</v>
      </c>
      <c r="H1071" s="10" t="s">
        <v>812</v>
      </c>
    </row>
    <row r="1072" spans="1:8" x14ac:dyDescent="0.25">
      <c r="A1072" s="11" t="s">
        <v>2794</v>
      </c>
      <c r="B1072" s="10" t="s">
        <v>804</v>
      </c>
      <c r="C1072" s="10" t="s">
        <v>2752</v>
      </c>
      <c r="D1072" s="10" t="str">
        <f>VLOOKUP(C1072,Region!A:B,2,FALSE)</f>
        <v>Noida</v>
      </c>
      <c r="E1072" s="10" t="s">
        <v>806</v>
      </c>
      <c r="F1072" s="11" t="s">
        <v>814</v>
      </c>
      <c r="G1072" s="11" t="s">
        <v>2795</v>
      </c>
      <c r="H1072" s="10" t="s">
        <v>812</v>
      </c>
    </row>
    <row r="1073" spans="1:8" x14ac:dyDescent="0.25">
      <c r="A1073" s="11" t="s">
        <v>2625</v>
      </c>
      <c r="B1073" s="10" t="s">
        <v>804</v>
      </c>
      <c r="C1073" s="10" t="s">
        <v>2518</v>
      </c>
      <c r="D1073" s="10" t="str">
        <f>VLOOKUP(C1073,Region!A:B,2,FALSE)</f>
        <v>Noida</v>
      </c>
      <c r="E1073" s="10" t="s">
        <v>1427</v>
      </c>
      <c r="F1073" s="11" t="s">
        <v>814</v>
      </c>
      <c r="G1073" s="11" t="s">
        <v>2626</v>
      </c>
      <c r="H1073" s="10" t="s">
        <v>809</v>
      </c>
    </row>
    <row r="1074" spans="1:8" x14ac:dyDescent="0.25">
      <c r="A1074" s="11" t="s">
        <v>2081</v>
      </c>
      <c r="B1074" s="10" t="s">
        <v>804</v>
      </c>
      <c r="C1074" s="10" t="s">
        <v>2041</v>
      </c>
      <c r="D1074" s="10" t="str">
        <f>VLOOKUP(C1074,Region!A:B,2,FALSE)</f>
        <v>Hyderabad</v>
      </c>
      <c r="E1074" s="10" t="s">
        <v>1427</v>
      </c>
      <c r="F1074" s="11" t="s">
        <v>823</v>
      </c>
      <c r="G1074" s="11" t="s">
        <v>2082</v>
      </c>
      <c r="H1074" s="10" t="s">
        <v>812</v>
      </c>
    </row>
    <row r="1075" spans="1:8" x14ac:dyDescent="0.25">
      <c r="A1075" s="11" t="s">
        <v>1961</v>
      </c>
      <c r="B1075" s="10" t="s">
        <v>804</v>
      </c>
      <c r="C1075" s="10" t="s">
        <v>1635</v>
      </c>
      <c r="D1075" s="10" t="str">
        <f>VLOOKUP(C1075,Region!A:B,2,FALSE)</f>
        <v>MBC US</v>
      </c>
      <c r="E1075" s="10" t="s">
        <v>806</v>
      </c>
      <c r="F1075" s="11" t="s">
        <v>814</v>
      </c>
      <c r="G1075" s="11" t="s">
        <v>1962</v>
      </c>
      <c r="H1075" s="10" t="s">
        <v>809</v>
      </c>
    </row>
    <row r="1076" spans="1:8" x14ac:dyDescent="0.25">
      <c r="A1076" s="11" t="s">
        <v>2942</v>
      </c>
      <c r="B1076" s="10" t="s">
        <v>804</v>
      </c>
      <c r="C1076" s="10" t="s">
        <v>2752</v>
      </c>
      <c r="D1076" s="10" t="str">
        <f>VLOOKUP(C1076,Region!A:B,2,FALSE)</f>
        <v>Noida</v>
      </c>
      <c r="E1076" s="10" t="s">
        <v>806</v>
      </c>
      <c r="F1076" s="11" t="s">
        <v>823</v>
      </c>
      <c r="G1076" s="11" t="s">
        <v>2943</v>
      </c>
      <c r="H1076" s="10" t="s">
        <v>809</v>
      </c>
    </row>
    <row r="1077" spans="1:8" x14ac:dyDescent="0.25">
      <c r="A1077" s="11" t="s">
        <v>2516</v>
      </c>
      <c r="B1077" s="10" t="s">
        <v>804</v>
      </c>
      <c r="C1077" s="10" t="s">
        <v>2041</v>
      </c>
      <c r="D1077" s="10" t="str">
        <f>VLOOKUP(C1077,Region!A:B,2,FALSE)</f>
        <v>Hyderabad</v>
      </c>
      <c r="E1077" s="10" t="s">
        <v>1427</v>
      </c>
      <c r="F1077" s="11" t="s">
        <v>807</v>
      </c>
      <c r="G1077" s="11" t="s">
        <v>790</v>
      </c>
      <c r="H1077" s="10" t="s">
        <v>809</v>
      </c>
    </row>
    <row r="1078" spans="1:8" x14ac:dyDescent="0.25">
      <c r="A1078" s="11" t="s">
        <v>2313</v>
      </c>
      <c r="B1078" s="10" t="s">
        <v>804</v>
      </c>
      <c r="C1078" s="10" t="s">
        <v>2041</v>
      </c>
      <c r="D1078" s="10" t="str">
        <f>VLOOKUP(C1078,Region!A:B,2,FALSE)</f>
        <v>Hyderabad</v>
      </c>
      <c r="E1078" s="10" t="s">
        <v>1427</v>
      </c>
      <c r="F1078" s="11" t="s">
        <v>807</v>
      </c>
      <c r="G1078" s="11" t="s">
        <v>2314</v>
      </c>
      <c r="H1078" s="10" t="s">
        <v>809</v>
      </c>
    </row>
    <row r="1079" spans="1:8" x14ac:dyDescent="0.25">
      <c r="A1079" s="11" t="s">
        <v>3156</v>
      </c>
      <c r="B1079" s="10" t="s">
        <v>1086</v>
      </c>
      <c r="C1079" s="10" t="s">
        <v>2987</v>
      </c>
      <c r="D1079" s="10" t="str">
        <f>VLOOKUP(C1079,Region!A:B,2,FALSE)</f>
        <v>Noida</v>
      </c>
      <c r="E1079" s="10" t="s">
        <v>1427</v>
      </c>
      <c r="F1079" s="11" t="s">
        <v>811</v>
      </c>
      <c r="G1079" s="11" t="s">
        <v>3157</v>
      </c>
      <c r="H1079" s="10" t="s">
        <v>809</v>
      </c>
    </row>
    <row r="1080" spans="1:8" x14ac:dyDescent="0.25">
      <c r="A1080" s="11" t="s">
        <v>3154</v>
      </c>
      <c r="B1080" s="10" t="s">
        <v>1086</v>
      </c>
      <c r="C1080" s="10" t="s">
        <v>2987</v>
      </c>
      <c r="D1080" s="10" t="str">
        <f>VLOOKUP(C1080,Region!A:B,2,FALSE)</f>
        <v>Noida</v>
      </c>
      <c r="E1080" s="10" t="s">
        <v>1427</v>
      </c>
      <c r="F1080" s="11" t="s">
        <v>823</v>
      </c>
      <c r="G1080" s="11" t="s">
        <v>3155</v>
      </c>
      <c r="H1080" s="10" t="s">
        <v>812</v>
      </c>
    </row>
    <row r="1081" spans="1:8" x14ac:dyDescent="0.25">
      <c r="A1081" s="11" t="s">
        <v>2315</v>
      </c>
      <c r="B1081" s="10" t="s">
        <v>804</v>
      </c>
      <c r="C1081" s="10" t="s">
        <v>2041</v>
      </c>
      <c r="D1081" s="10" t="str">
        <f>VLOOKUP(C1081,Region!A:B,2,FALSE)</f>
        <v>Hyderabad</v>
      </c>
      <c r="E1081" s="10" t="s">
        <v>1427</v>
      </c>
      <c r="F1081" s="11" t="s">
        <v>807</v>
      </c>
      <c r="G1081" s="11" t="s">
        <v>2316</v>
      </c>
      <c r="H1081" s="10" t="s">
        <v>809</v>
      </c>
    </row>
    <row r="1082" spans="1:8" x14ac:dyDescent="0.25">
      <c r="A1082" s="11" t="s">
        <v>2750</v>
      </c>
      <c r="B1082" s="10" t="s">
        <v>804</v>
      </c>
      <c r="C1082" s="10" t="s">
        <v>2518</v>
      </c>
      <c r="D1082" s="10" t="str">
        <f>VLOOKUP(C1082,Region!A:B,2,FALSE)</f>
        <v>Noida</v>
      </c>
      <c r="E1082" s="10" t="s">
        <v>1427</v>
      </c>
      <c r="F1082" s="11" t="s">
        <v>811</v>
      </c>
      <c r="G1082" s="11" t="s">
        <v>556</v>
      </c>
      <c r="H1082" s="10" t="s">
        <v>812</v>
      </c>
    </row>
    <row r="1083" spans="1:8" x14ac:dyDescent="0.25">
      <c r="A1083" s="11" t="s">
        <v>2317</v>
      </c>
      <c r="B1083" s="10" t="s">
        <v>804</v>
      </c>
      <c r="C1083" s="10" t="s">
        <v>2041</v>
      </c>
      <c r="D1083" s="10" t="str">
        <f>VLOOKUP(C1083,Region!A:B,2,FALSE)</f>
        <v>Hyderabad</v>
      </c>
      <c r="E1083" s="10" t="s">
        <v>1427</v>
      </c>
      <c r="F1083" s="11" t="s">
        <v>807</v>
      </c>
      <c r="G1083" s="11" t="s">
        <v>2318</v>
      </c>
      <c r="H1083" s="10" t="s">
        <v>809</v>
      </c>
    </row>
    <row r="1084" spans="1:8" x14ac:dyDescent="0.25">
      <c r="A1084" s="11" t="s">
        <v>2489</v>
      </c>
      <c r="B1084" s="10" t="s">
        <v>804</v>
      </c>
      <c r="C1084" s="10" t="s">
        <v>2041</v>
      </c>
      <c r="D1084" s="10" t="str">
        <f>VLOOKUP(C1084,Region!A:B,2,FALSE)</f>
        <v>Hyderabad</v>
      </c>
      <c r="E1084" s="10" t="s">
        <v>1427</v>
      </c>
      <c r="F1084" s="11" t="s">
        <v>823</v>
      </c>
      <c r="G1084" s="11" t="s">
        <v>2490</v>
      </c>
      <c r="H1084" s="10" t="s">
        <v>812</v>
      </c>
    </row>
    <row r="1085" spans="1:8" x14ac:dyDescent="0.25">
      <c r="A1085" s="11" t="s">
        <v>1147</v>
      </c>
      <c r="B1085" s="10" t="s">
        <v>1086</v>
      </c>
      <c r="C1085" s="10" t="s">
        <v>1087</v>
      </c>
      <c r="D1085" s="10" t="str">
        <f>VLOOKUP(C1085,Region!A:B,2,FALSE)</f>
        <v>Hyderabad</v>
      </c>
      <c r="E1085" s="10" t="s">
        <v>806</v>
      </c>
      <c r="F1085" s="11" t="s">
        <v>823</v>
      </c>
      <c r="G1085" s="11" t="s">
        <v>1148</v>
      </c>
      <c r="H1085" s="10" t="s">
        <v>809</v>
      </c>
    </row>
    <row r="1086" spans="1:8" x14ac:dyDescent="0.25">
      <c r="A1086" s="11" t="s">
        <v>2222</v>
      </c>
      <c r="B1086" s="10" t="s">
        <v>804</v>
      </c>
      <c r="C1086" s="10" t="s">
        <v>2041</v>
      </c>
      <c r="D1086" s="10" t="str">
        <f>VLOOKUP(C1086,Region!A:B,2,FALSE)</f>
        <v>Hyderabad</v>
      </c>
      <c r="E1086" s="10" t="s">
        <v>1427</v>
      </c>
      <c r="F1086" s="11" t="s">
        <v>811</v>
      </c>
      <c r="G1086" s="11" t="s">
        <v>2223</v>
      </c>
      <c r="H1086" s="10" t="s">
        <v>809</v>
      </c>
    </row>
    <row r="1087" spans="1:8" x14ac:dyDescent="0.25">
      <c r="A1087" s="11" t="s">
        <v>1615</v>
      </c>
      <c r="B1087" s="10" t="s">
        <v>804</v>
      </c>
      <c r="C1087" s="10" t="s">
        <v>1426</v>
      </c>
      <c r="D1087" s="10" t="str">
        <f>VLOOKUP(C1087,Region!A:B,2,FALSE)</f>
        <v>Spain</v>
      </c>
      <c r="E1087" s="10" t="s">
        <v>1427</v>
      </c>
      <c r="F1087" s="11" t="s">
        <v>823</v>
      </c>
      <c r="G1087" s="11" t="s">
        <v>136</v>
      </c>
      <c r="H1087" s="10" t="s">
        <v>812</v>
      </c>
    </row>
    <row r="1088" spans="1:8" x14ac:dyDescent="0.25">
      <c r="A1088" s="11" t="s">
        <v>938</v>
      </c>
      <c r="B1088" s="10" t="s">
        <v>804</v>
      </c>
      <c r="C1088" s="10" t="s">
        <v>805</v>
      </c>
      <c r="D1088" s="10" t="str">
        <f>VLOOKUP(C1088,Region!A:B,2,FALSE)</f>
        <v>Noida</v>
      </c>
      <c r="E1088" s="10" t="s">
        <v>806</v>
      </c>
      <c r="F1088" s="11" t="s">
        <v>823</v>
      </c>
      <c r="G1088" s="11" t="s">
        <v>939</v>
      </c>
      <c r="H1088" s="10" t="s">
        <v>809</v>
      </c>
    </row>
    <row r="1089" spans="1:8" x14ac:dyDescent="0.25">
      <c r="A1089" s="11" t="s">
        <v>3469</v>
      </c>
      <c r="B1089" s="10" t="s">
        <v>1086</v>
      </c>
      <c r="C1089" s="10" t="s">
        <v>3273</v>
      </c>
      <c r="D1089" s="10" t="str">
        <f>VLOOKUP(C1089,Region!A:B,2,FALSE)</f>
        <v>Noida</v>
      </c>
      <c r="E1089" s="10" t="s">
        <v>806</v>
      </c>
      <c r="F1089" s="11" t="s">
        <v>811</v>
      </c>
      <c r="G1089" s="11" t="s">
        <v>3470</v>
      </c>
      <c r="H1089" s="10" t="s">
        <v>809</v>
      </c>
    </row>
    <row r="1090" spans="1:8" x14ac:dyDescent="0.25">
      <c r="A1090" s="11" t="s">
        <v>2537</v>
      </c>
      <c r="B1090" s="10" t="s">
        <v>804</v>
      </c>
      <c r="C1090" s="10" t="s">
        <v>2518</v>
      </c>
      <c r="D1090" s="10" t="str">
        <f>VLOOKUP(C1090,Region!A:B,2,FALSE)</f>
        <v>Noida</v>
      </c>
      <c r="E1090" s="10" t="s">
        <v>1427</v>
      </c>
      <c r="F1090" s="11" t="s">
        <v>823</v>
      </c>
      <c r="G1090" s="11" t="s">
        <v>2538</v>
      </c>
      <c r="H1090" s="10" t="s">
        <v>809</v>
      </c>
    </row>
    <row r="1091" spans="1:8" x14ac:dyDescent="0.25">
      <c r="A1091" s="11" t="s">
        <v>1104</v>
      </c>
      <c r="B1091" s="10" t="s">
        <v>1086</v>
      </c>
      <c r="C1091" s="10" t="s">
        <v>1087</v>
      </c>
      <c r="D1091" s="10" t="str">
        <f>VLOOKUP(C1091,Region!A:B,2,FALSE)</f>
        <v>Hyderabad</v>
      </c>
      <c r="E1091" s="10" t="s">
        <v>806</v>
      </c>
      <c r="F1091" s="11" t="s">
        <v>823</v>
      </c>
      <c r="G1091" s="11" t="s">
        <v>1105</v>
      </c>
      <c r="H1091" s="10" t="s">
        <v>812</v>
      </c>
    </row>
    <row r="1092" spans="1:8" x14ac:dyDescent="0.25">
      <c r="A1092" s="11" t="s">
        <v>860</v>
      </c>
      <c r="B1092" s="10" t="s">
        <v>804</v>
      </c>
      <c r="C1092" s="10" t="s">
        <v>805</v>
      </c>
      <c r="D1092" s="10" t="str">
        <f>VLOOKUP(C1092,Region!A:B,2,FALSE)</f>
        <v>Noida</v>
      </c>
      <c r="E1092" s="10" t="s">
        <v>806</v>
      </c>
      <c r="F1092" s="11" t="s">
        <v>823</v>
      </c>
      <c r="G1092" s="11" t="s">
        <v>861</v>
      </c>
      <c r="H1092" s="10" t="s">
        <v>812</v>
      </c>
    </row>
    <row r="1093" spans="1:8" x14ac:dyDescent="0.25">
      <c r="A1093" s="11" t="s">
        <v>2718</v>
      </c>
      <c r="B1093" s="10" t="s">
        <v>804</v>
      </c>
      <c r="C1093" s="10" t="s">
        <v>2518</v>
      </c>
      <c r="D1093" s="10" t="str">
        <f>VLOOKUP(C1093,Region!A:B,2,FALSE)</f>
        <v>Noida</v>
      </c>
      <c r="E1093" s="10" t="s">
        <v>1427</v>
      </c>
      <c r="F1093" s="11" t="s">
        <v>823</v>
      </c>
      <c r="G1093" s="11" t="s">
        <v>2719</v>
      </c>
      <c r="H1093" s="10" t="s">
        <v>812</v>
      </c>
    </row>
    <row r="1094" spans="1:8" x14ac:dyDescent="0.25">
      <c r="A1094" s="11" t="s">
        <v>2588</v>
      </c>
      <c r="B1094" s="10" t="s">
        <v>804</v>
      </c>
      <c r="C1094" s="10" t="s">
        <v>2518</v>
      </c>
      <c r="D1094" s="10" t="str">
        <f>VLOOKUP(C1094,Region!A:B,2,FALSE)</f>
        <v>Noida</v>
      </c>
      <c r="E1094" s="10" t="s">
        <v>1427</v>
      </c>
      <c r="F1094" s="11" t="s">
        <v>811</v>
      </c>
      <c r="G1094" s="11" t="s">
        <v>2589</v>
      </c>
      <c r="H1094" s="10" t="s">
        <v>809</v>
      </c>
    </row>
    <row r="1095" spans="1:8" x14ac:dyDescent="0.25">
      <c r="A1095" s="11" t="s">
        <v>2394</v>
      </c>
      <c r="B1095" s="10" t="s">
        <v>804</v>
      </c>
      <c r="C1095" s="10" t="s">
        <v>2041</v>
      </c>
      <c r="D1095" s="10" t="str">
        <f>VLOOKUP(C1095,Region!A:B,2,FALSE)</f>
        <v>Hyderabad</v>
      </c>
      <c r="E1095" s="10" t="s">
        <v>1427</v>
      </c>
      <c r="F1095" s="11" t="s">
        <v>814</v>
      </c>
      <c r="G1095" s="11" t="s">
        <v>495</v>
      </c>
      <c r="H1095" s="10" t="s">
        <v>812</v>
      </c>
    </row>
    <row r="1096" spans="1:8" x14ac:dyDescent="0.25">
      <c r="A1096" s="11" t="s">
        <v>2539</v>
      </c>
      <c r="B1096" s="10" t="s">
        <v>804</v>
      </c>
      <c r="C1096" s="10" t="s">
        <v>2518</v>
      </c>
      <c r="D1096" s="10" t="str">
        <f>VLOOKUP(C1096,Region!A:B,2,FALSE)</f>
        <v>Noida</v>
      </c>
      <c r="E1096" s="10" t="s">
        <v>1427</v>
      </c>
      <c r="F1096" s="11" t="s">
        <v>823</v>
      </c>
      <c r="G1096" s="11" t="s">
        <v>453</v>
      </c>
      <c r="H1096" s="10" t="s">
        <v>812</v>
      </c>
    </row>
    <row r="1097" spans="1:8" x14ac:dyDescent="0.25">
      <c r="A1097" s="11" t="s">
        <v>1345</v>
      </c>
      <c r="B1097" s="10" t="s">
        <v>1086</v>
      </c>
      <c r="C1097" s="10" t="s">
        <v>1087</v>
      </c>
      <c r="D1097" s="10" t="str">
        <f>VLOOKUP(C1097,Region!A:B,2,FALSE)</f>
        <v>Hyderabad</v>
      </c>
      <c r="E1097" s="10" t="s">
        <v>806</v>
      </c>
      <c r="F1097" s="11" t="s">
        <v>823</v>
      </c>
      <c r="G1097" s="11" t="s">
        <v>1346</v>
      </c>
      <c r="H1097" s="10" t="s">
        <v>812</v>
      </c>
    </row>
    <row r="1098" spans="1:8" x14ac:dyDescent="0.25">
      <c r="A1098" s="11" t="s">
        <v>922</v>
      </c>
      <c r="B1098" s="10" t="s">
        <v>804</v>
      </c>
      <c r="C1098" s="10" t="s">
        <v>805</v>
      </c>
      <c r="D1098" s="10" t="str">
        <f>VLOOKUP(C1098,Region!A:B,2,FALSE)</f>
        <v>Noida</v>
      </c>
      <c r="E1098" s="10" t="s">
        <v>806</v>
      </c>
      <c r="F1098" s="11" t="s">
        <v>811</v>
      </c>
      <c r="G1098" s="11" t="s">
        <v>923</v>
      </c>
      <c r="H1098" s="10" t="s">
        <v>812</v>
      </c>
    </row>
    <row r="1099" spans="1:8" x14ac:dyDescent="0.25">
      <c r="A1099" s="11" t="s">
        <v>3350</v>
      </c>
      <c r="B1099" s="10" t="s">
        <v>1086</v>
      </c>
      <c r="C1099" s="10" t="s">
        <v>3273</v>
      </c>
      <c r="D1099" s="10" t="str">
        <f>VLOOKUP(C1099,Region!A:B,2,FALSE)</f>
        <v>Noida</v>
      </c>
      <c r="E1099" s="10" t="s">
        <v>806</v>
      </c>
      <c r="F1099" s="11" t="s">
        <v>807</v>
      </c>
      <c r="G1099" s="11" t="s">
        <v>3351</v>
      </c>
      <c r="H1099" s="10" t="s">
        <v>809</v>
      </c>
    </row>
    <row r="1100" spans="1:8" x14ac:dyDescent="0.25">
      <c r="A1100" s="11" t="s">
        <v>2395</v>
      </c>
      <c r="B1100" s="10" t="s">
        <v>804</v>
      </c>
      <c r="C1100" s="10" t="s">
        <v>2041</v>
      </c>
      <c r="D1100" s="10" t="str">
        <f>VLOOKUP(C1100,Region!A:B,2,FALSE)</f>
        <v>Hyderabad</v>
      </c>
      <c r="E1100" s="10" t="s">
        <v>1427</v>
      </c>
      <c r="F1100" s="11" t="s">
        <v>814</v>
      </c>
      <c r="G1100" s="11" t="s">
        <v>407</v>
      </c>
      <c r="H1100" s="10" t="s">
        <v>812</v>
      </c>
    </row>
    <row r="1101" spans="1:8" x14ac:dyDescent="0.25">
      <c r="A1101" s="11" t="s">
        <v>1026</v>
      </c>
      <c r="B1101" s="10" t="s">
        <v>804</v>
      </c>
      <c r="C1101" s="10" t="s">
        <v>805</v>
      </c>
      <c r="D1101" s="10" t="str">
        <f>VLOOKUP(C1101,Region!A:B,2,FALSE)</f>
        <v>Noida</v>
      </c>
      <c r="E1101" s="10" t="s">
        <v>806</v>
      </c>
      <c r="F1101" s="11" t="s">
        <v>814</v>
      </c>
      <c r="G1101" s="11" t="s">
        <v>1027</v>
      </c>
      <c r="H1101" s="10" t="s">
        <v>812</v>
      </c>
    </row>
    <row r="1102" spans="1:8" x14ac:dyDescent="0.25">
      <c r="A1102" s="11" t="s">
        <v>1314</v>
      </c>
      <c r="B1102" s="10" t="s">
        <v>1086</v>
      </c>
      <c r="C1102" s="10" t="s">
        <v>1087</v>
      </c>
      <c r="D1102" s="10" t="str">
        <f>VLOOKUP(C1102,Region!A:B,2,FALSE)</f>
        <v>Hyderabad</v>
      </c>
      <c r="E1102" s="10" t="s">
        <v>806</v>
      </c>
      <c r="F1102" s="11" t="s">
        <v>807</v>
      </c>
      <c r="G1102" s="11" t="s">
        <v>758</v>
      </c>
      <c r="H1102" s="10" t="s">
        <v>812</v>
      </c>
    </row>
    <row r="1103" spans="1:8" x14ac:dyDescent="0.25">
      <c r="A1103" s="11" t="s">
        <v>1614</v>
      </c>
      <c r="B1103" s="10" t="s">
        <v>804</v>
      </c>
      <c r="C1103" s="10" t="s">
        <v>1426</v>
      </c>
      <c r="D1103" s="10" t="str">
        <f>VLOOKUP(C1103,Region!A:B,2,FALSE)</f>
        <v>Spain</v>
      </c>
      <c r="E1103" s="10" t="s">
        <v>1427</v>
      </c>
      <c r="F1103" s="11" t="s">
        <v>814</v>
      </c>
      <c r="G1103" s="11" t="s">
        <v>336</v>
      </c>
      <c r="H1103" s="10" t="s">
        <v>812</v>
      </c>
    </row>
    <row r="1104" spans="1:8" x14ac:dyDescent="0.25">
      <c r="A1104" s="11" t="s">
        <v>888</v>
      </c>
      <c r="B1104" s="10" t="s">
        <v>804</v>
      </c>
      <c r="C1104" s="10" t="s">
        <v>805</v>
      </c>
      <c r="D1104" s="10" t="str">
        <f>VLOOKUP(C1104,Region!A:B,2,FALSE)</f>
        <v>Noida</v>
      </c>
      <c r="E1104" s="10" t="s">
        <v>806</v>
      </c>
      <c r="F1104" s="11" t="s">
        <v>811</v>
      </c>
      <c r="G1104" s="11" t="s">
        <v>889</v>
      </c>
      <c r="H1104" s="10" t="s">
        <v>809</v>
      </c>
    </row>
    <row r="1105" spans="1:8" x14ac:dyDescent="0.25">
      <c r="A1105" s="11" t="s">
        <v>1070</v>
      </c>
      <c r="B1105" s="10" t="s">
        <v>804</v>
      </c>
      <c r="C1105" s="10" t="s">
        <v>805</v>
      </c>
      <c r="D1105" s="10" t="str">
        <f>VLOOKUP(C1105,Region!A:B,2,FALSE)</f>
        <v>Noida</v>
      </c>
      <c r="E1105" s="10" t="s">
        <v>806</v>
      </c>
      <c r="F1105" s="11" t="s">
        <v>807</v>
      </c>
      <c r="G1105" s="11" t="s">
        <v>1071</v>
      </c>
      <c r="H1105" s="10" t="s">
        <v>809</v>
      </c>
    </row>
    <row r="1106" spans="1:8" x14ac:dyDescent="0.25">
      <c r="A1106" s="11" t="s">
        <v>2590</v>
      </c>
      <c r="B1106" s="10" t="s">
        <v>804</v>
      </c>
      <c r="C1106" s="10" t="s">
        <v>2518</v>
      </c>
      <c r="D1106" s="10" t="str">
        <f>VLOOKUP(C1106,Region!A:B,2,FALSE)</f>
        <v>Noida</v>
      </c>
      <c r="E1106" s="10" t="s">
        <v>1427</v>
      </c>
      <c r="F1106" s="11" t="s">
        <v>811</v>
      </c>
      <c r="G1106" s="11" t="s">
        <v>2591</v>
      </c>
      <c r="H1106" s="10" t="s">
        <v>812</v>
      </c>
    </row>
    <row r="1107" spans="1:8" x14ac:dyDescent="0.25">
      <c r="A1107" s="11" t="s">
        <v>1980</v>
      </c>
      <c r="B1107" s="10" t="s">
        <v>804</v>
      </c>
      <c r="C1107" s="10" t="s">
        <v>1635</v>
      </c>
      <c r="D1107" s="10" t="str">
        <f>VLOOKUP(C1107,Region!A:B,2,FALSE)</f>
        <v>MBC US</v>
      </c>
      <c r="E1107" s="10" t="s">
        <v>806</v>
      </c>
      <c r="F1107" s="11" t="s">
        <v>814</v>
      </c>
      <c r="G1107" s="11" t="s">
        <v>1981</v>
      </c>
      <c r="H1107" s="10" t="s">
        <v>809</v>
      </c>
    </row>
    <row r="1108" spans="1:8" x14ac:dyDescent="0.25">
      <c r="A1108" s="11" t="s">
        <v>1982</v>
      </c>
      <c r="B1108" s="10" t="s">
        <v>1086</v>
      </c>
      <c r="C1108" s="10" t="s">
        <v>1635</v>
      </c>
      <c r="D1108" s="10" t="str">
        <f>VLOOKUP(C1108,Region!A:B,2,FALSE)</f>
        <v>MBC US</v>
      </c>
      <c r="E1108" s="10" t="s">
        <v>806</v>
      </c>
      <c r="F1108" s="11" t="s">
        <v>823</v>
      </c>
      <c r="G1108" s="11" t="s">
        <v>420</v>
      </c>
      <c r="H1108" s="10" t="s">
        <v>812</v>
      </c>
    </row>
    <row r="1109" spans="1:8" x14ac:dyDescent="0.25">
      <c r="A1109" s="11" t="s">
        <v>2887</v>
      </c>
      <c r="B1109" s="10" t="s">
        <v>804</v>
      </c>
      <c r="C1109" s="10" t="s">
        <v>2752</v>
      </c>
      <c r="D1109" s="10" t="str">
        <f>VLOOKUP(C1109,Region!A:B,2,FALSE)</f>
        <v>Noida</v>
      </c>
      <c r="E1109" s="10" t="s">
        <v>806</v>
      </c>
      <c r="F1109" s="11" t="s">
        <v>811</v>
      </c>
      <c r="G1109" s="11" t="s">
        <v>2888</v>
      </c>
      <c r="H1109" s="10" t="s">
        <v>809</v>
      </c>
    </row>
    <row r="1110" spans="1:8" x14ac:dyDescent="0.25">
      <c r="A1110" s="11" t="s">
        <v>2396</v>
      </c>
      <c r="B1110" s="10" t="s">
        <v>804</v>
      </c>
      <c r="C1110" s="10" t="s">
        <v>2041</v>
      </c>
      <c r="D1110" s="10" t="str">
        <f>VLOOKUP(C1110,Region!A:B,2,FALSE)</f>
        <v>Hyderabad</v>
      </c>
      <c r="E1110" s="10" t="s">
        <v>1427</v>
      </c>
      <c r="F1110" s="11" t="s">
        <v>814</v>
      </c>
      <c r="G1110" s="11" t="s">
        <v>2397</v>
      </c>
      <c r="H1110" s="10" t="s">
        <v>809</v>
      </c>
    </row>
    <row r="1111" spans="1:8" x14ac:dyDescent="0.25">
      <c r="A1111" s="11" t="s">
        <v>876</v>
      </c>
      <c r="B1111" s="10" t="s">
        <v>804</v>
      </c>
      <c r="C1111" s="10" t="s">
        <v>805</v>
      </c>
      <c r="D1111" s="10" t="str">
        <f>VLOOKUP(C1111,Region!A:B,2,FALSE)</f>
        <v>Noida</v>
      </c>
      <c r="E1111" s="10" t="s">
        <v>806</v>
      </c>
      <c r="F1111" s="11" t="s">
        <v>814</v>
      </c>
      <c r="G1111" s="11" t="s">
        <v>877</v>
      </c>
      <c r="H1111" s="10" t="s">
        <v>809</v>
      </c>
    </row>
    <row r="1112" spans="1:8" x14ac:dyDescent="0.25">
      <c r="A1112" s="11" t="s">
        <v>878</v>
      </c>
      <c r="B1112" s="10" t="s">
        <v>804</v>
      </c>
      <c r="C1112" s="10" t="s">
        <v>805</v>
      </c>
      <c r="D1112" s="10" t="str">
        <f>VLOOKUP(C1112,Region!A:B,2,FALSE)</f>
        <v>Noida</v>
      </c>
      <c r="E1112" s="10" t="s">
        <v>806</v>
      </c>
      <c r="F1112" s="11" t="s">
        <v>823</v>
      </c>
      <c r="G1112" s="11" t="s">
        <v>879</v>
      </c>
      <c r="H1112" s="10" t="s">
        <v>809</v>
      </c>
    </row>
    <row r="1113" spans="1:8" x14ac:dyDescent="0.25">
      <c r="A1113" s="11" t="s">
        <v>2592</v>
      </c>
      <c r="B1113" s="10" t="s">
        <v>804</v>
      </c>
      <c r="C1113" s="10" t="s">
        <v>2518</v>
      </c>
      <c r="D1113" s="10" t="str">
        <f>VLOOKUP(C1113,Region!A:B,2,FALSE)</f>
        <v>Noida</v>
      </c>
      <c r="E1113" s="10" t="s">
        <v>1427</v>
      </c>
      <c r="F1113" s="11" t="s">
        <v>811</v>
      </c>
      <c r="G1113" s="11" t="s">
        <v>458</v>
      </c>
      <c r="H1113" s="10" t="s">
        <v>812</v>
      </c>
    </row>
    <row r="1114" spans="1:8" x14ac:dyDescent="0.25">
      <c r="A1114" s="11" t="s">
        <v>2593</v>
      </c>
      <c r="B1114" s="10" t="s">
        <v>804</v>
      </c>
      <c r="C1114" s="10" t="s">
        <v>2518</v>
      </c>
      <c r="D1114" s="10" t="str">
        <f>VLOOKUP(C1114,Region!A:B,2,FALSE)</f>
        <v>Noida</v>
      </c>
      <c r="E1114" s="10" t="s">
        <v>1427</v>
      </c>
      <c r="F1114" s="11" t="s">
        <v>811</v>
      </c>
      <c r="G1114" s="11" t="s">
        <v>560</v>
      </c>
      <c r="H1114" s="10" t="s">
        <v>812</v>
      </c>
    </row>
    <row r="1115" spans="1:8" x14ac:dyDescent="0.25">
      <c r="A1115" s="11" t="s">
        <v>962</v>
      </c>
      <c r="B1115" s="10" t="s">
        <v>804</v>
      </c>
      <c r="C1115" s="10" t="s">
        <v>805</v>
      </c>
      <c r="D1115" s="10" t="str">
        <f>VLOOKUP(C1115,Region!A:B,2,FALSE)</f>
        <v>Noida</v>
      </c>
      <c r="E1115" s="10" t="s">
        <v>806</v>
      </c>
      <c r="F1115" s="11" t="s">
        <v>823</v>
      </c>
      <c r="G1115" s="11" t="s">
        <v>963</v>
      </c>
      <c r="H1115" s="10" t="s">
        <v>809</v>
      </c>
    </row>
    <row r="1116" spans="1:8" x14ac:dyDescent="0.25">
      <c r="A1116" s="11" t="s">
        <v>3023</v>
      </c>
      <c r="B1116" s="10" t="s">
        <v>1086</v>
      </c>
      <c r="C1116" s="10" t="s">
        <v>2987</v>
      </c>
      <c r="D1116" s="10" t="str">
        <f>VLOOKUP(C1116,Region!A:B,2,FALSE)</f>
        <v>Noida</v>
      </c>
      <c r="E1116" s="10" t="s">
        <v>1427</v>
      </c>
      <c r="F1116" s="11" t="s">
        <v>814</v>
      </c>
      <c r="G1116" s="11" t="s">
        <v>3024</v>
      </c>
      <c r="H1116" s="10" t="s">
        <v>812</v>
      </c>
    </row>
    <row r="1117" spans="1:8" x14ac:dyDescent="0.25">
      <c r="A1117" s="11" t="s">
        <v>3246</v>
      </c>
      <c r="B1117" s="10" t="s">
        <v>1086</v>
      </c>
      <c r="C1117" s="10" t="s">
        <v>2987</v>
      </c>
      <c r="D1117" s="10" t="str">
        <f>VLOOKUP(C1117,Region!A:B,2,FALSE)</f>
        <v>Noida</v>
      </c>
      <c r="E1117" s="10" t="s">
        <v>1427</v>
      </c>
      <c r="F1117" s="11" t="s">
        <v>811</v>
      </c>
      <c r="G1117" s="11" t="s">
        <v>3247</v>
      </c>
      <c r="H1117" s="10" t="s">
        <v>812</v>
      </c>
    </row>
    <row r="1118" spans="1:8" x14ac:dyDescent="0.25">
      <c r="A1118" s="11" t="s">
        <v>2660</v>
      </c>
      <c r="B1118" s="10" t="s">
        <v>804</v>
      </c>
      <c r="C1118" s="10" t="s">
        <v>2518</v>
      </c>
      <c r="D1118" s="10" t="str">
        <f>VLOOKUP(C1118,Region!A:B,2,FALSE)</f>
        <v>Noida</v>
      </c>
      <c r="E1118" s="10" t="s">
        <v>1427</v>
      </c>
      <c r="F1118" s="11" t="s">
        <v>823</v>
      </c>
      <c r="G1118" s="11" t="s">
        <v>2661</v>
      </c>
      <c r="H1118" s="10" t="s">
        <v>812</v>
      </c>
    </row>
    <row r="1119" spans="1:8" x14ac:dyDescent="0.25">
      <c r="A1119" s="11" t="s">
        <v>3344</v>
      </c>
      <c r="B1119" s="10" t="s">
        <v>1086</v>
      </c>
      <c r="C1119" s="10" t="s">
        <v>3273</v>
      </c>
      <c r="D1119" s="10" t="str">
        <f>VLOOKUP(C1119,Region!A:B,2,FALSE)</f>
        <v>Noida</v>
      </c>
      <c r="E1119" s="10" t="s">
        <v>806</v>
      </c>
      <c r="F1119" s="11" t="s">
        <v>811</v>
      </c>
      <c r="G1119" s="11" t="s">
        <v>3345</v>
      </c>
      <c r="H1119" s="10" t="s">
        <v>809</v>
      </c>
    </row>
    <row r="1120" spans="1:8" x14ac:dyDescent="0.25">
      <c r="A1120" s="11" t="s">
        <v>3295</v>
      </c>
      <c r="B1120" s="10" t="s">
        <v>1086</v>
      </c>
      <c r="C1120" s="10" t="s">
        <v>3273</v>
      </c>
      <c r="D1120" s="10" t="str">
        <f>VLOOKUP(C1120,Region!A:B,2,FALSE)</f>
        <v>Noida</v>
      </c>
      <c r="E1120" s="10" t="s">
        <v>806</v>
      </c>
      <c r="F1120" s="11" t="s">
        <v>807</v>
      </c>
      <c r="G1120" s="11" t="s">
        <v>3296</v>
      </c>
      <c r="H1120" s="10" t="s">
        <v>812</v>
      </c>
    </row>
    <row r="1121" spans="1:8" x14ac:dyDescent="0.25">
      <c r="A1121" s="11" t="s">
        <v>2981</v>
      </c>
      <c r="B1121" s="10" t="s">
        <v>804</v>
      </c>
      <c r="C1121" s="10" t="s">
        <v>2752</v>
      </c>
      <c r="D1121" s="10" t="str">
        <f>VLOOKUP(C1121,Region!A:B,2,FALSE)</f>
        <v>Noida</v>
      </c>
      <c r="E1121" s="10" t="s">
        <v>806</v>
      </c>
      <c r="F1121" s="11" t="s">
        <v>814</v>
      </c>
      <c r="G1121" s="11" t="s">
        <v>2982</v>
      </c>
      <c r="H1121" s="10" t="s">
        <v>812</v>
      </c>
    </row>
    <row r="1122" spans="1:8" x14ac:dyDescent="0.25">
      <c r="A1122" s="11" t="s">
        <v>2083</v>
      </c>
      <c r="B1122" s="10" t="s">
        <v>804</v>
      </c>
      <c r="C1122" s="10" t="s">
        <v>2041</v>
      </c>
      <c r="D1122" s="10" t="str">
        <f>VLOOKUP(C1122,Region!A:B,2,FALSE)</f>
        <v>Hyderabad</v>
      </c>
      <c r="E1122" s="10" t="s">
        <v>1427</v>
      </c>
      <c r="F1122" s="11" t="s">
        <v>823</v>
      </c>
      <c r="G1122" s="11" t="s">
        <v>2084</v>
      </c>
      <c r="H1122" s="10" t="s">
        <v>812</v>
      </c>
    </row>
    <row r="1123" spans="1:8" x14ac:dyDescent="0.25">
      <c r="A1123" s="11" t="s">
        <v>1303</v>
      </c>
      <c r="B1123" s="10" t="s">
        <v>1086</v>
      </c>
      <c r="C1123" s="10" t="s">
        <v>1087</v>
      </c>
      <c r="D1123" s="10" t="str">
        <f>VLOOKUP(C1123,Region!A:B,2,FALSE)</f>
        <v>Hyderabad</v>
      </c>
      <c r="E1123" s="10" t="s">
        <v>806</v>
      </c>
      <c r="F1123" s="11" t="s">
        <v>823</v>
      </c>
      <c r="G1123" s="11" t="s">
        <v>1304</v>
      </c>
      <c r="H1123" s="10" t="s">
        <v>812</v>
      </c>
    </row>
    <row r="1124" spans="1:8" x14ac:dyDescent="0.25">
      <c r="A1124" s="11" t="s">
        <v>3148</v>
      </c>
      <c r="B1124" s="10" t="s">
        <v>1086</v>
      </c>
      <c r="C1124" s="10" t="s">
        <v>2987</v>
      </c>
      <c r="D1124" s="10" t="str">
        <f>VLOOKUP(C1124,Region!A:B,2,FALSE)</f>
        <v>Noida</v>
      </c>
      <c r="E1124" s="10" t="s">
        <v>1427</v>
      </c>
      <c r="F1124" s="11" t="s">
        <v>811</v>
      </c>
      <c r="G1124" s="11" t="s">
        <v>3149</v>
      </c>
      <c r="H1124" s="10" t="s">
        <v>809</v>
      </c>
    </row>
    <row r="1125" spans="1:8" x14ac:dyDescent="0.25">
      <c r="A1125" s="11" t="s">
        <v>2662</v>
      </c>
      <c r="B1125" s="10" t="s">
        <v>804</v>
      </c>
      <c r="C1125" s="10" t="s">
        <v>2518</v>
      </c>
      <c r="D1125" s="10" t="str">
        <f>VLOOKUP(C1125,Region!A:B,2,FALSE)</f>
        <v>Noida</v>
      </c>
      <c r="E1125" s="10" t="s">
        <v>1427</v>
      </c>
      <c r="F1125" s="11" t="s">
        <v>823</v>
      </c>
      <c r="G1125" s="11" t="s">
        <v>2663</v>
      </c>
      <c r="H1125" s="10" t="s">
        <v>812</v>
      </c>
    </row>
    <row r="1126" spans="1:8" x14ac:dyDescent="0.25">
      <c r="A1126" s="11" t="s">
        <v>3440</v>
      </c>
      <c r="B1126" s="10" t="s">
        <v>1086</v>
      </c>
      <c r="C1126" s="10" t="s">
        <v>3273</v>
      </c>
      <c r="D1126" s="10" t="str">
        <f>VLOOKUP(C1126,Region!A:B,2,FALSE)</f>
        <v>Noida</v>
      </c>
      <c r="E1126" s="10" t="s">
        <v>806</v>
      </c>
      <c r="F1126" s="11" t="s">
        <v>811</v>
      </c>
      <c r="G1126" s="11" t="s">
        <v>3441</v>
      </c>
      <c r="H1126" s="10" t="s">
        <v>809</v>
      </c>
    </row>
    <row r="1127" spans="1:8" x14ac:dyDescent="0.25">
      <c r="A1127" s="11" t="s">
        <v>1985</v>
      </c>
      <c r="B1127" s="10" t="s">
        <v>804</v>
      </c>
      <c r="C1127" s="10" t="s">
        <v>1635</v>
      </c>
      <c r="D1127" s="10" t="str">
        <f>VLOOKUP(C1127,Region!A:B,2,FALSE)</f>
        <v>MBC US</v>
      </c>
      <c r="E1127" s="10" t="s">
        <v>806</v>
      </c>
      <c r="F1127" s="11" t="s">
        <v>814</v>
      </c>
      <c r="G1127" s="11" t="s">
        <v>1986</v>
      </c>
      <c r="H1127" s="10" t="s">
        <v>809</v>
      </c>
    </row>
    <row r="1128" spans="1:8" x14ac:dyDescent="0.25">
      <c r="A1128" s="11" t="s">
        <v>1024</v>
      </c>
      <c r="B1128" s="10" t="s">
        <v>804</v>
      </c>
      <c r="C1128" s="10" t="s">
        <v>805</v>
      </c>
      <c r="D1128" s="10" t="str">
        <f>VLOOKUP(C1128,Region!A:B,2,FALSE)</f>
        <v>Noida</v>
      </c>
      <c r="E1128" s="10" t="s">
        <v>806</v>
      </c>
      <c r="F1128" s="11" t="s">
        <v>814</v>
      </c>
      <c r="G1128" s="11" t="s">
        <v>1025</v>
      </c>
      <c r="H1128" s="10" t="s">
        <v>812</v>
      </c>
    </row>
    <row r="1129" spans="1:8" x14ac:dyDescent="0.25">
      <c r="A1129" s="11" t="s">
        <v>2540</v>
      </c>
      <c r="B1129" s="10" t="s">
        <v>804</v>
      </c>
      <c r="C1129" s="10" t="s">
        <v>2518</v>
      </c>
      <c r="D1129" s="10" t="str">
        <f>VLOOKUP(C1129,Region!A:B,2,FALSE)</f>
        <v>Noida</v>
      </c>
      <c r="E1129" s="10" t="s">
        <v>1427</v>
      </c>
      <c r="F1129" s="11" t="s">
        <v>823</v>
      </c>
      <c r="G1129" s="11" t="s">
        <v>2541</v>
      </c>
      <c r="H1129" s="10" t="s">
        <v>809</v>
      </c>
    </row>
    <row r="1130" spans="1:8" x14ac:dyDescent="0.25">
      <c r="A1130" s="11" t="s">
        <v>2664</v>
      </c>
      <c r="B1130" s="10" t="s">
        <v>804</v>
      </c>
      <c r="C1130" s="10" t="s">
        <v>2518</v>
      </c>
      <c r="D1130" s="10" t="str">
        <f>VLOOKUP(C1130,Region!A:B,2,FALSE)</f>
        <v>Noida</v>
      </c>
      <c r="E1130" s="10" t="s">
        <v>1427</v>
      </c>
      <c r="F1130" s="11" t="s">
        <v>823</v>
      </c>
      <c r="G1130" s="11" t="s">
        <v>2665</v>
      </c>
      <c r="H1130" s="10" t="s">
        <v>809</v>
      </c>
    </row>
    <row r="1131" spans="1:8" x14ac:dyDescent="0.25">
      <c r="A1131" s="11" t="s">
        <v>926</v>
      </c>
      <c r="B1131" s="10" t="s">
        <v>804</v>
      </c>
      <c r="C1131" s="10" t="s">
        <v>805</v>
      </c>
      <c r="D1131" s="10" t="str">
        <f>VLOOKUP(C1131,Region!A:B,2,FALSE)</f>
        <v>Noida</v>
      </c>
      <c r="E1131" s="10" t="s">
        <v>806</v>
      </c>
      <c r="F1131" s="11" t="s">
        <v>811</v>
      </c>
      <c r="G1131" s="11" t="s">
        <v>927</v>
      </c>
      <c r="H1131" s="10" t="s">
        <v>812</v>
      </c>
    </row>
    <row r="1132" spans="1:8" x14ac:dyDescent="0.25">
      <c r="A1132" s="11" t="s">
        <v>1995</v>
      </c>
      <c r="B1132" s="10" t="s">
        <v>804</v>
      </c>
      <c r="C1132" s="10" t="s">
        <v>1635</v>
      </c>
      <c r="D1132" s="10" t="str">
        <f>VLOOKUP(C1132,Region!A:B,2,FALSE)</f>
        <v>MBC US</v>
      </c>
      <c r="E1132" s="10" t="s">
        <v>806</v>
      </c>
      <c r="F1132" s="11" t="s">
        <v>814</v>
      </c>
      <c r="G1132" s="11" t="s">
        <v>504</v>
      </c>
      <c r="H1132" s="10" t="s">
        <v>812</v>
      </c>
    </row>
    <row r="1133" spans="1:8" x14ac:dyDescent="0.25">
      <c r="A1133" s="11" t="s">
        <v>3220</v>
      </c>
      <c r="B1133" s="10" t="s">
        <v>1086</v>
      </c>
      <c r="C1133" s="10" t="s">
        <v>2987</v>
      </c>
      <c r="D1133" s="10" t="str">
        <f>VLOOKUP(C1133,Region!A:B,2,FALSE)</f>
        <v>Noida</v>
      </c>
      <c r="E1133" s="10" t="s">
        <v>1427</v>
      </c>
      <c r="F1133" s="11" t="s">
        <v>823</v>
      </c>
      <c r="G1133" s="11" t="s">
        <v>3221</v>
      </c>
      <c r="H1133" s="10" t="s">
        <v>812</v>
      </c>
    </row>
    <row r="1134" spans="1:8" x14ac:dyDescent="0.25">
      <c r="A1134" s="11" t="s">
        <v>2499</v>
      </c>
      <c r="B1134" s="10" t="s">
        <v>804</v>
      </c>
      <c r="C1134" s="10" t="s">
        <v>2041</v>
      </c>
      <c r="D1134" s="10" t="str">
        <f>VLOOKUP(C1134,Region!A:B,2,FALSE)</f>
        <v>Hyderabad</v>
      </c>
      <c r="E1134" s="10" t="s">
        <v>1427</v>
      </c>
      <c r="F1134" s="11" t="s">
        <v>814</v>
      </c>
      <c r="G1134" s="11" t="s">
        <v>731</v>
      </c>
      <c r="H1134" s="10" t="s">
        <v>812</v>
      </c>
    </row>
    <row r="1135" spans="1:8" x14ac:dyDescent="0.25">
      <c r="A1135" s="11" t="s">
        <v>2986</v>
      </c>
      <c r="B1135" s="10" t="s">
        <v>1086</v>
      </c>
      <c r="C1135" s="10" t="s">
        <v>2987</v>
      </c>
      <c r="D1135" s="10" t="str">
        <f>VLOOKUP(C1135,Region!A:B,2,FALSE)</f>
        <v>Noida</v>
      </c>
      <c r="E1135" s="10" t="s">
        <v>1427</v>
      </c>
      <c r="F1135" s="11" t="s">
        <v>823</v>
      </c>
      <c r="G1135" s="11" t="s">
        <v>2988</v>
      </c>
      <c r="H1135" s="10" t="s">
        <v>809</v>
      </c>
    </row>
    <row r="1136" spans="1:8" x14ac:dyDescent="0.25">
      <c r="A1136" s="11" t="s">
        <v>3413</v>
      </c>
      <c r="B1136" s="10" t="s">
        <v>1086</v>
      </c>
      <c r="C1136" s="10" t="s">
        <v>3273</v>
      </c>
      <c r="D1136" s="10" t="str">
        <f>VLOOKUP(C1136,Region!A:B,2,FALSE)</f>
        <v>Noida</v>
      </c>
      <c r="E1136" s="10" t="s">
        <v>806</v>
      </c>
      <c r="F1136" s="11" t="s">
        <v>811</v>
      </c>
      <c r="G1136" s="11" t="s">
        <v>3414</v>
      </c>
      <c r="H1136" s="10" t="s">
        <v>809</v>
      </c>
    </row>
    <row r="1137" spans="1:8" x14ac:dyDescent="0.25">
      <c r="A1137" s="11" t="s">
        <v>2594</v>
      </c>
      <c r="B1137" s="10" t="s">
        <v>804</v>
      </c>
      <c r="C1137" s="10" t="s">
        <v>2518</v>
      </c>
      <c r="D1137" s="10" t="str">
        <f>VLOOKUP(C1137,Region!A:B,2,FALSE)</f>
        <v>Noida</v>
      </c>
      <c r="E1137" s="10" t="s">
        <v>1427</v>
      </c>
      <c r="F1137" s="11" t="s">
        <v>811</v>
      </c>
      <c r="G1137" s="11" t="s">
        <v>2595</v>
      </c>
      <c r="H1137" s="10" t="s">
        <v>812</v>
      </c>
    </row>
    <row r="1138" spans="1:8" x14ac:dyDescent="0.25">
      <c r="A1138" s="11" t="s">
        <v>1451</v>
      </c>
      <c r="B1138" s="10" t="s">
        <v>1086</v>
      </c>
      <c r="C1138" s="10" t="s">
        <v>1426</v>
      </c>
      <c r="D1138" s="10" t="str">
        <f>VLOOKUP(C1138,Region!A:B,2,FALSE)</f>
        <v>Spain</v>
      </c>
      <c r="E1138" s="10" t="s">
        <v>1427</v>
      </c>
      <c r="F1138" s="11" t="s">
        <v>811</v>
      </c>
      <c r="G1138" s="11" t="s">
        <v>189</v>
      </c>
      <c r="H1138" s="10" t="s">
        <v>812</v>
      </c>
    </row>
    <row r="1139" spans="1:8" x14ac:dyDescent="0.25">
      <c r="A1139" s="11" t="s">
        <v>2398</v>
      </c>
      <c r="B1139" s="10" t="s">
        <v>804</v>
      </c>
      <c r="C1139" s="10" t="s">
        <v>2041</v>
      </c>
      <c r="D1139" s="10" t="str">
        <f>VLOOKUP(C1139,Region!A:B,2,FALSE)</f>
        <v>Hyderabad</v>
      </c>
      <c r="E1139" s="10" t="s">
        <v>1427</v>
      </c>
      <c r="F1139" s="11" t="s">
        <v>814</v>
      </c>
      <c r="G1139" s="11" t="s">
        <v>672</v>
      </c>
      <c r="H1139" s="10" t="s">
        <v>812</v>
      </c>
    </row>
    <row r="1140" spans="1:8" x14ac:dyDescent="0.25">
      <c r="A1140" s="11" t="s">
        <v>940</v>
      </c>
      <c r="B1140" s="10" t="s">
        <v>804</v>
      </c>
      <c r="C1140" s="10" t="s">
        <v>805</v>
      </c>
      <c r="D1140" s="10" t="str">
        <f>VLOOKUP(C1140,Region!A:B,2,FALSE)</f>
        <v>Noida</v>
      </c>
      <c r="E1140" s="10" t="s">
        <v>806</v>
      </c>
      <c r="F1140" s="11" t="s">
        <v>807</v>
      </c>
      <c r="G1140" s="11" t="s">
        <v>941</v>
      </c>
      <c r="H1140" s="10" t="s">
        <v>809</v>
      </c>
    </row>
    <row r="1141" spans="1:8" x14ac:dyDescent="0.25">
      <c r="A1141" s="11" t="s">
        <v>3330</v>
      </c>
      <c r="B1141" s="10" t="s">
        <v>1086</v>
      </c>
      <c r="C1141" s="10" t="s">
        <v>3273</v>
      </c>
      <c r="D1141" s="10" t="str">
        <f>VLOOKUP(C1141,Region!A:B,2,FALSE)</f>
        <v>Noida</v>
      </c>
      <c r="E1141" s="10" t="s">
        <v>806</v>
      </c>
      <c r="F1141" s="11" t="s">
        <v>811</v>
      </c>
      <c r="G1141" s="11" t="s">
        <v>349</v>
      </c>
      <c r="H1141" s="10" t="s">
        <v>812</v>
      </c>
    </row>
    <row r="1142" spans="1:8" x14ac:dyDescent="0.25">
      <c r="A1142" s="11" t="s">
        <v>2461</v>
      </c>
      <c r="B1142" s="10" t="s">
        <v>804</v>
      </c>
      <c r="C1142" s="10" t="s">
        <v>2041</v>
      </c>
      <c r="D1142" s="10" t="str">
        <f>VLOOKUP(C1142,Region!A:B,2,FALSE)</f>
        <v>Hyderabad</v>
      </c>
      <c r="E1142" s="10" t="s">
        <v>1427</v>
      </c>
      <c r="F1142" s="11" t="s">
        <v>807</v>
      </c>
      <c r="G1142" s="11" t="s">
        <v>2462</v>
      </c>
      <c r="H1142" s="10" t="s">
        <v>809</v>
      </c>
    </row>
    <row r="1143" spans="1:8" x14ac:dyDescent="0.25">
      <c r="A1143" s="11" t="s">
        <v>2224</v>
      </c>
      <c r="B1143" s="10" t="s">
        <v>804</v>
      </c>
      <c r="C1143" s="10" t="s">
        <v>2041</v>
      </c>
      <c r="D1143" s="10" t="str">
        <f>VLOOKUP(C1143,Region!A:B,2,FALSE)</f>
        <v>Hyderabad</v>
      </c>
      <c r="E1143" s="10" t="s">
        <v>1427</v>
      </c>
      <c r="F1143" s="11" t="s">
        <v>811</v>
      </c>
      <c r="G1143" s="11" t="s">
        <v>673</v>
      </c>
      <c r="H1143" s="10" t="s">
        <v>812</v>
      </c>
    </row>
    <row r="1144" spans="1:8" x14ac:dyDescent="0.25">
      <c r="A1144" s="11" t="s">
        <v>2928</v>
      </c>
      <c r="B1144" s="10" t="s">
        <v>804</v>
      </c>
      <c r="C1144" s="10" t="s">
        <v>2752</v>
      </c>
      <c r="D1144" s="10" t="str">
        <f>VLOOKUP(C1144,Region!A:B,2,FALSE)</f>
        <v>Noida</v>
      </c>
      <c r="E1144" s="10" t="s">
        <v>806</v>
      </c>
      <c r="F1144" s="11" t="s">
        <v>814</v>
      </c>
      <c r="G1144" s="11" t="s">
        <v>2929</v>
      </c>
      <c r="H1144" s="10" t="s">
        <v>809</v>
      </c>
    </row>
    <row r="1145" spans="1:8" x14ac:dyDescent="0.25">
      <c r="A1145" s="11" t="s">
        <v>2136</v>
      </c>
      <c r="B1145" s="10" t="s">
        <v>804</v>
      </c>
      <c r="C1145" s="10" t="s">
        <v>2041</v>
      </c>
      <c r="D1145" s="10" t="str">
        <f>VLOOKUP(C1145,Region!A:B,2,FALSE)</f>
        <v>Hyderabad</v>
      </c>
      <c r="E1145" s="10" t="s">
        <v>1427</v>
      </c>
      <c r="F1145" s="11" t="s">
        <v>814</v>
      </c>
      <c r="G1145" s="11" t="s">
        <v>2137</v>
      </c>
      <c r="H1145" s="10" t="s">
        <v>812</v>
      </c>
    </row>
    <row r="1146" spans="1:8" x14ac:dyDescent="0.25">
      <c r="A1146" s="11" t="s">
        <v>3444</v>
      </c>
      <c r="B1146" s="10" t="s">
        <v>1086</v>
      </c>
      <c r="C1146" s="10" t="s">
        <v>3273</v>
      </c>
      <c r="D1146" s="10" t="str">
        <f>VLOOKUP(C1146,Region!A:B,2,FALSE)</f>
        <v>Noida</v>
      </c>
      <c r="E1146" s="10" t="s">
        <v>806</v>
      </c>
      <c r="F1146" s="11" t="s">
        <v>823</v>
      </c>
      <c r="G1146" s="11" t="s">
        <v>3445</v>
      </c>
      <c r="H1146" s="10" t="s">
        <v>812</v>
      </c>
    </row>
    <row r="1147" spans="1:8" x14ac:dyDescent="0.25">
      <c r="A1147" s="11" t="s">
        <v>2946</v>
      </c>
      <c r="B1147" s="10" t="s">
        <v>804</v>
      </c>
      <c r="C1147" s="10" t="s">
        <v>2752</v>
      </c>
      <c r="D1147" s="10" t="str">
        <f>VLOOKUP(C1147,Region!A:B,2,FALSE)</f>
        <v>Noida</v>
      </c>
      <c r="E1147" s="10" t="s">
        <v>806</v>
      </c>
      <c r="F1147" s="11" t="s">
        <v>814</v>
      </c>
      <c r="G1147" s="11" t="s">
        <v>2947</v>
      </c>
      <c r="H1147" s="10" t="s">
        <v>812</v>
      </c>
    </row>
    <row r="1148" spans="1:8" x14ac:dyDescent="0.25">
      <c r="A1148" s="11" t="s">
        <v>2975</v>
      </c>
      <c r="B1148" s="10" t="s">
        <v>804</v>
      </c>
      <c r="C1148" s="10" t="s">
        <v>2752</v>
      </c>
      <c r="D1148" s="10" t="str">
        <f>VLOOKUP(C1148,Region!A:B,2,FALSE)</f>
        <v>Noida</v>
      </c>
      <c r="E1148" s="10" t="s">
        <v>806</v>
      </c>
      <c r="F1148" s="11" t="s">
        <v>811</v>
      </c>
      <c r="G1148" s="11" t="s">
        <v>2976</v>
      </c>
      <c r="H1148" s="10" t="s">
        <v>812</v>
      </c>
    </row>
    <row r="1149" spans="1:8" x14ac:dyDescent="0.25">
      <c r="A1149" s="11" t="s">
        <v>2751</v>
      </c>
      <c r="B1149" s="10" t="s">
        <v>804</v>
      </c>
      <c r="C1149" s="10" t="s">
        <v>2752</v>
      </c>
      <c r="D1149" s="10" t="str">
        <f>VLOOKUP(C1149,Region!A:B,2,FALSE)</f>
        <v>Noida</v>
      </c>
      <c r="E1149" s="10" t="s">
        <v>806</v>
      </c>
      <c r="F1149" s="11" t="s">
        <v>807</v>
      </c>
      <c r="G1149" s="11" t="s">
        <v>2753</v>
      </c>
      <c r="H1149" s="10" t="s">
        <v>809</v>
      </c>
    </row>
    <row r="1150" spans="1:8" x14ac:dyDescent="0.25">
      <c r="A1150" s="11" t="s">
        <v>2542</v>
      </c>
      <c r="B1150" s="10" t="s">
        <v>804</v>
      </c>
      <c r="C1150" s="10" t="s">
        <v>2518</v>
      </c>
      <c r="D1150" s="10" t="str">
        <f>VLOOKUP(C1150,Region!A:B,2,FALSE)</f>
        <v>Noida</v>
      </c>
      <c r="E1150" s="10" t="s">
        <v>1427</v>
      </c>
      <c r="F1150" s="11" t="s">
        <v>823</v>
      </c>
      <c r="G1150" s="11" t="s">
        <v>292</v>
      </c>
      <c r="H1150" s="10" t="s">
        <v>812</v>
      </c>
    </row>
    <row r="1151" spans="1:8" x14ac:dyDescent="0.25">
      <c r="A1151" s="11" t="s">
        <v>2399</v>
      </c>
      <c r="B1151" s="10" t="s">
        <v>804</v>
      </c>
      <c r="C1151" s="10" t="s">
        <v>2041</v>
      </c>
      <c r="D1151" s="10" t="str">
        <f>VLOOKUP(C1151,Region!A:B,2,FALSE)</f>
        <v>Hyderabad</v>
      </c>
      <c r="E1151" s="10" t="s">
        <v>1427</v>
      </c>
      <c r="F1151" s="11" t="s">
        <v>814</v>
      </c>
      <c r="G1151" s="11" t="s">
        <v>2400</v>
      </c>
      <c r="H1151" s="10" t="s">
        <v>812</v>
      </c>
    </row>
    <row r="1152" spans="1:8" x14ac:dyDescent="0.25">
      <c r="A1152" s="11" t="s">
        <v>2225</v>
      </c>
      <c r="B1152" s="10" t="s">
        <v>804</v>
      </c>
      <c r="C1152" s="10" t="s">
        <v>2041</v>
      </c>
      <c r="D1152" s="10" t="str">
        <f>VLOOKUP(C1152,Region!A:B,2,FALSE)</f>
        <v>Hyderabad</v>
      </c>
      <c r="E1152" s="10" t="s">
        <v>1427</v>
      </c>
      <c r="F1152" s="11" t="s">
        <v>811</v>
      </c>
      <c r="G1152" s="11" t="s">
        <v>2226</v>
      </c>
      <c r="H1152" s="10" t="s">
        <v>809</v>
      </c>
    </row>
    <row r="1153" spans="1:8" x14ac:dyDescent="0.25">
      <c r="A1153" s="11" t="s">
        <v>2085</v>
      </c>
      <c r="B1153" s="10" t="s">
        <v>804</v>
      </c>
      <c r="C1153" s="10" t="s">
        <v>2041</v>
      </c>
      <c r="D1153" s="10" t="str">
        <f>VLOOKUP(C1153,Region!A:B,2,FALSE)</f>
        <v>Hyderabad</v>
      </c>
      <c r="E1153" s="10" t="s">
        <v>1427</v>
      </c>
      <c r="F1153" s="11" t="s">
        <v>823</v>
      </c>
      <c r="G1153" s="11" t="s">
        <v>2086</v>
      </c>
      <c r="H1153" s="10" t="s">
        <v>809</v>
      </c>
    </row>
    <row r="1154" spans="1:8" x14ac:dyDescent="0.25">
      <c r="A1154" s="11" t="s">
        <v>2451</v>
      </c>
      <c r="B1154" s="10" t="s">
        <v>804</v>
      </c>
      <c r="C1154" s="10" t="s">
        <v>2041</v>
      </c>
      <c r="D1154" s="10" t="str">
        <f>VLOOKUP(C1154,Region!A:B,2,FALSE)</f>
        <v>Hyderabad</v>
      </c>
      <c r="E1154" s="10" t="s">
        <v>1427</v>
      </c>
      <c r="F1154" s="11" t="s">
        <v>811</v>
      </c>
      <c r="G1154" s="11" t="s">
        <v>2452</v>
      </c>
      <c r="H1154" s="10" t="s">
        <v>812</v>
      </c>
    </row>
    <row r="1155" spans="1:8" x14ac:dyDescent="0.25">
      <c r="A1155" s="11" t="s">
        <v>2319</v>
      </c>
      <c r="B1155" s="10" t="s">
        <v>804</v>
      </c>
      <c r="C1155" s="10" t="s">
        <v>2041</v>
      </c>
      <c r="D1155" s="10" t="str">
        <f>VLOOKUP(C1155,Region!A:B,2,FALSE)</f>
        <v>Hyderabad</v>
      </c>
      <c r="E1155" s="10" t="s">
        <v>1427</v>
      </c>
      <c r="F1155" s="11" t="s">
        <v>807</v>
      </c>
      <c r="G1155" s="11" t="s">
        <v>2320</v>
      </c>
      <c r="H1155" s="10" t="s">
        <v>812</v>
      </c>
    </row>
    <row r="1156" spans="1:8" x14ac:dyDescent="0.25">
      <c r="A1156" s="11" t="s">
        <v>3303</v>
      </c>
      <c r="B1156" s="10" t="s">
        <v>1086</v>
      </c>
      <c r="C1156" s="10" t="s">
        <v>3273</v>
      </c>
      <c r="D1156" s="10" t="str">
        <f>VLOOKUP(C1156,Region!A:B,2,FALSE)</f>
        <v>Noida</v>
      </c>
      <c r="E1156" s="10" t="s">
        <v>806</v>
      </c>
      <c r="F1156" s="11" t="s">
        <v>807</v>
      </c>
      <c r="G1156" s="11" t="s">
        <v>3304</v>
      </c>
      <c r="H1156" s="10" t="s">
        <v>812</v>
      </c>
    </row>
    <row r="1157" spans="1:8" x14ac:dyDescent="0.25">
      <c r="A1157" s="11" t="s">
        <v>2907</v>
      </c>
      <c r="B1157" s="10" t="s">
        <v>804</v>
      </c>
      <c r="C1157" s="10" t="s">
        <v>2752</v>
      </c>
      <c r="D1157" s="10" t="str">
        <f>VLOOKUP(C1157,Region!A:B,2,FALSE)</f>
        <v>Noida</v>
      </c>
      <c r="E1157" s="10" t="s">
        <v>806</v>
      </c>
      <c r="F1157" s="11" t="s">
        <v>811</v>
      </c>
      <c r="G1157" s="11" t="s">
        <v>2908</v>
      </c>
      <c r="H1157" s="10" t="s">
        <v>812</v>
      </c>
    </row>
    <row r="1158" spans="1:8" x14ac:dyDescent="0.25">
      <c r="A1158" s="11" t="s">
        <v>2321</v>
      </c>
      <c r="B1158" s="10" t="s">
        <v>804</v>
      </c>
      <c r="C1158" s="10" t="s">
        <v>2041</v>
      </c>
      <c r="D1158" s="10" t="str">
        <f>VLOOKUP(C1158,Region!A:B,2,FALSE)</f>
        <v>Hyderabad</v>
      </c>
      <c r="E1158" s="10" t="s">
        <v>1427</v>
      </c>
      <c r="F1158" s="11" t="s">
        <v>807</v>
      </c>
      <c r="G1158" s="11" t="s">
        <v>2322</v>
      </c>
      <c r="H1158" s="10" t="s">
        <v>812</v>
      </c>
    </row>
    <row r="1159" spans="1:8" x14ac:dyDescent="0.25">
      <c r="A1159" s="11" t="s">
        <v>2666</v>
      </c>
      <c r="B1159" s="10" t="s">
        <v>804</v>
      </c>
      <c r="C1159" s="10" t="s">
        <v>2518</v>
      </c>
      <c r="D1159" s="10" t="str">
        <f>VLOOKUP(C1159,Region!A:B,2,FALSE)</f>
        <v>Noida</v>
      </c>
      <c r="E1159" s="10" t="s">
        <v>1427</v>
      </c>
      <c r="F1159" s="11" t="s">
        <v>823</v>
      </c>
      <c r="G1159" s="11" t="s">
        <v>2667</v>
      </c>
      <c r="H1159" s="10" t="s">
        <v>812</v>
      </c>
    </row>
    <row r="1160" spans="1:8" x14ac:dyDescent="0.25">
      <c r="A1160" s="11" t="s">
        <v>2880</v>
      </c>
      <c r="B1160" s="10" t="s">
        <v>804</v>
      </c>
      <c r="C1160" s="10" t="s">
        <v>2752</v>
      </c>
      <c r="D1160" s="10" t="str">
        <f>VLOOKUP(C1160,Region!A:B,2,FALSE)</f>
        <v>Noida</v>
      </c>
      <c r="E1160" s="10" t="s">
        <v>806</v>
      </c>
      <c r="F1160" s="11" t="s">
        <v>807</v>
      </c>
      <c r="G1160" s="11" t="s">
        <v>2881</v>
      </c>
      <c r="H1160" s="10" t="s">
        <v>812</v>
      </c>
    </row>
    <row r="1161" spans="1:8" x14ac:dyDescent="0.25">
      <c r="A1161" s="11" t="s">
        <v>2401</v>
      </c>
      <c r="B1161" s="10" t="s">
        <v>804</v>
      </c>
      <c r="C1161" s="10" t="s">
        <v>2041</v>
      </c>
      <c r="D1161" s="10" t="str">
        <f>VLOOKUP(C1161,Region!A:B,2,FALSE)</f>
        <v>Hyderabad</v>
      </c>
      <c r="E1161" s="10" t="s">
        <v>1427</v>
      </c>
      <c r="F1161" s="11" t="s">
        <v>814</v>
      </c>
      <c r="G1161" s="11" t="s">
        <v>2402</v>
      </c>
      <c r="H1161" s="10" t="s">
        <v>809</v>
      </c>
    </row>
    <row r="1162" spans="1:8" x14ac:dyDescent="0.25">
      <c r="A1162" s="11" t="s">
        <v>2403</v>
      </c>
      <c r="B1162" s="10" t="s">
        <v>804</v>
      </c>
      <c r="C1162" s="10" t="s">
        <v>2041</v>
      </c>
      <c r="D1162" s="10" t="str">
        <f>VLOOKUP(C1162,Region!A:B,2,FALSE)</f>
        <v>Hyderabad</v>
      </c>
      <c r="E1162" s="10" t="s">
        <v>1427</v>
      </c>
      <c r="F1162" s="11" t="s">
        <v>814</v>
      </c>
      <c r="G1162" s="11" t="s">
        <v>2404</v>
      </c>
      <c r="H1162" s="10" t="s">
        <v>809</v>
      </c>
    </row>
    <row r="1163" spans="1:8" x14ac:dyDescent="0.25">
      <c r="A1163" s="11" t="s">
        <v>2596</v>
      </c>
      <c r="B1163" s="10" t="s">
        <v>804</v>
      </c>
      <c r="C1163" s="10" t="s">
        <v>2518</v>
      </c>
      <c r="D1163" s="10" t="str">
        <f>VLOOKUP(C1163,Region!A:B,2,FALSE)</f>
        <v>Noida</v>
      </c>
      <c r="E1163" s="10" t="s">
        <v>1427</v>
      </c>
      <c r="F1163" s="11" t="s">
        <v>811</v>
      </c>
      <c r="G1163" s="11" t="s">
        <v>2597</v>
      </c>
      <c r="H1163" s="10" t="s">
        <v>812</v>
      </c>
    </row>
    <row r="1164" spans="1:8" x14ac:dyDescent="0.25">
      <c r="A1164" s="11" t="s">
        <v>3337</v>
      </c>
      <c r="B1164" s="10" t="s">
        <v>1086</v>
      </c>
      <c r="C1164" s="10" t="s">
        <v>3273</v>
      </c>
      <c r="D1164" s="10" t="str">
        <f>VLOOKUP(C1164,Region!A:B,2,FALSE)</f>
        <v>Noida</v>
      </c>
      <c r="E1164" s="10" t="s">
        <v>806</v>
      </c>
      <c r="F1164" s="11" t="s">
        <v>811</v>
      </c>
      <c r="G1164" s="11" t="s">
        <v>3338</v>
      </c>
      <c r="H1164" s="10" t="s">
        <v>809</v>
      </c>
    </row>
    <row r="1165" spans="1:8" x14ac:dyDescent="0.25">
      <c r="A1165" s="11" t="s">
        <v>2323</v>
      </c>
      <c r="B1165" s="10" t="s">
        <v>804</v>
      </c>
      <c r="C1165" s="10" t="s">
        <v>2041</v>
      </c>
      <c r="D1165" s="10" t="str">
        <f>VLOOKUP(C1165,Region!A:B,2,FALSE)</f>
        <v>Hyderabad</v>
      </c>
      <c r="E1165" s="10" t="s">
        <v>1427</v>
      </c>
      <c r="F1165" s="11" t="s">
        <v>807</v>
      </c>
      <c r="G1165" s="11" t="s">
        <v>569</v>
      </c>
      <c r="H1165" s="10" t="s">
        <v>812</v>
      </c>
    </row>
    <row r="1166" spans="1:8" x14ac:dyDescent="0.25">
      <c r="A1166" s="11" t="s">
        <v>2227</v>
      </c>
      <c r="B1166" s="10" t="s">
        <v>804</v>
      </c>
      <c r="C1166" s="10" t="s">
        <v>2041</v>
      </c>
      <c r="D1166" s="10" t="str">
        <f>VLOOKUP(C1166,Region!A:B,2,FALSE)</f>
        <v>Hyderabad</v>
      </c>
      <c r="E1166" s="10" t="s">
        <v>1427</v>
      </c>
      <c r="F1166" s="11" t="s">
        <v>811</v>
      </c>
      <c r="G1166" s="11" t="s">
        <v>103</v>
      </c>
      <c r="H1166" s="10" t="s">
        <v>812</v>
      </c>
    </row>
    <row r="1167" spans="1:8" x14ac:dyDescent="0.25">
      <c r="A1167" s="11" t="s">
        <v>2324</v>
      </c>
      <c r="B1167" s="10" t="s">
        <v>804</v>
      </c>
      <c r="C1167" s="10" t="s">
        <v>2041</v>
      </c>
      <c r="D1167" s="10" t="str">
        <f>VLOOKUP(C1167,Region!A:B,2,FALSE)</f>
        <v>Hyderabad</v>
      </c>
      <c r="E1167" s="10" t="s">
        <v>1427</v>
      </c>
      <c r="F1167" s="11" t="s">
        <v>807</v>
      </c>
      <c r="G1167" s="11" t="s">
        <v>2325</v>
      </c>
      <c r="H1167" s="10" t="s">
        <v>809</v>
      </c>
    </row>
    <row r="1168" spans="1:8" x14ac:dyDescent="0.25">
      <c r="A1168" s="11" t="s">
        <v>1320</v>
      </c>
      <c r="B1168" s="10" t="s">
        <v>1086</v>
      </c>
      <c r="C1168" s="10" t="s">
        <v>1087</v>
      </c>
      <c r="D1168" s="10" t="str">
        <f>VLOOKUP(C1168,Region!A:B,2,FALSE)</f>
        <v>Hyderabad</v>
      </c>
      <c r="E1168" s="10" t="s">
        <v>806</v>
      </c>
      <c r="F1168" s="11" t="s">
        <v>811</v>
      </c>
      <c r="G1168" s="11" t="s">
        <v>655</v>
      </c>
      <c r="H1168" s="10" t="s">
        <v>812</v>
      </c>
    </row>
    <row r="1169" spans="1:8" x14ac:dyDescent="0.25">
      <c r="A1169" s="11" t="s">
        <v>3461</v>
      </c>
      <c r="B1169" s="10" t="s">
        <v>1086</v>
      </c>
      <c r="C1169" s="10" t="s">
        <v>3273</v>
      </c>
      <c r="D1169" s="10" t="str">
        <f>VLOOKUP(C1169,Region!A:B,2,FALSE)</f>
        <v>Noida</v>
      </c>
      <c r="E1169" s="10" t="s">
        <v>806</v>
      </c>
      <c r="F1169" s="11" t="s">
        <v>811</v>
      </c>
      <c r="G1169" s="11" t="s">
        <v>3462</v>
      </c>
      <c r="H1169" s="10" t="s">
        <v>809</v>
      </c>
    </row>
    <row r="1170" spans="1:8" x14ac:dyDescent="0.25">
      <c r="A1170" s="11" t="s">
        <v>2627</v>
      </c>
      <c r="B1170" s="10" t="s">
        <v>804</v>
      </c>
      <c r="C1170" s="10" t="s">
        <v>2518</v>
      </c>
      <c r="D1170" s="10" t="str">
        <f>VLOOKUP(C1170,Region!A:B,2,FALSE)</f>
        <v>Noida</v>
      </c>
      <c r="E1170" s="10" t="s">
        <v>1427</v>
      </c>
      <c r="F1170" s="11" t="s">
        <v>814</v>
      </c>
      <c r="G1170" s="11" t="s">
        <v>575</v>
      </c>
      <c r="H1170" s="10" t="s">
        <v>812</v>
      </c>
    </row>
    <row r="1171" spans="1:8" x14ac:dyDescent="0.25">
      <c r="A1171" s="11" t="s">
        <v>3240</v>
      </c>
      <c r="B1171" s="10" t="s">
        <v>1086</v>
      </c>
      <c r="C1171" s="10" t="s">
        <v>2987</v>
      </c>
      <c r="D1171" s="10" t="str">
        <f>VLOOKUP(C1171,Region!A:B,2,FALSE)</f>
        <v>Noida</v>
      </c>
      <c r="E1171" s="10" t="s">
        <v>1427</v>
      </c>
      <c r="F1171" s="11" t="s">
        <v>807</v>
      </c>
      <c r="G1171" s="11" t="s">
        <v>3241</v>
      </c>
      <c r="H1171" s="10" t="s">
        <v>809</v>
      </c>
    </row>
    <row r="1172" spans="1:8" x14ac:dyDescent="0.25">
      <c r="A1172" s="11" t="s">
        <v>2087</v>
      </c>
      <c r="B1172" s="10" t="s">
        <v>804</v>
      </c>
      <c r="C1172" s="10" t="s">
        <v>2041</v>
      </c>
      <c r="D1172" s="10" t="str">
        <f>VLOOKUP(C1172,Region!A:B,2,FALSE)</f>
        <v>Hyderabad</v>
      </c>
      <c r="E1172" s="10" t="s">
        <v>1427</v>
      </c>
      <c r="F1172" s="11" t="s">
        <v>823</v>
      </c>
      <c r="G1172" s="11" t="s">
        <v>2088</v>
      </c>
      <c r="H1172" s="10" t="s">
        <v>809</v>
      </c>
    </row>
    <row r="1173" spans="1:8" x14ac:dyDescent="0.25">
      <c r="A1173" s="11" t="s">
        <v>2598</v>
      </c>
      <c r="B1173" s="10" t="s">
        <v>804</v>
      </c>
      <c r="C1173" s="10" t="s">
        <v>2518</v>
      </c>
      <c r="D1173" s="10" t="str">
        <f>VLOOKUP(C1173,Region!A:B,2,FALSE)</f>
        <v>Noida</v>
      </c>
      <c r="E1173" s="10" t="s">
        <v>1427</v>
      </c>
      <c r="F1173" s="11" t="s">
        <v>811</v>
      </c>
      <c r="G1173" s="11" t="s">
        <v>2599</v>
      </c>
      <c r="H1173" s="10" t="s">
        <v>809</v>
      </c>
    </row>
    <row r="1174" spans="1:8" x14ac:dyDescent="0.25">
      <c r="A1174" s="11" t="s">
        <v>1143</v>
      </c>
      <c r="B1174" s="10" t="s">
        <v>1086</v>
      </c>
      <c r="C1174" s="10" t="s">
        <v>1087</v>
      </c>
      <c r="D1174" s="10" t="str">
        <f>VLOOKUP(C1174,Region!A:B,2,FALSE)</f>
        <v>Hyderabad</v>
      </c>
      <c r="E1174" s="10" t="s">
        <v>806</v>
      </c>
      <c r="F1174" s="11" t="s">
        <v>807</v>
      </c>
      <c r="G1174" s="11" t="s">
        <v>1144</v>
      </c>
      <c r="H1174" s="10" t="s">
        <v>809</v>
      </c>
    </row>
    <row r="1175" spans="1:8" x14ac:dyDescent="0.25">
      <c r="A1175" s="11" t="s">
        <v>2405</v>
      </c>
      <c r="B1175" s="10" t="s">
        <v>804</v>
      </c>
      <c r="C1175" s="10" t="s">
        <v>2041</v>
      </c>
      <c r="D1175" s="10" t="str">
        <f>VLOOKUP(C1175,Region!A:B,2,FALSE)</f>
        <v>Hyderabad</v>
      </c>
      <c r="E1175" s="10" t="s">
        <v>1427</v>
      </c>
      <c r="F1175" s="11" t="s">
        <v>814</v>
      </c>
      <c r="G1175" s="11" t="s">
        <v>2406</v>
      </c>
      <c r="H1175" s="10" t="s">
        <v>809</v>
      </c>
    </row>
    <row r="1176" spans="1:8" x14ac:dyDescent="0.25">
      <c r="A1176" s="11" t="s">
        <v>966</v>
      </c>
      <c r="B1176" s="10" t="s">
        <v>804</v>
      </c>
      <c r="C1176" s="10" t="s">
        <v>805</v>
      </c>
      <c r="D1176" s="10" t="str">
        <f>VLOOKUP(C1176,Region!A:B,2,FALSE)</f>
        <v>Noida</v>
      </c>
      <c r="E1176" s="10" t="s">
        <v>806</v>
      </c>
      <c r="F1176" s="11" t="s">
        <v>814</v>
      </c>
      <c r="G1176" s="11" t="s">
        <v>967</v>
      </c>
      <c r="H1176" s="10" t="s">
        <v>809</v>
      </c>
    </row>
    <row r="1177" spans="1:8" x14ac:dyDescent="0.25">
      <c r="A1177" s="11" t="s">
        <v>2600</v>
      </c>
      <c r="B1177" s="10" t="s">
        <v>804</v>
      </c>
      <c r="C1177" s="10" t="s">
        <v>2518</v>
      </c>
      <c r="D1177" s="10" t="str">
        <f>VLOOKUP(C1177,Region!A:B,2,FALSE)</f>
        <v>Noida</v>
      </c>
      <c r="E1177" s="10" t="s">
        <v>1427</v>
      </c>
      <c r="F1177" s="11" t="s">
        <v>811</v>
      </c>
      <c r="G1177" s="11" t="s">
        <v>2601</v>
      </c>
      <c r="H1177" s="10" t="s">
        <v>812</v>
      </c>
    </row>
    <row r="1178" spans="1:8" x14ac:dyDescent="0.25">
      <c r="A1178" s="11" t="s">
        <v>1212</v>
      </c>
      <c r="B1178" s="10" t="s">
        <v>1086</v>
      </c>
      <c r="C1178" s="10" t="s">
        <v>1087</v>
      </c>
      <c r="D1178" s="10" t="str">
        <f>VLOOKUP(C1178,Region!A:B,2,FALSE)</f>
        <v>Hyderabad</v>
      </c>
      <c r="E1178" s="10" t="s">
        <v>806</v>
      </c>
      <c r="F1178" s="11" t="s">
        <v>814</v>
      </c>
      <c r="G1178" s="11" t="s">
        <v>1213</v>
      </c>
      <c r="H1178" s="10" t="s">
        <v>809</v>
      </c>
    </row>
    <row r="1179" spans="1:8" x14ac:dyDescent="0.25">
      <c r="A1179" s="11" t="s">
        <v>2138</v>
      </c>
      <c r="B1179" s="10" t="s">
        <v>804</v>
      </c>
      <c r="C1179" s="10" t="s">
        <v>2041</v>
      </c>
      <c r="D1179" s="10" t="str">
        <f>VLOOKUP(C1179,Region!A:B,2,FALSE)</f>
        <v>Hyderabad</v>
      </c>
      <c r="E1179" s="10" t="s">
        <v>1427</v>
      </c>
      <c r="F1179" s="11" t="s">
        <v>814</v>
      </c>
      <c r="G1179" s="11" t="s">
        <v>2139</v>
      </c>
      <c r="H1179" s="10" t="s">
        <v>809</v>
      </c>
    </row>
    <row r="1180" spans="1:8" x14ac:dyDescent="0.25">
      <c r="A1180" s="11" t="s">
        <v>1301</v>
      </c>
      <c r="B1180" s="10" t="s">
        <v>1086</v>
      </c>
      <c r="C1180" s="10" t="s">
        <v>1087</v>
      </c>
      <c r="D1180" s="10" t="str">
        <f>VLOOKUP(C1180,Region!A:B,2,FALSE)</f>
        <v>Hyderabad</v>
      </c>
      <c r="E1180" s="10" t="s">
        <v>806</v>
      </c>
      <c r="F1180" s="11" t="s">
        <v>811</v>
      </c>
      <c r="G1180" s="11" t="s">
        <v>1302</v>
      </c>
      <c r="H1180" s="10" t="s">
        <v>812</v>
      </c>
    </row>
    <row r="1181" spans="1:8" x14ac:dyDescent="0.25">
      <c r="A1181" s="11" t="s">
        <v>2228</v>
      </c>
      <c r="B1181" s="10" t="s">
        <v>804</v>
      </c>
      <c r="C1181" s="10" t="s">
        <v>2041</v>
      </c>
      <c r="D1181" s="10" t="str">
        <f>VLOOKUP(C1181,Region!A:B,2,FALSE)</f>
        <v>Hyderabad</v>
      </c>
      <c r="E1181" s="10" t="s">
        <v>1427</v>
      </c>
      <c r="F1181" s="11" t="s">
        <v>811</v>
      </c>
      <c r="G1181" s="11" t="s">
        <v>2229</v>
      </c>
      <c r="H1181" s="10" t="s">
        <v>809</v>
      </c>
    </row>
    <row r="1182" spans="1:8" x14ac:dyDescent="0.25">
      <c r="A1182" s="11" t="s">
        <v>2762</v>
      </c>
      <c r="B1182" s="10" t="s">
        <v>804</v>
      </c>
      <c r="C1182" s="10" t="s">
        <v>2752</v>
      </c>
      <c r="D1182" s="10" t="str">
        <f>VLOOKUP(C1182,Region!A:B,2,FALSE)</f>
        <v>Noida</v>
      </c>
      <c r="E1182" s="10" t="s">
        <v>806</v>
      </c>
      <c r="F1182" s="11" t="s">
        <v>807</v>
      </c>
      <c r="G1182" s="11" t="s">
        <v>2763</v>
      </c>
      <c r="H1182" s="10" t="s">
        <v>812</v>
      </c>
    </row>
    <row r="1183" spans="1:8" x14ac:dyDescent="0.25">
      <c r="A1183" s="11" t="s">
        <v>2477</v>
      </c>
      <c r="B1183" s="10" t="s">
        <v>804</v>
      </c>
      <c r="C1183" s="10" t="s">
        <v>2041</v>
      </c>
      <c r="D1183" s="10" t="str">
        <f>VLOOKUP(C1183,Region!A:B,2,FALSE)</f>
        <v>Hyderabad</v>
      </c>
      <c r="E1183" s="10" t="s">
        <v>1427</v>
      </c>
      <c r="F1183" s="11" t="s">
        <v>811</v>
      </c>
      <c r="G1183" s="11" t="s">
        <v>2478</v>
      </c>
      <c r="H1183" s="10" t="s">
        <v>809</v>
      </c>
    </row>
    <row r="1184" spans="1:8" x14ac:dyDescent="0.25">
      <c r="A1184" s="11" t="s">
        <v>3389</v>
      </c>
      <c r="B1184" s="10" t="s">
        <v>1086</v>
      </c>
      <c r="C1184" s="10" t="s">
        <v>3273</v>
      </c>
      <c r="D1184" s="10" t="str">
        <f>VLOOKUP(C1184,Region!A:B,2,FALSE)</f>
        <v>Noida</v>
      </c>
      <c r="E1184" s="10" t="s">
        <v>806</v>
      </c>
      <c r="F1184" s="11" t="s">
        <v>814</v>
      </c>
      <c r="G1184" s="11" t="s">
        <v>3390</v>
      </c>
      <c r="H1184" s="10" t="s">
        <v>812</v>
      </c>
    </row>
    <row r="1185" spans="1:8" x14ac:dyDescent="0.25">
      <c r="A1185" s="11" t="s">
        <v>2948</v>
      </c>
      <c r="B1185" s="10" t="s">
        <v>804</v>
      </c>
      <c r="C1185" s="10" t="s">
        <v>2752</v>
      </c>
      <c r="D1185" s="10" t="str">
        <f>VLOOKUP(C1185,Region!A:B,2,FALSE)</f>
        <v>Noida</v>
      </c>
      <c r="E1185" s="10" t="s">
        <v>806</v>
      </c>
      <c r="F1185" s="11" t="s">
        <v>811</v>
      </c>
      <c r="G1185" s="11" t="s">
        <v>2949</v>
      </c>
      <c r="H1185" s="10" t="s">
        <v>812</v>
      </c>
    </row>
    <row r="1186" spans="1:8" x14ac:dyDescent="0.25">
      <c r="A1186" s="11" t="s">
        <v>3331</v>
      </c>
      <c r="B1186" s="10" t="s">
        <v>1086</v>
      </c>
      <c r="C1186" s="10" t="s">
        <v>3273</v>
      </c>
      <c r="D1186" s="10" t="str">
        <f>VLOOKUP(C1186,Region!A:B,2,FALSE)</f>
        <v>Noida</v>
      </c>
      <c r="E1186" s="10" t="s">
        <v>806</v>
      </c>
      <c r="F1186" s="11" t="s">
        <v>811</v>
      </c>
      <c r="G1186" s="11" t="s">
        <v>222</v>
      </c>
      <c r="H1186" s="10" t="s">
        <v>812</v>
      </c>
    </row>
    <row r="1187" spans="1:8" x14ac:dyDescent="0.25">
      <c r="A1187" s="11" t="s">
        <v>1992</v>
      </c>
      <c r="B1187" s="10" t="s">
        <v>1086</v>
      </c>
      <c r="C1187" s="10" t="s">
        <v>1635</v>
      </c>
      <c r="D1187" s="10" t="str">
        <f>VLOOKUP(C1187,Region!A:B,2,FALSE)</f>
        <v>MBC US</v>
      </c>
      <c r="E1187" s="10" t="s">
        <v>806</v>
      </c>
      <c r="F1187" s="11" t="s">
        <v>823</v>
      </c>
      <c r="G1187" s="11" t="s">
        <v>1993</v>
      </c>
      <c r="H1187" s="10" t="s">
        <v>812</v>
      </c>
    </row>
    <row r="1188" spans="1:8" x14ac:dyDescent="0.25">
      <c r="A1188" s="11" t="s">
        <v>2810</v>
      </c>
      <c r="B1188" s="10" t="s">
        <v>804</v>
      </c>
      <c r="C1188" s="10" t="s">
        <v>2752</v>
      </c>
      <c r="D1188" s="10" t="str">
        <f>VLOOKUP(C1188,Region!A:B,2,FALSE)</f>
        <v>Noida</v>
      </c>
      <c r="E1188" s="10" t="s">
        <v>806</v>
      </c>
      <c r="F1188" s="11" t="s">
        <v>811</v>
      </c>
      <c r="G1188" s="11" t="s">
        <v>2811</v>
      </c>
      <c r="H1188" s="10" t="s">
        <v>812</v>
      </c>
    </row>
    <row r="1189" spans="1:8" x14ac:dyDescent="0.25">
      <c r="A1189" s="11" t="s">
        <v>2812</v>
      </c>
      <c r="B1189" s="10" t="s">
        <v>804</v>
      </c>
      <c r="C1189" s="10" t="s">
        <v>2752</v>
      </c>
      <c r="D1189" s="10" t="str">
        <f>VLOOKUP(C1189,Region!A:B,2,FALSE)</f>
        <v>Noida</v>
      </c>
      <c r="E1189" s="10" t="s">
        <v>806</v>
      </c>
      <c r="F1189" s="11" t="s">
        <v>823</v>
      </c>
      <c r="G1189" s="11" t="s">
        <v>2813</v>
      </c>
      <c r="H1189" s="10" t="s">
        <v>812</v>
      </c>
    </row>
    <row r="1190" spans="1:8" x14ac:dyDescent="0.25">
      <c r="A1190" s="11" t="s">
        <v>2467</v>
      </c>
      <c r="B1190" s="10" t="s">
        <v>804</v>
      </c>
      <c r="C1190" s="10" t="s">
        <v>2041</v>
      </c>
      <c r="D1190" s="10" t="str">
        <f>VLOOKUP(C1190,Region!A:B,2,FALSE)</f>
        <v>Hyderabad</v>
      </c>
      <c r="E1190" s="10" t="s">
        <v>1427</v>
      </c>
      <c r="F1190" s="11" t="s">
        <v>811</v>
      </c>
      <c r="G1190" s="11" t="s">
        <v>2468</v>
      </c>
      <c r="H1190" s="10" t="s">
        <v>809</v>
      </c>
    </row>
    <row r="1191" spans="1:8" x14ac:dyDescent="0.25">
      <c r="A1191" s="11" t="s">
        <v>2668</v>
      </c>
      <c r="B1191" s="10" t="s">
        <v>804</v>
      </c>
      <c r="C1191" s="10" t="s">
        <v>2518</v>
      </c>
      <c r="D1191" s="10" t="str">
        <f>VLOOKUP(C1191,Region!A:B,2,FALSE)</f>
        <v>Noida</v>
      </c>
      <c r="E1191" s="10" t="s">
        <v>1427</v>
      </c>
      <c r="F1191" s="11" t="s">
        <v>823</v>
      </c>
      <c r="G1191" s="11" t="s">
        <v>2669</v>
      </c>
      <c r="H1191" s="10" t="s">
        <v>809</v>
      </c>
    </row>
    <row r="1192" spans="1:8" x14ac:dyDescent="0.25">
      <c r="A1192" s="11" t="s">
        <v>2140</v>
      </c>
      <c r="B1192" s="10" t="s">
        <v>804</v>
      </c>
      <c r="C1192" s="10" t="s">
        <v>2041</v>
      </c>
      <c r="D1192" s="10" t="str">
        <f>VLOOKUP(C1192,Region!A:B,2,FALSE)</f>
        <v>Hyderabad</v>
      </c>
      <c r="E1192" s="10" t="s">
        <v>1427</v>
      </c>
      <c r="F1192" s="11" t="s">
        <v>814</v>
      </c>
      <c r="G1192" s="11" t="s">
        <v>611</v>
      </c>
      <c r="H1192" s="10" t="s">
        <v>812</v>
      </c>
    </row>
    <row r="1193" spans="1:8" x14ac:dyDescent="0.25">
      <c r="A1193" s="11" t="s">
        <v>2230</v>
      </c>
      <c r="B1193" s="10" t="s">
        <v>804</v>
      </c>
      <c r="C1193" s="10" t="s">
        <v>2041</v>
      </c>
      <c r="D1193" s="10" t="str">
        <f>VLOOKUP(C1193,Region!A:B,2,FALSE)</f>
        <v>Hyderabad</v>
      </c>
      <c r="E1193" s="10" t="s">
        <v>1427</v>
      </c>
      <c r="F1193" s="11" t="s">
        <v>811</v>
      </c>
      <c r="G1193" s="11" t="s">
        <v>2231</v>
      </c>
      <c r="H1193" s="10" t="s">
        <v>812</v>
      </c>
    </row>
    <row r="1194" spans="1:8" x14ac:dyDescent="0.25">
      <c r="A1194" s="11" t="s">
        <v>880</v>
      </c>
      <c r="B1194" s="10" t="s">
        <v>804</v>
      </c>
      <c r="C1194" s="10" t="s">
        <v>805</v>
      </c>
      <c r="D1194" s="10" t="str">
        <f>VLOOKUP(C1194,Region!A:B,2,FALSE)</f>
        <v>Noida</v>
      </c>
      <c r="E1194" s="10" t="s">
        <v>806</v>
      </c>
      <c r="F1194" s="11" t="s">
        <v>814</v>
      </c>
      <c r="G1194" s="11" t="s">
        <v>881</v>
      </c>
      <c r="H1194" s="10" t="s">
        <v>809</v>
      </c>
    </row>
    <row r="1195" spans="1:8" x14ac:dyDescent="0.25">
      <c r="A1195" s="11" t="s">
        <v>2792</v>
      </c>
      <c r="B1195" s="10" t="s">
        <v>804</v>
      </c>
      <c r="C1195" s="10" t="s">
        <v>2752</v>
      </c>
      <c r="D1195" s="10" t="str">
        <f>VLOOKUP(C1195,Region!A:B,2,FALSE)</f>
        <v>Noida</v>
      </c>
      <c r="E1195" s="10" t="s">
        <v>806</v>
      </c>
      <c r="F1195" s="11" t="s">
        <v>811</v>
      </c>
      <c r="G1195" s="11" t="s">
        <v>2793</v>
      </c>
      <c r="H1195" s="10" t="s">
        <v>809</v>
      </c>
    </row>
    <row r="1196" spans="1:8" x14ac:dyDescent="0.25">
      <c r="A1196" s="11" t="s">
        <v>1994</v>
      </c>
      <c r="B1196" s="10" t="s">
        <v>804</v>
      </c>
      <c r="C1196" s="10" t="s">
        <v>1635</v>
      </c>
      <c r="D1196" s="10" t="str">
        <f>VLOOKUP(C1196,Region!A:B,2,FALSE)</f>
        <v>MBC US</v>
      </c>
      <c r="E1196" s="10" t="s">
        <v>806</v>
      </c>
      <c r="F1196" s="11" t="s">
        <v>814</v>
      </c>
      <c r="G1196" s="11" t="s">
        <v>408</v>
      </c>
      <c r="H1196" s="10" t="s">
        <v>812</v>
      </c>
    </row>
    <row r="1197" spans="1:8" x14ac:dyDescent="0.25">
      <c r="A1197" s="11" t="s">
        <v>2543</v>
      </c>
      <c r="B1197" s="10" t="s">
        <v>804</v>
      </c>
      <c r="C1197" s="10" t="s">
        <v>2518</v>
      </c>
      <c r="D1197" s="10" t="str">
        <f>VLOOKUP(C1197,Region!A:B,2,FALSE)</f>
        <v>Noida</v>
      </c>
      <c r="E1197" s="10" t="s">
        <v>1427</v>
      </c>
      <c r="F1197" s="11" t="s">
        <v>823</v>
      </c>
      <c r="G1197" s="11" t="s">
        <v>2544</v>
      </c>
      <c r="H1197" s="10" t="s">
        <v>812</v>
      </c>
    </row>
    <row r="1198" spans="1:8" x14ac:dyDescent="0.25">
      <c r="A1198" s="11" t="s">
        <v>996</v>
      </c>
      <c r="B1198" s="10" t="s">
        <v>804</v>
      </c>
      <c r="C1198" s="10" t="s">
        <v>805</v>
      </c>
      <c r="D1198" s="10" t="str">
        <f>VLOOKUP(C1198,Region!A:B,2,FALSE)</f>
        <v>Noida</v>
      </c>
      <c r="E1198" s="10" t="s">
        <v>806</v>
      </c>
      <c r="F1198" s="11" t="s">
        <v>823</v>
      </c>
      <c r="G1198" s="11" t="s">
        <v>997</v>
      </c>
      <c r="H1198" s="10" t="s">
        <v>809</v>
      </c>
    </row>
    <row r="1199" spans="1:8" x14ac:dyDescent="0.25">
      <c r="A1199" s="11" t="s">
        <v>2326</v>
      </c>
      <c r="B1199" s="10" t="s">
        <v>804</v>
      </c>
      <c r="C1199" s="10" t="s">
        <v>2041</v>
      </c>
      <c r="D1199" s="10" t="str">
        <f>VLOOKUP(C1199,Region!A:B,2,FALSE)</f>
        <v>Hyderabad</v>
      </c>
      <c r="E1199" s="10" t="s">
        <v>1427</v>
      </c>
      <c r="F1199" s="11" t="s">
        <v>807</v>
      </c>
      <c r="G1199" s="11" t="s">
        <v>2327</v>
      </c>
      <c r="H1199" s="10" t="s">
        <v>809</v>
      </c>
    </row>
    <row r="1200" spans="1:8" x14ac:dyDescent="0.25">
      <c r="A1200" s="11" t="s">
        <v>3341</v>
      </c>
      <c r="B1200" s="10" t="s">
        <v>1086</v>
      </c>
      <c r="C1200" s="10" t="s">
        <v>3273</v>
      </c>
      <c r="D1200" s="10" t="str">
        <f>VLOOKUP(C1200,Region!A:B,2,FALSE)</f>
        <v>Noida</v>
      </c>
      <c r="E1200" s="10" t="s">
        <v>806</v>
      </c>
      <c r="F1200" s="11" t="s">
        <v>811</v>
      </c>
      <c r="G1200" s="11" t="s">
        <v>3342</v>
      </c>
      <c r="H1200" s="10" t="s">
        <v>809</v>
      </c>
    </row>
    <row r="1201" spans="1:8" x14ac:dyDescent="0.25">
      <c r="A1201" s="11" t="s">
        <v>2670</v>
      </c>
      <c r="B1201" s="10" t="s">
        <v>804</v>
      </c>
      <c r="C1201" s="10" t="s">
        <v>2518</v>
      </c>
      <c r="D1201" s="10" t="str">
        <f>VLOOKUP(C1201,Region!A:B,2,FALSE)</f>
        <v>Noida</v>
      </c>
      <c r="E1201" s="10" t="s">
        <v>1427</v>
      </c>
      <c r="F1201" s="11" t="s">
        <v>823</v>
      </c>
      <c r="G1201" s="11" t="s">
        <v>2671</v>
      </c>
      <c r="H1201" s="10" t="s">
        <v>812</v>
      </c>
    </row>
    <row r="1202" spans="1:8" x14ac:dyDescent="0.25">
      <c r="A1202" s="11" t="s">
        <v>2328</v>
      </c>
      <c r="B1202" s="10" t="s">
        <v>804</v>
      </c>
      <c r="C1202" s="10" t="s">
        <v>2041</v>
      </c>
      <c r="D1202" s="10" t="str">
        <f>VLOOKUP(C1202,Region!A:B,2,FALSE)</f>
        <v>Hyderabad</v>
      </c>
      <c r="E1202" s="10" t="s">
        <v>1427</v>
      </c>
      <c r="F1202" s="11" t="s">
        <v>807</v>
      </c>
      <c r="G1202" s="11" t="s">
        <v>2329</v>
      </c>
      <c r="H1202" s="10" t="s">
        <v>809</v>
      </c>
    </row>
    <row r="1203" spans="1:8" x14ac:dyDescent="0.25">
      <c r="A1203" s="11" t="s">
        <v>2232</v>
      </c>
      <c r="B1203" s="10" t="s">
        <v>804</v>
      </c>
      <c r="C1203" s="10" t="s">
        <v>2041</v>
      </c>
      <c r="D1203" s="10" t="str">
        <f>VLOOKUP(C1203,Region!A:B,2,FALSE)</f>
        <v>Hyderabad</v>
      </c>
      <c r="E1203" s="10" t="s">
        <v>1427</v>
      </c>
      <c r="F1203" s="11" t="s">
        <v>811</v>
      </c>
      <c r="G1203" s="11" t="s">
        <v>305</v>
      </c>
      <c r="H1203" s="10" t="s">
        <v>812</v>
      </c>
    </row>
    <row r="1204" spans="1:8" x14ac:dyDescent="0.25">
      <c r="A1204" s="11" t="s">
        <v>1619</v>
      </c>
      <c r="B1204" s="10" t="s">
        <v>1086</v>
      </c>
      <c r="C1204" s="10" t="s">
        <v>1426</v>
      </c>
      <c r="D1204" s="10" t="str">
        <f>VLOOKUP(C1204,Region!A:B,2,FALSE)</f>
        <v>Spain</v>
      </c>
      <c r="E1204" s="10" t="s">
        <v>1427</v>
      </c>
      <c r="F1204" s="11" t="s">
        <v>814</v>
      </c>
      <c r="G1204" s="11" t="s">
        <v>1620</v>
      </c>
      <c r="H1204" s="10" t="s">
        <v>809</v>
      </c>
    </row>
    <row r="1205" spans="1:8" x14ac:dyDescent="0.25">
      <c r="A1205" s="11" t="s">
        <v>2089</v>
      </c>
      <c r="B1205" s="10" t="s">
        <v>804</v>
      </c>
      <c r="C1205" s="10" t="s">
        <v>2041</v>
      </c>
      <c r="D1205" s="10" t="str">
        <f>VLOOKUP(C1205,Region!A:B,2,FALSE)</f>
        <v>Hyderabad</v>
      </c>
      <c r="E1205" s="10" t="s">
        <v>1427</v>
      </c>
      <c r="F1205" s="11" t="s">
        <v>823</v>
      </c>
      <c r="G1205" s="11" t="s">
        <v>2090</v>
      </c>
      <c r="H1205" s="10" t="s">
        <v>809</v>
      </c>
    </row>
    <row r="1206" spans="1:8" x14ac:dyDescent="0.25">
      <c r="A1206" s="11" t="s">
        <v>2736</v>
      </c>
      <c r="B1206" s="10" t="s">
        <v>804</v>
      </c>
      <c r="C1206" s="10" t="s">
        <v>2518</v>
      </c>
      <c r="D1206" s="10" t="str">
        <f>VLOOKUP(C1206,Region!A:B,2,FALSE)</f>
        <v>Noida</v>
      </c>
      <c r="E1206" s="10" t="s">
        <v>1427</v>
      </c>
      <c r="F1206" s="11" t="s">
        <v>823</v>
      </c>
      <c r="G1206" s="11" t="s">
        <v>2737</v>
      </c>
      <c r="H1206" s="10" t="s">
        <v>812</v>
      </c>
    </row>
    <row r="1207" spans="1:8" x14ac:dyDescent="0.25">
      <c r="A1207" s="11" t="s">
        <v>3361</v>
      </c>
      <c r="B1207" s="10" t="s">
        <v>1086</v>
      </c>
      <c r="C1207" s="10" t="s">
        <v>3273</v>
      </c>
      <c r="D1207" s="10" t="str">
        <f>VLOOKUP(C1207,Region!A:B,2,FALSE)</f>
        <v>Noida</v>
      </c>
      <c r="E1207" s="10" t="s">
        <v>806</v>
      </c>
      <c r="F1207" s="11" t="s">
        <v>823</v>
      </c>
      <c r="G1207" s="11" t="s">
        <v>273</v>
      </c>
      <c r="H1207" s="10" t="s">
        <v>812</v>
      </c>
    </row>
    <row r="1208" spans="1:8" x14ac:dyDescent="0.25">
      <c r="A1208" s="11" t="s">
        <v>846</v>
      </c>
      <c r="B1208" s="10" t="s">
        <v>804</v>
      </c>
      <c r="C1208" s="10" t="s">
        <v>805</v>
      </c>
      <c r="D1208" s="10" t="str">
        <f>VLOOKUP(C1208,Region!A:B,2,FALSE)</f>
        <v>Noida</v>
      </c>
      <c r="E1208" s="10" t="s">
        <v>806</v>
      </c>
      <c r="F1208" s="11" t="s">
        <v>823</v>
      </c>
      <c r="G1208" s="11" t="s">
        <v>847</v>
      </c>
      <c r="H1208" s="10" t="s">
        <v>812</v>
      </c>
    </row>
    <row r="1209" spans="1:8" x14ac:dyDescent="0.25">
      <c r="A1209" s="11" t="s">
        <v>2407</v>
      </c>
      <c r="B1209" s="10" t="s">
        <v>804</v>
      </c>
      <c r="C1209" s="10" t="s">
        <v>2041</v>
      </c>
      <c r="D1209" s="10" t="str">
        <f>VLOOKUP(C1209,Region!A:B,2,FALSE)</f>
        <v>Hyderabad</v>
      </c>
      <c r="E1209" s="10" t="s">
        <v>1427</v>
      </c>
      <c r="F1209" s="11" t="s">
        <v>814</v>
      </c>
      <c r="G1209" s="11" t="s">
        <v>208</v>
      </c>
      <c r="H1209" s="10" t="s">
        <v>812</v>
      </c>
    </row>
    <row r="1210" spans="1:8" x14ac:dyDescent="0.25">
      <c r="A1210" s="11" t="s">
        <v>1305</v>
      </c>
      <c r="B1210" s="10" t="s">
        <v>1086</v>
      </c>
      <c r="C1210" s="10" t="s">
        <v>1087</v>
      </c>
      <c r="D1210" s="10" t="str">
        <f>VLOOKUP(C1210,Region!A:B,2,FALSE)</f>
        <v>Hyderabad</v>
      </c>
      <c r="E1210" s="10" t="s">
        <v>806</v>
      </c>
      <c r="F1210" s="11" t="s">
        <v>807</v>
      </c>
      <c r="G1210" s="11" t="s">
        <v>1306</v>
      </c>
      <c r="H1210" s="10" t="s">
        <v>809</v>
      </c>
    </row>
    <row r="1211" spans="1:8" x14ac:dyDescent="0.25">
      <c r="A1211" s="11" t="s">
        <v>2091</v>
      </c>
      <c r="B1211" s="10" t="s">
        <v>804</v>
      </c>
      <c r="C1211" s="10" t="s">
        <v>2041</v>
      </c>
      <c r="D1211" s="10" t="str">
        <f>VLOOKUP(C1211,Region!A:B,2,FALSE)</f>
        <v>Hyderabad</v>
      </c>
      <c r="E1211" s="10" t="s">
        <v>1427</v>
      </c>
      <c r="F1211" s="11" t="s">
        <v>823</v>
      </c>
      <c r="G1211" s="11" t="s">
        <v>386</v>
      </c>
      <c r="H1211" s="10" t="s">
        <v>812</v>
      </c>
    </row>
    <row r="1212" spans="1:8" x14ac:dyDescent="0.25">
      <c r="A1212" s="11" t="s">
        <v>2233</v>
      </c>
      <c r="B1212" s="10" t="s">
        <v>804</v>
      </c>
      <c r="C1212" s="10" t="s">
        <v>2041</v>
      </c>
      <c r="D1212" s="10" t="str">
        <f>VLOOKUP(C1212,Region!A:B,2,FALSE)</f>
        <v>Hyderabad</v>
      </c>
      <c r="E1212" s="10" t="s">
        <v>1427</v>
      </c>
      <c r="F1212" s="11" t="s">
        <v>811</v>
      </c>
      <c r="G1212" s="11" t="s">
        <v>123</v>
      </c>
      <c r="H1212" s="10" t="s">
        <v>812</v>
      </c>
    </row>
    <row r="1213" spans="1:8" x14ac:dyDescent="0.25">
      <c r="A1213" s="11" t="s">
        <v>2408</v>
      </c>
      <c r="B1213" s="10" t="s">
        <v>804</v>
      </c>
      <c r="C1213" s="10" t="s">
        <v>2041</v>
      </c>
      <c r="D1213" s="10" t="str">
        <f>VLOOKUP(C1213,Region!A:B,2,FALSE)</f>
        <v>Hyderabad</v>
      </c>
      <c r="E1213" s="10" t="s">
        <v>1427</v>
      </c>
      <c r="F1213" s="11" t="s">
        <v>814</v>
      </c>
      <c r="G1213" s="11" t="s">
        <v>2409</v>
      </c>
      <c r="H1213" s="10" t="s">
        <v>812</v>
      </c>
    </row>
    <row r="1214" spans="1:8" x14ac:dyDescent="0.25">
      <c r="A1214" s="11" t="s">
        <v>3167</v>
      </c>
      <c r="B1214" s="10" t="s">
        <v>1086</v>
      </c>
      <c r="C1214" s="10" t="s">
        <v>2987</v>
      </c>
      <c r="D1214" s="10" t="str">
        <f>VLOOKUP(C1214,Region!A:B,2,FALSE)</f>
        <v>Noida</v>
      </c>
      <c r="E1214" s="10" t="s">
        <v>1427</v>
      </c>
      <c r="F1214" s="11" t="s">
        <v>823</v>
      </c>
      <c r="G1214" s="11" t="s">
        <v>3168</v>
      </c>
      <c r="H1214" s="10" t="s">
        <v>812</v>
      </c>
    </row>
    <row r="1215" spans="1:8" x14ac:dyDescent="0.25">
      <c r="A1215" s="11" t="s">
        <v>3407</v>
      </c>
      <c r="B1215" s="10" t="s">
        <v>1086</v>
      </c>
      <c r="C1215" s="10" t="s">
        <v>3273</v>
      </c>
      <c r="D1215" s="10" t="str">
        <f>VLOOKUP(C1215,Region!A:B,2,FALSE)</f>
        <v>Noida</v>
      </c>
      <c r="E1215" s="10" t="s">
        <v>806</v>
      </c>
      <c r="F1215" s="11" t="s">
        <v>823</v>
      </c>
      <c r="G1215" s="11" t="s">
        <v>3408</v>
      </c>
      <c r="H1215" s="10" t="s">
        <v>812</v>
      </c>
    </row>
    <row r="1216" spans="1:8" x14ac:dyDescent="0.25">
      <c r="A1216" s="11" t="s">
        <v>1182</v>
      </c>
      <c r="B1216" s="10" t="s">
        <v>1086</v>
      </c>
      <c r="C1216" s="10" t="s">
        <v>1087</v>
      </c>
      <c r="D1216" s="10" t="str">
        <f>VLOOKUP(C1216,Region!A:B,2,FALSE)</f>
        <v>Hyderabad</v>
      </c>
      <c r="E1216" s="10" t="s">
        <v>806</v>
      </c>
      <c r="F1216" s="11" t="s">
        <v>807</v>
      </c>
      <c r="G1216" s="11" t="s">
        <v>1183</v>
      </c>
      <c r="H1216" s="10" t="s">
        <v>812</v>
      </c>
    </row>
    <row r="1217" spans="1:8" x14ac:dyDescent="0.25">
      <c r="A1217" s="11" t="s">
        <v>862</v>
      </c>
      <c r="B1217" s="10" t="s">
        <v>804</v>
      </c>
      <c r="C1217" s="10" t="s">
        <v>805</v>
      </c>
      <c r="D1217" s="10" t="str">
        <f>VLOOKUP(C1217,Region!A:B,2,FALSE)</f>
        <v>Noida</v>
      </c>
      <c r="E1217" s="10" t="s">
        <v>806</v>
      </c>
      <c r="F1217" s="11" t="s">
        <v>811</v>
      </c>
      <c r="G1217" s="11" t="s">
        <v>863</v>
      </c>
      <c r="H1217" s="10" t="s">
        <v>809</v>
      </c>
    </row>
    <row r="1218" spans="1:8" x14ac:dyDescent="0.25">
      <c r="A1218" s="11" t="s">
        <v>2972</v>
      </c>
      <c r="B1218" s="10" t="s">
        <v>804</v>
      </c>
      <c r="C1218" s="10" t="s">
        <v>2752</v>
      </c>
      <c r="D1218" s="10" t="str">
        <f>VLOOKUP(C1218,Region!A:B,2,FALSE)</f>
        <v>Noida</v>
      </c>
      <c r="E1218" s="10" t="s">
        <v>806</v>
      </c>
      <c r="F1218" s="11" t="s">
        <v>811</v>
      </c>
      <c r="G1218" s="11" t="s">
        <v>599</v>
      </c>
      <c r="H1218" s="10" t="s">
        <v>812</v>
      </c>
    </row>
    <row r="1219" spans="1:8" x14ac:dyDescent="0.25">
      <c r="A1219" s="11" t="s">
        <v>3316</v>
      </c>
      <c r="B1219" s="10" t="s">
        <v>1086</v>
      </c>
      <c r="C1219" s="10" t="s">
        <v>3273</v>
      </c>
      <c r="D1219" s="10" t="str">
        <f>VLOOKUP(C1219,Region!A:B,2,FALSE)</f>
        <v>Noida</v>
      </c>
      <c r="E1219" s="10" t="s">
        <v>806</v>
      </c>
      <c r="F1219" s="11" t="s">
        <v>823</v>
      </c>
      <c r="G1219" s="11" t="s">
        <v>3317</v>
      </c>
      <c r="H1219" s="10" t="s">
        <v>812</v>
      </c>
    </row>
    <row r="1220" spans="1:8" x14ac:dyDescent="0.25">
      <c r="A1220" s="11" t="s">
        <v>1210</v>
      </c>
      <c r="B1220" s="10" t="s">
        <v>1086</v>
      </c>
      <c r="C1220" s="10" t="s">
        <v>1087</v>
      </c>
      <c r="D1220" s="10" t="str">
        <f>VLOOKUP(C1220,Region!A:B,2,FALSE)</f>
        <v>Hyderabad</v>
      </c>
      <c r="E1220" s="10" t="s">
        <v>806</v>
      </c>
      <c r="F1220" s="11" t="s">
        <v>814</v>
      </c>
      <c r="G1220" s="11" t="s">
        <v>1211</v>
      </c>
      <c r="H1220" s="10" t="s">
        <v>812</v>
      </c>
    </row>
    <row r="1221" spans="1:8" x14ac:dyDescent="0.25">
      <c r="A1221" s="11" t="s">
        <v>1987</v>
      </c>
      <c r="B1221" s="10" t="s">
        <v>1086</v>
      </c>
      <c r="C1221" s="10" t="s">
        <v>1635</v>
      </c>
      <c r="D1221" s="10" t="str">
        <f>VLOOKUP(C1221,Region!A:B,2,FALSE)</f>
        <v>MBC US</v>
      </c>
      <c r="E1221" s="10" t="s">
        <v>806</v>
      </c>
      <c r="F1221" s="11" t="s">
        <v>807</v>
      </c>
      <c r="G1221" s="11" t="s">
        <v>1988</v>
      </c>
      <c r="H1221" s="10" t="s">
        <v>809</v>
      </c>
    </row>
    <row r="1222" spans="1:8" x14ac:dyDescent="0.25">
      <c r="A1222" s="11" t="s">
        <v>3207</v>
      </c>
      <c r="B1222" s="10" t="s">
        <v>1086</v>
      </c>
      <c r="C1222" s="10" t="s">
        <v>2987</v>
      </c>
      <c r="D1222" s="10" t="str">
        <f>VLOOKUP(C1222,Region!A:B,2,FALSE)</f>
        <v>Noida</v>
      </c>
      <c r="E1222" s="10" t="s">
        <v>1427</v>
      </c>
      <c r="F1222" s="11" t="s">
        <v>811</v>
      </c>
      <c r="G1222" s="11" t="s">
        <v>3208</v>
      </c>
      <c r="H1222" s="10" t="s">
        <v>809</v>
      </c>
    </row>
    <row r="1223" spans="1:8" x14ac:dyDescent="0.25">
      <c r="A1223" s="11" t="s">
        <v>2882</v>
      </c>
      <c r="B1223" s="10" t="s">
        <v>804</v>
      </c>
      <c r="C1223" s="10" t="s">
        <v>2752</v>
      </c>
      <c r="D1223" s="10" t="str">
        <f>VLOOKUP(C1223,Region!A:B,2,FALSE)</f>
        <v>Noida</v>
      </c>
      <c r="E1223" s="10" t="s">
        <v>806</v>
      </c>
      <c r="F1223" s="11" t="s">
        <v>811</v>
      </c>
      <c r="G1223" s="11" t="s">
        <v>590</v>
      </c>
      <c r="H1223" s="10" t="s">
        <v>812</v>
      </c>
    </row>
    <row r="1224" spans="1:8" x14ac:dyDescent="0.25">
      <c r="A1224" s="11" t="s">
        <v>978</v>
      </c>
      <c r="B1224" s="10" t="s">
        <v>804</v>
      </c>
      <c r="C1224" s="10" t="s">
        <v>805</v>
      </c>
      <c r="D1224" s="10" t="str">
        <f>VLOOKUP(C1224,Region!A:B,2,FALSE)</f>
        <v>Noida</v>
      </c>
      <c r="E1224" s="10" t="s">
        <v>806</v>
      </c>
      <c r="F1224" s="11" t="s">
        <v>834</v>
      </c>
      <c r="G1224" s="11" t="s">
        <v>979</v>
      </c>
      <c r="H1224" s="10" t="s">
        <v>809</v>
      </c>
    </row>
    <row r="1225" spans="1:8" x14ac:dyDescent="0.25">
      <c r="A1225" s="11" t="s">
        <v>1159</v>
      </c>
      <c r="B1225" s="10" t="s">
        <v>1086</v>
      </c>
      <c r="C1225" s="10" t="s">
        <v>1087</v>
      </c>
      <c r="D1225" s="10" t="str">
        <f>VLOOKUP(C1225,Region!A:B,2,FALSE)</f>
        <v>Hyderabad</v>
      </c>
      <c r="E1225" s="10" t="s">
        <v>806</v>
      </c>
      <c r="F1225" s="11" t="s">
        <v>811</v>
      </c>
      <c r="G1225" s="11" t="s">
        <v>1160</v>
      </c>
      <c r="H1225" s="10" t="s">
        <v>812</v>
      </c>
    </row>
    <row r="1226" spans="1:8" x14ac:dyDescent="0.25">
      <c r="A1226" s="11" t="s">
        <v>2479</v>
      </c>
      <c r="B1226" s="10" t="s">
        <v>804</v>
      </c>
      <c r="C1226" s="10" t="s">
        <v>2041</v>
      </c>
      <c r="D1226" s="10" t="str">
        <f>VLOOKUP(C1226,Region!A:B,2,FALSE)</f>
        <v>Hyderabad</v>
      </c>
      <c r="E1226" s="10" t="s">
        <v>1427</v>
      </c>
      <c r="F1226" s="11" t="s">
        <v>811</v>
      </c>
      <c r="G1226" s="11" t="s">
        <v>2480</v>
      </c>
      <c r="H1226" s="10" t="s">
        <v>812</v>
      </c>
    </row>
    <row r="1227" spans="1:8" x14ac:dyDescent="0.25">
      <c r="A1227" s="11" t="s">
        <v>2234</v>
      </c>
      <c r="B1227" s="10" t="s">
        <v>804</v>
      </c>
      <c r="C1227" s="10" t="s">
        <v>2041</v>
      </c>
      <c r="D1227" s="10" t="str">
        <f>VLOOKUP(C1227,Region!A:B,2,FALSE)</f>
        <v>Hyderabad</v>
      </c>
      <c r="E1227" s="10" t="s">
        <v>1427</v>
      </c>
      <c r="F1227" s="11" t="s">
        <v>811</v>
      </c>
      <c r="G1227" s="11" t="s">
        <v>2235</v>
      </c>
      <c r="H1227" s="10" t="s">
        <v>812</v>
      </c>
    </row>
    <row r="1228" spans="1:8" x14ac:dyDescent="0.25">
      <c r="A1228" s="11" t="s">
        <v>2862</v>
      </c>
      <c r="B1228" s="10" t="s">
        <v>804</v>
      </c>
      <c r="C1228" s="10" t="s">
        <v>2752</v>
      </c>
      <c r="D1228" s="10" t="str">
        <f>VLOOKUP(C1228,Region!A:B,2,FALSE)</f>
        <v>Noida</v>
      </c>
      <c r="E1228" s="10" t="s">
        <v>806</v>
      </c>
      <c r="F1228" s="11" t="s">
        <v>811</v>
      </c>
      <c r="G1228" s="11" t="s">
        <v>2863</v>
      </c>
      <c r="H1228" s="10" t="s">
        <v>809</v>
      </c>
    </row>
    <row r="1229" spans="1:8" x14ac:dyDescent="0.25">
      <c r="A1229" s="11" t="s">
        <v>1405</v>
      </c>
      <c r="B1229" s="10" t="s">
        <v>1086</v>
      </c>
      <c r="C1229" s="10" t="s">
        <v>1087</v>
      </c>
      <c r="D1229" s="10" t="str">
        <f>VLOOKUP(C1229,Region!A:B,2,FALSE)</f>
        <v>Hyderabad</v>
      </c>
      <c r="E1229" s="10" t="s">
        <v>806</v>
      </c>
      <c r="F1229" s="11" t="s">
        <v>823</v>
      </c>
      <c r="G1229" s="11" t="s">
        <v>1406</v>
      </c>
      <c r="H1229" s="10" t="s">
        <v>812</v>
      </c>
    </row>
    <row r="1230" spans="1:8" x14ac:dyDescent="0.25">
      <c r="A1230" s="11" t="s">
        <v>3364</v>
      </c>
      <c r="B1230" s="10" t="s">
        <v>1086</v>
      </c>
      <c r="C1230" s="10" t="s">
        <v>3273</v>
      </c>
      <c r="D1230" s="10" t="str">
        <f>VLOOKUP(C1230,Region!A:B,2,FALSE)</f>
        <v>Noida</v>
      </c>
      <c r="E1230" s="10" t="s">
        <v>806</v>
      </c>
      <c r="F1230" s="11" t="s">
        <v>823</v>
      </c>
      <c r="G1230" s="11" t="s">
        <v>3365</v>
      </c>
      <c r="H1230" s="10" t="s">
        <v>812</v>
      </c>
    </row>
    <row r="1231" spans="1:8" x14ac:dyDescent="0.25">
      <c r="A1231" s="11" t="s">
        <v>2504</v>
      </c>
      <c r="B1231" s="10" t="s">
        <v>804</v>
      </c>
      <c r="C1231" s="10" t="s">
        <v>2041</v>
      </c>
      <c r="D1231" s="10" t="str">
        <f>VLOOKUP(C1231,Region!A:B,2,FALSE)</f>
        <v>Hyderabad</v>
      </c>
      <c r="E1231" s="10" t="s">
        <v>1427</v>
      </c>
      <c r="F1231" s="11" t="s">
        <v>814</v>
      </c>
      <c r="G1231" s="11" t="s">
        <v>2505</v>
      </c>
      <c r="H1231" s="10" t="s">
        <v>809</v>
      </c>
    </row>
    <row r="1232" spans="1:8" x14ac:dyDescent="0.25">
      <c r="A1232" s="11" t="s">
        <v>864</v>
      </c>
      <c r="B1232" s="10" t="s">
        <v>804</v>
      </c>
      <c r="C1232" s="10" t="s">
        <v>805</v>
      </c>
      <c r="D1232" s="10" t="str">
        <f>VLOOKUP(C1232,Region!A:B,2,FALSE)</f>
        <v>Noida</v>
      </c>
      <c r="E1232" s="10" t="s">
        <v>806</v>
      </c>
      <c r="F1232" s="11" t="s">
        <v>811</v>
      </c>
      <c r="G1232" s="11" t="s">
        <v>865</v>
      </c>
      <c r="H1232" s="10" t="s">
        <v>809</v>
      </c>
    </row>
    <row r="1233" spans="1:8" x14ac:dyDescent="0.25">
      <c r="A1233" s="11" t="s">
        <v>2236</v>
      </c>
      <c r="B1233" s="10" t="s">
        <v>804</v>
      </c>
      <c r="C1233" s="10" t="s">
        <v>2041</v>
      </c>
      <c r="D1233" s="10" t="str">
        <f>VLOOKUP(C1233,Region!A:B,2,FALSE)</f>
        <v>Hyderabad</v>
      </c>
      <c r="E1233" s="10" t="s">
        <v>1427</v>
      </c>
      <c r="F1233" s="11" t="s">
        <v>811</v>
      </c>
      <c r="G1233" s="11" t="s">
        <v>2237</v>
      </c>
      <c r="H1233" s="10" t="s">
        <v>812</v>
      </c>
    </row>
    <row r="1234" spans="1:8" x14ac:dyDescent="0.25">
      <c r="A1234" s="11" t="s">
        <v>2092</v>
      </c>
      <c r="B1234" s="10" t="s">
        <v>804</v>
      </c>
      <c r="C1234" s="10" t="s">
        <v>2041</v>
      </c>
      <c r="D1234" s="10" t="str">
        <f>VLOOKUP(C1234,Region!A:B,2,FALSE)</f>
        <v>Hyderabad</v>
      </c>
      <c r="E1234" s="10" t="s">
        <v>1427</v>
      </c>
      <c r="F1234" s="11" t="s">
        <v>811</v>
      </c>
      <c r="G1234" s="11" t="s">
        <v>2093</v>
      </c>
      <c r="H1234" s="10" t="s">
        <v>812</v>
      </c>
    </row>
    <row r="1235" spans="1:8" x14ac:dyDescent="0.25">
      <c r="A1235" s="11" t="s">
        <v>1088</v>
      </c>
      <c r="B1235" s="10" t="s">
        <v>1086</v>
      </c>
      <c r="C1235" s="10" t="s">
        <v>1087</v>
      </c>
      <c r="D1235" s="10" t="str">
        <f>VLOOKUP(C1235,Region!A:B,2,FALSE)</f>
        <v>Hyderabad</v>
      </c>
      <c r="E1235" s="10" t="s">
        <v>806</v>
      </c>
      <c r="F1235" s="11" t="s">
        <v>811</v>
      </c>
      <c r="G1235" s="11" t="s">
        <v>264</v>
      </c>
      <c r="H1235" s="10" t="s">
        <v>812</v>
      </c>
    </row>
    <row r="1236" spans="1:8" x14ac:dyDescent="0.25">
      <c r="A1236" s="11" t="s">
        <v>2141</v>
      </c>
      <c r="B1236" s="10" t="s">
        <v>804</v>
      </c>
      <c r="C1236" s="10" t="s">
        <v>2041</v>
      </c>
      <c r="D1236" s="10" t="str">
        <f>VLOOKUP(C1236,Region!A:B,2,FALSE)</f>
        <v>Hyderabad</v>
      </c>
      <c r="E1236" s="10" t="s">
        <v>1427</v>
      </c>
      <c r="F1236" s="11" t="s">
        <v>814</v>
      </c>
      <c r="G1236" s="11" t="s">
        <v>2142</v>
      </c>
      <c r="H1236" s="10" t="s">
        <v>809</v>
      </c>
    </row>
    <row r="1237" spans="1:8" x14ac:dyDescent="0.25">
      <c r="A1237" s="11" t="s">
        <v>3287</v>
      </c>
      <c r="B1237" s="10" t="s">
        <v>1086</v>
      </c>
      <c r="C1237" s="10" t="s">
        <v>3273</v>
      </c>
      <c r="D1237" s="10" t="str">
        <f>VLOOKUP(C1237,Region!A:B,2,FALSE)</f>
        <v>Noida</v>
      </c>
      <c r="E1237" s="10" t="s">
        <v>806</v>
      </c>
      <c r="F1237" s="11" t="s">
        <v>814</v>
      </c>
      <c r="G1237" s="11" t="s">
        <v>3288</v>
      </c>
      <c r="H1237" s="10" t="s">
        <v>809</v>
      </c>
    </row>
    <row r="1238" spans="1:8" x14ac:dyDescent="0.25">
      <c r="A1238" s="11" t="s">
        <v>3327</v>
      </c>
      <c r="B1238" s="10" t="s">
        <v>1086</v>
      </c>
      <c r="C1238" s="10" t="s">
        <v>3273</v>
      </c>
      <c r="D1238" s="10" t="str">
        <f>VLOOKUP(C1238,Region!A:B,2,FALSE)</f>
        <v>Noida</v>
      </c>
      <c r="E1238" s="10" t="s">
        <v>806</v>
      </c>
      <c r="F1238" s="11" t="s">
        <v>811</v>
      </c>
      <c r="G1238" s="11" t="s">
        <v>3328</v>
      </c>
      <c r="H1238" s="10" t="s">
        <v>809</v>
      </c>
    </row>
    <row r="1239" spans="1:8" x14ac:dyDescent="0.25">
      <c r="A1239" s="11" t="s">
        <v>3143</v>
      </c>
      <c r="B1239" s="10" t="s">
        <v>1086</v>
      </c>
      <c r="C1239" s="10" t="s">
        <v>2987</v>
      </c>
      <c r="D1239" s="10" t="str">
        <f>VLOOKUP(C1239,Region!A:B,2,FALSE)</f>
        <v>Noida</v>
      </c>
      <c r="E1239" s="10" t="s">
        <v>1427</v>
      </c>
      <c r="F1239" s="11" t="s">
        <v>811</v>
      </c>
      <c r="G1239" s="11" t="s">
        <v>3144</v>
      </c>
      <c r="H1239" s="10" t="s">
        <v>812</v>
      </c>
    </row>
    <row r="1240" spans="1:8" x14ac:dyDescent="0.25">
      <c r="A1240" s="11" t="s">
        <v>952</v>
      </c>
      <c r="B1240" s="10" t="s">
        <v>804</v>
      </c>
      <c r="C1240" s="10" t="s">
        <v>805</v>
      </c>
      <c r="D1240" s="10" t="str">
        <f>VLOOKUP(C1240,Region!A:B,2,FALSE)</f>
        <v>Noida</v>
      </c>
      <c r="E1240" s="10" t="s">
        <v>806</v>
      </c>
      <c r="F1240" s="11" t="s">
        <v>823</v>
      </c>
      <c r="G1240" s="11" t="s">
        <v>953</v>
      </c>
      <c r="H1240" s="10" t="s">
        <v>812</v>
      </c>
    </row>
    <row r="1241" spans="1:8" x14ac:dyDescent="0.25">
      <c r="A1241" s="11" t="s">
        <v>2238</v>
      </c>
      <c r="B1241" s="10" t="s">
        <v>804</v>
      </c>
      <c r="C1241" s="10" t="s">
        <v>2041</v>
      </c>
      <c r="D1241" s="10" t="str">
        <f>VLOOKUP(C1241,Region!A:B,2,FALSE)</f>
        <v>Hyderabad</v>
      </c>
      <c r="E1241" s="10" t="s">
        <v>1427</v>
      </c>
      <c r="F1241" s="11" t="s">
        <v>811</v>
      </c>
      <c r="G1241" s="11" t="s">
        <v>2239</v>
      </c>
      <c r="H1241" s="10" t="s">
        <v>812</v>
      </c>
    </row>
    <row r="1242" spans="1:8" x14ac:dyDescent="0.25">
      <c r="A1242" s="11" t="s">
        <v>1307</v>
      </c>
      <c r="B1242" s="10" t="s">
        <v>1086</v>
      </c>
      <c r="C1242" s="10" t="s">
        <v>1087</v>
      </c>
      <c r="D1242" s="10" t="str">
        <f>VLOOKUP(C1242,Region!A:B,2,FALSE)</f>
        <v>Hyderabad</v>
      </c>
      <c r="E1242" s="10" t="s">
        <v>806</v>
      </c>
      <c r="F1242" s="11" t="s">
        <v>811</v>
      </c>
      <c r="G1242" s="11" t="s">
        <v>1308</v>
      </c>
      <c r="H1242" s="10" t="s">
        <v>809</v>
      </c>
    </row>
    <row r="1243" spans="1:8" x14ac:dyDescent="0.25">
      <c r="A1243" s="11" t="s">
        <v>2240</v>
      </c>
      <c r="B1243" s="10" t="s">
        <v>804</v>
      </c>
      <c r="C1243" s="10" t="s">
        <v>2041</v>
      </c>
      <c r="D1243" s="10" t="str">
        <f>VLOOKUP(C1243,Region!A:B,2,FALSE)</f>
        <v>Hyderabad</v>
      </c>
      <c r="E1243" s="10" t="s">
        <v>1427</v>
      </c>
      <c r="F1243" s="11" t="s">
        <v>811</v>
      </c>
      <c r="G1243" s="11" t="s">
        <v>2241</v>
      </c>
      <c r="H1243" s="10" t="s">
        <v>809</v>
      </c>
    </row>
    <row r="1244" spans="1:8" x14ac:dyDescent="0.25">
      <c r="A1244" s="11" t="s">
        <v>2410</v>
      </c>
      <c r="B1244" s="10" t="s">
        <v>804</v>
      </c>
      <c r="C1244" s="10" t="s">
        <v>2041</v>
      </c>
      <c r="D1244" s="10" t="str">
        <f>VLOOKUP(C1244,Region!A:B,2,FALSE)</f>
        <v>Hyderabad</v>
      </c>
      <c r="E1244" s="10" t="s">
        <v>1427</v>
      </c>
      <c r="F1244" s="11" t="s">
        <v>814</v>
      </c>
      <c r="G1244" s="11" t="s">
        <v>2411</v>
      </c>
      <c r="H1244" s="10" t="s">
        <v>809</v>
      </c>
    </row>
    <row r="1245" spans="1:8" x14ac:dyDescent="0.25">
      <c r="A1245" s="11" t="s">
        <v>1321</v>
      </c>
      <c r="B1245" s="10" t="s">
        <v>1086</v>
      </c>
      <c r="C1245" s="10" t="s">
        <v>1087</v>
      </c>
      <c r="D1245" s="10" t="str">
        <f>VLOOKUP(C1245,Region!A:B,2,FALSE)</f>
        <v>Hyderabad</v>
      </c>
      <c r="E1245" s="10" t="s">
        <v>806</v>
      </c>
      <c r="F1245" s="11" t="s">
        <v>823</v>
      </c>
      <c r="G1245" s="11" t="s">
        <v>1322</v>
      </c>
      <c r="H1245" s="10" t="s">
        <v>809</v>
      </c>
    </row>
    <row r="1246" spans="1:8" x14ac:dyDescent="0.25">
      <c r="A1246" s="11" t="s">
        <v>3188</v>
      </c>
      <c r="B1246" s="10" t="s">
        <v>1086</v>
      </c>
      <c r="C1246" s="10" t="s">
        <v>2987</v>
      </c>
      <c r="D1246" s="10" t="str">
        <f>VLOOKUP(C1246,Region!A:B,2,FALSE)</f>
        <v>Noida</v>
      </c>
      <c r="E1246" s="10" t="s">
        <v>1427</v>
      </c>
      <c r="F1246" s="11" t="s">
        <v>807</v>
      </c>
      <c r="G1246" s="11" t="s">
        <v>3189</v>
      </c>
      <c r="H1246" s="10" t="s">
        <v>809</v>
      </c>
    </row>
    <row r="1247" spans="1:8" x14ac:dyDescent="0.25">
      <c r="A1247" s="11" t="s">
        <v>2242</v>
      </c>
      <c r="B1247" s="10" t="s">
        <v>804</v>
      </c>
      <c r="C1247" s="10" t="s">
        <v>2041</v>
      </c>
      <c r="D1247" s="10" t="str">
        <f>VLOOKUP(C1247,Region!A:B,2,FALSE)</f>
        <v>Hyderabad</v>
      </c>
      <c r="E1247" s="10" t="s">
        <v>1427</v>
      </c>
      <c r="F1247" s="11" t="s">
        <v>811</v>
      </c>
      <c r="G1247" s="11" t="s">
        <v>2243</v>
      </c>
      <c r="H1247" s="10" t="s">
        <v>809</v>
      </c>
    </row>
    <row r="1248" spans="1:8" x14ac:dyDescent="0.25">
      <c r="A1248" s="11" t="s">
        <v>2764</v>
      </c>
      <c r="B1248" s="10" t="s">
        <v>804</v>
      </c>
      <c r="C1248" s="10" t="s">
        <v>2752</v>
      </c>
      <c r="D1248" s="10" t="str">
        <f>VLOOKUP(C1248,Region!A:B,2,FALSE)</f>
        <v>Noida</v>
      </c>
      <c r="E1248" s="10" t="s">
        <v>806</v>
      </c>
      <c r="F1248" s="11" t="s">
        <v>811</v>
      </c>
      <c r="G1248" s="11" t="s">
        <v>678</v>
      </c>
      <c r="H1248" s="10" t="s">
        <v>812</v>
      </c>
    </row>
    <row r="1249" spans="1:8" x14ac:dyDescent="0.25">
      <c r="A1249" s="11" t="s">
        <v>2950</v>
      </c>
      <c r="B1249" s="10" t="s">
        <v>804</v>
      </c>
      <c r="C1249" s="10" t="s">
        <v>2752</v>
      </c>
      <c r="D1249" s="10" t="str">
        <f>VLOOKUP(C1249,Region!A:B,2,FALSE)</f>
        <v>Noida</v>
      </c>
      <c r="E1249" s="10" t="s">
        <v>806</v>
      </c>
      <c r="F1249" s="11" t="s">
        <v>807</v>
      </c>
      <c r="G1249" s="11" t="s">
        <v>2951</v>
      </c>
      <c r="H1249" s="10" t="s">
        <v>812</v>
      </c>
    </row>
    <row r="1250" spans="1:8" x14ac:dyDescent="0.25">
      <c r="A1250" s="11" t="s">
        <v>2926</v>
      </c>
      <c r="B1250" s="10" t="s">
        <v>804</v>
      </c>
      <c r="C1250" s="10" t="s">
        <v>2752</v>
      </c>
      <c r="D1250" s="10" t="str">
        <f>VLOOKUP(C1250,Region!A:B,2,FALSE)</f>
        <v>Noida</v>
      </c>
      <c r="E1250" s="10" t="s">
        <v>806</v>
      </c>
      <c r="F1250" s="11" t="s">
        <v>823</v>
      </c>
      <c r="G1250" s="11" t="s">
        <v>2927</v>
      </c>
      <c r="H1250" s="10" t="s">
        <v>809</v>
      </c>
    </row>
    <row r="1251" spans="1:8" x14ac:dyDescent="0.25">
      <c r="A1251" s="11" t="s">
        <v>3468</v>
      </c>
      <c r="B1251" s="10" t="s">
        <v>1086</v>
      </c>
      <c r="C1251" s="10" t="s">
        <v>3273</v>
      </c>
      <c r="D1251" s="10" t="str">
        <f>VLOOKUP(C1251,Region!A:B,2,FALSE)</f>
        <v>Noida</v>
      </c>
      <c r="E1251" s="10" t="s">
        <v>806</v>
      </c>
      <c r="F1251" s="11" t="s">
        <v>811</v>
      </c>
      <c r="G1251" s="11" t="s">
        <v>111</v>
      </c>
      <c r="H1251" s="10" t="s">
        <v>812</v>
      </c>
    </row>
    <row r="1252" spans="1:8" x14ac:dyDescent="0.25">
      <c r="A1252" s="11" t="s">
        <v>1983</v>
      </c>
      <c r="B1252" s="10" t="s">
        <v>1086</v>
      </c>
      <c r="C1252" s="10" t="s">
        <v>1635</v>
      </c>
      <c r="D1252" s="10" t="str">
        <f>VLOOKUP(C1252,Region!A:B,2,FALSE)</f>
        <v>MBC US</v>
      </c>
      <c r="E1252" s="10" t="s">
        <v>806</v>
      </c>
      <c r="F1252" s="11" t="s">
        <v>814</v>
      </c>
      <c r="G1252" s="11" t="s">
        <v>1984</v>
      </c>
      <c r="H1252" s="10" t="s">
        <v>812</v>
      </c>
    </row>
    <row r="1253" spans="1:8" x14ac:dyDescent="0.25">
      <c r="A1253" s="10" t="s">
        <v>3507</v>
      </c>
      <c r="B1253" s="10" t="s">
        <v>1086</v>
      </c>
      <c r="C1253" s="10" t="s">
        <v>3273</v>
      </c>
      <c r="D1253" s="10" t="str">
        <f>VLOOKUP(C1253,Region!A:B,2,FALSE)</f>
        <v>Noida</v>
      </c>
      <c r="E1253" s="10" t="s">
        <v>806</v>
      </c>
      <c r="F1253" s="10" t="s">
        <v>811</v>
      </c>
      <c r="G1253" s="10"/>
      <c r="H1253" s="10"/>
    </row>
    <row r="1254" spans="1:8" x14ac:dyDescent="0.25">
      <c r="A1254" s="11" t="s">
        <v>3274</v>
      </c>
      <c r="B1254" s="10" t="s">
        <v>1086</v>
      </c>
      <c r="C1254" s="10" t="s">
        <v>3273</v>
      </c>
      <c r="D1254" s="10" t="str">
        <f>VLOOKUP(C1254,Region!A:B,2,FALSE)</f>
        <v>Noida</v>
      </c>
      <c r="E1254" s="10" t="s">
        <v>806</v>
      </c>
      <c r="F1254" s="11" t="s">
        <v>814</v>
      </c>
      <c r="G1254" s="11" t="s">
        <v>3275</v>
      </c>
      <c r="H1254" s="10" t="s">
        <v>812</v>
      </c>
    </row>
    <row r="1255" spans="1:8" x14ac:dyDescent="0.25">
      <c r="A1255" s="11" t="s">
        <v>3158</v>
      </c>
      <c r="B1255" s="10" t="s">
        <v>1086</v>
      </c>
      <c r="C1255" s="10" t="s">
        <v>2987</v>
      </c>
      <c r="D1255" s="10" t="str">
        <f>VLOOKUP(C1255,Region!A:B,2,FALSE)</f>
        <v>Noida</v>
      </c>
      <c r="E1255" s="10" t="s">
        <v>1427</v>
      </c>
      <c r="F1255" s="11" t="s">
        <v>811</v>
      </c>
      <c r="G1255" s="11" t="s">
        <v>3159</v>
      </c>
      <c r="H1255" s="10" t="s">
        <v>812</v>
      </c>
    </row>
    <row r="1256" spans="1:8" x14ac:dyDescent="0.25">
      <c r="A1256" s="11" t="s">
        <v>2796</v>
      </c>
      <c r="B1256" s="10" t="s">
        <v>804</v>
      </c>
      <c r="C1256" s="10" t="s">
        <v>2752</v>
      </c>
      <c r="D1256" s="10" t="str">
        <f>VLOOKUP(C1256,Region!A:B,2,FALSE)</f>
        <v>Noida</v>
      </c>
      <c r="E1256" s="10" t="s">
        <v>806</v>
      </c>
      <c r="F1256" s="11" t="s">
        <v>814</v>
      </c>
      <c r="G1256" s="11" t="s">
        <v>2797</v>
      </c>
      <c r="H1256" s="10" t="s">
        <v>812</v>
      </c>
    </row>
    <row r="1257" spans="1:8" x14ac:dyDescent="0.25">
      <c r="A1257" s="11" t="s">
        <v>3045</v>
      </c>
      <c r="B1257" s="10" t="s">
        <v>1086</v>
      </c>
      <c r="C1257" s="10" t="s">
        <v>2987</v>
      </c>
      <c r="D1257" s="10" t="str">
        <f>VLOOKUP(C1257,Region!A:B,2,FALSE)</f>
        <v>Noida</v>
      </c>
      <c r="E1257" s="10" t="s">
        <v>1427</v>
      </c>
      <c r="F1257" s="11" t="s">
        <v>814</v>
      </c>
      <c r="G1257" s="11" t="s">
        <v>3046</v>
      </c>
      <c r="H1257" s="10" t="s">
        <v>809</v>
      </c>
    </row>
    <row r="1258" spans="1:8" x14ac:dyDescent="0.25">
      <c r="A1258" s="11" t="s">
        <v>2672</v>
      </c>
      <c r="B1258" s="10" t="s">
        <v>804</v>
      </c>
      <c r="C1258" s="10" t="s">
        <v>2518</v>
      </c>
      <c r="D1258" s="10" t="str">
        <f>VLOOKUP(C1258,Region!A:B,2,FALSE)</f>
        <v>Noida</v>
      </c>
      <c r="E1258" s="10" t="s">
        <v>1427</v>
      </c>
      <c r="F1258" s="11" t="s">
        <v>823</v>
      </c>
      <c r="G1258" s="11" t="s">
        <v>2673</v>
      </c>
      <c r="H1258" s="10" t="s">
        <v>809</v>
      </c>
    </row>
    <row r="1259" spans="1:8" x14ac:dyDescent="0.25">
      <c r="A1259" s="11" t="s">
        <v>2741</v>
      </c>
      <c r="B1259" s="10" t="s">
        <v>804</v>
      </c>
      <c r="C1259" s="10" t="s">
        <v>2518</v>
      </c>
      <c r="D1259" s="10" t="str">
        <f>VLOOKUP(C1259,Region!A:B,2,FALSE)</f>
        <v>Noida</v>
      </c>
      <c r="E1259" s="10" t="s">
        <v>1427</v>
      </c>
      <c r="F1259" s="11" t="s">
        <v>823</v>
      </c>
      <c r="G1259" s="11" t="s">
        <v>2742</v>
      </c>
      <c r="H1259" s="10" t="s">
        <v>809</v>
      </c>
    </row>
    <row r="1260" spans="1:8" x14ac:dyDescent="0.25">
      <c r="A1260" s="11" t="s">
        <v>1309</v>
      </c>
      <c r="B1260" s="10" t="s">
        <v>1086</v>
      </c>
      <c r="C1260" s="10" t="s">
        <v>1087</v>
      </c>
      <c r="D1260" s="10" t="str">
        <f>VLOOKUP(C1260,Region!A:B,2,FALSE)</f>
        <v>Hyderabad</v>
      </c>
      <c r="E1260" s="10" t="s">
        <v>806</v>
      </c>
      <c r="F1260" s="11" t="s">
        <v>823</v>
      </c>
      <c r="G1260" s="11" t="s">
        <v>1310</v>
      </c>
      <c r="H1260" s="10" t="s">
        <v>812</v>
      </c>
    </row>
    <row r="1261" spans="1:8" x14ac:dyDescent="0.25">
      <c r="A1261" s="11" t="s">
        <v>3162</v>
      </c>
      <c r="B1261" s="10" t="s">
        <v>1086</v>
      </c>
      <c r="C1261" s="10" t="s">
        <v>2987</v>
      </c>
      <c r="D1261" s="10" t="str">
        <f>VLOOKUP(C1261,Region!A:B,2,FALSE)</f>
        <v>Noida</v>
      </c>
      <c r="E1261" s="10" t="s">
        <v>1427</v>
      </c>
      <c r="F1261" s="11" t="s">
        <v>811</v>
      </c>
      <c r="G1261" s="11" t="s">
        <v>700</v>
      </c>
      <c r="H1261" s="10" t="s">
        <v>812</v>
      </c>
    </row>
    <row r="1262" spans="1:8" x14ac:dyDescent="0.25">
      <c r="A1262" s="11" t="s">
        <v>3475</v>
      </c>
      <c r="B1262" s="10" t="s">
        <v>1086</v>
      </c>
      <c r="C1262" s="10" t="s">
        <v>3273</v>
      </c>
      <c r="D1262" s="10" t="str">
        <f>VLOOKUP(C1262,Region!A:B,2,FALSE)</f>
        <v>Noida</v>
      </c>
      <c r="E1262" s="10" t="s">
        <v>806</v>
      </c>
      <c r="F1262" s="11" t="s">
        <v>823</v>
      </c>
      <c r="G1262" s="11" t="s">
        <v>3476</v>
      </c>
      <c r="H1262" s="10" t="s">
        <v>812</v>
      </c>
    </row>
    <row r="1263" spans="1:8" x14ac:dyDescent="0.25">
      <c r="A1263" s="11" t="s">
        <v>1311</v>
      </c>
      <c r="B1263" s="10" t="s">
        <v>1086</v>
      </c>
      <c r="C1263" s="10" t="s">
        <v>1087</v>
      </c>
      <c r="D1263" s="10" t="str">
        <f>VLOOKUP(C1263,Region!A:B,2,FALSE)</f>
        <v>Hyderabad</v>
      </c>
      <c r="E1263" s="10" t="s">
        <v>806</v>
      </c>
      <c r="F1263" s="11" t="s">
        <v>823</v>
      </c>
      <c r="G1263" s="11" t="s">
        <v>1312</v>
      </c>
      <c r="H1263" s="10" t="s">
        <v>809</v>
      </c>
    </row>
    <row r="1264" spans="1:8" x14ac:dyDescent="0.25">
      <c r="A1264" s="11" t="s">
        <v>2244</v>
      </c>
      <c r="B1264" s="10" t="s">
        <v>804</v>
      </c>
      <c r="C1264" s="10" t="s">
        <v>2041</v>
      </c>
      <c r="D1264" s="10" t="str">
        <f>VLOOKUP(C1264,Region!A:B,2,FALSE)</f>
        <v>Hyderabad</v>
      </c>
      <c r="E1264" s="10" t="s">
        <v>1427</v>
      </c>
      <c r="F1264" s="11" t="s">
        <v>811</v>
      </c>
      <c r="G1264" s="11" t="s">
        <v>2245</v>
      </c>
      <c r="H1264" s="10" t="s">
        <v>809</v>
      </c>
    </row>
    <row r="1265" spans="1:8" x14ac:dyDescent="0.25">
      <c r="A1265" s="11" t="s">
        <v>1445</v>
      </c>
      <c r="B1265" s="10" t="s">
        <v>1086</v>
      </c>
      <c r="C1265" s="10" t="s">
        <v>1426</v>
      </c>
      <c r="D1265" s="10" t="str">
        <f>VLOOKUP(C1265,Region!A:B,2,FALSE)</f>
        <v>Spain</v>
      </c>
      <c r="E1265" s="10" t="s">
        <v>1427</v>
      </c>
      <c r="F1265" s="11" t="s">
        <v>807</v>
      </c>
      <c r="G1265" s="11" t="s">
        <v>360</v>
      </c>
      <c r="H1265" s="10" t="s">
        <v>812</v>
      </c>
    </row>
    <row r="1266" spans="1:8" x14ac:dyDescent="0.25">
      <c r="A1266" s="11" t="s">
        <v>820</v>
      </c>
      <c r="B1266" s="10" t="s">
        <v>804</v>
      </c>
      <c r="C1266" s="10" t="s">
        <v>805</v>
      </c>
      <c r="D1266" s="10" t="str">
        <f>VLOOKUP(C1266,Region!A:B,2,FALSE)</f>
        <v>Noida</v>
      </c>
      <c r="E1266" s="10" t="s">
        <v>806</v>
      </c>
      <c r="F1266" s="11" t="s">
        <v>807</v>
      </c>
      <c r="G1266" s="11" t="s">
        <v>821</v>
      </c>
      <c r="H1266" s="10" t="s">
        <v>812</v>
      </c>
    </row>
    <row r="1267" spans="1:8" x14ac:dyDescent="0.25">
      <c r="A1267" s="11" t="s">
        <v>2936</v>
      </c>
      <c r="B1267" s="10" t="s">
        <v>804</v>
      </c>
      <c r="C1267" s="10" t="s">
        <v>2752</v>
      </c>
      <c r="D1267" s="10" t="str">
        <f>VLOOKUP(C1267,Region!A:B,2,FALSE)</f>
        <v>Noida</v>
      </c>
      <c r="E1267" s="10" t="s">
        <v>806</v>
      </c>
      <c r="F1267" s="11" t="s">
        <v>823</v>
      </c>
      <c r="G1267" s="11" t="s">
        <v>2937</v>
      </c>
      <c r="H1267" s="10" t="s">
        <v>812</v>
      </c>
    </row>
    <row r="1268" spans="1:8" x14ac:dyDescent="0.25">
      <c r="A1268" s="11" t="s">
        <v>1415</v>
      </c>
      <c r="B1268" s="10" t="s">
        <v>1086</v>
      </c>
      <c r="C1268" s="10" t="s">
        <v>1087</v>
      </c>
      <c r="D1268" s="10" t="str">
        <f>VLOOKUP(C1268,Region!A:B,2,FALSE)</f>
        <v>Hyderabad</v>
      </c>
      <c r="E1268" s="10" t="s">
        <v>806</v>
      </c>
      <c r="F1268" s="11" t="s">
        <v>807</v>
      </c>
      <c r="G1268" s="11" t="s">
        <v>1416</v>
      </c>
      <c r="H1268" s="10" t="s">
        <v>809</v>
      </c>
    </row>
    <row r="1269" spans="1:8" x14ac:dyDescent="0.25">
      <c r="A1269" s="11" t="s">
        <v>1333</v>
      </c>
      <c r="B1269" s="10" t="s">
        <v>1086</v>
      </c>
      <c r="C1269" s="10" t="s">
        <v>1087</v>
      </c>
      <c r="D1269" s="10" t="str">
        <f>VLOOKUP(C1269,Region!A:B,2,FALSE)</f>
        <v>Hyderabad</v>
      </c>
      <c r="E1269" s="10" t="s">
        <v>806</v>
      </c>
      <c r="F1269" s="11" t="s">
        <v>811</v>
      </c>
      <c r="G1269" s="11" t="s">
        <v>1334</v>
      </c>
      <c r="H1269" s="10" t="s">
        <v>809</v>
      </c>
    </row>
    <row r="1270" spans="1:8" x14ac:dyDescent="0.25">
      <c r="A1270" s="11" t="s">
        <v>2487</v>
      </c>
      <c r="B1270" s="10" t="s">
        <v>804</v>
      </c>
      <c r="C1270" s="10" t="s">
        <v>2041</v>
      </c>
      <c r="D1270" s="10" t="str">
        <f>VLOOKUP(C1270,Region!A:B,2,FALSE)</f>
        <v>Hyderabad</v>
      </c>
      <c r="E1270" s="10" t="s">
        <v>1427</v>
      </c>
      <c r="F1270" s="11" t="s">
        <v>814</v>
      </c>
      <c r="G1270" s="11" t="s">
        <v>2488</v>
      </c>
      <c r="H1270" s="10" t="s">
        <v>809</v>
      </c>
    </row>
    <row r="1271" spans="1:8" x14ac:dyDescent="0.25">
      <c r="A1271" s="11" t="s">
        <v>2781</v>
      </c>
      <c r="B1271" s="10" t="s">
        <v>804</v>
      </c>
      <c r="C1271" s="10" t="s">
        <v>2752</v>
      </c>
      <c r="D1271" s="10" t="str">
        <f>VLOOKUP(C1271,Region!A:B,2,FALSE)</f>
        <v>Noida</v>
      </c>
      <c r="E1271" s="10" t="s">
        <v>806</v>
      </c>
      <c r="F1271" s="11" t="s">
        <v>814</v>
      </c>
      <c r="G1271" s="11" t="s">
        <v>598</v>
      </c>
      <c r="H1271" s="10" t="s">
        <v>812</v>
      </c>
    </row>
    <row r="1272" spans="1:8" x14ac:dyDescent="0.25">
      <c r="A1272" s="11" t="s">
        <v>1142</v>
      </c>
      <c r="B1272" s="10" t="s">
        <v>1086</v>
      </c>
      <c r="C1272" s="10" t="s">
        <v>1087</v>
      </c>
      <c r="D1272" s="10" t="str">
        <f>VLOOKUP(C1272,Region!A:B,2,FALSE)</f>
        <v>Hyderabad</v>
      </c>
      <c r="E1272" s="10" t="s">
        <v>806</v>
      </c>
      <c r="F1272" s="11" t="s">
        <v>823</v>
      </c>
      <c r="G1272" s="11" t="s">
        <v>740</v>
      </c>
      <c r="H1272" s="10" t="s">
        <v>812</v>
      </c>
    </row>
    <row r="1273" spans="1:8" x14ac:dyDescent="0.25">
      <c r="A1273" s="11" t="s">
        <v>896</v>
      </c>
      <c r="B1273" s="10" t="s">
        <v>804</v>
      </c>
      <c r="C1273" s="10" t="s">
        <v>805</v>
      </c>
      <c r="D1273" s="10" t="str">
        <f>VLOOKUP(C1273,Region!A:B,2,FALSE)</f>
        <v>Noida</v>
      </c>
      <c r="E1273" s="10" t="s">
        <v>806</v>
      </c>
      <c r="F1273" s="11" t="s">
        <v>811</v>
      </c>
      <c r="G1273" s="11" t="s">
        <v>471</v>
      </c>
      <c r="H1273" s="10" t="s">
        <v>812</v>
      </c>
    </row>
    <row r="1274" spans="1:8" x14ac:dyDescent="0.25">
      <c r="A1274" s="11" t="s">
        <v>2545</v>
      </c>
      <c r="B1274" s="10" t="s">
        <v>804</v>
      </c>
      <c r="C1274" s="10" t="s">
        <v>2518</v>
      </c>
      <c r="D1274" s="10" t="str">
        <f>VLOOKUP(C1274,Region!A:B,2,FALSE)</f>
        <v>Noida</v>
      </c>
      <c r="E1274" s="10" t="s">
        <v>1427</v>
      </c>
      <c r="F1274" s="11" t="s">
        <v>823</v>
      </c>
      <c r="G1274" s="11" t="s">
        <v>671</v>
      </c>
      <c r="H1274" s="10" t="s">
        <v>812</v>
      </c>
    </row>
    <row r="1275" spans="1:8" x14ac:dyDescent="0.25">
      <c r="A1275" s="11" t="s">
        <v>3160</v>
      </c>
      <c r="B1275" s="10" t="s">
        <v>1086</v>
      </c>
      <c r="C1275" s="10" t="s">
        <v>2987</v>
      </c>
      <c r="D1275" s="10" t="str">
        <f>VLOOKUP(C1275,Region!A:B,2,FALSE)</f>
        <v>Noida</v>
      </c>
      <c r="E1275" s="10" t="s">
        <v>1427</v>
      </c>
      <c r="F1275" s="11" t="s">
        <v>823</v>
      </c>
      <c r="G1275" s="11" t="s">
        <v>3161</v>
      </c>
      <c r="H1275" s="10" t="s">
        <v>812</v>
      </c>
    </row>
    <row r="1276" spans="1:8" x14ac:dyDescent="0.25">
      <c r="A1276" s="11" t="s">
        <v>3185</v>
      </c>
      <c r="B1276" s="10" t="s">
        <v>1086</v>
      </c>
      <c r="C1276" s="10" t="s">
        <v>2987</v>
      </c>
      <c r="D1276" s="10" t="str">
        <f>VLOOKUP(C1276,Region!A:B,2,FALSE)</f>
        <v>Noida</v>
      </c>
      <c r="E1276" s="10" t="s">
        <v>1427</v>
      </c>
      <c r="F1276" s="11" t="s">
        <v>814</v>
      </c>
      <c r="G1276" s="11" t="s">
        <v>3186</v>
      </c>
      <c r="H1276" s="10" t="s">
        <v>809</v>
      </c>
    </row>
    <row r="1277" spans="1:8" x14ac:dyDescent="0.25">
      <c r="A1277" s="11" t="s">
        <v>1989</v>
      </c>
      <c r="B1277" s="10" t="s">
        <v>1086</v>
      </c>
      <c r="C1277" s="10" t="s">
        <v>1635</v>
      </c>
      <c r="D1277" s="10" t="str">
        <f>VLOOKUP(C1277,Region!A:B,2,FALSE)</f>
        <v>MBC US</v>
      </c>
      <c r="E1277" s="10" t="s">
        <v>806</v>
      </c>
      <c r="F1277" s="11" t="s">
        <v>823</v>
      </c>
      <c r="G1277" s="11" t="s">
        <v>1990</v>
      </c>
      <c r="H1277" s="10" t="s">
        <v>809</v>
      </c>
    </row>
    <row r="1278" spans="1:8" x14ac:dyDescent="0.25">
      <c r="A1278" s="11" t="s">
        <v>1223</v>
      </c>
      <c r="B1278" s="10" t="s">
        <v>1086</v>
      </c>
      <c r="C1278" s="10" t="s">
        <v>1087</v>
      </c>
      <c r="D1278" s="10" t="str">
        <f>VLOOKUP(C1278,Region!A:B,2,FALSE)</f>
        <v>Hyderabad</v>
      </c>
      <c r="E1278" s="10" t="s">
        <v>806</v>
      </c>
      <c r="F1278" s="11" t="s">
        <v>811</v>
      </c>
      <c r="G1278" s="11" t="s">
        <v>1224</v>
      </c>
      <c r="H1278" s="10" t="s">
        <v>809</v>
      </c>
    </row>
    <row r="1279" spans="1:8" x14ac:dyDescent="0.25">
      <c r="A1279" s="11" t="s">
        <v>1991</v>
      </c>
      <c r="B1279" s="10" t="s">
        <v>1086</v>
      </c>
      <c r="C1279" s="10" t="s">
        <v>1635</v>
      </c>
      <c r="D1279" s="10" t="str">
        <f>VLOOKUP(C1279,Region!A:B,2,FALSE)</f>
        <v>MBC US</v>
      </c>
      <c r="E1279" s="10" t="s">
        <v>806</v>
      </c>
      <c r="F1279" s="11" t="s">
        <v>823</v>
      </c>
      <c r="G1279" s="11" t="s">
        <v>516</v>
      </c>
      <c r="H1279" s="10" t="s">
        <v>812</v>
      </c>
    </row>
    <row r="1280" spans="1:8" x14ac:dyDescent="0.25">
      <c r="A1280" s="11" t="s">
        <v>2330</v>
      </c>
      <c r="B1280" s="10" t="s">
        <v>804</v>
      </c>
      <c r="C1280" s="10" t="s">
        <v>2041</v>
      </c>
      <c r="D1280" s="10" t="str">
        <f>VLOOKUP(C1280,Region!A:B,2,FALSE)</f>
        <v>Hyderabad</v>
      </c>
      <c r="E1280" s="10" t="s">
        <v>1427</v>
      </c>
      <c r="F1280" s="11" t="s">
        <v>807</v>
      </c>
      <c r="G1280" s="11" t="s">
        <v>2331</v>
      </c>
      <c r="H1280" s="10" t="s">
        <v>809</v>
      </c>
    </row>
    <row r="1281" spans="1:8" x14ac:dyDescent="0.25">
      <c r="A1281" s="11" t="s">
        <v>2143</v>
      </c>
      <c r="B1281" s="10" t="s">
        <v>804</v>
      </c>
      <c r="C1281" s="10" t="s">
        <v>2041</v>
      </c>
      <c r="D1281" s="10" t="str">
        <f>VLOOKUP(C1281,Region!A:B,2,FALSE)</f>
        <v>Hyderabad</v>
      </c>
      <c r="E1281" s="10" t="s">
        <v>1427</v>
      </c>
      <c r="F1281" s="11" t="s">
        <v>814</v>
      </c>
      <c r="G1281" s="11" t="s">
        <v>2144</v>
      </c>
      <c r="H1281" s="10" t="s">
        <v>809</v>
      </c>
    </row>
    <row r="1282" spans="1:8" x14ac:dyDescent="0.25">
      <c r="A1282" s="11" t="s">
        <v>2602</v>
      </c>
      <c r="B1282" s="10" t="s">
        <v>804</v>
      </c>
      <c r="C1282" s="10" t="s">
        <v>2518</v>
      </c>
      <c r="D1282" s="10" t="str">
        <f>VLOOKUP(C1282,Region!A:B,2,FALSE)</f>
        <v>Noida</v>
      </c>
      <c r="E1282" s="10" t="s">
        <v>1427</v>
      </c>
      <c r="F1282" s="11" t="s">
        <v>811</v>
      </c>
      <c r="G1282" s="11" t="s">
        <v>2603</v>
      </c>
      <c r="H1282" s="10" t="s">
        <v>812</v>
      </c>
    </row>
    <row r="1283" spans="1:8" x14ac:dyDescent="0.25">
      <c r="A1283" s="11" t="s">
        <v>2449</v>
      </c>
      <c r="B1283" s="10" t="s">
        <v>804</v>
      </c>
      <c r="C1283" s="10" t="s">
        <v>2041</v>
      </c>
      <c r="D1283" s="10" t="str">
        <f>VLOOKUP(C1283,Region!A:B,2,FALSE)</f>
        <v>Hyderabad</v>
      </c>
      <c r="E1283" s="10" t="s">
        <v>1427</v>
      </c>
      <c r="F1283" s="11" t="s">
        <v>807</v>
      </c>
      <c r="G1283" s="11" t="s">
        <v>2450</v>
      </c>
      <c r="H1283" s="10" t="s">
        <v>809</v>
      </c>
    </row>
    <row r="1284" spans="1:8" x14ac:dyDescent="0.25">
      <c r="A1284" s="11" t="s">
        <v>3423</v>
      </c>
      <c r="B1284" s="10" t="s">
        <v>1086</v>
      </c>
      <c r="C1284" s="10" t="s">
        <v>3273</v>
      </c>
      <c r="D1284" s="10" t="str">
        <f>VLOOKUP(C1284,Region!A:B,2,FALSE)</f>
        <v>Noida</v>
      </c>
      <c r="E1284" s="10" t="s">
        <v>806</v>
      </c>
      <c r="F1284" s="11" t="s">
        <v>807</v>
      </c>
      <c r="G1284" s="11" t="s">
        <v>3424</v>
      </c>
      <c r="H1284" s="10" t="s">
        <v>812</v>
      </c>
    </row>
    <row r="1285" spans="1:8" x14ac:dyDescent="0.25">
      <c r="A1285" s="11" t="s">
        <v>3163</v>
      </c>
      <c r="B1285" s="10" t="s">
        <v>1086</v>
      </c>
      <c r="C1285" s="10" t="s">
        <v>2987</v>
      </c>
      <c r="D1285" s="10" t="str">
        <f>VLOOKUP(C1285,Region!A:B,2,FALSE)</f>
        <v>Noida</v>
      </c>
      <c r="E1285" s="10" t="s">
        <v>1427</v>
      </c>
      <c r="F1285" s="11" t="s">
        <v>811</v>
      </c>
      <c r="G1285" s="11" t="s">
        <v>3164</v>
      </c>
      <c r="H1285" s="10" t="s">
        <v>812</v>
      </c>
    </row>
    <row r="1286" spans="1:8" x14ac:dyDescent="0.25">
      <c r="A1286" s="11" t="s">
        <v>1996</v>
      </c>
      <c r="B1286" s="10" t="s">
        <v>804</v>
      </c>
      <c r="C1286" s="10" t="s">
        <v>1635</v>
      </c>
      <c r="D1286" s="10" t="str">
        <f>VLOOKUP(C1286,Region!A:B,2,FALSE)</f>
        <v>MBC US</v>
      </c>
      <c r="E1286" s="10" t="s">
        <v>806</v>
      </c>
      <c r="F1286" s="11" t="s">
        <v>807</v>
      </c>
      <c r="G1286" s="11" t="s">
        <v>761</v>
      </c>
      <c r="H1286" s="10" t="s">
        <v>812</v>
      </c>
    </row>
    <row r="1287" spans="1:8" x14ac:dyDescent="0.25">
      <c r="A1287" s="11" t="s">
        <v>2983</v>
      </c>
      <c r="B1287" s="10" t="s">
        <v>804</v>
      </c>
      <c r="C1287" s="10" t="s">
        <v>2752</v>
      </c>
      <c r="D1287" s="10" t="str">
        <f>VLOOKUP(C1287,Region!A:B,2,FALSE)</f>
        <v>Noida</v>
      </c>
      <c r="E1287" s="10" t="s">
        <v>806</v>
      </c>
      <c r="F1287" s="11" t="s">
        <v>823</v>
      </c>
      <c r="G1287" s="11" t="s">
        <v>564</v>
      </c>
      <c r="H1287" s="10" t="s">
        <v>812</v>
      </c>
    </row>
    <row r="1288" spans="1:8" x14ac:dyDescent="0.25">
      <c r="A1288" s="11" t="s">
        <v>3312</v>
      </c>
      <c r="B1288" s="10" t="s">
        <v>1086</v>
      </c>
      <c r="C1288" s="10" t="s">
        <v>3273</v>
      </c>
      <c r="D1288" s="10" t="str">
        <f>VLOOKUP(C1288,Region!A:B,2,FALSE)</f>
        <v>Noida</v>
      </c>
      <c r="E1288" s="10" t="s">
        <v>806</v>
      </c>
      <c r="F1288" s="11" t="s">
        <v>823</v>
      </c>
      <c r="G1288" s="11" t="s">
        <v>3313</v>
      </c>
      <c r="H1288" s="10" t="s">
        <v>809</v>
      </c>
    </row>
    <row r="1289" spans="1:8" x14ac:dyDescent="0.25">
      <c r="A1289" s="11" t="s">
        <v>1429</v>
      </c>
      <c r="B1289" s="10" t="s">
        <v>804</v>
      </c>
      <c r="C1289" s="10" t="s">
        <v>1426</v>
      </c>
      <c r="D1289" s="10" t="str">
        <f>VLOOKUP(C1289,Region!A:B,2,FALSE)</f>
        <v>Spain</v>
      </c>
      <c r="E1289" s="10" t="s">
        <v>1427</v>
      </c>
      <c r="F1289" s="11" t="s">
        <v>814</v>
      </c>
      <c r="G1289" s="11" t="s">
        <v>1430</v>
      </c>
      <c r="H1289" s="10" t="s">
        <v>809</v>
      </c>
    </row>
    <row r="1290" spans="1:8" x14ac:dyDescent="0.25">
      <c r="A1290" s="11" t="s">
        <v>2604</v>
      </c>
      <c r="B1290" s="10" t="s">
        <v>804</v>
      </c>
      <c r="C1290" s="10" t="s">
        <v>2518</v>
      </c>
      <c r="D1290" s="10" t="str">
        <f>VLOOKUP(C1290,Region!A:B,2,FALSE)</f>
        <v>Noida</v>
      </c>
      <c r="E1290" s="10" t="s">
        <v>1427</v>
      </c>
      <c r="F1290" s="11" t="s">
        <v>811</v>
      </c>
      <c r="G1290" s="11" t="s">
        <v>2605</v>
      </c>
      <c r="H1290" s="10" t="s">
        <v>812</v>
      </c>
    </row>
    <row r="1291" spans="1:8" x14ac:dyDescent="0.25">
      <c r="A1291" s="11" t="s">
        <v>1165</v>
      </c>
      <c r="B1291" s="10" t="s">
        <v>1086</v>
      </c>
      <c r="C1291" s="10" t="s">
        <v>1087</v>
      </c>
      <c r="D1291" s="10" t="str">
        <f>VLOOKUP(C1291,Region!A:B,2,FALSE)</f>
        <v>Hyderabad</v>
      </c>
      <c r="E1291" s="10" t="s">
        <v>806</v>
      </c>
      <c r="F1291" s="11" t="s">
        <v>823</v>
      </c>
      <c r="G1291" s="11" t="s">
        <v>1166</v>
      </c>
      <c r="H1291" s="10" t="s">
        <v>809</v>
      </c>
    </row>
    <row r="1292" spans="1:8" x14ac:dyDescent="0.25">
      <c r="A1292" s="11" t="s">
        <v>3305</v>
      </c>
      <c r="B1292" s="10" t="s">
        <v>1086</v>
      </c>
      <c r="C1292" s="10" t="s">
        <v>3273</v>
      </c>
      <c r="D1292" s="10" t="str">
        <f>VLOOKUP(C1292,Region!A:B,2,FALSE)</f>
        <v>Noida</v>
      </c>
      <c r="E1292" s="10" t="s">
        <v>806</v>
      </c>
      <c r="F1292" s="11" t="s">
        <v>814</v>
      </c>
      <c r="G1292" s="11" t="s">
        <v>3306</v>
      </c>
      <c r="H1292" s="10" t="s">
        <v>809</v>
      </c>
    </row>
    <row r="1293" spans="1:8" x14ac:dyDescent="0.25">
      <c r="A1293" s="11" t="s">
        <v>3193</v>
      </c>
      <c r="B1293" s="10" t="s">
        <v>1086</v>
      </c>
      <c r="C1293" s="10" t="s">
        <v>2987</v>
      </c>
      <c r="D1293" s="10" t="str">
        <f>VLOOKUP(C1293,Region!A:B,2,FALSE)</f>
        <v>Noida</v>
      </c>
      <c r="E1293" s="10" t="s">
        <v>1427</v>
      </c>
      <c r="F1293" s="11" t="s">
        <v>807</v>
      </c>
      <c r="G1293" s="11" t="s">
        <v>3194</v>
      </c>
      <c r="H1293" s="10" t="s">
        <v>809</v>
      </c>
    </row>
    <row r="1294" spans="1:8" x14ac:dyDescent="0.25">
      <c r="A1294" s="11" t="s">
        <v>2145</v>
      </c>
      <c r="B1294" s="10" t="s">
        <v>804</v>
      </c>
      <c r="C1294" s="10" t="s">
        <v>2041</v>
      </c>
      <c r="D1294" s="10" t="str">
        <f>VLOOKUP(C1294,Region!A:B,2,FALSE)</f>
        <v>Hyderabad</v>
      </c>
      <c r="E1294" s="10" t="s">
        <v>1427</v>
      </c>
      <c r="F1294" s="11" t="s">
        <v>814</v>
      </c>
      <c r="G1294" s="11" t="s">
        <v>2146</v>
      </c>
      <c r="H1294" s="10" t="s">
        <v>809</v>
      </c>
    </row>
    <row r="1295" spans="1:8" x14ac:dyDescent="0.25">
      <c r="A1295" s="11" t="s">
        <v>1145</v>
      </c>
      <c r="B1295" s="10" t="s">
        <v>1086</v>
      </c>
      <c r="C1295" s="10" t="s">
        <v>1087</v>
      </c>
      <c r="D1295" s="10" t="str">
        <f>VLOOKUP(C1295,Region!A:B,2,FALSE)</f>
        <v>Hyderabad</v>
      </c>
      <c r="E1295" s="10" t="s">
        <v>806</v>
      </c>
      <c r="F1295" s="11" t="s">
        <v>823</v>
      </c>
      <c r="G1295" s="11" t="s">
        <v>1146</v>
      </c>
      <c r="H1295" s="10" t="s">
        <v>809</v>
      </c>
    </row>
    <row r="1296" spans="1:8" x14ac:dyDescent="0.25">
      <c r="A1296" s="11" t="s">
        <v>2332</v>
      </c>
      <c r="B1296" s="10" t="s">
        <v>804</v>
      </c>
      <c r="C1296" s="10" t="s">
        <v>2041</v>
      </c>
      <c r="D1296" s="10" t="str">
        <f>VLOOKUP(C1296,Region!A:B,2,FALSE)</f>
        <v>Hyderabad</v>
      </c>
      <c r="E1296" s="10" t="s">
        <v>1427</v>
      </c>
      <c r="F1296" s="11" t="s">
        <v>807</v>
      </c>
      <c r="G1296" s="11" t="s">
        <v>2333</v>
      </c>
      <c r="H1296" s="10" t="s">
        <v>812</v>
      </c>
    </row>
    <row r="1297" spans="1:8" x14ac:dyDescent="0.25">
      <c r="A1297" s="11" t="s">
        <v>2895</v>
      </c>
      <c r="B1297" s="10" t="s">
        <v>804</v>
      </c>
      <c r="C1297" s="10" t="s">
        <v>2752</v>
      </c>
      <c r="D1297" s="10" t="str">
        <f>VLOOKUP(C1297,Region!A:B,2,FALSE)</f>
        <v>Noida</v>
      </c>
      <c r="E1297" s="10" t="s">
        <v>806</v>
      </c>
      <c r="F1297" s="11" t="s">
        <v>823</v>
      </c>
      <c r="G1297" s="11" t="s">
        <v>2896</v>
      </c>
      <c r="H1297" s="10" t="s">
        <v>809</v>
      </c>
    </row>
    <row r="1298" spans="1:8" x14ac:dyDescent="0.25">
      <c r="A1298" s="11" t="s">
        <v>2412</v>
      </c>
      <c r="B1298" s="10" t="s">
        <v>804</v>
      </c>
      <c r="C1298" s="10" t="s">
        <v>2041</v>
      </c>
      <c r="D1298" s="10" t="str">
        <f>VLOOKUP(C1298,Region!A:B,2,FALSE)</f>
        <v>Hyderabad</v>
      </c>
      <c r="E1298" s="10" t="s">
        <v>1427</v>
      </c>
      <c r="F1298" s="11" t="s">
        <v>814</v>
      </c>
      <c r="G1298" s="11" t="s">
        <v>2413</v>
      </c>
      <c r="H1298" s="10" t="s">
        <v>812</v>
      </c>
    </row>
    <row r="1299" spans="1:8" x14ac:dyDescent="0.25">
      <c r="A1299" s="11" t="s">
        <v>2246</v>
      </c>
      <c r="B1299" s="10" t="s">
        <v>804</v>
      </c>
      <c r="C1299" s="10" t="s">
        <v>2041</v>
      </c>
      <c r="D1299" s="10" t="str">
        <f>VLOOKUP(C1299,Region!A:B,2,FALSE)</f>
        <v>Hyderabad</v>
      </c>
      <c r="E1299" s="10" t="s">
        <v>1427</v>
      </c>
      <c r="F1299" s="11" t="s">
        <v>811</v>
      </c>
      <c r="G1299" s="11" t="s">
        <v>2247</v>
      </c>
      <c r="H1299" s="10" t="s">
        <v>809</v>
      </c>
    </row>
    <row r="1300" spans="1:8" x14ac:dyDescent="0.25">
      <c r="A1300" s="11" t="s">
        <v>1054</v>
      </c>
      <c r="B1300" s="10" t="s">
        <v>804</v>
      </c>
      <c r="C1300" s="10" t="s">
        <v>805</v>
      </c>
      <c r="D1300" s="10" t="str">
        <f>VLOOKUP(C1300,Region!A:B,2,FALSE)</f>
        <v>Noida</v>
      </c>
      <c r="E1300" s="10" t="s">
        <v>806</v>
      </c>
      <c r="F1300" s="11" t="s">
        <v>834</v>
      </c>
      <c r="G1300" s="11" t="s">
        <v>1055</v>
      </c>
      <c r="H1300" s="10" t="s">
        <v>809</v>
      </c>
    </row>
    <row r="1301" spans="1:8" x14ac:dyDescent="0.25">
      <c r="A1301" s="11" t="s">
        <v>1149</v>
      </c>
      <c r="B1301" s="10" t="s">
        <v>1086</v>
      </c>
      <c r="C1301" s="10" t="s">
        <v>1087</v>
      </c>
      <c r="D1301" s="10" t="str">
        <f>VLOOKUP(C1301,Region!A:B,2,FALSE)</f>
        <v>Hyderabad</v>
      </c>
      <c r="E1301" s="10" t="s">
        <v>806</v>
      </c>
      <c r="F1301" s="11" t="s">
        <v>807</v>
      </c>
      <c r="G1301" s="11" t="s">
        <v>450</v>
      </c>
      <c r="H1301" s="10" t="s">
        <v>812</v>
      </c>
    </row>
    <row r="1302" spans="1:8" x14ac:dyDescent="0.25">
      <c r="A1302" s="11" t="s">
        <v>911</v>
      </c>
      <c r="B1302" s="10" t="s">
        <v>804</v>
      </c>
      <c r="C1302" s="10" t="s">
        <v>805</v>
      </c>
      <c r="D1302" s="10" t="str">
        <f>VLOOKUP(C1302,Region!A:B,2,FALSE)</f>
        <v>Noida</v>
      </c>
      <c r="E1302" s="10" t="s">
        <v>806</v>
      </c>
      <c r="F1302" s="11" t="s">
        <v>807</v>
      </c>
      <c r="G1302" s="11" t="s">
        <v>436</v>
      </c>
      <c r="H1302" s="10" t="s">
        <v>812</v>
      </c>
    </row>
    <row r="1303" spans="1:8" x14ac:dyDescent="0.25">
      <c r="A1303" s="11" t="s">
        <v>2765</v>
      </c>
      <c r="B1303" s="10" t="s">
        <v>804</v>
      </c>
      <c r="C1303" s="10" t="s">
        <v>2752</v>
      </c>
      <c r="D1303" s="10" t="str">
        <f>VLOOKUP(C1303,Region!A:B,2,FALSE)</f>
        <v>Noida</v>
      </c>
      <c r="E1303" s="10" t="s">
        <v>806</v>
      </c>
      <c r="F1303" s="11" t="s">
        <v>811</v>
      </c>
      <c r="G1303" s="11" t="s">
        <v>2766</v>
      </c>
      <c r="H1303" s="10" t="s">
        <v>809</v>
      </c>
    </row>
    <row r="1304" spans="1:8" x14ac:dyDescent="0.25">
      <c r="A1304" s="11" t="s">
        <v>3463</v>
      </c>
      <c r="B1304" s="10" t="s">
        <v>1086</v>
      </c>
      <c r="C1304" s="10" t="s">
        <v>3273</v>
      </c>
      <c r="D1304" s="10" t="str">
        <f>VLOOKUP(C1304,Region!A:B,2,FALSE)</f>
        <v>Noida</v>
      </c>
      <c r="E1304" s="10" t="s">
        <v>806</v>
      </c>
      <c r="F1304" s="11" t="s">
        <v>823</v>
      </c>
      <c r="G1304" s="11" t="s">
        <v>3464</v>
      </c>
      <c r="H1304" s="10" t="s">
        <v>812</v>
      </c>
    </row>
    <row r="1305" spans="1:8" x14ac:dyDescent="0.25">
      <c r="A1305" s="11" t="s">
        <v>1436</v>
      </c>
      <c r="B1305" s="10" t="s">
        <v>804</v>
      </c>
      <c r="C1305" s="10" t="s">
        <v>1426</v>
      </c>
      <c r="D1305" s="10" t="str">
        <f>VLOOKUP(C1305,Region!A:B,2,FALSE)</f>
        <v>Spain</v>
      </c>
      <c r="E1305" s="10" t="s">
        <v>1427</v>
      </c>
      <c r="F1305" s="11" t="s">
        <v>807</v>
      </c>
      <c r="G1305" s="11" t="s">
        <v>1437</v>
      </c>
      <c r="H1305" s="10" t="s">
        <v>809</v>
      </c>
    </row>
    <row r="1306" spans="1:8" x14ac:dyDescent="0.25">
      <c r="A1306" s="11" t="s">
        <v>2334</v>
      </c>
      <c r="B1306" s="10" t="s">
        <v>804</v>
      </c>
      <c r="C1306" s="10" t="s">
        <v>2041</v>
      </c>
      <c r="D1306" s="10" t="str">
        <f>VLOOKUP(C1306,Region!A:B,2,FALSE)</f>
        <v>Hyderabad</v>
      </c>
      <c r="E1306" s="10" t="s">
        <v>1427</v>
      </c>
      <c r="F1306" s="11" t="s">
        <v>807</v>
      </c>
      <c r="G1306" s="11" t="s">
        <v>748</v>
      </c>
      <c r="H1306" s="10" t="s">
        <v>812</v>
      </c>
    </row>
    <row r="1307" spans="1:8" x14ac:dyDescent="0.25">
      <c r="A1307" s="11" t="s">
        <v>2777</v>
      </c>
      <c r="B1307" s="10" t="s">
        <v>804</v>
      </c>
      <c r="C1307" s="10" t="s">
        <v>2752</v>
      </c>
      <c r="D1307" s="10" t="str">
        <f>VLOOKUP(C1307,Region!A:B,2,FALSE)</f>
        <v>Noida</v>
      </c>
      <c r="E1307" s="10" t="s">
        <v>806</v>
      </c>
      <c r="F1307" s="11" t="s">
        <v>814</v>
      </c>
      <c r="G1307" s="11" t="s">
        <v>2778</v>
      </c>
      <c r="H1307" s="10" t="s">
        <v>809</v>
      </c>
    </row>
    <row r="1308" spans="1:8" x14ac:dyDescent="0.25">
      <c r="A1308" s="11" t="s">
        <v>2606</v>
      </c>
      <c r="B1308" s="10" t="s">
        <v>804</v>
      </c>
      <c r="C1308" s="10" t="s">
        <v>2518</v>
      </c>
      <c r="D1308" s="10" t="str">
        <f>VLOOKUP(C1308,Region!A:B,2,FALSE)</f>
        <v>Noida</v>
      </c>
      <c r="E1308" s="10" t="s">
        <v>1427</v>
      </c>
      <c r="F1308" s="11" t="s">
        <v>811</v>
      </c>
      <c r="G1308" s="11" t="s">
        <v>2607</v>
      </c>
      <c r="H1308" s="10" t="s">
        <v>812</v>
      </c>
    </row>
    <row r="1309" spans="1:8" x14ac:dyDescent="0.25">
      <c r="A1309" s="11" t="s">
        <v>1407</v>
      </c>
      <c r="B1309" s="10" t="s">
        <v>1086</v>
      </c>
      <c r="C1309" s="10" t="s">
        <v>1087</v>
      </c>
      <c r="D1309" s="10" t="str">
        <f>VLOOKUP(C1309,Region!A:B,2,FALSE)</f>
        <v>Hyderabad</v>
      </c>
      <c r="E1309" s="10" t="s">
        <v>806</v>
      </c>
      <c r="F1309" s="11" t="s">
        <v>823</v>
      </c>
      <c r="G1309" s="11" t="s">
        <v>1408</v>
      </c>
      <c r="H1309" s="10" t="s">
        <v>809</v>
      </c>
    </row>
    <row r="1310" spans="1:8" x14ac:dyDescent="0.25">
      <c r="A1310" s="11" t="s">
        <v>2248</v>
      </c>
      <c r="B1310" s="10" t="s">
        <v>804</v>
      </c>
      <c r="C1310" s="10" t="s">
        <v>2041</v>
      </c>
      <c r="D1310" s="10" t="str">
        <f>VLOOKUP(C1310,Region!A:B,2,FALSE)</f>
        <v>Hyderabad</v>
      </c>
      <c r="E1310" s="10" t="s">
        <v>1427</v>
      </c>
      <c r="F1310" s="11" t="s">
        <v>811</v>
      </c>
      <c r="G1310" s="11" t="s">
        <v>746</v>
      </c>
      <c r="H1310" s="10" t="s">
        <v>812</v>
      </c>
    </row>
    <row r="1311" spans="1:8" x14ac:dyDescent="0.25">
      <c r="A1311" s="11" t="s">
        <v>3310</v>
      </c>
      <c r="B1311" s="10" t="s">
        <v>1086</v>
      </c>
      <c r="C1311" s="10" t="s">
        <v>3273</v>
      </c>
      <c r="D1311" s="10" t="str">
        <f>VLOOKUP(C1311,Region!A:B,2,FALSE)</f>
        <v>Noida</v>
      </c>
      <c r="E1311" s="10" t="s">
        <v>806</v>
      </c>
      <c r="F1311" s="11" t="s">
        <v>811</v>
      </c>
      <c r="G1311" s="11" t="s">
        <v>3311</v>
      </c>
      <c r="H1311" s="10" t="s">
        <v>812</v>
      </c>
    </row>
    <row r="1312" spans="1:8" x14ac:dyDescent="0.25">
      <c r="A1312" s="11" t="s">
        <v>946</v>
      </c>
      <c r="B1312" s="10" t="s">
        <v>804</v>
      </c>
      <c r="C1312" s="10" t="s">
        <v>805</v>
      </c>
      <c r="D1312" s="10" t="str">
        <f>VLOOKUP(C1312,Region!A:B,2,FALSE)</f>
        <v>Noida</v>
      </c>
      <c r="E1312" s="10" t="s">
        <v>806</v>
      </c>
      <c r="F1312" s="11" t="s">
        <v>811</v>
      </c>
      <c r="G1312" s="11" t="s">
        <v>947</v>
      </c>
      <c r="H1312" s="10" t="s">
        <v>812</v>
      </c>
    </row>
    <row r="1313" spans="1:8" x14ac:dyDescent="0.25">
      <c r="A1313" s="11" t="s">
        <v>1391</v>
      </c>
      <c r="B1313" s="10" t="s">
        <v>1086</v>
      </c>
      <c r="C1313" s="10" t="s">
        <v>1087</v>
      </c>
      <c r="D1313" s="10" t="str">
        <f>VLOOKUP(C1313,Region!A:B,2,FALSE)</f>
        <v>Hyderabad</v>
      </c>
      <c r="E1313" s="10" t="s">
        <v>806</v>
      </c>
      <c r="F1313" s="11" t="s">
        <v>823</v>
      </c>
      <c r="G1313" s="11" t="s">
        <v>1392</v>
      </c>
      <c r="H1313" s="10" t="s">
        <v>809</v>
      </c>
    </row>
    <row r="1314" spans="1:8" x14ac:dyDescent="0.25">
      <c r="A1314" s="11" t="s">
        <v>1315</v>
      </c>
      <c r="B1314" s="10" t="s">
        <v>1086</v>
      </c>
      <c r="C1314" s="10" t="s">
        <v>1087</v>
      </c>
      <c r="D1314" s="10" t="str">
        <f>VLOOKUP(C1314,Region!A:B,2,FALSE)</f>
        <v>Hyderabad</v>
      </c>
      <c r="E1314" s="10" t="s">
        <v>806</v>
      </c>
      <c r="F1314" s="11" t="s">
        <v>811</v>
      </c>
      <c r="G1314" s="11" t="s">
        <v>1316</v>
      </c>
      <c r="H1314" s="10" t="s">
        <v>812</v>
      </c>
    </row>
    <row r="1315" spans="1:8" x14ac:dyDescent="0.25">
      <c r="A1315" s="11" t="s">
        <v>2758</v>
      </c>
      <c r="B1315" s="10" t="s">
        <v>804</v>
      </c>
      <c r="C1315" s="10" t="s">
        <v>2752</v>
      </c>
      <c r="D1315" s="10" t="str">
        <f>VLOOKUP(C1315,Region!A:B,2,FALSE)</f>
        <v>Noida</v>
      </c>
      <c r="E1315" s="10" t="s">
        <v>806</v>
      </c>
      <c r="F1315" s="11" t="s">
        <v>811</v>
      </c>
      <c r="G1315" s="11" t="s">
        <v>2759</v>
      </c>
      <c r="H1315" s="10" t="s">
        <v>812</v>
      </c>
    </row>
    <row r="1316" spans="1:8" x14ac:dyDescent="0.25">
      <c r="A1316" s="11" t="s">
        <v>1999</v>
      </c>
      <c r="B1316" s="10" t="s">
        <v>804</v>
      </c>
      <c r="C1316" s="10" t="s">
        <v>1635</v>
      </c>
      <c r="D1316" s="10" t="str">
        <f>VLOOKUP(C1316,Region!A:B,2,FALSE)</f>
        <v>MBC US</v>
      </c>
      <c r="E1316" s="10" t="s">
        <v>806</v>
      </c>
      <c r="F1316" s="11" t="s">
        <v>814</v>
      </c>
      <c r="G1316" s="11" t="s">
        <v>2000</v>
      </c>
      <c r="H1316" s="10" t="s">
        <v>812</v>
      </c>
    </row>
    <row r="1317" spans="1:8" x14ac:dyDescent="0.25">
      <c r="A1317" s="11" t="s">
        <v>2010</v>
      </c>
      <c r="B1317" s="10" t="s">
        <v>804</v>
      </c>
      <c r="C1317" s="10" t="s">
        <v>1635</v>
      </c>
      <c r="D1317" s="10" t="str">
        <f>VLOOKUP(C1317,Region!A:B,2,FALSE)</f>
        <v>MBC US</v>
      </c>
      <c r="E1317" s="10" t="s">
        <v>806</v>
      </c>
      <c r="F1317" s="11" t="s">
        <v>807</v>
      </c>
      <c r="G1317" s="11" t="s">
        <v>2011</v>
      </c>
      <c r="H1317" s="10" t="s">
        <v>809</v>
      </c>
    </row>
    <row r="1318" spans="1:8" x14ac:dyDescent="0.25">
      <c r="A1318" s="11" t="s">
        <v>2012</v>
      </c>
      <c r="B1318" s="10" t="s">
        <v>1086</v>
      </c>
      <c r="C1318" s="10" t="s">
        <v>1635</v>
      </c>
      <c r="D1318" s="10" t="str">
        <f>VLOOKUP(C1318,Region!A:B,2,FALSE)</f>
        <v>MBC US</v>
      </c>
      <c r="E1318" s="10" t="s">
        <v>806</v>
      </c>
      <c r="F1318" s="11" t="s">
        <v>814</v>
      </c>
      <c r="G1318" s="11" t="s">
        <v>427</v>
      </c>
      <c r="H1318" s="10" t="s">
        <v>812</v>
      </c>
    </row>
    <row r="1319" spans="1:8" x14ac:dyDescent="0.25">
      <c r="A1319" s="11" t="s">
        <v>3236</v>
      </c>
      <c r="B1319" s="10" t="s">
        <v>1086</v>
      </c>
      <c r="C1319" s="10" t="s">
        <v>2987</v>
      </c>
      <c r="D1319" s="10" t="str">
        <f>VLOOKUP(C1319,Region!A:B,2,FALSE)</f>
        <v>Noida</v>
      </c>
      <c r="E1319" s="10" t="s">
        <v>1427</v>
      </c>
      <c r="F1319" s="11" t="s">
        <v>807</v>
      </c>
      <c r="G1319" s="11" t="s">
        <v>3237</v>
      </c>
      <c r="H1319" s="10" t="s">
        <v>809</v>
      </c>
    </row>
    <row r="1320" spans="1:8" x14ac:dyDescent="0.25">
      <c r="A1320" s="11" t="s">
        <v>2899</v>
      </c>
      <c r="B1320" s="10" t="s">
        <v>804</v>
      </c>
      <c r="C1320" s="10" t="s">
        <v>2752</v>
      </c>
      <c r="D1320" s="10" t="str">
        <f>VLOOKUP(C1320,Region!A:B,2,FALSE)</f>
        <v>Noida</v>
      </c>
      <c r="E1320" s="10" t="s">
        <v>806</v>
      </c>
      <c r="F1320" s="11" t="s">
        <v>811</v>
      </c>
      <c r="G1320" s="11" t="s">
        <v>2900</v>
      </c>
      <c r="H1320" s="10" t="s">
        <v>812</v>
      </c>
    </row>
    <row r="1321" spans="1:8" x14ac:dyDescent="0.25">
      <c r="A1321" s="11" t="s">
        <v>3171</v>
      </c>
      <c r="B1321" s="10" t="s">
        <v>1086</v>
      </c>
      <c r="C1321" s="10" t="s">
        <v>2987</v>
      </c>
      <c r="D1321" s="10" t="str">
        <f>VLOOKUP(C1321,Region!A:B,2,FALSE)</f>
        <v>Noida</v>
      </c>
      <c r="E1321" s="10" t="s">
        <v>1427</v>
      </c>
      <c r="F1321" s="11" t="s">
        <v>811</v>
      </c>
      <c r="G1321" s="11" t="s">
        <v>3172</v>
      </c>
      <c r="H1321" s="10" t="s">
        <v>812</v>
      </c>
    </row>
    <row r="1322" spans="1:8" x14ac:dyDescent="0.25">
      <c r="A1322" s="11" t="s">
        <v>1447</v>
      </c>
      <c r="B1322" s="10" t="s">
        <v>804</v>
      </c>
      <c r="C1322" s="10" t="s">
        <v>1426</v>
      </c>
      <c r="D1322" s="10" t="str">
        <f>VLOOKUP(C1322,Region!A:B,2,FALSE)</f>
        <v>Spain</v>
      </c>
      <c r="E1322" s="10" t="s">
        <v>1427</v>
      </c>
      <c r="F1322" s="11" t="s">
        <v>814</v>
      </c>
      <c r="G1322" s="11" t="s">
        <v>1448</v>
      </c>
      <c r="H1322" s="10" t="s">
        <v>809</v>
      </c>
    </row>
    <row r="1323" spans="1:8" x14ac:dyDescent="0.25">
      <c r="A1323" s="11" t="s">
        <v>2628</v>
      </c>
      <c r="B1323" s="10" t="s">
        <v>804</v>
      </c>
      <c r="C1323" s="10" t="s">
        <v>2518</v>
      </c>
      <c r="D1323" s="10" t="str">
        <f>VLOOKUP(C1323,Region!A:B,2,FALSE)</f>
        <v>Noida</v>
      </c>
      <c r="E1323" s="10" t="s">
        <v>1427</v>
      </c>
      <c r="F1323" s="11" t="s">
        <v>814</v>
      </c>
      <c r="G1323" s="11" t="s">
        <v>2629</v>
      </c>
      <c r="H1323" s="10" t="s">
        <v>809</v>
      </c>
    </row>
    <row r="1324" spans="1:8" x14ac:dyDescent="0.25">
      <c r="A1324" s="11" t="s">
        <v>3183</v>
      </c>
      <c r="B1324" s="10" t="s">
        <v>1086</v>
      </c>
      <c r="C1324" s="10" t="s">
        <v>2987</v>
      </c>
      <c r="D1324" s="10" t="str">
        <f>VLOOKUP(C1324,Region!A:B,2,FALSE)</f>
        <v>Noida</v>
      </c>
      <c r="E1324" s="10" t="s">
        <v>1427</v>
      </c>
      <c r="F1324" s="11" t="s">
        <v>823</v>
      </c>
      <c r="G1324" s="11" t="s">
        <v>3184</v>
      </c>
      <c r="H1324" s="10" t="s">
        <v>809</v>
      </c>
    </row>
    <row r="1325" spans="1:8" x14ac:dyDescent="0.25">
      <c r="A1325" s="11" t="s">
        <v>1624</v>
      </c>
      <c r="B1325" s="10" t="s">
        <v>804</v>
      </c>
      <c r="C1325" s="10" t="s">
        <v>1426</v>
      </c>
      <c r="D1325" s="10" t="str">
        <f>VLOOKUP(C1325,Region!A:B,2,FALSE)</f>
        <v>Spain</v>
      </c>
      <c r="E1325" s="10" t="s">
        <v>1427</v>
      </c>
      <c r="F1325" s="11" t="s">
        <v>807</v>
      </c>
      <c r="G1325" s="11" t="s">
        <v>353</v>
      </c>
      <c r="H1325" s="10" t="s">
        <v>812</v>
      </c>
    </row>
    <row r="1326" spans="1:8" x14ac:dyDescent="0.25">
      <c r="A1326" s="11" t="s">
        <v>3179</v>
      </c>
      <c r="B1326" s="10" t="s">
        <v>1086</v>
      </c>
      <c r="C1326" s="10" t="s">
        <v>2987</v>
      </c>
      <c r="D1326" s="10" t="str">
        <f>VLOOKUP(C1326,Region!A:B,2,FALSE)</f>
        <v>Noida</v>
      </c>
      <c r="E1326" s="10" t="s">
        <v>1427</v>
      </c>
      <c r="F1326" s="11" t="s">
        <v>823</v>
      </c>
      <c r="G1326" s="11" t="s">
        <v>3180</v>
      </c>
      <c r="H1326" s="10" t="s">
        <v>809</v>
      </c>
    </row>
    <row r="1327" spans="1:8" x14ac:dyDescent="0.25">
      <c r="A1327" s="11" t="s">
        <v>2004</v>
      </c>
      <c r="B1327" s="10" t="s">
        <v>804</v>
      </c>
      <c r="C1327" s="10" t="s">
        <v>1635</v>
      </c>
      <c r="D1327" s="10" t="str">
        <f>VLOOKUP(C1327,Region!A:B,2,FALSE)</f>
        <v>MBC US</v>
      </c>
      <c r="E1327" s="10" t="s">
        <v>806</v>
      </c>
      <c r="F1327" s="11" t="s">
        <v>807</v>
      </c>
      <c r="G1327" s="11" t="s">
        <v>789</v>
      </c>
      <c r="H1327" s="10" t="s">
        <v>809</v>
      </c>
    </row>
    <row r="1328" spans="1:8" x14ac:dyDescent="0.25">
      <c r="A1328" s="11" t="s">
        <v>2147</v>
      </c>
      <c r="B1328" s="10" t="s">
        <v>804</v>
      </c>
      <c r="C1328" s="10" t="s">
        <v>2041</v>
      </c>
      <c r="D1328" s="10" t="str">
        <f>VLOOKUP(C1328,Region!A:B,2,FALSE)</f>
        <v>Hyderabad</v>
      </c>
      <c r="E1328" s="10" t="s">
        <v>1427</v>
      </c>
      <c r="F1328" s="11" t="s">
        <v>814</v>
      </c>
      <c r="G1328" s="11" t="s">
        <v>2148</v>
      </c>
      <c r="H1328" s="10" t="s">
        <v>809</v>
      </c>
    </row>
    <row r="1329" spans="1:8" x14ac:dyDescent="0.25">
      <c r="A1329" s="11" t="s">
        <v>2005</v>
      </c>
      <c r="B1329" s="10" t="s">
        <v>804</v>
      </c>
      <c r="C1329" s="10" t="s">
        <v>1635</v>
      </c>
      <c r="D1329" s="10" t="str">
        <f>VLOOKUP(C1329,Region!A:B,2,FALSE)</f>
        <v>MBC US</v>
      </c>
      <c r="E1329" s="10" t="s">
        <v>806</v>
      </c>
      <c r="F1329" s="11" t="s">
        <v>823</v>
      </c>
      <c r="G1329" s="11" t="s">
        <v>503</v>
      </c>
      <c r="H1329" s="10" t="s">
        <v>812</v>
      </c>
    </row>
    <row r="1330" spans="1:8" x14ac:dyDescent="0.25">
      <c r="A1330" s="11" t="s">
        <v>2481</v>
      </c>
      <c r="B1330" s="10" t="s">
        <v>804</v>
      </c>
      <c r="C1330" s="10" t="s">
        <v>2041</v>
      </c>
      <c r="D1330" s="10" t="str">
        <f>VLOOKUP(C1330,Region!A:B,2,FALSE)</f>
        <v>Hyderabad</v>
      </c>
      <c r="E1330" s="10" t="s">
        <v>1427</v>
      </c>
      <c r="F1330" s="11" t="s">
        <v>811</v>
      </c>
      <c r="G1330" s="11" t="s">
        <v>2482</v>
      </c>
      <c r="H1330" s="10" t="s">
        <v>809</v>
      </c>
    </row>
    <row r="1331" spans="1:8" x14ac:dyDescent="0.25">
      <c r="A1331" s="11" t="s">
        <v>2003</v>
      </c>
      <c r="B1331" s="10" t="s">
        <v>1086</v>
      </c>
      <c r="C1331" s="10" t="s">
        <v>1635</v>
      </c>
      <c r="D1331" s="10" t="str">
        <f>VLOOKUP(C1331,Region!A:B,2,FALSE)</f>
        <v>MBC US</v>
      </c>
      <c r="E1331" s="10" t="s">
        <v>806</v>
      </c>
      <c r="F1331" s="11" t="s">
        <v>807</v>
      </c>
      <c r="G1331" s="11" t="s">
        <v>674</v>
      </c>
      <c r="H1331" s="10" t="s">
        <v>812</v>
      </c>
    </row>
    <row r="1332" spans="1:8" x14ac:dyDescent="0.25">
      <c r="A1332" s="11" t="s">
        <v>2013</v>
      </c>
      <c r="B1332" s="10" t="s">
        <v>1086</v>
      </c>
      <c r="C1332" s="10" t="s">
        <v>1635</v>
      </c>
      <c r="D1332" s="10" t="str">
        <f>VLOOKUP(C1332,Region!A:B,2,FALSE)</f>
        <v>MBC US</v>
      </c>
      <c r="E1332" s="10" t="s">
        <v>806</v>
      </c>
      <c r="F1332" s="11" t="s">
        <v>814</v>
      </c>
      <c r="G1332" s="11" t="s">
        <v>239</v>
      </c>
      <c r="H1332" s="10" t="s">
        <v>812</v>
      </c>
    </row>
    <row r="1333" spans="1:8" x14ac:dyDescent="0.25">
      <c r="A1333" s="11" t="s">
        <v>1020</v>
      </c>
      <c r="B1333" s="10" t="s">
        <v>804</v>
      </c>
      <c r="C1333" s="10" t="s">
        <v>805</v>
      </c>
      <c r="D1333" s="10" t="str">
        <f>VLOOKUP(C1333,Region!A:B,2,FALSE)</f>
        <v>Noida</v>
      </c>
      <c r="E1333" s="10" t="s">
        <v>806</v>
      </c>
      <c r="F1333" s="11" t="s">
        <v>811</v>
      </c>
      <c r="G1333" s="11" t="s">
        <v>1021</v>
      </c>
      <c r="H1333" s="10" t="s">
        <v>812</v>
      </c>
    </row>
    <row r="1334" spans="1:8" x14ac:dyDescent="0.25">
      <c r="A1334" s="11" t="s">
        <v>2001</v>
      </c>
      <c r="B1334" s="10" t="s">
        <v>1086</v>
      </c>
      <c r="C1334" s="10" t="s">
        <v>1635</v>
      </c>
      <c r="D1334" s="10" t="str">
        <f>VLOOKUP(C1334,Region!A:B,2,FALSE)</f>
        <v>MBC US</v>
      </c>
      <c r="E1334" s="10" t="s">
        <v>806</v>
      </c>
      <c r="F1334" s="11" t="s">
        <v>814</v>
      </c>
      <c r="G1334" s="11" t="s">
        <v>2002</v>
      </c>
      <c r="H1334" s="10" t="s">
        <v>812</v>
      </c>
    </row>
    <row r="1335" spans="1:8" x14ac:dyDescent="0.25">
      <c r="A1335" s="11" t="s">
        <v>2015</v>
      </c>
      <c r="B1335" s="10" t="s">
        <v>804</v>
      </c>
      <c r="C1335" s="10" t="s">
        <v>1635</v>
      </c>
      <c r="D1335" s="10" t="str">
        <f>VLOOKUP(C1335,Region!A:B,2,FALSE)</f>
        <v>MBC US</v>
      </c>
      <c r="E1335" s="10" t="s">
        <v>806</v>
      </c>
      <c r="F1335" s="11" t="s">
        <v>814</v>
      </c>
      <c r="G1335" s="11" t="s">
        <v>2016</v>
      </c>
      <c r="H1335" s="10" t="s">
        <v>809</v>
      </c>
    </row>
    <row r="1336" spans="1:8" x14ac:dyDescent="0.25">
      <c r="A1336" s="11" t="s">
        <v>2008</v>
      </c>
      <c r="B1336" s="10" t="s">
        <v>804</v>
      </c>
      <c r="C1336" s="10" t="s">
        <v>1635</v>
      </c>
      <c r="D1336" s="10" t="str">
        <f>VLOOKUP(C1336,Region!A:B,2,FALSE)</f>
        <v>MBC US</v>
      </c>
      <c r="E1336" s="10" t="s">
        <v>806</v>
      </c>
      <c r="F1336" s="11" t="s">
        <v>823</v>
      </c>
      <c r="G1336" s="11" t="s">
        <v>484</v>
      </c>
      <c r="H1336" s="10" t="s">
        <v>812</v>
      </c>
    </row>
    <row r="1337" spans="1:8" x14ac:dyDescent="0.25">
      <c r="A1337" s="11" t="s">
        <v>2249</v>
      </c>
      <c r="B1337" s="10" t="s">
        <v>804</v>
      </c>
      <c r="C1337" s="10" t="s">
        <v>2041</v>
      </c>
      <c r="D1337" s="10" t="str">
        <f>VLOOKUP(C1337,Region!A:B,2,FALSE)</f>
        <v>Hyderabad</v>
      </c>
      <c r="E1337" s="10" t="s">
        <v>1427</v>
      </c>
      <c r="F1337" s="11" t="s">
        <v>811</v>
      </c>
      <c r="G1337" s="11" t="s">
        <v>2250</v>
      </c>
      <c r="H1337" s="10" t="s">
        <v>809</v>
      </c>
    </row>
    <row r="1338" spans="1:8" x14ac:dyDescent="0.25">
      <c r="A1338" s="11" t="s">
        <v>1997</v>
      </c>
      <c r="B1338" s="10" t="s">
        <v>1086</v>
      </c>
      <c r="C1338" s="10" t="s">
        <v>1635</v>
      </c>
      <c r="D1338" s="10" t="str">
        <f>VLOOKUP(C1338,Region!A:B,2,FALSE)</f>
        <v>MBC US</v>
      </c>
      <c r="E1338" s="10" t="s">
        <v>806</v>
      </c>
      <c r="F1338" s="11" t="s">
        <v>811</v>
      </c>
      <c r="G1338" s="11" t="s">
        <v>1998</v>
      </c>
      <c r="H1338" s="10" t="s">
        <v>809</v>
      </c>
    </row>
    <row r="1339" spans="1:8" x14ac:dyDescent="0.25">
      <c r="A1339" s="11" t="s">
        <v>2009</v>
      </c>
      <c r="B1339" s="10" t="s">
        <v>1086</v>
      </c>
      <c r="C1339" s="10" t="s">
        <v>1635</v>
      </c>
      <c r="D1339" s="10" t="str">
        <f>VLOOKUP(C1339,Region!A:B,2,FALSE)</f>
        <v>MBC US</v>
      </c>
      <c r="E1339" s="10" t="s">
        <v>806</v>
      </c>
      <c r="F1339" s="11" t="s">
        <v>814</v>
      </c>
      <c r="G1339" s="11" t="s">
        <v>232</v>
      </c>
      <c r="H1339" s="10" t="s">
        <v>812</v>
      </c>
    </row>
    <row r="1340" spans="1:8" x14ac:dyDescent="0.25">
      <c r="A1340" s="11" t="s">
        <v>2874</v>
      </c>
      <c r="B1340" s="10" t="s">
        <v>804</v>
      </c>
      <c r="C1340" s="10" t="s">
        <v>2752</v>
      </c>
      <c r="D1340" s="10" t="str">
        <f>VLOOKUP(C1340,Region!A:B,2,FALSE)</f>
        <v>Noida</v>
      </c>
      <c r="E1340" s="10" t="s">
        <v>806</v>
      </c>
      <c r="F1340" s="11" t="s">
        <v>823</v>
      </c>
      <c r="G1340" s="11" t="s">
        <v>2875</v>
      </c>
      <c r="H1340" s="10" t="s">
        <v>812</v>
      </c>
    </row>
    <row r="1341" spans="1:8" x14ac:dyDescent="0.25">
      <c r="A1341" s="11" t="s">
        <v>2014</v>
      </c>
      <c r="B1341" s="10" t="s">
        <v>804</v>
      </c>
      <c r="C1341" s="10" t="s">
        <v>1635</v>
      </c>
      <c r="D1341" s="10" t="str">
        <f>VLOOKUP(C1341,Region!A:B,2,FALSE)</f>
        <v>MBC US</v>
      </c>
      <c r="E1341" s="10" t="s">
        <v>806</v>
      </c>
      <c r="F1341" s="11" t="s">
        <v>814</v>
      </c>
      <c r="G1341" s="11" t="s">
        <v>389</v>
      </c>
      <c r="H1341" s="10" t="s">
        <v>812</v>
      </c>
    </row>
    <row r="1342" spans="1:8" x14ac:dyDescent="0.25">
      <c r="A1342" s="11" t="s">
        <v>2006</v>
      </c>
      <c r="B1342" s="10" t="s">
        <v>1086</v>
      </c>
      <c r="C1342" s="10" t="s">
        <v>1635</v>
      </c>
      <c r="D1342" s="10" t="str">
        <f>VLOOKUP(C1342,Region!A:B,2,FALSE)</f>
        <v>MBC US</v>
      </c>
      <c r="E1342" s="10" t="s">
        <v>806</v>
      </c>
      <c r="F1342" s="11" t="s">
        <v>814</v>
      </c>
      <c r="G1342" s="11" t="s">
        <v>2007</v>
      </c>
      <c r="H1342" s="10" t="s">
        <v>809</v>
      </c>
    </row>
    <row r="1343" spans="1:8" x14ac:dyDescent="0.25">
      <c r="A1343" s="11" t="s">
        <v>2630</v>
      </c>
      <c r="B1343" s="10" t="s">
        <v>804</v>
      </c>
      <c r="C1343" s="10" t="s">
        <v>2518</v>
      </c>
      <c r="D1343" s="10" t="str">
        <f>VLOOKUP(C1343,Region!A:B,2,FALSE)</f>
        <v>Noida</v>
      </c>
      <c r="E1343" s="10" t="s">
        <v>1427</v>
      </c>
      <c r="F1343" s="11" t="s">
        <v>814</v>
      </c>
      <c r="G1343" s="11" t="s">
        <v>2631</v>
      </c>
      <c r="H1343" s="10" t="s">
        <v>809</v>
      </c>
    </row>
    <row r="1344" spans="1:8" x14ac:dyDescent="0.25">
      <c r="A1344" s="11" t="s">
        <v>2017</v>
      </c>
      <c r="B1344" s="10" t="s">
        <v>804</v>
      </c>
      <c r="C1344" s="10" t="s">
        <v>1635</v>
      </c>
      <c r="D1344" s="10" t="str">
        <f>VLOOKUP(C1344,Region!A:B,2,FALSE)</f>
        <v>MBC US</v>
      </c>
      <c r="E1344" s="10" t="s">
        <v>806</v>
      </c>
      <c r="F1344" s="11" t="s">
        <v>814</v>
      </c>
      <c r="G1344" s="11" t="s">
        <v>2018</v>
      </c>
      <c r="H1344" s="10" t="s">
        <v>809</v>
      </c>
    </row>
    <row r="1345" spans="1:8" x14ac:dyDescent="0.25">
      <c r="A1345" s="11" t="s">
        <v>3028</v>
      </c>
      <c r="B1345" s="10" t="s">
        <v>1086</v>
      </c>
      <c r="C1345" s="10" t="s">
        <v>2987</v>
      </c>
      <c r="D1345" s="10" t="str">
        <f>VLOOKUP(C1345,Region!A:B,2,FALSE)</f>
        <v>Noida</v>
      </c>
      <c r="E1345" s="10" t="s">
        <v>1427</v>
      </c>
      <c r="F1345" s="11" t="s">
        <v>823</v>
      </c>
      <c r="G1345" s="11" t="s">
        <v>3029</v>
      </c>
      <c r="H1345" s="10" t="s">
        <v>812</v>
      </c>
    </row>
    <row r="1346" spans="1:8" x14ac:dyDescent="0.25">
      <c r="A1346" s="11" t="s">
        <v>3297</v>
      </c>
      <c r="B1346" s="10" t="s">
        <v>1086</v>
      </c>
      <c r="C1346" s="10" t="s">
        <v>3273</v>
      </c>
      <c r="D1346" s="10" t="str">
        <f>VLOOKUP(C1346,Region!A:B,2,FALSE)</f>
        <v>Noida</v>
      </c>
      <c r="E1346" s="10" t="s">
        <v>806</v>
      </c>
      <c r="F1346" s="11" t="s">
        <v>814</v>
      </c>
      <c r="G1346" s="11" t="s">
        <v>3298</v>
      </c>
      <c r="H1346" s="10" t="s">
        <v>812</v>
      </c>
    </row>
    <row r="1347" spans="1:8" x14ac:dyDescent="0.25">
      <c r="A1347" s="11" t="s">
        <v>2891</v>
      </c>
      <c r="B1347" s="10" t="s">
        <v>804</v>
      </c>
      <c r="C1347" s="10" t="s">
        <v>2752</v>
      </c>
      <c r="D1347" s="10" t="str">
        <f>VLOOKUP(C1347,Region!A:B,2,FALSE)</f>
        <v>Noida</v>
      </c>
      <c r="E1347" s="10" t="s">
        <v>806</v>
      </c>
      <c r="F1347" s="11" t="s">
        <v>807</v>
      </c>
      <c r="G1347" s="11" t="s">
        <v>2892</v>
      </c>
      <c r="H1347" s="10" t="s">
        <v>812</v>
      </c>
    </row>
    <row r="1348" spans="1:8" x14ac:dyDescent="0.25">
      <c r="A1348" s="11" t="s">
        <v>2251</v>
      </c>
      <c r="B1348" s="10" t="s">
        <v>804</v>
      </c>
      <c r="C1348" s="10" t="s">
        <v>2041</v>
      </c>
      <c r="D1348" s="10" t="str">
        <f>VLOOKUP(C1348,Region!A:B,2,FALSE)</f>
        <v>Hyderabad</v>
      </c>
      <c r="E1348" s="10" t="s">
        <v>1427</v>
      </c>
      <c r="F1348" s="11" t="s">
        <v>811</v>
      </c>
      <c r="G1348" s="11" t="s">
        <v>370</v>
      </c>
      <c r="H1348" s="10" t="s">
        <v>812</v>
      </c>
    </row>
    <row r="1349" spans="1:8" x14ac:dyDescent="0.25">
      <c r="A1349" s="11" t="s">
        <v>988</v>
      </c>
      <c r="B1349" s="10" t="s">
        <v>804</v>
      </c>
      <c r="C1349" s="10" t="s">
        <v>805</v>
      </c>
      <c r="D1349" s="10" t="str">
        <f>VLOOKUP(C1349,Region!A:B,2,FALSE)</f>
        <v>Noida</v>
      </c>
      <c r="E1349" s="10" t="s">
        <v>806</v>
      </c>
      <c r="F1349" s="11" t="s">
        <v>811</v>
      </c>
      <c r="G1349" s="11" t="s">
        <v>989</v>
      </c>
      <c r="H1349" s="10" t="s">
        <v>812</v>
      </c>
    </row>
    <row r="1350" spans="1:8" x14ac:dyDescent="0.25">
      <c r="A1350" s="11" t="s">
        <v>2335</v>
      </c>
      <c r="B1350" s="10" t="s">
        <v>804</v>
      </c>
      <c r="C1350" s="10" t="s">
        <v>2041</v>
      </c>
      <c r="D1350" s="10" t="str">
        <f>VLOOKUP(C1350,Region!A:B,2,FALSE)</f>
        <v>Hyderabad</v>
      </c>
      <c r="E1350" s="10" t="s">
        <v>1427</v>
      </c>
      <c r="F1350" s="11" t="s">
        <v>807</v>
      </c>
      <c r="G1350" s="11" t="s">
        <v>2336</v>
      </c>
      <c r="H1350" s="10" t="s">
        <v>809</v>
      </c>
    </row>
    <row r="1351" spans="1:8" x14ac:dyDescent="0.25">
      <c r="A1351" s="11" t="s">
        <v>934</v>
      </c>
      <c r="B1351" s="10" t="s">
        <v>804</v>
      </c>
      <c r="C1351" s="10" t="s">
        <v>805</v>
      </c>
      <c r="D1351" s="10" t="str">
        <f>VLOOKUP(C1351,Region!A:B,2,FALSE)</f>
        <v>Noida</v>
      </c>
      <c r="E1351" s="10" t="s">
        <v>806</v>
      </c>
      <c r="F1351" s="11" t="s">
        <v>823</v>
      </c>
      <c r="G1351" s="11" t="s">
        <v>935</v>
      </c>
      <c r="H1351" s="10" t="s">
        <v>812</v>
      </c>
    </row>
    <row r="1352" spans="1:8" x14ac:dyDescent="0.25">
      <c r="A1352" s="11" t="s">
        <v>2471</v>
      </c>
      <c r="B1352" s="10" t="s">
        <v>804</v>
      </c>
      <c r="C1352" s="10" t="s">
        <v>2041</v>
      </c>
      <c r="D1352" s="10" t="str">
        <f>VLOOKUP(C1352,Region!A:B,2,FALSE)</f>
        <v>Hyderabad</v>
      </c>
      <c r="E1352" s="10" t="s">
        <v>1427</v>
      </c>
      <c r="F1352" s="11" t="s">
        <v>823</v>
      </c>
      <c r="G1352" s="11" t="s">
        <v>2472</v>
      </c>
      <c r="H1352" s="10" t="s">
        <v>809</v>
      </c>
    </row>
    <row r="1353" spans="1:8" x14ac:dyDescent="0.25">
      <c r="A1353" s="11" t="s">
        <v>2608</v>
      </c>
      <c r="B1353" s="10" t="s">
        <v>804</v>
      </c>
      <c r="C1353" s="10" t="s">
        <v>2518</v>
      </c>
      <c r="D1353" s="10" t="str">
        <f>VLOOKUP(C1353,Region!A:B,2,FALSE)</f>
        <v>Noida</v>
      </c>
      <c r="E1353" s="10" t="s">
        <v>1427</v>
      </c>
      <c r="F1353" s="11" t="s">
        <v>811</v>
      </c>
      <c r="G1353" s="11" t="s">
        <v>2609</v>
      </c>
      <c r="H1353" s="10" t="s">
        <v>809</v>
      </c>
    </row>
    <row r="1354" spans="1:8" x14ac:dyDescent="0.25">
      <c r="A1354" s="11" t="s">
        <v>2749</v>
      </c>
      <c r="B1354" s="10" t="s">
        <v>804</v>
      </c>
      <c r="C1354" s="10" t="s">
        <v>2518</v>
      </c>
      <c r="D1354" s="10" t="str">
        <f>VLOOKUP(C1354,Region!A:B,2,FALSE)</f>
        <v>Noida</v>
      </c>
      <c r="E1354" s="10" t="s">
        <v>1427</v>
      </c>
      <c r="F1354" s="11" t="s">
        <v>823</v>
      </c>
      <c r="G1354" s="11" t="s">
        <v>491</v>
      </c>
      <c r="H1354" s="10" t="s">
        <v>812</v>
      </c>
    </row>
    <row r="1355" spans="1:8" x14ac:dyDescent="0.25">
      <c r="A1355" s="11" t="s">
        <v>2705</v>
      </c>
      <c r="B1355" s="10" t="s">
        <v>804</v>
      </c>
      <c r="C1355" s="10" t="s">
        <v>2518</v>
      </c>
      <c r="D1355" s="10" t="str">
        <f>VLOOKUP(C1355,Region!A:B,2,FALSE)</f>
        <v>Noida</v>
      </c>
      <c r="E1355" s="10" t="s">
        <v>1427</v>
      </c>
      <c r="F1355" s="11" t="s">
        <v>807</v>
      </c>
      <c r="G1355" s="11" t="s">
        <v>2706</v>
      </c>
      <c r="H1355" s="10" t="s">
        <v>809</v>
      </c>
    </row>
    <row r="1356" spans="1:8" x14ac:dyDescent="0.25">
      <c r="A1356" s="11" t="s">
        <v>2414</v>
      </c>
      <c r="B1356" s="10" t="s">
        <v>804</v>
      </c>
      <c r="C1356" s="10" t="s">
        <v>2041</v>
      </c>
      <c r="D1356" s="10" t="str">
        <f>VLOOKUP(C1356,Region!A:B,2,FALSE)</f>
        <v>Hyderabad</v>
      </c>
      <c r="E1356" s="10" t="s">
        <v>1427</v>
      </c>
      <c r="F1356" s="11" t="s">
        <v>814</v>
      </c>
      <c r="G1356" s="11" t="s">
        <v>2415</v>
      </c>
      <c r="H1356" s="10" t="s">
        <v>809</v>
      </c>
    </row>
    <row r="1357" spans="1:8" x14ac:dyDescent="0.25">
      <c r="A1357" s="11" t="s">
        <v>3248</v>
      </c>
      <c r="B1357" s="10" t="s">
        <v>1086</v>
      </c>
      <c r="C1357" s="10" t="s">
        <v>2987</v>
      </c>
      <c r="D1357" s="10" t="str">
        <f>VLOOKUP(C1357,Region!A:B,2,FALSE)</f>
        <v>Noida</v>
      </c>
      <c r="E1357" s="10" t="s">
        <v>1427</v>
      </c>
      <c r="F1357" s="11" t="s">
        <v>811</v>
      </c>
      <c r="G1357" s="11" t="s">
        <v>3249</v>
      </c>
      <c r="H1357" s="10" t="s">
        <v>812</v>
      </c>
    </row>
    <row r="1358" spans="1:8" x14ac:dyDescent="0.25">
      <c r="A1358" s="11" t="s">
        <v>2707</v>
      </c>
      <c r="B1358" s="10" t="s">
        <v>804</v>
      </c>
      <c r="C1358" s="10" t="s">
        <v>2518</v>
      </c>
      <c r="D1358" s="10" t="str">
        <f>VLOOKUP(C1358,Region!A:B,2,FALSE)</f>
        <v>Noida</v>
      </c>
      <c r="E1358" s="10" t="s">
        <v>1427</v>
      </c>
      <c r="F1358" s="11" t="s">
        <v>807</v>
      </c>
      <c r="G1358" s="11" t="s">
        <v>2708</v>
      </c>
      <c r="H1358" s="10" t="s">
        <v>809</v>
      </c>
    </row>
    <row r="1359" spans="1:8" x14ac:dyDescent="0.25">
      <c r="A1359" s="11" t="s">
        <v>1627</v>
      </c>
      <c r="B1359" s="10" t="s">
        <v>1086</v>
      </c>
      <c r="C1359" s="10" t="s">
        <v>1426</v>
      </c>
      <c r="D1359" s="10" t="str">
        <f>VLOOKUP(C1359,Region!A:B,2,FALSE)</f>
        <v>Spain</v>
      </c>
      <c r="E1359" s="10" t="s">
        <v>1427</v>
      </c>
      <c r="F1359" s="11" t="s">
        <v>823</v>
      </c>
      <c r="G1359" s="11" t="s">
        <v>1628</v>
      </c>
      <c r="H1359" s="10" t="s">
        <v>809</v>
      </c>
    </row>
    <row r="1360" spans="1:8" x14ac:dyDescent="0.25">
      <c r="A1360" s="11" t="s">
        <v>2956</v>
      </c>
      <c r="B1360" s="10" t="s">
        <v>804</v>
      </c>
      <c r="C1360" s="10" t="s">
        <v>2752</v>
      </c>
      <c r="D1360" s="10" t="str">
        <f>VLOOKUP(C1360,Region!A:B,2,FALSE)</f>
        <v>Noida</v>
      </c>
      <c r="E1360" s="10" t="s">
        <v>806</v>
      </c>
      <c r="F1360" s="11" t="s">
        <v>834</v>
      </c>
      <c r="G1360" s="11" t="s">
        <v>2957</v>
      </c>
      <c r="H1360" s="10" t="s">
        <v>809</v>
      </c>
    </row>
    <row r="1361" spans="1:8" x14ac:dyDescent="0.25">
      <c r="A1361" s="10" t="s">
        <v>3509</v>
      </c>
      <c r="B1361" s="10" t="s">
        <v>804</v>
      </c>
      <c r="C1361" s="10" t="s">
        <v>805</v>
      </c>
      <c r="D1361" s="10" t="str">
        <f>VLOOKUP(C1361,Region!A:B,2,FALSE)</f>
        <v>Noida</v>
      </c>
      <c r="E1361" s="10" t="s">
        <v>806</v>
      </c>
      <c r="F1361" s="10" t="s">
        <v>811</v>
      </c>
      <c r="G1361" s="10"/>
      <c r="H1361" s="10"/>
    </row>
    <row r="1362" spans="1:8" x14ac:dyDescent="0.25">
      <c r="A1362" s="11" t="s">
        <v>1225</v>
      </c>
      <c r="B1362" s="10" t="s">
        <v>1086</v>
      </c>
      <c r="C1362" s="10" t="s">
        <v>1087</v>
      </c>
      <c r="D1362" s="10" t="str">
        <f>VLOOKUP(C1362,Region!A:B,2,FALSE)</f>
        <v>Hyderabad</v>
      </c>
      <c r="E1362" s="10" t="s">
        <v>806</v>
      </c>
      <c r="F1362" s="11" t="s">
        <v>811</v>
      </c>
      <c r="G1362" s="11" t="s">
        <v>1226</v>
      </c>
      <c r="H1362" s="10" t="s">
        <v>812</v>
      </c>
    </row>
    <row r="1363" spans="1:8" x14ac:dyDescent="0.25">
      <c r="A1363" s="11" t="s">
        <v>3399</v>
      </c>
      <c r="B1363" s="10" t="s">
        <v>1086</v>
      </c>
      <c r="C1363" s="10" t="s">
        <v>3273</v>
      </c>
      <c r="D1363" s="10" t="str">
        <f>VLOOKUP(C1363,Region!A:B,2,FALSE)</f>
        <v>Noida</v>
      </c>
      <c r="E1363" s="10" t="s">
        <v>806</v>
      </c>
      <c r="F1363" s="11" t="s">
        <v>814</v>
      </c>
      <c r="G1363" s="11" t="s">
        <v>3400</v>
      </c>
      <c r="H1363" s="10" t="s">
        <v>809</v>
      </c>
    </row>
    <row r="1364" spans="1:8" x14ac:dyDescent="0.25">
      <c r="A1364" s="11" t="s">
        <v>2149</v>
      </c>
      <c r="B1364" s="10" t="s">
        <v>804</v>
      </c>
      <c r="C1364" s="10" t="s">
        <v>2041</v>
      </c>
      <c r="D1364" s="10" t="str">
        <f>VLOOKUP(C1364,Region!A:B,2,FALSE)</f>
        <v>Hyderabad</v>
      </c>
      <c r="E1364" s="10" t="s">
        <v>1427</v>
      </c>
      <c r="F1364" s="11" t="s">
        <v>814</v>
      </c>
      <c r="G1364" s="11" t="s">
        <v>702</v>
      </c>
      <c r="H1364" s="10" t="s">
        <v>812</v>
      </c>
    </row>
    <row r="1365" spans="1:8" x14ac:dyDescent="0.25">
      <c r="A1365" s="11" t="s">
        <v>866</v>
      </c>
      <c r="B1365" s="10" t="s">
        <v>804</v>
      </c>
      <c r="C1365" s="10" t="s">
        <v>805</v>
      </c>
      <c r="D1365" s="10" t="str">
        <f>VLOOKUP(C1365,Region!A:B,2,FALSE)</f>
        <v>Noida</v>
      </c>
      <c r="E1365" s="10" t="s">
        <v>806</v>
      </c>
      <c r="F1365" s="11" t="s">
        <v>811</v>
      </c>
      <c r="G1365" s="11" t="s">
        <v>867</v>
      </c>
      <c r="H1365" s="10" t="s">
        <v>812</v>
      </c>
    </row>
    <row r="1366" spans="1:8" x14ac:dyDescent="0.25">
      <c r="A1366" s="11" t="s">
        <v>2546</v>
      </c>
      <c r="B1366" s="10" t="s">
        <v>804</v>
      </c>
      <c r="C1366" s="10" t="s">
        <v>2518</v>
      </c>
      <c r="D1366" s="10" t="str">
        <f>VLOOKUP(C1366,Region!A:B,2,FALSE)</f>
        <v>Noida</v>
      </c>
      <c r="E1366" s="10" t="s">
        <v>1427</v>
      </c>
      <c r="F1366" s="11" t="s">
        <v>823</v>
      </c>
      <c r="G1366" s="11" t="s">
        <v>2547</v>
      </c>
      <c r="H1366" s="10" t="s">
        <v>812</v>
      </c>
    </row>
    <row r="1367" spans="1:8" x14ac:dyDescent="0.25">
      <c r="A1367" s="11" t="s">
        <v>2814</v>
      </c>
      <c r="B1367" s="10" t="s">
        <v>804</v>
      </c>
      <c r="C1367" s="10" t="s">
        <v>2752</v>
      </c>
      <c r="D1367" s="10" t="str">
        <f>VLOOKUP(C1367,Region!A:B,2,FALSE)</f>
        <v>Noida</v>
      </c>
      <c r="E1367" s="10" t="s">
        <v>806</v>
      </c>
      <c r="F1367" s="11" t="s">
        <v>823</v>
      </c>
      <c r="G1367" s="11" t="s">
        <v>2815</v>
      </c>
      <c r="H1367" s="10" t="s">
        <v>812</v>
      </c>
    </row>
    <row r="1368" spans="1:8" x14ac:dyDescent="0.25">
      <c r="A1368" s="11" t="s">
        <v>3212</v>
      </c>
      <c r="B1368" s="10" t="s">
        <v>1086</v>
      </c>
      <c r="C1368" s="10" t="s">
        <v>2987</v>
      </c>
      <c r="D1368" s="10" t="str">
        <f>VLOOKUP(C1368,Region!A:B,2,FALSE)</f>
        <v>Noida</v>
      </c>
      <c r="E1368" s="10" t="s">
        <v>1427</v>
      </c>
      <c r="F1368" s="11" t="s">
        <v>811</v>
      </c>
      <c r="G1368" s="11" t="s">
        <v>3213</v>
      </c>
      <c r="H1368" s="10" t="s">
        <v>809</v>
      </c>
    </row>
    <row r="1369" spans="1:8" x14ac:dyDescent="0.25">
      <c r="A1369" s="11" t="s">
        <v>3432</v>
      </c>
      <c r="B1369" s="10" t="s">
        <v>1086</v>
      </c>
      <c r="C1369" s="10" t="s">
        <v>3273</v>
      </c>
      <c r="D1369" s="10" t="str">
        <f>VLOOKUP(C1369,Region!A:B,2,FALSE)</f>
        <v>Noida</v>
      </c>
      <c r="E1369" s="10" t="s">
        <v>806</v>
      </c>
      <c r="F1369" s="11" t="s">
        <v>811</v>
      </c>
      <c r="G1369" s="11" t="s">
        <v>3433</v>
      </c>
      <c r="H1369" s="10" t="s">
        <v>809</v>
      </c>
    </row>
    <row r="1370" spans="1:8" x14ac:dyDescent="0.25">
      <c r="A1370" s="11" t="s">
        <v>1000</v>
      </c>
      <c r="B1370" s="10" t="s">
        <v>804</v>
      </c>
      <c r="C1370" s="10" t="s">
        <v>805</v>
      </c>
      <c r="D1370" s="10" t="str">
        <f>VLOOKUP(C1370,Region!A:B,2,FALSE)</f>
        <v>Noida</v>
      </c>
      <c r="E1370" s="10" t="s">
        <v>806</v>
      </c>
      <c r="F1370" s="11" t="s">
        <v>823</v>
      </c>
      <c r="G1370" s="11" t="s">
        <v>1001</v>
      </c>
      <c r="H1370" s="10" t="s">
        <v>809</v>
      </c>
    </row>
    <row r="1371" spans="1:8" x14ac:dyDescent="0.25">
      <c r="A1371" s="11" t="s">
        <v>948</v>
      </c>
      <c r="B1371" s="10" t="s">
        <v>804</v>
      </c>
      <c r="C1371" s="10" t="s">
        <v>805</v>
      </c>
      <c r="D1371" s="10" t="str">
        <f>VLOOKUP(C1371,Region!A:B,2,FALSE)</f>
        <v>Noida</v>
      </c>
      <c r="E1371" s="10" t="s">
        <v>806</v>
      </c>
      <c r="F1371" s="11" t="s">
        <v>811</v>
      </c>
      <c r="G1371" s="11" t="s">
        <v>949</v>
      </c>
      <c r="H1371" s="10" t="s">
        <v>812</v>
      </c>
    </row>
    <row r="1372" spans="1:8" x14ac:dyDescent="0.25">
      <c r="A1372" s="11" t="s">
        <v>2934</v>
      </c>
      <c r="B1372" s="10" t="s">
        <v>804</v>
      </c>
      <c r="C1372" s="10" t="s">
        <v>2752</v>
      </c>
      <c r="D1372" s="10" t="str">
        <f>VLOOKUP(C1372,Region!A:B,2,FALSE)</f>
        <v>Noida</v>
      </c>
      <c r="E1372" s="10" t="s">
        <v>806</v>
      </c>
      <c r="F1372" s="11" t="s">
        <v>807</v>
      </c>
      <c r="G1372" s="11" t="s">
        <v>2935</v>
      </c>
      <c r="H1372" s="10" t="s">
        <v>812</v>
      </c>
    </row>
    <row r="1373" spans="1:8" x14ac:dyDescent="0.25">
      <c r="A1373" s="11" t="s">
        <v>2416</v>
      </c>
      <c r="B1373" s="10" t="s">
        <v>804</v>
      </c>
      <c r="C1373" s="10" t="s">
        <v>2041</v>
      </c>
      <c r="D1373" s="10" t="str">
        <f>VLOOKUP(C1373,Region!A:B,2,FALSE)</f>
        <v>Hyderabad</v>
      </c>
      <c r="E1373" s="10" t="s">
        <v>1427</v>
      </c>
      <c r="F1373" s="11" t="s">
        <v>814</v>
      </c>
      <c r="G1373" s="11" t="s">
        <v>2417</v>
      </c>
      <c r="H1373" s="10" t="s">
        <v>812</v>
      </c>
    </row>
    <row r="1374" spans="1:8" x14ac:dyDescent="0.25">
      <c r="A1374" s="11" t="s">
        <v>2337</v>
      </c>
      <c r="B1374" s="10" t="s">
        <v>804</v>
      </c>
      <c r="C1374" s="10" t="s">
        <v>2041</v>
      </c>
      <c r="D1374" s="10" t="str">
        <f>VLOOKUP(C1374,Region!A:B,2,FALSE)</f>
        <v>Hyderabad</v>
      </c>
      <c r="E1374" s="10" t="s">
        <v>1427</v>
      </c>
      <c r="F1374" s="11" t="s">
        <v>807</v>
      </c>
      <c r="G1374" s="11" t="s">
        <v>2338</v>
      </c>
      <c r="H1374" s="10" t="s">
        <v>809</v>
      </c>
    </row>
    <row r="1375" spans="1:8" x14ac:dyDescent="0.25">
      <c r="A1375" s="11" t="s">
        <v>3199</v>
      </c>
      <c r="B1375" s="10" t="s">
        <v>1086</v>
      </c>
      <c r="C1375" s="10" t="s">
        <v>2987</v>
      </c>
      <c r="D1375" s="10" t="str">
        <f>VLOOKUP(C1375,Region!A:B,2,FALSE)</f>
        <v>Noida</v>
      </c>
      <c r="E1375" s="10" t="s">
        <v>1427</v>
      </c>
      <c r="F1375" s="11" t="s">
        <v>823</v>
      </c>
      <c r="G1375" s="11" t="s">
        <v>3200</v>
      </c>
      <c r="H1375" s="10" t="s">
        <v>809</v>
      </c>
    </row>
    <row r="1376" spans="1:8" x14ac:dyDescent="0.25">
      <c r="A1376" s="11" t="s">
        <v>3339</v>
      </c>
      <c r="B1376" s="10" t="s">
        <v>1086</v>
      </c>
      <c r="C1376" s="10" t="s">
        <v>3273</v>
      </c>
      <c r="D1376" s="10" t="str">
        <f>VLOOKUP(C1376,Region!A:B,2,FALSE)</f>
        <v>Noida</v>
      </c>
      <c r="E1376" s="10" t="s">
        <v>806</v>
      </c>
      <c r="F1376" s="11" t="s">
        <v>811</v>
      </c>
      <c r="G1376" s="11" t="s">
        <v>3340</v>
      </c>
      <c r="H1376" s="10" t="s">
        <v>809</v>
      </c>
    </row>
    <row r="1377" spans="1:8" x14ac:dyDescent="0.25">
      <c r="A1377" s="11" t="s">
        <v>2339</v>
      </c>
      <c r="B1377" s="10" t="s">
        <v>804</v>
      </c>
      <c r="C1377" s="10" t="s">
        <v>2041</v>
      </c>
      <c r="D1377" s="10" t="str">
        <f>VLOOKUP(C1377,Region!A:B,2,FALSE)</f>
        <v>Hyderabad</v>
      </c>
      <c r="E1377" s="10" t="s">
        <v>1427</v>
      </c>
      <c r="F1377" s="11" t="s">
        <v>807</v>
      </c>
      <c r="G1377" s="11" t="s">
        <v>2340</v>
      </c>
      <c r="H1377" s="10" t="s">
        <v>809</v>
      </c>
    </row>
    <row r="1378" spans="1:8" x14ac:dyDescent="0.25">
      <c r="A1378" s="11" t="s">
        <v>2840</v>
      </c>
      <c r="B1378" s="10" t="s">
        <v>804</v>
      </c>
      <c r="C1378" s="10" t="s">
        <v>2752</v>
      </c>
      <c r="D1378" s="10" t="str">
        <f>VLOOKUP(C1378,Region!A:B,2,FALSE)</f>
        <v>Noida</v>
      </c>
      <c r="E1378" s="10" t="s">
        <v>806</v>
      </c>
      <c r="F1378" s="11" t="s">
        <v>811</v>
      </c>
      <c r="G1378" s="11" t="s">
        <v>2841</v>
      </c>
      <c r="H1378" s="10" t="s">
        <v>812</v>
      </c>
    </row>
    <row r="1379" spans="1:8" x14ac:dyDescent="0.25">
      <c r="A1379" s="11" t="s">
        <v>2728</v>
      </c>
      <c r="B1379" s="10" t="s">
        <v>804</v>
      </c>
      <c r="C1379" s="10" t="s">
        <v>2518</v>
      </c>
      <c r="D1379" s="10" t="str">
        <f>VLOOKUP(C1379,Region!A:B,2,FALSE)</f>
        <v>Noida</v>
      </c>
      <c r="E1379" s="10" t="s">
        <v>1427</v>
      </c>
      <c r="F1379" s="11" t="s">
        <v>823</v>
      </c>
      <c r="G1379" s="11" t="s">
        <v>2729</v>
      </c>
      <c r="H1379" s="10" t="s">
        <v>812</v>
      </c>
    </row>
    <row r="1380" spans="1:8" x14ac:dyDescent="0.25">
      <c r="A1380" s="11" t="s">
        <v>912</v>
      </c>
      <c r="B1380" s="10" t="s">
        <v>804</v>
      </c>
      <c r="C1380" s="10" t="s">
        <v>805</v>
      </c>
      <c r="D1380" s="10" t="str">
        <f>VLOOKUP(C1380,Region!A:B,2,FALSE)</f>
        <v>Noida</v>
      </c>
      <c r="E1380" s="10" t="s">
        <v>806</v>
      </c>
      <c r="F1380" s="11" t="s">
        <v>823</v>
      </c>
      <c r="G1380" s="11" t="s">
        <v>913</v>
      </c>
      <c r="H1380" s="10" t="s">
        <v>809</v>
      </c>
    </row>
    <row r="1381" spans="1:8" x14ac:dyDescent="0.25">
      <c r="A1381" s="11" t="s">
        <v>2709</v>
      </c>
      <c r="B1381" s="10" t="s">
        <v>804</v>
      </c>
      <c r="C1381" s="10" t="s">
        <v>2518</v>
      </c>
      <c r="D1381" s="10" t="str">
        <f>VLOOKUP(C1381,Region!A:B,2,FALSE)</f>
        <v>Noida</v>
      </c>
      <c r="E1381" s="10" t="s">
        <v>1427</v>
      </c>
      <c r="F1381" s="11" t="s">
        <v>807</v>
      </c>
      <c r="G1381" s="11" t="s">
        <v>153</v>
      </c>
      <c r="H1381" s="10" t="s">
        <v>812</v>
      </c>
    </row>
    <row r="1382" spans="1:8" x14ac:dyDescent="0.25">
      <c r="A1382" s="11" t="s">
        <v>2922</v>
      </c>
      <c r="B1382" s="10" t="s">
        <v>804</v>
      </c>
      <c r="C1382" s="10" t="s">
        <v>2752</v>
      </c>
      <c r="D1382" s="10" t="str">
        <f>VLOOKUP(C1382,Region!A:B,2,FALSE)</f>
        <v>Noida</v>
      </c>
      <c r="E1382" s="10" t="s">
        <v>806</v>
      </c>
      <c r="F1382" s="11" t="s">
        <v>814</v>
      </c>
      <c r="G1382" s="11" t="s">
        <v>2923</v>
      </c>
      <c r="H1382" s="10" t="s">
        <v>812</v>
      </c>
    </row>
    <row r="1383" spans="1:8" x14ac:dyDescent="0.25">
      <c r="A1383" s="11" t="s">
        <v>2842</v>
      </c>
      <c r="B1383" s="10" t="s">
        <v>804</v>
      </c>
      <c r="C1383" s="10" t="s">
        <v>2752</v>
      </c>
      <c r="D1383" s="10" t="str">
        <f>VLOOKUP(C1383,Region!A:B,2,FALSE)</f>
        <v>Noida</v>
      </c>
      <c r="E1383" s="10" t="s">
        <v>806</v>
      </c>
      <c r="F1383" s="11" t="s">
        <v>811</v>
      </c>
      <c r="G1383" s="11" t="s">
        <v>2843</v>
      </c>
      <c r="H1383" s="10" t="s">
        <v>812</v>
      </c>
    </row>
    <row r="1384" spans="1:8" x14ac:dyDescent="0.25">
      <c r="A1384" s="11" t="s">
        <v>3277</v>
      </c>
      <c r="B1384" s="10" t="s">
        <v>1086</v>
      </c>
      <c r="C1384" s="10" t="s">
        <v>3273</v>
      </c>
      <c r="D1384" s="10" t="str">
        <f>VLOOKUP(C1384,Region!A:B,2,FALSE)</f>
        <v>Noida</v>
      </c>
      <c r="E1384" s="10" t="s">
        <v>806</v>
      </c>
      <c r="F1384" s="11" t="s">
        <v>834</v>
      </c>
      <c r="G1384" s="11" t="s">
        <v>3278</v>
      </c>
      <c r="H1384" s="10" t="s">
        <v>809</v>
      </c>
    </row>
    <row r="1385" spans="1:8" x14ac:dyDescent="0.25">
      <c r="A1385" s="11" t="s">
        <v>3442</v>
      </c>
      <c r="B1385" s="10" t="s">
        <v>1086</v>
      </c>
      <c r="C1385" s="10" t="s">
        <v>3273</v>
      </c>
      <c r="D1385" s="10" t="str">
        <f>VLOOKUP(C1385,Region!A:B,2,FALSE)</f>
        <v>Noida</v>
      </c>
      <c r="E1385" s="10" t="s">
        <v>806</v>
      </c>
      <c r="F1385" s="11" t="s">
        <v>811</v>
      </c>
      <c r="G1385" s="11" t="s">
        <v>3443</v>
      </c>
      <c r="H1385" s="10" t="s">
        <v>809</v>
      </c>
    </row>
    <row r="1386" spans="1:8" x14ac:dyDescent="0.25">
      <c r="A1386" s="11" t="s">
        <v>2632</v>
      </c>
      <c r="B1386" s="10" t="s">
        <v>804</v>
      </c>
      <c r="C1386" s="10" t="s">
        <v>2518</v>
      </c>
      <c r="D1386" s="10" t="str">
        <f>VLOOKUP(C1386,Region!A:B,2,FALSE)</f>
        <v>Noida</v>
      </c>
      <c r="E1386" s="10" t="s">
        <v>1427</v>
      </c>
      <c r="F1386" s="11" t="s">
        <v>814</v>
      </c>
      <c r="G1386" s="11" t="s">
        <v>2633</v>
      </c>
      <c r="H1386" s="10" t="s">
        <v>809</v>
      </c>
    </row>
    <row r="1387" spans="1:8" x14ac:dyDescent="0.25">
      <c r="A1387" s="11" t="s">
        <v>914</v>
      </c>
      <c r="B1387" s="10" t="s">
        <v>804</v>
      </c>
      <c r="C1387" s="10" t="s">
        <v>805</v>
      </c>
      <c r="D1387" s="10" t="str">
        <f>VLOOKUP(C1387,Region!A:B,2,FALSE)</f>
        <v>Noida</v>
      </c>
      <c r="E1387" s="10" t="s">
        <v>806</v>
      </c>
      <c r="F1387" s="11" t="s">
        <v>823</v>
      </c>
      <c r="G1387" s="11" t="s">
        <v>915</v>
      </c>
      <c r="H1387" s="10" t="s">
        <v>809</v>
      </c>
    </row>
    <row r="1388" spans="1:8" x14ac:dyDescent="0.25">
      <c r="A1388" s="11" t="s">
        <v>2252</v>
      </c>
      <c r="B1388" s="10" t="s">
        <v>804</v>
      </c>
      <c r="C1388" s="10" t="s">
        <v>2041</v>
      </c>
      <c r="D1388" s="10" t="str">
        <f>VLOOKUP(C1388,Region!A:B,2,FALSE)</f>
        <v>Hyderabad</v>
      </c>
      <c r="E1388" s="10" t="s">
        <v>1427</v>
      </c>
      <c r="F1388" s="11" t="s">
        <v>811</v>
      </c>
      <c r="G1388" s="11" t="s">
        <v>2253</v>
      </c>
      <c r="H1388" s="10" t="s">
        <v>809</v>
      </c>
    </row>
    <row r="1389" spans="1:8" x14ac:dyDescent="0.25">
      <c r="A1389" s="11" t="s">
        <v>3203</v>
      </c>
      <c r="B1389" s="10" t="s">
        <v>1086</v>
      </c>
      <c r="C1389" s="10" t="s">
        <v>2987</v>
      </c>
      <c r="D1389" s="10" t="str">
        <f>VLOOKUP(C1389,Region!A:B,2,FALSE)</f>
        <v>Noida</v>
      </c>
      <c r="E1389" s="10" t="s">
        <v>1427</v>
      </c>
      <c r="F1389" s="11" t="s">
        <v>823</v>
      </c>
      <c r="G1389" s="11" t="s">
        <v>3204</v>
      </c>
      <c r="H1389" s="10" t="s">
        <v>809</v>
      </c>
    </row>
    <row r="1390" spans="1:8" x14ac:dyDescent="0.25">
      <c r="A1390" s="11" t="s">
        <v>2254</v>
      </c>
      <c r="B1390" s="10" t="s">
        <v>804</v>
      </c>
      <c r="C1390" s="10" t="s">
        <v>2041</v>
      </c>
      <c r="D1390" s="10" t="str">
        <f>VLOOKUP(C1390,Region!A:B,2,FALSE)</f>
        <v>Hyderabad</v>
      </c>
      <c r="E1390" s="10" t="s">
        <v>1427</v>
      </c>
      <c r="F1390" s="11" t="s">
        <v>811</v>
      </c>
      <c r="G1390" s="11" t="s">
        <v>443</v>
      </c>
      <c r="H1390" s="10" t="s">
        <v>812</v>
      </c>
    </row>
    <row r="1391" spans="1:8" x14ac:dyDescent="0.25">
      <c r="A1391" s="11" t="s">
        <v>3362</v>
      </c>
      <c r="B1391" s="10" t="s">
        <v>1086</v>
      </c>
      <c r="C1391" s="10" t="s">
        <v>3273</v>
      </c>
      <c r="D1391" s="10" t="str">
        <f>VLOOKUP(C1391,Region!A:B,2,FALSE)</f>
        <v>Noida</v>
      </c>
      <c r="E1391" s="10" t="s">
        <v>806</v>
      </c>
      <c r="F1391" s="11" t="s">
        <v>823</v>
      </c>
      <c r="G1391" s="11" t="s">
        <v>3363</v>
      </c>
      <c r="H1391" s="10" t="s">
        <v>812</v>
      </c>
    </row>
    <row r="1392" spans="1:8" x14ac:dyDescent="0.25">
      <c r="A1392" s="11" t="s">
        <v>2610</v>
      </c>
      <c r="B1392" s="10" t="s">
        <v>804</v>
      </c>
      <c r="C1392" s="10" t="s">
        <v>2518</v>
      </c>
      <c r="D1392" s="10" t="str">
        <f>VLOOKUP(C1392,Region!A:B,2,FALSE)</f>
        <v>Noida</v>
      </c>
      <c r="E1392" s="10" t="s">
        <v>1427</v>
      </c>
      <c r="F1392" s="11" t="s">
        <v>811</v>
      </c>
      <c r="G1392" s="11" t="s">
        <v>2611</v>
      </c>
      <c r="H1392" s="10" t="s">
        <v>812</v>
      </c>
    </row>
    <row r="1393" spans="1:8" x14ac:dyDescent="0.25">
      <c r="A1393" s="11" t="s">
        <v>3197</v>
      </c>
      <c r="B1393" s="10" t="s">
        <v>1086</v>
      </c>
      <c r="C1393" s="10" t="s">
        <v>2987</v>
      </c>
      <c r="D1393" s="10" t="str">
        <f>VLOOKUP(C1393,Region!A:B,2,FALSE)</f>
        <v>Noida</v>
      </c>
      <c r="E1393" s="10" t="s">
        <v>1427</v>
      </c>
      <c r="F1393" s="11" t="s">
        <v>823</v>
      </c>
      <c r="G1393" s="11" t="s">
        <v>3198</v>
      </c>
      <c r="H1393" s="10" t="s">
        <v>812</v>
      </c>
    </row>
    <row r="1394" spans="1:8" x14ac:dyDescent="0.25">
      <c r="A1394" s="11" t="s">
        <v>2022</v>
      </c>
      <c r="B1394" s="10" t="s">
        <v>1086</v>
      </c>
      <c r="C1394" s="10" t="s">
        <v>1635</v>
      </c>
      <c r="D1394" s="10" t="str">
        <f>VLOOKUP(C1394,Region!A:B,2,FALSE)</f>
        <v>MBC US</v>
      </c>
      <c r="E1394" s="10" t="s">
        <v>806</v>
      </c>
      <c r="F1394" s="11" t="s">
        <v>807</v>
      </c>
      <c r="G1394" s="11" t="s">
        <v>2023</v>
      </c>
      <c r="H1394" s="10" t="s">
        <v>809</v>
      </c>
    </row>
    <row r="1395" spans="1:8" x14ac:dyDescent="0.25">
      <c r="A1395" s="11" t="s">
        <v>3195</v>
      </c>
      <c r="B1395" s="10" t="s">
        <v>1086</v>
      </c>
      <c r="C1395" s="10" t="s">
        <v>2987</v>
      </c>
      <c r="D1395" s="10" t="str">
        <f>VLOOKUP(C1395,Region!A:B,2,FALSE)</f>
        <v>Noida</v>
      </c>
      <c r="E1395" s="10" t="s">
        <v>1427</v>
      </c>
      <c r="F1395" s="11" t="s">
        <v>823</v>
      </c>
      <c r="G1395" s="11" t="s">
        <v>3196</v>
      </c>
      <c r="H1395" s="10" t="s">
        <v>809</v>
      </c>
    </row>
    <row r="1396" spans="1:8" x14ac:dyDescent="0.25">
      <c r="A1396" s="11" t="s">
        <v>2743</v>
      </c>
      <c r="B1396" s="10" t="s">
        <v>804</v>
      </c>
      <c r="C1396" s="10" t="s">
        <v>2518</v>
      </c>
      <c r="D1396" s="10" t="str">
        <f>VLOOKUP(C1396,Region!A:B,2,FALSE)</f>
        <v>Noida</v>
      </c>
      <c r="E1396" s="10" t="s">
        <v>1427</v>
      </c>
      <c r="F1396" s="11" t="s">
        <v>823</v>
      </c>
      <c r="G1396" s="11" t="s">
        <v>2744</v>
      </c>
      <c r="H1396" s="10" t="s">
        <v>809</v>
      </c>
    </row>
    <row r="1397" spans="1:8" x14ac:dyDescent="0.25">
      <c r="A1397" s="11" t="s">
        <v>882</v>
      </c>
      <c r="B1397" s="10" t="s">
        <v>804</v>
      </c>
      <c r="C1397" s="10" t="s">
        <v>805</v>
      </c>
      <c r="D1397" s="10" t="str">
        <f>VLOOKUP(C1397,Region!A:B,2,FALSE)</f>
        <v>Noida</v>
      </c>
      <c r="E1397" s="10" t="s">
        <v>806</v>
      </c>
      <c r="F1397" s="11" t="s">
        <v>807</v>
      </c>
      <c r="G1397" s="11" t="s">
        <v>883</v>
      </c>
      <c r="H1397" s="10" t="s">
        <v>809</v>
      </c>
    </row>
    <row r="1398" spans="1:8" x14ac:dyDescent="0.25">
      <c r="A1398" s="11" t="s">
        <v>2021</v>
      </c>
      <c r="B1398" s="10" t="s">
        <v>804</v>
      </c>
      <c r="C1398" s="10" t="s">
        <v>1635</v>
      </c>
      <c r="D1398" s="10" t="str">
        <f>VLOOKUP(C1398,Region!A:B,2,FALSE)</f>
        <v>MBC US</v>
      </c>
      <c r="E1398" s="10" t="s">
        <v>806</v>
      </c>
      <c r="F1398" s="11" t="s">
        <v>814</v>
      </c>
      <c r="G1398" s="11" t="s">
        <v>286</v>
      </c>
      <c r="H1398" s="10" t="s">
        <v>812</v>
      </c>
    </row>
    <row r="1399" spans="1:8" x14ac:dyDescent="0.25">
      <c r="A1399" s="11" t="s">
        <v>990</v>
      </c>
      <c r="B1399" s="10" t="s">
        <v>804</v>
      </c>
      <c r="C1399" s="10" t="s">
        <v>805</v>
      </c>
      <c r="D1399" s="10" t="str">
        <f>VLOOKUP(C1399,Region!A:B,2,FALSE)</f>
        <v>Noida</v>
      </c>
      <c r="E1399" s="10" t="s">
        <v>806</v>
      </c>
      <c r="F1399" s="11" t="s">
        <v>811</v>
      </c>
      <c r="G1399" s="11" t="s">
        <v>991</v>
      </c>
      <c r="H1399" s="10" t="s">
        <v>812</v>
      </c>
    </row>
    <row r="1400" spans="1:8" x14ac:dyDescent="0.25">
      <c r="A1400" s="11" t="s">
        <v>2341</v>
      </c>
      <c r="B1400" s="10" t="s">
        <v>804</v>
      </c>
      <c r="C1400" s="10" t="s">
        <v>2041</v>
      </c>
      <c r="D1400" s="10" t="str">
        <f>VLOOKUP(C1400,Region!A:B,2,FALSE)</f>
        <v>Hyderabad</v>
      </c>
      <c r="E1400" s="10" t="s">
        <v>1427</v>
      </c>
      <c r="F1400" s="11" t="s">
        <v>807</v>
      </c>
      <c r="G1400" s="11" t="s">
        <v>2342</v>
      </c>
      <c r="H1400" s="10" t="s">
        <v>809</v>
      </c>
    </row>
    <row r="1401" spans="1:8" x14ac:dyDescent="0.25">
      <c r="A1401" s="11" t="s">
        <v>2255</v>
      </c>
      <c r="B1401" s="10" t="s">
        <v>804</v>
      </c>
      <c r="C1401" s="10" t="s">
        <v>2041</v>
      </c>
      <c r="D1401" s="10" t="str">
        <f>VLOOKUP(C1401,Region!A:B,2,FALSE)</f>
        <v>Hyderabad</v>
      </c>
      <c r="E1401" s="10" t="s">
        <v>1427</v>
      </c>
      <c r="F1401" s="11" t="s">
        <v>811</v>
      </c>
      <c r="G1401" s="11" t="s">
        <v>2256</v>
      </c>
      <c r="H1401" s="10" t="s">
        <v>809</v>
      </c>
    </row>
    <row r="1402" spans="1:8" x14ac:dyDescent="0.25">
      <c r="A1402" s="11" t="s">
        <v>1629</v>
      </c>
      <c r="B1402" s="10" t="s">
        <v>1086</v>
      </c>
      <c r="C1402" s="10" t="s">
        <v>1426</v>
      </c>
      <c r="D1402" s="10" t="str">
        <f>VLOOKUP(C1402,Region!A:B,2,FALSE)</f>
        <v>Spain</v>
      </c>
      <c r="E1402" s="10" t="s">
        <v>1427</v>
      </c>
      <c r="F1402" s="11" t="s">
        <v>823</v>
      </c>
      <c r="G1402" s="11" t="s">
        <v>1630</v>
      </c>
      <c r="H1402" s="10" t="s">
        <v>809</v>
      </c>
    </row>
    <row r="1403" spans="1:8" x14ac:dyDescent="0.25">
      <c r="A1403" s="11" t="s">
        <v>2257</v>
      </c>
      <c r="B1403" s="10" t="s">
        <v>804</v>
      </c>
      <c r="C1403" s="10" t="s">
        <v>2041</v>
      </c>
      <c r="D1403" s="10" t="str">
        <f>VLOOKUP(C1403,Region!A:B,2,FALSE)</f>
        <v>Hyderabad</v>
      </c>
      <c r="E1403" s="10" t="s">
        <v>1427</v>
      </c>
      <c r="F1403" s="11" t="s">
        <v>811</v>
      </c>
      <c r="G1403" s="11" t="s">
        <v>2258</v>
      </c>
      <c r="H1403" s="10" t="s">
        <v>809</v>
      </c>
    </row>
    <row r="1404" spans="1:8" x14ac:dyDescent="0.25">
      <c r="A1404" s="11" t="s">
        <v>1022</v>
      </c>
      <c r="B1404" s="10" t="s">
        <v>804</v>
      </c>
      <c r="C1404" s="10" t="s">
        <v>805</v>
      </c>
      <c r="D1404" s="10" t="str">
        <f>VLOOKUP(C1404,Region!A:B,2,FALSE)</f>
        <v>Noida</v>
      </c>
      <c r="E1404" s="10" t="s">
        <v>806</v>
      </c>
      <c r="F1404" s="11" t="s">
        <v>814</v>
      </c>
      <c r="G1404" s="11" t="s">
        <v>1023</v>
      </c>
      <c r="H1404" s="10" t="s">
        <v>809</v>
      </c>
    </row>
    <row r="1405" spans="1:8" x14ac:dyDescent="0.25">
      <c r="A1405" s="11" t="s">
        <v>2024</v>
      </c>
      <c r="B1405" s="10" t="s">
        <v>804</v>
      </c>
      <c r="C1405" s="10" t="s">
        <v>1635</v>
      </c>
      <c r="D1405" s="10" t="str">
        <f>VLOOKUP(C1405,Region!A:B,2,FALSE)</f>
        <v>MBC US</v>
      </c>
      <c r="E1405" s="10" t="s">
        <v>806</v>
      </c>
      <c r="F1405" s="11" t="s">
        <v>814</v>
      </c>
      <c r="G1405" s="11" t="s">
        <v>2025</v>
      </c>
      <c r="H1405" s="10" t="s">
        <v>809</v>
      </c>
    </row>
    <row r="1406" spans="1:8" x14ac:dyDescent="0.25">
      <c r="A1406" s="11" t="s">
        <v>2612</v>
      </c>
      <c r="B1406" s="10" t="s">
        <v>804</v>
      </c>
      <c r="C1406" s="10" t="s">
        <v>2518</v>
      </c>
      <c r="D1406" s="10" t="str">
        <f>VLOOKUP(C1406,Region!A:B,2,FALSE)</f>
        <v>Noida</v>
      </c>
      <c r="E1406" s="10" t="s">
        <v>1427</v>
      </c>
      <c r="F1406" s="11" t="s">
        <v>811</v>
      </c>
      <c r="G1406" s="11" t="s">
        <v>301</v>
      </c>
      <c r="H1406" s="10" t="s">
        <v>812</v>
      </c>
    </row>
    <row r="1407" spans="1:8" x14ac:dyDescent="0.25">
      <c r="A1407" s="11" t="s">
        <v>3446</v>
      </c>
      <c r="B1407" s="10" t="s">
        <v>1086</v>
      </c>
      <c r="C1407" s="10" t="s">
        <v>3273</v>
      </c>
      <c r="D1407" s="10" t="str">
        <f>VLOOKUP(C1407,Region!A:B,2,FALSE)</f>
        <v>Noida</v>
      </c>
      <c r="E1407" s="10" t="s">
        <v>806</v>
      </c>
      <c r="F1407" s="11" t="s">
        <v>811</v>
      </c>
      <c r="G1407" s="11" t="s">
        <v>176</v>
      </c>
      <c r="H1407" s="10" t="s">
        <v>812</v>
      </c>
    </row>
    <row r="1408" spans="1:8" x14ac:dyDescent="0.25">
      <c r="A1408" s="11" t="s">
        <v>3190</v>
      </c>
      <c r="B1408" s="10" t="s">
        <v>1086</v>
      </c>
      <c r="C1408" s="10" t="s">
        <v>2987</v>
      </c>
      <c r="D1408" s="10" t="str">
        <f>VLOOKUP(C1408,Region!A:B,2,FALSE)</f>
        <v>Noida</v>
      </c>
      <c r="E1408" s="10" t="s">
        <v>1427</v>
      </c>
      <c r="F1408" s="11" t="s">
        <v>814</v>
      </c>
      <c r="G1408" s="11" t="s">
        <v>338</v>
      </c>
      <c r="H1408" s="10" t="s">
        <v>812</v>
      </c>
    </row>
    <row r="1409" spans="1:8" x14ac:dyDescent="0.25">
      <c r="A1409" s="11" t="s">
        <v>2962</v>
      </c>
      <c r="B1409" s="10" t="s">
        <v>804</v>
      </c>
      <c r="C1409" s="10" t="s">
        <v>2752</v>
      </c>
      <c r="D1409" s="10" t="str">
        <f>VLOOKUP(C1409,Region!A:B,2,FALSE)</f>
        <v>Noida</v>
      </c>
      <c r="E1409" s="10" t="s">
        <v>806</v>
      </c>
      <c r="F1409" s="11" t="s">
        <v>811</v>
      </c>
      <c r="G1409" s="11" t="s">
        <v>2963</v>
      </c>
      <c r="H1409" s="10" t="s">
        <v>812</v>
      </c>
    </row>
    <row r="1410" spans="1:8" x14ac:dyDescent="0.25">
      <c r="A1410" s="11" t="s">
        <v>1626</v>
      </c>
      <c r="B1410" s="10" t="s">
        <v>804</v>
      </c>
      <c r="C1410" s="10" t="s">
        <v>1426</v>
      </c>
      <c r="D1410" s="10" t="str">
        <f>VLOOKUP(C1410,Region!A:B,2,FALSE)</f>
        <v>Spain</v>
      </c>
      <c r="E1410" s="10" t="s">
        <v>1427</v>
      </c>
      <c r="F1410" s="11" t="s">
        <v>823</v>
      </c>
      <c r="G1410" s="11" t="s">
        <v>134</v>
      </c>
      <c r="H1410" s="10" t="s">
        <v>812</v>
      </c>
    </row>
    <row r="1411" spans="1:8" x14ac:dyDescent="0.25">
      <c r="A1411" s="11" t="s">
        <v>1094</v>
      </c>
      <c r="B1411" s="10" t="s">
        <v>1086</v>
      </c>
      <c r="C1411" s="10" t="s">
        <v>1087</v>
      </c>
      <c r="D1411" s="10" t="str">
        <f>VLOOKUP(C1411,Region!A:B,2,FALSE)</f>
        <v>Hyderabad</v>
      </c>
      <c r="E1411" s="10" t="s">
        <v>806</v>
      </c>
      <c r="F1411" s="11" t="s">
        <v>814</v>
      </c>
      <c r="G1411" s="11" t="s">
        <v>1095</v>
      </c>
      <c r="H1411" s="10" t="s">
        <v>812</v>
      </c>
    </row>
    <row r="1412" spans="1:8" x14ac:dyDescent="0.25">
      <c r="A1412" s="11" t="s">
        <v>1625</v>
      </c>
      <c r="B1412" s="10" t="s">
        <v>1086</v>
      </c>
      <c r="C1412" s="10" t="s">
        <v>1426</v>
      </c>
      <c r="D1412" s="10" t="str">
        <f>VLOOKUP(C1412,Region!A:B,2,FALSE)</f>
        <v>Spain</v>
      </c>
      <c r="E1412" s="10" t="s">
        <v>1427</v>
      </c>
      <c r="F1412" s="11" t="s">
        <v>823</v>
      </c>
      <c r="G1412" s="11" t="s">
        <v>576</v>
      </c>
      <c r="H1412" s="10" t="s">
        <v>812</v>
      </c>
    </row>
    <row r="1413" spans="1:8" x14ac:dyDescent="0.25">
      <c r="A1413" s="11" t="s">
        <v>2259</v>
      </c>
      <c r="B1413" s="10" t="s">
        <v>804</v>
      </c>
      <c r="C1413" s="10" t="s">
        <v>2041</v>
      </c>
      <c r="D1413" s="10" t="str">
        <f>VLOOKUP(C1413,Region!A:B,2,FALSE)</f>
        <v>Hyderabad</v>
      </c>
      <c r="E1413" s="10" t="s">
        <v>1427</v>
      </c>
      <c r="F1413" s="11" t="s">
        <v>811</v>
      </c>
      <c r="G1413" s="11" t="s">
        <v>2260</v>
      </c>
      <c r="H1413" s="10" t="s">
        <v>809</v>
      </c>
    </row>
    <row r="1414" spans="1:8" x14ac:dyDescent="0.25">
      <c r="A1414" s="11" t="s">
        <v>2889</v>
      </c>
      <c r="B1414" s="10" t="s">
        <v>804</v>
      </c>
      <c r="C1414" s="10" t="s">
        <v>2752</v>
      </c>
      <c r="D1414" s="10" t="str">
        <f>VLOOKUP(C1414,Region!A:B,2,FALSE)</f>
        <v>Noida</v>
      </c>
      <c r="E1414" s="10" t="s">
        <v>806</v>
      </c>
      <c r="F1414" s="11" t="s">
        <v>811</v>
      </c>
      <c r="G1414" s="11" t="s">
        <v>2890</v>
      </c>
      <c r="H1414" s="10" t="s">
        <v>812</v>
      </c>
    </row>
    <row r="1415" spans="1:8" x14ac:dyDescent="0.25">
      <c r="A1415" s="11" t="s">
        <v>3201</v>
      </c>
      <c r="B1415" s="10" t="s">
        <v>1086</v>
      </c>
      <c r="C1415" s="10" t="s">
        <v>2987</v>
      </c>
      <c r="D1415" s="10" t="str">
        <f>VLOOKUP(C1415,Region!A:B,2,FALSE)</f>
        <v>Noida</v>
      </c>
      <c r="E1415" s="10" t="s">
        <v>1427</v>
      </c>
      <c r="F1415" s="11" t="s">
        <v>823</v>
      </c>
      <c r="G1415" s="11" t="s">
        <v>3202</v>
      </c>
      <c r="H1415" s="10" t="s">
        <v>812</v>
      </c>
    </row>
    <row r="1416" spans="1:8" x14ac:dyDescent="0.25">
      <c r="A1416" s="11" t="s">
        <v>2710</v>
      </c>
      <c r="B1416" s="10" t="s">
        <v>804</v>
      </c>
      <c r="C1416" s="10" t="s">
        <v>2518</v>
      </c>
      <c r="D1416" s="10" t="str">
        <f>VLOOKUP(C1416,Region!A:B,2,FALSE)</f>
        <v>Noida</v>
      </c>
      <c r="E1416" s="10" t="s">
        <v>1427</v>
      </c>
      <c r="F1416" s="11" t="s">
        <v>807</v>
      </c>
      <c r="G1416" s="11" t="s">
        <v>2711</v>
      </c>
      <c r="H1416" s="10" t="s">
        <v>809</v>
      </c>
    </row>
    <row r="1417" spans="1:8" x14ac:dyDescent="0.25">
      <c r="A1417" s="11" t="s">
        <v>2343</v>
      </c>
      <c r="B1417" s="10" t="s">
        <v>804</v>
      </c>
      <c r="C1417" s="10" t="s">
        <v>2041</v>
      </c>
      <c r="D1417" s="10" t="str">
        <f>VLOOKUP(C1417,Region!A:B,2,FALSE)</f>
        <v>Hyderabad</v>
      </c>
      <c r="E1417" s="10" t="s">
        <v>1427</v>
      </c>
      <c r="F1417" s="11" t="s">
        <v>807</v>
      </c>
      <c r="G1417" s="11" t="s">
        <v>418</v>
      </c>
      <c r="H1417" s="10" t="s">
        <v>812</v>
      </c>
    </row>
    <row r="1418" spans="1:8" x14ac:dyDescent="0.25">
      <c r="A1418" s="11" t="s">
        <v>3264</v>
      </c>
      <c r="B1418" s="10" t="s">
        <v>1086</v>
      </c>
      <c r="C1418" s="10" t="s">
        <v>2987</v>
      </c>
      <c r="D1418" s="10" t="str">
        <f>VLOOKUP(C1418,Region!A:B,2,FALSE)</f>
        <v>Noida</v>
      </c>
      <c r="E1418" s="10" t="s">
        <v>1427</v>
      </c>
      <c r="F1418" s="11" t="s">
        <v>823</v>
      </c>
      <c r="G1418" s="11" t="s">
        <v>3265</v>
      </c>
      <c r="H1418" s="10" t="s">
        <v>809</v>
      </c>
    </row>
    <row r="1419" spans="1:8" x14ac:dyDescent="0.25">
      <c r="A1419" s="11" t="s">
        <v>2150</v>
      </c>
      <c r="B1419" s="10" t="s">
        <v>804</v>
      </c>
      <c r="C1419" s="10" t="s">
        <v>2041</v>
      </c>
      <c r="D1419" s="10" t="str">
        <f>VLOOKUP(C1419,Region!A:B,2,FALSE)</f>
        <v>Hyderabad</v>
      </c>
      <c r="E1419" s="10" t="s">
        <v>1427</v>
      </c>
      <c r="F1419" s="11" t="s">
        <v>814</v>
      </c>
      <c r="G1419" s="11" t="s">
        <v>2151</v>
      </c>
      <c r="H1419" s="10" t="s">
        <v>809</v>
      </c>
    </row>
    <row r="1420" spans="1:8" x14ac:dyDescent="0.25">
      <c r="A1420" s="11" t="s">
        <v>2469</v>
      </c>
      <c r="B1420" s="10" t="s">
        <v>804</v>
      </c>
      <c r="C1420" s="10" t="s">
        <v>2041</v>
      </c>
      <c r="D1420" s="10" t="str">
        <f>VLOOKUP(C1420,Region!A:B,2,FALSE)</f>
        <v>Hyderabad</v>
      </c>
      <c r="E1420" s="10" t="s">
        <v>1427</v>
      </c>
      <c r="F1420" s="11" t="s">
        <v>811</v>
      </c>
      <c r="G1420" s="11" t="s">
        <v>2470</v>
      </c>
      <c r="H1420" s="10" t="s">
        <v>809</v>
      </c>
    </row>
    <row r="1421" spans="1:8" x14ac:dyDescent="0.25">
      <c r="A1421" s="11" t="s">
        <v>2508</v>
      </c>
      <c r="B1421" s="10" t="s">
        <v>804</v>
      </c>
      <c r="C1421" s="10" t="s">
        <v>2041</v>
      </c>
      <c r="D1421" s="10" t="str">
        <f>VLOOKUP(C1421,Region!A:B,2,FALSE)</f>
        <v>Hyderabad</v>
      </c>
      <c r="E1421" s="10" t="s">
        <v>1427</v>
      </c>
      <c r="F1421" s="11" t="s">
        <v>811</v>
      </c>
      <c r="G1421" s="11" t="s">
        <v>2509</v>
      </c>
      <c r="H1421" s="10" t="s">
        <v>809</v>
      </c>
    </row>
    <row r="1422" spans="1:8" x14ac:dyDescent="0.25">
      <c r="A1422" s="11" t="s">
        <v>3283</v>
      </c>
      <c r="B1422" s="10" t="s">
        <v>1086</v>
      </c>
      <c r="C1422" s="10" t="s">
        <v>3273</v>
      </c>
      <c r="D1422" s="10" t="str">
        <f>VLOOKUP(C1422,Region!A:B,2,FALSE)</f>
        <v>Noida</v>
      </c>
      <c r="E1422" s="10" t="s">
        <v>806</v>
      </c>
      <c r="F1422" s="11" t="s">
        <v>807</v>
      </c>
      <c r="G1422" s="11" t="s">
        <v>3284</v>
      </c>
      <c r="H1422" s="10" t="s">
        <v>809</v>
      </c>
    </row>
    <row r="1423" spans="1:8" x14ac:dyDescent="0.25">
      <c r="A1423" s="11" t="s">
        <v>2261</v>
      </c>
      <c r="B1423" s="10" t="s">
        <v>804</v>
      </c>
      <c r="C1423" s="10" t="s">
        <v>2041</v>
      </c>
      <c r="D1423" s="10" t="str">
        <f>VLOOKUP(C1423,Region!A:B,2,FALSE)</f>
        <v>Hyderabad</v>
      </c>
      <c r="E1423" s="10" t="s">
        <v>1427</v>
      </c>
      <c r="F1423" s="11" t="s">
        <v>811</v>
      </c>
      <c r="G1423" s="11" t="s">
        <v>2262</v>
      </c>
      <c r="H1423" s="10" t="s">
        <v>809</v>
      </c>
    </row>
    <row r="1424" spans="1:8" x14ac:dyDescent="0.25">
      <c r="A1424" s="11" t="s">
        <v>2344</v>
      </c>
      <c r="B1424" s="10" t="s">
        <v>804</v>
      </c>
      <c r="C1424" s="10" t="s">
        <v>2041</v>
      </c>
      <c r="D1424" s="10" t="str">
        <f>VLOOKUP(C1424,Region!A:B,2,FALSE)</f>
        <v>Hyderabad</v>
      </c>
      <c r="E1424" s="10" t="s">
        <v>1427</v>
      </c>
      <c r="F1424" s="11" t="s">
        <v>807</v>
      </c>
      <c r="G1424" s="11" t="s">
        <v>2345</v>
      </c>
      <c r="H1424" s="10" t="s">
        <v>809</v>
      </c>
    </row>
    <row r="1425" spans="1:8" x14ac:dyDescent="0.25">
      <c r="A1425" s="11" t="s">
        <v>3438</v>
      </c>
      <c r="B1425" s="10" t="s">
        <v>1086</v>
      </c>
      <c r="C1425" s="10" t="s">
        <v>3273</v>
      </c>
      <c r="D1425" s="10" t="str">
        <f>VLOOKUP(C1425,Region!A:B,2,FALSE)</f>
        <v>Noida</v>
      </c>
      <c r="E1425" s="10" t="s">
        <v>806</v>
      </c>
      <c r="F1425" s="11" t="s">
        <v>811</v>
      </c>
      <c r="G1425" s="11" t="s">
        <v>3439</v>
      </c>
      <c r="H1425" s="10" t="s">
        <v>809</v>
      </c>
    </row>
    <row r="1426" spans="1:8" x14ac:dyDescent="0.25">
      <c r="A1426" s="11" t="s">
        <v>2263</v>
      </c>
      <c r="B1426" s="10" t="s">
        <v>804</v>
      </c>
      <c r="C1426" s="10" t="s">
        <v>2041</v>
      </c>
      <c r="D1426" s="10" t="str">
        <f>VLOOKUP(C1426,Region!A:B,2,FALSE)</f>
        <v>Hyderabad</v>
      </c>
      <c r="E1426" s="10" t="s">
        <v>1427</v>
      </c>
      <c r="F1426" s="11" t="s">
        <v>811</v>
      </c>
      <c r="G1426" s="11" t="s">
        <v>2264</v>
      </c>
      <c r="H1426" s="10" t="s">
        <v>809</v>
      </c>
    </row>
    <row r="1427" spans="1:8" x14ac:dyDescent="0.25">
      <c r="A1427" s="11" t="s">
        <v>3387</v>
      </c>
      <c r="B1427" s="10" t="s">
        <v>1086</v>
      </c>
      <c r="C1427" s="10" t="s">
        <v>3273</v>
      </c>
      <c r="D1427" s="10" t="str">
        <f>VLOOKUP(C1427,Region!A:B,2,FALSE)</f>
        <v>Noida</v>
      </c>
      <c r="E1427" s="10" t="s">
        <v>806</v>
      </c>
      <c r="F1427" s="11" t="s">
        <v>814</v>
      </c>
      <c r="G1427" s="11" t="s">
        <v>3388</v>
      </c>
      <c r="H1427" s="10" t="s">
        <v>809</v>
      </c>
    </row>
    <row r="1428" spans="1:8" x14ac:dyDescent="0.25">
      <c r="A1428" s="11" t="s">
        <v>2455</v>
      </c>
      <c r="B1428" s="10" t="s">
        <v>804</v>
      </c>
      <c r="C1428" s="10" t="s">
        <v>2041</v>
      </c>
      <c r="D1428" s="10" t="str">
        <f>VLOOKUP(C1428,Region!A:B,2,FALSE)</f>
        <v>Hyderabad</v>
      </c>
      <c r="E1428" s="10" t="s">
        <v>1427</v>
      </c>
      <c r="F1428" s="11" t="s">
        <v>814</v>
      </c>
      <c r="G1428" s="11" t="s">
        <v>2456</v>
      </c>
      <c r="H1428" s="10" t="s">
        <v>809</v>
      </c>
    </row>
    <row r="1429" spans="1:8" x14ac:dyDescent="0.25">
      <c r="A1429" s="11" t="s">
        <v>3451</v>
      </c>
      <c r="B1429" s="10" t="s">
        <v>1086</v>
      </c>
      <c r="C1429" s="10" t="s">
        <v>3273</v>
      </c>
      <c r="D1429" s="10" t="str">
        <f>VLOOKUP(C1429,Region!A:B,2,FALSE)</f>
        <v>Noida</v>
      </c>
      <c r="E1429" s="10" t="s">
        <v>806</v>
      </c>
      <c r="F1429" s="11" t="s">
        <v>814</v>
      </c>
      <c r="G1429" s="11" t="s">
        <v>3452</v>
      </c>
      <c r="H1429" s="10" t="s">
        <v>809</v>
      </c>
    </row>
    <row r="1430" spans="1:8" x14ac:dyDescent="0.25">
      <c r="A1430" s="11" t="s">
        <v>1347</v>
      </c>
      <c r="B1430" s="10" t="s">
        <v>1086</v>
      </c>
      <c r="C1430" s="10" t="s">
        <v>1087</v>
      </c>
      <c r="D1430" s="10" t="str">
        <f>VLOOKUP(C1430,Region!A:B,2,FALSE)</f>
        <v>Hyderabad</v>
      </c>
      <c r="E1430" s="10" t="s">
        <v>806</v>
      </c>
      <c r="F1430" s="11" t="s">
        <v>811</v>
      </c>
      <c r="G1430" s="11" t="s">
        <v>1348</v>
      </c>
      <c r="H1430" s="10" t="s">
        <v>809</v>
      </c>
    </row>
    <row r="1431" spans="1:8" x14ac:dyDescent="0.25">
      <c r="A1431" s="11" t="s">
        <v>936</v>
      </c>
      <c r="B1431" s="10" t="s">
        <v>804</v>
      </c>
      <c r="C1431" s="10" t="s">
        <v>805</v>
      </c>
      <c r="D1431" s="10" t="str">
        <f>VLOOKUP(C1431,Region!A:B,2,FALSE)</f>
        <v>Noida</v>
      </c>
      <c r="E1431" s="10" t="s">
        <v>806</v>
      </c>
      <c r="F1431" s="11" t="s">
        <v>823</v>
      </c>
      <c r="G1431" s="11" t="s">
        <v>937</v>
      </c>
      <c r="H1431" s="10" t="s">
        <v>809</v>
      </c>
    </row>
    <row r="1432" spans="1:8" x14ac:dyDescent="0.25">
      <c r="A1432" s="11" t="s">
        <v>3268</v>
      </c>
      <c r="B1432" s="10" t="s">
        <v>1086</v>
      </c>
      <c r="C1432" s="10" t="s">
        <v>2987</v>
      </c>
      <c r="D1432" s="10" t="str">
        <f>VLOOKUP(C1432,Region!A:B,2,FALSE)</f>
        <v>Noida</v>
      </c>
      <c r="E1432" s="10" t="s">
        <v>1427</v>
      </c>
      <c r="F1432" s="11" t="s">
        <v>823</v>
      </c>
      <c r="G1432" s="11" t="s">
        <v>3269</v>
      </c>
      <c r="H1432" s="10" t="s">
        <v>809</v>
      </c>
    </row>
    <row r="1433" spans="1:8" x14ac:dyDescent="0.25">
      <c r="A1433" s="11" t="s">
        <v>2094</v>
      </c>
      <c r="B1433" s="10" t="s">
        <v>804</v>
      </c>
      <c r="C1433" s="10" t="s">
        <v>2041</v>
      </c>
      <c r="D1433" s="10" t="str">
        <f>VLOOKUP(C1433,Region!A:B,2,FALSE)</f>
        <v>Hyderabad</v>
      </c>
      <c r="E1433" s="10" t="s">
        <v>1427</v>
      </c>
      <c r="F1433" s="11" t="s">
        <v>814</v>
      </c>
      <c r="G1433" s="11" t="s">
        <v>2095</v>
      </c>
      <c r="H1433" s="10" t="s">
        <v>809</v>
      </c>
    </row>
    <row r="1434" spans="1:8" x14ac:dyDescent="0.25">
      <c r="A1434" s="11" t="s">
        <v>2681</v>
      </c>
      <c r="B1434" s="10" t="s">
        <v>804</v>
      </c>
      <c r="C1434" s="10" t="s">
        <v>2518</v>
      </c>
      <c r="D1434" s="10" t="str">
        <f>VLOOKUP(C1434,Region!A:B,2,FALSE)</f>
        <v>Noida</v>
      </c>
      <c r="E1434" s="10" t="s">
        <v>1427</v>
      </c>
      <c r="F1434" s="11" t="s">
        <v>807</v>
      </c>
      <c r="G1434" s="11" t="s">
        <v>606</v>
      </c>
      <c r="H1434" s="10" t="s">
        <v>812</v>
      </c>
    </row>
    <row r="1435" spans="1:8" x14ac:dyDescent="0.25">
      <c r="A1435" s="11" t="s">
        <v>2782</v>
      </c>
      <c r="B1435" s="10" t="s">
        <v>804</v>
      </c>
      <c r="C1435" s="10" t="s">
        <v>2752</v>
      </c>
      <c r="D1435" s="10" t="str">
        <f>VLOOKUP(C1435,Region!A:B,2,FALSE)</f>
        <v>Noida</v>
      </c>
      <c r="E1435" s="10" t="s">
        <v>806</v>
      </c>
      <c r="F1435" s="11" t="s">
        <v>814</v>
      </c>
      <c r="G1435" s="11" t="s">
        <v>2783</v>
      </c>
      <c r="H1435" s="10" t="s">
        <v>812</v>
      </c>
    </row>
    <row r="1436" spans="1:8" x14ac:dyDescent="0.25">
      <c r="A1436" s="11" t="s">
        <v>3381</v>
      </c>
      <c r="B1436" s="10" t="s">
        <v>1086</v>
      </c>
      <c r="C1436" s="10" t="s">
        <v>3273</v>
      </c>
      <c r="D1436" s="10" t="str">
        <f>VLOOKUP(C1436,Region!A:B,2,FALSE)</f>
        <v>Noida</v>
      </c>
      <c r="E1436" s="10" t="s">
        <v>806</v>
      </c>
      <c r="F1436" s="11" t="s">
        <v>823</v>
      </c>
      <c r="G1436" s="11" t="s">
        <v>625</v>
      </c>
      <c r="H1436" s="10" t="s">
        <v>812</v>
      </c>
    </row>
    <row r="1437" spans="1:8" x14ac:dyDescent="0.25">
      <c r="A1437" s="11" t="s">
        <v>2634</v>
      </c>
      <c r="B1437" s="10" t="s">
        <v>804</v>
      </c>
      <c r="C1437" s="10" t="s">
        <v>2518</v>
      </c>
      <c r="D1437" s="10" t="str">
        <f>VLOOKUP(C1437,Region!A:B,2,FALSE)</f>
        <v>Noida</v>
      </c>
      <c r="E1437" s="10" t="s">
        <v>1427</v>
      </c>
      <c r="F1437" s="11" t="s">
        <v>814</v>
      </c>
      <c r="G1437" s="11" t="s">
        <v>2635</v>
      </c>
      <c r="H1437" s="10" t="s">
        <v>809</v>
      </c>
    </row>
    <row r="1438" spans="1:8" x14ac:dyDescent="0.25">
      <c r="A1438" s="11" t="s">
        <v>2459</v>
      </c>
      <c r="B1438" s="10" t="s">
        <v>804</v>
      </c>
      <c r="C1438" s="10" t="s">
        <v>2041</v>
      </c>
      <c r="D1438" s="10" t="str">
        <f>VLOOKUP(C1438,Region!A:B,2,FALSE)</f>
        <v>Hyderabad</v>
      </c>
      <c r="E1438" s="10" t="s">
        <v>1427</v>
      </c>
      <c r="F1438" s="11" t="s">
        <v>811</v>
      </c>
      <c r="G1438" s="11" t="s">
        <v>2460</v>
      </c>
      <c r="H1438" s="10" t="s">
        <v>809</v>
      </c>
    </row>
    <row r="1439" spans="1:8" x14ac:dyDescent="0.25">
      <c r="A1439" s="11" t="s">
        <v>3191</v>
      </c>
      <c r="B1439" s="10" t="s">
        <v>1086</v>
      </c>
      <c r="C1439" s="10" t="s">
        <v>2987</v>
      </c>
      <c r="D1439" s="10" t="str">
        <f>VLOOKUP(C1439,Region!A:B,2,FALSE)</f>
        <v>Noida</v>
      </c>
      <c r="E1439" s="10" t="s">
        <v>1427</v>
      </c>
      <c r="F1439" s="11" t="s">
        <v>823</v>
      </c>
      <c r="G1439" s="11" t="s">
        <v>3192</v>
      </c>
      <c r="H1439" s="10" t="s">
        <v>812</v>
      </c>
    </row>
    <row r="1440" spans="1:8" x14ac:dyDescent="0.25">
      <c r="A1440" s="35" t="s">
        <v>3187</v>
      </c>
      <c r="B1440" s="36" t="s">
        <v>1086</v>
      </c>
      <c r="C1440" s="36" t="s">
        <v>2987</v>
      </c>
      <c r="D1440" s="10" t="str">
        <f>VLOOKUP(C1440,Region!A:B,2,FALSE)</f>
        <v>Noida</v>
      </c>
      <c r="E1440" s="36" t="s">
        <v>1427</v>
      </c>
      <c r="F1440" s="35" t="s">
        <v>823</v>
      </c>
      <c r="G1440" s="35" t="s">
        <v>463</v>
      </c>
      <c r="H1440" s="36" t="s">
        <v>812</v>
      </c>
    </row>
    <row r="1441" spans="1:8" x14ac:dyDescent="0.25">
      <c r="A1441" s="35" t="s">
        <v>1010</v>
      </c>
      <c r="B1441" s="36" t="s">
        <v>804</v>
      </c>
      <c r="C1441" s="36" t="s">
        <v>805</v>
      </c>
      <c r="D1441" s="10" t="str">
        <f>VLOOKUP(C1441,Region!A:B,2,FALSE)</f>
        <v>Noida</v>
      </c>
      <c r="E1441" s="36" t="s">
        <v>806</v>
      </c>
      <c r="F1441" s="35" t="s">
        <v>807</v>
      </c>
      <c r="G1441" s="35" t="s">
        <v>1011</v>
      </c>
      <c r="H1441" s="36" t="s">
        <v>809</v>
      </c>
    </row>
    <row r="1442" spans="1:8" x14ac:dyDescent="0.25">
      <c r="A1442" s="35" t="s">
        <v>2019</v>
      </c>
      <c r="B1442" s="36" t="s">
        <v>1086</v>
      </c>
      <c r="C1442" s="36" t="s">
        <v>1635</v>
      </c>
      <c r="D1442" s="10" t="str">
        <f>VLOOKUP(C1442,Region!A:B,2,FALSE)</f>
        <v>MBC US</v>
      </c>
      <c r="E1442" s="36" t="s">
        <v>806</v>
      </c>
      <c r="F1442" s="35" t="s">
        <v>823</v>
      </c>
      <c r="G1442" s="35" t="s">
        <v>2020</v>
      </c>
      <c r="H1442" s="36" t="s">
        <v>812</v>
      </c>
    </row>
    <row r="1443" spans="1:8" x14ac:dyDescent="0.25">
      <c r="A1443" s="35" t="s">
        <v>1150</v>
      </c>
      <c r="B1443" s="36" t="s">
        <v>1086</v>
      </c>
      <c r="C1443" s="36" t="s">
        <v>1087</v>
      </c>
      <c r="D1443" s="10" t="str">
        <f>VLOOKUP(C1443,Region!A:B,2,FALSE)</f>
        <v>Hyderabad</v>
      </c>
      <c r="E1443" s="36" t="s">
        <v>806</v>
      </c>
      <c r="F1443" s="35" t="s">
        <v>811</v>
      </c>
      <c r="G1443" s="35" t="s">
        <v>142</v>
      </c>
      <c r="H1443" s="36" t="s">
        <v>812</v>
      </c>
    </row>
    <row r="1444" spans="1:8" x14ac:dyDescent="0.25">
      <c r="A1444" s="35" t="s">
        <v>2096</v>
      </c>
      <c r="B1444" s="36" t="s">
        <v>804</v>
      </c>
      <c r="C1444" s="36" t="s">
        <v>2041</v>
      </c>
      <c r="D1444" s="10" t="str">
        <f>VLOOKUP(C1444,Region!A:B,2,FALSE)</f>
        <v>Hyderabad</v>
      </c>
      <c r="E1444" s="36" t="s">
        <v>1427</v>
      </c>
      <c r="F1444" s="35" t="s">
        <v>823</v>
      </c>
      <c r="G1444" s="35" t="s">
        <v>784</v>
      </c>
      <c r="H1444" s="36" t="s">
        <v>809</v>
      </c>
    </row>
    <row r="1445" spans="1:8" x14ac:dyDescent="0.25">
      <c r="A1445" s="35" t="s">
        <v>3209</v>
      </c>
      <c r="B1445" s="36" t="s">
        <v>1086</v>
      </c>
      <c r="C1445" s="36" t="s">
        <v>2987</v>
      </c>
      <c r="D1445" s="10" t="str">
        <f>VLOOKUP(C1445,Region!A:B,2,FALSE)</f>
        <v>Noida</v>
      </c>
      <c r="E1445" s="36" t="s">
        <v>1427</v>
      </c>
      <c r="F1445" s="35" t="s">
        <v>814</v>
      </c>
      <c r="G1445" s="35" t="s">
        <v>3210</v>
      </c>
      <c r="H1445" s="36" t="s">
        <v>812</v>
      </c>
    </row>
    <row r="1446" spans="1:8" x14ac:dyDescent="0.25">
      <c r="A1446" s="35" t="s">
        <v>3353</v>
      </c>
      <c r="B1446" s="36" t="s">
        <v>1086</v>
      </c>
      <c r="C1446" s="36" t="s">
        <v>3273</v>
      </c>
      <c r="D1446" s="10" t="str">
        <f>VLOOKUP(C1446,Region!A:B,2,FALSE)</f>
        <v>Noida</v>
      </c>
      <c r="E1446" s="36" t="s">
        <v>806</v>
      </c>
      <c r="F1446" s="35" t="s">
        <v>823</v>
      </c>
      <c r="G1446" s="35" t="s">
        <v>3354</v>
      </c>
      <c r="H1446" s="36" t="s">
        <v>809</v>
      </c>
    </row>
    <row r="1447" spans="1:8" x14ac:dyDescent="0.25">
      <c r="A1447" s="35" t="s">
        <v>3434</v>
      </c>
      <c r="B1447" s="36" t="s">
        <v>1086</v>
      </c>
      <c r="C1447" s="36" t="s">
        <v>3273</v>
      </c>
      <c r="D1447" s="10" t="str">
        <f>VLOOKUP(C1447,Region!A:B,2,FALSE)</f>
        <v>Noida</v>
      </c>
      <c r="E1447" s="36" t="s">
        <v>806</v>
      </c>
      <c r="F1447" s="35" t="s">
        <v>811</v>
      </c>
      <c r="G1447" s="35" t="s">
        <v>3435</v>
      </c>
      <c r="H1447" s="36" t="s">
        <v>812</v>
      </c>
    </row>
    <row r="1448" spans="1:8" x14ac:dyDescent="0.25">
      <c r="A1448" s="35" t="s">
        <v>1151</v>
      </c>
      <c r="B1448" s="36" t="s">
        <v>1086</v>
      </c>
      <c r="C1448" s="36" t="s">
        <v>1087</v>
      </c>
      <c r="D1448" s="10" t="str">
        <f>VLOOKUP(C1448,Region!A:B,2,FALSE)</f>
        <v>Hyderabad</v>
      </c>
      <c r="E1448" s="36" t="s">
        <v>806</v>
      </c>
      <c r="F1448" s="35" t="s">
        <v>811</v>
      </c>
      <c r="G1448" s="35" t="s">
        <v>1152</v>
      </c>
      <c r="H1448" s="36" t="s">
        <v>809</v>
      </c>
    </row>
    <row r="1449" spans="1:8" x14ac:dyDescent="0.25">
      <c r="A1449" s="35" t="s">
        <v>822</v>
      </c>
      <c r="B1449" s="36" t="s">
        <v>804</v>
      </c>
      <c r="C1449" s="36" t="s">
        <v>805</v>
      </c>
      <c r="D1449" s="10" t="str">
        <f>VLOOKUP(C1449,Region!A:B,2,FALSE)</f>
        <v>Noida</v>
      </c>
      <c r="E1449" s="36" t="s">
        <v>806</v>
      </c>
      <c r="F1449" s="35" t="s">
        <v>823</v>
      </c>
      <c r="G1449" s="35" t="s">
        <v>824</v>
      </c>
      <c r="H1449" s="36" t="s">
        <v>812</v>
      </c>
    </row>
    <row r="1450" spans="1:8" x14ac:dyDescent="0.25">
      <c r="A1450" s="35" t="s">
        <v>964</v>
      </c>
      <c r="B1450" s="36" t="s">
        <v>804</v>
      </c>
      <c r="C1450" s="36" t="s">
        <v>805</v>
      </c>
      <c r="D1450" s="10" t="str">
        <f>VLOOKUP(C1450,Region!A:B,2,FALSE)</f>
        <v>Noida</v>
      </c>
      <c r="E1450" s="36" t="s">
        <v>806</v>
      </c>
      <c r="F1450" s="35" t="s">
        <v>811</v>
      </c>
      <c r="G1450" s="35" t="s">
        <v>965</v>
      </c>
      <c r="H1450" s="36" t="s">
        <v>809</v>
      </c>
    </row>
    <row r="1451" spans="1:8" x14ac:dyDescent="0.25">
      <c r="A1451" s="35" t="s">
        <v>3411</v>
      </c>
      <c r="B1451" s="36" t="s">
        <v>1086</v>
      </c>
      <c r="C1451" s="36" t="s">
        <v>3273</v>
      </c>
      <c r="D1451" s="10" t="str">
        <f>VLOOKUP(C1451,Region!A:B,2,FALSE)</f>
        <v>Noida</v>
      </c>
      <c r="E1451" s="36" t="s">
        <v>806</v>
      </c>
      <c r="F1451" s="35" t="s">
        <v>811</v>
      </c>
      <c r="G1451" s="35" t="s">
        <v>3412</v>
      </c>
      <c r="H1451" s="36" t="s">
        <v>812</v>
      </c>
    </row>
    <row r="1452" spans="1:8" x14ac:dyDescent="0.25">
      <c r="A1452" s="35" t="s">
        <v>3205</v>
      </c>
      <c r="B1452" s="36" t="s">
        <v>1086</v>
      </c>
      <c r="C1452" s="36" t="s">
        <v>2987</v>
      </c>
      <c r="D1452" s="10" t="str">
        <f>VLOOKUP(C1452,Region!A:B,2,FALSE)</f>
        <v>Noida</v>
      </c>
      <c r="E1452" s="36" t="s">
        <v>1427</v>
      </c>
      <c r="F1452" s="35" t="s">
        <v>823</v>
      </c>
      <c r="G1452" s="35" t="s">
        <v>3206</v>
      </c>
      <c r="H1452" s="36" t="s">
        <v>809</v>
      </c>
    </row>
    <row r="1453" spans="1:8" x14ac:dyDescent="0.25">
      <c r="A1453" s="35" t="s">
        <v>2030</v>
      </c>
      <c r="B1453" s="36" t="s">
        <v>804</v>
      </c>
      <c r="C1453" s="36" t="s">
        <v>1635</v>
      </c>
      <c r="D1453" s="10" t="str">
        <f>VLOOKUP(C1453,Region!A:B,2,FALSE)</f>
        <v>MBC US</v>
      </c>
      <c r="E1453" s="36" t="s">
        <v>806</v>
      </c>
      <c r="F1453" s="35" t="s">
        <v>823</v>
      </c>
      <c r="G1453" s="35" t="s">
        <v>617</v>
      </c>
      <c r="H1453" s="36" t="s">
        <v>812</v>
      </c>
    </row>
    <row r="1454" spans="1:8" x14ac:dyDescent="0.25">
      <c r="A1454" s="35" t="s">
        <v>3393</v>
      </c>
      <c r="B1454" s="36" t="s">
        <v>1086</v>
      </c>
      <c r="C1454" s="36" t="s">
        <v>3273</v>
      </c>
      <c r="D1454" s="10" t="str">
        <f>VLOOKUP(C1454,Region!A:B,2,FALSE)</f>
        <v>Noida</v>
      </c>
      <c r="E1454" s="36" t="s">
        <v>806</v>
      </c>
      <c r="F1454" s="35" t="s">
        <v>823</v>
      </c>
      <c r="G1454" s="35" t="s">
        <v>3394</v>
      </c>
      <c r="H1454" s="36" t="s">
        <v>809</v>
      </c>
    </row>
    <row r="1455" spans="1:8" x14ac:dyDescent="0.25">
      <c r="A1455" s="35" t="s">
        <v>1663</v>
      </c>
      <c r="B1455" s="36" t="s">
        <v>804</v>
      </c>
      <c r="C1455" s="36" t="s">
        <v>1635</v>
      </c>
      <c r="D1455" s="10" t="str">
        <f>VLOOKUP(C1455,Region!A:B,2,FALSE)</f>
        <v>MBC US</v>
      </c>
      <c r="E1455" s="36" t="s">
        <v>806</v>
      </c>
      <c r="F1455" s="35" t="s">
        <v>814</v>
      </c>
      <c r="G1455" s="35" t="s">
        <v>730</v>
      </c>
      <c r="H1455" s="36" t="s">
        <v>812</v>
      </c>
    </row>
    <row r="1456" spans="1:8" x14ac:dyDescent="0.25">
      <c r="A1456" s="35" t="s">
        <v>2031</v>
      </c>
      <c r="B1456" s="36" t="s">
        <v>1086</v>
      </c>
      <c r="C1456" s="36" t="s">
        <v>1635</v>
      </c>
      <c r="D1456" s="10" t="str">
        <f>VLOOKUP(C1456,Region!A:B,2,FALSE)</f>
        <v>MBC US</v>
      </c>
      <c r="E1456" s="36" t="s">
        <v>806</v>
      </c>
      <c r="F1456" s="35" t="s">
        <v>814</v>
      </c>
      <c r="G1456" s="35" t="s">
        <v>2032</v>
      </c>
      <c r="H1456" s="36" t="s">
        <v>809</v>
      </c>
    </row>
    <row r="1457" spans="1:8" x14ac:dyDescent="0.25">
      <c r="A1457" s="35" t="s">
        <v>2028</v>
      </c>
      <c r="B1457" s="36" t="s">
        <v>1086</v>
      </c>
      <c r="C1457" s="36" t="s">
        <v>1635</v>
      </c>
      <c r="D1457" s="10" t="str">
        <f>VLOOKUP(C1457,Region!A:B,2,FALSE)</f>
        <v>MBC US</v>
      </c>
      <c r="E1457" s="36" t="s">
        <v>806</v>
      </c>
      <c r="F1457" s="35" t="s">
        <v>823</v>
      </c>
      <c r="G1457" s="35" t="s">
        <v>2029</v>
      </c>
      <c r="H1457" s="36" t="s">
        <v>812</v>
      </c>
    </row>
    <row r="1458" spans="1:8" x14ac:dyDescent="0.25">
      <c r="A1458" s="35" t="s">
        <v>2034</v>
      </c>
      <c r="B1458" s="36" t="s">
        <v>804</v>
      </c>
      <c r="C1458" s="36" t="s">
        <v>1635</v>
      </c>
      <c r="D1458" s="10" t="str">
        <f>VLOOKUP(C1458,Region!A:B,2,FALSE)</f>
        <v>MBC US</v>
      </c>
      <c r="E1458" s="36" t="s">
        <v>806</v>
      </c>
      <c r="F1458" s="35" t="s">
        <v>814</v>
      </c>
      <c r="G1458" s="35" t="s">
        <v>244</v>
      </c>
      <c r="H1458" s="36" t="s">
        <v>812</v>
      </c>
    </row>
    <row r="1459" spans="1:8" x14ac:dyDescent="0.25">
      <c r="A1459" s="35" t="s">
        <v>2035</v>
      </c>
      <c r="B1459" s="36" t="s">
        <v>1086</v>
      </c>
      <c r="C1459" s="36" t="s">
        <v>1635</v>
      </c>
      <c r="D1459" s="10" t="str">
        <f>VLOOKUP(C1459,Region!A:B,2,FALSE)</f>
        <v>MBC US</v>
      </c>
      <c r="E1459" s="36" t="s">
        <v>806</v>
      </c>
      <c r="F1459" s="35" t="s">
        <v>807</v>
      </c>
      <c r="G1459" s="35" t="s">
        <v>2036</v>
      </c>
      <c r="H1459" s="36" t="s">
        <v>809</v>
      </c>
    </row>
    <row r="1460" spans="1:8" x14ac:dyDescent="0.25">
      <c r="A1460" s="35" t="s">
        <v>2265</v>
      </c>
      <c r="B1460" s="36" t="s">
        <v>804</v>
      </c>
      <c r="C1460" s="36" t="s">
        <v>2041</v>
      </c>
      <c r="D1460" s="10" t="str">
        <f>VLOOKUP(C1460,Region!A:B,2,FALSE)</f>
        <v>Hyderabad</v>
      </c>
      <c r="E1460" s="36" t="s">
        <v>1427</v>
      </c>
      <c r="F1460" s="35" t="s">
        <v>811</v>
      </c>
      <c r="G1460" s="35" t="s">
        <v>403</v>
      </c>
      <c r="H1460" s="36" t="s">
        <v>812</v>
      </c>
    </row>
    <row r="1461" spans="1:8" x14ac:dyDescent="0.25">
      <c r="A1461" s="35" t="s">
        <v>2037</v>
      </c>
      <c r="B1461" s="36" t="s">
        <v>804</v>
      </c>
      <c r="C1461" s="36" t="s">
        <v>1635</v>
      </c>
      <c r="D1461" s="10" t="str">
        <f>VLOOKUP(C1461,Region!A:B,2,FALSE)</f>
        <v>MBC US</v>
      </c>
      <c r="E1461" s="36" t="s">
        <v>806</v>
      </c>
      <c r="F1461" s="35" t="s">
        <v>814</v>
      </c>
      <c r="G1461" s="35" t="s">
        <v>250</v>
      </c>
      <c r="H1461" s="36" t="s">
        <v>812</v>
      </c>
    </row>
    <row r="1462" spans="1:8" x14ac:dyDescent="0.25">
      <c r="A1462" s="35" t="s">
        <v>920</v>
      </c>
      <c r="B1462" s="36" t="s">
        <v>804</v>
      </c>
      <c r="C1462" s="36" t="s">
        <v>805</v>
      </c>
      <c r="D1462" s="10" t="str">
        <f>VLOOKUP(C1462,Region!A:B,2,FALSE)</f>
        <v>Noida</v>
      </c>
      <c r="E1462" s="36" t="s">
        <v>806</v>
      </c>
      <c r="F1462" s="35" t="s">
        <v>823</v>
      </c>
      <c r="G1462" s="35" t="s">
        <v>921</v>
      </c>
      <c r="H1462" s="36" t="s">
        <v>809</v>
      </c>
    </row>
    <row r="1463" spans="1:8" x14ac:dyDescent="0.25">
      <c r="A1463" s="35" t="s">
        <v>2514</v>
      </c>
      <c r="B1463" s="36" t="s">
        <v>804</v>
      </c>
      <c r="C1463" s="36" t="s">
        <v>2041</v>
      </c>
      <c r="D1463" s="10" t="str">
        <f>VLOOKUP(C1463,Region!A:B,2,FALSE)</f>
        <v>Hyderabad</v>
      </c>
      <c r="E1463" s="36" t="s">
        <v>1427</v>
      </c>
      <c r="F1463" s="35" t="s">
        <v>811</v>
      </c>
      <c r="G1463" s="35" t="s">
        <v>2515</v>
      </c>
      <c r="H1463" s="36" t="s">
        <v>809</v>
      </c>
    </row>
    <row r="1464" spans="1:8" x14ac:dyDescent="0.25">
      <c r="A1464" s="35" t="s">
        <v>3173</v>
      </c>
      <c r="B1464" s="36" t="s">
        <v>1086</v>
      </c>
      <c r="C1464" s="36" t="s">
        <v>2987</v>
      </c>
      <c r="D1464" s="10" t="str">
        <f>VLOOKUP(C1464,Region!A:B,2,FALSE)</f>
        <v>Noida</v>
      </c>
      <c r="E1464" s="36" t="s">
        <v>1427</v>
      </c>
      <c r="F1464" s="35" t="s">
        <v>807</v>
      </c>
      <c r="G1464" s="35" t="s">
        <v>3174</v>
      </c>
      <c r="H1464" s="36" t="s">
        <v>812</v>
      </c>
    </row>
    <row r="1465" spans="1:8" x14ac:dyDescent="0.25">
      <c r="A1465" s="35" t="s">
        <v>2346</v>
      </c>
      <c r="B1465" s="36" t="s">
        <v>804</v>
      </c>
      <c r="C1465" s="36" t="s">
        <v>2041</v>
      </c>
      <c r="D1465" s="10" t="str">
        <f>VLOOKUP(C1465,Region!A:B,2,FALSE)</f>
        <v>Hyderabad</v>
      </c>
      <c r="E1465" s="36" t="s">
        <v>1427</v>
      </c>
      <c r="F1465" s="35" t="s">
        <v>807</v>
      </c>
      <c r="G1465" s="35" t="s">
        <v>281</v>
      </c>
      <c r="H1465" s="36" t="s">
        <v>812</v>
      </c>
    </row>
    <row r="1466" spans="1:8" x14ac:dyDescent="0.25">
      <c r="A1466" s="35" t="s">
        <v>2712</v>
      </c>
      <c r="B1466" s="36" t="s">
        <v>804</v>
      </c>
      <c r="C1466" s="36" t="s">
        <v>2518</v>
      </c>
      <c r="D1466" s="10" t="str">
        <f>VLOOKUP(C1466,Region!A:B,2,FALSE)</f>
        <v>Noida</v>
      </c>
      <c r="E1466" s="36" t="s">
        <v>1427</v>
      </c>
      <c r="F1466" s="35" t="s">
        <v>807</v>
      </c>
      <c r="G1466" s="35" t="s">
        <v>2713</v>
      </c>
      <c r="H1466" s="36" t="s">
        <v>809</v>
      </c>
    </row>
    <row r="1467" spans="1:8" x14ac:dyDescent="0.25">
      <c r="A1467" s="35" t="s">
        <v>1042</v>
      </c>
      <c r="B1467" s="36" t="s">
        <v>804</v>
      </c>
      <c r="C1467" s="36" t="s">
        <v>805</v>
      </c>
      <c r="D1467" s="10" t="str">
        <f>VLOOKUP(C1467,Region!A:B,2,FALSE)</f>
        <v>Noida</v>
      </c>
      <c r="E1467" s="36" t="s">
        <v>806</v>
      </c>
      <c r="F1467" s="35" t="s">
        <v>807</v>
      </c>
      <c r="G1467" s="35" t="s">
        <v>1043</v>
      </c>
      <c r="H1467" s="36" t="s">
        <v>812</v>
      </c>
    </row>
    <row r="1468" spans="1:8" x14ac:dyDescent="0.25">
      <c r="A1468" s="35" t="s">
        <v>1633</v>
      </c>
      <c r="B1468" s="36" t="s">
        <v>804</v>
      </c>
      <c r="C1468" s="36" t="s">
        <v>1426</v>
      </c>
      <c r="D1468" s="10" t="str">
        <f>VLOOKUP(C1468,Region!A:B,2,FALSE)</f>
        <v>Spain</v>
      </c>
      <c r="E1468" s="36" t="s">
        <v>1427</v>
      </c>
      <c r="F1468" s="35" t="s">
        <v>807</v>
      </c>
      <c r="G1468" s="35" t="s">
        <v>275</v>
      </c>
      <c r="H1468" s="36" t="s">
        <v>812</v>
      </c>
    </row>
    <row r="1469" spans="1:8" x14ac:dyDescent="0.25">
      <c r="A1469" s="35" t="s">
        <v>950</v>
      </c>
      <c r="B1469" s="36" t="s">
        <v>804</v>
      </c>
      <c r="C1469" s="36" t="s">
        <v>805</v>
      </c>
      <c r="D1469" s="10" t="str">
        <f>VLOOKUP(C1469,Region!A:B,2,FALSE)</f>
        <v>Noida</v>
      </c>
      <c r="E1469" s="36" t="s">
        <v>806</v>
      </c>
      <c r="F1469" s="35" t="s">
        <v>811</v>
      </c>
      <c r="G1469" s="35" t="s">
        <v>951</v>
      </c>
      <c r="H1469" s="36" t="s">
        <v>809</v>
      </c>
    </row>
    <row r="1470" spans="1:8" x14ac:dyDescent="0.25">
      <c r="A1470" s="35" t="s">
        <v>2038</v>
      </c>
      <c r="B1470" s="36" t="s">
        <v>804</v>
      </c>
      <c r="C1470" s="36" t="s">
        <v>1635</v>
      </c>
      <c r="D1470" s="10" t="str">
        <f>VLOOKUP(C1470,Region!A:B,2,FALSE)</f>
        <v>MBC US</v>
      </c>
      <c r="E1470" s="36" t="s">
        <v>806</v>
      </c>
      <c r="F1470" s="35" t="s">
        <v>814</v>
      </c>
      <c r="G1470" s="35" t="s">
        <v>2039</v>
      </c>
      <c r="H1470" s="36" t="s">
        <v>809</v>
      </c>
    </row>
    <row r="1471" spans="1:8" x14ac:dyDescent="0.25">
      <c r="A1471" s="35" t="s">
        <v>1631</v>
      </c>
      <c r="B1471" s="36" t="s">
        <v>804</v>
      </c>
      <c r="C1471" s="36" t="s">
        <v>1426</v>
      </c>
      <c r="D1471" s="10" t="str">
        <f>VLOOKUP(C1471,Region!A:B,2,FALSE)</f>
        <v>Spain</v>
      </c>
      <c r="E1471" s="36" t="s">
        <v>1427</v>
      </c>
      <c r="F1471" s="35" t="s">
        <v>823</v>
      </c>
      <c r="G1471" s="35" t="s">
        <v>1632</v>
      </c>
      <c r="H1471" s="36" t="s">
        <v>809</v>
      </c>
    </row>
  </sheetData>
  <autoFilter ref="A1:H1471">
    <sortState ref="A2:G1513">
      <sortCondition sortBy="cellColor" ref="A1:A1481" dxfId="35"/>
    </sortState>
  </autoFilter>
  <conditionalFormatting sqref="A74">
    <cfRule type="duplicateValues" dxfId="34" priority="27"/>
  </conditionalFormatting>
  <conditionalFormatting sqref="A80">
    <cfRule type="duplicateValues" dxfId="33" priority="26"/>
  </conditionalFormatting>
  <conditionalFormatting sqref="A85">
    <cfRule type="duplicateValues" dxfId="32" priority="22"/>
  </conditionalFormatting>
  <conditionalFormatting sqref="A86:A89">
    <cfRule type="duplicateValues" dxfId="31" priority="21"/>
  </conditionalFormatting>
  <conditionalFormatting sqref="A86:A91">
    <cfRule type="duplicateValues" dxfId="30" priority="20"/>
  </conditionalFormatting>
  <conditionalFormatting sqref="A96:A98 A85:A94">
    <cfRule type="duplicateValues" dxfId="29" priority="23"/>
  </conditionalFormatting>
  <conditionalFormatting sqref="A96:A97 A86:A94">
    <cfRule type="duplicateValues" dxfId="28" priority="24"/>
  </conditionalFormatting>
  <conditionalFormatting sqref="A86:A94">
    <cfRule type="duplicateValues" dxfId="27" priority="25"/>
  </conditionalFormatting>
  <conditionalFormatting sqref="A96:A98 F912:F1003 F1005:F1006 F1024:F1042">
    <cfRule type="expression" dxfId="26" priority="17">
      <formula>OR($Q96="Left CSC",$Q96="Left Organization")</formula>
    </cfRule>
  </conditionalFormatting>
  <conditionalFormatting sqref="A96:A98">
    <cfRule type="expression" dxfId="25" priority="18">
      <formula>AND(COUNTIF($AN:$AN,$AN96)&gt;1,AN96&lt;&gt;"Contractor",OR(O96="Active",O96="Left CSC",O96="Left Organization"))</formula>
    </cfRule>
    <cfRule type="expression" dxfId="24" priority="19">
      <formula>AND(A96&lt;&gt;"",$AE96="N")</formula>
    </cfRule>
  </conditionalFormatting>
  <conditionalFormatting sqref="F74">
    <cfRule type="containsBlanks" dxfId="23" priority="16">
      <formula>LEN(TRIM(F74))=0</formula>
    </cfRule>
  </conditionalFormatting>
  <conditionalFormatting sqref="F406:F417 F419 F421 F423:F424 F426:F431 F433:F435 F437:F440 F442:F443 F445:F446 F449:F451 F453 F455 F457:F459 F461:F466 F468:F475 F477:F487 F489 F491:F497 F499:F506 F508 F510:F512 F514:F515 F518:F520 F522:F523 F525 F527:F544 F546:F549 F551:F561 F563:F564 F567:F570 F572:F583 F585:F587 F589 F591:F596 F598:F603 F605:F616 F618:F622 F624:F626 F629:F632 F634:F640 F642:F648 F650:F651">
    <cfRule type="cellIs" dxfId="22" priority="11" operator="equal">
      <formula>"Orange"</formula>
    </cfRule>
    <cfRule type="cellIs" dxfId="21" priority="12" operator="equal">
      <formula>"Blue"</formula>
    </cfRule>
    <cfRule type="cellIs" dxfId="20" priority="13" operator="equal">
      <formula>"Brown"</formula>
    </cfRule>
    <cfRule type="cellIs" dxfId="19" priority="14" operator="equal">
      <formula>"Purple"</formula>
    </cfRule>
    <cfRule type="cellIs" dxfId="18" priority="15" operator="equal">
      <formula>"Yellow"</formula>
    </cfRule>
  </conditionalFormatting>
  <conditionalFormatting sqref="A912:A1042">
    <cfRule type="expression" dxfId="17" priority="10">
      <formula>OR($Q912="Left CSC",$Q912="Left Organization")</formula>
    </cfRule>
  </conditionalFormatting>
  <conditionalFormatting sqref="A1043">
    <cfRule type="expression" dxfId="16" priority="9">
      <formula>OR($Q1043="Left CSC",$Q1043="Left Organization")</formula>
    </cfRule>
  </conditionalFormatting>
  <conditionalFormatting sqref="F1043">
    <cfRule type="expression" dxfId="15" priority="8">
      <formula>OR($Q1043="Left CSC",$Q1043="Left Organization")</formula>
    </cfRule>
  </conditionalFormatting>
  <conditionalFormatting sqref="A1044:A1155">
    <cfRule type="duplicateValues" dxfId="14" priority="7"/>
  </conditionalFormatting>
  <conditionalFormatting sqref="A1153">
    <cfRule type="duplicateValues" dxfId="13" priority="6"/>
  </conditionalFormatting>
  <conditionalFormatting sqref="A1156:A1157">
    <cfRule type="duplicateValues" dxfId="12" priority="5"/>
  </conditionalFormatting>
  <conditionalFormatting sqref="A1158">
    <cfRule type="duplicateValues" dxfId="11" priority="4"/>
  </conditionalFormatting>
  <conditionalFormatting sqref="A1159">
    <cfRule type="duplicateValues" dxfId="10" priority="3"/>
  </conditionalFormatting>
  <conditionalFormatting sqref="A1044:A1164">
    <cfRule type="duplicateValues" dxfId="9" priority="2"/>
  </conditionalFormatting>
  <conditionalFormatting sqref="A1:A1048576">
    <cfRule type="duplicateValues" dxfId="8" priority="1"/>
  </conditionalFormatting>
  <conditionalFormatting sqref="A2:A1439">
    <cfRule type="duplicateValues" dxfId="7" priority="654"/>
  </conditionalFormatting>
  <conditionalFormatting sqref="A912:A1042">
    <cfRule type="duplicateValues" dxfId="6" priority="656"/>
    <cfRule type="expression" dxfId="5" priority="657">
      <formula>AND(COUNTIF($C:$C,$C912)&gt;1,C912&lt;&gt;"Contractor",OR(O912="Active",O912="Left CSC",O912="Left Organization"))</formula>
    </cfRule>
    <cfRule type="expression" dxfId="4" priority="658">
      <formula>AND(A912&lt;&gt;"",$AK912="N")</formula>
    </cfRule>
  </conditionalFormatting>
  <conditionalFormatting sqref="A1043">
    <cfRule type="duplicateValues" dxfId="3" priority="659"/>
    <cfRule type="expression" dxfId="2" priority="660">
      <formula>AND(COUNTIF($C:$C,$C1043)&gt;1,C1043&lt;&gt;"Contractor",OR(O1043="Active",O1043="Left CSC",O1043="Left Organization"))</formula>
    </cfRule>
    <cfRule type="expression" dxfId="1" priority="661">
      <formula>AND(A1043&lt;&gt;"",$AK1043="N")</formula>
    </cfRule>
  </conditionalFormatting>
  <hyperlinks>
    <hyperlink ref="A744" r:id="rId1" display="msethuraman@csc.com"/>
    <hyperlink ref="A886" r:id="rId2" display="pmalik3@csc.com"/>
    <hyperlink ref="A774" r:id="rId3" display="nbandlagudem@csc.com"/>
    <hyperlink ref="A977" r:id="rId4" display="rgoneni@csc.com"/>
    <hyperlink ref="A630" r:id="rId5" display="lannavarapu2@csc.com"/>
    <hyperlink ref="G680" r:id="rId6"/>
    <hyperlink ref="G1254" r:id="rId7"/>
    <hyperlink ref="G1038" r:id="rId8"/>
  </hyperlinks>
  <pageMargins left="0.7" right="0.7" top="0.75" bottom="0.75" header="0.3" footer="0.3"/>
  <pageSetup paperSize="9" orientation="portrait" r:id="rId9"/>
  <customProperties>
    <customPr name="Guid" r:id="rId10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0" sqref="B10"/>
    </sheetView>
  </sheetViews>
  <sheetFormatPr defaultRowHeight="15" x14ac:dyDescent="0.25"/>
  <cols>
    <col min="1" max="1" width="28.85546875" bestFit="1" customWidth="1"/>
  </cols>
  <sheetData>
    <row r="1" spans="1:2" x14ac:dyDescent="0.25">
      <c r="A1" s="10" t="s">
        <v>1635</v>
      </c>
      <c r="B1" t="s">
        <v>3511</v>
      </c>
    </row>
    <row r="2" spans="1:2" x14ac:dyDescent="0.25">
      <c r="A2" s="10" t="s">
        <v>2041</v>
      </c>
      <c r="B2" t="s">
        <v>3512</v>
      </c>
    </row>
    <row r="3" spans="1:2" x14ac:dyDescent="0.25">
      <c r="A3" s="10" t="s">
        <v>1087</v>
      </c>
      <c r="B3" t="s">
        <v>3512</v>
      </c>
    </row>
    <row r="4" spans="1:2" x14ac:dyDescent="0.25">
      <c r="A4" s="10" t="s">
        <v>2518</v>
      </c>
      <c r="B4" t="s">
        <v>3513</v>
      </c>
    </row>
    <row r="5" spans="1:2" x14ac:dyDescent="0.25">
      <c r="A5" s="10" t="s">
        <v>805</v>
      </c>
      <c r="B5" t="s">
        <v>3513</v>
      </c>
    </row>
    <row r="6" spans="1:2" x14ac:dyDescent="0.25">
      <c r="A6" s="10" t="s">
        <v>2752</v>
      </c>
      <c r="B6" t="s">
        <v>3513</v>
      </c>
    </row>
    <row r="7" spans="1:2" x14ac:dyDescent="0.25">
      <c r="A7" s="10" t="s">
        <v>2987</v>
      </c>
      <c r="B7" t="s">
        <v>3513</v>
      </c>
    </row>
    <row r="8" spans="1:2" x14ac:dyDescent="0.25">
      <c r="A8" s="10" t="s">
        <v>3273</v>
      </c>
      <c r="B8" t="s">
        <v>3513</v>
      </c>
    </row>
    <row r="9" spans="1:2" x14ac:dyDescent="0.25">
      <c r="A9" s="10" t="s">
        <v>1426</v>
      </c>
      <c r="B9" t="s">
        <v>1426</v>
      </c>
    </row>
  </sheetData>
  <sortState ref="A2:A9">
    <sortCondition ref="A1"/>
  </sortState>
  <pageMargins left="0.7" right="0.7" top="0.75" bottom="0.75" header="0.3" footer="0.3"/>
  <customProperties>
    <customPr name="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2"/>
  <sheetViews>
    <sheetView zoomScale="90" zoomScaleNormal="90" workbookViewId="0">
      <pane xSplit="6" ySplit="1" topLeftCell="G29" activePane="bottomRight" state="frozen"/>
      <selection pane="topRight" activeCell="G1" sqref="G1"/>
      <selection pane="bottomLeft" activeCell="A2" sqref="A2"/>
      <selection pane="bottomRight" activeCell="H20" sqref="H20"/>
    </sheetView>
  </sheetViews>
  <sheetFormatPr defaultRowHeight="13.5" customHeight="1" x14ac:dyDescent="0.25"/>
  <cols>
    <col min="1" max="1" width="23.7109375" style="20" customWidth="1"/>
    <col min="2" max="2" width="15.85546875" style="20" customWidth="1"/>
    <col min="3" max="6" width="12.42578125" style="15" customWidth="1"/>
    <col min="7" max="7" width="10.5703125" style="15" customWidth="1"/>
    <col min="8" max="16" width="10.140625" style="15" bestFit="1" customWidth="1"/>
    <col min="17" max="23" width="11.140625" style="15" bestFit="1" customWidth="1"/>
    <col min="24" max="16384" width="9.140625" style="15"/>
  </cols>
  <sheetData>
    <row r="1" spans="1:23" s="23" customFormat="1" ht="13.5" customHeight="1" x14ac:dyDescent="0.2">
      <c r="A1" s="21" t="s">
        <v>52</v>
      </c>
      <c r="B1" s="18" t="s">
        <v>3479</v>
      </c>
      <c r="C1" s="17" t="s">
        <v>797</v>
      </c>
      <c r="D1" s="17" t="s">
        <v>798</v>
      </c>
      <c r="E1" s="17" t="s">
        <v>799</v>
      </c>
      <c r="F1" s="17" t="s">
        <v>800</v>
      </c>
      <c r="G1" s="22" t="s">
        <v>57</v>
      </c>
      <c r="H1" s="22" t="s">
        <v>3480</v>
      </c>
      <c r="I1" s="22" t="s">
        <v>3481</v>
      </c>
      <c r="J1" s="22" t="s">
        <v>3482</v>
      </c>
      <c r="K1" s="22" t="s">
        <v>3483</v>
      </c>
      <c r="L1" s="22" t="s">
        <v>3484</v>
      </c>
      <c r="M1" s="22" t="s">
        <v>3485</v>
      </c>
      <c r="N1" s="22" t="s">
        <v>3486</v>
      </c>
      <c r="O1" s="22" t="s">
        <v>3487</v>
      </c>
      <c r="P1" s="22" t="s">
        <v>3488</v>
      </c>
      <c r="Q1" s="22" t="s">
        <v>3489</v>
      </c>
      <c r="R1" s="22" t="s">
        <v>3490</v>
      </c>
      <c r="S1" s="22" t="s">
        <v>3491</v>
      </c>
      <c r="T1" s="22" t="s">
        <v>3492</v>
      </c>
      <c r="U1" s="22" t="s">
        <v>3493</v>
      </c>
      <c r="V1" s="22" t="s">
        <v>3494</v>
      </c>
      <c r="W1" s="22" t="s">
        <v>3495</v>
      </c>
    </row>
    <row r="2" spans="1:23" ht="13.5" customHeight="1" x14ac:dyDescent="0.25">
      <c r="A2" s="19" t="s">
        <v>92</v>
      </c>
      <c r="B2" s="19" t="str">
        <f>TRIM(LEFT(A2,FIND("@",A2)-1))</f>
        <v>NKICCHANNAGA</v>
      </c>
      <c r="C2" s="16" t="str">
        <f>VLOOKUP(B2,'Compiled Agents'!A:H,2,FALSE)</f>
        <v>Platform</v>
      </c>
      <c r="D2" s="16" t="str">
        <f>VLOOKUP(B2,'Compiled Agents'!A:H,4,FALSE)</f>
        <v>Noida</v>
      </c>
      <c r="E2" s="16" t="str">
        <f>VLOOKUP(B2,'Compiled Agents'!A:H,5,FALSE)</f>
        <v>Wave2</v>
      </c>
      <c r="F2" s="16" t="str">
        <f>VLOOKUP(B2,'Compiled Agents'!A:H,6,FALSE)</f>
        <v>Purple</v>
      </c>
      <c r="G2" s="16">
        <f>VLOOKUP($A2,'SurveyRpt_20150223 (1)'!$A$34:$AN$735,6,FALSE)</f>
        <v>8</v>
      </c>
      <c r="H2" s="16" t="str">
        <f>VLOOKUP($A2,'SurveyRpt_20150223 (1)'!$A$34:$AN$735,8,FALSE)</f>
        <v>Yes</v>
      </c>
      <c r="I2" s="16" t="str">
        <f>VLOOKUP($A2,'SurveyRpt_20150223 (1)'!$A$34:$AN$735,10,FALSE)</f>
        <v>Yes</v>
      </c>
      <c r="J2" s="16" t="str">
        <f>VLOOKUP($A2,'SurveyRpt_20150223 (1)'!$A$34:$AN$735,12,FALSE)</f>
        <v>No</v>
      </c>
      <c r="K2" s="16" t="str">
        <f>VLOOKUP($A2,'SurveyRpt_20150223 (1)'!$A$34:$AN$735,14,FALSE)</f>
        <v>No</v>
      </c>
      <c r="L2" s="16" t="str">
        <f>VLOOKUP($A2,'SurveyRpt_20150223 (1)'!$A$34:$AN$735,16,FALSE)</f>
        <v>No</v>
      </c>
      <c r="M2" s="16" t="str">
        <f>VLOOKUP($A2,'SurveyRpt_20150223 (1)'!$A$34:$AN$735,18,FALSE)</f>
        <v>No</v>
      </c>
      <c r="N2" s="16" t="str">
        <f>VLOOKUP($A2,'SurveyRpt_20150223 (1)'!$A$34:$AN$735,20,FALSE)</f>
        <v>No</v>
      </c>
      <c r="O2" s="16" t="str">
        <f>VLOOKUP($A2,'SurveyRpt_20150223 (1)'!$A$34:$AN$735,22,FALSE)</f>
        <v>Yes</v>
      </c>
      <c r="P2" s="16" t="str">
        <f>VLOOKUP($A2,'SurveyRpt_20150223 (1)'!$A$34:$AN$735,24,FALSE)</f>
        <v>No</v>
      </c>
      <c r="Q2" s="16" t="str">
        <f>VLOOKUP($A2,'SurveyRpt_20150223 (1)'!$A$34:$AN$735,26,FALSE)</f>
        <v>Yes</v>
      </c>
      <c r="R2" s="16" t="str">
        <f>VLOOKUP($A2,'SurveyRpt_20150223 (1)'!$A$34:$AN$735,28,FALSE)</f>
        <v>Yes</v>
      </c>
      <c r="S2" s="16" t="str">
        <f>VLOOKUP($A2,'SurveyRpt_20150223 (1)'!$A$34:$AN$735,30,FALSE)</f>
        <v>Yes</v>
      </c>
      <c r="T2" s="16" t="str">
        <f>VLOOKUP($A2,'SurveyRpt_20150223 (1)'!$A$34:$AN$735,32,FALSE)</f>
        <v>Yes</v>
      </c>
      <c r="U2" s="16" t="str">
        <f>VLOOKUP($A2,'SurveyRpt_20150223 (1)'!$A$34:$AN$735,34,FALSE)</f>
        <v>No</v>
      </c>
      <c r="V2" s="16" t="str">
        <f>VLOOKUP($A2,'SurveyRpt_20150223 (1)'!$A$34:$AN$735,36,FALSE)</f>
        <v>Yes</v>
      </c>
      <c r="W2" s="16" t="str">
        <f>VLOOKUP($A2,'SurveyRpt_20150223 (1)'!$A$34:$AN$735,38,FALSE)</f>
        <v>No</v>
      </c>
    </row>
    <row r="3" spans="1:23" ht="13.5" customHeight="1" x14ac:dyDescent="0.25">
      <c r="A3" s="19" t="s">
        <v>96</v>
      </c>
      <c r="B3" s="19" t="str">
        <f t="shared" ref="B3:B66" si="0">TRIM(LEFT(A3,FIND("@",A3)-1))</f>
        <v>LMOLLURU2</v>
      </c>
      <c r="C3" s="16" t="str">
        <f>VLOOKUP(B3,'Compiled Agents'!A:H,2,FALSE)</f>
        <v>Platform</v>
      </c>
      <c r="D3" s="16" t="str">
        <f>VLOOKUP(B3,'Compiled Agents'!A:H,4,FALSE)</f>
        <v>Noida</v>
      </c>
      <c r="E3" s="16" t="str">
        <f>VLOOKUP(B3,'Compiled Agents'!A:H,5,FALSE)</f>
        <v>Wave2</v>
      </c>
      <c r="F3" s="16" t="str">
        <f>VLOOKUP(B3,'Compiled Agents'!A:H,6,FALSE)</f>
        <v>Orange</v>
      </c>
      <c r="G3" s="16">
        <f>VLOOKUP($A3,'SurveyRpt_20150223 (1)'!$A$34:$AN$735,6,FALSE)</f>
        <v>13</v>
      </c>
      <c r="H3" s="16" t="str">
        <f>VLOOKUP($A3,'SurveyRpt_20150223 (1)'!$A$34:$AN$735,8,FALSE)</f>
        <v>Yes</v>
      </c>
      <c r="I3" s="16" t="str">
        <f>VLOOKUP($A3,'SurveyRpt_20150223 (1)'!$A$34:$AN$735,10,FALSE)</f>
        <v>Yes</v>
      </c>
      <c r="J3" s="16" t="str">
        <f>VLOOKUP($A3,'SurveyRpt_20150223 (1)'!$A$34:$AN$735,12,FALSE)</f>
        <v>Yes</v>
      </c>
      <c r="K3" s="16" t="str">
        <f>VLOOKUP($A3,'SurveyRpt_20150223 (1)'!$A$34:$AN$735,14,FALSE)</f>
        <v>Yes</v>
      </c>
      <c r="L3" s="16" t="str">
        <f>VLOOKUP($A3,'SurveyRpt_20150223 (1)'!$A$34:$AN$735,16,FALSE)</f>
        <v>Yes</v>
      </c>
      <c r="M3" s="16" t="str">
        <f>VLOOKUP($A3,'SurveyRpt_20150223 (1)'!$A$34:$AN$735,18,FALSE)</f>
        <v>Yes</v>
      </c>
      <c r="N3" s="16" t="str">
        <f>VLOOKUP($A3,'SurveyRpt_20150223 (1)'!$A$34:$AN$735,20,FALSE)</f>
        <v>Yes</v>
      </c>
      <c r="O3" s="16" t="str">
        <f>VLOOKUP($A3,'SurveyRpt_20150223 (1)'!$A$34:$AN$735,22,FALSE)</f>
        <v>Yes</v>
      </c>
      <c r="P3" s="16" t="str">
        <f>VLOOKUP($A3,'SurveyRpt_20150223 (1)'!$A$34:$AN$735,24,FALSE)</f>
        <v>No</v>
      </c>
      <c r="Q3" s="16" t="str">
        <f>VLOOKUP($A3,'SurveyRpt_20150223 (1)'!$A$34:$AN$735,26,FALSE)</f>
        <v>Yes</v>
      </c>
      <c r="R3" s="16" t="str">
        <f>VLOOKUP($A3,'SurveyRpt_20150223 (1)'!$A$34:$AN$735,28,FALSE)</f>
        <v>Yes</v>
      </c>
      <c r="S3" s="16" t="str">
        <f>VLOOKUP($A3,'SurveyRpt_20150223 (1)'!$A$34:$AN$735,30,FALSE)</f>
        <v>Yes</v>
      </c>
      <c r="T3" s="16" t="str">
        <f>VLOOKUP($A3,'SurveyRpt_20150223 (1)'!$A$34:$AN$735,32,FALSE)</f>
        <v>No</v>
      </c>
      <c r="U3" s="16" t="str">
        <f>VLOOKUP($A3,'SurveyRpt_20150223 (1)'!$A$34:$AN$735,34,FALSE)</f>
        <v>No</v>
      </c>
      <c r="V3" s="16" t="str">
        <f>VLOOKUP($A3,'SurveyRpt_20150223 (1)'!$A$34:$AN$735,36,FALSE)</f>
        <v>Yes</v>
      </c>
      <c r="W3" s="16" t="str">
        <f>VLOOKUP($A3,'SurveyRpt_20150223 (1)'!$A$34:$AN$735,38,FALSE)</f>
        <v>Yes</v>
      </c>
    </row>
    <row r="4" spans="1:23" ht="13.5" customHeight="1" x14ac:dyDescent="0.25">
      <c r="A4" s="19" t="s">
        <v>97</v>
      </c>
      <c r="B4" s="19" t="str">
        <f t="shared" si="0"/>
        <v>CGALLEGOS2</v>
      </c>
      <c r="C4" s="16" t="str">
        <f>VLOOKUP(B4,'Compiled Agents'!A:H,2,FALSE)</f>
        <v>Workplace</v>
      </c>
      <c r="D4" s="16" t="str">
        <f>VLOOKUP(B4,'Compiled Agents'!A:H,4,FALSE)</f>
        <v>MBC US</v>
      </c>
      <c r="E4" s="16" t="str">
        <f>VLOOKUP(B4,'Compiled Agents'!A:H,5,FALSE)</f>
        <v>Wave2</v>
      </c>
      <c r="F4" s="16" t="str">
        <f>VLOOKUP(B4,'Compiled Agents'!A:H,6,FALSE)</f>
        <v>Yellow</v>
      </c>
      <c r="G4" s="16">
        <f>VLOOKUP($A4,'SurveyRpt_20150223 (1)'!$A$34:$AN$735,6,FALSE)</f>
        <v>9</v>
      </c>
      <c r="H4" s="16" t="str">
        <f>VLOOKUP($A4,'SurveyRpt_20150223 (1)'!$A$34:$AN$735,8,FALSE)</f>
        <v>Yes</v>
      </c>
      <c r="I4" s="16" t="str">
        <f>VLOOKUP($A4,'SurveyRpt_20150223 (1)'!$A$34:$AN$735,10,FALSE)</f>
        <v>No</v>
      </c>
      <c r="J4" s="16" t="str">
        <f>VLOOKUP($A4,'SurveyRpt_20150223 (1)'!$A$34:$AN$735,12,FALSE)</f>
        <v>No</v>
      </c>
      <c r="K4" s="16" t="str">
        <f>VLOOKUP($A4,'SurveyRpt_20150223 (1)'!$A$34:$AN$735,14,FALSE)</f>
        <v>No</v>
      </c>
      <c r="L4" s="16" t="str">
        <f>VLOOKUP($A4,'SurveyRpt_20150223 (1)'!$A$34:$AN$735,16,FALSE)</f>
        <v>Yes</v>
      </c>
      <c r="M4" s="16" t="str">
        <f>VLOOKUP($A4,'SurveyRpt_20150223 (1)'!$A$34:$AN$735,18,FALSE)</f>
        <v>Yes</v>
      </c>
      <c r="N4" s="16" t="str">
        <f>VLOOKUP($A4,'SurveyRpt_20150223 (1)'!$A$34:$AN$735,20,FALSE)</f>
        <v>No</v>
      </c>
      <c r="O4" s="16" t="str">
        <f>VLOOKUP($A4,'SurveyRpt_20150223 (1)'!$A$34:$AN$735,22,FALSE)</f>
        <v>Yes</v>
      </c>
      <c r="P4" s="16" t="str">
        <f>VLOOKUP($A4,'SurveyRpt_20150223 (1)'!$A$34:$AN$735,24,FALSE)</f>
        <v>Yes</v>
      </c>
      <c r="Q4" s="16" t="str">
        <f>VLOOKUP($A4,'SurveyRpt_20150223 (1)'!$A$34:$AN$735,26,FALSE)</f>
        <v>Yes</v>
      </c>
      <c r="R4" s="16" t="str">
        <f>VLOOKUP($A4,'SurveyRpt_20150223 (1)'!$A$34:$AN$735,28,FALSE)</f>
        <v>Yes</v>
      </c>
      <c r="S4" s="16" t="str">
        <f>VLOOKUP($A4,'SurveyRpt_20150223 (1)'!$A$34:$AN$735,30,FALSE)</f>
        <v>Yes</v>
      </c>
      <c r="T4" s="16" t="str">
        <f>VLOOKUP($A4,'SurveyRpt_20150223 (1)'!$A$34:$AN$735,32,FALSE)</f>
        <v>No</v>
      </c>
      <c r="U4" s="16" t="str">
        <f>VLOOKUP($A4,'SurveyRpt_20150223 (1)'!$A$34:$AN$735,34,FALSE)</f>
        <v>No</v>
      </c>
      <c r="V4" s="16" t="str">
        <f>VLOOKUP($A4,'SurveyRpt_20150223 (1)'!$A$34:$AN$735,36,FALSE)</f>
        <v>Yes</v>
      </c>
      <c r="W4" s="16" t="str">
        <f>VLOOKUP($A4,'SurveyRpt_20150223 (1)'!$A$34:$AN$735,38,FALSE)</f>
        <v>No</v>
      </c>
    </row>
    <row r="5" spans="1:23" ht="13.5" customHeight="1" x14ac:dyDescent="0.25">
      <c r="A5" s="19" t="s">
        <v>98</v>
      </c>
      <c r="B5" s="19" t="str">
        <f t="shared" si="0"/>
        <v>UMONGA</v>
      </c>
      <c r="C5" s="16" t="str">
        <f>VLOOKUP(B5,'Compiled Agents'!A:H,2,FALSE)</f>
        <v>Platform</v>
      </c>
      <c r="D5" s="16" t="str">
        <f>VLOOKUP(B5,'Compiled Agents'!A:H,4,FALSE)</f>
        <v>Noida</v>
      </c>
      <c r="E5" s="16" t="str">
        <f>VLOOKUP(B5,'Compiled Agents'!A:H,5,FALSE)</f>
        <v>Wave2</v>
      </c>
      <c r="F5" s="16" t="str">
        <f>VLOOKUP(B5,'Compiled Agents'!A:H,6,FALSE)</f>
        <v>Yellow</v>
      </c>
      <c r="G5" s="16">
        <f>VLOOKUP($A5,'SurveyRpt_20150223 (1)'!$A$34:$AN$735,6,FALSE)</f>
        <v>16</v>
      </c>
      <c r="H5" s="16" t="str">
        <f>VLOOKUP($A5,'SurveyRpt_20150223 (1)'!$A$34:$AN$735,8,FALSE)</f>
        <v>Yes</v>
      </c>
      <c r="I5" s="16" t="str">
        <f>VLOOKUP($A5,'SurveyRpt_20150223 (1)'!$A$34:$AN$735,10,FALSE)</f>
        <v>Yes</v>
      </c>
      <c r="J5" s="16" t="str">
        <f>VLOOKUP($A5,'SurveyRpt_20150223 (1)'!$A$34:$AN$735,12,FALSE)</f>
        <v>Yes</v>
      </c>
      <c r="K5" s="16" t="str">
        <f>VLOOKUP($A5,'SurveyRpt_20150223 (1)'!$A$34:$AN$735,14,FALSE)</f>
        <v>Yes</v>
      </c>
      <c r="L5" s="16" t="str">
        <f>VLOOKUP($A5,'SurveyRpt_20150223 (1)'!$A$34:$AN$735,16,FALSE)</f>
        <v>Yes</v>
      </c>
      <c r="M5" s="16" t="str">
        <f>VLOOKUP($A5,'SurveyRpt_20150223 (1)'!$A$34:$AN$735,18,FALSE)</f>
        <v>Yes</v>
      </c>
      <c r="N5" s="16" t="str">
        <f>VLOOKUP($A5,'SurveyRpt_20150223 (1)'!$A$34:$AN$735,20,FALSE)</f>
        <v>Yes</v>
      </c>
      <c r="O5" s="16" t="str">
        <f>VLOOKUP($A5,'SurveyRpt_20150223 (1)'!$A$34:$AN$735,22,FALSE)</f>
        <v>Yes</v>
      </c>
      <c r="P5" s="16" t="str">
        <f>VLOOKUP($A5,'SurveyRpt_20150223 (1)'!$A$34:$AN$735,24,FALSE)</f>
        <v>Yes</v>
      </c>
      <c r="Q5" s="16" t="str">
        <f>VLOOKUP($A5,'SurveyRpt_20150223 (1)'!$A$34:$AN$735,26,FALSE)</f>
        <v>Yes</v>
      </c>
      <c r="R5" s="16" t="str">
        <f>VLOOKUP($A5,'SurveyRpt_20150223 (1)'!$A$34:$AN$735,28,FALSE)</f>
        <v>Yes</v>
      </c>
      <c r="S5" s="16" t="str">
        <f>VLOOKUP($A5,'SurveyRpt_20150223 (1)'!$A$34:$AN$735,30,FALSE)</f>
        <v>Yes</v>
      </c>
      <c r="T5" s="16" t="str">
        <f>VLOOKUP($A5,'SurveyRpt_20150223 (1)'!$A$34:$AN$735,32,FALSE)</f>
        <v>Yes</v>
      </c>
      <c r="U5" s="16" t="str">
        <f>VLOOKUP($A5,'SurveyRpt_20150223 (1)'!$A$34:$AN$735,34,FALSE)</f>
        <v>Yes</v>
      </c>
      <c r="V5" s="16" t="str">
        <f>VLOOKUP($A5,'SurveyRpt_20150223 (1)'!$A$34:$AN$735,36,FALSE)</f>
        <v>Yes</v>
      </c>
      <c r="W5" s="16" t="str">
        <f>VLOOKUP($A5,'SurveyRpt_20150223 (1)'!$A$34:$AN$735,38,FALSE)</f>
        <v>Yes</v>
      </c>
    </row>
    <row r="6" spans="1:23" ht="13.5" customHeight="1" x14ac:dyDescent="0.25">
      <c r="A6" s="19" t="s">
        <v>99</v>
      </c>
      <c r="B6" s="19" t="str">
        <f t="shared" si="0"/>
        <v>NMANOHARI</v>
      </c>
      <c r="C6" s="16" t="str">
        <f>VLOOKUP(B6,'Compiled Agents'!A:H,2,FALSE)</f>
        <v>Workplace</v>
      </c>
      <c r="D6" s="16" t="str">
        <f>VLOOKUP(B6,'Compiled Agents'!A:H,4,FALSE)</f>
        <v>Hyderabad</v>
      </c>
      <c r="E6" s="16" t="str">
        <f>VLOOKUP(B6,'Compiled Agents'!A:H,5,FALSE)</f>
        <v>Wave2</v>
      </c>
      <c r="F6" s="16" t="str">
        <f>VLOOKUP(B6,'Compiled Agents'!A:H,6,FALSE)</f>
        <v>Yellow</v>
      </c>
      <c r="G6" s="16">
        <f>VLOOKUP($A6,'SurveyRpt_20150223 (1)'!$A$34:$AN$735,6,FALSE)</f>
        <v>16</v>
      </c>
      <c r="H6" s="16" t="str">
        <f>VLOOKUP($A6,'SurveyRpt_20150223 (1)'!$A$34:$AN$735,8,FALSE)</f>
        <v>Yes</v>
      </c>
      <c r="I6" s="16" t="str">
        <f>VLOOKUP($A6,'SurveyRpt_20150223 (1)'!$A$34:$AN$735,10,FALSE)</f>
        <v>Yes</v>
      </c>
      <c r="J6" s="16" t="str">
        <f>VLOOKUP($A6,'SurveyRpt_20150223 (1)'!$A$34:$AN$735,12,FALSE)</f>
        <v>Yes</v>
      </c>
      <c r="K6" s="16" t="str">
        <f>VLOOKUP($A6,'SurveyRpt_20150223 (1)'!$A$34:$AN$735,14,FALSE)</f>
        <v>Yes</v>
      </c>
      <c r="L6" s="16" t="str">
        <f>VLOOKUP($A6,'SurveyRpt_20150223 (1)'!$A$34:$AN$735,16,FALSE)</f>
        <v>Yes</v>
      </c>
      <c r="M6" s="16" t="str">
        <f>VLOOKUP($A6,'SurveyRpt_20150223 (1)'!$A$34:$AN$735,18,FALSE)</f>
        <v>Yes</v>
      </c>
      <c r="N6" s="16" t="str">
        <f>VLOOKUP($A6,'SurveyRpt_20150223 (1)'!$A$34:$AN$735,20,FALSE)</f>
        <v>Yes</v>
      </c>
      <c r="O6" s="16" t="str">
        <f>VLOOKUP($A6,'SurveyRpt_20150223 (1)'!$A$34:$AN$735,22,FALSE)</f>
        <v>Yes</v>
      </c>
      <c r="P6" s="16" t="str">
        <f>VLOOKUP($A6,'SurveyRpt_20150223 (1)'!$A$34:$AN$735,24,FALSE)</f>
        <v>Yes</v>
      </c>
      <c r="Q6" s="16" t="str">
        <f>VLOOKUP($A6,'SurveyRpt_20150223 (1)'!$A$34:$AN$735,26,FALSE)</f>
        <v>Yes</v>
      </c>
      <c r="R6" s="16" t="str">
        <f>VLOOKUP($A6,'SurveyRpt_20150223 (1)'!$A$34:$AN$735,28,FALSE)</f>
        <v>Yes</v>
      </c>
      <c r="S6" s="16" t="str">
        <f>VLOOKUP($A6,'SurveyRpt_20150223 (1)'!$A$34:$AN$735,30,FALSE)</f>
        <v>Yes</v>
      </c>
      <c r="T6" s="16" t="str">
        <f>VLOOKUP($A6,'SurveyRpt_20150223 (1)'!$A$34:$AN$735,32,FALSE)</f>
        <v>Yes</v>
      </c>
      <c r="U6" s="16" t="str">
        <f>VLOOKUP($A6,'SurveyRpt_20150223 (1)'!$A$34:$AN$735,34,FALSE)</f>
        <v>Yes</v>
      </c>
      <c r="V6" s="16" t="str">
        <f>VLOOKUP($A6,'SurveyRpt_20150223 (1)'!$A$34:$AN$735,36,FALSE)</f>
        <v>Yes</v>
      </c>
      <c r="W6" s="16" t="str">
        <f>VLOOKUP($A6,'SurveyRpt_20150223 (1)'!$A$34:$AN$735,38,FALSE)</f>
        <v>Yes</v>
      </c>
    </row>
    <row r="7" spans="1:23" ht="13.5" customHeight="1" x14ac:dyDescent="0.25">
      <c r="A7" s="19" t="s">
        <v>100</v>
      </c>
      <c r="B7" s="19" t="str">
        <f t="shared" si="0"/>
        <v>SBHARTI2</v>
      </c>
      <c r="C7" s="16" t="str">
        <f>VLOOKUP(B7,'Compiled Agents'!A:H,2,FALSE)</f>
        <v>Platform</v>
      </c>
      <c r="D7" s="16" t="str">
        <f>VLOOKUP(B7,'Compiled Agents'!A:H,4,FALSE)</f>
        <v>Noida</v>
      </c>
      <c r="E7" s="16" t="str">
        <f>VLOOKUP(B7,'Compiled Agents'!A:H,5,FALSE)</f>
        <v>Wave2</v>
      </c>
      <c r="F7" s="16" t="str">
        <f>VLOOKUP(B7,'Compiled Agents'!A:H,6,FALSE)</f>
        <v>Purple</v>
      </c>
      <c r="G7" s="16">
        <f>VLOOKUP($A7,'SurveyRpt_20150223 (1)'!$A$34:$AN$735,6,FALSE)</f>
        <v>1</v>
      </c>
      <c r="H7" s="16" t="str">
        <f>VLOOKUP($A7,'SurveyRpt_20150223 (1)'!$A$34:$AN$735,8,FALSE)</f>
        <v>No</v>
      </c>
      <c r="I7" s="16" t="str">
        <f>VLOOKUP($A7,'SurveyRpt_20150223 (1)'!$A$34:$AN$735,10,FALSE)</f>
        <v>No</v>
      </c>
      <c r="J7" s="16" t="str">
        <f>VLOOKUP($A7,'SurveyRpt_20150223 (1)'!$A$34:$AN$735,12,FALSE)</f>
        <v>No</v>
      </c>
      <c r="K7" s="16" t="str">
        <f>VLOOKUP($A7,'SurveyRpt_20150223 (1)'!$A$34:$AN$735,14,FALSE)</f>
        <v>No</v>
      </c>
      <c r="L7" s="16" t="str">
        <f>VLOOKUP($A7,'SurveyRpt_20150223 (1)'!$A$34:$AN$735,16,FALSE)</f>
        <v>No</v>
      </c>
      <c r="M7" s="16" t="str">
        <f>VLOOKUP($A7,'SurveyRpt_20150223 (1)'!$A$34:$AN$735,18,FALSE)</f>
        <v>Yes</v>
      </c>
      <c r="N7" s="16" t="str">
        <f>VLOOKUP($A7,'SurveyRpt_20150223 (1)'!$A$34:$AN$735,20,FALSE)</f>
        <v>No</v>
      </c>
      <c r="O7" s="16" t="str">
        <f>VLOOKUP($A7,'SurveyRpt_20150223 (1)'!$A$34:$AN$735,22,FALSE)</f>
        <v>No</v>
      </c>
      <c r="P7" s="16" t="str">
        <f>VLOOKUP($A7,'SurveyRpt_20150223 (1)'!$A$34:$AN$735,24,FALSE)</f>
        <v>No</v>
      </c>
      <c r="Q7" s="16" t="str">
        <f>VLOOKUP($A7,'SurveyRpt_20150223 (1)'!$A$34:$AN$735,26,FALSE)</f>
        <v>No</v>
      </c>
      <c r="R7" s="16" t="str">
        <f>VLOOKUP($A7,'SurveyRpt_20150223 (1)'!$A$34:$AN$735,28,FALSE)</f>
        <v>No</v>
      </c>
      <c r="S7" s="16" t="str">
        <f>VLOOKUP($A7,'SurveyRpt_20150223 (1)'!$A$34:$AN$735,30,FALSE)</f>
        <v>No</v>
      </c>
      <c r="T7" s="16" t="str">
        <f>VLOOKUP($A7,'SurveyRpt_20150223 (1)'!$A$34:$AN$735,32,FALSE)</f>
        <v>No</v>
      </c>
      <c r="U7" s="16" t="str">
        <f>VLOOKUP($A7,'SurveyRpt_20150223 (1)'!$A$34:$AN$735,34,FALSE)</f>
        <v>No</v>
      </c>
      <c r="V7" s="16" t="str">
        <f>VLOOKUP($A7,'SurveyRpt_20150223 (1)'!$A$34:$AN$735,36,FALSE)</f>
        <v>No</v>
      </c>
      <c r="W7" s="16" t="str">
        <f>VLOOKUP($A7,'SurveyRpt_20150223 (1)'!$A$34:$AN$735,38,FALSE)</f>
        <v>No</v>
      </c>
    </row>
    <row r="8" spans="1:23" ht="13.5" customHeight="1" x14ac:dyDescent="0.25">
      <c r="A8" s="19" t="s">
        <v>101</v>
      </c>
      <c r="B8" s="19" t="str">
        <f t="shared" si="0"/>
        <v>SAZHAR</v>
      </c>
      <c r="C8" s="16" t="str">
        <f>VLOOKUP(B8,'Compiled Agents'!A:H,2,FALSE)</f>
        <v>Platform</v>
      </c>
      <c r="D8" s="16" t="str">
        <f>VLOOKUP(B8,'Compiled Agents'!A:H,4,FALSE)</f>
        <v>Noida</v>
      </c>
      <c r="E8" s="16" t="str">
        <f>VLOOKUP(B8,'Compiled Agents'!A:H,5,FALSE)</f>
        <v>Wave2</v>
      </c>
      <c r="F8" s="16" t="str">
        <f>VLOOKUP(B8,'Compiled Agents'!A:H,6,FALSE)</f>
        <v>Yellow</v>
      </c>
      <c r="G8" s="16">
        <f>VLOOKUP($A8,'SurveyRpt_20150223 (1)'!$A$34:$AN$735,6,FALSE)</f>
        <v>15</v>
      </c>
      <c r="H8" s="16" t="str">
        <f>VLOOKUP($A8,'SurveyRpt_20150223 (1)'!$A$34:$AN$735,8,FALSE)</f>
        <v>Yes</v>
      </c>
      <c r="I8" s="16" t="str">
        <f>VLOOKUP($A8,'SurveyRpt_20150223 (1)'!$A$34:$AN$735,10,FALSE)</f>
        <v>Yes</v>
      </c>
      <c r="J8" s="16" t="str">
        <f>VLOOKUP($A8,'SurveyRpt_20150223 (1)'!$A$34:$AN$735,12,FALSE)</f>
        <v>Yes</v>
      </c>
      <c r="K8" s="16" t="str">
        <f>VLOOKUP($A8,'SurveyRpt_20150223 (1)'!$A$34:$AN$735,14,FALSE)</f>
        <v>Yes</v>
      </c>
      <c r="L8" s="16" t="str">
        <f>VLOOKUP($A8,'SurveyRpt_20150223 (1)'!$A$34:$AN$735,16,FALSE)</f>
        <v>Yes</v>
      </c>
      <c r="M8" s="16" t="str">
        <f>VLOOKUP($A8,'SurveyRpt_20150223 (1)'!$A$34:$AN$735,18,FALSE)</f>
        <v>Yes</v>
      </c>
      <c r="N8" s="16" t="str">
        <f>VLOOKUP($A8,'SurveyRpt_20150223 (1)'!$A$34:$AN$735,20,FALSE)</f>
        <v>Yes</v>
      </c>
      <c r="O8" s="16" t="str">
        <f>VLOOKUP($A8,'SurveyRpt_20150223 (1)'!$A$34:$AN$735,22,FALSE)</f>
        <v>Yes</v>
      </c>
      <c r="P8" s="16" t="str">
        <f>VLOOKUP($A8,'SurveyRpt_20150223 (1)'!$A$34:$AN$735,24,FALSE)</f>
        <v>Yes</v>
      </c>
      <c r="Q8" s="16" t="str">
        <f>VLOOKUP($A8,'SurveyRpt_20150223 (1)'!$A$34:$AN$735,26,FALSE)</f>
        <v>Yes</v>
      </c>
      <c r="R8" s="16" t="str">
        <f>VLOOKUP($A8,'SurveyRpt_20150223 (1)'!$A$34:$AN$735,28,FALSE)</f>
        <v>Yes</v>
      </c>
      <c r="S8" s="16" t="str">
        <f>VLOOKUP($A8,'SurveyRpt_20150223 (1)'!$A$34:$AN$735,30,FALSE)</f>
        <v>Yes</v>
      </c>
      <c r="T8" s="16" t="str">
        <f>VLOOKUP($A8,'SurveyRpt_20150223 (1)'!$A$34:$AN$735,32,FALSE)</f>
        <v>Yes</v>
      </c>
      <c r="U8" s="16" t="str">
        <f>VLOOKUP($A8,'SurveyRpt_20150223 (1)'!$A$34:$AN$735,34,FALSE)</f>
        <v>Yes</v>
      </c>
      <c r="V8" s="16" t="str">
        <f>VLOOKUP($A8,'SurveyRpt_20150223 (1)'!$A$34:$AN$735,36,FALSE)</f>
        <v>No</v>
      </c>
      <c r="W8" s="16" t="str">
        <f>VLOOKUP($A8,'SurveyRpt_20150223 (1)'!$A$34:$AN$735,38,FALSE)</f>
        <v>Yes</v>
      </c>
    </row>
    <row r="9" spans="1:23" ht="13.5" customHeight="1" x14ac:dyDescent="0.25">
      <c r="A9" s="19" t="s">
        <v>102</v>
      </c>
      <c r="B9" s="19" t="str">
        <f t="shared" si="0"/>
        <v>NPEDDI3</v>
      </c>
      <c r="C9" s="16" t="str">
        <f>VLOOKUP(B9,'Compiled Agents'!A:H,2,FALSE)</f>
        <v>Platform</v>
      </c>
      <c r="D9" s="16" t="str">
        <f>VLOOKUP(B9,'Compiled Agents'!A:H,4,FALSE)</f>
        <v>Hyderabad</v>
      </c>
      <c r="E9" s="16" t="str">
        <f>VLOOKUP(B9,'Compiled Agents'!A:H,5,FALSE)</f>
        <v>Wave1</v>
      </c>
      <c r="F9" s="16" t="str">
        <f>VLOOKUP(B9,'Compiled Agents'!A:H,6,FALSE)</f>
        <v>Purple</v>
      </c>
      <c r="G9" s="16">
        <f>VLOOKUP($A9,'SurveyRpt_20150223 (1)'!$A$34:$AN$735,6,FALSE)</f>
        <v>16</v>
      </c>
      <c r="H9" s="16" t="str">
        <f>VLOOKUP($A9,'SurveyRpt_20150223 (1)'!$A$34:$AN$735,8,FALSE)</f>
        <v>Yes</v>
      </c>
      <c r="I9" s="16" t="str">
        <f>VLOOKUP($A9,'SurveyRpt_20150223 (1)'!$A$34:$AN$735,10,FALSE)</f>
        <v>Yes</v>
      </c>
      <c r="J9" s="16" t="str">
        <f>VLOOKUP($A9,'SurveyRpt_20150223 (1)'!$A$34:$AN$735,12,FALSE)</f>
        <v>Yes</v>
      </c>
      <c r="K9" s="16" t="str">
        <f>VLOOKUP($A9,'SurveyRpt_20150223 (1)'!$A$34:$AN$735,14,FALSE)</f>
        <v>Yes</v>
      </c>
      <c r="L9" s="16" t="str">
        <f>VLOOKUP($A9,'SurveyRpt_20150223 (1)'!$A$34:$AN$735,16,FALSE)</f>
        <v>Yes</v>
      </c>
      <c r="M9" s="16" t="str">
        <f>VLOOKUP($A9,'SurveyRpt_20150223 (1)'!$A$34:$AN$735,18,FALSE)</f>
        <v>Yes</v>
      </c>
      <c r="N9" s="16" t="str">
        <f>VLOOKUP($A9,'SurveyRpt_20150223 (1)'!$A$34:$AN$735,20,FALSE)</f>
        <v>Yes</v>
      </c>
      <c r="O9" s="16" t="str">
        <f>VLOOKUP($A9,'SurveyRpt_20150223 (1)'!$A$34:$AN$735,22,FALSE)</f>
        <v>Yes</v>
      </c>
      <c r="P9" s="16" t="str">
        <f>VLOOKUP($A9,'SurveyRpt_20150223 (1)'!$A$34:$AN$735,24,FALSE)</f>
        <v>Yes</v>
      </c>
      <c r="Q9" s="16" t="str">
        <f>VLOOKUP($A9,'SurveyRpt_20150223 (1)'!$A$34:$AN$735,26,FALSE)</f>
        <v>Yes</v>
      </c>
      <c r="R9" s="16" t="str">
        <f>VLOOKUP($A9,'SurveyRpt_20150223 (1)'!$A$34:$AN$735,28,FALSE)</f>
        <v>Yes</v>
      </c>
      <c r="S9" s="16" t="str">
        <f>VLOOKUP($A9,'SurveyRpt_20150223 (1)'!$A$34:$AN$735,30,FALSE)</f>
        <v>Yes</v>
      </c>
      <c r="T9" s="16" t="str">
        <f>VLOOKUP($A9,'SurveyRpt_20150223 (1)'!$A$34:$AN$735,32,FALSE)</f>
        <v>Yes</v>
      </c>
      <c r="U9" s="16" t="str">
        <f>VLOOKUP($A9,'SurveyRpt_20150223 (1)'!$A$34:$AN$735,34,FALSE)</f>
        <v>Yes</v>
      </c>
      <c r="V9" s="16" t="str">
        <f>VLOOKUP($A9,'SurveyRpt_20150223 (1)'!$A$34:$AN$735,36,FALSE)</f>
        <v>Yes</v>
      </c>
      <c r="W9" s="16" t="str">
        <f>VLOOKUP($A9,'SurveyRpt_20150223 (1)'!$A$34:$AN$735,38,FALSE)</f>
        <v>Yes</v>
      </c>
    </row>
    <row r="10" spans="1:23" ht="13.5" customHeight="1" x14ac:dyDescent="0.25">
      <c r="A10" s="19" t="s">
        <v>103</v>
      </c>
      <c r="B10" s="19" t="str">
        <f t="shared" si="0"/>
        <v>SKOTHURU</v>
      </c>
      <c r="C10" s="16" t="str">
        <f>VLOOKUP(B10,'Compiled Agents'!A:H,2,FALSE)</f>
        <v>Platform</v>
      </c>
      <c r="D10" s="16" t="str">
        <f>VLOOKUP(B10,'Compiled Agents'!A:H,4,FALSE)</f>
        <v>Hyderabad</v>
      </c>
      <c r="E10" s="16" t="str">
        <f>VLOOKUP(B10,'Compiled Agents'!A:H,5,FALSE)</f>
        <v>Wave1</v>
      </c>
      <c r="F10" s="16" t="str">
        <f>VLOOKUP(B10,'Compiled Agents'!A:H,6,FALSE)</f>
        <v>Purple</v>
      </c>
      <c r="G10" s="16">
        <f>VLOOKUP($A10,'SurveyRpt_20150223 (1)'!$A$34:$AN$735,6,FALSE)</f>
        <v>16</v>
      </c>
      <c r="H10" s="16" t="str">
        <f>VLOOKUP($A10,'SurveyRpt_20150223 (1)'!$A$34:$AN$735,8,FALSE)</f>
        <v>Yes</v>
      </c>
      <c r="I10" s="16" t="str">
        <f>VLOOKUP($A10,'SurveyRpt_20150223 (1)'!$A$34:$AN$735,10,FALSE)</f>
        <v>Yes</v>
      </c>
      <c r="J10" s="16" t="str">
        <f>VLOOKUP($A10,'SurveyRpt_20150223 (1)'!$A$34:$AN$735,12,FALSE)</f>
        <v>Yes</v>
      </c>
      <c r="K10" s="16" t="str">
        <f>VLOOKUP($A10,'SurveyRpt_20150223 (1)'!$A$34:$AN$735,14,FALSE)</f>
        <v>Yes</v>
      </c>
      <c r="L10" s="16" t="str">
        <f>VLOOKUP($A10,'SurveyRpt_20150223 (1)'!$A$34:$AN$735,16,FALSE)</f>
        <v>Yes</v>
      </c>
      <c r="M10" s="16" t="str">
        <f>VLOOKUP($A10,'SurveyRpt_20150223 (1)'!$A$34:$AN$735,18,FALSE)</f>
        <v>Yes</v>
      </c>
      <c r="N10" s="16" t="str">
        <f>VLOOKUP($A10,'SurveyRpt_20150223 (1)'!$A$34:$AN$735,20,FALSE)</f>
        <v>Yes</v>
      </c>
      <c r="O10" s="16" t="str">
        <f>VLOOKUP($A10,'SurveyRpt_20150223 (1)'!$A$34:$AN$735,22,FALSE)</f>
        <v>Yes</v>
      </c>
      <c r="P10" s="16" t="str">
        <f>VLOOKUP($A10,'SurveyRpt_20150223 (1)'!$A$34:$AN$735,24,FALSE)</f>
        <v>Yes</v>
      </c>
      <c r="Q10" s="16" t="str">
        <f>VLOOKUP($A10,'SurveyRpt_20150223 (1)'!$A$34:$AN$735,26,FALSE)</f>
        <v>Yes</v>
      </c>
      <c r="R10" s="16" t="str">
        <f>VLOOKUP($A10,'SurveyRpt_20150223 (1)'!$A$34:$AN$735,28,FALSE)</f>
        <v>Yes</v>
      </c>
      <c r="S10" s="16" t="str">
        <f>VLOOKUP($A10,'SurveyRpt_20150223 (1)'!$A$34:$AN$735,30,FALSE)</f>
        <v>Yes</v>
      </c>
      <c r="T10" s="16" t="str">
        <f>VLOOKUP($A10,'SurveyRpt_20150223 (1)'!$A$34:$AN$735,32,FALSE)</f>
        <v>Yes</v>
      </c>
      <c r="U10" s="16" t="str">
        <f>VLOOKUP($A10,'SurveyRpt_20150223 (1)'!$A$34:$AN$735,34,FALSE)</f>
        <v>Yes</v>
      </c>
      <c r="V10" s="16" t="str">
        <f>VLOOKUP($A10,'SurveyRpt_20150223 (1)'!$A$34:$AN$735,36,FALSE)</f>
        <v>Yes</v>
      </c>
      <c r="W10" s="16" t="str">
        <f>VLOOKUP($A10,'SurveyRpt_20150223 (1)'!$A$34:$AN$735,38,FALSE)</f>
        <v>Yes</v>
      </c>
    </row>
    <row r="11" spans="1:23" ht="13.5" customHeight="1" x14ac:dyDescent="0.25">
      <c r="A11" s="19" t="s">
        <v>104</v>
      </c>
      <c r="B11" s="19" t="str">
        <f t="shared" si="0"/>
        <v>RVOJJALA</v>
      </c>
      <c r="C11" s="16" t="str">
        <f>VLOOKUP(B11,'Compiled Agents'!A:H,2,FALSE)</f>
        <v>Platform</v>
      </c>
      <c r="D11" s="16" t="str">
        <f>VLOOKUP(B11,'Compiled Agents'!A:H,4,FALSE)</f>
        <v>Hyderabad</v>
      </c>
      <c r="E11" s="16" t="str">
        <f>VLOOKUP(B11,'Compiled Agents'!A:H,5,FALSE)</f>
        <v>Wave1</v>
      </c>
      <c r="F11" s="16" t="str">
        <f>VLOOKUP(B11,'Compiled Agents'!A:H,6,FALSE)</f>
        <v>Yellow</v>
      </c>
      <c r="G11" s="16">
        <f>VLOOKUP($A11,'SurveyRpt_20150223 (1)'!$A$34:$AN$735,6,FALSE)</f>
        <v>16</v>
      </c>
      <c r="H11" s="16" t="str">
        <f>VLOOKUP($A11,'SurveyRpt_20150223 (1)'!$A$34:$AN$735,8,FALSE)</f>
        <v>Yes</v>
      </c>
      <c r="I11" s="16" t="str">
        <f>VLOOKUP($A11,'SurveyRpt_20150223 (1)'!$A$34:$AN$735,10,FALSE)</f>
        <v>Yes</v>
      </c>
      <c r="J11" s="16" t="str">
        <f>VLOOKUP($A11,'SurveyRpt_20150223 (1)'!$A$34:$AN$735,12,FALSE)</f>
        <v>Yes</v>
      </c>
      <c r="K11" s="16" t="str">
        <f>VLOOKUP($A11,'SurveyRpt_20150223 (1)'!$A$34:$AN$735,14,FALSE)</f>
        <v>Yes</v>
      </c>
      <c r="L11" s="16" t="str">
        <f>VLOOKUP($A11,'SurveyRpt_20150223 (1)'!$A$34:$AN$735,16,FALSE)</f>
        <v>Yes</v>
      </c>
      <c r="M11" s="16" t="str">
        <f>VLOOKUP($A11,'SurveyRpt_20150223 (1)'!$A$34:$AN$735,18,FALSE)</f>
        <v>Yes</v>
      </c>
      <c r="N11" s="16" t="str">
        <f>VLOOKUP($A11,'SurveyRpt_20150223 (1)'!$A$34:$AN$735,20,FALSE)</f>
        <v>Yes</v>
      </c>
      <c r="O11" s="16" t="str">
        <f>VLOOKUP($A11,'SurveyRpt_20150223 (1)'!$A$34:$AN$735,22,FALSE)</f>
        <v>Yes</v>
      </c>
      <c r="P11" s="16" t="str">
        <f>VLOOKUP($A11,'SurveyRpt_20150223 (1)'!$A$34:$AN$735,24,FALSE)</f>
        <v>Yes</v>
      </c>
      <c r="Q11" s="16" t="str">
        <f>VLOOKUP($A11,'SurveyRpt_20150223 (1)'!$A$34:$AN$735,26,FALSE)</f>
        <v>Yes</v>
      </c>
      <c r="R11" s="16" t="str">
        <f>VLOOKUP($A11,'SurveyRpt_20150223 (1)'!$A$34:$AN$735,28,FALSE)</f>
        <v>Yes</v>
      </c>
      <c r="S11" s="16" t="str">
        <f>VLOOKUP($A11,'SurveyRpt_20150223 (1)'!$A$34:$AN$735,30,FALSE)</f>
        <v>Yes</v>
      </c>
      <c r="T11" s="16" t="str">
        <f>VLOOKUP($A11,'SurveyRpt_20150223 (1)'!$A$34:$AN$735,32,FALSE)</f>
        <v>Yes</v>
      </c>
      <c r="U11" s="16" t="str">
        <f>VLOOKUP($A11,'SurveyRpt_20150223 (1)'!$A$34:$AN$735,34,FALSE)</f>
        <v>Yes</v>
      </c>
      <c r="V11" s="16" t="str">
        <f>VLOOKUP($A11,'SurveyRpt_20150223 (1)'!$A$34:$AN$735,36,FALSE)</f>
        <v>Yes</v>
      </c>
      <c r="W11" s="16" t="str">
        <f>VLOOKUP($A11,'SurveyRpt_20150223 (1)'!$A$34:$AN$735,38,FALSE)</f>
        <v>Yes</v>
      </c>
    </row>
    <row r="12" spans="1:23" ht="13.5" customHeight="1" x14ac:dyDescent="0.25">
      <c r="A12" s="19" t="s">
        <v>105</v>
      </c>
      <c r="B12" s="19" t="str">
        <f t="shared" si="0"/>
        <v>NASHOKKUMARS</v>
      </c>
      <c r="C12" s="16" t="str">
        <f>VLOOKUP(B12,'Compiled Agents'!A:H,2,FALSE)</f>
        <v>Platform</v>
      </c>
      <c r="D12" s="16" t="str">
        <f>VLOOKUP(B12,'Compiled Agents'!A:H,4,FALSE)</f>
        <v>Hyderabad</v>
      </c>
      <c r="E12" s="16" t="str">
        <f>VLOOKUP(B12,'Compiled Agents'!A:H,5,FALSE)</f>
        <v>Wave1</v>
      </c>
      <c r="F12" s="16" t="str">
        <f>VLOOKUP(B12,'Compiled Agents'!A:H,6,FALSE)</f>
        <v>Purple</v>
      </c>
      <c r="G12" s="16">
        <f>VLOOKUP($A12,'SurveyRpt_20150223 (1)'!$A$34:$AN$735,6,FALSE)</f>
        <v>10</v>
      </c>
      <c r="H12" s="16" t="str">
        <f>VLOOKUP($A12,'SurveyRpt_20150223 (1)'!$A$34:$AN$735,8,FALSE)</f>
        <v>Yes</v>
      </c>
      <c r="I12" s="16" t="str">
        <f>VLOOKUP($A12,'SurveyRpt_20150223 (1)'!$A$34:$AN$735,10,FALSE)</f>
        <v>No</v>
      </c>
      <c r="J12" s="16" t="str">
        <f>VLOOKUP($A12,'SurveyRpt_20150223 (1)'!$A$34:$AN$735,12,FALSE)</f>
        <v>No</v>
      </c>
      <c r="K12" s="16" t="str">
        <f>VLOOKUP($A12,'SurveyRpt_20150223 (1)'!$A$34:$AN$735,14,FALSE)</f>
        <v>No</v>
      </c>
      <c r="L12" s="16" t="str">
        <f>VLOOKUP($A12,'SurveyRpt_20150223 (1)'!$A$34:$AN$735,16,FALSE)</f>
        <v>Yes</v>
      </c>
      <c r="M12" s="16" t="str">
        <f>VLOOKUP($A12,'SurveyRpt_20150223 (1)'!$A$34:$AN$735,18,FALSE)</f>
        <v>Yes</v>
      </c>
      <c r="N12" s="16" t="str">
        <f>VLOOKUP($A12,'SurveyRpt_20150223 (1)'!$A$34:$AN$735,20,FALSE)</f>
        <v>No</v>
      </c>
      <c r="O12" s="16" t="str">
        <f>VLOOKUP($A12,'SurveyRpt_20150223 (1)'!$A$34:$AN$735,22,FALSE)</f>
        <v>Yes</v>
      </c>
      <c r="P12" s="16" t="str">
        <f>VLOOKUP($A12,'SurveyRpt_20150223 (1)'!$A$34:$AN$735,24,FALSE)</f>
        <v>No</v>
      </c>
      <c r="Q12" s="16" t="str">
        <f>VLOOKUP($A12,'SurveyRpt_20150223 (1)'!$A$34:$AN$735,26,FALSE)</f>
        <v>Yes</v>
      </c>
      <c r="R12" s="16" t="str">
        <f>VLOOKUP($A12,'SurveyRpt_20150223 (1)'!$A$34:$AN$735,28,FALSE)</f>
        <v>Yes</v>
      </c>
      <c r="S12" s="16" t="str">
        <f>VLOOKUP($A12,'SurveyRpt_20150223 (1)'!$A$34:$AN$735,30,FALSE)</f>
        <v>Yes</v>
      </c>
      <c r="T12" s="16" t="str">
        <f>VLOOKUP($A12,'SurveyRpt_20150223 (1)'!$A$34:$AN$735,32,FALSE)</f>
        <v>Yes</v>
      </c>
      <c r="U12" s="16" t="str">
        <f>VLOOKUP($A12,'SurveyRpt_20150223 (1)'!$A$34:$AN$735,34,FALSE)</f>
        <v>Yes</v>
      </c>
      <c r="V12" s="16" t="str">
        <f>VLOOKUP($A12,'SurveyRpt_20150223 (1)'!$A$34:$AN$735,36,FALSE)</f>
        <v>Yes</v>
      </c>
      <c r="W12" s="16" t="str">
        <f>VLOOKUP($A12,'SurveyRpt_20150223 (1)'!$A$34:$AN$735,38,FALSE)</f>
        <v>No</v>
      </c>
    </row>
    <row r="13" spans="1:23" ht="13.5" customHeight="1" x14ac:dyDescent="0.25">
      <c r="A13" s="19" t="s">
        <v>106</v>
      </c>
      <c r="B13" s="19" t="str">
        <f t="shared" si="0"/>
        <v>KSIDDIQUI5</v>
      </c>
      <c r="C13" s="16" t="str">
        <f>VLOOKUP(B13,'Compiled Agents'!A:H,2,FALSE)</f>
        <v>Platform</v>
      </c>
      <c r="D13" s="16" t="str">
        <f>VLOOKUP(B13,'Compiled Agents'!A:H,4,FALSE)</f>
        <v>Noida</v>
      </c>
      <c r="E13" s="16" t="str">
        <f>VLOOKUP(B13,'Compiled Agents'!A:H,5,FALSE)</f>
        <v>Wave2</v>
      </c>
      <c r="F13" s="16" t="str">
        <f>VLOOKUP(B13,'Compiled Agents'!A:H,6,FALSE)</f>
        <v>Yellow</v>
      </c>
      <c r="G13" s="16">
        <f>VLOOKUP($A13,'SurveyRpt_20150223 (1)'!$A$34:$AN$735,6,FALSE)</f>
        <v>15</v>
      </c>
      <c r="H13" s="16" t="str">
        <f>VLOOKUP($A13,'SurveyRpt_20150223 (1)'!$A$34:$AN$735,8,FALSE)</f>
        <v>Yes</v>
      </c>
      <c r="I13" s="16" t="str">
        <f>VLOOKUP($A13,'SurveyRpt_20150223 (1)'!$A$34:$AN$735,10,FALSE)</f>
        <v>Yes</v>
      </c>
      <c r="J13" s="16" t="str">
        <f>VLOOKUP($A13,'SurveyRpt_20150223 (1)'!$A$34:$AN$735,12,FALSE)</f>
        <v>Yes</v>
      </c>
      <c r="K13" s="16" t="str">
        <f>VLOOKUP($A13,'SurveyRpt_20150223 (1)'!$A$34:$AN$735,14,FALSE)</f>
        <v>No</v>
      </c>
      <c r="L13" s="16" t="str">
        <f>VLOOKUP($A13,'SurveyRpt_20150223 (1)'!$A$34:$AN$735,16,FALSE)</f>
        <v>Yes</v>
      </c>
      <c r="M13" s="16" t="str">
        <f>VLOOKUP($A13,'SurveyRpt_20150223 (1)'!$A$34:$AN$735,18,FALSE)</f>
        <v>Yes</v>
      </c>
      <c r="N13" s="16" t="str">
        <f>VLOOKUP($A13,'SurveyRpt_20150223 (1)'!$A$34:$AN$735,20,FALSE)</f>
        <v>Yes</v>
      </c>
      <c r="O13" s="16" t="str">
        <f>VLOOKUP($A13,'SurveyRpt_20150223 (1)'!$A$34:$AN$735,22,FALSE)</f>
        <v>Yes</v>
      </c>
      <c r="P13" s="16" t="str">
        <f>VLOOKUP($A13,'SurveyRpt_20150223 (1)'!$A$34:$AN$735,24,FALSE)</f>
        <v>Yes</v>
      </c>
      <c r="Q13" s="16" t="str">
        <f>VLOOKUP($A13,'SurveyRpt_20150223 (1)'!$A$34:$AN$735,26,FALSE)</f>
        <v>Yes</v>
      </c>
      <c r="R13" s="16" t="str">
        <f>VLOOKUP($A13,'SurveyRpt_20150223 (1)'!$A$34:$AN$735,28,FALSE)</f>
        <v>Yes</v>
      </c>
      <c r="S13" s="16" t="str">
        <f>VLOOKUP($A13,'SurveyRpt_20150223 (1)'!$A$34:$AN$735,30,FALSE)</f>
        <v>Yes</v>
      </c>
      <c r="T13" s="16" t="str">
        <f>VLOOKUP($A13,'SurveyRpt_20150223 (1)'!$A$34:$AN$735,32,FALSE)</f>
        <v>Yes</v>
      </c>
      <c r="U13" s="16" t="str">
        <f>VLOOKUP($A13,'SurveyRpt_20150223 (1)'!$A$34:$AN$735,34,FALSE)</f>
        <v>Yes</v>
      </c>
      <c r="V13" s="16" t="str">
        <f>VLOOKUP($A13,'SurveyRpt_20150223 (1)'!$A$34:$AN$735,36,FALSE)</f>
        <v>Yes</v>
      </c>
      <c r="W13" s="16" t="str">
        <f>VLOOKUP($A13,'SurveyRpt_20150223 (1)'!$A$34:$AN$735,38,FALSE)</f>
        <v>Yes</v>
      </c>
    </row>
    <row r="14" spans="1:23" ht="13.5" customHeight="1" x14ac:dyDescent="0.25">
      <c r="A14" s="19" t="s">
        <v>107</v>
      </c>
      <c r="B14" s="19" t="str">
        <f t="shared" si="0"/>
        <v>AKAPOOR29</v>
      </c>
      <c r="C14" s="16" t="str">
        <f>VLOOKUP(B14,'Compiled Agents'!A:H,2,FALSE)</f>
        <v>Platform</v>
      </c>
      <c r="D14" s="16" t="str">
        <f>VLOOKUP(B14,'Compiled Agents'!A:H,4,FALSE)</f>
        <v>Noida</v>
      </c>
      <c r="E14" s="16" t="str">
        <f>VLOOKUP(B14,'Compiled Agents'!A:H,5,FALSE)</f>
        <v>Wave1</v>
      </c>
      <c r="F14" s="16" t="str">
        <f>VLOOKUP(B14,'Compiled Agents'!A:H,6,FALSE)</f>
        <v>Purple</v>
      </c>
      <c r="G14" s="16">
        <f>VLOOKUP($A14,'SurveyRpt_20150223 (1)'!$A$34:$AN$735,6,FALSE)</f>
        <v>2</v>
      </c>
      <c r="H14" s="16" t="str">
        <f>VLOOKUP($A14,'SurveyRpt_20150223 (1)'!$A$34:$AN$735,8,FALSE)</f>
        <v>No</v>
      </c>
      <c r="I14" s="16" t="str">
        <f>VLOOKUP($A14,'SurveyRpt_20150223 (1)'!$A$34:$AN$735,10,FALSE)</f>
        <v>Yes</v>
      </c>
      <c r="J14" s="16" t="str">
        <f>VLOOKUP($A14,'SurveyRpt_20150223 (1)'!$A$34:$AN$735,12,FALSE)</f>
        <v>No</v>
      </c>
      <c r="K14" s="16" t="str">
        <f>VLOOKUP($A14,'SurveyRpt_20150223 (1)'!$A$34:$AN$735,14,FALSE)</f>
        <v>No</v>
      </c>
      <c r="L14" s="16" t="str">
        <f>VLOOKUP($A14,'SurveyRpt_20150223 (1)'!$A$34:$AN$735,16,FALSE)</f>
        <v>No</v>
      </c>
      <c r="M14" s="16" t="str">
        <f>VLOOKUP($A14,'SurveyRpt_20150223 (1)'!$A$34:$AN$735,18,FALSE)</f>
        <v>No</v>
      </c>
      <c r="N14" s="16" t="str">
        <f>VLOOKUP($A14,'SurveyRpt_20150223 (1)'!$A$34:$AN$735,20,FALSE)</f>
        <v>No</v>
      </c>
      <c r="O14" s="16" t="str">
        <f>VLOOKUP($A14,'SurveyRpt_20150223 (1)'!$A$34:$AN$735,22,FALSE)</f>
        <v>No</v>
      </c>
      <c r="P14" s="16" t="str">
        <f>VLOOKUP($A14,'SurveyRpt_20150223 (1)'!$A$34:$AN$735,24,FALSE)</f>
        <v>No</v>
      </c>
      <c r="Q14" s="16" t="str">
        <f>VLOOKUP($A14,'SurveyRpt_20150223 (1)'!$A$34:$AN$735,26,FALSE)</f>
        <v>No</v>
      </c>
      <c r="R14" s="16" t="str">
        <f>VLOOKUP($A14,'SurveyRpt_20150223 (1)'!$A$34:$AN$735,28,FALSE)</f>
        <v>No</v>
      </c>
      <c r="S14" s="16" t="str">
        <f>VLOOKUP($A14,'SurveyRpt_20150223 (1)'!$A$34:$AN$735,30,FALSE)</f>
        <v>Yes</v>
      </c>
      <c r="T14" s="16" t="str">
        <f>VLOOKUP($A14,'SurveyRpt_20150223 (1)'!$A$34:$AN$735,32,FALSE)</f>
        <v>No</v>
      </c>
      <c r="U14" s="16" t="str">
        <f>VLOOKUP($A14,'SurveyRpt_20150223 (1)'!$A$34:$AN$735,34,FALSE)</f>
        <v>No</v>
      </c>
      <c r="V14" s="16" t="str">
        <f>VLOOKUP($A14,'SurveyRpt_20150223 (1)'!$A$34:$AN$735,36,FALSE)</f>
        <v>No</v>
      </c>
      <c r="W14" s="16" t="str">
        <f>VLOOKUP($A14,'SurveyRpt_20150223 (1)'!$A$34:$AN$735,38,FALSE)</f>
        <v>No</v>
      </c>
    </row>
    <row r="15" spans="1:23" ht="13.5" customHeight="1" x14ac:dyDescent="0.25">
      <c r="A15" s="19" t="s">
        <v>108</v>
      </c>
      <c r="B15" s="19" t="str">
        <f t="shared" si="0"/>
        <v>RJAIN29</v>
      </c>
      <c r="C15" s="16" t="str">
        <f>VLOOKUP(B15,'Compiled Agents'!A:H,2,FALSE)</f>
        <v>Platform</v>
      </c>
      <c r="D15" s="16" t="str">
        <f>VLOOKUP(B15,'Compiled Agents'!A:H,4,FALSE)</f>
        <v>Noida</v>
      </c>
      <c r="E15" s="16" t="str">
        <f>VLOOKUP(B15,'Compiled Agents'!A:H,5,FALSE)</f>
        <v>Wave2</v>
      </c>
      <c r="F15" s="16" t="str">
        <f>VLOOKUP(B15,'Compiled Agents'!A:H,6,FALSE)</f>
        <v>Purple</v>
      </c>
      <c r="G15" s="16">
        <f>VLOOKUP($A15,'SurveyRpt_20150223 (1)'!$A$34:$AN$735,6,FALSE)</f>
        <v>10</v>
      </c>
      <c r="H15" s="16" t="str">
        <f>VLOOKUP($A15,'SurveyRpt_20150223 (1)'!$A$34:$AN$735,8,FALSE)</f>
        <v>No</v>
      </c>
      <c r="I15" s="16" t="str">
        <f>VLOOKUP($A15,'SurveyRpt_20150223 (1)'!$A$34:$AN$735,10,FALSE)</f>
        <v>No</v>
      </c>
      <c r="J15" s="16" t="str">
        <f>VLOOKUP($A15,'SurveyRpt_20150223 (1)'!$A$34:$AN$735,12,FALSE)</f>
        <v>No</v>
      </c>
      <c r="K15" s="16" t="str">
        <f>VLOOKUP($A15,'SurveyRpt_20150223 (1)'!$A$34:$AN$735,14,FALSE)</f>
        <v>No</v>
      </c>
      <c r="L15" s="16" t="str">
        <f>VLOOKUP($A15,'SurveyRpt_20150223 (1)'!$A$34:$AN$735,16,FALSE)</f>
        <v>Yes</v>
      </c>
      <c r="M15" s="16" t="str">
        <f>VLOOKUP($A15,'SurveyRpt_20150223 (1)'!$A$34:$AN$735,18,FALSE)</f>
        <v>Yes</v>
      </c>
      <c r="N15" s="16" t="str">
        <f>VLOOKUP($A15,'SurveyRpt_20150223 (1)'!$A$34:$AN$735,20,FALSE)</f>
        <v>Yes</v>
      </c>
      <c r="O15" s="16" t="str">
        <f>VLOOKUP($A15,'SurveyRpt_20150223 (1)'!$A$34:$AN$735,22,FALSE)</f>
        <v>Yes</v>
      </c>
      <c r="P15" s="16" t="str">
        <f>VLOOKUP($A15,'SurveyRpt_20150223 (1)'!$A$34:$AN$735,24,FALSE)</f>
        <v>Yes</v>
      </c>
      <c r="Q15" s="16" t="str">
        <f>VLOOKUP($A15,'SurveyRpt_20150223 (1)'!$A$34:$AN$735,26,FALSE)</f>
        <v>Yes</v>
      </c>
      <c r="R15" s="16" t="str">
        <f>VLOOKUP($A15,'SurveyRpt_20150223 (1)'!$A$34:$AN$735,28,FALSE)</f>
        <v>Yes</v>
      </c>
      <c r="S15" s="16" t="str">
        <f>VLOOKUP($A15,'SurveyRpt_20150223 (1)'!$A$34:$AN$735,30,FALSE)</f>
        <v>Yes</v>
      </c>
      <c r="T15" s="16" t="str">
        <f>VLOOKUP($A15,'SurveyRpt_20150223 (1)'!$A$34:$AN$735,32,FALSE)</f>
        <v>No</v>
      </c>
      <c r="U15" s="16" t="str">
        <f>VLOOKUP($A15,'SurveyRpt_20150223 (1)'!$A$34:$AN$735,34,FALSE)</f>
        <v>Yes</v>
      </c>
      <c r="V15" s="16" t="str">
        <f>VLOOKUP($A15,'SurveyRpt_20150223 (1)'!$A$34:$AN$735,36,FALSE)</f>
        <v>Yes</v>
      </c>
      <c r="W15" s="16" t="str">
        <f>VLOOKUP($A15,'SurveyRpt_20150223 (1)'!$A$34:$AN$735,38,FALSE)</f>
        <v>No</v>
      </c>
    </row>
    <row r="16" spans="1:23" ht="13.5" customHeight="1" x14ac:dyDescent="0.25">
      <c r="A16" s="19" t="s">
        <v>109</v>
      </c>
      <c r="B16" s="19" t="str">
        <f t="shared" si="0"/>
        <v>mmenon4</v>
      </c>
      <c r="C16" s="16" t="str">
        <f>VLOOKUP(B16,'Compiled Agents'!A:H,2,FALSE)</f>
        <v>Platform</v>
      </c>
      <c r="D16" s="16" t="str">
        <f>VLOOKUP(B16,'Compiled Agents'!A:H,4,FALSE)</f>
        <v>Noida</v>
      </c>
      <c r="E16" s="16" t="str">
        <f>VLOOKUP(B16,'Compiled Agents'!A:H,5,FALSE)</f>
        <v>Wave2</v>
      </c>
      <c r="F16" s="16" t="str">
        <f>VLOOKUP(B16,'Compiled Agents'!A:H,6,FALSE)</f>
        <v>Brown</v>
      </c>
      <c r="G16" s="16">
        <f>VLOOKUP($A16,'SurveyRpt_20150223 (1)'!$A$34:$AN$735,6,FALSE)</f>
        <v>16</v>
      </c>
      <c r="H16" s="16" t="str">
        <f>VLOOKUP($A16,'SurveyRpt_20150223 (1)'!$A$34:$AN$735,8,FALSE)</f>
        <v>Yes</v>
      </c>
      <c r="I16" s="16" t="str">
        <f>VLOOKUP($A16,'SurveyRpt_20150223 (1)'!$A$34:$AN$735,10,FALSE)</f>
        <v>Yes</v>
      </c>
      <c r="J16" s="16" t="str">
        <f>VLOOKUP($A16,'SurveyRpt_20150223 (1)'!$A$34:$AN$735,12,FALSE)</f>
        <v>Yes</v>
      </c>
      <c r="K16" s="16" t="str">
        <f>VLOOKUP($A16,'SurveyRpt_20150223 (1)'!$A$34:$AN$735,14,FALSE)</f>
        <v>Yes</v>
      </c>
      <c r="L16" s="16" t="str">
        <f>VLOOKUP($A16,'SurveyRpt_20150223 (1)'!$A$34:$AN$735,16,FALSE)</f>
        <v>Yes</v>
      </c>
      <c r="M16" s="16" t="str">
        <f>VLOOKUP($A16,'SurveyRpt_20150223 (1)'!$A$34:$AN$735,18,FALSE)</f>
        <v>Yes</v>
      </c>
      <c r="N16" s="16" t="str">
        <f>VLOOKUP($A16,'SurveyRpt_20150223 (1)'!$A$34:$AN$735,20,FALSE)</f>
        <v>Yes</v>
      </c>
      <c r="O16" s="16" t="str">
        <f>VLOOKUP($A16,'SurveyRpt_20150223 (1)'!$A$34:$AN$735,22,FALSE)</f>
        <v>Yes</v>
      </c>
      <c r="P16" s="16" t="str">
        <f>VLOOKUP($A16,'SurveyRpt_20150223 (1)'!$A$34:$AN$735,24,FALSE)</f>
        <v>Yes</v>
      </c>
      <c r="Q16" s="16" t="str">
        <f>VLOOKUP($A16,'SurveyRpt_20150223 (1)'!$A$34:$AN$735,26,FALSE)</f>
        <v>Yes</v>
      </c>
      <c r="R16" s="16" t="str">
        <f>VLOOKUP($A16,'SurveyRpt_20150223 (1)'!$A$34:$AN$735,28,FALSE)</f>
        <v>Yes</v>
      </c>
      <c r="S16" s="16" t="str">
        <f>VLOOKUP($A16,'SurveyRpt_20150223 (1)'!$A$34:$AN$735,30,FALSE)</f>
        <v>Yes</v>
      </c>
      <c r="T16" s="16" t="str">
        <f>VLOOKUP($A16,'SurveyRpt_20150223 (1)'!$A$34:$AN$735,32,FALSE)</f>
        <v>Yes</v>
      </c>
      <c r="U16" s="16" t="str">
        <f>VLOOKUP($A16,'SurveyRpt_20150223 (1)'!$A$34:$AN$735,34,FALSE)</f>
        <v>Yes</v>
      </c>
      <c r="V16" s="16" t="str">
        <f>VLOOKUP($A16,'SurveyRpt_20150223 (1)'!$A$34:$AN$735,36,FALSE)</f>
        <v>Yes</v>
      </c>
      <c r="W16" s="16" t="str">
        <f>VLOOKUP($A16,'SurveyRpt_20150223 (1)'!$A$34:$AN$735,38,FALSE)</f>
        <v>Yes</v>
      </c>
    </row>
    <row r="17" spans="1:23" ht="13.5" customHeight="1" x14ac:dyDescent="0.25">
      <c r="A17" s="19" t="s">
        <v>110</v>
      </c>
      <c r="B17" s="19" t="str">
        <f t="shared" si="0"/>
        <v>SVASAMSETTI</v>
      </c>
      <c r="C17" s="16" t="str">
        <f>VLOOKUP(B17,'Compiled Agents'!A:H,2,FALSE)</f>
        <v>Platform</v>
      </c>
      <c r="D17" s="16" t="str">
        <f>VLOOKUP(B17,'Compiled Agents'!A:H,4,FALSE)</f>
        <v>Hyderabad</v>
      </c>
      <c r="E17" s="16" t="str">
        <f>VLOOKUP(B17,'Compiled Agents'!A:H,5,FALSE)</f>
        <v>Wave1</v>
      </c>
      <c r="F17" s="16" t="str">
        <f>VLOOKUP(B17,'Compiled Agents'!A:H,6,FALSE)</f>
        <v>Blue</v>
      </c>
      <c r="G17" s="16">
        <f>VLOOKUP($A17,'SurveyRpt_20150223 (1)'!$A$34:$AN$735,6,FALSE)</f>
        <v>15</v>
      </c>
      <c r="H17" s="16" t="str">
        <f>VLOOKUP($A17,'SurveyRpt_20150223 (1)'!$A$34:$AN$735,8,FALSE)</f>
        <v>Yes</v>
      </c>
      <c r="I17" s="16" t="str">
        <f>VLOOKUP($A17,'SurveyRpt_20150223 (1)'!$A$34:$AN$735,10,FALSE)</f>
        <v>Yes</v>
      </c>
      <c r="J17" s="16" t="str">
        <f>VLOOKUP($A17,'SurveyRpt_20150223 (1)'!$A$34:$AN$735,12,FALSE)</f>
        <v>Yes</v>
      </c>
      <c r="K17" s="16" t="str">
        <f>VLOOKUP($A17,'SurveyRpt_20150223 (1)'!$A$34:$AN$735,14,FALSE)</f>
        <v>Yes</v>
      </c>
      <c r="L17" s="16" t="str">
        <f>VLOOKUP($A17,'SurveyRpt_20150223 (1)'!$A$34:$AN$735,16,FALSE)</f>
        <v>Yes</v>
      </c>
      <c r="M17" s="16" t="str">
        <f>VLOOKUP($A17,'SurveyRpt_20150223 (1)'!$A$34:$AN$735,18,FALSE)</f>
        <v>Yes</v>
      </c>
      <c r="N17" s="16" t="str">
        <f>VLOOKUP($A17,'SurveyRpt_20150223 (1)'!$A$34:$AN$735,20,FALSE)</f>
        <v>No</v>
      </c>
      <c r="O17" s="16" t="str">
        <f>VLOOKUP($A17,'SurveyRpt_20150223 (1)'!$A$34:$AN$735,22,FALSE)</f>
        <v>Yes</v>
      </c>
      <c r="P17" s="16" t="str">
        <f>VLOOKUP($A17,'SurveyRpt_20150223 (1)'!$A$34:$AN$735,24,FALSE)</f>
        <v>Yes</v>
      </c>
      <c r="Q17" s="16" t="str">
        <f>VLOOKUP($A17,'SurveyRpt_20150223 (1)'!$A$34:$AN$735,26,FALSE)</f>
        <v>Yes</v>
      </c>
      <c r="R17" s="16" t="str">
        <f>VLOOKUP($A17,'SurveyRpt_20150223 (1)'!$A$34:$AN$735,28,FALSE)</f>
        <v>Yes</v>
      </c>
      <c r="S17" s="16" t="str">
        <f>VLOOKUP($A17,'SurveyRpt_20150223 (1)'!$A$34:$AN$735,30,FALSE)</f>
        <v>Yes</v>
      </c>
      <c r="T17" s="16" t="str">
        <f>VLOOKUP($A17,'SurveyRpt_20150223 (1)'!$A$34:$AN$735,32,FALSE)</f>
        <v>Yes</v>
      </c>
      <c r="U17" s="16" t="str">
        <f>VLOOKUP($A17,'SurveyRpt_20150223 (1)'!$A$34:$AN$735,34,FALSE)</f>
        <v>Yes</v>
      </c>
      <c r="V17" s="16" t="str">
        <f>VLOOKUP($A17,'SurveyRpt_20150223 (1)'!$A$34:$AN$735,36,FALSE)</f>
        <v>Yes</v>
      </c>
      <c r="W17" s="16" t="str">
        <f>VLOOKUP($A17,'SurveyRpt_20150223 (1)'!$A$34:$AN$735,38,FALSE)</f>
        <v>Yes</v>
      </c>
    </row>
    <row r="18" spans="1:23" ht="13.5" customHeight="1" x14ac:dyDescent="0.25">
      <c r="A18" s="19" t="s">
        <v>111</v>
      </c>
      <c r="B18" s="19" t="str">
        <f t="shared" si="0"/>
        <v>SSEKAR27</v>
      </c>
      <c r="C18" s="16" t="str">
        <f>VLOOKUP(B18,'Compiled Agents'!A:H,2,FALSE)</f>
        <v>Workplace</v>
      </c>
      <c r="D18" s="16" t="str">
        <f>VLOOKUP(B18,'Compiled Agents'!A:H,4,FALSE)</f>
        <v>Noida</v>
      </c>
      <c r="E18" s="16" t="str">
        <f>VLOOKUP(B18,'Compiled Agents'!A:H,5,FALSE)</f>
        <v>Wave2</v>
      </c>
      <c r="F18" s="16" t="str">
        <f>VLOOKUP(B18,'Compiled Agents'!A:H,6,FALSE)</f>
        <v>Purple</v>
      </c>
      <c r="G18" s="16">
        <f>VLOOKUP($A18,'SurveyRpt_20150223 (1)'!$A$34:$AN$735,6,FALSE)</f>
        <v>16</v>
      </c>
      <c r="H18" s="16" t="str">
        <f>VLOOKUP($A18,'SurveyRpt_20150223 (1)'!$A$34:$AN$735,8,FALSE)</f>
        <v>Yes</v>
      </c>
      <c r="I18" s="16" t="str">
        <f>VLOOKUP($A18,'SurveyRpt_20150223 (1)'!$A$34:$AN$735,10,FALSE)</f>
        <v>Yes</v>
      </c>
      <c r="J18" s="16" t="str">
        <f>VLOOKUP($A18,'SurveyRpt_20150223 (1)'!$A$34:$AN$735,12,FALSE)</f>
        <v>Yes</v>
      </c>
      <c r="K18" s="16" t="str">
        <f>VLOOKUP($A18,'SurveyRpt_20150223 (1)'!$A$34:$AN$735,14,FALSE)</f>
        <v>Yes</v>
      </c>
      <c r="L18" s="16" t="str">
        <f>VLOOKUP($A18,'SurveyRpt_20150223 (1)'!$A$34:$AN$735,16,FALSE)</f>
        <v>Yes</v>
      </c>
      <c r="M18" s="16" t="str">
        <f>VLOOKUP($A18,'SurveyRpt_20150223 (1)'!$A$34:$AN$735,18,FALSE)</f>
        <v>Yes</v>
      </c>
      <c r="N18" s="16" t="str">
        <f>VLOOKUP($A18,'SurveyRpt_20150223 (1)'!$A$34:$AN$735,20,FALSE)</f>
        <v>Yes</v>
      </c>
      <c r="O18" s="16" t="str">
        <f>VLOOKUP($A18,'SurveyRpt_20150223 (1)'!$A$34:$AN$735,22,FALSE)</f>
        <v>Yes</v>
      </c>
      <c r="P18" s="16" t="str">
        <f>VLOOKUP($A18,'SurveyRpt_20150223 (1)'!$A$34:$AN$735,24,FALSE)</f>
        <v>Yes</v>
      </c>
      <c r="Q18" s="16" t="str">
        <f>VLOOKUP($A18,'SurveyRpt_20150223 (1)'!$A$34:$AN$735,26,FALSE)</f>
        <v>Yes</v>
      </c>
      <c r="R18" s="16" t="str">
        <f>VLOOKUP($A18,'SurveyRpt_20150223 (1)'!$A$34:$AN$735,28,FALSE)</f>
        <v>Yes</v>
      </c>
      <c r="S18" s="16" t="str">
        <f>VLOOKUP($A18,'SurveyRpt_20150223 (1)'!$A$34:$AN$735,30,FALSE)</f>
        <v>Yes</v>
      </c>
      <c r="T18" s="16" t="str">
        <f>VLOOKUP($A18,'SurveyRpt_20150223 (1)'!$A$34:$AN$735,32,FALSE)</f>
        <v>Yes</v>
      </c>
      <c r="U18" s="16" t="str">
        <f>VLOOKUP($A18,'SurveyRpt_20150223 (1)'!$A$34:$AN$735,34,FALSE)</f>
        <v>Yes</v>
      </c>
      <c r="V18" s="16" t="str">
        <f>VLOOKUP($A18,'SurveyRpt_20150223 (1)'!$A$34:$AN$735,36,FALSE)</f>
        <v>Yes</v>
      </c>
      <c r="W18" s="16" t="str">
        <f>VLOOKUP($A18,'SurveyRpt_20150223 (1)'!$A$34:$AN$735,38,FALSE)</f>
        <v>Yes</v>
      </c>
    </row>
    <row r="19" spans="1:23" ht="13.5" customHeight="1" x14ac:dyDescent="0.25">
      <c r="A19" s="19" t="s">
        <v>112</v>
      </c>
      <c r="B19" s="19" t="str">
        <f t="shared" si="0"/>
        <v>STUMULA</v>
      </c>
      <c r="C19" s="16" t="str">
        <f>VLOOKUP(B19,'Compiled Agents'!A:H,2,FALSE)</f>
        <v>Platform</v>
      </c>
      <c r="D19" s="16" t="str">
        <f>VLOOKUP(B19,'Compiled Agents'!A:H,4,FALSE)</f>
        <v>Noida</v>
      </c>
      <c r="E19" s="16" t="str">
        <f>VLOOKUP(B19,'Compiled Agents'!A:H,5,FALSE)</f>
        <v>Wave1</v>
      </c>
      <c r="F19" s="16" t="str">
        <f>VLOOKUP(B19,'Compiled Agents'!A:H,6,FALSE)</f>
        <v>Purple</v>
      </c>
      <c r="G19" s="16">
        <f>VLOOKUP($A19,'SurveyRpt_20150223 (1)'!$A$34:$AN$735,6,FALSE)</f>
        <v>16</v>
      </c>
      <c r="H19" s="16" t="str">
        <f>VLOOKUP($A19,'SurveyRpt_20150223 (1)'!$A$34:$AN$735,8,FALSE)</f>
        <v>Yes</v>
      </c>
      <c r="I19" s="16" t="str">
        <f>VLOOKUP($A19,'SurveyRpt_20150223 (1)'!$A$34:$AN$735,10,FALSE)</f>
        <v>Yes</v>
      </c>
      <c r="J19" s="16" t="str">
        <f>VLOOKUP($A19,'SurveyRpt_20150223 (1)'!$A$34:$AN$735,12,FALSE)</f>
        <v>Yes</v>
      </c>
      <c r="K19" s="16" t="str">
        <f>VLOOKUP($A19,'SurveyRpt_20150223 (1)'!$A$34:$AN$735,14,FALSE)</f>
        <v>Yes</v>
      </c>
      <c r="L19" s="16" t="str">
        <f>VLOOKUP($A19,'SurveyRpt_20150223 (1)'!$A$34:$AN$735,16,FALSE)</f>
        <v>Yes</v>
      </c>
      <c r="M19" s="16" t="str">
        <f>VLOOKUP($A19,'SurveyRpt_20150223 (1)'!$A$34:$AN$735,18,FALSE)</f>
        <v>Yes</v>
      </c>
      <c r="N19" s="16" t="str">
        <f>VLOOKUP($A19,'SurveyRpt_20150223 (1)'!$A$34:$AN$735,20,FALSE)</f>
        <v>Yes</v>
      </c>
      <c r="O19" s="16" t="str">
        <f>VLOOKUP($A19,'SurveyRpt_20150223 (1)'!$A$34:$AN$735,22,FALSE)</f>
        <v>Yes</v>
      </c>
      <c r="P19" s="16" t="str">
        <f>VLOOKUP($A19,'SurveyRpt_20150223 (1)'!$A$34:$AN$735,24,FALSE)</f>
        <v>Yes</v>
      </c>
      <c r="Q19" s="16" t="str">
        <f>VLOOKUP($A19,'SurveyRpt_20150223 (1)'!$A$34:$AN$735,26,FALSE)</f>
        <v>Yes</v>
      </c>
      <c r="R19" s="16" t="str">
        <f>VLOOKUP($A19,'SurveyRpt_20150223 (1)'!$A$34:$AN$735,28,FALSE)</f>
        <v>Yes</v>
      </c>
      <c r="S19" s="16" t="str">
        <f>VLOOKUP($A19,'SurveyRpt_20150223 (1)'!$A$34:$AN$735,30,FALSE)</f>
        <v>Yes</v>
      </c>
      <c r="T19" s="16" t="str">
        <f>VLOOKUP($A19,'SurveyRpt_20150223 (1)'!$A$34:$AN$735,32,FALSE)</f>
        <v>Yes</v>
      </c>
      <c r="U19" s="16" t="str">
        <f>VLOOKUP($A19,'SurveyRpt_20150223 (1)'!$A$34:$AN$735,34,FALSE)</f>
        <v>Yes</v>
      </c>
      <c r="V19" s="16" t="str">
        <f>VLOOKUP($A19,'SurveyRpt_20150223 (1)'!$A$34:$AN$735,36,FALSE)</f>
        <v>Yes</v>
      </c>
      <c r="W19" s="16" t="str">
        <f>VLOOKUP($A19,'SurveyRpt_20150223 (1)'!$A$34:$AN$735,38,FALSE)</f>
        <v>Yes</v>
      </c>
    </row>
    <row r="20" spans="1:23" ht="13.5" customHeight="1" x14ac:dyDescent="0.25">
      <c r="A20" s="19" t="s">
        <v>113</v>
      </c>
      <c r="B20" s="19" t="str">
        <f t="shared" si="0"/>
        <v>BAMARANATH</v>
      </c>
      <c r="C20" s="16" t="str">
        <f>VLOOKUP(B20,'Compiled Agents'!A:H,2,FALSE)</f>
        <v>Platform</v>
      </c>
      <c r="D20" s="16" t="str">
        <f>VLOOKUP(B20,'Compiled Agents'!A:H,4,FALSE)</f>
        <v>Noida</v>
      </c>
      <c r="E20" s="16" t="str">
        <f>VLOOKUP(B20,'Compiled Agents'!A:H,5,FALSE)</f>
        <v>Wave2</v>
      </c>
      <c r="F20" s="16" t="str">
        <f>VLOOKUP(B20,'Compiled Agents'!A:H,6,FALSE)</f>
        <v>Purple</v>
      </c>
      <c r="G20" s="16">
        <f>VLOOKUP($A20,'SurveyRpt_20150223 (1)'!$A$34:$AN$735,6,FALSE)</f>
        <v>13</v>
      </c>
      <c r="H20" s="16" t="str">
        <f>VLOOKUP($A20,'SurveyRpt_20150223 (1)'!$A$34:$AN$735,8,FALSE)</f>
        <v>Yes</v>
      </c>
      <c r="I20" s="16" t="str">
        <f>VLOOKUP($A20,'SurveyRpt_20150223 (1)'!$A$34:$AN$735,10,FALSE)</f>
        <v>Yes</v>
      </c>
      <c r="J20" s="16" t="str">
        <f>VLOOKUP($A20,'SurveyRpt_20150223 (1)'!$A$34:$AN$735,12,FALSE)</f>
        <v>Yes</v>
      </c>
      <c r="K20" s="16" t="str">
        <f>VLOOKUP($A20,'SurveyRpt_20150223 (1)'!$A$34:$AN$735,14,FALSE)</f>
        <v>Yes</v>
      </c>
      <c r="L20" s="16" t="str">
        <f>VLOOKUP($A20,'SurveyRpt_20150223 (1)'!$A$34:$AN$735,16,FALSE)</f>
        <v>Yes</v>
      </c>
      <c r="M20" s="16" t="str">
        <f>VLOOKUP($A20,'SurveyRpt_20150223 (1)'!$A$34:$AN$735,18,FALSE)</f>
        <v>Yes</v>
      </c>
      <c r="N20" s="16" t="str">
        <f>VLOOKUP($A20,'SurveyRpt_20150223 (1)'!$A$34:$AN$735,20,FALSE)</f>
        <v>Yes</v>
      </c>
      <c r="O20" s="16" t="str">
        <f>VLOOKUP($A20,'SurveyRpt_20150223 (1)'!$A$34:$AN$735,22,FALSE)</f>
        <v>Yes</v>
      </c>
      <c r="P20" s="16" t="str">
        <f>VLOOKUP($A20,'SurveyRpt_20150223 (1)'!$A$34:$AN$735,24,FALSE)</f>
        <v>Yes</v>
      </c>
      <c r="Q20" s="16" t="str">
        <f>VLOOKUP($A20,'SurveyRpt_20150223 (1)'!$A$34:$AN$735,26,FALSE)</f>
        <v>Yes</v>
      </c>
      <c r="R20" s="16" t="str">
        <f>VLOOKUP($A20,'SurveyRpt_20150223 (1)'!$A$34:$AN$735,28,FALSE)</f>
        <v>Yes</v>
      </c>
      <c r="S20" s="16" t="str">
        <f>VLOOKUP($A20,'SurveyRpt_20150223 (1)'!$A$34:$AN$735,30,FALSE)</f>
        <v>Yes</v>
      </c>
      <c r="T20" s="16" t="str">
        <f>VLOOKUP($A20,'SurveyRpt_20150223 (1)'!$A$34:$AN$735,32,FALSE)</f>
        <v>No</v>
      </c>
      <c r="U20" s="16" t="str">
        <f>VLOOKUP($A20,'SurveyRpt_20150223 (1)'!$A$34:$AN$735,34,FALSE)</f>
        <v>No</v>
      </c>
      <c r="V20" s="16" t="str">
        <f>VLOOKUP($A20,'SurveyRpt_20150223 (1)'!$A$34:$AN$735,36,FALSE)</f>
        <v>Yes</v>
      </c>
      <c r="W20" s="16" t="str">
        <f>VLOOKUP($A20,'SurveyRpt_20150223 (1)'!$A$34:$AN$735,38,FALSE)</f>
        <v>No</v>
      </c>
    </row>
    <row r="21" spans="1:23" ht="13.5" customHeight="1" x14ac:dyDescent="0.25">
      <c r="A21" s="19" t="s">
        <v>114</v>
      </c>
      <c r="B21" s="19" t="str">
        <f t="shared" si="0"/>
        <v>SKHAIRA2</v>
      </c>
      <c r="C21" s="16" t="str">
        <f>VLOOKUP(B21,'Compiled Agents'!A:H,2,FALSE)</f>
        <v>Platform</v>
      </c>
      <c r="D21" s="16" t="str">
        <f>VLOOKUP(B21,'Compiled Agents'!A:H,4,FALSE)</f>
        <v>Noida</v>
      </c>
      <c r="E21" s="16" t="str">
        <f>VLOOKUP(B21,'Compiled Agents'!A:H,5,FALSE)</f>
        <v>Wave1</v>
      </c>
      <c r="F21" s="16" t="str">
        <f>VLOOKUP(B21,'Compiled Agents'!A:H,6,FALSE)</f>
        <v>Yellow</v>
      </c>
      <c r="G21" s="16">
        <f>VLOOKUP($A21,'SurveyRpt_20150223 (1)'!$A$34:$AN$735,6,FALSE)</f>
        <v>1</v>
      </c>
      <c r="H21" s="16" t="str">
        <f>VLOOKUP($A21,'SurveyRpt_20150223 (1)'!$A$34:$AN$735,8,FALSE)</f>
        <v>No</v>
      </c>
      <c r="I21" s="16" t="str">
        <f>VLOOKUP($A21,'SurveyRpt_20150223 (1)'!$A$34:$AN$735,10,FALSE)</f>
        <v>No</v>
      </c>
      <c r="J21" s="16" t="str">
        <f>VLOOKUP($A21,'SurveyRpt_20150223 (1)'!$A$34:$AN$735,12,FALSE)</f>
        <v>No</v>
      </c>
      <c r="K21" s="16" t="str">
        <f>VLOOKUP($A21,'SurveyRpt_20150223 (1)'!$A$34:$AN$735,14,FALSE)</f>
        <v>No</v>
      </c>
      <c r="L21" s="16" t="str">
        <f>VLOOKUP($A21,'SurveyRpt_20150223 (1)'!$A$34:$AN$735,16,FALSE)</f>
        <v>No</v>
      </c>
      <c r="M21" s="16" t="str">
        <f>VLOOKUP($A21,'SurveyRpt_20150223 (1)'!$A$34:$AN$735,18,FALSE)</f>
        <v>No</v>
      </c>
      <c r="N21" s="16" t="str">
        <f>VLOOKUP($A21,'SurveyRpt_20150223 (1)'!$A$34:$AN$735,20,FALSE)</f>
        <v>No</v>
      </c>
      <c r="O21" s="16" t="str">
        <f>VLOOKUP($A21,'SurveyRpt_20150223 (1)'!$A$34:$AN$735,22,FALSE)</f>
        <v>No</v>
      </c>
      <c r="P21" s="16" t="str">
        <f>VLOOKUP($A21,'SurveyRpt_20150223 (1)'!$A$34:$AN$735,24,FALSE)</f>
        <v>No</v>
      </c>
      <c r="Q21" s="16" t="str">
        <f>VLOOKUP($A21,'SurveyRpt_20150223 (1)'!$A$34:$AN$735,26,FALSE)</f>
        <v>No</v>
      </c>
      <c r="R21" s="16" t="str">
        <f>VLOOKUP($A21,'SurveyRpt_20150223 (1)'!$A$34:$AN$735,28,FALSE)</f>
        <v>No</v>
      </c>
      <c r="S21" s="16" t="str">
        <f>VLOOKUP($A21,'SurveyRpt_20150223 (1)'!$A$34:$AN$735,30,FALSE)</f>
        <v>Yes</v>
      </c>
      <c r="T21" s="16" t="str">
        <f>VLOOKUP($A21,'SurveyRpt_20150223 (1)'!$A$34:$AN$735,32,FALSE)</f>
        <v>No</v>
      </c>
      <c r="U21" s="16" t="str">
        <f>VLOOKUP($A21,'SurveyRpt_20150223 (1)'!$A$34:$AN$735,34,FALSE)</f>
        <v>No</v>
      </c>
      <c r="V21" s="16" t="str">
        <f>VLOOKUP($A21,'SurveyRpt_20150223 (1)'!$A$34:$AN$735,36,FALSE)</f>
        <v>No</v>
      </c>
      <c r="W21" s="16" t="str">
        <f>VLOOKUP($A21,'SurveyRpt_20150223 (1)'!$A$34:$AN$735,38,FALSE)</f>
        <v>No</v>
      </c>
    </row>
    <row r="22" spans="1:23" ht="13.5" customHeight="1" x14ac:dyDescent="0.25">
      <c r="A22" s="19" t="s">
        <v>115</v>
      </c>
      <c r="B22" s="19" t="str">
        <f t="shared" si="0"/>
        <v>UBHATIA3</v>
      </c>
      <c r="C22" s="16" t="str">
        <f>VLOOKUP(B22,'Compiled Agents'!A:H,2,FALSE)</f>
        <v>Workplace</v>
      </c>
      <c r="D22" s="16" t="str">
        <f>VLOOKUP(B22,'Compiled Agents'!A:H,4,FALSE)</f>
        <v>Noida</v>
      </c>
      <c r="E22" s="16" t="str">
        <f>VLOOKUP(B22,'Compiled Agents'!A:H,5,FALSE)</f>
        <v>Wave2</v>
      </c>
      <c r="F22" s="16" t="str">
        <f>VLOOKUP(B22,'Compiled Agents'!A:H,6,FALSE)</f>
        <v>Orange</v>
      </c>
      <c r="G22" s="16">
        <f>VLOOKUP($A22,'SurveyRpt_20150223 (1)'!$A$34:$AN$735,6,FALSE)</f>
        <v>16</v>
      </c>
      <c r="H22" s="16" t="str">
        <f>VLOOKUP($A22,'SurveyRpt_20150223 (1)'!$A$34:$AN$735,8,FALSE)</f>
        <v>Yes</v>
      </c>
      <c r="I22" s="16" t="str">
        <f>VLOOKUP($A22,'SurveyRpt_20150223 (1)'!$A$34:$AN$735,10,FALSE)</f>
        <v>Yes</v>
      </c>
      <c r="J22" s="16" t="str">
        <f>VLOOKUP($A22,'SurveyRpt_20150223 (1)'!$A$34:$AN$735,12,FALSE)</f>
        <v>Yes</v>
      </c>
      <c r="K22" s="16" t="str">
        <f>VLOOKUP($A22,'SurveyRpt_20150223 (1)'!$A$34:$AN$735,14,FALSE)</f>
        <v>Yes</v>
      </c>
      <c r="L22" s="16" t="str">
        <f>VLOOKUP($A22,'SurveyRpt_20150223 (1)'!$A$34:$AN$735,16,FALSE)</f>
        <v>Yes</v>
      </c>
      <c r="M22" s="16" t="str">
        <f>VLOOKUP($A22,'SurveyRpt_20150223 (1)'!$A$34:$AN$735,18,FALSE)</f>
        <v>Yes</v>
      </c>
      <c r="N22" s="16" t="str">
        <f>VLOOKUP($A22,'SurveyRpt_20150223 (1)'!$A$34:$AN$735,20,FALSE)</f>
        <v>Yes</v>
      </c>
      <c r="O22" s="16" t="str">
        <f>VLOOKUP($A22,'SurveyRpt_20150223 (1)'!$A$34:$AN$735,22,FALSE)</f>
        <v>Yes</v>
      </c>
      <c r="P22" s="16" t="str">
        <f>VLOOKUP($A22,'SurveyRpt_20150223 (1)'!$A$34:$AN$735,24,FALSE)</f>
        <v>Yes</v>
      </c>
      <c r="Q22" s="16" t="str">
        <f>VLOOKUP($A22,'SurveyRpt_20150223 (1)'!$A$34:$AN$735,26,FALSE)</f>
        <v>Yes</v>
      </c>
      <c r="R22" s="16" t="str">
        <f>VLOOKUP($A22,'SurveyRpt_20150223 (1)'!$A$34:$AN$735,28,FALSE)</f>
        <v>Yes</v>
      </c>
      <c r="S22" s="16" t="str">
        <f>VLOOKUP($A22,'SurveyRpt_20150223 (1)'!$A$34:$AN$735,30,FALSE)</f>
        <v>Yes</v>
      </c>
      <c r="T22" s="16" t="str">
        <f>VLOOKUP($A22,'SurveyRpt_20150223 (1)'!$A$34:$AN$735,32,FALSE)</f>
        <v>Yes</v>
      </c>
      <c r="U22" s="16" t="str">
        <f>VLOOKUP($A22,'SurveyRpt_20150223 (1)'!$A$34:$AN$735,34,FALSE)</f>
        <v>Yes</v>
      </c>
      <c r="V22" s="16" t="str">
        <f>VLOOKUP($A22,'SurveyRpt_20150223 (1)'!$A$34:$AN$735,36,FALSE)</f>
        <v>Yes</v>
      </c>
      <c r="W22" s="16" t="str">
        <f>VLOOKUP($A22,'SurveyRpt_20150223 (1)'!$A$34:$AN$735,38,FALSE)</f>
        <v>Yes</v>
      </c>
    </row>
    <row r="23" spans="1:23" ht="13.5" customHeight="1" x14ac:dyDescent="0.25">
      <c r="A23" s="19" t="s">
        <v>116</v>
      </c>
      <c r="B23" s="19" t="str">
        <f t="shared" si="0"/>
        <v>PBISHT4</v>
      </c>
      <c r="C23" s="16" t="str">
        <f>VLOOKUP(B23,'Compiled Agents'!A:H,2,FALSE)</f>
        <v>Workplace</v>
      </c>
      <c r="D23" s="16" t="str">
        <f>VLOOKUP(B23,'Compiled Agents'!A:H,4,FALSE)</f>
        <v>Hyderabad</v>
      </c>
      <c r="E23" s="16" t="str">
        <f>VLOOKUP(B23,'Compiled Agents'!A:H,5,FALSE)</f>
        <v>Wave2</v>
      </c>
      <c r="F23" s="16" t="str">
        <f>VLOOKUP(B23,'Compiled Agents'!A:H,6,FALSE)</f>
        <v>Purple</v>
      </c>
      <c r="G23" s="16">
        <f>VLOOKUP($A23,'SurveyRpt_20150223 (1)'!$A$34:$AN$735,6,FALSE)</f>
        <v>10</v>
      </c>
      <c r="H23" s="16" t="str">
        <f>VLOOKUP($A23,'SurveyRpt_20150223 (1)'!$A$34:$AN$735,8,FALSE)</f>
        <v>Yes</v>
      </c>
      <c r="I23" s="16" t="str">
        <f>VLOOKUP($A23,'SurveyRpt_20150223 (1)'!$A$34:$AN$735,10,FALSE)</f>
        <v>Yes</v>
      </c>
      <c r="J23" s="16" t="str">
        <f>VLOOKUP($A23,'SurveyRpt_20150223 (1)'!$A$34:$AN$735,12,FALSE)</f>
        <v>Yes</v>
      </c>
      <c r="K23" s="16" t="str">
        <f>VLOOKUP($A23,'SurveyRpt_20150223 (1)'!$A$34:$AN$735,14,FALSE)</f>
        <v>No</v>
      </c>
      <c r="L23" s="16" t="str">
        <f>VLOOKUP($A23,'SurveyRpt_20150223 (1)'!$A$34:$AN$735,16,FALSE)</f>
        <v>Yes</v>
      </c>
      <c r="M23" s="16" t="str">
        <f>VLOOKUP($A23,'SurveyRpt_20150223 (1)'!$A$34:$AN$735,18,FALSE)</f>
        <v>Yes</v>
      </c>
      <c r="N23" s="16" t="str">
        <f>VLOOKUP($A23,'SurveyRpt_20150223 (1)'!$A$34:$AN$735,20,FALSE)</f>
        <v>No</v>
      </c>
      <c r="O23" s="16" t="str">
        <f>VLOOKUP($A23,'SurveyRpt_20150223 (1)'!$A$34:$AN$735,22,FALSE)</f>
        <v>No</v>
      </c>
      <c r="P23" s="16" t="str">
        <f>VLOOKUP($A23,'SurveyRpt_20150223 (1)'!$A$34:$AN$735,24,FALSE)</f>
        <v>No</v>
      </c>
      <c r="Q23" s="16" t="str">
        <f>VLOOKUP($A23,'SurveyRpt_20150223 (1)'!$A$34:$AN$735,26,FALSE)</f>
        <v>Yes</v>
      </c>
      <c r="R23" s="16" t="str">
        <f>VLOOKUP($A23,'SurveyRpt_20150223 (1)'!$A$34:$AN$735,28,FALSE)</f>
        <v>Yes</v>
      </c>
      <c r="S23" s="16" t="str">
        <f>VLOOKUP($A23,'SurveyRpt_20150223 (1)'!$A$34:$AN$735,30,FALSE)</f>
        <v>Yes</v>
      </c>
      <c r="T23" s="16" t="str">
        <f>VLOOKUP($A23,'SurveyRpt_20150223 (1)'!$A$34:$AN$735,32,FALSE)</f>
        <v>Yes</v>
      </c>
      <c r="U23" s="16" t="str">
        <f>VLOOKUP($A23,'SurveyRpt_20150223 (1)'!$A$34:$AN$735,34,FALSE)</f>
        <v>Yes</v>
      </c>
      <c r="V23" s="16" t="str">
        <f>VLOOKUP($A23,'SurveyRpt_20150223 (1)'!$A$34:$AN$735,36,FALSE)</f>
        <v>No</v>
      </c>
      <c r="W23" s="16" t="str">
        <f>VLOOKUP($A23,'SurveyRpt_20150223 (1)'!$A$34:$AN$735,38,FALSE)</f>
        <v>No</v>
      </c>
    </row>
    <row r="24" spans="1:23" ht="13.5" customHeight="1" x14ac:dyDescent="0.25">
      <c r="A24" s="19" t="s">
        <v>117</v>
      </c>
      <c r="B24" s="19" t="str">
        <f t="shared" si="0"/>
        <v>KKARUPPASAMY</v>
      </c>
      <c r="C24" s="16" t="str">
        <f>VLOOKUP(B24,'Compiled Agents'!A:H,2,FALSE)</f>
        <v>Workplace</v>
      </c>
      <c r="D24" s="16" t="str">
        <f>VLOOKUP(B24,'Compiled Agents'!A:H,4,FALSE)</f>
        <v>Hyderabad</v>
      </c>
      <c r="E24" s="16" t="str">
        <f>VLOOKUP(B24,'Compiled Agents'!A:H,5,FALSE)</f>
        <v>Wave2</v>
      </c>
      <c r="F24" s="16" t="str">
        <f>VLOOKUP(B24,'Compiled Agents'!A:H,6,FALSE)</f>
        <v>Yellow</v>
      </c>
      <c r="G24" s="16">
        <f>VLOOKUP($A24,'SurveyRpt_20150223 (1)'!$A$34:$AN$735,6,FALSE)</f>
        <v>15</v>
      </c>
      <c r="H24" s="16" t="str">
        <f>VLOOKUP($A24,'SurveyRpt_20150223 (1)'!$A$34:$AN$735,8,FALSE)</f>
        <v>Yes</v>
      </c>
      <c r="I24" s="16" t="str">
        <f>VLOOKUP($A24,'SurveyRpt_20150223 (1)'!$A$34:$AN$735,10,FALSE)</f>
        <v>Yes</v>
      </c>
      <c r="J24" s="16" t="str">
        <f>VLOOKUP($A24,'SurveyRpt_20150223 (1)'!$A$34:$AN$735,12,FALSE)</f>
        <v>Yes</v>
      </c>
      <c r="K24" s="16" t="str">
        <f>VLOOKUP($A24,'SurveyRpt_20150223 (1)'!$A$34:$AN$735,14,FALSE)</f>
        <v>Yes</v>
      </c>
      <c r="L24" s="16" t="str">
        <f>VLOOKUP($A24,'SurveyRpt_20150223 (1)'!$A$34:$AN$735,16,FALSE)</f>
        <v>Yes</v>
      </c>
      <c r="M24" s="16" t="str">
        <f>VLOOKUP($A24,'SurveyRpt_20150223 (1)'!$A$34:$AN$735,18,FALSE)</f>
        <v>Yes</v>
      </c>
      <c r="N24" s="16" t="str">
        <f>VLOOKUP($A24,'SurveyRpt_20150223 (1)'!$A$34:$AN$735,20,FALSE)</f>
        <v>Yes</v>
      </c>
      <c r="O24" s="16" t="str">
        <f>VLOOKUP($A24,'SurveyRpt_20150223 (1)'!$A$34:$AN$735,22,FALSE)</f>
        <v>Yes</v>
      </c>
      <c r="P24" s="16" t="str">
        <f>VLOOKUP($A24,'SurveyRpt_20150223 (1)'!$A$34:$AN$735,24,FALSE)</f>
        <v>Yes</v>
      </c>
      <c r="Q24" s="16" t="str">
        <f>VLOOKUP($A24,'SurveyRpt_20150223 (1)'!$A$34:$AN$735,26,FALSE)</f>
        <v>Yes</v>
      </c>
      <c r="R24" s="16" t="str">
        <f>VLOOKUP($A24,'SurveyRpt_20150223 (1)'!$A$34:$AN$735,28,FALSE)</f>
        <v>Yes</v>
      </c>
      <c r="S24" s="16" t="str">
        <f>VLOOKUP($A24,'SurveyRpt_20150223 (1)'!$A$34:$AN$735,30,FALSE)</f>
        <v>Yes</v>
      </c>
      <c r="T24" s="16" t="str">
        <f>VLOOKUP($A24,'SurveyRpt_20150223 (1)'!$A$34:$AN$735,32,FALSE)</f>
        <v>Yes</v>
      </c>
      <c r="U24" s="16" t="str">
        <f>VLOOKUP($A24,'SurveyRpt_20150223 (1)'!$A$34:$AN$735,34,FALSE)</f>
        <v>No</v>
      </c>
      <c r="V24" s="16" t="str">
        <f>VLOOKUP($A24,'SurveyRpt_20150223 (1)'!$A$34:$AN$735,36,FALSE)</f>
        <v>Yes</v>
      </c>
      <c r="W24" s="16" t="str">
        <f>VLOOKUP($A24,'SurveyRpt_20150223 (1)'!$A$34:$AN$735,38,FALSE)</f>
        <v>Yes</v>
      </c>
    </row>
    <row r="25" spans="1:23" ht="13.5" customHeight="1" x14ac:dyDescent="0.25">
      <c r="A25" s="19" t="s">
        <v>118</v>
      </c>
      <c r="B25" s="19" t="str">
        <f t="shared" si="0"/>
        <v>RVENKATESAN9</v>
      </c>
      <c r="C25" s="16" t="str">
        <f>VLOOKUP(B25,'Compiled Agents'!A:H,2,FALSE)</f>
        <v>Platform</v>
      </c>
      <c r="D25" s="16" t="str">
        <f>VLOOKUP(B25,'Compiled Agents'!A:H,4,FALSE)</f>
        <v>Noida</v>
      </c>
      <c r="E25" s="16" t="str">
        <f>VLOOKUP(B25,'Compiled Agents'!A:H,5,FALSE)</f>
        <v>Wave2</v>
      </c>
      <c r="F25" s="16" t="str">
        <f>VLOOKUP(B25,'Compiled Agents'!A:H,6,FALSE)</f>
        <v>Orange</v>
      </c>
      <c r="G25" s="16">
        <f>VLOOKUP($A25,'SurveyRpt_20150223 (1)'!$A$34:$AN$735,6,FALSE)</f>
        <v>14</v>
      </c>
      <c r="H25" s="16" t="str">
        <f>VLOOKUP($A25,'SurveyRpt_20150223 (1)'!$A$34:$AN$735,8,FALSE)</f>
        <v>No</v>
      </c>
      <c r="I25" s="16" t="str">
        <f>VLOOKUP($A25,'SurveyRpt_20150223 (1)'!$A$34:$AN$735,10,FALSE)</f>
        <v>Yes</v>
      </c>
      <c r="J25" s="16" t="str">
        <f>VLOOKUP($A25,'SurveyRpt_20150223 (1)'!$A$34:$AN$735,12,FALSE)</f>
        <v>No</v>
      </c>
      <c r="K25" s="16" t="str">
        <f>VLOOKUP($A25,'SurveyRpt_20150223 (1)'!$A$34:$AN$735,14,FALSE)</f>
        <v>Yes</v>
      </c>
      <c r="L25" s="16" t="str">
        <f>VLOOKUP($A25,'SurveyRpt_20150223 (1)'!$A$34:$AN$735,16,FALSE)</f>
        <v>Yes</v>
      </c>
      <c r="M25" s="16" t="str">
        <f>VLOOKUP($A25,'SurveyRpt_20150223 (1)'!$A$34:$AN$735,18,FALSE)</f>
        <v>Yes</v>
      </c>
      <c r="N25" s="16" t="str">
        <f>VLOOKUP($A25,'SurveyRpt_20150223 (1)'!$A$34:$AN$735,20,FALSE)</f>
        <v>Yes</v>
      </c>
      <c r="O25" s="16" t="str">
        <f>VLOOKUP($A25,'SurveyRpt_20150223 (1)'!$A$34:$AN$735,22,FALSE)</f>
        <v>Yes</v>
      </c>
      <c r="P25" s="16" t="str">
        <f>VLOOKUP($A25,'SurveyRpt_20150223 (1)'!$A$34:$AN$735,24,FALSE)</f>
        <v>Yes</v>
      </c>
      <c r="Q25" s="16" t="str">
        <f>VLOOKUP($A25,'SurveyRpt_20150223 (1)'!$A$34:$AN$735,26,FALSE)</f>
        <v>Yes</v>
      </c>
      <c r="R25" s="16" t="str">
        <f>VLOOKUP($A25,'SurveyRpt_20150223 (1)'!$A$34:$AN$735,28,FALSE)</f>
        <v>Yes</v>
      </c>
      <c r="S25" s="16" t="str">
        <f>VLOOKUP($A25,'SurveyRpt_20150223 (1)'!$A$34:$AN$735,30,FALSE)</f>
        <v>Yes</v>
      </c>
      <c r="T25" s="16" t="str">
        <f>VLOOKUP($A25,'SurveyRpt_20150223 (1)'!$A$34:$AN$735,32,FALSE)</f>
        <v>Yes</v>
      </c>
      <c r="U25" s="16" t="str">
        <f>VLOOKUP($A25,'SurveyRpt_20150223 (1)'!$A$34:$AN$735,34,FALSE)</f>
        <v>Yes</v>
      </c>
      <c r="V25" s="16" t="str">
        <f>VLOOKUP($A25,'SurveyRpt_20150223 (1)'!$A$34:$AN$735,36,FALSE)</f>
        <v>Yes</v>
      </c>
      <c r="W25" s="16" t="str">
        <f>VLOOKUP($A25,'SurveyRpt_20150223 (1)'!$A$34:$AN$735,38,FALSE)</f>
        <v>Yes</v>
      </c>
    </row>
    <row r="26" spans="1:23" ht="13.5" customHeight="1" x14ac:dyDescent="0.25">
      <c r="A26" s="19" t="s">
        <v>119</v>
      </c>
      <c r="B26" s="19" t="str">
        <f t="shared" si="0"/>
        <v>JEQBAL</v>
      </c>
      <c r="C26" s="16" t="str">
        <f>VLOOKUP(B26,'Compiled Agents'!A:H,2,FALSE)</f>
        <v>Platform</v>
      </c>
      <c r="D26" s="16" t="str">
        <f>VLOOKUP(B26,'Compiled Agents'!A:H,4,FALSE)</f>
        <v>Noida</v>
      </c>
      <c r="E26" s="16" t="str">
        <f>VLOOKUP(B26,'Compiled Agents'!A:H,5,FALSE)</f>
        <v>Wave2</v>
      </c>
      <c r="F26" s="16" t="str">
        <f>VLOOKUP(B26,'Compiled Agents'!A:H,6,FALSE)</f>
        <v>Yellow</v>
      </c>
      <c r="G26" s="16">
        <f>VLOOKUP($A26,'SurveyRpt_20150223 (1)'!$A$34:$AN$735,6,FALSE)</f>
        <v>7</v>
      </c>
      <c r="H26" s="16" t="str">
        <f>VLOOKUP($A26,'SurveyRpt_20150223 (1)'!$A$34:$AN$735,8,FALSE)</f>
        <v>No</v>
      </c>
      <c r="I26" s="16" t="str">
        <f>VLOOKUP($A26,'SurveyRpt_20150223 (1)'!$A$34:$AN$735,10,FALSE)</f>
        <v>No</v>
      </c>
      <c r="J26" s="16" t="str">
        <f>VLOOKUP($A26,'SurveyRpt_20150223 (1)'!$A$34:$AN$735,12,FALSE)</f>
        <v>No</v>
      </c>
      <c r="K26" s="16" t="str">
        <f>VLOOKUP($A26,'SurveyRpt_20150223 (1)'!$A$34:$AN$735,14,FALSE)</f>
        <v>No</v>
      </c>
      <c r="L26" s="16" t="str">
        <f>VLOOKUP($A26,'SurveyRpt_20150223 (1)'!$A$34:$AN$735,16,FALSE)</f>
        <v>No</v>
      </c>
      <c r="M26" s="16" t="str">
        <f>VLOOKUP($A26,'SurveyRpt_20150223 (1)'!$A$34:$AN$735,18,FALSE)</f>
        <v>No</v>
      </c>
      <c r="N26" s="16" t="str">
        <f>VLOOKUP($A26,'SurveyRpt_20150223 (1)'!$A$34:$AN$735,20,FALSE)</f>
        <v>Yes</v>
      </c>
      <c r="O26" s="16" t="str">
        <f>VLOOKUP($A26,'SurveyRpt_20150223 (1)'!$A$34:$AN$735,22,FALSE)</f>
        <v>Yes</v>
      </c>
      <c r="P26" s="16" t="str">
        <f>VLOOKUP($A26,'SurveyRpt_20150223 (1)'!$A$34:$AN$735,24,FALSE)</f>
        <v>Yes</v>
      </c>
      <c r="Q26" s="16" t="str">
        <f>VLOOKUP($A26,'SurveyRpt_20150223 (1)'!$A$34:$AN$735,26,FALSE)</f>
        <v>Yes</v>
      </c>
      <c r="R26" s="16" t="str">
        <f>VLOOKUP($A26,'SurveyRpt_20150223 (1)'!$A$34:$AN$735,28,FALSE)</f>
        <v>Yes</v>
      </c>
      <c r="S26" s="16" t="str">
        <f>VLOOKUP($A26,'SurveyRpt_20150223 (1)'!$A$34:$AN$735,30,FALSE)</f>
        <v>Yes</v>
      </c>
      <c r="T26" s="16" t="str">
        <f>VLOOKUP($A26,'SurveyRpt_20150223 (1)'!$A$34:$AN$735,32,FALSE)</f>
        <v>No</v>
      </c>
      <c r="U26" s="16" t="str">
        <f>VLOOKUP($A26,'SurveyRpt_20150223 (1)'!$A$34:$AN$735,34,FALSE)</f>
        <v>No</v>
      </c>
      <c r="V26" s="16" t="str">
        <f>VLOOKUP($A26,'SurveyRpt_20150223 (1)'!$A$34:$AN$735,36,FALSE)</f>
        <v>Yes</v>
      </c>
      <c r="W26" s="16" t="str">
        <f>VLOOKUP($A26,'SurveyRpt_20150223 (1)'!$A$34:$AN$735,38,FALSE)</f>
        <v>No</v>
      </c>
    </row>
    <row r="27" spans="1:23" ht="13.5" customHeight="1" x14ac:dyDescent="0.25">
      <c r="A27" s="19" t="s">
        <v>120</v>
      </c>
      <c r="B27" s="19" t="str">
        <f t="shared" si="0"/>
        <v>PWAGHRAY</v>
      </c>
      <c r="C27" s="16" t="str">
        <f>VLOOKUP(B27,'Compiled Agents'!A:H,2,FALSE)</f>
        <v>Platform</v>
      </c>
      <c r="D27" s="16" t="str">
        <f>VLOOKUP(B27,'Compiled Agents'!A:H,4,FALSE)</f>
        <v>Hyderabad</v>
      </c>
      <c r="E27" s="16" t="str">
        <f>VLOOKUP(B27,'Compiled Agents'!A:H,5,FALSE)</f>
        <v>Wave1</v>
      </c>
      <c r="F27" s="16" t="str">
        <f>VLOOKUP(B27,'Compiled Agents'!A:H,6,FALSE)</f>
        <v>Purple</v>
      </c>
      <c r="G27" s="16">
        <f>VLOOKUP($A27,'SurveyRpt_20150223 (1)'!$A$34:$AN$735,6,FALSE)</f>
        <v>14</v>
      </c>
      <c r="H27" s="16" t="str">
        <f>VLOOKUP($A27,'SurveyRpt_20150223 (1)'!$A$34:$AN$735,8,FALSE)</f>
        <v>Yes</v>
      </c>
      <c r="I27" s="16" t="str">
        <f>VLOOKUP($A27,'SurveyRpt_20150223 (1)'!$A$34:$AN$735,10,FALSE)</f>
        <v>Yes</v>
      </c>
      <c r="J27" s="16" t="str">
        <f>VLOOKUP($A27,'SurveyRpt_20150223 (1)'!$A$34:$AN$735,12,FALSE)</f>
        <v>Yes</v>
      </c>
      <c r="K27" s="16" t="str">
        <f>VLOOKUP($A27,'SurveyRpt_20150223 (1)'!$A$34:$AN$735,14,FALSE)</f>
        <v>Yes</v>
      </c>
      <c r="L27" s="16" t="str">
        <f>VLOOKUP($A27,'SurveyRpt_20150223 (1)'!$A$34:$AN$735,16,FALSE)</f>
        <v>No</v>
      </c>
      <c r="M27" s="16" t="str">
        <f>VLOOKUP($A27,'SurveyRpt_20150223 (1)'!$A$34:$AN$735,18,FALSE)</f>
        <v>Yes</v>
      </c>
      <c r="N27" s="16" t="str">
        <f>VLOOKUP($A27,'SurveyRpt_20150223 (1)'!$A$34:$AN$735,20,FALSE)</f>
        <v>No</v>
      </c>
      <c r="O27" s="16" t="str">
        <f>VLOOKUP($A27,'SurveyRpt_20150223 (1)'!$A$34:$AN$735,22,FALSE)</f>
        <v>Yes</v>
      </c>
      <c r="P27" s="16" t="str">
        <f>VLOOKUP($A27,'SurveyRpt_20150223 (1)'!$A$34:$AN$735,24,FALSE)</f>
        <v>Yes</v>
      </c>
      <c r="Q27" s="16" t="str">
        <f>VLOOKUP($A27,'SurveyRpt_20150223 (1)'!$A$34:$AN$735,26,FALSE)</f>
        <v>Yes</v>
      </c>
      <c r="R27" s="16" t="str">
        <f>VLOOKUP($A27,'SurveyRpt_20150223 (1)'!$A$34:$AN$735,28,FALSE)</f>
        <v>Yes</v>
      </c>
      <c r="S27" s="16" t="str">
        <f>VLOOKUP($A27,'SurveyRpt_20150223 (1)'!$A$34:$AN$735,30,FALSE)</f>
        <v>Yes</v>
      </c>
      <c r="T27" s="16" t="str">
        <f>VLOOKUP($A27,'SurveyRpt_20150223 (1)'!$A$34:$AN$735,32,FALSE)</f>
        <v>Yes</v>
      </c>
      <c r="U27" s="16" t="str">
        <f>VLOOKUP($A27,'SurveyRpt_20150223 (1)'!$A$34:$AN$735,34,FALSE)</f>
        <v>Yes</v>
      </c>
      <c r="V27" s="16" t="str">
        <f>VLOOKUP($A27,'SurveyRpt_20150223 (1)'!$A$34:$AN$735,36,FALSE)</f>
        <v>Yes</v>
      </c>
      <c r="W27" s="16" t="str">
        <f>VLOOKUP($A27,'SurveyRpt_20150223 (1)'!$A$34:$AN$735,38,FALSE)</f>
        <v>Yes</v>
      </c>
    </row>
    <row r="28" spans="1:23" ht="13.5" customHeight="1" x14ac:dyDescent="0.25">
      <c r="A28" s="19" t="s">
        <v>121</v>
      </c>
      <c r="B28" s="19" t="str">
        <f t="shared" si="0"/>
        <v>BKORANI</v>
      </c>
      <c r="C28" s="16" t="str">
        <f>VLOOKUP(B28,'Compiled Agents'!A:H,2,FALSE)</f>
        <v>Workplace</v>
      </c>
      <c r="D28" s="16" t="str">
        <f>VLOOKUP(B28,'Compiled Agents'!A:H,4,FALSE)</f>
        <v>Hyderabad</v>
      </c>
      <c r="E28" s="16" t="str">
        <f>VLOOKUP(B28,'Compiled Agents'!A:H,5,FALSE)</f>
        <v>Wave2</v>
      </c>
      <c r="F28" s="16" t="str">
        <f>VLOOKUP(B28,'Compiled Agents'!A:H,6,FALSE)</f>
        <v>Yellow</v>
      </c>
      <c r="G28" s="16">
        <f>VLOOKUP($A28,'SurveyRpt_20150223 (1)'!$A$34:$AN$735,6,FALSE)</f>
        <v>15</v>
      </c>
      <c r="H28" s="16" t="str">
        <f>VLOOKUP($A28,'SurveyRpt_20150223 (1)'!$A$34:$AN$735,8,FALSE)</f>
        <v>Yes</v>
      </c>
      <c r="I28" s="16" t="str">
        <f>VLOOKUP($A28,'SurveyRpt_20150223 (1)'!$A$34:$AN$735,10,FALSE)</f>
        <v>Yes</v>
      </c>
      <c r="J28" s="16" t="str">
        <f>VLOOKUP($A28,'SurveyRpt_20150223 (1)'!$A$34:$AN$735,12,FALSE)</f>
        <v>No</v>
      </c>
      <c r="K28" s="16" t="str">
        <f>VLOOKUP($A28,'SurveyRpt_20150223 (1)'!$A$34:$AN$735,14,FALSE)</f>
        <v>Yes</v>
      </c>
      <c r="L28" s="16" t="str">
        <f>VLOOKUP($A28,'SurveyRpt_20150223 (1)'!$A$34:$AN$735,16,FALSE)</f>
        <v>Yes</v>
      </c>
      <c r="M28" s="16" t="str">
        <f>VLOOKUP($A28,'SurveyRpt_20150223 (1)'!$A$34:$AN$735,18,FALSE)</f>
        <v>Yes</v>
      </c>
      <c r="N28" s="16" t="str">
        <f>VLOOKUP($A28,'SurveyRpt_20150223 (1)'!$A$34:$AN$735,20,FALSE)</f>
        <v>Yes</v>
      </c>
      <c r="O28" s="16" t="str">
        <f>VLOOKUP($A28,'SurveyRpt_20150223 (1)'!$A$34:$AN$735,22,FALSE)</f>
        <v>Yes</v>
      </c>
      <c r="P28" s="16" t="str">
        <f>VLOOKUP($A28,'SurveyRpt_20150223 (1)'!$A$34:$AN$735,24,FALSE)</f>
        <v>Yes</v>
      </c>
      <c r="Q28" s="16" t="str">
        <f>VLOOKUP($A28,'SurveyRpt_20150223 (1)'!$A$34:$AN$735,26,FALSE)</f>
        <v>Yes</v>
      </c>
      <c r="R28" s="16" t="str">
        <f>VLOOKUP($A28,'SurveyRpt_20150223 (1)'!$A$34:$AN$735,28,FALSE)</f>
        <v>Yes</v>
      </c>
      <c r="S28" s="16" t="str">
        <f>VLOOKUP($A28,'SurveyRpt_20150223 (1)'!$A$34:$AN$735,30,FALSE)</f>
        <v>Yes</v>
      </c>
      <c r="T28" s="16" t="str">
        <f>VLOOKUP($A28,'SurveyRpt_20150223 (1)'!$A$34:$AN$735,32,FALSE)</f>
        <v>Yes</v>
      </c>
      <c r="U28" s="16" t="str">
        <f>VLOOKUP($A28,'SurveyRpt_20150223 (1)'!$A$34:$AN$735,34,FALSE)</f>
        <v>Yes</v>
      </c>
      <c r="V28" s="16" t="str">
        <f>VLOOKUP($A28,'SurveyRpt_20150223 (1)'!$A$34:$AN$735,36,FALSE)</f>
        <v>Yes</v>
      </c>
      <c r="W28" s="16" t="str">
        <f>VLOOKUP($A28,'SurveyRpt_20150223 (1)'!$A$34:$AN$735,38,FALSE)</f>
        <v>Yes</v>
      </c>
    </row>
    <row r="29" spans="1:23" ht="13.5" customHeight="1" x14ac:dyDescent="0.25">
      <c r="A29" s="19" t="s">
        <v>122</v>
      </c>
      <c r="B29" s="19" t="str">
        <f t="shared" si="0"/>
        <v>RRAINA5</v>
      </c>
      <c r="C29" s="16" t="str">
        <f>VLOOKUP(B29,'Compiled Agents'!A:H,2,FALSE)</f>
        <v>Workplace</v>
      </c>
      <c r="D29" s="16" t="str">
        <f>VLOOKUP(B29,'Compiled Agents'!A:H,4,FALSE)</f>
        <v>Hyderabad</v>
      </c>
      <c r="E29" s="16" t="str">
        <f>VLOOKUP(B29,'Compiled Agents'!A:H,5,FALSE)</f>
        <v>Wave2</v>
      </c>
      <c r="F29" s="16" t="str">
        <f>VLOOKUP(B29,'Compiled Agents'!A:H,6,FALSE)</f>
        <v>Yellow</v>
      </c>
      <c r="G29" s="16">
        <f>VLOOKUP($A29,'SurveyRpt_20150223 (1)'!$A$34:$AN$735,6,FALSE)</f>
        <v>16</v>
      </c>
      <c r="H29" s="16" t="str">
        <f>VLOOKUP($A29,'SurveyRpt_20150223 (1)'!$A$34:$AN$735,8,FALSE)</f>
        <v>Yes</v>
      </c>
      <c r="I29" s="16" t="str">
        <f>VLOOKUP($A29,'SurveyRpt_20150223 (1)'!$A$34:$AN$735,10,FALSE)</f>
        <v>Yes</v>
      </c>
      <c r="J29" s="16" t="str">
        <f>VLOOKUP($A29,'SurveyRpt_20150223 (1)'!$A$34:$AN$735,12,FALSE)</f>
        <v>Yes</v>
      </c>
      <c r="K29" s="16" t="str">
        <f>VLOOKUP($A29,'SurveyRpt_20150223 (1)'!$A$34:$AN$735,14,FALSE)</f>
        <v>Yes</v>
      </c>
      <c r="L29" s="16" t="str">
        <f>VLOOKUP($A29,'SurveyRpt_20150223 (1)'!$A$34:$AN$735,16,FALSE)</f>
        <v>Yes</v>
      </c>
      <c r="M29" s="16" t="str">
        <f>VLOOKUP($A29,'SurveyRpt_20150223 (1)'!$A$34:$AN$735,18,FALSE)</f>
        <v>Yes</v>
      </c>
      <c r="N29" s="16" t="str">
        <f>VLOOKUP($A29,'SurveyRpt_20150223 (1)'!$A$34:$AN$735,20,FALSE)</f>
        <v>Yes</v>
      </c>
      <c r="O29" s="16" t="str">
        <f>VLOOKUP($A29,'SurveyRpt_20150223 (1)'!$A$34:$AN$735,22,FALSE)</f>
        <v>Yes</v>
      </c>
      <c r="P29" s="16" t="str">
        <f>VLOOKUP($A29,'SurveyRpt_20150223 (1)'!$A$34:$AN$735,24,FALSE)</f>
        <v>Yes</v>
      </c>
      <c r="Q29" s="16" t="str">
        <f>VLOOKUP($A29,'SurveyRpt_20150223 (1)'!$A$34:$AN$735,26,FALSE)</f>
        <v>Yes</v>
      </c>
      <c r="R29" s="16" t="str">
        <f>VLOOKUP($A29,'SurveyRpt_20150223 (1)'!$A$34:$AN$735,28,FALSE)</f>
        <v>Yes</v>
      </c>
      <c r="S29" s="16" t="str">
        <f>VLOOKUP($A29,'SurveyRpt_20150223 (1)'!$A$34:$AN$735,30,FALSE)</f>
        <v>Yes</v>
      </c>
      <c r="T29" s="16" t="str">
        <f>VLOOKUP($A29,'SurveyRpt_20150223 (1)'!$A$34:$AN$735,32,FALSE)</f>
        <v>Yes</v>
      </c>
      <c r="U29" s="16" t="str">
        <f>VLOOKUP($A29,'SurveyRpt_20150223 (1)'!$A$34:$AN$735,34,FALSE)</f>
        <v>Yes</v>
      </c>
      <c r="V29" s="16" t="str">
        <f>VLOOKUP($A29,'SurveyRpt_20150223 (1)'!$A$34:$AN$735,36,FALSE)</f>
        <v>Yes</v>
      </c>
      <c r="W29" s="16" t="str">
        <f>VLOOKUP($A29,'SurveyRpt_20150223 (1)'!$A$34:$AN$735,38,FALSE)</f>
        <v>Yes</v>
      </c>
    </row>
    <row r="30" spans="1:23" ht="13.5" customHeight="1" x14ac:dyDescent="0.25">
      <c r="A30" s="19" t="s">
        <v>123</v>
      </c>
      <c r="B30" s="19" t="str">
        <f t="shared" si="0"/>
        <v>SNASAR2</v>
      </c>
      <c r="C30" s="16" t="str">
        <f>VLOOKUP(B30,'Compiled Agents'!A:H,2,FALSE)</f>
        <v>Platform</v>
      </c>
      <c r="D30" s="16" t="str">
        <f>VLOOKUP(B30,'Compiled Agents'!A:H,4,FALSE)</f>
        <v>Hyderabad</v>
      </c>
      <c r="E30" s="16" t="str">
        <f>VLOOKUP(B30,'Compiled Agents'!A:H,5,FALSE)</f>
        <v>Wave1</v>
      </c>
      <c r="F30" s="16" t="str">
        <f>VLOOKUP(B30,'Compiled Agents'!A:H,6,FALSE)</f>
        <v>Purple</v>
      </c>
      <c r="G30" s="16">
        <f>VLOOKUP($A30,'SurveyRpt_20150223 (1)'!$A$34:$AN$735,6,FALSE)</f>
        <v>16</v>
      </c>
      <c r="H30" s="16" t="str">
        <f>VLOOKUP($A30,'SurveyRpt_20150223 (1)'!$A$34:$AN$735,8,FALSE)</f>
        <v>Yes</v>
      </c>
      <c r="I30" s="16" t="str">
        <f>VLOOKUP($A30,'SurveyRpt_20150223 (1)'!$A$34:$AN$735,10,FALSE)</f>
        <v>Yes</v>
      </c>
      <c r="J30" s="16" t="str">
        <f>VLOOKUP($A30,'SurveyRpt_20150223 (1)'!$A$34:$AN$735,12,FALSE)</f>
        <v>Yes</v>
      </c>
      <c r="K30" s="16" t="str">
        <f>VLOOKUP($A30,'SurveyRpt_20150223 (1)'!$A$34:$AN$735,14,FALSE)</f>
        <v>Yes</v>
      </c>
      <c r="L30" s="16" t="str">
        <f>VLOOKUP($A30,'SurveyRpt_20150223 (1)'!$A$34:$AN$735,16,FALSE)</f>
        <v>Yes</v>
      </c>
      <c r="M30" s="16" t="str">
        <f>VLOOKUP($A30,'SurveyRpt_20150223 (1)'!$A$34:$AN$735,18,FALSE)</f>
        <v>Yes</v>
      </c>
      <c r="N30" s="16" t="str">
        <f>VLOOKUP($A30,'SurveyRpt_20150223 (1)'!$A$34:$AN$735,20,FALSE)</f>
        <v>Yes</v>
      </c>
      <c r="O30" s="16" t="str">
        <f>VLOOKUP($A30,'SurveyRpt_20150223 (1)'!$A$34:$AN$735,22,FALSE)</f>
        <v>Yes</v>
      </c>
      <c r="P30" s="16" t="str">
        <f>VLOOKUP($A30,'SurveyRpt_20150223 (1)'!$A$34:$AN$735,24,FALSE)</f>
        <v>Yes</v>
      </c>
      <c r="Q30" s="16" t="str">
        <f>VLOOKUP($A30,'SurveyRpt_20150223 (1)'!$A$34:$AN$735,26,FALSE)</f>
        <v>Yes</v>
      </c>
      <c r="R30" s="16" t="str">
        <f>VLOOKUP($A30,'SurveyRpt_20150223 (1)'!$A$34:$AN$735,28,FALSE)</f>
        <v>Yes</v>
      </c>
      <c r="S30" s="16" t="str">
        <f>VLOOKUP($A30,'SurveyRpt_20150223 (1)'!$A$34:$AN$735,30,FALSE)</f>
        <v>Yes</v>
      </c>
      <c r="T30" s="16" t="str">
        <f>VLOOKUP($A30,'SurveyRpt_20150223 (1)'!$A$34:$AN$735,32,FALSE)</f>
        <v>Yes</v>
      </c>
      <c r="U30" s="16" t="str">
        <f>VLOOKUP($A30,'SurveyRpt_20150223 (1)'!$A$34:$AN$735,34,FALSE)</f>
        <v>Yes</v>
      </c>
      <c r="V30" s="16" t="str">
        <f>VLOOKUP($A30,'SurveyRpt_20150223 (1)'!$A$34:$AN$735,36,FALSE)</f>
        <v>Yes</v>
      </c>
      <c r="W30" s="16" t="str">
        <f>VLOOKUP($A30,'SurveyRpt_20150223 (1)'!$A$34:$AN$735,38,FALSE)</f>
        <v>Yes</v>
      </c>
    </row>
    <row r="31" spans="1:23" ht="13.5" customHeight="1" x14ac:dyDescent="0.25">
      <c r="A31" s="19" t="s">
        <v>124</v>
      </c>
      <c r="B31" s="19" t="str">
        <f t="shared" si="0"/>
        <v>TNANDA2</v>
      </c>
      <c r="C31" s="16" t="str">
        <f>VLOOKUP(B31,'Compiled Agents'!A:H,2,FALSE)</f>
        <v>Platform</v>
      </c>
      <c r="D31" s="16" t="str">
        <f>VLOOKUP(B31,'Compiled Agents'!A:H,4,FALSE)</f>
        <v>Noida</v>
      </c>
      <c r="E31" s="16" t="str">
        <f>VLOOKUP(B31,'Compiled Agents'!A:H,5,FALSE)</f>
        <v>Wave2</v>
      </c>
      <c r="F31" s="16" t="str">
        <f>VLOOKUP(B31,'Compiled Agents'!A:H,6,FALSE)</f>
        <v>Purple</v>
      </c>
      <c r="G31" s="16">
        <f>VLOOKUP($A31,'SurveyRpt_20150223 (1)'!$A$34:$AN$735,6,FALSE)</f>
        <v>14</v>
      </c>
      <c r="H31" s="16" t="str">
        <f>VLOOKUP($A31,'SurveyRpt_20150223 (1)'!$A$34:$AN$735,8,FALSE)</f>
        <v>Yes</v>
      </c>
      <c r="I31" s="16" t="str">
        <f>VLOOKUP($A31,'SurveyRpt_20150223 (1)'!$A$34:$AN$735,10,FALSE)</f>
        <v>Yes</v>
      </c>
      <c r="J31" s="16" t="str">
        <f>VLOOKUP($A31,'SurveyRpt_20150223 (1)'!$A$34:$AN$735,12,FALSE)</f>
        <v>Yes</v>
      </c>
      <c r="K31" s="16" t="str">
        <f>VLOOKUP($A31,'SurveyRpt_20150223 (1)'!$A$34:$AN$735,14,FALSE)</f>
        <v>Yes</v>
      </c>
      <c r="L31" s="16" t="str">
        <f>VLOOKUP($A31,'SurveyRpt_20150223 (1)'!$A$34:$AN$735,16,FALSE)</f>
        <v>Yes</v>
      </c>
      <c r="M31" s="16" t="str">
        <f>VLOOKUP($A31,'SurveyRpt_20150223 (1)'!$A$34:$AN$735,18,FALSE)</f>
        <v>Yes</v>
      </c>
      <c r="N31" s="16" t="str">
        <f>VLOOKUP($A31,'SurveyRpt_20150223 (1)'!$A$34:$AN$735,20,FALSE)</f>
        <v>Yes</v>
      </c>
      <c r="O31" s="16" t="str">
        <f>VLOOKUP($A31,'SurveyRpt_20150223 (1)'!$A$34:$AN$735,22,FALSE)</f>
        <v>Yes</v>
      </c>
      <c r="P31" s="16" t="str">
        <f>VLOOKUP($A31,'SurveyRpt_20150223 (1)'!$A$34:$AN$735,24,FALSE)</f>
        <v>Yes</v>
      </c>
      <c r="Q31" s="16" t="str">
        <f>VLOOKUP($A31,'SurveyRpt_20150223 (1)'!$A$34:$AN$735,26,FALSE)</f>
        <v>Yes</v>
      </c>
      <c r="R31" s="16" t="str">
        <f>VLOOKUP($A31,'SurveyRpt_20150223 (1)'!$A$34:$AN$735,28,FALSE)</f>
        <v>Yes</v>
      </c>
      <c r="S31" s="16" t="str">
        <f>VLOOKUP($A31,'SurveyRpt_20150223 (1)'!$A$34:$AN$735,30,FALSE)</f>
        <v>Yes</v>
      </c>
      <c r="T31" s="16" t="str">
        <f>VLOOKUP($A31,'SurveyRpt_20150223 (1)'!$A$34:$AN$735,32,FALSE)</f>
        <v>No</v>
      </c>
      <c r="U31" s="16" t="str">
        <f>VLOOKUP($A31,'SurveyRpt_20150223 (1)'!$A$34:$AN$735,34,FALSE)</f>
        <v>Yes</v>
      </c>
      <c r="V31" s="16" t="str">
        <f>VLOOKUP($A31,'SurveyRpt_20150223 (1)'!$A$34:$AN$735,36,FALSE)</f>
        <v>Yes</v>
      </c>
      <c r="W31" s="16" t="str">
        <f>VLOOKUP($A31,'SurveyRpt_20150223 (1)'!$A$34:$AN$735,38,FALSE)</f>
        <v>No</v>
      </c>
    </row>
    <row r="32" spans="1:23" ht="13.5" customHeight="1" x14ac:dyDescent="0.25">
      <c r="A32" s="19" t="s">
        <v>125</v>
      </c>
      <c r="B32" s="19" t="str">
        <f t="shared" si="0"/>
        <v>VMALHOTRA4</v>
      </c>
      <c r="C32" s="16" t="str">
        <f>VLOOKUP(B32,'Compiled Agents'!A:H,2,FALSE)</f>
        <v>Platform</v>
      </c>
      <c r="D32" s="16" t="str">
        <f>VLOOKUP(B32,'Compiled Agents'!A:H,4,FALSE)</f>
        <v>Noida</v>
      </c>
      <c r="E32" s="16" t="str">
        <f>VLOOKUP(B32,'Compiled Agents'!A:H,5,FALSE)</f>
        <v>Wave2</v>
      </c>
      <c r="F32" s="16" t="str">
        <f>VLOOKUP(B32,'Compiled Agents'!A:H,6,FALSE)</f>
        <v>Purple</v>
      </c>
      <c r="G32" s="16">
        <f>VLOOKUP($A32,'SurveyRpt_20150223 (1)'!$A$34:$AN$735,6,FALSE)</f>
        <v>7</v>
      </c>
      <c r="H32" s="16" t="str">
        <f>VLOOKUP($A32,'SurveyRpt_20150223 (1)'!$A$34:$AN$735,8,FALSE)</f>
        <v>No</v>
      </c>
      <c r="I32" s="16" t="str">
        <f>VLOOKUP($A32,'SurveyRpt_20150223 (1)'!$A$34:$AN$735,10,FALSE)</f>
        <v>Yes</v>
      </c>
      <c r="J32" s="16" t="str">
        <f>VLOOKUP($A32,'SurveyRpt_20150223 (1)'!$A$34:$AN$735,12,FALSE)</f>
        <v>No</v>
      </c>
      <c r="K32" s="16" t="str">
        <f>VLOOKUP($A32,'SurveyRpt_20150223 (1)'!$A$34:$AN$735,14,FALSE)</f>
        <v>No</v>
      </c>
      <c r="L32" s="16" t="str">
        <f>VLOOKUP($A32,'SurveyRpt_20150223 (1)'!$A$34:$AN$735,16,FALSE)</f>
        <v>Yes</v>
      </c>
      <c r="M32" s="16" t="str">
        <f>VLOOKUP($A32,'SurveyRpt_20150223 (1)'!$A$34:$AN$735,18,FALSE)</f>
        <v>Yes</v>
      </c>
      <c r="N32" s="16" t="str">
        <f>VLOOKUP($A32,'SurveyRpt_20150223 (1)'!$A$34:$AN$735,20,FALSE)</f>
        <v>No</v>
      </c>
      <c r="O32" s="16" t="str">
        <f>VLOOKUP($A32,'SurveyRpt_20150223 (1)'!$A$34:$AN$735,22,FALSE)</f>
        <v>No</v>
      </c>
      <c r="P32" s="16" t="str">
        <f>VLOOKUP($A32,'SurveyRpt_20150223 (1)'!$A$34:$AN$735,24,FALSE)</f>
        <v>No</v>
      </c>
      <c r="Q32" s="16" t="str">
        <f>VLOOKUP($A32,'SurveyRpt_20150223 (1)'!$A$34:$AN$735,26,FALSE)</f>
        <v>No</v>
      </c>
      <c r="R32" s="16" t="str">
        <f>VLOOKUP($A32,'SurveyRpt_20150223 (1)'!$A$34:$AN$735,28,FALSE)</f>
        <v>Yes</v>
      </c>
      <c r="S32" s="16" t="str">
        <f>VLOOKUP($A32,'SurveyRpt_20150223 (1)'!$A$34:$AN$735,30,FALSE)</f>
        <v>Yes</v>
      </c>
      <c r="T32" s="16" t="str">
        <f>VLOOKUP($A32,'SurveyRpt_20150223 (1)'!$A$34:$AN$735,32,FALSE)</f>
        <v>Yes</v>
      </c>
      <c r="U32" s="16" t="str">
        <f>VLOOKUP($A32,'SurveyRpt_20150223 (1)'!$A$34:$AN$735,34,FALSE)</f>
        <v>No</v>
      </c>
      <c r="V32" s="16" t="str">
        <f>VLOOKUP($A32,'SurveyRpt_20150223 (1)'!$A$34:$AN$735,36,FALSE)</f>
        <v>Yes</v>
      </c>
      <c r="W32" s="16" t="str">
        <f>VLOOKUP($A32,'SurveyRpt_20150223 (1)'!$A$34:$AN$735,38,FALSE)</f>
        <v>No</v>
      </c>
    </row>
    <row r="33" spans="1:23" ht="13.5" customHeight="1" x14ac:dyDescent="0.25">
      <c r="A33" s="19" t="s">
        <v>126</v>
      </c>
      <c r="B33" s="19" t="str">
        <f t="shared" si="0"/>
        <v>GKATHIRVELU</v>
      </c>
      <c r="C33" s="16" t="str">
        <f>VLOOKUP(B33,'Compiled Agents'!A:H,2,FALSE)</f>
        <v>Platform</v>
      </c>
      <c r="D33" s="16" t="str">
        <f>VLOOKUP(B33,'Compiled Agents'!A:H,4,FALSE)</f>
        <v>Noida</v>
      </c>
      <c r="E33" s="16" t="str">
        <f>VLOOKUP(B33,'Compiled Agents'!A:H,5,FALSE)</f>
        <v>Wave2</v>
      </c>
      <c r="F33" s="16" t="str">
        <f>VLOOKUP(B33,'Compiled Agents'!A:H,6,FALSE)</f>
        <v>Blue</v>
      </c>
      <c r="G33" s="16">
        <f>VLOOKUP($A33,'SurveyRpt_20150223 (1)'!$A$34:$AN$735,6,FALSE)</f>
        <v>16</v>
      </c>
      <c r="H33" s="16" t="str">
        <f>VLOOKUP($A33,'SurveyRpt_20150223 (1)'!$A$34:$AN$735,8,FALSE)</f>
        <v>Yes</v>
      </c>
      <c r="I33" s="16" t="str">
        <f>VLOOKUP($A33,'SurveyRpt_20150223 (1)'!$A$34:$AN$735,10,FALSE)</f>
        <v>Yes</v>
      </c>
      <c r="J33" s="16" t="str">
        <f>VLOOKUP($A33,'SurveyRpt_20150223 (1)'!$A$34:$AN$735,12,FALSE)</f>
        <v>Yes</v>
      </c>
      <c r="K33" s="16" t="str">
        <f>VLOOKUP($A33,'SurveyRpt_20150223 (1)'!$A$34:$AN$735,14,FALSE)</f>
        <v>Yes</v>
      </c>
      <c r="L33" s="16" t="str">
        <f>VLOOKUP($A33,'SurveyRpt_20150223 (1)'!$A$34:$AN$735,16,FALSE)</f>
        <v>Yes</v>
      </c>
      <c r="M33" s="16" t="str">
        <f>VLOOKUP($A33,'SurveyRpt_20150223 (1)'!$A$34:$AN$735,18,FALSE)</f>
        <v>Yes</v>
      </c>
      <c r="N33" s="16" t="str">
        <f>VLOOKUP($A33,'SurveyRpt_20150223 (1)'!$A$34:$AN$735,20,FALSE)</f>
        <v>Yes</v>
      </c>
      <c r="O33" s="16" t="str">
        <f>VLOOKUP($A33,'SurveyRpt_20150223 (1)'!$A$34:$AN$735,22,FALSE)</f>
        <v>Yes</v>
      </c>
      <c r="P33" s="16" t="str">
        <f>VLOOKUP($A33,'SurveyRpt_20150223 (1)'!$A$34:$AN$735,24,FALSE)</f>
        <v>Yes</v>
      </c>
      <c r="Q33" s="16" t="str">
        <f>VLOOKUP($A33,'SurveyRpt_20150223 (1)'!$A$34:$AN$735,26,FALSE)</f>
        <v>Yes</v>
      </c>
      <c r="R33" s="16" t="str">
        <f>VLOOKUP($A33,'SurveyRpt_20150223 (1)'!$A$34:$AN$735,28,FALSE)</f>
        <v>Yes</v>
      </c>
      <c r="S33" s="16" t="str">
        <f>VLOOKUP($A33,'SurveyRpt_20150223 (1)'!$A$34:$AN$735,30,FALSE)</f>
        <v>Yes</v>
      </c>
      <c r="T33" s="16" t="str">
        <f>VLOOKUP($A33,'SurveyRpt_20150223 (1)'!$A$34:$AN$735,32,FALSE)</f>
        <v>Yes</v>
      </c>
      <c r="U33" s="16" t="str">
        <f>VLOOKUP($A33,'SurveyRpt_20150223 (1)'!$A$34:$AN$735,34,FALSE)</f>
        <v>Yes</v>
      </c>
      <c r="V33" s="16" t="str">
        <f>VLOOKUP($A33,'SurveyRpt_20150223 (1)'!$A$34:$AN$735,36,FALSE)</f>
        <v>Yes</v>
      </c>
      <c r="W33" s="16" t="str">
        <f>VLOOKUP($A33,'SurveyRpt_20150223 (1)'!$A$34:$AN$735,38,FALSE)</f>
        <v>Yes</v>
      </c>
    </row>
    <row r="34" spans="1:23" ht="13.5" customHeight="1" x14ac:dyDescent="0.25">
      <c r="A34" s="19" t="s">
        <v>127</v>
      </c>
      <c r="B34" s="19" t="str">
        <f t="shared" si="0"/>
        <v>UJANELLA</v>
      </c>
      <c r="C34" s="16" t="str">
        <f>VLOOKUP(B34,'Compiled Agents'!A:H,2,FALSE)</f>
        <v>Platform</v>
      </c>
      <c r="D34" s="16" t="str">
        <f>VLOOKUP(B34,'Compiled Agents'!A:H,4,FALSE)</f>
        <v>Noida</v>
      </c>
      <c r="E34" s="16" t="str">
        <f>VLOOKUP(B34,'Compiled Agents'!A:H,5,FALSE)</f>
        <v>Wave2</v>
      </c>
      <c r="F34" s="16" t="str">
        <f>VLOOKUP(B34,'Compiled Agents'!A:H,6,FALSE)</f>
        <v>Purple</v>
      </c>
      <c r="G34" s="16">
        <f>VLOOKUP($A34,'SurveyRpt_20150223 (1)'!$A$34:$AN$735,6,FALSE)</f>
        <v>13</v>
      </c>
      <c r="H34" s="16" t="str">
        <f>VLOOKUP($A34,'SurveyRpt_20150223 (1)'!$A$34:$AN$735,8,FALSE)</f>
        <v>Yes</v>
      </c>
      <c r="I34" s="16" t="str">
        <f>VLOOKUP($A34,'SurveyRpt_20150223 (1)'!$A$34:$AN$735,10,FALSE)</f>
        <v>Yes</v>
      </c>
      <c r="J34" s="16" t="str">
        <f>VLOOKUP($A34,'SurveyRpt_20150223 (1)'!$A$34:$AN$735,12,FALSE)</f>
        <v>Yes</v>
      </c>
      <c r="K34" s="16" t="str">
        <f>VLOOKUP($A34,'SurveyRpt_20150223 (1)'!$A$34:$AN$735,14,FALSE)</f>
        <v>No</v>
      </c>
      <c r="L34" s="16" t="str">
        <f>VLOOKUP($A34,'SurveyRpt_20150223 (1)'!$A$34:$AN$735,16,FALSE)</f>
        <v>Yes</v>
      </c>
      <c r="M34" s="16" t="str">
        <f>VLOOKUP($A34,'SurveyRpt_20150223 (1)'!$A$34:$AN$735,18,FALSE)</f>
        <v>Yes</v>
      </c>
      <c r="N34" s="16" t="str">
        <f>VLOOKUP($A34,'SurveyRpt_20150223 (1)'!$A$34:$AN$735,20,FALSE)</f>
        <v>No</v>
      </c>
      <c r="O34" s="16" t="str">
        <f>VLOOKUP($A34,'SurveyRpt_20150223 (1)'!$A$34:$AN$735,22,FALSE)</f>
        <v>Yes</v>
      </c>
      <c r="P34" s="16" t="str">
        <f>VLOOKUP($A34,'SurveyRpt_20150223 (1)'!$A$34:$AN$735,24,FALSE)</f>
        <v>No</v>
      </c>
      <c r="Q34" s="16" t="str">
        <f>VLOOKUP($A34,'SurveyRpt_20150223 (1)'!$A$34:$AN$735,26,FALSE)</f>
        <v>Yes</v>
      </c>
      <c r="R34" s="16" t="str">
        <f>VLOOKUP($A34,'SurveyRpt_20150223 (1)'!$A$34:$AN$735,28,FALSE)</f>
        <v>Yes</v>
      </c>
      <c r="S34" s="16" t="str">
        <f>VLOOKUP($A34,'SurveyRpt_20150223 (1)'!$A$34:$AN$735,30,FALSE)</f>
        <v>Yes</v>
      </c>
      <c r="T34" s="16" t="str">
        <f>VLOOKUP($A34,'SurveyRpt_20150223 (1)'!$A$34:$AN$735,32,FALSE)</f>
        <v>Yes</v>
      </c>
      <c r="U34" s="16" t="str">
        <f>VLOOKUP($A34,'SurveyRpt_20150223 (1)'!$A$34:$AN$735,34,FALSE)</f>
        <v>Yes</v>
      </c>
      <c r="V34" s="16" t="str">
        <f>VLOOKUP($A34,'SurveyRpt_20150223 (1)'!$A$34:$AN$735,36,FALSE)</f>
        <v>Yes</v>
      </c>
      <c r="W34" s="16" t="str">
        <f>VLOOKUP($A34,'SurveyRpt_20150223 (1)'!$A$34:$AN$735,38,FALSE)</f>
        <v>Yes</v>
      </c>
    </row>
    <row r="35" spans="1:23" ht="13.5" customHeight="1" x14ac:dyDescent="0.25">
      <c r="A35" s="19" t="s">
        <v>128</v>
      </c>
      <c r="B35" s="19" t="str">
        <f t="shared" si="0"/>
        <v>PMENDIRATTA2</v>
      </c>
      <c r="C35" s="16" t="str">
        <f>VLOOKUP(B35,'Compiled Agents'!A:H,2,FALSE)</f>
        <v>Platform</v>
      </c>
      <c r="D35" s="16" t="str">
        <f>VLOOKUP(B35,'Compiled Agents'!A:H,4,FALSE)</f>
        <v>Noida</v>
      </c>
      <c r="E35" s="16" t="str">
        <f>VLOOKUP(B35,'Compiled Agents'!A:H,5,FALSE)</f>
        <v>Wave2</v>
      </c>
      <c r="F35" s="16" t="str">
        <f>VLOOKUP(B35,'Compiled Agents'!A:H,6,FALSE)</f>
        <v>Blue</v>
      </c>
      <c r="G35" s="16">
        <f>VLOOKUP($A35,'SurveyRpt_20150223 (1)'!$A$34:$AN$735,6,FALSE)</f>
        <v>14</v>
      </c>
      <c r="H35" s="16" t="str">
        <f>VLOOKUP($A35,'SurveyRpt_20150223 (1)'!$A$34:$AN$735,8,FALSE)</f>
        <v>No</v>
      </c>
      <c r="I35" s="16" t="str">
        <f>VLOOKUP($A35,'SurveyRpt_20150223 (1)'!$A$34:$AN$735,10,FALSE)</f>
        <v>Yes</v>
      </c>
      <c r="J35" s="16" t="str">
        <f>VLOOKUP($A35,'SurveyRpt_20150223 (1)'!$A$34:$AN$735,12,FALSE)</f>
        <v>Yes</v>
      </c>
      <c r="K35" s="16" t="str">
        <f>VLOOKUP($A35,'SurveyRpt_20150223 (1)'!$A$34:$AN$735,14,FALSE)</f>
        <v>Yes</v>
      </c>
      <c r="L35" s="16" t="str">
        <f>VLOOKUP($A35,'SurveyRpt_20150223 (1)'!$A$34:$AN$735,16,FALSE)</f>
        <v>No</v>
      </c>
      <c r="M35" s="16" t="str">
        <f>VLOOKUP($A35,'SurveyRpt_20150223 (1)'!$A$34:$AN$735,18,FALSE)</f>
        <v>Yes</v>
      </c>
      <c r="N35" s="16" t="str">
        <f>VLOOKUP($A35,'SurveyRpt_20150223 (1)'!$A$34:$AN$735,20,FALSE)</f>
        <v>Yes</v>
      </c>
      <c r="O35" s="16" t="str">
        <f>VLOOKUP($A35,'SurveyRpt_20150223 (1)'!$A$34:$AN$735,22,FALSE)</f>
        <v>Yes</v>
      </c>
      <c r="P35" s="16" t="str">
        <f>VLOOKUP($A35,'SurveyRpt_20150223 (1)'!$A$34:$AN$735,24,FALSE)</f>
        <v>Yes</v>
      </c>
      <c r="Q35" s="16" t="str">
        <f>VLOOKUP($A35,'SurveyRpt_20150223 (1)'!$A$34:$AN$735,26,FALSE)</f>
        <v>Yes</v>
      </c>
      <c r="R35" s="16" t="str">
        <f>VLOOKUP($A35,'SurveyRpt_20150223 (1)'!$A$34:$AN$735,28,FALSE)</f>
        <v>Yes</v>
      </c>
      <c r="S35" s="16" t="str">
        <f>VLOOKUP($A35,'SurveyRpt_20150223 (1)'!$A$34:$AN$735,30,FALSE)</f>
        <v>Yes</v>
      </c>
      <c r="T35" s="16" t="str">
        <f>VLOOKUP($A35,'SurveyRpt_20150223 (1)'!$A$34:$AN$735,32,FALSE)</f>
        <v>Yes</v>
      </c>
      <c r="U35" s="16" t="str">
        <f>VLOOKUP($A35,'SurveyRpt_20150223 (1)'!$A$34:$AN$735,34,FALSE)</f>
        <v>Yes</v>
      </c>
      <c r="V35" s="16" t="str">
        <f>VLOOKUP($A35,'SurveyRpt_20150223 (1)'!$A$34:$AN$735,36,FALSE)</f>
        <v>Yes</v>
      </c>
      <c r="W35" s="16" t="str">
        <f>VLOOKUP($A35,'SurveyRpt_20150223 (1)'!$A$34:$AN$735,38,FALSE)</f>
        <v>Yes</v>
      </c>
    </row>
    <row r="36" spans="1:23" ht="13.5" customHeight="1" x14ac:dyDescent="0.25">
      <c r="A36" s="19" t="s">
        <v>129</v>
      </c>
      <c r="B36" s="19" t="str">
        <f t="shared" si="0"/>
        <v>KPATHAK3</v>
      </c>
      <c r="C36" s="16" t="str">
        <f>VLOOKUP(B36,'Compiled Agents'!A:H,2,FALSE)</f>
        <v>Platform</v>
      </c>
      <c r="D36" s="16" t="str">
        <f>VLOOKUP(B36,'Compiled Agents'!A:H,4,FALSE)</f>
        <v>Noida</v>
      </c>
      <c r="E36" s="16" t="str">
        <f>VLOOKUP(B36,'Compiled Agents'!A:H,5,FALSE)</f>
        <v>Wave2</v>
      </c>
      <c r="F36" s="16" t="str">
        <f>VLOOKUP(B36,'Compiled Agents'!A:H,6,FALSE)</f>
        <v>Purple</v>
      </c>
      <c r="G36" s="16">
        <f>VLOOKUP($A36,'SurveyRpt_20150223 (1)'!$A$34:$AN$735,6,FALSE)</f>
        <v>16</v>
      </c>
      <c r="H36" s="16" t="str">
        <f>VLOOKUP($A36,'SurveyRpt_20150223 (1)'!$A$34:$AN$735,8,FALSE)</f>
        <v>Yes</v>
      </c>
      <c r="I36" s="16" t="str">
        <f>VLOOKUP($A36,'SurveyRpt_20150223 (1)'!$A$34:$AN$735,10,FALSE)</f>
        <v>Yes</v>
      </c>
      <c r="J36" s="16" t="str">
        <f>VLOOKUP($A36,'SurveyRpt_20150223 (1)'!$A$34:$AN$735,12,FALSE)</f>
        <v>Yes</v>
      </c>
      <c r="K36" s="16" t="str">
        <f>VLOOKUP($A36,'SurveyRpt_20150223 (1)'!$A$34:$AN$735,14,FALSE)</f>
        <v>Yes</v>
      </c>
      <c r="L36" s="16" t="str">
        <f>VLOOKUP($A36,'SurveyRpt_20150223 (1)'!$A$34:$AN$735,16,FALSE)</f>
        <v>Yes</v>
      </c>
      <c r="M36" s="16" t="str">
        <f>VLOOKUP($A36,'SurveyRpt_20150223 (1)'!$A$34:$AN$735,18,FALSE)</f>
        <v>Yes</v>
      </c>
      <c r="N36" s="16" t="str">
        <f>VLOOKUP($A36,'SurveyRpt_20150223 (1)'!$A$34:$AN$735,20,FALSE)</f>
        <v>Yes</v>
      </c>
      <c r="O36" s="16" t="str">
        <f>VLOOKUP($A36,'SurveyRpt_20150223 (1)'!$A$34:$AN$735,22,FALSE)</f>
        <v>Yes</v>
      </c>
      <c r="P36" s="16" t="str">
        <f>VLOOKUP($A36,'SurveyRpt_20150223 (1)'!$A$34:$AN$735,24,FALSE)</f>
        <v>Yes</v>
      </c>
      <c r="Q36" s="16" t="str">
        <f>VLOOKUP($A36,'SurveyRpt_20150223 (1)'!$A$34:$AN$735,26,FALSE)</f>
        <v>Yes</v>
      </c>
      <c r="R36" s="16" t="str">
        <f>VLOOKUP($A36,'SurveyRpt_20150223 (1)'!$A$34:$AN$735,28,FALSE)</f>
        <v>Yes</v>
      </c>
      <c r="S36" s="16" t="str">
        <f>VLOOKUP($A36,'SurveyRpt_20150223 (1)'!$A$34:$AN$735,30,FALSE)</f>
        <v>Yes</v>
      </c>
      <c r="T36" s="16" t="str">
        <f>VLOOKUP($A36,'SurveyRpt_20150223 (1)'!$A$34:$AN$735,32,FALSE)</f>
        <v>Yes</v>
      </c>
      <c r="U36" s="16" t="str">
        <f>VLOOKUP($A36,'SurveyRpt_20150223 (1)'!$A$34:$AN$735,34,FALSE)</f>
        <v>Yes</v>
      </c>
      <c r="V36" s="16" t="str">
        <f>VLOOKUP($A36,'SurveyRpt_20150223 (1)'!$A$34:$AN$735,36,FALSE)</f>
        <v>Yes</v>
      </c>
      <c r="W36" s="16" t="str">
        <f>VLOOKUP($A36,'SurveyRpt_20150223 (1)'!$A$34:$AN$735,38,FALSE)</f>
        <v>Yes</v>
      </c>
    </row>
    <row r="37" spans="1:23" ht="13.5" customHeight="1" x14ac:dyDescent="0.25">
      <c r="A37" s="19" t="s">
        <v>130</v>
      </c>
      <c r="B37" s="19" t="str">
        <f t="shared" si="0"/>
        <v>pkaushik3</v>
      </c>
      <c r="C37" s="16" t="str">
        <f>VLOOKUP(B37,'Compiled Agents'!A:H,2,FALSE)</f>
        <v>Platform</v>
      </c>
      <c r="D37" s="16" t="str">
        <f>VLOOKUP(B37,'Compiled Agents'!A:H,4,FALSE)</f>
        <v>Noida</v>
      </c>
      <c r="E37" s="16" t="str">
        <f>VLOOKUP(B37,'Compiled Agents'!A:H,5,FALSE)</f>
        <v>Wave1</v>
      </c>
      <c r="F37" s="16" t="str">
        <f>VLOOKUP(B37,'Compiled Agents'!A:H,6,FALSE)</f>
        <v>Orange</v>
      </c>
      <c r="G37" s="16">
        <f>VLOOKUP($A37,'SurveyRpt_20150223 (1)'!$A$34:$AN$735,6,FALSE)</f>
        <v>7</v>
      </c>
      <c r="H37" s="16" t="str">
        <f>VLOOKUP($A37,'SurveyRpt_20150223 (1)'!$A$34:$AN$735,8,FALSE)</f>
        <v>Yes</v>
      </c>
      <c r="I37" s="16" t="str">
        <f>VLOOKUP($A37,'SurveyRpt_20150223 (1)'!$A$34:$AN$735,10,FALSE)</f>
        <v>Yes</v>
      </c>
      <c r="J37" s="16" t="str">
        <f>VLOOKUP($A37,'SurveyRpt_20150223 (1)'!$A$34:$AN$735,12,FALSE)</f>
        <v>No</v>
      </c>
      <c r="K37" s="16" t="str">
        <f>VLOOKUP($A37,'SurveyRpt_20150223 (1)'!$A$34:$AN$735,14,FALSE)</f>
        <v>No</v>
      </c>
      <c r="L37" s="16" t="str">
        <f>VLOOKUP($A37,'SurveyRpt_20150223 (1)'!$A$34:$AN$735,16,FALSE)</f>
        <v>Yes</v>
      </c>
      <c r="M37" s="16" t="str">
        <f>VLOOKUP($A37,'SurveyRpt_20150223 (1)'!$A$34:$AN$735,18,FALSE)</f>
        <v>Yes</v>
      </c>
      <c r="N37" s="16" t="str">
        <f>VLOOKUP($A37,'SurveyRpt_20150223 (1)'!$A$34:$AN$735,20,FALSE)</f>
        <v>No</v>
      </c>
      <c r="O37" s="16" t="str">
        <f>VLOOKUP($A37,'SurveyRpt_20150223 (1)'!$A$34:$AN$735,22,FALSE)</f>
        <v>No</v>
      </c>
      <c r="P37" s="16" t="str">
        <f>VLOOKUP($A37,'SurveyRpt_20150223 (1)'!$A$34:$AN$735,24,FALSE)</f>
        <v>No</v>
      </c>
      <c r="Q37" s="16" t="str">
        <f>VLOOKUP($A37,'SurveyRpt_20150223 (1)'!$A$34:$AN$735,26,FALSE)</f>
        <v>No</v>
      </c>
      <c r="R37" s="16" t="str">
        <f>VLOOKUP($A37,'SurveyRpt_20150223 (1)'!$A$34:$AN$735,28,FALSE)</f>
        <v>Yes</v>
      </c>
      <c r="S37" s="16" t="str">
        <f>VLOOKUP($A37,'SurveyRpt_20150223 (1)'!$A$34:$AN$735,30,FALSE)</f>
        <v>Yes</v>
      </c>
      <c r="T37" s="16" t="str">
        <f>VLOOKUP($A37,'SurveyRpt_20150223 (1)'!$A$34:$AN$735,32,FALSE)</f>
        <v>No</v>
      </c>
      <c r="U37" s="16" t="str">
        <f>VLOOKUP($A37,'SurveyRpt_20150223 (1)'!$A$34:$AN$735,34,FALSE)</f>
        <v>No</v>
      </c>
      <c r="V37" s="16" t="str">
        <f>VLOOKUP($A37,'SurveyRpt_20150223 (1)'!$A$34:$AN$735,36,FALSE)</f>
        <v>Yes</v>
      </c>
      <c r="W37" s="16" t="str">
        <f>VLOOKUP($A37,'SurveyRpt_20150223 (1)'!$A$34:$AN$735,38,FALSE)</f>
        <v>No</v>
      </c>
    </row>
    <row r="38" spans="1:23" ht="13.5" customHeight="1" x14ac:dyDescent="0.25">
      <c r="A38" s="19" t="s">
        <v>131</v>
      </c>
      <c r="B38" s="19" t="str">
        <f t="shared" si="0"/>
        <v>CGOVINDARAJU</v>
      </c>
      <c r="C38" s="16" t="str">
        <f>VLOOKUP(B38,'Compiled Agents'!A:H,2,FALSE)</f>
        <v>Workplace</v>
      </c>
      <c r="D38" s="16" t="str">
        <f>VLOOKUP(B38,'Compiled Agents'!A:H,4,FALSE)</f>
        <v>Hyderabad</v>
      </c>
      <c r="E38" s="16" t="str">
        <f>VLOOKUP(B38,'Compiled Agents'!A:H,5,FALSE)</f>
        <v>Wave2</v>
      </c>
      <c r="F38" s="16" t="str">
        <f>VLOOKUP(B38,'Compiled Agents'!A:H,6,FALSE)</f>
        <v>Purple</v>
      </c>
      <c r="G38" s="16">
        <f>VLOOKUP($A38,'SurveyRpt_20150223 (1)'!$A$34:$AN$735,6,FALSE)</f>
        <v>16</v>
      </c>
      <c r="H38" s="16" t="str">
        <f>VLOOKUP($A38,'SurveyRpt_20150223 (1)'!$A$34:$AN$735,8,FALSE)</f>
        <v>Yes</v>
      </c>
      <c r="I38" s="16" t="str">
        <f>VLOOKUP($A38,'SurveyRpt_20150223 (1)'!$A$34:$AN$735,10,FALSE)</f>
        <v>Yes</v>
      </c>
      <c r="J38" s="16" t="str">
        <f>VLOOKUP($A38,'SurveyRpt_20150223 (1)'!$A$34:$AN$735,12,FALSE)</f>
        <v>Yes</v>
      </c>
      <c r="K38" s="16" t="str">
        <f>VLOOKUP($A38,'SurveyRpt_20150223 (1)'!$A$34:$AN$735,14,FALSE)</f>
        <v>Yes</v>
      </c>
      <c r="L38" s="16" t="str">
        <f>VLOOKUP($A38,'SurveyRpt_20150223 (1)'!$A$34:$AN$735,16,FALSE)</f>
        <v>Yes</v>
      </c>
      <c r="M38" s="16" t="str">
        <f>VLOOKUP($A38,'SurveyRpt_20150223 (1)'!$A$34:$AN$735,18,FALSE)</f>
        <v>Yes</v>
      </c>
      <c r="N38" s="16" t="str">
        <f>VLOOKUP($A38,'SurveyRpt_20150223 (1)'!$A$34:$AN$735,20,FALSE)</f>
        <v>Yes</v>
      </c>
      <c r="O38" s="16" t="str">
        <f>VLOOKUP($A38,'SurveyRpt_20150223 (1)'!$A$34:$AN$735,22,FALSE)</f>
        <v>Yes</v>
      </c>
      <c r="P38" s="16" t="str">
        <f>VLOOKUP($A38,'SurveyRpt_20150223 (1)'!$A$34:$AN$735,24,FALSE)</f>
        <v>Yes</v>
      </c>
      <c r="Q38" s="16" t="str">
        <f>VLOOKUP($A38,'SurveyRpt_20150223 (1)'!$A$34:$AN$735,26,FALSE)</f>
        <v>Yes</v>
      </c>
      <c r="R38" s="16" t="str">
        <f>VLOOKUP($A38,'SurveyRpt_20150223 (1)'!$A$34:$AN$735,28,FALSE)</f>
        <v>Yes</v>
      </c>
      <c r="S38" s="16" t="str">
        <f>VLOOKUP($A38,'SurveyRpt_20150223 (1)'!$A$34:$AN$735,30,FALSE)</f>
        <v>Yes</v>
      </c>
      <c r="T38" s="16" t="str">
        <f>VLOOKUP($A38,'SurveyRpt_20150223 (1)'!$A$34:$AN$735,32,FALSE)</f>
        <v>Yes</v>
      </c>
      <c r="U38" s="16" t="str">
        <f>VLOOKUP($A38,'SurveyRpt_20150223 (1)'!$A$34:$AN$735,34,FALSE)</f>
        <v>Yes</v>
      </c>
      <c r="V38" s="16" t="str">
        <f>VLOOKUP($A38,'SurveyRpt_20150223 (1)'!$A$34:$AN$735,36,FALSE)</f>
        <v>Yes</v>
      </c>
      <c r="W38" s="16" t="str">
        <f>VLOOKUP($A38,'SurveyRpt_20150223 (1)'!$A$34:$AN$735,38,FALSE)</f>
        <v>Yes</v>
      </c>
    </row>
    <row r="39" spans="1:23" ht="13.5" customHeight="1" x14ac:dyDescent="0.25">
      <c r="A39" s="19" t="s">
        <v>132</v>
      </c>
      <c r="B39" s="19" t="str">
        <f t="shared" si="0"/>
        <v>NJAIN39</v>
      </c>
      <c r="C39" s="16" t="str">
        <f>VLOOKUP(B39,'Compiled Agents'!A:H,2,FALSE)</f>
        <v>Platform</v>
      </c>
      <c r="D39" s="16" t="str">
        <f>VLOOKUP(B39,'Compiled Agents'!A:H,4,FALSE)</f>
        <v>Noida</v>
      </c>
      <c r="E39" s="16" t="str">
        <f>VLOOKUP(B39,'Compiled Agents'!A:H,5,FALSE)</f>
        <v>Wave1</v>
      </c>
      <c r="F39" s="16" t="str">
        <f>VLOOKUP(B39,'Compiled Agents'!A:H,6,FALSE)</f>
        <v>Yellow</v>
      </c>
      <c r="G39" s="16">
        <f>VLOOKUP($A39,'SurveyRpt_20150223 (1)'!$A$34:$AN$735,6,FALSE)</f>
        <v>14</v>
      </c>
      <c r="H39" s="16" t="str">
        <f>VLOOKUP($A39,'SurveyRpt_20150223 (1)'!$A$34:$AN$735,8,FALSE)</f>
        <v>Yes</v>
      </c>
      <c r="I39" s="16" t="str">
        <f>VLOOKUP($A39,'SurveyRpt_20150223 (1)'!$A$34:$AN$735,10,FALSE)</f>
        <v>Yes</v>
      </c>
      <c r="J39" s="16" t="str">
        <f>VLOOKUP($A39,'SurveyRpt_20150223 (1)'!$A$34:$AN$735,12,FALSE)</f>
        <v>Yes</v>
      </c>
      <c r="K39" s="16" t="str">
        <f>VLOOKUP($A39,'SurveyRpt_20150223 (1)'!$A$34:$AN$735,14,FALSE)</f>
        <v>Yes</v>
      </c>
      <c r="L39" s="16" t="str">
        <f>VLOOKUP($A39,'SurveyRpt_20150223 (1)'!$A$34:$AN$735,16,FALSE)</f>
        <v>Yes</v>
      </c>
      <c r="M39" s="16" t="str">
        <f>VLOOKUP($A39,'SurveyRpt_20150223 (1)'!$A$34:$AN$735,18,FALSE)</f>
        <v>Yes</v>
      </c>
      <c r="N39" s="16" t="str">
        <f>VLOOKUP($A39,'SurveyRpt_20150223 (1)'!$A$34:$AN$735,20,FALSE)</f>
        <v>Yes</v>
      </c>
      <c r="O39" s="16" t="str">
        <f>VLOOKUP($A39,'SurveyRpt_20150223 (1)'!$A$34:$AN$735,22,FALSE)</f>
        <v>Yes</v>
      </c>
      <c r="P39" s="16" t="str">
        <f>VLOOKUP($A39,'SurveyRpt_20150223 (1)'!$A$34:$AN$735,24,FALSE)</f>
        <v>Yes</v>
      </c>
      <c r="Q39" s="16" t="str">
        <f>VLOOKUP($A39,'SurveyRpt_20150223 (1)'!$A$34:$AN$735,26,FALSE)</f>
        <v>Yes</v>
      </c>
      <c r="R39" s="16" t="str">
        <f>VLOOKUP($A39,'SurveyRpt_20150223 (1)'!$A$34:$AN$735,28,FALSE)</f>
        <v>Yes</v>
      </c>
      <c r="S39" s="16" t="str">
        <f>VLOOKUP($A39,'SurveyRpt_20150223 (1)'!$A$34:$AN$735,30,FALSE)</f>
        <v>Yes</v>
      </c>
      <c r="T39" s="16" t="str">
        <f>VLOOKUP($A39,'SurveyRpt_20150223 (1)'!$A$34:$AN$735,32,FALSE)</f>
        <v>No</v>
      </c>
      <c r="U39" s="16" t="str">
        <f>VLOOKUP($A39,'SurveyRpt_20150223 (1)'!$A$34:$AN$735,34,FALSE)</f>
        <v>Yes</v>
      </c>
      <c r="V39" s="16" t="str">
        <f>VLOOKUP($A39,'SurveyRpt_20150223 (1)'!$A$34:$AN$735,36,FALSE)</f>
        <v>Yes</v>
      </c>
      <c r="W39" s="16" t="str">
        <f>VLOOKUP($A39,'SurveyRpt_20150223 (1)'!$A$34:$AN$735,38,FALSE)</f>
        <v>No</v>
      </c>
    </row>
    <row r="40" spans="1:23" ht="13.5" customHeight="1" x14ac:dyDescent="0.25">
      <c r="A40" s="19" t="s">
        <v>133</v>
      </c>
      <c r="B40" s="19" t="str">
        <f t="shared" si="0"/>
        <v>GRAJASEKAR</v>
      </c>
      <c r="C40" s="16" t="str">
        <f>VLOOKUP(B40,'Compiled Agents'!A:H,2,FALSE)</f>
        <v>Platform</v>
      </c>
      <c r="D40" s="16" t="str">
        <f>VLOOKUP(B40,'Compiled Agents'!A:H,4,FALSE)</f>
        <v>Noida</v>
      </c>
      <c r="E40" s="16" t="str">
        <f>VLOOKUP(B40,'Compiled Agents'!A:H,5,FALSE)</f>
        <v>Wave2</v>
      </c>
      <c r="F40" s="16" t="str">
        <f>VLOOKUP(B40,'Compiled Agents'!A:H,6,FALSE)</f>
        <v>Orange</v>
      </c>
      <c r="G40" s="16">
        <f>VLOOKUP($A40,'SurveyRpt_20150223 (1)'!$A$34:$AN$735,6,FALSE)</f>
        <v>15</v>
      </c>
      <c r="H40" s="16" t="str">
        <f>VLOOKUP($A40,'SurveyRpt_20150223 (1)'!$A$34:$AN$735,8,FALSE)</f>
        <v>Yes</v>
      </c>
      <c r="I40" s="16" t="str">
        <f>VLOOKUP($A40,'SurveyRpt_20150223 (1)'!$A$34:$AN$735,10,FALSE)</f>
        <v>Yes</v>
      </c>
      <c r="J40" s="16" t="str">
        <f>VLOOKUP($A40,'SurveyRpt_20150223 (1)'!$A$34:$AN$735,12,FALSE)</f>
        <v>Yes</v>
      </c>
      <c r="K40" s="16" t="str">
        <f>VLOOKUP($A40,'SurveyRpt_20150223 (1)'!$A$34:$AN$735,14,FALSE)</f>
        <v>Yes</v>
      </c>
      <c r="L40" s="16" t="str">
        <f>VLOOKUP($A40,'SurveyRpt_20150223 (1)'!$A$34:$AN$735,16,FALSE)</f>
        <v>Yes</v>
      </c>
      <c r="M40" s="16" t="str">
        <f>VLOOKUP($A40,'SurveyRpt_20150223 (1)'!$A$34:$AN$735,18,FALSE)</f>
        <v>Yes</v>
      </c>
      <c r="N40" s="16" t="str">
        <f>VLOOKUP($A40,'SurveyRpt_20150223 (1)'!$A$34:$AN$735,20,FALSE)</f>
        <v>Yes</v>
      </c>
      <c r="O40" s="16" t="str">
        <f>VLOOKUP($A40,'SurveyRpt_20150223 (1)'!$A$34:$AN$735,22,FALSE)</f>
        <v>Yes</v>
      </c>
      <c r="P40" s="16" t="str">
        <f>VLOOKUP($A40,'SurveyRpt_20150223 (1)'!$A$34:$AN$735,24,FALSE)</f>
        <v>Yes</v>
      </c>
      <c r="Q40" s="16" t="str">
        <f>VLOOKUP($A40,'SurveyRpt_20150223 (1)'!$A$34:$AN$735,26,FALSE)</f>
        <v>Yes</v>
      </c>
      <c r="R40" s="16" t="str">
        <f>VLOOKUP($A40,'SurveyRpt_20150223 (1)'!$A$34:$AN$735,28,FALSE)</f>
        <v>Yes</v>
      </c>
      <c r="S40" s="16" t="str">
        <f>VLOOKUP($A40,'SurveyRpt_20150223 (1)'!$A$34:$AN$735,30,FALSE)</f>
        <v>Yes</v>
      </c>
      <c r="T40" s="16" t="str">
        <f>VLOOKUP($A40,'SurveyRpt_20150223 (1)'!$A$34:$AN$735,32,FALSE)</f>
        <v>Yes</v>
      </c>
      <c r="U40" s="16" t="str">
        <f>VLOOKUP($A40,'SurveyRpt_20150223 (1)'!$A$34:$AN$735,34,FALSE)</f>
        <v>Yes</v>
      </c>
      <c r="V40" s="16" t="str">
        <f>VLOOKUP($A40,'SurveyRpt_20150223 (1)'!$A$34:$AN$735,36,FALSE)</f>
        <v>Yes</v>
      </c>
      <c r="W40" s="16" t="str">
        <f>VLOOKUP($A40,'SurveyRpt_20150223 (1)'!$A$34:$AN$735,38,FALSE)</f>
        <v>No</v>
      </c>
    </row>
    <row r="41" spans="1:23" ht="13.5" customHeight="1" x14ac:dyDescent="0.25">
      <c r="A41" s="19" t="s">
        <v>134</v>
      </c>
      <c r="B41" s="19" t="str">
        <f t="shared" si="0"/>
        <v>vpanedacepa</v>
      </c>
      <c r="C41" s="16" t="str">
        <f>VLOOKUP(B41,'Compiled Agents'!A:H,2,FALSE)</f>
        <v>Platform</v>
      </c>
      <c r="D41" s="16" t="str">
        <f>VLOOKUP(B41,'Compiled Agents'!A:H,4,FALSE)</f>
        <v>Spain</v>
      </c>
      <c r="E41" s="16" t="str">
        <f>VLOOKUP(B41,'Compiled Agents'!A:H,5,FALSE)</f>
        <v>Wave1</v>
      </c>
      <c r="F41" s="16" t="str">
        <f>VLOOKUP(B41,'Compiled Agents'!A:H,6,FALSE)</f>
        <v>Yellow</v>
      </c>
      <c r="G41" s="16">
        <f>VLOOKUP($A41,'SurveyRpt_20150223 (1)'!$A$34:$AN$735,6,FALSE)</f>
        <v>6</v>
      </c>
      <c r="H41" s="16" t="str">
        <f>VLOOKUP($A41,'SurveyRpt_20150223 (1)'!$A$34:$AN$735,8,FALSE)</f>
        <v>Yes</v>
      </c>
      <c r="I41" s="16" t="str">
        <f>VLOOKUP($A41,'SurveyRpt_20150223 (1)'!$A$34:$AN$735,10,FALSE)</f>
        <v>No</v>
      </c>
      <c r="J41" s="16" t="str">
        <f>VLOOKUP($A41,'SurveyRpt_20150223 (1)'!$A$34:$AN$735,12,FALSE)</f>
        <v>No</v>
      </c>
      <c r="K41" s="16" t="str">
        <f>VLOOKUP($A41,'SurveyRpt_20150223 (1)'!$A$34:$AN$735,14,FALSE)</f>
        <v>No</v>
      </c>
      <c r="L41" s="16" t="str">
        <f>VLOOKUP($A41,'SurveyRpt_20150223 (1)'!$A$34:$AN$735,16,FALSE)</f>
        <v>No</v>
      </c>
      <c r="M41" s="16" t="str">
        <f>VLOOKUP($A41,'SurveyRpt_20150223 (1)'!$A$34:$AN$735,18,FALSE)</f>
        <v>Yes</v>
      </c>
      <c r="N41" s="16" t="str">
        <f>VLOOKUP($A41,'SurveyRpt_20150223 (1)'!$A$34:$AN$735,20,FALSE)</f>
        <v>No</v>
      </c>
      <c r="O41" s="16" t="str">
        <f>VLOOKUP($A41,'SurveyRpt_20150223 (1)'!$A$34:$AN$735,22,FALSE)</f>
        <v>No</v>
      </c>
      <c r="P41" s="16" t="str">
        <f>VLOOKUP($A41,'SurveyRpt_20150223 (1)'!$A$34:$AN$735,24,FALSE)</f>
        <v>No</v>
      </c>
      <c r="Q41" s="16" t="str">
        <f>VLOOKUP($A41,'SurveyRpt_20150223 (1)'!$A$34:$AN$735,26,FALSE)</f>
        <v>Yes</v>
      </c>
      <c r="R41" s="16" t="str">
        <f>VLOOKUP($A41,'SurveyRpt_20150223 (1)'!$A$34:$AN$735,28,FALSE)</f>
        <v>Yes</v>
      </c>
      <c r="S41" s="16" t="str">
        <f>VLOOKUP($A41,'SurveyRpt_20150223 (1)'!$A$34:$AN$735,30,FALSE)</f>
        <v>Yes</v>
      </c>
      <c r="T41" s="16" t="str">
        <f>VLOOKUP($A41,'SurveyRpt_20150223 (1)'!$A$34:$AN$735,32,FALSE)</f>
        <v>No</v>
      </c>
      <c r="U41" s="16" t="str">
        <f>VLOOKUP($A41,'SurveyRpt_20150223 (1)'!$A$34:$AN$735,34,FALSE)</f>
        <v>Yes</v>
      </c>
      <c r="V41" s="16" t="str">
        <f>VLOOKUP($A41,'SurveyRpt_20150223 (1)'!$A$34:$AN$735,36,FALSE)</f>
        <v>No</v>
      </c>
      <c r="W41" s="16" t="str">
        <f>VLOOKUP($A41,'SurveyRpt_20150223 (1)'!$A$34:$AN$735,38,FALSE)</f>
        <v>No</v>
      </c>
    </row>
    <row r="42" spans="1:23" ht="13.5" customHeight="1" x14ac:dyDescent="0.25">
      <c r="A42" s="19" t="s">
        <v>135</v>
      </c>
      <c r="B42" s="19" t="str">
        <f t="shared" si="0"/>
        <v>RGANESAN24</v>
      </c>
      <c r="C42" s="16" t="str">
        <f>VLOOKUP(B42,'Compiled Agents'!A:H,2,FALSE)</f>
        <v>Platform</v>
      </c>
      <c r="D42" s="16" t="str">
        <f>VLOOKUP(B42,'Compiled Agents'!A:H,4,FALSE)</f>
        <v>Hyderabad</v>
      </c>
      <c r="E42" s="16" t="str">
        <f>VLOOKUP(B42,'Compiled Agents'!A:H,5,FALSE)</f>
        <v>Wave1</v>
      </c>
      <c r="F42" s="16" t="str">
        <f>VLOOKUP(B42,'Compiled Agents'!A:H,6,FALSE)</f>
        <v>Orange</v>
      </c>
      <c r="G42" s="16">
        <f>VLOOKUP($A42,'SurveyRpt_20150223 (1)'!$A$34:$AN$735,6,FALSE)</f>
        <v>16</v>
      </c>
      <c r="H42" s="16" t="str">
        <f>VLOOKUP($A42,'SurveyRpt_20150223 (1)'!$A$34:$AN$735,8,FALSE)</f>
        <v>Yes</v>
      </c>
      <c r="I42" s="16" t="str">
        <f>VLOOKUP($A42,'SurveyRpt_20150223 (1)'!$A$34:$AN$735,10,FALSE)</f>
        <v>Yes</v>
      </c>
      <c r="J42" s="16" t="str">
        <f>VLOOKUP($A42,'SurveyRpt_20150223 (1)'!$A$34:$AN$735,12,FALSE)</f>
        <v>Yes</v>
      </c>
      <c r="K42" s="16" t="str">
        <f>VLOOKUP($A42,'SurveyRpt_20150223 (1)'!$A$34:$AN$735,14,FALSE)</f>
        <v>Yes</v>
      </c>
      <c r="L42" s="16" t="str">
        <f>VLOOKUP($A42,'SurveyRpt_20150223 (1)'!$A$34:$AN$735,16,FALSE)</f>
        <v>Yes</v>
      </c>
      <c r="M42" s="16" t="str">
        <f>VLOOKUP($A42,'SurveyRpt_20150223 (1)'!$A$34:$AN$735,18,FALSE)</f>
        <v>Yes</v>
      </c>
      <c r="N42" s="16" t="str">
        <f>VLOOKUP($A42,'SurveyRpt_20150223 (1)'!$A$34:$AN$735,20,FALSE)</f>
        <v>Yes</v>
      </c>
      <c r="O42" s="16" t="str">
        <f>VLOOKUP($A42,'SurveyRpt_20150223 (1)'!$A$34:$AN$735,22,FALSE)</f>
        <v>Yes</v>
      </c>
      <c r="P42" s="16" t="str">
        <f>VLOOKUP($A42,'SurveyRpt_20150223 (1)'!$A$34:$AN$735,24,FALSE)</f>
        <v>Yes</v>
      </c>
      <c r="Q42" s="16" t="str">
        <f>VLOOKUP($A42,'SurveyRpt_20150223 (1)'!$A$34:$AN$735,26,FALSE)</f>
        <v>Yes</v>
      </c>
      <c r="R42" s="16" t="str">
        <f>VLOOKUP($A42,'SurveyRpt_20150223 (1)'!$A$34:$AN$735,28,FALSE)</f>
        <v>Yes</v>
      </c>
      <c r="S42" s="16" t="str">
        <f>VLOOKUP($A42,'SurveyRpt_20150223 (1)'!$A$34:$AN$735,30,FALSE)</f>
        <v>Yes</v>
      </c>
      <c r="T42" s="16" t="str">
        <f>VLOOKUP($A42,'SurveyRpt_20150223 (1)'!$A$34:$AN$735,32,FALSE)</f>
        <v>Yes</v>
      </c>
      <c r="U42" s="16" t="str">
        <f>VLOOKUP($A42,'SurveyRpt_20150223 (1)'!$A$34:$AN$735,34,FALSE)</f>
        <v>Yes</v>
      </c>
      <c r="V42" s="16" t="str">
        <f>VLOOKUP($A42,'SurveyRpt_20150223 (1)'!$A$34:$AN$735,36,FALSE)</f>
        <v>Yes</v>
      </c>
      <c r="W42" s="16" t="str">
        <f>VLOOKUP($A42,'SurveyRpt_20150223 (1)'!$A$34:$AN$735,38,FALSE)</f>
        <v>Yes</v>
      </c>
    </row>
    <row r="43" spans="1:23" ht="13.5" customHeight="1" x14ac:dyDescent="0.25">
      <c r="A43" s="19" t="s">
        <v>136</v>
      </c>
      <c r="B43" s="19" t="str">
        <f t="shared" si="0"/>
        <v>saristimunoj</v>
      </c>
      <c r="C43" s="16" t="str">
        <f>VLOOKUP(B43,'Compiled Agents'!A:H,2,FALSE)</f>
        <v>Platform</v>
      </c>
      <c r="D43" s="16" t="str">
        <f>VLOOKUP(B43,'Compiled Agents'!A:H,4,FALSE)</f>
        <v>Spain</v>
      </c>
      <c r="E43" s="16" t="str">
        <f>VLOOKUP(B43,'Compiled Agents'!A:H,5,FALSE)</f>
        <v>Wave1</v>
      </c>
      <c r="F43" s="16" t="str">
        <f>VLOOKUP(B43,'Compiled Agents'!A:H,6,FALSE)</f>
        <v>Yellow</v>
      </c>
      <c r="G43" s="16">
        <f>VLOOKUP($A43,'SurveyRpt_20150223 (1)'!$A$34:$AN$735,6,FALSE)</f>
        <v>10</v>
      </c>
      <c r="H43" s="16" t="str">
        <f>VLOOKUP($A43,'SurveyRpt_20150223 (1)'!$A$34:$AN$735,8,FALSE)</f>
        <v>No</v>
      </c>
      <c r="I43" s="16" t="str">
        <f>VLOOKUP($A43,'SurveyRpt_20150223 (1)'!$A$34:$AN$735,10,FALSE)</f>
        <v>Yes</v>
      </c>
      <c r="J43" s="16" t="str">
        <f>VLOOKUP($A43,'SurveyRpt_20150223 (1)'!$A$34:$AN$735,12,FALSE)</f>
        <v>No</v>
      </c>
      <c r="K43" s="16" t="str">
        <f>VLOOKUP($A43,'SurveyRpt_20150223 (1)'!$A$34:$AN$735,14,FALSE)</f>
        <v>No</v>
      </c>
      <c r="L43" s="16" t="str">
        <f>VLOOKUP($A43,'SurveyRpt_20150223 (1)'!$A$34:$AN$735,16,FALSE)</f>
        <v>Yes</v>
      </c>
      <c r="M43" s="16" t="str">
        <f>VLOOKUP($A43,'SurveyRpt_20150223 (1)'!$A$34:$AN$735,18,FALSE)</f>
        <v>Yes</v>
      </c>
      <c r="N43" s="16" t="str">
        <f>VLOOKUP($A43,'SurveyRpt_20150223 (1)'!$A$34:$AN$735,20,FALSE)</f>
        <v>Yes</v>
      </c>
      <c r="O43" s="16" t="str">
        <f>VLOOKUP($A43,'SurveyRpt_20150223 (1)'!$A$34:$AN$735,22,FALSE)</f>
        <v>Yes</v>
      </c>
      <c r="P43" s="16" t="str">
        <f>VLOOKUP($A43,'SurveyRpt_20150223 (1)'!$A$34:$AN$735,24,FALSE)</f>
        <v>No</v>
      </c>
      <c r="Q43" s="16" t="str">
        <f>VLOOKUP($A43,'SurveyRpt_20150223 (1)'!$A$34:$AN$735,26,FALSE)</f>
        <v>Yes</v>
      </c>
      <c r="R43" s="16" t="str">
        <f>VLOOKUP($A43,'SurveyRpt_20150223 (1)'!$A$34:$AN$735,28,FALSE)</f>
        <v>No</v>
      </c>
      <c r="S43" s="16" t="str">
        <f>VLOOKUP($A43,'SurveyRpt_20150223 (1)'!$A$34:$AN$735,30,FALSE)</f>
        <v>Yes</v>
      </c>
      <c r="T43" s="16" t="str">
        <f>VLOOKUP($A43,'SurveyRpt_20150223 (1)'!$A$34:$AN$735,32,FALSE)</f>
        <v>No</v>
      </c>
      <c r="U43" s="16" t="str">
        <f>VLOOKUP($A43,'SurveyRpt_20150223 (1)'!$A$34:$AN$735,34,FALSE)</f>
        <v>Yes</v>
      </c>
      <c r="V43" s="16" t="str">
        <f>VLOOKUP($A43,'SurveyRpt_20150223 (1)'!$A$34:$AN$735,36,FALSE)</f>
        <v>Yes</v>
      </c>
      <c r="W43" s="16" t="str">
        <f>VLOOKUP($A43,'SurveyRpt_20150223 (1)'!$A$34:$AN$735,38,FALSE)</f>
        <v>Yes</v>
      </c>
    </row>
    <row r="44" spans="1:23" ht="13.5" customHeight="1" x14ac:dyDescent="0.25">
      <c r="A44" s="19" t="s">
        <v>137</v>
      </c>
      <c r="B44" s="19" t="str">
        <f t="shared" si="0"/>
        <v>ALODGE</v>
      </c>
      <c r="C44" s="16" t="str">
        <f>VLOOKUP(B44,'Compiled Agents'!A:H,2,FALSE)</f>
        <v>Workplace</v>
      </c>
      <c r="D44" s="16" t="str">
        <f>VLOOKUP(B44,'Compiled Agents'!A:H,4,FALSE)</f>
        <v>Noida</v>
      </c>
      <c r="E44" s="16" t="str">
        <f>VLOOKUP(B44,'Compiled Agents'!A:H,5,FALSE)</f>
        <v>Wave2</v>
      </c>
      <c r="F44" s="16" t="str">
        <f>VLOOKUP(B44,'Compiled Agents'!A:H,6,FALSE)</f>
        <v>Blue</v>
      </c>
      <c r="G44" s="16">
        <f>VLOOKUP($A44,'SurveyRpt_20150223 (1)'!$A$34:$AN$735,6,FALSE)</f>
        <v>16</v>
      </c>
      <c r="H44" s="16" t="str">
        <f>VLOOKUP($A44,'SurveyRpt_20150223 (1)'!$A$34:$AN$735,8,FALSE)</f>
        <v>Yes</v>
      </c>
      <c r="I44" s="16" t="str">
        <f>VLOOKUP($A44,'SurveyRpt_20150223 (1)'!$A$34:$AN$735,10,FALSE)</f>
        <v>Yes</v>
      </c>
      <c r="J44" s="16" t="str">
        <f>VLOOKUP($A44,'SurveyRpt_20150223 (1)'!$A$34:$AN$735,12,FALSE)</f>
        <v>Yes</v>
      </c>
      <c r="K44" s="16" t="str">
        <f>VLOOKUP($A44,'SurveyRpt_20150223 (1)'!$A$34:$AN$735,14,FALSE)</f>
        <v>Yes</v>
      </c>
      <c r="L44" s="16" t="str">
        <f>VLOOKUP($A44,'SurveyRpt_20150223 (1)'!$A$34:$AN$735,16,FALSE)</f>
        <v>Yes</v>
      </c>
      <c r="M44" s="16" t="str">
        <f>VLOOKUP($A44,'SurveyRpt_20150223 (1)'!$A$34:$AN$735,18,FALSE)</f>
        <v>Yes</v>
      </c>
      <c r="N44" s="16" t="str">
        <f>VLOOKUP($A44,'SurveyRpt_20150223 (1)'!$A$34:$AN$735,20,FALSE)</f>
        <v>Yes</v>
      </c>
      <c r="O44" s="16" t="str">
        <f>VLOOKUP($A44,'SurveyRpt_20150223 (1)'!$A$34:$AN$735,22,FALSE)</f>
        <v>Yes</v>
      </c>
      <c r="P44" s="16" t="str">
        <f>VLOOKUP($A44,'SurveyRpt_20150223 (1)'!$A$34:$AN$735,24,FALSE)</f>
        <v>Yes</v>
      </c>
      <c r="Q44" s="16" t="str">
        <f>VLOOKUP($A44,'SurveyRpt_20150223 (1)'!$A$34:$AN$735,26,FALSE)</f>
        <v>Yes</v>
      </c>
      <c r="R44" s="16" t="str">
        <f>VLOOKUP($A44,'SurveyRpt_20150223 (1)'!$A$34:$AN$735,28,FALSE)</f>
        <v>Yes</v>
      </c>
      <c r="S44" s="16" t="str">
        <f>VLOOKUP($A44,'SurveyRpt_20150223 (1)'!$A$34:$AN$735,30,FALSE)</f>
        <v>Yes</v>
      </c>
      <c r="T44" s="16" t="str">
        <f>VLOOKUP($A44,'SurveyRpt_20150223 (1)'!$A$34:$AN$735,32,FALSE)</f>
        <v>Yes</v>
      </c>
      <c r="U44" s="16" t="str">
        <f>VLOOKUP($A44,'SurveyRpt_20150223 (1)'!$A$34:$AN$735,34,FALSE)</f>
        <v>Yes</v>
      </c>
      <c r="V44" s="16" t="str">
        <f>VLOOKUP($A44,'SurveyRpt_20150223 (1)'!$A$34:$AN$735,36,FALSE)</f>
        <v>Yes</v>
      </c>
      <c r="W44" s="16" t="str">
        <f>VLOOKUP($A44,'SurveyRpt_20150223 (1)'!$A$34:$AN$735,38,FALSE)</f>
        <v>Yes</v>
      </c>
    </row>
    <row r="45" spans="1:23" ht="13.5" customHeight="1" x14ac:dyDescent="0.25">
      <c r="A45" s="19" t="s">
        <v>138</v>
      </c>
      <c r="B45" s="19" t="str">
        <f t="shared" si="0"/>
        <v>LTHIRUNAVUKA</v>
      </c>
      <c r="C45" s="16" t="str">
        <f>VLOOKUP(B45,'Compiled Agents'!A:H,2,FALSE)</f>
        <v>Workplace</v>
      </c>
      <c r="D45" s="16" t="str">
        <f>VLOOKUP(B45,'Compiled Agents'!A:H,4,FALSE)</f>
        <v>Hyderabad</v>
      </c>
      <c r="E45" s="16" t="str">
        <f>VLOOKUP(B45,'Compiled Agents'!A:H,5,FALSE)</f>
        <v>Wave2</v>
      </c>
      <c r="F45" s="16" t="str">
        <f>VLOOKUP(B45,'Compiled Agents'!A:H,6,FALSE)</f>
        <v>Purple</v>
      </c>
      <c r="G45" s="16">
        <f>VLOOKUP($A45,'SurveyRpt_20150223 (1)'!$A$34:$AN$735,6,FALSE)</f>
        <v>8</v>
      </c>
      <c r="H45" s="16" t="str">
        <f>VLOOKUP($A45,'SurveyRpt_20150223 (1)'!$A$34:$AN$735,8,FALSE)</f>
        <v>Yes</v>
      </c>
      <c r="I45" s="16" t="str">
        <f>VLOOKUP($A45,'SurveyRpt_20150223 (1)'!$A$34:$AN$735,10,FALSE)</f>
        <v>Yes</v>
      </c>
      <c r="J45" s="16" t="str">
        <f>VLOOKUP($A45,'SurveyRpt_20150223 (1)'!$A$34:$AN$735,12,FALSE)</f>
        <v>Yes</v>
      </c>
      <c r="K45" s="16" t="str">
        <f>VLOOKUP($A45,'SurveyRpt_20150223 (1)'!$A$34:$AN$735,14,FALSE)</f>
        <v>No</v>
      </c>
      <c r="L45" s="16" t="str">
        <f>VLOOKUP($A45,'SurveyRpt_20150223 (1)'!$A$34:$AN$735,16,FALSE)</f>
        <v>No</v>
      </c>
      <c r="M45" s="16" t="str">
        <f>VLOOKUP($A45,'SurveyRpt_20150223 (1)'!$A$34:$AN$735,18,FALSE)</f>
        <v>Yes</v>
      </c>
      <c r="N45" s="16" t="str">
        <f>VLOOKUP($A45,'SurveyRpt_20150223 (1)'!$A$34:$AN$735,20,FALSE)</f>
        <v>No</v>
      </c>
      <c r="O45" s="16" t="str">
        <f>VLOOKUP($A45,'SurveyRpt_20150223 (1)'!$A$34:$AN$735,22,FALSE)</f>
        <v>No</v>
      </c>
      <c r="P45" s="16" t="str">
        <f>VLOOKUP($A45,'SurveyRpt_20150223 (1)'!$A$34:$AN$735,24,FALSE)</f>
        <v>No</v>
      </c>
      <c r="Q45" s="16" t="str">
        <f>VLOOKUP($A45,'SurveyRpt_20150223 (1)'!$A$34:$AN$735,26,FALSE)</f>
        <v>No</v>
      </c>
      <c r="R45" s="16" t="str">
        <f>VLOOKUP($A45,'SurveyRpt_20150223 (1)'!$A$34:$AN$735,28,FALSE)</f>
        <v>No</v>
      </c>
      <c r="S45" s="16" t="str">
        <f>VLOOKUP($A45,'SurveyRpt_20150223 (1)'!$A$34:$AN$735,30,FALSE)</f>
        <v>Yes</v>
      </c>
      <c r="T45" s="16" t="str">
        <f>VLOOKUP($A45,'SurveyRpt_20150223 (1)'!$A$34:$AN$735,32,FALSE)</f>
        <v>Yes</v>
      </c>
      <c r="U45" s="16" t="str">
        <f>VLOOKUP($A45,'SurveyRpt_20150223 (1)'!$A$34:$AN$735,34,FALSE)</f>
        <v>No</v>
      </c>
      <c r="V45" s="16" t="str">
        <f>VLOOKUP($A45,'SurveyRpt_20150223 (1)'!$A$34:$AN$735,36,FALSE)</f>
        <v>Yes</v>
      </c>
      <c r="W45" s="16" t="str">
        <f>VLOOKUP($A45,'SurveyRpt_20150223 (1)'!$A$34:$AN$735,38,FALSE)</f>
        <v>Yes</v>
      </c>
    </row>
    <row r="46" spans="1:23" ht="13.5" customHeight="1" x14ac:dyDescent="0.25">
      <c r="A46" s="19" t="s">
        <v>139</v>
      </c>
      <c r="B46" s="19" t="str">
        <f t="shared" si="0"/>
        <v>DSOLOMON4</v>
      </c>
      <c r="C46" s="16" t="str">
        <f>VLOOKUP(B46,'Compiled Agents'!A:H,2,FALSE)</f>
        <v>Workplace</v>
      </c>
      <c r="D46" s="16" t="str">
        <f>VLOOKUP(B46,'Compiled Agents'!A:H,4,FALSE)</f>
        <v>Noida</v>
      </c>
      <c r="E46" s="16" t="str">
        <f>VLOOKUP(B46,'Compiled Agents'!A:H,5,FALSE)</f>
        <v>Wave1</v>
      </c>
      <c r="F46" s="16" t="str">
        <f>VLOOKUP(B46,'Compiled Agents'!A:H,6,FALSE)</f>
        <v>Yellow</v>
      </c>
      <c r="G46" s="16">
        <f>VLOOKUP($A46,'SurveyRpt_20150223 (1)'!$A$34:$AN$735,6,FALSE)</f>
        <v>15</v>
      </c>
      <c r="H46" s="16" t="str">
        <f>VLOOKUP($A46,'SurveyRpt_20150223 (1)'!$A$34:$AN$735,8,FALSE)</f>
        <v>Yes</v>
      </c>
      <c r="I46" s="16" t="str">
        <f>VLOOKUP($A46,'SurveyRpt_20150223 (1)'!$A$34:$AN$735,10,FALSE)</f>
        <v>Yes</v>
      </c>
      <c r="J46" s="16" t="str">
        <f>VLOOKUP($A46,'SurveyRpt_20150223 (1)'!$A$34:$AN$735,12,FALSE)</f>
        <v>Yes</v>
      </c>
      <c r="K46" s="16" t="str">
        <f>VLOOKUP($A46,'SurveyRpt_20150223 (1)'!$A$34:$AN$735,14,FALSE)</f>
        <v>Yes</v>
      </c>
      <c r="L46" s="16" t="str">
        <f>VLOOKUP($A46,'SurveyRpt_20150223 (1)'!$A$34:$AN$735,16,FALSE)</f>
        <v>Yes</v>
      </c>
      <c r="M46" s="16" t="str">
        <f>VLOOKUP($A46,'SurveyRpt_20150223 (1)'!$A$34:$AN$735,18,FALSE)</f>
        <v>Yes</v>
      </c>
      <c r="N46" s="16" t="str">
        <f>VLOOKUP($A46,'SurveyRpt_20150223 (1)'!$A$34:$AN$735,20,FALSE)</f>
        <v>Yes</v>
      </c>
      <c r="O46" s="16" t="str">
        <f>VLOOKUP($A46,'SurveyRpt_20150223 (1)'!$A$34:$AN$735,22,FALSE)</f>
        <v>Yes</v>
      </c>
      <c r="P46" s="16" t="str">
        <f>VLOOKUP($A46,'SurveyRpt_20150223 (1)'!$A$34:$AN$735,24,FALSE)</f>
        <v>Yes</v>
      </c>
      <c r="Q46" s="16" t="str">
        <f>VLOOKUP($A46,'SurveyRpt_20150223 (1)'!$A$34:$AN$735,26,FALSE)</f>
        <v>Yes</v>
      </c>
      <c r="R46" s="16" t="str">
        <f>VLOOKUP($A46,'SurveyRpt_20150223 (1)'!$A$34:$AN$735,28,FALSE)</f>
        <v>Yes</v>
      </c>
      <c r="S46" s="16" t="str">
        <f>VLOOKUP($A46,'SurveyRpt_20150223 (1)'!$A$34:$AN$735,30,FALSE)</f>
        <v>Yes</v>
      </c>
      <c r="T46" s="16" t="str">
        <f>VLOOKUP($A46,'SurveyRpt_20150223 (1)'!$A$34:$AN$735,32,FALSE)</f>
        <v>Yes</v>
      </c>
      <c r="U46" s="16" t="str">
        <f>VLOOKUP($A46,'SurveyRpt_20150223 (1)'!$A$34:$AN$735,34,FALSE)</f>
        <v>Yes</v>
      </c>
      <c r="V46" s="16" t="str">
        <f>VLOOKUP($A46,'SurveyRpt_20150223 (1)'!$A$34:$AN$735,36,FALSE)</f>
        <v>Yes</v>
      </c>
      <c r="W46" s="16" t="str">
        <f>VLOOKUP($A46,'SurveyRpt_20150223 (1)'!$A$34:$AN$735,38,FALSE)</f>
        <v>No</v>
      </c>
    </row>
    <row r="47" spans="1:23" ht="13.5" customHeight="1" x14ac:dyDescent="0.25">
      <c r="A47" s="19" t="s">
        <v>140</v>
      </c>
      <c r="B47" s="19" t="str">
        <f t="shared" si="0"/>
        <v>SPAVULURI2</v>
      </c>
      <c r="C47" s="16" t="str">
        <f>VLOOKUP(B47,'Compiled Agents'!A:H,2,FALSE)</f>
        <v>Workplace</v>
      </c>
      <c r="D47" s="16" t="str">
        <f>VLOOKUP(B47,'Compiled Agents'!A:H,4,FALSE)</f>
        <v>Hyderabad</v>
      </c>
      <c r="E47" s="16" t="str">
        <f>VLOOKUP(B47,'Compiled Agents'!A:H,5,FALSE)</f>
        <v>Wave2</v>
      </c>
      <c r="F47" s="16" t="str">
        <f>VLOOKUP(B47,'Compiled Agents'!A:H,6,FALSE)</f>
        <v>Orange</v>
      </c>
      <c r="G47" s="16">
        <f>VLOOKUP($A47,'SurveyRpt_20150223 (1)'!$A$34:$AN$735,6,FALSE)</f>
        <v>10</v>
      </c>
      <c r="H47" s="16" t="str">
        <f>VLOOKUP($A47,'SurveyRpt_20150223 (1)'!$A$34:$AN$735,8,FALSE)</f>
        <v>Yes</v>
      </c>
      <c r="I47" s="16" t="str">
        <f>VLOOKUP($A47,'SurveyRpt_20150223 (1)'!$A$34:$AN$735,10,FALSE)</f>
        <v>No</v>
      </c>
      <c r="J47" s="16" t="str">
        <f>VLOOKUP($A47,'SurveyRpt_20150223 (1)'!$A$34:$AN$735,12,FALSE)</f>
        <v>Yes</v>
      </c>
      <c r="K47" s="16" t="str">
        <f>VLOOKUP($A47,'SurveyRpt_20150223 (1)'!$A$34:$AN$735,14,FALSE)</f>
        <v>Yes</v>
      </c>
      <c r="L47" s="16" t="str">
        <f>VLOOKUP($A47,'SurveyRpt_20150223 (1)'!$A$34:$AN$735,16,FALSE)</f>
        <v>Yes</v>
      </c>
      <c r="M47" s="16" t="str">
        <f>VLOOKUP($A47,'SurveyRpt_20150223 (1)'!$A$34:$AN$735,18,FALSE)</f>
        <v>Yes</v>
      </c>
      <c r="N47" s="16" t="str">
        <f>VLOOKUP($A47,'SurveyRpt_20150223 (1)'!$A$34:$AN$735,20,FALSE)</f>
        <v>No</v>
      </c>
      <c r="O47" s="16" t="str">
        <f>VLOOKUP($A47,'SurveyRpt_20150223 (1)'!$A$34:$AN$735,22,FALSE)</f>
        <v>Yes</v>
      </c>
      <c r="P47" s="16" t="str">
        <f>VLOOKUP($A47,'SurveyRpt_20150223 (1)'!$A$34:$AN$735,24,FALSE)</f>
        <v>No</v>
      </c>
      <c r="Q47" s="16" t="str">
        <f>VLOOKUP($A47,'SurveyRpt_20150223 (1)'!$A$34:$AN$735,26,FALSE)</f>
        <v>Yes</v>
      </c>
      <c r="R47" s="16" t="str">
        <f>VLOOKUP($A47,'SurveyRpt_20150223 (1)'!$A$34:$AN$735,28,FALSE)</f>
        <v>Yes</v>
      </c>
      <c r="S47" s="16" t="str">
        <f>VLOOKUP($A47,'SurveyRpt_20150223 (1)'!$A$34:$AN$735,30,FALSE)</f>
        <v>Yes</v>
      </c>
      <c r="T47" s="16" t="str">
        <f>VLOOKUP($A47,'SurveyRpt_20150223 (1)'!$A$34:$AN$735,32,FALSE)</f>
        <v>No</v>
      </c>
      <c r="U47" s="16" t="str">
        <f>VLOOKUP($A47,'SurveyRpt_20150223 (1)'!$A$34:$AN$735,34,FALSE)</f>
        <v>No</v>
      </c>
      <c r="V47" s="16" t="str">
        <f>VLOOKUP($A47,'SurveyRpt_20150223 (1)'!$A$34:$AN$735,36,FALSE)</f>
        <v>No</v>
      </c>
      <c r="W47" s="16" t="str">
        <f>VLOOKUP($A47,'SurveyRpt_20150223 (1)'!$A$34:$AN$735,38,FALSE)</f>
        <v>Yes</v>
      </c>
    </row>
    <row r="48" spans="1:23" ht="13.5" customHeight="1" x14ac:dyDescent="0.25">
      <c r="A48" s="19" t="s">
        <v>141</v>
      </c>
      <c r="B48" s="19" t="str">
        <f t="shared" si="0"/>
        <v>ASRIVASTAVAH</v>
      </c>
      <c r="C48" s="16" t="str">
        <f>VLOOKUP(B48,'Compiled Agents'!A:H,2,FALSE)</f>
        <v>Platform</v>
      </c>
      <c r="D48" s="16" t="str">
        <f>VLOOKUP(B48,'Compiled Agents'!A:H,4,FALSE)</f>
        <v>Hyderabad</v>
      </c>
      <c r="E48" s="16" t="str">
        <f>VLOOKUP(B48,'Compiled Agents'!A:H,5,FALSE)</f>
        <v>Wave1</v>
      </c>
      <c r="F48" s="16" t="str">
        <f>VLOOKUP(B48,'Compiled Agents'!A:H,6,FALSE)</f>
        <v>Purple</v>
      </c>
      <c r="G48" s="16">
        <f>VLOOKUP($A48,'SurveyRpt_20150223 (1)'!$A$34:$AN$735,6,FALSE)</f>
        <v>0</v>
      </c>
      <c r="H48" s="16" t="str">
        <f>VLOOKUP($A48,'SurveyRpt_20150223 (1)'!$A$34:$AN$735,8,FALSE)</f>
        <v>No</v>
      </c>
      <c r="I48" s="16" t="str">
        <f>VLOOKUP($A48,'SurveyRpt_20150223 (1)'!$A$34:$AN$735,10,FALSE)</f>
        <v>No</v>
      </c>
      <c r="J48" s="16" t="str">
        <f>VLOOKUP($A48,'SurveyRpt_20150223 (1)'!$A$34:$AN$735,12,FALSE)</f>
        <v>No</v>
      </c>
      <c r="K48" s="16" t="str">
        <f>VLOOKUP($A48,'SurveyRpt_20150223 (1)'!$A$34:$AN$735,14,FALSE)</f>
        <v>No</v>
      </c>
      <c r="L48" s="16" t="str">
        <f>VLOOKUP($A48,'SurveyRpt_20150223 (1)'!$A$34:$AN$735,16,FALSE)</f>
        <v>No</v>
      </c>
      <c r="M48" s="16" t="str">
        <f>VLOOKUP($A48,'SurveyRpt_20150223 (1)'!$A$34:$AN$735,18,FALSE)</f>
        <v>No</v>
      </c>
      <c r="N48" s="16" t="str">
        <f>VLOOKUP($A48,'SurveyRpt_20150223 (1)'!$A$34:$AN$735,20,FALSE)</f>
        <v>No</v>
      </c>
      <c r="O48" s="16" t="str">
        <f>VLOOKUP($A48,'SurveyRpt_20150223 (1)'!$A$34:$AN$735,22,FALSE)</f>
        <v>No</v>
      </c>
      <c r="P48" s="16" t="str">
        <f>VLOOKUP($A48,'SurveyRpt_20150223 (1)'!$A$34:$AN$735,24,FALSE)</f>
        <v>No</v>
      </c>
      <c r="Q48" s="16" t="str">
        <f>VLOOKUP($A48,'SurveyRpt_20150223 (1)'!$A$34:$AN$735,26,FALSE)</f>
        <v>No</v>
      </c>
      <c r="R48" s="16" t="str">
        <f>VLOOKUP($A48,'SurveyRpt_20150223 (1)'!$A$34:$AN$735,28,FALSE)</f>
        <v>No</v>
      </c>
      <c r="S48" s="16" t="str">
        <f>VLOOKUP($A48,'SurveyRpt_20150223 (1)'!$A$34:$AN$735,30,FALSE)</f>
        <v>No</v>
      </c>
      <c r="T48" s="16" t="str">
        <f>VLOOKUP($A48,'SurveyRpt_20150223 (1)'!$A$34:$AN$735,32,FALSE)</f>
        <v>No</v>
      </c>
      <c r="U48" s="16" t="str">
        <f>VLOOKUP($A48,'SurveyRpt_20150223 (1)'!$A$34:$AN$735,34,FALSE)</f>
        <v>No</v>
      </c>
      <c r="V48" s="16" t="str">
        <f>VLOOKUP($A48,'SurveyRpt_20150223 (1)'!$A$34:$AN$735,36,FALSE)</f>
        <v>No</v>
      </c>
      <c r="W48" s="16" t="str">
        <f>VLOOKUP($A48,'SurveyRpt_20150223 (1)'!$A$34:$AN$735,38,FALSE)</f>
        <v>No</v>
      </c>
    </row>
    <row r="49" spans="1:23" ht="13.5" customHeight="1" x14ac:dyDescent="0.25">
      <c r="A49" s="19" t="s">
        <v>142</v>
      </c>
      <c r="B49" s="19" t="str">
        <f t="shared" si="0"/>
        <v>VVEERLA2</v>
      </c>
      <c r="C49" s="16" t="str">
        <f>VLOOKUP(B49,'Compiled Agents'!A:H,2,FALSE)</f>
        <v>Workplace</v>
      </c>
      <c r="D49" s="16" t="str">
        <f>VLOOKUP(B49,'Compiled Agents'!A:H,4,FALSE)</f>
        <v>Hyderabad</v>
      </c>
      <c r="E49" s="16" t="str">
        <f>VLOOKUP(B49,'Compiled Agents'!A:H,5,FALSE)</f>
        <v>Wave2</v>
      </c>
      <c r="F49" s="16" t="str">
        <f>VLOOKUP(B49,'Compiled Agents'!A:H,6,FALSE)</f>
        <v>Purple</v>
      </c>
      <c r="G49" s="16">
        <f>VLOOKUP($A49,'SurveyRpt_20150223 (1)'!$A$34:$AN$735,6,FALSE)</f>
        <v>11</v>
      </c>
      <c r="H49" s="16" t="str">
        <f>VLOOKUP($A49,'SurveyRpt_20150223 (1)'!$A$34:$AN$735,8,FALSE)</f>
        <v>Yes</v>
      </c>
      <c r="I49" s="16" t="str">
        <f>VLOOKUP($A49,'SurveyRpt_20150223 (1)'!$A$34:$AN$735,10,FALSE)</f>
        <v>Yes</v>
      </c>
      <c r="J49" s="16" t="str">
        <f>VLOOKUP($A49,'SurveyRpt_20150223 (1)'!$A$34:$AN$735,12,FALSE)</f>
        <v>Yes</v>
      </c>
      <c r="K49" s="16" t="str">
        <f>VLOOKUP($A49,'SurveyRpt_20150223 (1)'!$A$34:$AN$735,14,FALSE)</f>
        <v>Yes</v>
      </c>
      <c r="L49" s="16" t="str">
        <f>VLOOKUP($A49,'SurveyRpt_20150223 (1)'!$A$34:$AN$735,16,FALSE)</f>
        <v>No</v>
      </c>
      <c r="M49" s="16" t="str">
        <f>VLOOKUP($A49,'SurveyRpt_20150223 (1)'!$A$34:$AN$735,18,FALSE)</f>
        <v>Yes</v>
      </c>
      <c r="N49" s="16" t="str">
        <f>VLOOKUP($A49,'SurveyRpt_20150223 (1)'!$A$34:$AN$735,20,FALSE)</f>
        <v>No</v>
      </c>
      <c r="O49" s="16" t="str">
        <f>VLOOKUP($A49,'SurveyRpt_20150223 (1)'!$A$34:$AN$735,22,FALSE)</f>
        <v>No</v>
      </c>
      <c r="P49" s="16" t="str">
        <f>VLOOKUP($A49,'SurveyRpt_20150223 (1)'!$A$34:$AN$735,24,FALSE)</f>
        <v>Yes</v>
      </c>
      <c r="Q49" s="16" t="str">
        <f>VLOOKUP($A49,'SurveyRpt_20150223 (1)'!$A$34:$AN$735,26,FALSE)</f>
        <v>Yes</v>
      </c>
      <c r="R49" s="16" t="str">
        <f>VLOOKUP($A49,'SurveyRpt_20150223 (1)'!$A$34:$AN$735,28,FALSE)</f>
        <v>Yes</v>
      </c>
      <c r="S49" s="16" t="str">
        <f>VLOOKUP($A49,'SurveyRpt_20150223 (1)'!$A$34:$AN$735,30,FALSE)</f>
        <v>Yes</v>
      </c>
      <c r="T49" s="16" t="str">
        <f>VLOOKUP($A49,'SurveyRpt_20150223 (1)'!$A$34:$AN$735,32,FALSE)</f>
        <v>Yes</v>
      </c>
      <c r="U49" s="16" t="str">
        <f>VLOOKUP($A49,'SurveyRpt_20150223 (1)'!$A$34:$AN$735,34,FALSE)</f>
        <v>Yes</v>
      </c>
      <c r="V49" s="16" t="str">
        <f>VLOOKUP($A49,'SurveyRpt_20150223 (1)'!$A$34:$AN$735,36,FALSE)</f>
        <v>No</v>
      </c>
      <c r="W49" s="16" t="str">
        <f>VLOOKUP($A49,'SurveyRpt_20150223 (1)'!$A$34:$AN$735,38,FALSE)</f>
        <v>No</v>
      </c>
    </row>
    <row r="50" spans="1:23" ht="13.5" customHeight="1" x14ac:dyDescent="0.25">
      <c r="A50" s="19" t="s">
        <v>143</v>
      </c>
      <c r="B50" s="19" t="str">
        <f t="shared" si="0"/>
        <v>NSIKHARAM</v>
      </c>
      <c r="C50" s="16" t="str">
        <f>VLOOKUP(B50,'Compiled Agents'!A:H,2,FALSE)</f>
        <v>Platform</v>
      </c>
      <c r="D50" s="16" t="str">
        <f>VLOOKUP(B50,'Compiled Agents'!A:H,4,FALSE)</f>
        <v>Noida</v>
      </c>
      <c r="E50" s="16" t="str">
        <f>VLOOKUP(B50,'Compiled Agents'!A:H,5,FALSE)</f>
        <v>Wave1</v>
      </c>
      <c r="F50" s="16" t="str">
        <f>VLOOKUP(B50,'Compiled Agents'!A:H,6,FALSE)</f>
        <v>Blue</v>
      </c>
      <c r="G50" s="16">
        <f>VLOOKUP($A50,'SurveyRpt_20150223 (1)'!$A$34:$AN$735,6,FALSE)</f>
        <v>13</v>
      </c>
      <c r="H50" s="16" t="str">
        <f>VLOOKUP($A50,'SurveyRpt_20150223 (1)'!$A$34:$AN$735,8,FALSE)</f>
        <v>Yes</v>
      </c>
      <c r="I50" s="16" t="str">
        <f>VLOOKUP($A50,'SurveyRpt_20150223 (1)'!$A$34:$AN$735,10,FALSE)</f>
        <v>Yes</v>
      </c>
      <c r="J50" s="16" t="str">
        <f>VLOOKUP($A50,'SurveyRpt_20150223 (1)'!$A$34:$AN$735,12,FALSE)</f>
        <v>Yes</v>
      </c>
      <c r="K50" s="16" t="str">
        <f>VLOOKUP($A50,'SurveyRpt_20150223 (1)'!$A$34:$AN$735,14,FALSE)</f>
        <v>Yes</v>
      </c>
      <c r="L50" s="16" t="str">
        <f>VLOOKUP($A50,'SurveyRpt_20150223 (1)'!$A$34:$AN$735,16,FALSE)</f>
        <v>Yes</v>
      </c>
      <c r="M50" s="16" t="str">
        <f>VLOOKUP($A50,'SurveyRpt_20150223 (1)'!$A$34:$AN$735,18,FALSE)</f>
        <v>Yes</v>
      </c>
      <c r="N50" s="16" t="str">
        <f>VLOOKUP($A50,'SurveyRpt_20150223 (1)'!$A$34:$AN$735,20,FALSE)</f>
        <v>No</v>
      </c>
      <c r="O50" s="16" t="str">
        <f>VLOOKUP($A50,'SurveyRpt_20150223 (1)'!$A$34:$AN$735,22,FALSE)</f>
        <v>No</v>
      </c>
      <c r="P50" s="16" t="str">
        <f>VLOOKUP($A50,'SurveyRpt_20150223 (1)'!$A$34:$AN$735,24,FALSE)</f>
        <v>Yes</v>
      </c>
      <c r="Q50" s="16" t="str">
        <f>VLOOKUP($A50,'SurveyRpt_20150223 (1)'!$A$34:$AN$735,26,FALSE)</f>
        <v>Yes</v>
      </c>
      <c r="R50" s="16" t="str">
        <f>VLOOKUP($A50,'SurveyRpt_20150223 (1)'!$A$34:$AN$735,28,FALSE)</f>
        <v>Yes</v>
      </c>
      <c r="S50" s="16" t="str">
        <f>VLOOKUP($A50,'SurveyRpt_20150223 (1)'!$A$34:$AN$735,30,FALSE)</f>
        <v>Yes</v>
      </c>
      <c r="T50" s="16" t="str">
        <f>VLOOKUP($A50,'SurveyRpt_20150223 (1)'!$A$34:$AN$735,32,FALSE)</f>
        <v>Yes</v>
      </c>
      <c r="U50" s="16" t="str">
        <f>VLOOKUP($A50,'SurveyRpt_20150223 (1)'!$A$34:$AN$735,34,FALSE)</f>
        <v>No</v>
      </c>
      <c r="V50" s="16" t="str">
        <f>VLOOKUP($A50,'SurveyRpt_20150223 (1)'!$A$34:$AN$735,36,FALSE)</f>
        <v>Yes</v>
      </c>
      <c r="W50" s="16" t="str">
        <f>VLOOKUP($A50,'SurveyRpt_20150223 (1)'!$A$34:$AN$735,38,FALSE)</f>
        <v>Yes</v>
      </c>
    </row>
    <row r="51" spans="1:23" ht="13.5" customHeight="1" x14ac:dyDescent="0.25">
      <c r="A51" s="19" t="s">
        <v>144</v>
      </c>
      <c r="B51" s="19" t="str">
        <f t="shared" si="0"/>
        <v>GADHIKARI</v>
      </c>
      <c r="C51" s="16" t="str">
        <f>VLOOKUP(B51,'Compiled Agents'!A:H,2,FALSE)</f>
        <v>Workplace</v>
      </c>
      <c r="D51" s="16" t="str">
        <f>VLOOKUP(B51,'Compiled Agents'!A:H,4,FALSE)</f>
        <v>Noida</v>
      </c>
      <c r="E51" s="16" t="str">
        <f>VLOOKUP(B51,'Compiled Agents'!A:H,5,FALSE)</f>
        <v>Wave2</v>
      </c>
      <c r="F51" s="16" t="str">
        <f>VLOOKUP(B51,'Compiled Agents'!A:H,6,FALSE)</f>
        <v>Orange</v>
      </c>
      <c r="G51" s="16">
        <f>VLOOKUP($A51,'SurveyRpt_20150223 (1)'!$A$34:$AN$735,6,FALSE)</f>
        <v>16</v>
      </c>
      <c r="H51" s="16" t="str">
        <f>VLOOKUP($A51,'SurveyRpt_20150223 (1)'!$A$34:$AN$735,8,FALSE)</f>
        <v>Yes</v>
      </c>
      <c r="I51" s="16" t="str">
        <f>VLOOKUP($A51,'SurveyRpt_20150223 (1)'!$A$34:$AN$735,10,FALSE)</f>
        <v>Yes</v>
      </c>
      <c r="J51" s="16" t="str">
        <f>VLOOKUP($A51,'SurveyRpt_20150223 (1)'!$A$34:$AN$735,12,FALSE)</f>
        <v>Yes</v>
      </c>
      <c r="K51" s="16" t="str">
        <f>VLOOKUP($A51,'SurveyRpt_20150223 (1)'!$A$34:$AN$735,14,FALSE)</f>
        <v>Yes</v>
      </c>
      <c r="L51" s="16" t="str">
        <f>VLOOKUP($A51,'SurveyRpt_20150223 (1)'!$A$34:$AN$735,16,FALSE)</f>
        <v>Yes</v>
      </c>
      <c r="M51" s="16" t="str">
        <f>VLOOKUP($A51,'SurveyRpt_20150223 (1)'!$A$34:$AN$735,18,FALSE)</f>
        <v>Yes</v>
      </c>
      <c r="N51" s="16" t="str">
        <f>VLOOKUP($A51,'SurveyRpt_20150223 (1)'!$A$34:$AN$735,20,FALSE)</f>
        <v>Yes</v>
      </c>
      <c r="O51" s="16" t="str">
        <f>VLOOKUP($A51,'SurveyRpt_20150223 (1)'!$A$34:$AN$735,22,FALSE)</f>
        <v>Yes</v>
      </c>
      <c r="P51" s="16" t="str">
        <f>VLOOKUP($A51,'SurveyRpt_20150223 (1)'!$A$34:$AN$735,24,FALSE)</f>
        <v>Yes</v>
      </c>
      <c r="Q51" s="16" t="str">
        <f>VLOOKUP($A51,'SurveyRpt_20150223 (1)'!$A$34:$AN$735,26,FALSE)</f>
        <v>Yes</v>
      </c>
      <c r="R51" s="16" t="str">
        <f>VLOOKUP($A51,'SurveyRpt_20150223 (1)'!$A$34:$AN$735,28,FALSE)</f>
        <v>Yes</v>
      </c>
      <c r="S51" s="16" t="str">
        <f>VLOOKUP($A51,'SurveyRpt_20150223 (1)'!$A$34:$AN$735,30,FALSE)</f>
        <v>Yes</v>
      </c>
      <c r="T51" s="16" t="str">
        <f>VLOOKUP($A51,'SurveyRpt_20150223 (1)'!$A$34:$AN$735,32,FALSE)</f>
        <v>Yes</v>
      </c>
      <c r="U51" s="16" t="str">
        <f>VLOOKUP($A51,'SurveyRpt_20150223 (1)'!$A$34:$AN$735,34,FALSE)</f>
        <v>Yes</v>
      </c>
      <c r="V51" s="16" t="str">
        <f>VLOOKUP($A51,'SurveyRpt_20150223 (1)'!$A$34:$AN$735,36,FALSE)</f>
        <v>Yes</v>
      </c>
      <c r="W51" s="16" t="str">
        <f>VLOOKUP($A51,'SurveyRpt_20150223 (1)'!$A$34:$AN$735,38,FALSE)</f>
        <v>Yes</v>
      </c>
    </row>
    <row r="52" spans="1:23" ht="13.5" customHeight="1" x14ac:dyDescent="0.25">
      <c r="A52" s="19" t="s">
        <v>145</v>
      </c>
      <c r="B52" s="19" t="str">
        <f t="shared" si="0"/>
        <v>NMISHRA25</v>
      </c>
      <c r="C52" s="16" t="str">
        <f>VLOOKUP(B52,'Compiled Agents'!A:H,2,FALSE)</f>
        <v>Workplace</v>
      </c>
      <c r="D52" s="16" t="str">
        <f>VLOOKUP(B52,'Compiled Agents'!A:H,4,FALSE)</f>
        <v>Noida</v>
      </c>
      <c r="E52" s="16" t="str">
        <f>VLOOKUP(B52,'Compiled Agents'!A:H,5,FALSE)</f>
        <v>Wave1</v>
      </c>
      <c r="F52" s="16" t="str">
        <f>VLOOKUP(B52,'Compiled Agents'!A:H,6,FALSE)</f>
        <v>Purple</v>
      </c>
      <c r="G52" s="16">
        <f>VLOOKUP($A52,'SurveyRpt_20150223 (1)'!$A$34:$AN$735,6,FALSE)</f>
        <v>13</v>
      </c>
      <c r="H52" s="16" t="str">
        <f>VLOOKUP($A52,'SurveyRpt_20150223 (1)'!$A$34:$AN$735,8,FALSE)</f>
        <v>Yes</v>
      </c>
      <c r="I52" s="16" t="str">
        <f>VLOOKUP($A52,'SurveyRpt_20150223 (1)'!$A$34:$AN$735,10,FALSE)</f>
        <v>Yes</v>
      </c>
      <c r="J52" s="16" t="str">
        <f>VLOOKUP($A52,'SurveyRpt_20150223 (1)'!$A$34:$AN$735,12,FALSE)</f>
        <v>No</v>
      </c>
      <c r="K52" s="16" t="str">
        <f>VLOOKUP($A52,'SurveyRpt_20150223 (1)'!$A$34:$AN$735,14,FALSE)</f>
        <v>Yes</v>
      </c>
      <c r="L52" s="16" t="str">
        <f>VLOOKUP($A52,'SurveyRpt_20150223 (1)'!$A$34:$AN$735,16,FALSE)</f>
        <v>Yes</v>
      </c>
      <c r="M52" s="16" t="str">
        <f>VLOOKUP($A52,'SurveyRpt_20150223 (1)'!$A$34:$AN$735,18,FALSE)</f>
        <v>Yes</v>
      </c>
      <c r="N52" s="16" t="str">
        <f>VLOOKUP($A52,'SurveyRpt_20150223 (1)'!$A$34:$AN$735,20,FALSE)</f>
        <v>No</v>
      </c>
      <c r="O52" s="16" t="str">
        <f>VLOOKUP($A52,'SurveyRpt_20150223 (1)'!$A$34:$AN$735,22,FALSE)</f>
        <v>Yes</v>
      </c>
      <c r="P52" s="16" t="str">
        <f>VLOOKUP($A52,'SurveyRpt_20150223 (1)'!$A$34:$AN$735,24,FALSE)</f>
        <v>Yes</v>
      </c>
      <c r="Q52" s="16" t="str">
        <f>VLOOKUP($A52,'SurveyRpt_20150223 (1)'!$A$34:$AN$735,26,FALSE)</f>
        <v>Yes</v>
      </c>
      <c r="R52" s="16" t="str">
        <f>VLOOKUP($A52,'SurveyRpt_20150223 (1)'!$A$34:$AN$735,28,FALSE)</f>
        <v>Yes</v>
      </c>
      <c r="S52" s="16" t="str">
        <f>VLOOKUP($A52,'SurveyRpt_20150223 (1)'!$A$34:$AN$735,30,FALSE)</f>
        <v>Yes</v>
      </c>
      <c r="T52" s="16" t="str">
        <f>VLOOKUP($A52,'SurveyRpt_20150223 (1)'!$A$34:$AN$735,32,FALSE)</f>
        <v>Yes</v>
      </c>
      <c r="U52" s="16" t="str">
        <f>VLOOKUP($A52,'SurveyRpt_20150223 (1)'!$A$34:$AN$735,34,FALSE)</f>
        <v>No</v>
      </c>
      <c r="V52" s="16" t="str">
        <f>VLOOKUP($A52,'SurveyRpt_20150223 (1)'!$A$34:$AN$735,36,FALSE)</f>
        <v>Yes</v>
      </c>
      <c r="W52" s="16" t="str">
        <f>VLOOKUP($A52,'SurveyRpt_20150223 (1)'!$A$34:$AN$735,38,FALSE)</f>
        <v>Yes</v>
      </c>
    </row>
    <row r="53" spans="1:23" ht="13.5" customHeight="1" x14ac:dyDescent="0.25">
      <c r="A53" s="19" t="s">
        <v>146</v>
      </c>
      <c r="B53" s="19" t="str">
        <f t="shared" si="0"/>
        <v>RPATEL73</v>
      </c>
      <c r="C53" s="16" t="str">
        <f>VLOOKUP(B53,'Compiled Agents'!A:H,2,FALSE)</f>
        <v>Workplace</v>
      </c>
      <c r="D53" s="16" t="str">
        <f>VLOOKUP(B53,'Compiled Agents'!A:H,4,FALSE)</f>
        <v>Hyderabad</v>
      </c>
      <c r="E53" s="16" t="str">
        <f>VLOOKUP(B53,'Compiled Agents'!A:H,5,FALSE)</f>
        <v>Wave2</v>
      </c>
      <c r="F53" s="16" t="str">
        <f>VLOOKUP(B53,'Compiled Agents'!A:H,6,FALSE)</f>
        <v>Blue</v>
      </c>
      <c r="G53" s="16">
        <f>VLOOKUP($A53,'SurveyRpt_20150223 (1)'!$A$34:$AN$735,6,FALSE)</f>
        <v>9</v>
      </c>
      <c r="H53" s="16" t="str">
        <f>VLOOKUP($A53,'SurveyRpt_20150223 (1)'!$A$34:$AN$735,8,FALSE)</f>
        <v>No</v>
      </c>
      <c r="I53" s="16" t="str">
        <f>VLOOKUP($A53,'SurveyRpt_20150223 (1)'!$A$34:$AN$735,10,FALSE)</f>
        <v>Yes</v>
      </c>
      <c r="J53" s="16" t="str">
        <f>VLOOKUP($A53,'SurveyRpt_20150223 (1)'!$A$34:$AN$735,12,FALSE)</f>
        <v>Yes</v>
      </c>
      <c r="K53" s="16" t="str">
        <f>VLOOKUP($A53,'SurveyRpt_20150223 (1)'!$A$34:$AN$735,14,FALSE)</f>
        <v>No</v>
      </c>
      <c r="L53" s="16" t="str">
        <f>VLOOKUP($A53,'SurveyRpt_20150223 (1)'!$A$34:$AN$735,16,FALSE)</f>
        <v>No</v>
      </c>
      <c r="M53" s="16" t="str">
        <f>VLOOKUP($A53,'SurveyRpt_20150223 (1)'!$A$34:$AN$735,18,FALSE)</f>
        <v>No</v>
      </c>
      <c r="N53" s="16" t="str">
        <f>VLOOKUP($A53,'SurveyRpt_20150223 (1)'!$A$34:$AN$735,20,FALSE)</f>
        <v>No</v>
      </c>
      <c r="O53" s="16" t="str">
        <f>VLOOKUP($A53,'SurveyRpt_20150223 (1)'!$A$34:$AN$735,22,FALSE)</f>
        <v>No</v>
      </c>
      <c r="P53" s="16" t="str">
        <f>VLOOKUP($A53,'SurveyRpt_20150223 (1)'!$A$34:$AN$735,24,FALSE)</f>
        <v>Yes</v>
      </c>
      <c r="Q53" s="16" t="str">
        <f>VLOOKUP($A53,'SurveyRpt_20150223 (1)'!$A$34:$AN$735,26,FALSE)</f>
        <v>Yes</v>
      </c>
      <c r="R53" s="16" t="str">
        <f>VLOOKUP($A53,'SurveyRpt_20150223 (1)'!$A$34:$AN$735,28,FALSE)</f>
        <v>Yes</v>
      </c>
      <c r="S53" s="16" t="str">
        <f>VLOOKUP($A53,'SurveyRpt_20150223 (1)'!$A$34:$AN$735,30,FALSE)</f>
        <v>Yes</v>
      </c>
      <c r="T53" s="16" t="str">
        <f>VLOOKUP($A53,'SurveyRpt_20150223 (1)'!$A$34:$AN$735,32,FALSE)</f>
        <v>Yes</v>
      </c>
      <c r="U53" s="16" t="str">
        <f>VLOOKUP($A53,'SurveyRpt_20150223 (1)'!$A$34:$AN$735,34,FALSE)</f>
        <v>Yes</v>
      </c>
      <c r="V53" s="16" t="str">
        <f>VLOOKUP($A53,'SurveyRpt_20150223 (1)'!$A$34:$AN$735,36,FALSE)</f>
        <v>No</v>
      </c>
      <c r="W53" s="16" t="str">
        <f>VLOOKUP($A53,'SurveyRpt_20150223 (1)'!$A$34:$AN$735,38,FALSE)</f>
        <v>Yes</v>
      </c>
    </row>
    <row r="54" spans="1:23" ht="13.5" customHeight="1" x14ac:dyDescent="0.25">
      <c r="A54" s="19" t="s">
        <v>147</v>
      </c>
      <c r="B54" s="19" t="str">
        <f t="shared" si="0"/>
        <v>MARULANANDAM</v>
      </c>
      <c r="C54" s="16" t="str">
        <f>VLOOKUP(B54,'Compiled Agents'!A:H,2,FALSE)</f>
        <v>Platform</v>
      </c>
      <c r="D54" s="16" t="str">
        <f>VLOOKUP(B54,'Compiled Agents'!A:H,4,FALSE)</f>
        <v>Noida</v>
      </c>
      <c r="E54" s="16" t="str">
        <f>VLOOKUP(B54,'Compiled Agents'!A:H,5,FALSE)</f>
        <v>Wave2</v>
      </c>
      <c r="F54" s="16" t="str">
        <f>VLOOKUP(B54,'Compiled Agents'!A:H,6,FALSE)</f>
        <v>Orange</v>
      </c>
      <c r="G54" s="16">
        <f>VLOOKUP($A54,'SurveyRpt_20150223 (1)'!$A$34:$AN$735,6,FALSE)</f>
        <v>1</v>
      </c>
      <c r="H54" s="16" t="str">
        <f>VLOOKUP($A54,'SurveyRpt_20150223 (1)'!$A$34:$AN$735,8,FALSE)</f>
        <v>No</v>
      </c>
      <c r="I54" s="16" t="str">
        <f>VLOOKUP($A54,'SurveyRpt_20150223 (1)'!$A$34:$AN$735,10,FALSE)</f>
        <v>No</v>
      </c>
      <c r="J54" s="16" t="str">
        <f>VLOOKUP($A54,'SurveyRpt_20150223 (1)'!$A$34:$AN$735,12,FALSE)</f>
        <v>No</v>
      </c>
      <c r="K54" s="16" t="str">
        <f>VLOOKUP($A54,'SurveyRpt_20150223 (1)'!$A$34:$AN$735,14,FALSE)</f>
        <v>No</v>
      </c>
      <c r="L54" s="16" t="str">
        <f>VLOOKUP($A54,'SurveyRpt_20150223 (1)'!$A$34:$AN$735,16,FALSE)</f>
        <v>No</v>
      </c>
      <c r="M54" s="16" t="str">
        <f>VLOOKUP($A54,'SurveyRpt_20150223 (1)'!$A$34:$AN$735,18,FALSE)</f>
        <v>Yes</v>
      </c>
      <c r="N54" s="16" t="str">
        <f>VLOOKUP($A54,'SurveyRpt_20150223 (1)'!$A$34:$AN$735,20,FALSE)</f>
        <v>No</v>
      </c>
      <c r="O54" s="16" t="str">
        <f>VLOOKUP($A54,'SurveyRpt_20150223 (1)'!$A$34:$AN$735,22,FALSE)</f>
        <v>No</v>
      </c>
      <c r="P54" s="16" t="str">
        <f>VLOOKUP($A54,'SurveyRpt_20150223 (1)'!$A$34:$AN$735,24,FALSE)</f>
        <v>No</v>
      </c>
      <c r="Q54" s="16" t="str">
        <f>VLOOKUP($A54,'SurveyRpt_20150223 (1)'!$A$34:$AN$735,26,FALSE)</f>
        <v>No</v>
      </c>
      <c r="R54" s="16" t="str">
        <f>VLOOKUP($A54,'SurveyRpt_20150223 (1)'!$A$34:$AN$735,28,FALSE)</f>
        <v>No</v>
      </c>
      <c r="S54" s="16" t="str">
        <f>VLOOKUP($A54,'SurveyRpt_20150223 (1)'!$A$34:$AN$735,30,FALSE)</f>
        <v>No</v>
      </c>
      <c r="T54" s="16" t="str">
        <f>VLOOKUP($A54,'SurveyRpt_20150223 (1)'!$A$34:$AN$735,32,FALSE)</f>
        <v>No</v>
      </c>
      <c r="U54" s="16" t="str">
        <f>VLOOKUP($A54,'SurveyRpt_20150223 (1)'!$A$34:$AN$735,34,FALSE)</f>
        <v>No</v>
      </c>
      <c r="V54" s="16" t="str">
        <f>VLOOKUP($A54,'SurveyRpt_20150223 (1)'!$A$34:$AN$735,36,FALSE)</f>
        <v>No</v>
      </c>
      <c r="W54" s="16" t="str">
        <f>VLOOKUP($A54,'SurveyRpt_20150223 (1)'!$A$34:$AN$735,38,FALSE)</f>
        <v>No</v>
      </c>
    </row>
    <row r="55" spans="1:23" ht="13.5" customHeight="1" x14ac:dyDescent="0.25">
      <c r="A55" s="19" t="s">
        <v>148</v>
      </c>
      <c r="B55" s="19" t="str">
        <f t="shared" si="0"/>
        <v>MDEWAN2</v>
      </c>
      <c r="C55" s="16" t="str">
        <f>VLOOKUP(B55,'Compiled Agents'!A:H,2,FALSE)</f>
        <v>Workplace</v>
      </c>
      <c r="D55" s="16" t="str">
        <f>VLOOKUP(B55,'Compiled Agents'!A:H,4,FALSE)</f>
        <v>Hyderabad</v>
      </c>
      <c r="E55" s="16" t="str">
        <f>VLOOKUP(B55,'Compiled Agents'!A:H,5,FALSE)</f>
        <v>Wave2</v>
      </c>
      <c r="F55" s="16" t="str">
        <f>VLOOKUP(B55,'Compiled Agents'!A:H,6,FALSE)</f>
        <v>Blue</v>
      </c>
      <c r="G55" s="16">
        <f>VLOOKUP($A55,'SurveyRpt_20150223 (1)'!$A$34:$AN$735,6,FALSE)</f>
        <v>2</v>
      </c>
      <c r="H55" s="16" t="str">
        <f>VLOOKUP($A55,'SurveyRpt_20150223 (1)'!$A$34:$AN$735,8,FALSE)</f>
        <v>No</v>
      </c>
      <c r="I55" s="16" t="str">
        <f>VLOOKUP($A55,'SurveyRpt_20150223 (1)'!$A$34:$AN$735,10,FALSE)</f>
        <v>No</v>
      </c>
      <c r="J55" s="16" t="str">
        <f>VLOOKUP($A55,'SurveyRpt_20150223 (1)'!$A$34:$AN$735,12,FALSE)</f>
        <v>No</v>
      </c>
      <c r="K55" s="16" t="str">
        <f>VLOOKUP($A55,'SurveyRpt_20150223 (1)'!$A$34:$AN$735,14,FALSE)</f>
        <v>No</v>
      </c>
      <c r="L55" s="16" t="str">
        <f>VLOOKUP($A55,'SurveyRpt_20150223 (1)'!$A$34:$AN$735,16,FALSE)</f>
        <v>No</v>
      </c>
      <c r="M55" s="16" t="str">
        <f>VLOOKUP($A55,'SurveyRpt_20150223 (1)'!$A$34:$AN$735,18,FALSE)</f>
        <v>No</v>
      </c>
      <c r="N55" s="16" t="str">
        <f>VLOOKUP($A55,'SurveyRpt_20150223 (1)'!$A$34:$AN$735,20,FALSE)</f>
        <v>No</v>
      </c>
      <c r="O55" s="16" t="str">
        <f>VLOOKUP($A55,'SurveyRpt_20150223 (1)'!$A$34:$AN$735,22,FALSE)</f>
        <v>No</v>
      </c>
      <c r="P55" s="16" t="str">
        <f>VLOOKUP($A55,'SurveyRpt_20150223 (1)'!$A$34:$AN$735,24,FALSE)</f>
        <v>Yes</v>
      </c>
      <c r="Q55" s="16" t="str">
        <f>VLOOKUP($A55,'SurveyRpt_20150223 (1)'!$A$34:$AN$735,26,FALSE)</f>
        <v>No</v>
      </c>
      <c r="R55" s="16" t="str">
        <f>VLOOKUP($A55,'SurveyRpt_20150223 (1)'!$A$34:$AN$735,28,FALSE)</f>
        <v>No</v>
      </c>
      <c r="S55" s="16" t="str">
        <f>VLOOKUP($A55,'SurveyRpt_20150223 (1)'!$A$34:$AN$735,30,FALSE)</f>
        <v>Yes</v>
      </c>
      <c r="T55" s="16" t="str">
        <f>VLOOKUP($A55,'SurveyRpt_20150223 (1)'!$A$34:$AN$735,32,FALSE)</f>
        <v>No</v>
      </c>
      <c r="U55" s="16" t="str">
        <f>VLOOKUP($A55,'SurveyRpt_20150223 (1)'!$A$34:$AN$735,34,FALSE)</f>
        <v>No</v>
      </c>
      <c r="V55" s="16" t="str">
        <f>VLOOKUP($A55,'SurveyRpt_20150223 (1)'!$A$34:$AN$735,36,FALSE)</f>
        <v>No</v>
      </c>
      <c r="W55" s="16" t="str">
        <f>VLOOKUP($A55,'SurveyRpt_20150223 (1)'!$A$34:$AN$735,38,FALSE)</f>
        <v>No</v>
      </c>
    </row>
    <row r="56" spans="1:23" ht="13.5" customHeight="1" x14ac:dyDescent="0.25">
      <c r="A56" s="19" t="s">
        <v>149</v>
      </c>
      <c r="B56" s="19" t="str">
        <f t="shared" si="0"/>
        <v>ASHARMA237</v>
      </c>
      <c r="C56" s="16" t="str">
        <f>VLOOKUP(B56,'Compiled Agents'!A:H,2,FALSE)</f>
        <v>Platform</v>
      </c>
      <c r="D56" s="16" t="str">
        <f>VLOOKUP(B56,'Compiled Agents'!A:H,4,FALSE)</f>
        <v>Noida</v>
      </c>
      <c r="E56" s="16" t="str">
        <f>VLOOKUP(B56,'Compiled Agents'!A:H,5,FALSE)</f>
        <v>Wave2</v>
      </c>
      <c r="F56" s="16" t="str">
        <f>VLOOKUP(B56,'Compiled Agents'!A:H,6,FALSE)</f>
        <v>Brown</v>
      </c>
      <c r="G56" s="16">
        <f>VLOOKUP($A56,'SurveyRpt_20150223 (1)'!$A$34:$AN$735,6,FALSE)</f>
        <v>6</v>
      </c>
      <c r="H56" s="16" t="str">
        <f>VLOOKUP($A56,'SurveyRpt_20150223 (1)'!$A$34:$AN$735,8,FALSE)</f>
        <v>Yes</v>
      </c>
      <c r="I56" s="16" t="str">
        <f>VLOOKUP($A56,'SurveyRpt_20150223 (1)'!$A$34:$AN$735,10,FALSE)</f>
        <v>No</v>
      </c>
      <c r="J56" s="16" t="str">
        <f>VLOOKUP($A56,'SurveyRpt_20150223 (1)'!$A$34:$AN$735,12,FALSE)</f>
        <v>No</v>
      </c>
      <c r="K56" s="16" t="str">
        <f>VLOOKUP($A56,'SurveyRpt_20150223 (1)'!$A$34:$AN$735,14,FALSE)</f>
        <v>No</v>
      </c>
      <c r="L56" s="16" t="str">
        <f>VLOOKUP($A56,'SurveyRpt_20150223 (1)'!$A$34:$AN$735,16,FALSE)</f>
        <v>No</v>
      </c>
      <c r="M56" s="16" t="str">
        <f>VLOOKUP($A56,'SurveyRpt_20150223 (1)'!$A$34:$AN$735,18,FALSE)</f>
        <v>Yes</v>
      </c>
      <c r="N56" s="16" t="str">
        <f>VLOOKUP($A56,'SurveyRpt_20150223 (1)'!$A$34:$AN$735,20,FALSE)</f>
        <v>No</v>
      </c>
      <c r="O56" s="16" t="str">
        <f>VLOOKUP($A56,'SurveyRpt_20150223 (1)'!$A$34:$AN$735,22,FALSE)</f>
        <v>No</v>
      </c>
      <c r="P56" s="16" t="str">
        <f>VLOOKUP($A56,'SurveyRpt_20150223 (1)'!$A$34:$AN$735,24,FALSE)</f>
        <v>No</v>
      </c>
      <c r="Q56" s="16" t="str">
        <f>VLOOKUP($A56,'SurveyRpt_20150223 (1)'!$A$34:$AN$735,26,FALSE)</f>
        <v>No</v>
      </c>
      <c r="R56" s="16" t="str">
        <f>VLOOKUP($A56,'SurveyRpt_20150223 (1)'!$A$34:$AN$735,28,FALSE)</f>
        <v>Yes</v>
      </c>
      <c r="S56" s="16" t="str">
        <f>VLOOKUP($A56,'SurveyRpt_20150223 (1)'!$A$34:$AN$735,30,FALSE)</f>
        <v>Yes</v>
      </c>
      <c r="T56" s="16" t="str">
        <f>VLOOKUP($A56,'SurveyRpt_20150223 (1)'!$A$34:$AN$735,32,FALSE)</f>
        <v>No</v>
      </c>
      <c r="U56" s="16" t="str">
        <f>VLOOKUP($A56,'SurveyRpt_20150223 (1)'!$A$34:$AN$735,34,FALSE)</f>
        <v>Yes</v>
      </c>
      <c r="V56" s="16" t="str">
        <f>VLOOKUP($A56,'SurveyRpt_20150223 (1)'!$A$34:$AN$735,36,FALSE)</f>
        <v>Yes</v>
      </c>
      <c r="W56" s="16" t="str">
        <f>VLOOKUP($A56,'SurveyRpt_20150223 (1)'!$A$34:$AN$735,38,FALSE)</f>
        <v>No</v>
      </c>
    </row>
    <row r="57" spans="1:23" ht="13.5" customHeight="1" x14ac:dyDescent="0.25">
      <c r="A57" s="19" t="s">
        <v>150</v>
      </c>
      <c r="B57" s="19" t="str">
        <f t="shared" si="0"/>
        <v>MREDDYTIPOLL</v>
      </c>
      <c r="C57" s="16" t="str">
        <f>VLOOKUP(B57,'Compiled Agents'!A:H,2,FALSE)</f>
        <v>Platform</v>
      </c>
      <c r="D57" s="16" t="str">
        <f>VLOOKUP(B57,'Compiled Agents'!A:H,4,FALSE)</f>
        <v>Noida</v>
      </c>
      <c r="E57" s="16" t="str">
        <f>VLOOKUP(B57,'Compiled Agents'!A:H,5,FALSE)</f>
        <v>Wave1</v>
      </c>
      <c r="F57" s="16" t="str">
        <f>VLOOKUP(B57,'Compiled Agents'!A:H,6,FALSE)</f>
        <v>Yellow</v>
      </c>
      <c r="G57" s="16">
        <f>VLOOKUP($A57,'SurveyRpt_20150223 (1)'!$A$34:$AN$735,6,FALSE)</f>
        <v>7</v>
      </c>
      <c r="H57" s="16" t="str">
        <f>VLOOKUP($A57,'SurveyRpt_20150223 (1)'!$A$34:$AN$735,8,FALSE)</f>
        <v>No</v>
      </c>
      <c r="I57" s="16" t="str">
        <f>VLOOKUP($A57,'SurveyRpt_20150223 (1)'!$A$34:$AN$735,10,FALSE)</f>
        <v>Yes</v>
      </c>
      <c r="J57" s="16" t="str">
        <f>VLOOKUP($A57,'SurveyRpt_20150223 (1)'!$A$34:$AN$735,12,FALSE)</f>
        <v>No</v>
      </c>
      <c r="K57" s="16" t="str">
        <f>VLOOKUP($A57,'SurveyRpt_20150223 (1)'!$A$34:$AN$735,14,FALSE)</f>
        <v>No</v>
      </c>
      <c r="L57" s="16" t="str">
        <f>VLOOKUP($A57,'SurveyRpt_20150223 (1)'!$A$34:$AN$735,16,FALSE)</f>
        <v>No</v>
      </c>
      <c r="M57" s="16" t="str">
        <f>VLOOKUP($A57,'SurveyRpt_20150223 (1)'!$A$34:$AN$735,18,FALSE)</f>
        <v>No</v>
      </c>
      <c r="N57" s="16" t="str">
        <f>VLOOKUP($A57,'SurveyRpt_20150223 (1)'!$A$34:$AN$735,20,FALSE)</f>
        <v>No</v>
      </c>
      <c r="O57" s="16" t="str">
        <f>VLOOKUP($A57,'SurveyRpt_20150223 (1)'!$A$34:$AN$735,22,FALSE)</f>
        <v>No</v>
      </c>
      <c r="P57" s="16" t="str">
        <f>VLOOKUP($A57,'SurveyRpt_20150223 (1)'!$A$34:$AN$735,24,FALSE)</f>
        <v>Yes</v>
      </c>
      <c r="Q57" s="16" t="str">
        <f>VLOOKUP($A57,'SurveyRpt_20150223 (1)'!$A$34:$AN$735,26,FALSE)</f>
        <v>Yes</v>
      </c>
      <c r="R57" s="16" t="str">
        <f>VLOOKUP($A57,'SurveyRpt_20150223 (1)'!$A$34:$AN$735,28,FALSE)</f>
        <v>No</v>
      </c>
      <c r="S57" s="16" t="str">
        <f>VLOOKUP($A57,'SurveyRpt_20150223 (1)'!$A$34:$AN$735,30,FALSE)</f>
        <v>Yes</v>
      </c>
      <c r="T57" s="16" t="str">
        <f>VLOOKUP($A57,'SurveyRpt_20150223 (1)'!$A$34:$AN$735,32,FALSE)</f>
        <v>Yes</v>
      </c>
      <c r="U57" s="16" t="str">
        <f>VLOOKUP($A57,'SurveyRpt_20150223 (1)'!$A$34:$AN$735,34,FALSE)</f>
        <v>No</v>
      </c>
      <c r="V57" s="16" t="str">
        <f>VLOOKUP($A57,'SurveyRpt_20150223 (1)'!$A$34:$AN$735,36,FALSE)</f>
        <v>Yes</v>
      </c>
      <c r="W57" s="16" t="str">
        <f>VLOOKUP($A57,'SurveyRpt_20150223 (1)'!$A$34:$AN$735,38,FALSE)</f>
        <v>Yes</v>
      </c>
    </row>
    <row r="58" spans="1:23" ht="13.5" customHeight="1" x14ac:dyDescent="0.25">
      <c r="A58" s="19" t="s">
        <v>151</v>
      </c>
      <c r="B58" s="19" t="str">
        <f t="shared" si="0"/>
        <v>APORWAL3</v>
      </c>
      <c r="C58" s="16" t="str">
        <f>VLOOKUP(B58,'Compiled Agents'!A:H,2,FALSE)</f>
        <v>Workplace</v>
      </c>
      <c r="D58" s="16" t="str">
        <f>VLOOKUP(B58,'Compiled Agents'!A:H,4,FALSE)</f>
        <v>Hyderabad</v>
      </c>
      <c r="E58" s="16" t="str">
        <f>VLOOKUP(B58,'Compiled Agents'!A:H,5,FALSE)</f>
        <v>Wave2</v>
      </c>
      <c r="F58" s="16" t="str">
        <f>VLOOKUP(B58,'Compiled Agents'!A:H,6,FALSE)</f>
        <v>Purple</v>
      </c>
      <c r="G58" s="16">
        <f>VLOOKUP($A58,'SurveyRpt_20150223 (1)'!$A$34:$AN$735,6,FALSE)</f>
        <v>16</v>
      </c>
      <c r="H58" s="16" t="str">
        <f>VLOOKUP($A58,'SurveyRpt_20150223 (1)'!$A$34:$AN$735,8,FALSE)</f>
        <v>Yes</v>
      </c>
      <c r="I58" s="16" t="str">
        <f>VLOOKUP($A58,'SurveyRpt_20150223 (1)'!$A$34:$AN$735,10,FALSE)</f>
        <v>Yes</v>
      </c>
      <c r="J58" s="16" t="str">
        <f>VLOOKUP($A58,'SurveyRpt_20150223 (1)'!$A$34:$AN$735,12,FALSE)</f>
        <v>Yes</v>
      </c>
      <c r="K58" s="16" t="str">
        <f>VLOOKUP($A58,'SurveyRpt_20150223 (1)'!$A$34:$AN$735,14,FALSE)</f>
        <v>Yes</v>
      </c>
      <c r="L58" s="16" t="str">
        <f>VLOOKUP($A58,'SurveyRpt_20150223 (1)'!$A$34:$AN$735,16,FALSE)</f>
        <v>Yes</v>
      </c>
      <c r="M58" s="16" t="str">
        <f>VLOOKUP($A58,'SurveyRpt_20150223 (1)'!$A$34:$AN$735,18,FALSE)</f>
        <v>Yes</v>
      </c>
      <c r="N58" s="16" t="str">
        <f>VLOOKUP($A58,'SurveyRpt_20150223 (1)'!$A$34:$AN$735,20,FALSE)</f>
        <v>Yes</v>
      </c>
      <c r="O58" s="16" t="str">
        <f>VLOOKUP($A58,'SurveyRpt_20150223 (1)'!$A$34:$AN$735,22,FALSE)</f>
        <v>Yes</v>
      </c>
      <c r="P58" s="16" t="str">
        <f>VLOOKUP($A58,'SurveyRpt_20150223 (1)'!$A$34:$AN$735,24,FALSE)</f>
        <v>Yes</v>
      </c>
      <c r="Q58" s="16" t="str">
        <f>VLOOKUP($A58,'SurveyRpt_20150223 (1)'!$A$34:$AN$735,26,FALSE)</f>
        <v>Yes</v>
      </c>
      <c r="R58" s="16" t="str">
        <f>VLOOKUP($A58,'SurveyRpt_20150223 (1)'!$A$34:$AN$735,28,FALSE)</f>
        <v>Yes</v>
      </c>
      <c r="S58" s="16" t="str">
        <f>VLOOKUP($A58,'SurveyRpt_20150223 (1)'!$A$34:$AN$735,30,FALSE)</f>
        <v>Yes</v>
      </c>
      <c r="T58" s="16" t="str">
        <f>VLOOKUP($A58,'SurveyRpt_20150223 (1)'!$A$34:$AN$735,32,FALSE)</f>
        <v>Yes</v>
      </c>
      <c r="U58" s="16" t="str">
        <f>VLOOKUP($A58,'SurveyRpt_20150223 (1)'!$A$34:$AN$735,34,FALSE)</f>
        <v>Yes</v>
      </c>
      <c r="V58" s="16" t="str">
        <f>VLOOKUP($A58,'SurveyRpt_20150223 (1)'!$A$34:$AN$735,36,FALSE)</f>
        <v>Yes</v>
      </c>
      <c r="W58" s="16" t="str">
        <f>VLOOKUP($A58,'SurveyRpt_20150223 (1)'!$A$34:$AN$735,38,FALSE)</f>
        <v>Yes</v>
      </c>
    </row>
    <row r="59" spans="1:23" ht="13.5" customHeight="1" x14ac:dyDescent="0.25">
      <c r="A59" s="19" t="s">
        <v>152</v>
      </c>
      <c r="B59" s="19" t="str">
        <f t="shared" si="0"/>
        <v>aarguellesga</v>
      </c>
      <c r="C59" s="16" t="str">
        <f>VLOOKUP(B59,'Compiled Agents'!A:H,2,FALSE)</f>
        <v>Workplace</v>
      </c>
      <c r="D59" s="16" t="str">
        <f>VLOOKUP(B59,'Compiled Agents'!A:H,4,FALSE)</f>
        <v>Spain</v>
      </c>
      <c r="E59" s="16" t="str">
        <f>VLOOKUP(B59,'Compiled Agents'!A:H,5,FALSE)</f>
        <v>Wave1</v>
      </c>
      <c r="F59" s="16" t="str">
        <f>VLOOKUP(B59,'Compiled Agents'!A:H,6,FALSE)</f>
        <v>Purple</v>
      </c>
      <c r="G59" s="16">
        <f>VLOOKUP($A59,'SurveyRpt_20150223 (1)'!$A$34:$AN$735,6,FALSE)</f>
        <v>7</v>
      </c>
      <c r="H59" s="16" t="str">
        <f>VLOOKUP($A59,'SurveyRpt_20150223 (1)'!$A$34:$AN$735,8,FALSE)</f>
        <v>No</v>
      </c>
      <c r="I59" s="16" t="str">
        <f>VLOOKUP($A59,'SurveyRpt_20150223 (1)'!$A$34:$AN$735,10,FALSE)</f>
        <v>Yes</v>
      </c>
      <c r="J59" s="16" t="str">
        <f>VLOOKUP($A59,'SurveyRpt_20150223 (1)'!$A$34:$AN$735,12,FALSE)</f>
        <v>No</v>
      </c>
      <c r="K59" s="16" t="str">
        <f>VLOOKUP($A59,'SurveyRpt_20150223 (1)'!$A$34:$AN$735,14,FALSE)</f>
        <v>Yes</v>
      </c>
      <c r="L59" s="16" t="str">
        <f>VLOOKUP($A59,'SurveyRpt_20150223 (1)'!$A$34:$AN$735,16,FALSE)</f>
        <v>No</v>
      </c>
      <c r="M59" s="16" t="str">
        <f>VLOOKUP($A59,'SurveyRpt_20150223 (1)'!$A$34:$AN$735,18,FALSE)</f>
        <v>Yes</v>
      </c>
      <c r="N59" s="16" t="str">
        <f>VLOOKUP($A59,'SurveyRpt_20150223 (1)'!$A$34:$AN$735,20,FALSE)</f>
        <v>No</v>
      </c>
      <c r="O59" s="16" t="str">
        <f>VLOOKUP($A59,'SurveyRpt_20150223 (1)'!$A$34:$AN$735,22,FALSE)</f>
        <v>Yes</v>
      </c>
      <c r="P59" s="16" t="str">
        <f>VLOOKUP($A59,'SurveyRpt_20150223 (1)'!$A$34:$AN$735,24,FALSE)</f>
        <v>No</v>
      </c>
      <c r="Q59" s="16" t="str">
        <f>VLOOKUP($A59,'SurveyRpt_20150223 (1)'!$A$34:$AN$735,26,FALSE)</f>
        <v>No</v>
      </c>
      <c r="R59" s="16" t="str">
        <f>VLOOKUP($A59,'SurveyRpt_20150223 (1)'!$A$34:$AN$735,28,FALSE)</f>
        <v>No</v>
      </c>
      <c r="S59" s="16" t="str">
        <f>VLOOKUP($A59,'SurveyRpt_20150223 (1)'!$A$34:$AN$735,30,FALSE)</f>
        <v>No</v>
      </c>
      <c r="T59" s="16" t="str">
        <f>VLOOKUP($A59,'SurveyRpt_20150223 (1)'!$A$34:$AN$735,32,FALSE)</f>
        <v>No</v>
      </c>
      <c r="U59" s="16" t="str">
        <f>VLOOKUP($A59,'SurveyRpt_20150223 (1)'!$A$34:$AN$735,34,FALSE)</f>
        <v>Yes</v>
      </c>
      <c r="V59" s="16" t="str">
        <f>VLOOKUP($A59,'SurveyRpt_20150223 (1)'!$A$34:$AN$735,36,FALSE)</f>
        <v>Yes</v>
      </c>
      <c r="W59" s="16" t="str">
        <f>VLOOKUP($A59,'SurveyRpt_20150223 (1)'!$A$34:$AN$735,38,FALSE)</f>
        <v>Yes</v>
      </c>
    </row>
    <row r="60" spans="1:23" ht="13.5" customHeight="1" x14ac:dyDescent="0.25">
      <c r="A60" s="19" t="s">
        <v>153</v>
      </c>
      <c r="B60" s="19" t="str">
        <f t="shared" si="0"/>
        <v>VKHATRI2</v>
      </c>
      <c r="C60" s="16" t="str">
        <f>VLOOKUP(B60,'Compiled Agents'!A:H,2,FALSE)</f>
        <v>Platform</v>
      </c>
      <c r="D60" s="16" t="str">
        <f>VLOOKUP(B60,'Compiled Agents'!A:H,4,FALSE)</f>
        <v>Noida</v>
      </c>
      <c r="E60" s="16" t="str">
        <f>VLOOKUP(B60,'Compiled Agents'!A:H,5,FALSE)</f>
        <v>Wave1</v>
      </c>
      <c r="F60" s="16" t="str">
        <f>VLOOKUP(B60,'Compiled Agents'!A:H,6,FALSE)</f>
        <v>Blue</v>
      </c>
      <c r="G60" s="16">
        <f>VLOOKUP($A60,'SurveyRpt_20150223 (1)'!$A$34:$AN$735,6,FALSE)</f>
        <v>9</v>
      </c>
      <c r="H60" s="16" t="str">
        <f>VLOOKUP($A60,'SurveyRpt_20150223 (1)'!$A$34:$AN$735,8,FALSE)</f>
        <v>Yes</v>
      </c>
      <c r="I60" s="16" t="str">
        <f>VLOOKUP($A60,'SurveyRpt_20150223 (1)'!$A$34:$AN$735,10,FALSE)</f>
        <v>Yes</v>
      </c>
      <c r="J60" s="16" t="str">
        <f>VLOOKUP($A60,'SurveyRpt_20150223 (1)'!$A$34:$AN$735,12,FALSE)</f>
        <v>No</v>
      </c>
      <c r="K60" s="16" t="str">
        <f>VLOOKUP($A60,'SurveyRpt_20150223 (1)'!$A$34:$AN$735,14,FALSE)</f>
        <v>No</v>
      </c>
      <c r="L60" s="16" t="str">
        <f>VLOOKUP($A60,'SurveyRpt_20150223 (1)'!$A$34:$AN$735,16,FALSE)</f>
        <v>Yes</v>
      </c>
      <c r="M60" s="16" t="str">
        <f>VLOOKUP($A60,'SurveyRpt_20150223 (1)'!$A$34:$AN$735,18,FALSE)</f>
        <v>Yes</v>
      </c>
      <c r="N60" s="16" t="str">
        <f>VLOOKUP($A60,'SurveyRpt_20150223 (1)'!$A$34:$AN$735,20,FALSE)</f>
        <v>No</v>
      </c>
      <c r="O60" s="16" t="str">
        <f>VLOOKUP($A60,'SurveyRpt_20150223 (1)'!$A$34:$AN$735,22,FALSE)</f>
        <v>No</v>
      </c>
      <c r="P60" s="16" t="str">
        <f>VLOOKUP($A60,'SurveyRpt_20150223 (1)'!$A$34:$AN$735,24,FALSE)</f>
        <v>Yes</v>
      </c>
      <c r="Q60" s="16" t="str">
        <f>VLOOKUP($A60,'SurveyRpt_20150223 (1)'!$A$34:$AN$735,26,FALSE)</f>
        <v>Yes</v>
      </c>
      <c r="R60" s="16" t="str">
        <f>VLOOKUP($A60,'SurveyRpt_20150223 (1)'!$A$34:$AN$735,28,FALSE)</f>
        <v>Yes</v>
      </c>
      <c r="S60" s="16" t="str">
        <f>VLOOKUP($A60,'SurveyRpt_20150223 (1)'!$A$34:$AN$735,30,FALSE)</f>
        <v>Yes</v>
      </c>
      <c r="T60" s="16" t="str">
        <f>VLOOKUP($A60,'SurveyRpt_20150223 (1)'!$A$34:$AN$735,32,FALSE)</f>
        <v>No</v>
      </c>
      <c r="U60" s="16" t="str">
        <f>VLOOKUP($A60,'SurveyRpt_20150223 (1)'!$A$34:$AN$735,34,FALSE)</f>
        <v>No</v>
      </c>
      <c r="V60" s="16" t="str">
        <f>VLOOKUP($A60,'SurveyRpt_20150223 (1)'!$A$34:$AN$735,36,FALSE)</f>
        <v>Yes</v>
      </c>
      <c r="W60" s="16" t="str">
        <f>VLOOKUP($A60,'SurveyRpt_20150223 (1)'!$A$34:$AN$735,38,FALSE)</f>
        <v>No</v>
      </c>
    </row>
    <row r="61" spans="1:23" ht="13.5" customHeight="1" x14ac:dyDescent="0.25">
      <c r="A61" s="19" t="s">
        <v>154</v>
      </c>
      <c r="B61" s="19" t="str">
        <f t="shared" si="0"/>
        <v>BRAJA3</v>
      </c>
      <c r="C61" s="16" t="str">
        <f>VLOOKUP(B61,'Compiled Agents'!A:H,2,FALSE)</f>
        <v>Workplace</v>
      </c>
      <c r="D61" s="16" t="str">
        <f>VLOOKUP(B61,'Compiled Agents'!A:H,4,FALSE)</f>
        <v>Hyderabad</v>
      </c>
      <c r="E61" s="16" t="str">
        <f>VLOOKUP(B61,'Compiled Agents'!A:H,5,FALSE)</f>
        <v>Wave2</v>
      </c>
      <c r="F61" s="16" t="str">
        <f>VLOOKUP(B61,'Compiled Agents'!A:H,6,FALSE)</f>
        <v>Orange</v>
      </c>
      <c r="G61" s="16">
        <f>VLOOKUP($A61,'SurveyRpt_20150223 (1)'!$A$34:$AN$735,6,FALSE)</f>
        <v>12</v>
      </c>
      <c r="H61" s="16" t="str">
        <f>VLOOKUP($A61,'SurveyRpt_20150223 (1)'!$A$34:$AN$735,8,FALSE)</f>
        <v>Yes</v>
      </c>
      <c r="I61" s="16" t="str">
        <f>VLOOKUP($A61,'SurveyRpt_20150223 (1)'!$A$34:$AN$735,10,FALSE)</f>
        <v>Yes</v>
      </c>
      <c r="J61" s="16" t="str">
        <f>VLOOKUP($A61,'SurveyRpt_20150223 (1)'!$A$34:$AN$735,12,FALSE)</f>
        <v>Yes</v>
      </c>
      <c r="K61" s="16" t="str">
        <f>VLOOKUP($A61,'SurveyRpt_20150223 (1)'!$A$34:$AN$735,14,FALSE)</f>
        <v>Yes</v>
      </c>
      <c r="L61" s="16" t="str">
        <f>VLOOKUP($A61,'SurveyRpt_20150223 (1)'!$A$34:$AN$735,16,FALSE)</f>
        <v>Yes</v>
      </c>
      <c r="M61" s="16" t="str">
        <f>VLOOKUP($A61,'SurveyRpt_20150223 (1)'!$A$34:$AN$735,18,FALSE)</f>
        <v>Yes</v>
      </c>
      <c r="N61" s="16" t="str">
        <f>VLOOKUP($A61,'SurveyRpt_20150223 (1)'!$A$34:$AN$735,20,FALSE)</f>
        <v>No</v>
      </c>
      <c r="O61" s="16" t="str">
        <f>VLOOKUP($A61,'SurveyRpt_20150223 (1)'!$A$34:$AN$735,22,FALSE)</f>
        <v>Yes</v>
      </c>
      <c r="P61" s="16" t="str">
        <f>VLOOKUP($A61,'SurveyRpt_20150223 (1)'!$A$34:$AN$735,24,FALSE)</f>
        <v>Yes</v>
      </c>
      <c r="Q61" s="16" t="str">
        <f>VLOOKUP($A61,'SurveyRpt_20150223 (1)'!$A$34:$AN$735,26,FALSE)</f>
        <v>No</v>
      </c>
      <c r="R61" s="16" t="str">
        <f>VLOOKUP($A61,'SurveyRpt_20150223 (1)'!$A$34:$AN$735,28,FALSE)</f>
        <v>Yes</v>
      </c>
      <c r="S61" s="16" t="str">
        <f>VLOOKUP($A61,'SurveyRpt_20150223 (1)'!$A$34:$AN$735,30,FALSE)</f>
        <v>Yes</v>
      </c>
      <c r="T61" s="16" t="str">
        <f>VLOOKUP($A61,'SurveyRpt_20150223 (1)'!$A$34:$AN$735,32,FALSE)</f>
        <v>No</v>
      </c>
      <c r="U61" s="16" t="str">
        <f>VLOOKUP($A61,'SurveyRpt_20150223 (1)'!$A$34:$AN$735,34,FALSE)</f>
        <v>No</v>
      </c>
      <c r="V61" s="16" t="str">
        <f>VLOOKUP($A61,'SurveyRpt_20150223 (1)'!$A$34:$AN$735,36,FALSE)</f>
        <v>Yes</v>
      </c>
      <c r="W61" s="16" t="str">
        <f>VLOOKUP($A61,'SurveyRpt_20150223 (1)'!$A$34:$AN$735,38,FALSE)</f>
        <v>Yes</v>
      </c>
    </row>
    <row r="62" spans="1:23" ht="13.5" customHeight="1" x14ac:dyDescent="0.25">
      <c r="A62" s="19" t="s">
        <v>155</v>
      </c>
      <c r="B62" s="19" t="str">
        <f t="shared" si="0"/>
        <v>NSAXENA26</v>
      </c>
      <c r="C62" s="16" t="str">
        <f>VLOOKUP(B62,'Compiled Agents'!A:H,2,FALSE)</f>
        <v>Platform</v>
      </c>
      <c r="D62" s="16" t="str">
        <f>VLOOKUP(B62,'Compiled Agents'!A:H,4,FALSE)</f>
        <v>Noida</v>
      </c>
      <c r="E62" s="16" t="str">
        <f>VLOOKUP(B62,'Compiled Agents'!A:H,5,FALSE)</f>
        <v>Wave2</v>
      </c>
      <c r="F62" s="16" t="str">
        <f>VLOOKUP(B62,'Compiled Agents'!A:H,6,FALSE)</f>
        <v>Yellow</v>
      </c>
      <c r="G62" s="16">
        <f>VLOOKUP($A62,'SurveyRpt_20150223 (1)'!$A$34:$AN$735,6,FALSE)</f>
        <v>16</v>
      </c>
      <c r="H62" s="16" t="str">
        <f>VLOOKUP($A62,'SurveyRpt_20150223 (1)'!$A$34:$AN$735,8,FALSE)</f>
        <v>Yes</v>
      </c>
      <c r="I62" s="16" t="str">
        <f>VLOOKUP($A62,'SurveyRpt_20150223 (1)'!$A$34:$AN$735,10,FALSE)</f>
        <v>Yes</v>
      </c>
      <c r="J62" s="16" t="str">
        <f>VLOOKUP($A62,'SurveyRpt_20150223 (1)'!$A$34:$AN$735,12,FALSE)</f>
        <v>Yes</v>
      </c>
      <c r="K62" s="16" t="str">
        <f>VLOOKUP($A62,'SurveyRpt_20150223 (1)'!$A$34:$AN$735,14,FALSE)</f>
        <v>Yes</v>
      </c>
      <c r="L62" s="16" t="str">
        <f>VLOOKUP($A62,'SurveyRpt_20150223 (1)'!$A$34:$AN$735,16,FALSE)</f>
        <v>Yes</v>
      </c>
      <c r="M62" s="16" t="str">
        <f>VLOOKUP($A62,'SurveyRpt_20150223 (1)'!$A$34:$AN$735,18,FALSE)</f>
        <v>Yes</v>
      </c>
      <c r="N62" s="16" t="str">
        <f>VLOOKUP($A62,'SurveyRpt_20150223 (1)'!$A$34:$AN$735,20,FALSE)</f>
        <v>Yes</v>
      </c>
      <c r="O62" s="16" t="str">
        <f>VLOOKUP($A62,'SurveyRpt_20150223 (1)'!$A$34:$AN$735,22,FALSE)</f>
        <v>Yes</v>
      </c>
      <c r="P62" s="16" t="str">
        <f>VLOOKUP($A62,'SurveyRpt_20150223 (1)'!$A$34:$AN$735,24,FALSE)</f>
        <v>Yes</v>
      </c>
      <c r="Q62" s="16" t="str">
        <f>VLOOKUP($A62,'SurveyRpt_20150223 (1)'!$A$34:$AN$735,26,FALSE)</f>
        <v>Yes</v>
      </c>
      <c r="R62" s="16" t="str">
        <f>VLOOKUP($A62,'SurveyRpt_20150223 (1)'!$A$34:$AN$735,28,FALSE)</f>
        <v>Yes</v>
      </c>
      <c r="S62" s="16" t="str">
        <f>VLOOKUP($A62,'SurveyRpt_20150223 (1)'!$A$34:$AN$735,30,FALSE)</f>
        <v>Yes</v>
      </c>
      <c r="T62" s="16" t="str">
        <f>VLOOKUP($A62,'SurveyRpt_20150223 (1)'!$A$34:$AN$735,32,FALSE)</f>
        <v>Yes</v>
      </c>
      <c r="U62" s="16" t="str">
        <f>VLOOKUP($A62,'SurveyRpt_20150223 (1)'!$A$34:$AN$735,34,FALSE)</f>
        <v>Yes</v>
      </c>
      <c r="V62" s="16" t="str">
        <f>VLOOKUP($A62,'SurveyRpt_20150223 (1)'!$A$34:$AN$735,36,FALSE)</f>
        <v>Yes</v>
      </c>
      <c r="W62" s="16" t="str">
        <f>VLOOKUP($A62,'SurveyRpt_20150223 (1)'!$A$34:$AN$735,38,FALSE)</f>
        <v>Yes</v>
      </c>
    </row>
    <row r="63" spans="1:23" ht="13.5" customHeight="1" x14ac:dyDescent="0.25">
      <c r="A63" s="19" t="s">
        <v>156</v>
      </c>
      <c r="B63" s="19" t="str">
        <f t="shared" si="0"/>
        <v>SKANDAKTLA</v>
      </c>
      <c r="C63" s="16" t="str">
        <f>VLOOKUP(B63,'Compiled Agents'!A:H,2,FALSE)</f>
        <v>Platform</v>
      </c>
      <c r="D63" s="16" t="str">
        <f>VLOOKUP(B63,'Compiled Agents'!A:H,4,FALSE)</f>
        <v>Hyderabad</v>
      </c>
      <c r="E63" s="16" t="str">
        <f>VLOOKUP(B63,'Compiled Agents'!A:H,5,FALSE)</f>
        <v>Wave1</v>
      </c>
      <c r="F63" s="16" t="str">
        <f>VLOOKUP(B63,'Compiled Agents'!A:H,6,FALSE)</f>
        <v>Purple</v>
      </c>
      <c r="G63" s="16">
        <f>VLOOKUP($A63,'SurveyRpt_20150223 (1)'!$A$34:$AN$735,6,FALSE)</f>
        <v>5</v>
      </c>
      <c r="H63" s="16" t="str">
        <f>VLOOKUP($A63,'SurveyRpt_20150223 (1)'!$A$34:$AN$735,8,FALSE)</f>
        <v>Yes</v>
      </c>
      <c r="I63" s="16" t="str">
        <f>VLOOKUP($A63,'SurveyRpt_20150223 (1)'!$A$34:$AN$735,10,FALSE)</f>
        <v>Yes</v>
      </c>
      <c r="J63" s="16" t="str">
        <f>VLOOKUP($A63,'SurveyRpt_20150223 (1)'!$A$34:$AN$735,12,FALSE)</f>
        <v>No</v>
      </c>
      <c r="K63" s="16" t="str">
        <f>VLOOKUP($A63,'SurveyRpt_20150223 (1)'!$A$34:$AN$735,14,FALSE)</f>
        <v>No</v>
      </c>
      <c r="L63" s="16" t="str">
        <f>VLOOKUP($A63,'SurveyRpt_20150223 (1)'!$A$34:$AN$735,16,FALSE)</f>
        <v>No</v>
      </c>
      <c r="M63" s="16" t="str">
        <f>VLOOKUP($A63,'SurveyRpt_20150223 (1)'!$A$34:$AN$735,18,FALSE)</f>
        <v>No</v>
      </c>
      <c r="N63" s="16" t="str">
        <f>VLOOKUP($A63,'SurveyRpt_20150223 (1)'!$A$34:$AN$735,20,FALSE)</f>
        <v>No</v>
      </c>
      <c r="O63" s="16" t="str">
        <f>VLOOKUP($A63,'SurveyRpt_20150223 (1)'!$A$34:$AN$735,22,FALSE)</f>
        <v>No</v>
      </c>
      <c r="P63" s="16" t="str">
        <f>VLOOKUP($A63,'SurveyRpt_20150223 (1)'!$A$34:$AN$735,24,FALSE)</f>
        <v>No</v>
      </c>
      <c r="Q63" s="16" t="str">
        <f>VLOOKUP($A63,'SurveyRpt_20150223 (1)'!$A$34:$AN$735,26,FALSE)</f>
        <v>Yes</v>
      </c>
      <c r="R63" s="16" t="str">
        <f>VLOOKUP($A63,'SurveyRpt_20150223 (1)'!$A$34:$AN$735,28,FALSE)</f>
        <v>Yes</v>
      </c>
      <c r="S63" s="16" t="str">
        <f>VLOOKUP($A63,'SurveyRpt_20150223 (1)'!$A$34:$AN$735,30,FALSE)</f>
        <v>Yes</v>
      </c>
      <c r="T63" s="16" t="str">
        <f>VLOOKUP($A63,'SurveyRpt_20150223 (1)'!$A$34:$AN$735,32,FALSE)</f>
        <v>No</v>
      </c>
      <c r="U63" s="16" t="str">
        <f>VLOOKUP($A63,'SurveyRpt_20150223 (1)'!$A$34:$AN$735,34,FALSE)</f>
        <v>No</v>
      </c>
      <c r="V63" s="16" t="str">
        <f>VLOOKUP($A63,'SurveyRpt_20150223 (1)'!$A$34:$AN$735,36,FALSE)</f>
        <v>No</v>
      </c>
      <c r="W63" s="16" t="str">
        <f>VLOOKUP($A63,'SurveyRpt_20150223 (1)'!$A$34:$AN$735,38,FALSE)</f>
        <v>No</v>
      </c>
    </row>
    <row r="64" spans="1:23" ht="13.5" customHeight="1" x14ac:dyDescent="0.25">
      <c r="A64" s="19" t="s">
        <v>157</v>
      </c>
      <c r="B64" s="19" t="str">
        <f t="shared" si="0"/>
        <v>VYADAV25</v>
      </c>
      <c r="C64" s="16" t="str">
        <f>VLOOKUP(B64,'Compiled Agents'!A:H,2,FALSE)</f>
        <v>Platform</v>
      </c>
      <c r="D64" s="16" t="str">
        <f>VLOOKUP(B64,'Compiled Agents'!A:H,4,FALSE)</f>
        <v>Noida</v>
      </c>
      <c r="E64" s="16" t="str">
        <f>VLOOKUP(B64,'Compiled Agents'!A:H,5,FALSE)</f>
        <v>Wave2</v>
      </c>
      <c r="F64" s="16" t="str">
        <f>VLOOKUP(B64,'Compiled Agents'!A:H,6,FALSE)</f>
        <v>Yellow</v>
      </c>
      <c r="G64" s="16">
        <f>VLOOKUP($A64,'SurveyRpt_20150223 (1)'!$A$34:$AN$735,6,FALSE)</f>
        <v>12</v>
      </c>
      <c r="H64" s="16" t="str">
        <f>VLOOKUP($A64,'SurveyRpt_20150223 (1)'!$A$34:$AN$735,8,FALSE)</f>
        <v>Yes</v>
      </c>
      <c r="I64" s="16" t="str">
        <f>VLOOKUP($A64,'SurveyRpt_20150223 (1)'!$A$34:$AN$735,10,FALSE)</f>
        <v>No</v>
      </c>
      <c r="J64" s="16" t="str">
        <f>VLOOKUP($A64,'SurveyRpt_20150223 (1)'!$A$34:$AN$735,12,FALSE)</f>
        <v>Yes</v>
      </c>
      <c r="K64" s="16" t="str">
        <f>VLOOKUP($A64,'SurveyRpt_20150223 (1)'!$A$34:$AN$735,14,FALSE)</f>
        <v>Yes</v>
      </c>
      <c r="L64" s="16" t="str">
        <f>VLOOKUP($A64,'SurveyRpt_20150223 (1)'!$A$34:$AN$735,16,FALSE)</f>
        <v>Yes</v>
      </c>
      <c r="M64" s="16" t="str">
        <f>VLOOKUP($A64,'SurveyRpt_20150223 (1)'!$A$34:$AN$735,18,FALSE)</f>
        <v>Yes</v>
      </c>
      <c r="N64" s="16" t="str">
        <f>VLOOKUP($A64,'SurveyRpt_20150223 (1)'!$A$34:$AN$735,20,FALSE)</f>
        <v>Yes</v>
      </c>
      <c r="O64" s="16" t="str">
        <f>VLOOKUP($A64,'SurveyRpt_20150223 (1)'!$A$34:$AN$735,22,FALSE)</f>
        <v>Yes</v>
      </c>
      <c r="P64" s="16" t="str">
        <f>VLOOKUP($A64,'SurveyRpt_20150223 (1)'!$A$34:$AN$735,24,FALSE)</f>
        <v>Yes</v>
      </c>
      <c r="Q64" s="16" t="str">
        <f>VLOOKUP($A64,'SurveyRpt_20150223 (1)'!$A$34:$AN$735,26,FALSE)</f>
        <v>Yes</v>
      </c>
      <c r="R64" s="16" t="str">
        <f>VLOOKUP($A64,'SurveyRpt_20150223 (1)'!$A$34:$AN$735,28,FALSE)</f>
        <v>Yes</v>
      </c>
      <c r="S64" s="16" t="str">
        <f>VLOOKUP($A64,'SurveyRpt_20150223 (1)'!$A$34:$AN$735,30,FALSE)</f>
        <v>Yes</v>
      </c>
      <c r="T64" s="16" t="str">
        <f>VLOOKUP($A64,'SurveyRpt_20150223 (1)'!$A$34:$AN$735,32,FALSE)</f>
        <v>No</v>
      </c>
      <c r="U64" s="16" t="str">
        <f>VLOOKUP($A64,'SurveyRpt_20150223 (1)'!$A$34:$AN$735,34,FALSE)</f>
        <v>No</v>
      </c>
      <c r="V64" s="16" t="str">
        <f>VLOOKUP($A64,'SurveyRpt_20150223 (1)'!$A$34:$AN$735,36,FALSE)</f>
        <v>Yes</v>
      </c>
      <c r="W64" s="16" t="str">
        <f>VLOOKUP($A64,'SurveyRpt_20150223 (1)'!$A$34:$AN$735,38,FALSE)</f>
        <v>No</v>
      </c>
    </row>
    <row r="65" spans="1:23" ht="13.5" customHeight="1" x14ac:dyDescent="0.25">
      <c r="A65" s="19" t="s">
        <v>158</v>
      </c>
      <c r="B65" s="19" t="str">
        <f t="shared" si="0"/>
        <v>PYADAV4</v>
      </c>
      <c r="C65" s="16" t="str">
        <f>VLOOKUP(B65,'Compiled Agents'!A:H,2,FALSE)</f>
        <v>Platform</v>
      </c>
      <c r="D65" s="16" t="str">
        <f>VLOOKUP(B65,'Compiled Agents'!A:H,4,FALSE)</f>
        <v>Noida</v>
      </c>
      <c r="E65" s="16" t="str">
        <f>VLOOKUP(B65,'Compiled Agents'!A:H,5,FALSE)</f>
        <v>Wave2</v>
      </c>
      <c r="F65" s="16" t="str">
        <f>VLOOKUP(B65,'Compiled Agents'!A:H,6,FALSE)</f>
        <v>Purple</v>
      </c>
      <c r="G65" s="16">
        <f>VLOOKUP($A65,'SurveyRpt_20150223 (1)'!$A$34:$AN$735,6,FALSE)</f>
        <v>14</v>
      </c>
      <c r="H65" s="16" t="str">
        <f>VLOOKUP($A65,'SurveyRpt_20150223 (1)'!$A$34:$AN$735,8,FALSE)</f>
        <v>Yes</v>
      </c>
      <c r="I65" s="16" t="str">
        <f>VLOOKUP($A65,'SurveyRpt_20150223 (1)'!$A$34:$AN$735,10,FALSE)</f>
        <v>Yes</v>
      </c>
      <c r="J65" s="16" t="str">
        <f>VLOOKUP($A65,'SurveyRpt_20150223 (1)'!$A$34:$AN$735,12,FALSE)</f>
        <v>Yes</v>
      </c>
      <c r="K65" s="16" t="str">
        <f>VLOOKUP($A65,'SurveyRpt_20150223 (1)'!$A$34:$AN$735,14,FALSE)</f>
        <v>Yes</v>
      </c>
      <c r="L65" s="16" t="str">
        <f>VLOOKUP($A65,'SurveyRpt_20150223 (1)'!$A$34:$AN$735,16,FALSE)</f>
        <v>Yes</v>
      </c>
      <c r="M65" s="16" t="str">
        <f>VLOOKUP($A65,'SurveyRpt_20150223 (1)'!$A$34:$AN$735,18,FALSE)</f>
        <v>Yes</v>
      </c>
      <c r="N65" s="16" t="str">
        <f>VLOOKUP($A65,'SurveyRpt_20150223 (1)'!$A$34:$AN$735,20,FALSE)</f>
        <v>Yes</v>
      </c>
      <c r="O65" s="16" t="str">
        <f>VLOOKUP($A65,'SurveyRpt_20150223 (1)'!$A$34:$AN$735,22,FALSE)</f>
        <v>No</v>
      </c>
      <c r="P65" s="16" t="str">
        <f>VLOOKUP($A65,'SurveyRpt_20150223 (1)'!$A$34:$AN$735,24,FALSE)</f>
        <v>No</v>
      </c>
      <c r="Q65" s="16" t="str">
        <f>VLOOKUP($A65,'SurveyRpt_20150223 (1)'!$A$34:$AN$735,26,FALSE)</f>
        <v>Yes</v>
      </c>
      <c r="R65" s="16" t="str">
        <f>VLOOKUP($A65,'SurveyRpt_20150223 (1)'!$A$34:$AN$735,28,FALSE)</f>
        <v>Yes</v>
      </c>
      <c r="S65" s="16" t="str">
        <f>VLOOKUP($A65,'SurveyRpt_20150223 (1)'!$A$34:$AN$735,30,FALSE)</f>
        <v>Yes</v>
      </c>
      <c r="T65" s="16" t="str">
        <f>VLOOKUP($A65,'SurveyRpt_20150223 (1)'!$A$34:$AN$735,32,FALSE)</f>
        <v>Yes</v>
      </c>
      <c r="U65" s="16" t="str">
        <f>VLOOKUP($A65,'SurveyRpt_20150223 (1)'!$A$34:$AN$735,34,FALSE)</f>
        <v>Yes</v>
      </c>
      <c r="V65" s="16" t="str">
        <f>VLOOKUP($A65,'SurveyRpt_20150223 (1)'!$A$34:$AN$735,36,FALSE)</f>
        <v>Yes</v>
      </c>
      <c r="W65" s="16" t="str">
        <f>VLOOKUP($A65,'SurveyRpt_20150223 (1)'!$A$34:$AN$735,38,FALSE)</f>
        <v>Yes</v>
      </c>
    </row>
    <row r="66" spans="1:23" ht="13.5" customHeight="1" x14ac:dyDescent="0.25">
      <c r="A66" s="19" t="s">
        <v>159</v>
      </c>
      <c r="B66" s="19" t="str">
        <f t="shared" si="0"/>
        <v>ASINGH376</v>
      </c>
      <c r="C66" s="16" t="str">
        <f>VLOOKUP(B66,'Compiled Agents'!A:H,2,FALSE)</f>
        <v>Platform</v>
      </c>
      <c r="D66" s="16" t="str">
        <f>VLOOKUP(B66,'Compiled Agents'!A:H,4,FALSE)</f>
        <v>Hyderabad</v>
      </c>
      <c r="E66" s="16" t="str">
        <f>VLOOKUP(B66,'Compiled Agents'!A:H,5,FALSE)</f>
        <v>Wave1</v>
      </c>
      <c r="F66" s="16" t="str">
        <f>VLOOKUP(B66,'Compiled Agents'!A:H,6,FALSE)</f>
        <v>Yellow</v>
      </c>
      <c r="G66" s="16">
        <f>VLOOKUP($A66,'SurveyRpt_20150223 (1)'!$A$34:$AN$735,6,FALSE)</f>
        <v>16</v>
      </c>
      <c r="H66" s="16" t="str">
        <f>VLOOKUP($A66,'SurveyRpt_20150223 (1)'!$A$34:$AN$735,8,FALSE)</f>
        <v>Yes</v>
      </c>
      <c r="I66" s="16" t="str">
        <f>VLOOKUP($A66,'SurveyRpt_20150223 (1)'!$A$34:$AN$735,10,FALSE)</f>
        <v>Yes</v>
      </c>
      <c r="J66" s="16" t="str">
        <f>VLOOKUP($A66,'SurveyRpt_20150223 (1)'!$A$34:$AN$735,12,FALSE)</f>
        <v>Yes</v>
      </c>
      <c r="K66" s="16" t="str">
        <f>VLOOKUP($A66,'SurveyRpt_20150223 (1)'!$A$34:$AN$735,14,FALSE)</f>
        <v>Yes</v>
      </c>
      <c r="L66" s="16" t="str">
        <f>VLOOKUP($A66,'SurveyRpt_20150223 (1)'!$A$34:$AN$735,16,FALSE)</f>
        <v>Yes</v>
      </c>
      <c r="M66" s="16" t="str">
        <f>VLOOKUP($A66,'SurveyRpt_20150223 (1)'!$A$34:$AN$735,18,FALSE)</f>
        <v>Yes</v>
      </c>
      <c r="N66" s="16" t="str">
        <f>VLOOKUP($A66,'SurveyRpt_20150223 (1)'!$A$34:$AN$735,20,FALSE)</f>
        <v>Yes</v>
      </c>
      <c r="O66" s="16" t="str">
        <f>VLOOKUP($A66,'SurveyRpt_20150223 (1)'!$A$34:$AN$735,22,FALSE)</f>
        <v>Yes</v>
      </c>
      <c r="P66" s="16" t="str">
        <f>VLOOKUP($A66,'SurveyRpt_20150223 (1)'!$A$34:$AN$735,24,FALSE)</f>
        <v>Yes</v>
      </c>
      <c r="Q66" s="16" t="str">
        <f>VLOOKUP($A66,'SurveyRpt_20150223 (1)'!$A$34:$AN$735,26,FALSE)</f>
        <v>Yes</v>
      </c>
      <c r="R66" s="16" t="str">
        <f>VLOOKUP($A66,'SurveyRpt_20150223 (1)'!$A$34:$AN$735,28,FALSE)</f>
        <v>Yes</v>
      </c>
      <c r="S66" s="16" t="str">
        <f>VLOOKUP($A66,'SurveyRpt_20150223 (1)'!$A$34:$AN$735,30,FALSE)</f>
        <v>Yes</v>
      </c>
      <c r="T66" s="16" t="str">
        <f>VLOOKUP($A66,'SurveyRpt_20150223 (1)'!$A$34:$AN$735,32,FALSE)</f>
        <v>Yes</v>
      </c>
      <c r="U66" s="16" t="str">
        <f>VLOOKUP($A66,'SurveyRpt_20150223 (1)'!$A$34:$AN$735,34,FALSE)</f>
        <v>Yes</v>
      </c>
      <c r="V66" s="16" t="str">
        <f>VLOOKUP($A66,'SurveyRpt_20150223 (1)'!$A$34:$AN$735,36,FALSE)</f>
        <v>Yes</v>
      </c>
      <c r="W66" s="16" t="str">
        <f>VLOOKUP($A66,'SurveyRpt_20150223 (1)'!$A$34:$AN$735,38,FALSE)</f>
        <v>Yes</v>
      </c>
    </row>
    <row r="67" spans="1:23" ht="13.5" customHeight="1" x14ac:dyDescent="0.25">
      <c r="A67" s="19" t="s">
        <v>160</v>
      </c>
      <c r="B67" s="19" t="str">
        <f t="shared" ref="B67:B130" si="1">TRIM(LEFT(A67,FIND("@",A67)-1))</f>
        <v>rcostamilhei</v>
      </c>
      <c r="C67" s="16" t="str">
        <f>VLOOKUP(B67,'Compiled Agents'!A:H,2,FALSE)</f>
        <v>Workplace</v>
      </c>
      <c r="D67" s="16" t="str">
        <f>VLOOKUP(B67,'Compiled Agents'!A:H,4,FALSE)</f>
        <v>Spain</v>
      </c>
      <c r="E67" s="16" t="str">
        <f>VLOOKUP(B67,'Compiled Agents'!A:H,5,FALSE)</f>
        <v>Wave1</v>
      </c>
      <c r="F67" s="16" t="str">
        <f>VLOOKUP(B67,'Compiled Agents'!A:H,6,FALSE)</f>
        <v>Blue</v>
      </c>
      <c r="G67" s="16">
        <f>VLOOKUP($A67,'SurveyRpt_20150223 (1)'!$A$34:$AN$735,6,FALSE)</f>
        <v>1</v>
      </c>
      <c r="H67" s="16" t="str">
        <f>VLOOKUP($A67,'SurveyRpt_20150223 (1)'!$A$34:$AN$735,8,FALSE)</f>
        <v>No</v>
      </c>
      <c r="I67" s="16" t="str">
        <f>VLOOKUP($A67,'SurveyRpt_20150223 (1)'!$A$34:$AN$735,10,FALSE)</f>
        <v>No</v>
      </c>
      <c r="J67" s="16" t="str">
        <f>VLOOKUP($A67,'SurveyRpt_20150223 (1)'!$A$34:$AN$735,12,FALSE)</f>
        <v>No</v>
      </c>
      <c r="K67" s="16" t="str">
        <f>VLOOKUP($A67,'SurveyRpt_20150223 (1)'!$A$34:$AN$735,14,FALSE)</f>
        <v>No</v>
      </c>
      <c r="L67" s="16" t="str">
        <f>VLOOKUP($A67,'SurveyRpt_20150223 (1)'!$A$34:$AN$735,16,FALSE)</f>
        <v>No</v>
      </c>
      <c r="M67" s="16" t="str">
        <f>VLOOKUP($A67,'SurveyRpt_20150223 (1)'!$A$34:$AN$735,18,FALSE)</f>
        <v>Yes</v>
      </c>
      <c r="N67" s="16" t="str">
        <f>VLOOKUP($A67,'SurveyRpt_20150223 (1)'!$A$34:$AN$735,20,FALSE)</f>
        <v>No</v>
      </c>
      <c r="O67" s="16" t="str">
        <f>VLOOKUP($A67,'SurveyRpt_20150223 (1)'!$A$34:$AN$735,22,FALSE)</f>
        <v>No</v>
      </c>
      <c r="P67" s="16" t="str">
        <f>VLOOKUP($A67,'SurveyRpt_20150223 (1)'!$A$34:$AN$735,24,FALSE)</f>
        <v>No</v>
      </c>
      <c r="Q67" s="16" t="str">
        <f>VLOOKUP($A67,'SurveyRpt_20150223 (1)'!$A$34:$AN$735,26,FALSE)</f>
        <v>No</v>
      </c>
      <c r="R67" s="16" t="str">
        <f>VLOOKUP($A67,'SurveyRpt_20150223 (1)'!$A$34:$AN$735,28,FALSE)</f>
        <v>No</v>
      </c>
      <c r="S67" s="16" t="str">
        <f>VLOOKUP($A67,'SurveyRpt_20150223 (1)'!$A$34:$AN$735,30,FALSE)</f>
        <v>No</v>
      </c>
      <c r="T67" s="16" t="str">
        <f>VLOOKUP($A67,'SurveyRpt_20150223 (1)'!$A$34:$AN$735,32,FALSE)</f>
        <v>No</v>
      </c>
      <c r="U67" s="16" t="str">
        <f>VLOOKUP($A67,'SurveyRpt_20150223 (1)'!$A$34:$AN$735,34,FALSE)</f>
        <v>No</v>
      </c>
      <c r="V67" s="16" t="str">
        <f>VLOOKUP($A67,'SurveyRpt_20150223 (1)'!$A$34:$AN$735,36,FALSE)</f>
        <v>No</v>
      </c>
      <c r="W67" s="16" t="str">
        <f>VLOOKUP($A67,'SurveyRpt_20150223 (1)'!$A$34:$AN$735,38,FALSE)</f>
        <v>No</v>
      </c>
    </row>
    <row r="68" spans="1:23" ht="13.5" customHeight="1" x14ac:dyDescent="0.25">
      <c r="A68" s="19" t="s">
        <v>161</v>
      </c>
      <c r="B68" s="19" t="str">
        <f t="shared" si="1"/>
        <v>MGANDHI3</v>
      </c>
      <c r="C68" s="16" t="str">
        <f>VLOOKUP(B68,'Compiled Agents'!A:H,2,FALSE)</f>
        <v>Platform</v>
      </c>
      <c r="D68" s="16" t="str">
        <f>VLOOKUP(B68,'Compiled Agents'!A:H,4,FALSE)</f>
        <v>Noida</v>
      </c>
      <c r="E68" s="16" t="str">
        <f>VLOOKUP(B68,'Compiled Agents'!A:H,5,FALSE)</f>
        <v>Wave1</v>
      </c>
      <c r="F68" s="16" t="str">
        <f>VLOOKUP(B68,'Compiled Agents'!A:H,6,FALSE)</f>
        <v>Blue</v>
      </c>
      <c r="G68" s="16">
        <f>VLOOKUP($A68,'SurveyRpt_20150223 (1)'!$A$34:$AN$735,6,FALSE)</f>
        <v>7</v>
      </c>
      <c r="H68" s="16" t="str">
        <f>VLOOKUP($A68,'SurveyRpt_20150223 (1)'!$A$34:$AN$735,8,FALSE)</f>
        <v>No</v>
      </c>
      <c r="I68" s="16" t="str">
        <f>VLOOKUP($A68,'SurveyRpt_20150223 (1)'!$A$34:$AN$735,10,FALSE)</f>
        <v>No</v>
      </c>
      <c r="J68" s="16" t="str">
        <f>VLOOKUP($A68,'SurveyRpt_20150223 (1)'!$A$34:$AN$735,12,FALSE)</f>
        <v>No</v>
      </c>
      <c r="K68" s="16" t="str">
        <f>VLOOKUP($A68,'SurveyRpt_20150223 (1)'!$A$34:$AN$735,14,FALSE)</f>
        <v>No</v>
      </c>
      <c r="L68" s="16" t="str">
        <f>VLOOKUP($A68,'SurveyRpt_20150223 (1)'!$A$34:$AN$735,16,FALSE)</f>
        <v>No</v>
      </c>
      <c r="M68" s="16" t="str">
        <f>VLOOKUP($A68,'SurveyRpt_20150223 (1)'!$A$34:$AN$735,18,FALSE)</f>
        <v>Yes</v>
      </c>
      <c r="N68" s="16" t="str">
        <f>VLOOKUP($A68,'SurveyRpt_20150223 (1)'!$A$34:$AN$735,20,FALSE)</f>
        <v>No</v>
      </c>
      <c r="O68" s="16" t="str">
        <f>VLOOKUP($A68,'SurveyRpt_20150223 (1)'!$A$34:$AN$735,22,FALSE)</f>
        <v>No</v>
      </c>
      <c r="P68" s="16" t="str">
        <f>VLOOKUP($A68,'SurveyRpt_20150223 (1)'!$A$34:$AN$735,24,FALSE)</f>
        <v>Yes</v>
      </c>
      <c r="Q68" s="16" t="str">
        <f>VLOOKUP($A68,'SurveyRpt_20150223 (1)'!$A$34:$AN$735,26,FALSE)</f>
        <v>Yes</v>
      </c>
      <c r="R68" s="16" t="str">
        <f>VLOOKUP($A68,'SurveyRpt_20150223 (1)'!$A$34:$AN$735,28,FALSE)</f>
        <v>Yes</v>
      </c>
      <c r="S68" s="16" t="str">
        <f>VLOOKUP($A68,'SurveyRpt_20150223 (1)'!$A$34:$AN$735,30,FALSE)</f>
        <v>Yes</v>
      </c>
      <c r="T68" s="16" t="str">
        <f>VLOOKUP($A68,'SurveyRpt_20150223 (1)'!$A$34:$AN$735,32,FALSE)</f>
        <v>Yes</v>
      </c>
      <c r="U68" s="16" t="str">
        <f>VLOOKUP($A68,'SurveyRpt_20150223 (1)'!$A$34:$AN$735,34,FALSE)</f>
        <v>No</v>
      </c>
      <c r="V68" s="16" t="str">
        <f>VLOOKUP($A68,'SurveyRpt_20150223 (1)'!$A$34:$AN$735,36,FALSE)</f>
        <v>Yes</v>
      </c>
      <c r="W68" s="16" t="str">
        <f>VLOOKUP($A68,'SurveyRpt_20150223 (1)'!$A$34:$AN$735,38,FALSE)</f>
        <v>No</v>
      </c>
    </row>
    <row r="69" spans="1:23" ht="13.5" customHeight="1" x14ac:dyDescent="0.25">
      <c r="A69" s="19" t="s">
        <v>162</v>
      </c>
      <c r="B69" s="19" t="str">
        <f t="shared" si="1"/>
        <v>mlakostik</v>
      </c>
      <c r="C69" s="16" t="str">
        <f>VLOOKUP(B69,'Compiled Agents'!A:H,2,FALSE)</f>
        <v>Workplace</v>
      </c>
      <c r="D69" s="16" t="str">
        <f>VLOOKUP(B69,'Compiled Agents'!A:H,4,FALSE)</f>
        <v>Spain</v>
      </c>
      <c r="E69" s="16" t="str">
        <f>VLOOKUP(B69,'Compiled Agents'!A:H,5,FALSE)</f>
        <v>Wave1</v>
      </c>
      <c r="F69" s="16" t="str">
        <f>VLOOKUP(B69,'Compiled Agents'!A:H,6,FALSE)</f>
        <v>Yellow</v>
      </c>
      <c r="G69" s="16">
        <f>VLOOKUP($A69,'SurveyRpt_20150223 (1)'!$A$34:$AN$735,6,FALSE)</f>
        <v>0</v>
      </c>
      <c r="H69" s="16" t="str">
        <f>VLOOKUP($A69,'SurveyRpt_20150223 (1)'!$A$34:$AN$735,8,FALSE)</f>
        <v>No</v>
      </c>
      <c r="I69" s="16" t="str">
        <f>VLOOKUP($A69,'SurveyRpt_20150223 (1)'!$A$34:$AN$735,10,FALSE)</f>
        <v>No</v>
      </c>
      <c r="J69" s="16" t="str">
        <f>VLOOKUP($A69,'SurveyRpt_20150223 (1)'!$A$34:$AN$735,12,FALSE)</f>
        <v>No</v>
      </c>
      <c r="K69" s="16" t="str">
        <f>VLOOKUP($A69,'SurveyRpt_20150223 (1)'!$A$34:$AN$735,14,FALSE)</f>
        <v>No</v>
      </c>
      <c r="L69" s="16" t="str">
        <f>VLOOKUP($A69,'SurveyRpt_20150223 (1)'!$A$34:$AN$735,16,FALSE)</f>
        <v>No</v>
      </c>
      <c r="M69" s="16" t="str">
        <f>VLOOKUP($A69,'SurveyRpt_20150223 (1)'!$A$34:$AN$735,18,FALSE)</f>
        <v>No</v>
      </c>
      <c r="N69" s="16" t="str">
        <f>VLOOKUP($A69,'SurveyRpt_20150223 (1)'!$A$34:$AN$735,20,FALSE)</f>
        <v>No</v>
      </c>
      <c r="O69" s="16" t="str">
        <f>VLOOKUP($A69,'SurveyRpt_20150223 (1)'!$A$34:$AN$735,22,FALSE)</f>
        <v>No</v>
      </c>
      <c r="P69" s="16" t="str">
        <f>VLOOKUP($A69,'SurveyRpt_20150223 (1)'!$A$34:$AN$735,24,FALSE)</f>
        <v>No</v>
      </c>
      <c r="Q69" s="16" t="str">
        <f>VLOOKUP($A69,'SurveyRpt_20150223 (1)'!$A$34:$AN$735,26,FALSE)</f>
        <v>No</v>
      </c>
      <c r="R69" s="16" t="str">
        <f>VLOOKUP($A69,'SurveyRpt_20150223 (1)'!$A$34:$AN$735,28,FALSE)</f>
        <v>No</v>
      </c>
      <c r="S69" s="16" t="str">
        <f>VLOOKUP($A69,'SurveyRpt_20150223 (1)'!$A$34:$AN$735,30,FALSE)</f>
        <v>No</v>
      </c>
      <c r="T69" s="16" t="str">
        <f>VLOOKUP($A69,'SurveyRpt_20150223 (1)'!$A$34:$AN$735,32,FALSE)</f>
        <v>No</v>
      </c>
      <c r="U69" s="16" t="str">
        <f>VLOOKUP($A69,'SurveyRpt_20150223 (1)'!$A$34:$AN$735,34,FALSE)</f>
        <v>No</v>
      </c>
      <c r="V69" s="16" t="str">
        <f>VLOOKUP($A69,'SurveyRpt_20150223 (1)'!$A$34:$AN$735,36,FALSE)</f>
        <v>No</v>
      </c>
      <c r="W69" s="16" t="str">
        <f>VLOOKUP($A69,'SurveyRpt_20150223 (1)'!$A$34:$AN$735,38,FALSE)</f>
        <v>No</v>
      </c>
    </row>
    <row r="70" spans="1:23" ht="13.5" customHeight="1" x14ac:dyDescent="0.25">
      <c r="A70" s="19" t="s">
        <v>163</v>
      </c>
      <c r="B70" s="19" t="str">
        <f t="shared" si="1"/>
        <v>PPALANKI</v>
      </c>
      <c r="C70" s="16" t="str">
        <f>VLOOKUP(B70,'Compiled Agents'!A:H,2,FALSE)</f>
        <v>Platform</v>
      </c>
      <c r="D70" s="16" t="str">
        <f>VLOOKUP(B70,'Compiled Agents'!A:H,4,FALSE)</f>
        <v>Noida</v>
      </c>
      <c r="E70" s="16" t="str">
        <f>VLOOKUP(B70,'Compiled Agents'!A:H,5,FALSE)</f>
        <v>Wave2</v>
      </c>
      <c r="F70" s="16" t="str">
        <f>VLOOKUP(B70,'Compiled Agents'!A:H,6,FALSE)</f>
        <v>Blue</v>
      </c>
      <c r="G70" s="16">
        <f>VLOOKUP($A70,'SurveyRpt_20150223 (1)'!$A$34:$AN$735,6,FALSE)</f>
        <v>16</v>
      </c>
      <c r="H70" s="16" t="str">
        <f>VLOOKUP($A70,'SurveyRpt_20150223 (1)'!$A$34:$AN$735,8,FALSE)</f>
        <v>Yes</v>
      </c>
      <c r="I70" s="16" t="str">
        <f>VLOOKUP($A70,'SurveyRpt_20150223 (1)'!$A$34:$AN$735,10,FALSE)</f>
        <v>Yes</v>
      </c>
      <c r="J70" s="16" t="str">
        <f>VLOOKUP($A70,'SurveyRpt_20150223 (1)'!$A$34:$AN$735,12,FALSE)</f>
        <v>Yes</v>
      </c>
      <c r="K70" s="16" t="str">
        <f>VLOOKUP($A70,'SurveyRpt_20150223 (1)'!$A$34:$AN$735,14,FALSE)</f>
        <v>Yes</v>
      </c>
      <c r="L70" s="16" t="str">
        <f>VLOOKUP($A70,'SurveyRpt_20150223 (1)'!$A$34:$AN$735,16,FALSE)</f>
        <v>Yes</v>
      </c>
      <c r="M70" s="16" t="str">
        <f>VLOOKUP($A70,'SurveyRpt_20150223 (1)'!$A$34:$AN$735,18,FALSE)</f>
        <v>Yes</v>
      </c>
      <c r="N70" s="16" t="str">
        <f>VLOOKUP($A70,'SurveyRpt_20150223 (1)'!$A$34:$AN$735,20,FALSE)</f>
        <v>Yes</v>
      </c>
      <c r="O70" s="16" t="str">
        <f>VLOOKUP($A70,'SurveyRpt_20150223 (1)'!$A$34:$AN$735,22,FALSE)</f>
        <v>Yes</v>
      </c>
      <c r="P70" s="16" t="str">
        <f>VLOOKUP($A70,'SurveyRpt_20150223 (1)'!$A$34:$AN$735,24,FALSE)</f>
        <v>Yes</v>
      </c>
      <c r="Q70" s="16" t="str">
        <f>VLOOKUP($A70,'SurveyRpt_20150223 (1)'!$A$34:$AN$735,26,FALSE)</f>
        <v>Yes</v>
      </c>
      <c r="R70" s="16" t="str">
        <f>VLOOKUP($A70,'SurveyRpt_20150223 (1)'!$A$34:$AN$735,28,FALSE)</f>
        <v>Yes</v>
      </c>
      <c r="S70" s="16" t="str">
        <f>VLOOKUP($A70,'SurveyRpt_20150223 (1)'!$A$34:$AN$735,30,FALSE)</f>
        <v>Yes</v>
      </c>
      <c r="T70" s="16" t="str">
        <f>VLOOKUP($A70,'SurveyRpt_20150223 (1)'!$A$34:$AN$735,32,FALSE)</f>
        <v>Yes</v>
      </c>
      <c r="U70" s="16" t="str">
        <f>VLOOKUP($A70,'SurveyRpt_20150223 (1)'!$A$34:$AN$735,34,FALSE)</f>
        <v>Yes</v>
      </c>
      <c r="V70" s="16" t="str">
        <f>VLOOKUP($A70,'SurveyRpt_20150223 (1)'!$A$34:$AN$735,36,FALSE)</f>
        <v>Yes</v>
      </c>
      <c r="W70" s="16" t="str">
        <f>VLOOKUP($A70,'SurveyRpt_20150223 (1)'!$A$34:$AN$735,38,FALSE)</f>
        <v>Yes</v>
      </c>
    </row>
    <row r="71" spans="1:23" ht="13.5" customHeight="1" x14ac:dyDescent="0.25">
      <c r="A71" s="19" t="s">
        <v>164</v>
      </c>
      <c r="B71" s="19" t="str">
        <f t="shared" si="1"/>
        <v>SKATAKAM2</v>
      </c>
      <c r="C71" s="16" t="str">
        <f>VLOOKUP(B71,'Compiled Agents'!A:H,2,FALSE)</f>
        <v>Platform</v>
      </c>
      <c r="D71" s="16" t="str">
        <f>VLOOKUP(B71,'Compiled Agents'!A:H,4,FALSE)</f>
        <v>Hyderabad</v>
      </c>
      <c r="E71" s="16" t="str">
        <f>VLOOKUP(B71,'Compiled Agents'!A:H,5,FALSE)</f>
        <v>Wave1</v>
      </c>
      <c r="F71" s="16" t="str">
        <f>VLOOKUP(B71,'Compiled Agents'!A:H,6,FALSE)</f>
        <v>Blue</v>
      </c>
      <c r="G71" s="16">
        <f>VLOOKUP($A71,'SurveyRpt_20150223 (1)'!$A$34:$AN$735,6,FALSE)</f>
        <v>16</v>
      </c>
      <c r="H71" s="16" t="str">
        <f>VLOOKUP($A71,'SurveyRpt_20150223 (1)'!$A$34:$AN$735,8,FALSE)</f>
        <v>Yes</v>
      </c>
      <c r="I71" s="16" t="str">
        <f>VLOOKUP($A71,'SurveyRpt_20150223 (1)'!$A$34:$AN$735,10,FALSE)</f>
        <v>Yes</v>
      </c>
      <c r="J71" s="16" t="str">
        <f>VLOOKUP($A71,'SurveyRpt_20150223 (1)'!$A$34:$AN$735,12,FALSE)</f>
        <v>Yes</v>
      </c>
      <c r="K71" s="16" t="str">
        <f>VLOOKUP($A71,'SurveyRpt_20150223 (1)'!$A$34:$AN$735,14,FALSE)</f>
        <v>Yes</v>
      </c>
      <c r="L71" s="16" t="str">
        <f>VLOOKUP($A71,'SurveyRpt_20150223 (1)'!$A$34:$AN$735,16,FALSE)</f>
        <v>Yes</v>
      </c>
      <c r="M71" s="16" t="str">
        <f>VLOOKUP($A71,'SurveyRpt_20150223 (1)'!$A$34:$AN$735,18,FALSE)</f>
        <v>Yes</v>
      </c>
      <c r="N71" s="16" t="str">
        <f>VLOOKUP($A71,'SurveyRpt_20150223 (1)'!$A$34:$AN$735,20,FALSE)</f>
        <v>Yes</v>
      </c>
      <c r="O71" s="16" t="str">
        <f>VLOOKUP($A71,'SurveyRpt_20150223 (1)'!$A$34:$AN$735,22,FALSE)</f>
        <v>Yes</v>
      </c>
      <c r="P71" s="16" t="str">
        <f>VLOOKUP($A71,'SurveyRpt_20150223 (1)'!$A$34:$AN$735,24,FALSE)</f>
        <v>Yes</v>
      </c>
      <c r="Q71" s="16" t="str">
        <f>VLOOKUP($A71,'SurveyRpt_20150223 (1)'!$A$34:$AN$735,26,FALSE)</f>
        <v>Yes</v>
      </c>
      <c r="R71" s="16" t="str">
        <f>VLOOKUP($A71,'SurveyRpt_20150223 (1)'!$A$34:$AN$735,28,FALSE)</f>
        <v>Yes</v>
      </c>
      <c r="S71" s="16" t="str">
        <f>VLOOKUP($A71,'SurveyRpt_20150223 (1)'!$A$34:$AN$735,30,FALSE)</f>
        <v>Yes</v>
      </c>
      <c r="T71" s="16" t="str">
        <f>VLOOKUP($A71,'SurveyRpt_20150223 (1)'!$A$34:$AN$735,32,FALSE)</f>
        <v>Yes</v>
      </c>
      <c r="U71" s="16" t="str">
        <f>VLOOKUP($A71,'SurveyRpt_20150223 (1)'!$A$34:$AN$735,34,FALSE)</f>
        <v>Yes</v>
      </c>
      <c r="V71" s="16" t="str">
        <f>VLOOKUP($A71,'SurveyRpt_20150223 (1)'!$A$34:$AN$735,36,FALSE)</f>
        <v>Yes</v>
      </c>
      <c r="W71" s="16" t="str">
        <f>VLOOKUP($A71,'SurveyRpt_20150223 (1)'!$A$34:$AN$735,38,FALSE)</f>
        <v>Yes</v>
      </c>
    </row>
    <row r="72" spans="1:23" ht="13.5" customHeight="1" x14ac:dyDescent="0.25">
      <c r="A72" s="19" t="s">
        <v>165</v>
      </c>
      <c r="B72" s="19" t="str">
        <f t="shared" si="1"/>
        <v>VGORREPATI2</v>
      </c>
      <c r="C72" s="16" t="str">
        <f>VLOOKUP(B72,'Compiled Agents'!A:H,2,FALSE)</f>
        <v>Platform</v>
      </c>
      <c r="D72" s="16" t="str">
        <f>VLOOKUP(B72,'Compiled Agents'!A:H,4,FALSE)</f>
        <v>Hyderabad</v>
      </c>
      <c r="E72" s="16" t="str">
        <f>VLOOKUP(B72,'Compiled Agents'!A:H,5,FALSE)</f>
        <v>Wave1</v>
      </c>
      <c r="F72" s="16" t="str">
        <f>VLOOKUP(B72,'Compiled Agents'!A:H,6,FALSE)</f>
        <v>Orange</v>
      </c>
      <c r="G72" s="16">
        <f>VLOOKUP($A72,'SurveyRpt_20150223 (1)'!$A$34:$AN$735,6,FALSE)</f>
        <v>15</v>
      </c>
      <c r="H72" s="16" t="str">
        <f>VLOOKUP($A72,'SurveyRpt_20150223 (1)'!$A$34:$AN$735,8,FALSE)</f>
        <v>Yes</v>
      </c>
      <c r="I72" s="16" t="str">
        <f>VLOOKUP($A72,'SurveyRpt_20150223 (1)'!$A$34:$AN$735,10,FALSE)</f>
        <v>Yes</v>
      </c>
      <c r="J72" s="16" t="str">
        <f>VLOOKUP($A72,'SurveyRpt_20150223 (1)'!$A$34:$AN$735,12,FALSE)</f>
        <v>Yes</v>
      </c>
      <c r="K72" s="16" t="str">
        <f>VLOOKUP($A72,'SurveyRpt_20150223 (1)'!$A$34:$AN$735,14,FALSE)</f>
        <v>Yes</v>
      </c>
      <c r="L72" s="16" t="str">
        <f>VLOOKUP($A72,'SurveyRpt_20150223 (1)'!$A$34:$AN$735,16,FALSE)</f>
        <v>Yes</v>
      </c>
      <c r="M72" s="16" t="str">
        <f>VLOOKUP($A72,'SurveyRpt_20150223 (1)'!$A$34:$AN$735,18,FALSE)</f>
        <v>Yes</v>
      </c>
      <c r="N72" s="16" t="str">
        <f>VLOOKUP($A72,'SurveyRpt_20150223 (1)'!$A$34:$AN$735,20,FALSE)</f>
        <v>Yes</v>
      </c>
      <c r="O72" s="16" t="str">
        <f>VLOOKUP($A72,'SurveyRpt_20150223 (1)'!$A$34:$AN$735,22,FALSE)</f>
        <v>Yes</v>
      </c>
      <c r="P72" s="16" t="str">
        <f>VLOOKUP($A72,'SurveyRpt_20150223 (1)'!$A$34:$AN$735,24,FALSE)</f>
        <v>Yes</v>
      </c>
      <c r="Q72" s="16" t="str">
        <f>VLOOKUP($A72,'SurveyRpt_20150223 (1)'!$A$34:$AN$735,26,FALSE)</f>
        <v>Yes</v>
      </c>
      <c r="R72" s="16" t="str">
        <f>VLOOKUP($A72,'SurveyRpt_20150223 (1)'!$A$34:$AN$735,28,FALSE)</f>
        <v>Yes</v>
      </c>
      <c r="S72" s="16" t="str">
        <f>VLOOKUP($A72,'SurveyRpt_20150223 (1)'!$A$34:$AN$735,30,FALSE)</f>
        <v>Yes</v>
      </c>
      <c r="T72" s="16" t="str">
        <f>VLOOKUP($A72,'SurveyRpt_20150223 (1)'!$A$34:$AN$735,32,FALSE)</f>
        <v>Yes</v>
      </c>
      <c r="U72" s="16" t="str">
        <f>VLOOKUP($A72,'SurveyRpt_20150223 (1)'!$A$34:$AN$735,34,FALSE)</f>
        <v>Yes</v>
      </c>
      <c r="V72" s="16" t="str">
        <f>VLOOKUP($A72,'SurveyRpt_20150223 (1)'!$A$34:$AN$735,36,FALSE)</f>
        <v>Yes</v>
      </c>
      <c r="W72" s="16" t="str">
        <f>VLOOKUP($A72,'SurveyRpt_20150223 (1)'!$A$34:$AN$735,38,FALSE)</f>
        <v>No</v>
      </c>
    </row>
    <row r="73" spans="1:23" ht="13.5" customHeight="1" x14ac:dyDescent="0.25">
      <c r="A73" s="19" t="s">
        <v>166</v>
      </c>
      <c r="B73" s="19" t="str">
        <f t="shared" si="1"/>
        <v>KNARAYANABAB</v>
      </c>
      <c r="C73" s="16" t="str">
        <f>VLOOKUP(B73,'Compiled Agents'!A:H,2,FALSE)</f>
        <v>Platform</v>
      </c>
      <c r="D73" s="16" t="str">
        <f>VLOOKUP(B73,'Compiled Agents'!A:H,4,FALSE)</f>
        <v>Noida</v>
      </c>
      <c r="E73" s="16" t="str">
        <f>VLOOKUP(B73,'Compiled Agents'!A:H,5,FALSE)</f>
        <v>Wave1</v>
      </c>
      <c r="F73" s="16" t="str">
        <f>VLOOKUP(B73,'Compiled Agents'!A:H,6,FALSE)</f>
        <v>Yellow</v>
      </c>
      <c r="G73" s="16">
        <f>VLOOKUP($A73,'SurveyRpt_20150223 (1)'!$A$34:$AN$735,6,FALSE)</f>
        <v>16</v>
      </c>
      <c r="H73" s="16" t="str">
        <f>VLOOKUP($A73,'SurveyRpt_20150223 (1)'!$A$34:$AN$735,8,FALSE)</f>
        <v>Yes</v>
      </c>
      <c r="I73" s="16" t="str">
        <f>VLOOKUP($A73,'SurveyRpt_20150223 (1)'!$A$34:$AN$735,10,FALSE)</f>
        <v>Yes</v>
      </c>
      <c r="J73" s="16" t="str">
        <f>VLOOKUP($A73,'SurveyRpt_20150223 (1)'!$A$34:$AN$735,12,FALSE)</f>
        <v>Yes</v>
      </c>
      <c r="K73" s="16" t="str">
        <f>VLOOKUP($A73,'SurveyRpt_20150223 (1)'!$A$34:$AN$735,14,FALSE)</f>
        <v>Yes</v>
      </c>
      <c r="L73" s="16" t="str">
        <f>VLOOKUP($A73,'SurveyRpt_20150223 (1)'!$A$34:$AN$735,16,FALSE)</f>
        <v>Yes</v>
      </c>
      <c r="M73" s="16" t="str">
        <f>VLOOKUP($A73,'SurveyRpt_20150223 (1)'!$A$34:$AN$735,18,FALSE)</f>
        <v>Yes</v>
      </c>
      <c r="N73" s="16" t="str">
        <f>VLOOKUP($A73,'SurveyRpt_20150223 (1)'!$A$34:$AN$735,20,FALSE)</f>
        <v>Yes</v>
      </c>
      <c r="O73" s="16" t="str">
        <f>VLOOKUP($A73,'SurveyRpt_20150223 (1)'!$A$34:$AN$735,22,FALSE)</f>
        <v>Yes</v>
      </c>
      <c r="P73" s="16" t="str">
        <f>VLOOKUP($A73,'SurveyRpt_20150223 (1)'!$A$34:$AN$735,24,FALSE)</f>
        <v>Yes</v>
      </c>
      <c r="Q73" s="16" t="str">
        <f>VLOOKUP($A73,'SurveyRpt_20150223 (1)'!$A$34:$AN$735,26,FALSE)</f>
        <v>Yes</v>
      </c>
      <c r="R73" s="16" t="str">
        <f>VLOOKUP($A73,'SurveyRpt_20150223 (1)'!$A$34:$AN$735,28,FALSE)</f>
        <v>Yes</v>
      </c>
      <c r="S73" s="16" t="str">
        <f>VLOOKUP($A73,'SurveyRpt_20150223 (1)'!$A$34:$AN$735,30,FALSE)</f>
        <v>Yes</v>
      </c>
      <c r="T73" s="16" t="str">
        <f>VLOOKUP($A73,'SurveyRpt_20150223 (1)'!$A$34:$AN$735,32,FALSE)</f>
        <v>Yes</v>
      </c>
      <c r="U73" s="16" t="str">
        <f>VLOOKUP($A73,'SurveyRpt_20150223 (1)'!$A$34:$AN$735,34,FALSE)</f>
        <v>Yes</v>
      </c>
      <c r="V73" s="16" t="str">
        <f>VLOOKUP($A73,'SurveyRpt_20150223 (1)'!$A$34:$AN$735,36,FALSE)</f>
        <v>Yes</v>
      </c>
      <c r="W73" s="16" t="str">
        <f>VLOOKUP($A73,'SurveyRpt_20150223 (1)'!$A$34:$AN$735,38,FALSE)</f>
        <v>Yes</v>
      </c>
    </row>
    <row r="74" spans="1:23" ht="13.5" customHeight="1" x14ac:dyDescent="0.25">
      <c r="A74" s="19" t="s">
        <v>167</v>
      </c>
      <c r="B74" s="19" t="str">
        <f t="shared" si="1"/>
        <v>RKUMAR36</v>
      </c>
      <c r="C74" s="16" t="str">
        <f>VLOOKUP(B74,'Compiled Agents'!A:H,2,FALSE)</f>
        <v>Platform</v>
      </c>
      <c r="D74" s="16" t="str">
        <f>VLOOKUP(B74,'Compiled Agents'!A:H,4,FALSE)</f>
        <v>Noida</v>
      </c>
      <c r="E74" s="16" t="str">
        <f>VLOOKUP(B74,'Compiled Agents'!A:H,5,FALSE)</f>
        <v>Wave1</v>
      </c>
      <c r="F74" s="16" t="str">
        <f>VLOOKUP(B74,'Compiled Agents'!A:H,6,FALSE)</f>
        <v>Brown</v>
      </c>
      <c r="G74" s="16">
        <f>VLOOKUP($A74,'SurveyRpt_20150223 (1)'!$A$34:$AN$735,6,FALSE)</f>
        <v>16</v>
      </c>
      <c r="H74" s="16" t="str">
        <f>VLOOKUP($A74,'SurveyRpt_20150223 (1)'!$A$34:$AN$735,8,FALSE)</f>
        <v>Yes</v>
      </c>
      <c r="I74" s="16" t="str">
        <f>VLOOKUP($A74,'SurveyRpt_20150223 (1)'!$A$34:$AN$735,10,FALSE)</f>
        <v>Yes</v>
      </c>
      <c r="J74" s="16" t="str">
        <f>VLOOKUP($A74,'SurveyRpt_20150223 (1)'!$A$34:$AN$735,12,FALSE)</f>
        <v>Yes</v>
      </c>
      <c r="K74" s="16" t="str">
        <f>VLOOKUP($A74,'SurveyRpt_20150223 (1)'!$A$34:$AN$735,14,FALSE)</f>
        <v>Yes</v>
      </c>
      <c r="L74" s="16" t="str">
        <f>VLOOKUP($A74,'SurveyRpt_20150223 (1)'!$A$34:$AN$735,16,FALSE)</f>
        <v>Yes</v>
      </c>
      <c r="M74" s="16" t="str">
        <f>VLOOKUP($A74,'SurveyRpt_20150223 (1)'!$A$34:$AN$735,18,FALSE)</f>
        <v>Yes</v>
      </c>
      <c r="N74" s="16" t="str">
        <f>VLOOKUP($A74,'SurveyRpt_20150223 (1)'!$A$34:$AN$735,20,FALSE)</f>
        <v>Yes</v>
      </c>
      <c r="O74" s="16" t="str">
        <f>VLOOKUP($A74,'SurveyRpt_20150223 (1)'!$A$34:$AN$735,22,FALSE)</f>
        <v>Yes</v>
      </c>
      <c r="P74" s="16" t="str">
        <f>VLOOKUP($A74,'SurveyRpt_20150223 (1)'!$A$34:$AN$735,24,FALSE)</f>
        <v>Yes</v>
      </c>
      <c r="Q74" s="16" t="str">
        <f>VLOOKUP($A74,'SurveyRpt_20150223 (1)'!$A$34:$AN$735,26,FALSE)</f>
        <v>Yes</v>
      </c>
      <c r="R74" s="16" t="str">
        <f>VLOOKUP($A74,'SurveyRpt_20150223 (1)'!$A$34:$AN$735,28,FALSE)</f>
        <v>Yes</v>
      </c>
      <c r="S74" s="16" t="str">
        <f>VLOOKUP($A74,'SurveyRpt_20150223 (1)'!$A$34:$AN$735,30,FALSE)</f>
        <v>Yes</v>
      </c>
      <c r="T74" s="16" t="str">
        <f>VLOOKUP($A74,'SurveyRpt_20150223 (1)'!$A$34:$AN$735,32,FALSE)</f>
        <v>Yes</v>
      </c>
      <c r="U74" s="16" t="str">
        <f>VLOOKUP($A74,'SurveyRpt_20150223 (1)'!$A$34:$AN$735,34,FALSE)</f>
        <v>Yes</v>
      </c>
      <c r="V74" s="16" t="str">
        <f>VLOOKUP($A74,'SurveyRpt_20150223 (1)'!$A$34:$AN$735,36,FALSE)</f>
        <v>Yes</v>
      </c>
      <c r="W74" s="16" t="str">
        <f>VLOOKUP($A74,'SurveyRpt_20150223 (1)'!$A$34:$AN$735,38,FALSE)</f>
        <v>Yes</v>
      </c>
    </row>
    <row r="75" spans="1:23" ht="13.5" customHeight="1" x14ac:dyDescent="0.25">
      <c r="A75" s="19" t="s">
        <v>168</v>
      </c>
      <c r="B75" s="19" t="str">
        <f t="shared" si="1"/>
        <v>dcanterocort</v>
      </c>
      <c r="C75" s="16" t="str">
        <f>VLOOKUP(B75,'Compiled Agents'!A:H,2,FALSE)</f>
        <v>Workplace</v>
      </c>
      <c r="D75" s="16" t="str">
        <f>VLOOKUP(B75,'Compiled Agents'!A:H,4,FALSE)</f>
        <v>Spain</v>
      </c>
      <c r="E75" s="16" t="str">
        <f>VLOOKUP(B75,'Compiled Agents'!A:H,5,FALSE)</f>
        <v>Wave1</v>
      </c>
      <c r="F75" s="16" t="str">
        <f>VLOOKUP(B75,'Compiled Agents'!A:H,6,FALSE)</f>
        <v>Yellow</v>
      </c>
      <c r="G75" s="16">
        <f>VLOOKUP($A75,'SurveyRpt_20150223 (1)'!$A$34:$AN$735,6,FALSE)</f>
        <v>3</v>
      </c>
      <c r="H75" s="16" t="str">
        <f>VLOOKUP($A75,'SurveyRpt_20150223 (1)'!$A$34:$AN$735,8,FALSE)</f>
        <v>Yes</v>
      </c>
      <c r="I75" s="16" t="str">
        <f>VLOOKUP($A75,'SurveyRpt_20150223 (1)'!$A$34:$AN$735,10,FALSE)</f>
        <v>No</v>
      </c>
      <c r="J75" s="16" t="str">
        <f>VLOOKUP($A75,'SurveyRpt_20150223 (1)'!$A$34:$AN$735,12,FALSE)</f>
        <v>No</v>
      </c>
      <c r="K75" s="16" t="str">
        <f>VLOOKUP($A75,'SurveyRpt_20150223 (1)'!$A$34:$AN$735,14,FALSE)</f>
        <v>No</v>
      </c>
      <c r="L75" s="16" t="str">
        <f>VLOOKUP($A75,'SurveyRpt_20150223 (1)'!$A$34:$AN$735,16,FALSE)</f>
        <v>No</v>
      </c>
      <c r="M75" s="16" t="str">
        <f>VLOOKUP($A75,'SurveyRpt_20150223 (1)'!$A$34:$AN$735,18,FALSE)</f>
        <v>Yes</v>
      </c>
      <c r="N75" s="16" t="str">
        <f>VLOOKUP($A75,'SurveyRpt_20150223 (1)'!$A$34:$AN$735,20,FALSE)</f>
        <v>No</v>
      </c>
      <c r="O75" s="16" t="str">
        <f>VLOOKUP($A75,'SurveyRpt_20150223 (1)'!$A$34:$AN$735,22,FALSE)</f>
        <v>No</v>
      </c>
      <c r="P75" s="16" t="str">
        <f>VLOOKUP($A75,'SurveyRpt_20150223 (1)'!$A$34:$AN$735,24,FALSE)</f>
        <v>No</v>
      </c>
      <c r="Q75" s="16" t="str">
        <f>VLOOKUP($A75,'SurveyRpt_20150223 (1)'!$A$34:$AN$735,26,FALSE)</f>
        <v>Yes</v>
      </c>
      <c r="R75" s="16" t="str">
        <f>VLOOKUP($A75,'SurveyRpt_20150223 (1)'!$A$34:$AN$735,28,FALSE)</f>
        <v>No</v>
      </c>
      <c r="S75" s="16" t="str">
        <f>VLOOKUP($A75,'SurveyRpt_20150223 (1)'!$A$34:$AN$735,30,FALSE)</f>
        <v>No</v>
      </c>
      <c r="T75" s="16" t="str">
        <f>VLOOKUP($A75,'SurveyRpt_20150223 (1)'!$A$34:$AN$735,32,FALSE)</f>
        <v>No</v>
      </c>
      <c r="U75" s="16" t="str">
        <f>VLOOKUP($A75,'SurveyRpt_20150223 (1)'!$A$34:$AN$735,34,FALSE)</f>
        <v>No</v>
      </c>
      <c r="V75" s="16" t="str">
        <f>VLOOKUP($A75,'SurveyRpt_20150223 (1)'!$A$34:$AN$735,36,FALSE)</f>
        <v>No</v>
      </c>
      <c r="W75" s="16" t="str">
        <f>VLOOKUP($A75,'SurveyRpt_20150223 (1)'!$A$34:$AN$735,38,FALSE)</f>
        <v>No</v>
      </c>
    </row>
    <row r="76" spans="1:23" ht="13.5" customHeight="1" x14ac:dyDescent="0.25">
      <c r="A76" s="19" t="s">
        <v>169</v>
      </c>
      <c r="B76" s="19" t="str">
        <f t="shared" si="1"/>
        <v>RTOMAR2</v>
      </c>
      <c r="C76" s="16" t="str">
        <f>VLOOKUP(B76,'Compiled Agents'!A:H,2,FALSE)</f>
        <v>Platform</v>
      </c>
      <c r="D76" s="16" t="str">
        <f>VLOOKUP(B76,'Compiled Agents'!A:H,4,FALSE)</f>
        <v>Noida</v>
      </c>
      <c r="E76" s="16" t="str">
        <f>VLOOKUP(B76,'Compiled Agents'!A:H,5,FALSE)</f>
        <v>Wave2</v>
      </c>
      <c r="F76" s="16" t="str">
        <f>VLOOKUP(B76,'Compiled Agents'!A:H,6,FALSE)</f>
        <v>Blue</v>
      </c>
      <c r="G76" s="16">
        <f>VLOOKUP($A76,'SurveyRpt_20150223 (1)'!$A$34:$AN$735,6,FALSE)</f>
        <v>6</v>
      </c>
      <c r="H76" s="16" t="str">
        <f>VLOOKUP($A76,'SurveyRpt_20150223 (1)'!$A$34:$AN$735,8,FALSE)</f>
        <v>No</v>
      </c>
      <c r="I76" s="16" t="str">
        <f>VLOOKUP($A76,'SurveyRpt_20150223 (1)'!$A$34:$AN$735,10,FALSE)</f>
        <v>No</v>
      </c>
      <c r="J76" s="16" t="str">
        <f>VLOOKUP($A76,'SurveyRpt_20150223 (1)'!$A$34:$AN$735,12,FALSE)</f>
        <v>No</v>
      </c>
      <c r="K76" s="16" t="str">
        <f>VLOOKUP($A76,'SurveyRpt_20150223 (1)'!$A$34:$AN$735,14,FALSE)</f>
        <v>No</v>
      </c>
      <c r="L76" s="16" t="str">
        <f>VLOOKUP($A76,'SurveyRpt_20150223 (1)'!$A$34:$AN$735,16,FALSE)</f>
        <v>Yes</v>
      </c>
      <c r="M76" s="16" t="str">
        <f>VLOOKUP($A76,'SurveyRpt_20150223 (1)'!$A$34:$AN$735,18,FALSE)</f>
        <v>No</v>
      </c>
      <c r="N76" s="16" t="str">
        <f>VLOOKUP($A76,'SurveyRpt_20150223 (1)'!$A$34:$AN$735,20,FALSE)</f>
        <v>No</v>
      </c>
      <c r="O76" s="16" t="str">
        <f>VLOOKUP($A76,'SurveyRpt_20150223 (1)'!$A$34:$AN$735,22,FALSE)</f>
        <v>Yes</v>
      </c>
      <c r="P76" s="16" t="str">
        <f>VLOOKUP($A76,'SurveyRpt_20150223 (1)'!$A$34:$AN$735,24,FALSE)</f>
        <v>Yes</v>
      </c>
      <c r="Q76" s="16" t="str">
        <f>VLOOKUP($A76,'SurveyRpt_20150223 (1)'!$A$34:$AN$735,26,FALSE)</f>
        <v>Yes</v>
      </c>
      <c r="R76" s="16" t="str">
        <f>VLOOKUP($A76,'SurveyRpt_20150223 (1)'!$A$34:$AN$735,28,FALSE)</f>
        <v>Yes</v>
      </c>
      <c r="S76" s="16" t="str">
        <f>VLOOKUP($A76,'SurveyRpt_20150223 (1)'!$A$34:$AN$735,30,FALSE)</f>
        <v>No</v>
      </c>
      <c r="T76" s="16" t="str">
        <f>VLOOKUP($A76,'SurveyRpt_20150223 (1)'!$A$34:$AN$735,32,FALSE)</f>
        <v>No</v>
      </c>
      <c r="U76" s="16" t="str">
        <f>VLOOKUP($A76,'SurveyRpt_20150223 (1)'!$A$34:$AN$735,34,FALSE)</f>
        <v>No</v>
      </c>
      <c r="V76" s="16" t="str">
        <f>VLOOKUP($A76,'SurveyRpt_20150223 (1)'!$A$34:$AN$735,36,FALSE)</f>
        <v>Yes</v>
      </c>
      <c r="W76" s="16" t="str">
        <f>VLOOKUP($A76,'SurveyRpt_20150223 (1)'!$A$34:$AN$735,38,FALSE)</f>
        <v>No</v>
      </c>
    </row>
    <row r="77" spans="1:23" ht="13.5" customHeight="1" x14ac:dyDescent="0.25">
      <c r="A77" s="19" t="s">
        <v>170</v>
      </c>
      <c r="B77" s="19" t="str">
        <f t="shared" si="1"/>
        <v>PCHADALAVADA</v>
      </c>
      <c r="C77" s="16" t="str">
        <f>VLOOKUP(B77,'Compiled Agents'!A:H,2,FALSE)</f>
        <v>Platform</v>
      </c>
      <c r="D77" s="16" t="str">
        <f>VLOOKUP(B77,'Compiled Agents'!A:H,4,FALSE)</f>
        <v>Hyderabad</v>
      </c>
      <c r="E77" s="16" t="str">
        <f>VLOOKUP(B77,'Compiled Agents'!A:H,5,FALSE)</f>
        <v>Wave1</v>
      </c>
      <c r="F77" s="16" t="str">
        <f>VLOOKUP(B77,'Compiled Agents'!A:H,6,FALSE)</f>
        <v>Purple</v>
      </c>
      <c r="G77" s="16">
        <f>VLOOKUP($A77,'SurveyRpt_20150223 (1)'!$A$34:$AN$735,6,FALSE)</f>
        <v>16</v>
      </c>
      <c r="H77" s="16" t="str">
        <f>VLOOKUP($A77,'SurveyRpt_20150223 (1)'!$A$34:$AN$735,8,FALSE)</f>
        <v>Yes</v>
      </c>
      <c r="I77" s="16" t="str">
        <f>VLOOKUP($A77,'SurveyRpt_20150223 (1)'!$A$34:$AN$735,10,FALSE)</f>
        <v>Yes</v>
      </c>
      <c r="J77" s="16" t="str">
        <f>VLOOKUP($A77,'SurveyRpt_20150223 (1)'!$A$34:$AN$735,12,FALSE)</f>
        <v>Yes</v>
      </c>
      <c r="K77" s="16" t="str">
        <f>VLOOKUP($A77,'SurveyRpt_20150223 (1)'!$A$34:$AN$735,14,FALSE)</f>
        <v>Yes</v>
      </c>
      <c r="L77" s="16" t="str">
        <f>VLOOKUP($A77,'SurveyRpt_20150223 (1)'!$A$34:$AN$735,16,FALSE)</f>
        <v>Yes</v>
      </c>
      <c r="M77" s="16" t="str">
        <f>VLOOKUP($A77,'SurveyRpt_20150223 (1)'!$A$34:$AN$735,18,FALSE)</f>
        <v>Yes</v>
      </c>
      <c r="N77" s="16" t="str">
        <f>VLOOKUP($A77,'SurveyRpt_20150223 (1)'!$A$34:$AN$735,20,FALSE)</f>
        <v>Yes</v>
      </c>
      <c r="O77" s="16" t="str">
        <f>VLOOKUP($A77,'SurveyRpt_20150223 (1)'!$A$34:$AN$735,22,FALSE)</f>
        <v>Yes</v>
      </c>
      <c r="P77" s="16" t="str">
        <f>VLOOKUP($A77,'SurveyRpt_20150223 (1)'!$A$34:$AN$735,24,FALSE)</f>
        <v>Yes</v>
      </c>
      <c r="Q77" s="16" t="str">
        <f>VLOOKUP($A77,'SurveyRpt_20150223 (1)'!$A$34:$AN$735,26,FALSE)</f>
        <v>Yes</v>
      </c>
      <c r="R77" s="16" t="str">
        <f>VLOOKUP($A77,'SurveyRpt_20150223 (1)'!$A$34:$AN$735,28,FALSE)</f>
        <v>Yes</v>
      </c>
      <c r="S77" s="16" t="str">
        <f>VLOOKUP($A77,'SurveyRpt_20150223 (1)'!$A$34:$AN$735,30,FALSE)</f>
        <v>Yes</v>
      </c>
      <c r="T77" s="16" t="str">
        <f>VLOOKUP($A77,'SurveyRpt_20150223 (1)'!$A$34:$AN$735,32,FALSE)</f>
        <v>Yes</v>
      </c>
      <c r="U77" s="16" t="str">
        <f>VLOOKUP($A77,'SurveyRpt_20150223 (1)'!$A$34:$AN$735,34,FALSE)</f>
        <v>Yes</v>
      </c>
      <c r="V77" s="16" t="str">
        <f>VLOOKUP($A77,'SurveyRpt_20150223 (1)'!$A$34:$AN$735,36,FALSE)</f>
        <v>Yes</v>
      </c>
      <c r="W77" s="16" t="str">
        <f>VLOOKUP($A77,'SurveyRpt_20150223 (1)'!$A$34:$AN$735,38,FALSE)</f>
        <v>Yes</v>
      </c>
    </row>
    <row r="78" spans="1:23" ht="13.5" customHeight="1" x14ac:dyDescent="0.25">
      <c r="A78" s="19" t="s">
        <v>171</v>
      </c>
      <c r="B78" s="19" t="str">
        <f t="shared" si="1"/>
        <v>PKANNAN7</v>
      </c>
      <c r="C78" s="16" t="str">
        <f>VLOOKUP(B78,'Compiled Agents'!A:H,2,FALSE)</f>
        <v>Workplace</v>
      </c>
      <c r="D78" s="16" t="str">
        <f>VLOOKUP(B78,'Compiled Agents'!A:H,4,FALSE)</f>
        <v>Hyderabad</v>
      </c>
      <c r="E78" s="16" t="str">
        <f>VLOOKUP(B78,'Compiled Agents'!A:H,5,FALSE)</f>
        <v>Wave2</v>
      </c>
      <c r="F78" s="16" t="str">
        <f>VLOOKUP(B78,'Compiled Agents'!A:H,6,FALSE)</f>
        <v>Purple</v>
      </c>
      <c r="G78" s="16">
        <f>VLOOKUP($A78,'SurveyRpt_20150223 (1)'!$A$34:$AN$735,6,FALSE)</f>
        <v>16</v>
      </c>
      <c r="H78" s="16" t="str">
        <f>VLOOKUP($A78,'SurveyRpt_20150223 (1)'!$A$34:$AN$735,8,FALSE)</f>
        <v>Yes</v>
      </c>
      <c r="I78" s="16" t="str">
        <f>VLOOKUP($A78,'SurveyRpt_20150223 (1)'!$A$34:$AN$735,10,FALSE)</f>
        <v>Yes</v>
      </c>
      <c r="J78" s="16" t="str">
        <f>VLOOKUP($A78,'SurveyRpt_20150223 (1)'!$A$34:$AN$735,12,FALSE)</f>
        <v>Yes</v>
      </c>
      <c r="K78" s="16" t="str">
        <f>VLOOKUP($A78,'SurveyRpt_20150223 (1)'!$A$34:$AN$735,14,FALSE)</f>
        <v>Yes</v>
      </c>
      <c r="L78" s="16" t="str">
        <f>VLOOKUP($A78,'SurveyRpt_20150223 (1)'!$A$34:$AN$735,16,FALSE)</f>
        <v>Yes</v>
      </c>
      <c r="M78" s="16" t="str">
        <f>VLOOKUP($A78,'SurveyRpt_20150223 (1)'!$A$34:$AN$735,18,FALSE)</f>
        <v>Yes</v>
      </c>
      <c r="N78" s="16" t="str">
        <f>VLOOKUP($A78,'SurveyRpt_20150223 (1)'!$A$34:$AN$735,20,FALSE)</f>
        <v>Yes</v>
      </c>
      <c r="O78" s="16" t="str">
        <f>VLOOKUP($A78,'SurveyRpt_20150223 (1)'!$A$34:$AN$735,22,FALSE)</f>
        <v>Yes</v>
      </c>
      <c r="P78" s="16" t="str">
        <f>VLOOKUP($A78,'SurveyRpt_20150223 (1)'!$A$34:$AN$735,24,FALSE)</f>
        <v>Yes</v>
      </c>
      <c r="Q78" s="16" t="str">
        <f>VLOOKUP($A78,'SurveyRpt_20150223 (1)'!$A$34:$AN$735,26,FALSE)</f>
        <v>Yes</v>
      </c>
      <c r="R78" s="16" t="str">
        <f>VLOOKUP($A78,'SurveyRpt_20150223 (1)'!$A$34:$AN$735,28,FALSE)</f>
        <v>Yes</v>
      </c>
      <c r="S78" s="16" t="str">
        <f>VLOOKUP($A78,'SurveyRpt_20150223 (1)'!$A$34:$AN$735,30,FALSE)</f>
        <v>Yes</v>
      </c>
      <c r="T78" s="16" t="str">
        <f>VLOOKUP($A78,'SurveyRpt_20150223 (1)'!$A$34:$AN$735,32,FALSE)</f>
        <v>Yes</v>
      </c>
      <c r="U78" s="16" t="str">
        <f>VLOOKUP($A78,'SurveyRpt_20150223 (1)'!$A$34:$AN$735,34,FALSE)</f>
        <v>Yes</v>
      </c>
      <c r="V78" s="16" t="str">
        <f>VLOOKUP($A78,'SurveyRpt_20150223 (1)'!$A$34:$AN$735,36,FALSE)</f>
        <v>Yes</v>
      </c>
      <c r="W78" s="16" t="str">
        <f>VLOOKUP($A78,'SurveyRpt_20150223 (1)'!$A$34:$AN$735,38,FALSE)</f>
        <v>Yes</v>
      </c>
    </row>
    <row r="79" spans="1:23" ht="13.5" customHeight="1" x14ac:dyDescent="0.25">
      <c r="A79" s="19" t="s">
        <v>172</v>
      </c>
      <c r="B79" s="19" t="str">
        <f t="shared" si="1"/>
        <v>rkeerthi</v>
      </c>
      <c r="C79" s="16" t="str">
        <f>VLOOKUP(B79,'Compiled Agents'!A:H,2,FALSE)</f>
        <v>Workplace</v>
      </c>
      <c r="D79" s="16" t="str">
        <f>VLOOKUP(B79,'Compiled Agents'!A:H,4,FALSE)</f>
        <v>Noida</v>
      </c>
      <c r="E79" s="16" t="str">
        <f>VLOOKUP(B79,'Compiled Agents'!A:H,5,FALSE)</f>
        <v>Wave1</v>
      </c>
      <c r="F79" s="16" t="str">
        <f>VLOOKUP(B79,'Compiled Agents'!A:H,6,FALSE)</f>
        <v>Purple</v>
      </c>
      <c r="G79" s="16">
        <f>VLOOKUP($A79,'SurveyRpt_20150223 (1)'!$A$34:$AN$735,6,FALSE)</f>
        <v>16</v>
      </c>
      <c r="H79" s="16" t="str">
        <f>VLOOKUP($A79,'SurveyRpt_20150223 (1)'!$A$34:$AN$735,8,FALSE)</f>
        <v>Yes</v>
      </c>
      <c r="I79" s="16" t="str">
        <f>VLOOKUP($A79,'SurveyRpt_20150223 (1)'!$A$34:$AN$735,10,FALSE)</f>
        <v>Yes</v>
      </c>
      <c r="J79" s="16" t="str">
        <f>VLOOKUP($A79,'SurveyRpt_20150223 (1)'!$A$34:$AN$735,12,FALSE)</f>
        <v>Yes</v>
      </c>
      <c r="K79" s="16" t="str">
        <f>VLOOKUP($A79,'SurveyRpt_20150223 (1)'!$A$34:$AN$735,14,FALSE)</f>
        <v>Yes</v>
      </c>
      <c r="L79" s="16" t="str">
        <f>VLOOKUP($A79,'SurveyRpt_20150223 (1)'!$A$34:$AN$735,16,FALSE)</f>
        <v>Yes</v>
      </c>
      <c r="M79" s="16" t="str">
        <f>VLOOKUP($A79,'SurveyRpt_20150223 (1)'!$A$34:$AN$735,18,FALSE)</f>
        <v>Yes</v>
      </c>
      <c r="N79" s="16" t="str">
        <f>VLOOKUP($A79,'SurveyRpt_20150223 (1)'!$A$34:$AN$735,20,FALSE)</f>
        <v>Yes</v>
      </c>
      <c r="O79" s="16" t="str">
        <f>VLOOKUP($A79,'SurveyRpt_20150223 (1)'!$A$34:$AN$735,22,FALSE)</f>
        <v>Yes</v>
      </c>
      <c r="P79" s="16" t="str">
        <f>VLOOKUP($A79,'SurveyRpt_20150223 (1)'!$A$34:$AN$735,24,FALSE)</f>
        <v>Yes</v>
      </c>
      <c r="Q79" s="16" t="str">
        <f>VLOOKUP($A79,'SurveyRpt_20150223 (1)'!$A$34:$AN$735,26,FALSE)</f>
        <v>Yes</v>
      </c>
      <c r="R79" s="16" t="str">
        <f>VLOOKUP($A79,'SurveyRpt_20150223 (1)'!$A$34:$AN$735,28,FALSE)</f>
        <v>Yes</v>
      </c>
      <c r="S79" s="16" t="str">
        <f>VLOOKUP($A79,'SurveyRpt_20150223 (1)'!$A$34:$AN$735,30,FALSE)</f>
        <v>Yes</v>
      </c>
      <c r="T79" s="16" t="str">
        <f>VLOOKUP($A79,'SurveyRpt_20150223 (1)'!$A$34:$AN$735,32,FALSE)</f>
        <v>Yes</v>
      </c>
      <c r="U79" s="16" t="str">
        <f>VLOOKUP($A79,'SurveyRpt_20150223 (1)'!$A$34:$AN$735,34,FALSE)</f>
        <v>Yes</v>
      </c>
      <c r="V79" s="16" t="str">
        <f>VLOOKUP($A79,'SurveyRpt_20150223 (1)'!$A$34:$AN$735,36,FALSE)</f>
        <v>Yes</v>
      </c>
      <c r="W79" s="16" t="str">
        <f>VLOOKUP($A79,'SurveyRpt_20150223 (1)'!$A$34:$AN$735,38,FALSE)</f>
        <v>Yes</v>
      </c>
    </row>
    <row r="80" spans="1:23" ht="13.5" customHeight="1" x14ac:dyDescent="0.25">
      <c r="A80" s="19" t="s">
        <v>173</v>
      </c>
      <c r="B80" s="19" t="str">
        <f t="shared" si="1"/>
        <v>BMAHUVAGARA</v>
      </c>
      <c r="C80" s="16" t="str">
        <f>VLOOKUP(B80,'Compiled Agents'!A:H,2,FALSE)</f>
        <v>Platform</v>
      </c>
      <c r="D80" s="16" t="str">
        <f>VLOOKUP(B80,'Compiled Agents'!A:H,4,FALSE)</f>
        <v>Noida</v>
      </c>
      <c r="E80" s="16" t="str">
        <f>VLOOKUP(B80,'Compiled Agents'!A:H,5,FALSE)</f>
        <v>Wave2</v>
      </c>
      <c r="F80" s="16" t="str">
        <f>VLOOKUP(B80,'Compiled Agents'!A:H,6,FALSE)</f>
        <v>Purple</v>
      </c>
      <c r="G80" s="16">
        <f>VLOOKUP($A80,'SurveyRpt_20150223 (1)'!$A$34:$AN$735,6,FALSE)</f>
        <v>11</v>
      </c>
      <c r="H80" s="16" t="str">
        <f>VLOOKUP($A80,'SurveyRpt_20150223 (1)'!$A$34:$AN$735,8,FALSE)</f>
        <v>No</v>
      </c>
      <c r="I80" s="16" t="str">
        <f>VLOOKUP($A80,'SurveyRpt_20150223 (1)'!$A$34:$AN$735,10,FALSE)</f>
        <v>No</v>
      </c>
      <c r="J80" s="16" t="str">
        <f>VLOOKUP($A80,'SurveyRpt_20150223 (1)'!$A$34:$AN$735,12,FALSE)</f>
        <v>No</v>
      </c>
      <c r="K80" s="16" t="str">
        <f>VLOOKUP($A80,'SurveyRpt_20150223 (1)'!$A$34:$AN$735,14,FALSE)</f>
        <v>Yes</v>
      </c>
      <c r="L80" s="16" t="str">
        <f>VLOOKUP($A80,'SurveyRpt_20150223 (1)'!$A$34:$AN$735,16,FALSE)</f>
        <v>Yes</v>
      </c>
      <c r="M80" s="16" t="str">
        <f>VLOOKUP($A80,'SurveyRpt_20150223 (1)'!$A$34:$AN$735,18,FALSE)</f>
        <v>No</v>
      </c>
      <c r="N80" s="16" t="str">
        <f>VLOOKUP($A80,'SurveyRpt_20150223 (1)'!$A$34:$AN$735,20,FALSE)</f>
        <v>Yes</v>
      </c>
      <c r="O80" s="16" t="str">
        <f>VLOOKUP($A80,'SurveyRpt_20150223 (1)'!$A$34:$AN$735,22,FALSE)</f>
        <v>Yes</v>
      </c>
      <c r="P80" s="16" t="str">
        <f>VLOOKUP($A80,'SurveyRpt_20150223 (1)'!$A$34:$AN$735,24,FALSE)</f>
        <v>Yes</v>
      </c>
      <c r="Q80" s="16" t="str">
        <f>VLOOKUP($A80,'SurveyRpt_20150223 (1)'!$A$34:$AN$735,26,FALSE)</f>
        <v>Yes</v>
      </c>
      <c r="R80" s="16" t="str">
        <f>VLOOKUP($A80,'SurveyRpt_20150223 (1)'!$A$34:$AN$735,28,FALSE)</f>
        <v>No</v>
      </c>
      <c r="S80" s="16" t="str">
        <f>VLOOKUP($A80,'SurveyRpt_20150223 (1)'!$A$34:$AN$735,30,FALSE)</f>
        <v>Yes</v>
      </c>
      <c r="T80" s="16" t="str">
        <f>VLOOKUP($A80,'SurveyRpt_20150223 (1)'!$A$34:$AN$735,32,FALSE)</f>
        <v>Yes</v>
      </c>
      <c r="U80" s="16" t="str">
        <f>VLOOKUP($A80,'SurveyRpt_20150223 (1)'!$A$34:$AN$735,34,FALSE)</f>
        <v>Yes</v>
      </c>
      <c r="V80" s="16" t="str">
        <f>VLOOKUP($A80,'SurveyRpt_20150223 (1)'!$A$34:$AN$735,36,FALSE)</f>
        <v>Yes</v>
      </c>
      <c r="W80" s="16" t="str">
        <f>VLOOKUP($A80,'SurveyRpt_20150223 (1)'!$A$34:$AN$735,38,FALSE)</f>
        <v>Yes</v>
      </c>
    </row>
    <row r="81" spans="1:23" ht="13.5" customHeight="1" x14ac:dyDescent="0.25">
      <c r="A81" s="19" t="s">
        <v>174</v>
      </c>
      <c r="B81" s="19" t="str">
        <f t="shared" si="1"/>
        <v>NSHARMA83</v>
      </c>
      <c r="C81" s="16" t="str">
        <f>VLOOKUP(B81,'Compiled Agents'!A:H,2,FALSE)</f>
        <v>Platform</v>
      </c>
      <c r="D81" s="16" t="str">
        <f>VLOOKUP(B81,'Compiled Agents'!A:H,4,FALSE)</f>
        <v>Noida</v>
      </c>
      <c r="E81" s="16" t="str">
        <f>VLOOKUP(B81,'Compiled Agents'!A:H,5,FALSE)</f>
        <v>Wave1</v>
      </c>
      <c r="F81" s="16" t="str">
        <f>VLOOKUP(B81,'Compiled Agents'!A:H,6,FALSE)</f>
        <v>Orange</v>
      </c>
      <c r="G81" s="16">
        <f>VLOOKUP($A81,'SurveyRpt_20150223 (1)'!$A$34:$AN$735,6,FALSE)</f>
        <v>15</v>
      </c>
      <c r="H81" s="16" t="str">
        <f>VLOOKUP($A81,'SurveyRpt_20150223 (1)'!$A$34:$AN$735,8,FALSE)</f>
        <v>Yes</v>
      </c>
      <c r="I81" s="16" t="str">
        <f>VLOOKUP($A81,'SurveyRpt_20150223 (1)'!$A$34:$AN$735,10,FALSE)</f>
        <v>Yes</v>
      </c>
      <c r="J81" s="16" t="str">
        <f>VLOOKUP($A81,'SurveyRpt_20150223 (1)'!$A$34:$AN$735,12,FALSE)</f>
        <v>Yes</v>
      </c>
      <c r="K81" s="16" t="str">
        <f>VLOOKUP($A81,'SurveyRpt_20150223 (1)'!$A$34:$AN$735,14,FALSE)</f>
        <v>Yes</v>
      </c>
      <c r="L81" s="16" t="str">
        <f>VLOOKUP($A81,'SurveyRpt_20150223 (1)'!$A$34:$AN$735,16,FALSE)</f>
        <v>Yes</v>
      </c>
      <c r="M81" s="16" t="str">
        <f>VLOOKUP($A81,'SurveyRpt_20150223 (1)'!$A$34:$AN$735,18,FALSE)</f>
        <v>No</v>
      </c>
      <c r="N81" s="16" t="str">
        <f>VLOOKUP($A81,'SurveyRpt_20150223 (1)'!$A$34:$AN$735,20,FALSE)</f>
        <v>Yes</v>
      </c>
      <c r="O81" s="16" t="str">
        <f>VLOOKUP($A81,'SurveyRpt_20150223 (1)'!$A$34:$AN$735,22,FALSE)</f>
        <v>Yes</v>
      </c>
      <c r="P81" s="16" t="str">
        <f>VLOOKUP($A81,'SurveyRpt_20150223 (1)'!$A$34:$AN$735,24,FALSE)</f>
        <v>Yes</v>
      </c>
      <c r="Q81" s="16" t="str">
        <f>VLOOKUP($A81,'SurveyRpt_20150223 (1)'!$A$34:$AN$735,26,FALSE)</f>
        <v>Yes</v>
      </c>
      <c r="R81" s="16" t="str">
        <f>VLOOKUP($A81,'SurveyRpt_20150223 (1)'!$A$34:$AN$735,28,FALSE)</f>
        <v>Yes</v>
      </c>
      <c r="S81" s="16" t="str">
        <f>VLOOKUP($A81,'SurveyRpt_20150223 (1)'!$A$34:$AN$735,30,FALSE)</f>
        <v>Yes</v>
      </c>
      <c r="T81" s="16" t="str">
        <f>VLOOKUP($A81,'SurveyRpt_20150223 (1)'!$A$34:$AN$735,32,FALSE)</f>
        <v>Yes</v>
      </c>
      <c r="U81" s="16" t="str">
        <f>VLOOKUP($A81,'SurveyRpt_20150223 (1)'!$A$34:$AN$735,34,FALSE)</f>
        <v>Yes</v>
      </c>
      <c r="V81" s="16" t="str">
        <f>VLOOKUP($A81,'SurveyRpt_20150223 (1)'!$A$34:$AN$735,36,FALSE)</f>
        <v>Yes</v>
      </c>
      <c r="W81" s="16" t="str">
        <f>VLOOKUP($A81,'SurveyRpt_20150223 (1)'!$A$34:$AN$735,38,FALSE)</f>
        <v>Yes</v>
      </c>
    </row>
    <row r="82" spans="1:23" ht="13.5" customHeight="1" x14ac:dyDescent="0.25">
      <c r="A82" s="19" t="s">
        <v>175</v>
      </c>
      <c r="B82" s="19" t="str">
        <f t="shared" si="1"/>
        <v>PSTHALASAYAN</v>
      </c>
      <c r="C82" s="16" t="str">
        <f>VLOOKUP(B82,'Compiled Agents'!A:H,2,FALSE)</f>
        <v>Platform</v>
      </c>
      <c r="D82" s="16" t="str">
        <f>VLOOKUP(B82,'Compiled Agents'!A:H,4,FALSE)</f>
        <v>Hyderabad</v>
      </c>
      <c r="E82" s="16" t="str">
        <f>VLOOKUP(B82,'Compiled Agents'!A:H,5,FALSE)</f>
        <v>Wave1</v>
      </c>
      <c r="F82" s="16" t="str">
        <f>VLOOKUP(B82,'Compiled Agents'!A:H,6,FALSE)</f>
        <v>Yellow</v>
      </c>
      <c r="G82" s="16">
        <f>VLOOKUP($A82,'SurveyRpt_20150223 (1)'!$A$34:$AN$735,6,FALSE)</f>
        <v>11</v>
      </c>
      <c r="H82" s="16" t="str">
        <f>VLOOKUP($A82,'SurveyRpt_20150223 (1)'!$A$34:$AN$735,8,FALSE)</f>
        <v>No</v>
      </c>
      <c r="I82" s="16" t="str">
        <f>VLOOKUP($A82,'SurveyRpt_20150223 (1)'!$A$34:$AN$735,10,FALSE)</f>
        <v>Yes</v>
      </c>
      <c r="J82" s="16" t="str">
        <f>VLOOKUP($A82,'SurveyRpt_20150223 (1)'!$A$34:$AN$735,12,FALSE)</f>
        <v>No</v>
      </c>
      <c r="K82" s="16" t="str">
        <f>VLOOKUP($A82,'SurveyRpt_20150223 (1)'!$A$34:$AN$735,14,FALSE)</f>
        <v>Yes</v>
      </c>
      <c r="L82" s="16" t="str">
        <f>VLOOKUP($A82,'SurveyRpt_20150223 (1)'!$A$34:$AN$735,16,FALSE)</f>
        <v>No</v>
      </c>
      <c r="M82" s="16" t="str">
        <f>VLOOKUP($A82,'SurveyRpt_20150223 (1)'!$A$34:$AN$735,18,FALSE)</f>
        <v>Yes</v>
      </c>
      <c r="N82" s="16" t="str">
        <f>VLOOKUP($A82,'SurveyRpt_20150223 (1)'!$A$34:$AN$735,20,FALSE)</f>
        <v>Yes</v>
      </c>
      <c r="O82" s="16" t="str">
        <f>VLOOKUP($A82,'SurveyRpt_20150223 (1)'!$A$34:$AN$735,22,FALSE)</f>
        <v>Yes</v>
      </c>
      <c r="P82" s="16" t="str">
        <f>VLOOKUP($A82,'SurveyRpt_20150223 (1)'!$A$34:$AN$735,24,FALSE)</f>
        <v>Yes</v>
      </c>
      <c r="Q82" s="16" t="str">
        <f>VLOOKUP($A82,'SurveyRpt_20150223 (1)'!$A$34:$AN$735,26,FALSE)</f>
        <v>Yes</v>
      </c>
      <c r="R82" s="16" t="str">
        <f>VLOOKUP($A82,'SurveyRpt_20150223 (1)'!$A$34:$AN$735,28,FALSE)</f>
        <v>Yes</v>
      </c>
      <c r="S82" s="16" t="str">
        <f>VLOOKUP($A82,'SurveyRpt_20150223 (1)'!$A$34:$AN$735,30,FALSE)</f>
        <v>Yes</v>
      </c>
      <c r="T82" s="16" t="str">
        <f>VLOOKUP($A82,'SurveyRpt_20150223 (1)'!$A$34:$AN$735,32,FALSE)</f>
        <v>No</v>
      </c>
      <c r="U82" s="16" t="str">
        <f>VLOOKUP($A82,'SurveyRpt_20150223 (1)'!$A$34:$AN$735,34,FALSE)</f>
        <v>Yes</v>
      </c>
      <c r="V82" s="16" t="str">
        <f>VLOOKUP($A82,'SurveyRpt_20150223 (1)'!$A$34:$AN$735,36,FALSE)</f>
        <v>Yes</v>
      </c>
      <c r="W82" s="16" t="str">
        <f>VLOOKUP($A82,'SurveyRpt_20150223 (1)'!$A$34:$AN$735,38,FALSE)</f>
        <v>No</v>
      </c>
    </row>
    <row r="83" spans="1:23" ht="13.5" customHeight="1" x14ac:dyDescent="0.25">
      <c r="A83" s="19" t="s">
        <v>176</v>
      </c>
      <c r="B83" s="19" t="str">
        <f t="shared" si="1"/>
        <v>vnanduri</v>
      </c>
      <c r="C83" s="16" t="str">
        <f>VLOOKUP(B83,'Compiled Agents'!A:H,2,FALSE)</f>
        <v>Workplace</v>
      </c>
      <c r="D83" s="16" t="str">
        <f>VLOOKUP(B83,'Compiled Agents'!A:H,4,FALSE)</f>
        <v>Noida</v>
      </c>
      <c r="E83" s="16" t="str">
        <f>VLOOKUP(B83,'Compiled Agents'!A:H,5,FALSE)</f>
        <v>Wave2</v>
      </c>
      <c r="F83" s="16" t="str">
        <f>VLOOKUP(B83,'Compiled Agents'!A:H,6,FALSE)</f>
        <v>Purple</v>
      </c>
      <c r="G83" s="16">
        <f>VLOOKUP($A83,'SurveyRpt_20150223 (1)'!$A$34:$AN$735,6,FALSE)</f>
        <v>16</v>
      </c>
      <c r="H83" s="16" t="str">
        <f>VLOOKUP($A83,'SurveyRpt_20150223 (1)'!$A$34:$AN$735,8,FALSE)</f>
        <v>Yes</v>
      </c>
      <c r="I83" s="16" t="str">
        <f>VLOOKUP($A83,'SurveyRpt_20150223 (1)'!$A$34:$AN$735,10,FALSE)</f>
        <v>Yes</v>
      </c>
      <c r="J83" s="16" t="str">
        <f>VLOOKUP($A83,'SurveyRpt_20150223 (1)'!$A$34:$AN$735,12,FALSE)</f>
        <v>Yes</v>
      </c>
      <c r="K83" s="16" t="str">
        <f>VLOOKUP($A83,'SurveyRpt_20150223 (1)'!$A$34:$AN$735,14,FALSE)</f>
        <v>Yes</v>
      </c>
      <c r="L83" s="16" t="str">
        <f>VLOOKUP($A83,'SurveyRpt_20150223 (1)'!$A$34:$AN$735,16,FALSE)</f>
        <v>Yes</v>
      </c>
      <c r="M83" s="16" t="str">
        <f>VLOOKUP($A83,'SurveyRpt_20150223 (1)'!$A$34:$AN$735,18,FALSE)</f>
        <v>Yes</v>
      </c>
      <c r="N83" s="16" t="str">
        <f>VLOOKUP($A83,'SurveyRpt_20150223 (1)'!$A$34:$AN$735,20,FALSE)</f>
        <v>Yes</v>
      </c>
      <c r="O83" s="16" t="str">
        <f>VLOOKUP($A83,'SurveyRpt_20150223 (1)'!$A$34:$AN$735,22,FALSE)</f>
        <v>Yes</v>
      </c>
      <c r="P83" s="16" t="str">
        <f>VLOOKUP($A83,'SurveyRpt_20150223 (1)'!$A$34:$AN$735,24,FALSE)</f>
        <v>Yes</v>
      </c>
      <c r="Q83" s="16" t="str">
        <f>VLOOKUP($A83,'SurveyRpt_20150223 (1)'!$A$34:$AN$735,26,FALSE)</f>
        <v>Yes</v>
      </c>
      <c r="R83" s="16" t="str">
        <f>VLOOKUP($A83,'SurveyRpt_20150223 (1)'!$A$34:$AN$735,28,FALSE)</f>
        <v>Yes</v>
      </c>
      <c r="S83" s="16" t="str">
        <f>VLOOKUP($A83,'SurveyRpt_20150223 (1)'!$A$34:$AN$735,30,FALSE)</f>
        <v>Yes</v>
      </c>
      <c r="T83" s="16" t="str">
        <f>VLOOKUP($A83,'SurveyRpt_20150223 (1)'!$A$34:$AN$735,32,FALSE)</f>
        <v>Yes</v>
      </c>
      <c r="U83" s="16" t="str">
        <f>VLOOKUP($A83,'SurveyRpt_20150223 (1)'!$A$34:$AN$735,34,FALSE)</f>
        <v>Yes</v>
      </c>
      <c r="V83" s="16" t="str">
        <f>VLOOKUP($A83,'SurveyRpt_20150223 (1)'!$A$34:$AN$735,36,FALSE)</f>
        <v>Yes</v>
      </c>
      <c r="W83" s="16" t="str">
        <f>VLOOKUP($A83,'SurveyRpt_20150223 (1)'!$A$34:$AN$735,38,FALSE)</f>
        <v>Yes</v>
      </c>
    </row>
    <row r="84" spans="1:23" ht="13.5" customHeight="1" x14ac:dyDescent="0.25">
      <c r="A84" s="19" t="s">
        <v>177</v>
      </c>
      <c r="B84" s="19" t="str">
        <f t="shared" si="1"/>
        <v>CKUMAR34</v>
      </c>
      <c r="C84" s="16" t="str">
        <f>VLOOKUP(B84,'Compiled Agents'!A:H,2,FALSE)</f>
        <v>Platform</v>
      </c>
      <c r="D84" s="16" t="str">
        <f>VLOOKUP(B84,'Compiled Agents'!A:H,4,FALSE)</f>
        <v>Noida</v>
      </c>
      <c r="E84" s="16" t="str">
        <f>VLOOKUP(B84,'Compiled Agents'!A:H,5,FALSE)</f>
        <v>Wave2</v>
      </c>
      <c r="F84" s="16" t="str">
        <f>VLOOKUP(B84,'Compiled Agents'!A:H,6,FALSE)</f>
        <v>Purple</v>
      </c>
      <c r="G84" s="16">
        <f>VLOOKUP($A84,'SurveyRpt_20150223 (1)'!$A$34:$AN$735,6,FALSE)</f>
        <v>16</v>
      </c>
      <c r="H84" s="16" t="str">
        <f>VLOOKUP($A84,'SurveyRpt_20150223 (1)'!$A$34:$AN$735,8,FALSE)</f>
        <v>Yes</v>
      </c>
      <c r="I84" s="16" t="str">
        <f>VLOOKUP($A84,'SurveyRpt_20150223 (1)'!$A$34:$AN$735,10,FALSE)</f>
        <v>Yes</v>
      </c>
      <c r="J84" s="16" t="str">
        <f>VLOOKUP($A84,'SurveyRpt_20150223 (1)'!$A$34:$AN$735,12,FALSE)</f>
        <v>Yes</v>
      </c>
      <c r="K84" s="16" t="str">
        <f>VLOOKUP($A84,'SurveyRpt_20150223 (1)'!$A$34:$AN$735,14,FALSE)</f>
        <v>Yes</v>
      </c>
      <c r="L84" s="16" t="str">
        <f>VLOOKUP($A84,'SurveyRpt_20150223 (1)'!$A$34:$AN$735,16,FALSE)</f>
        <v>Yes</v>
      </c>
      <c r="M84" s="16" t="str">
        <f>VLOOKUP($A84,'SurveyRpt_20150223 (1)'!$A$34:$AN$735,18,FALSE)</f>
        <v>Yes</v>
      </c>
      <c r="N84" s="16" t="str">
        <f>VLOOKUP($A84,'SurveyRpt_20150223 (1)'!$A$34:$AN$735,20,FALSE)</f>
        <v>Yes</v>
      </c>
      <c r="O84" s="16" t="str">
        <f>VLOOKUP($A84,'SurveyRpt_20150223 (1)'!$A$34:$AN$735,22,FALSE)</f>
        <v>Yes</v>
      </c>
      <c r="P84" s="16" t="str">
        <f>VLOOKUP($A84,'SurveyRpt_20150223 (1)'!$A$34:$AN$735,24,FALSE)</f>
        <v>Yes</v>
      </c>
      <c r="Q84" s="16" t="str">
        <f>VLOOKUP($A84,'SurveyRpt_20150223 (1)'!$A$34:$AN$735,26,FALSE)</f>
        <v>Yes</v>
      </c>
      <c r="R84" s="16" t="str">
        <f>VLOOKUP($A84,'SurveyRpt_20150223 (1)'!$A$34:$AN$735,28,FALSE)</f>
        <v>Yes</v>
      </c>
      <c r="S84" s="16" t="str">
        <f>VLOOKUP($A84,'SurveyRpt_20150223 (1)'!$A$34:$AN$735,30,FALSE)</f>
        <v>Yes</v>
      </c>
      <c r="T84" s="16" t="str">
        <f>VLOOKUP($A84,'SurveyRpt_20150223 (1)'!$A$34:$AN$735,32,FALSE)</f>
        <v>Yes</v>
      </c>
      <c r="U84" s="16" t="str">
        <f>VLOOKUP($A84,'SurveyRpt_20150223 (1)'!$A$34:$AN$735,34,FALSE)</f>
        <v>Yes</v>
      </c>
      <c r="V84" s="16" t="str">
        <f>VLOOKUP($A84,'SurveyRpt_20150223 (1)'!$A$34:$AN$735,36,FALSE)</f>
        <v>Yes</v>
      </c>
      <c r="W84" s="16" t="str">
        <f>VLOOKUP($A84,'SurveyRpt_20150223 (1)'!$A$34:$AN$735,38,FALSE)</f>
        <v>Yes</v>
      </c>
    </row>
    <row r="85" spans="1:23" ht="13.5" customHeight="1" x14ac:dyDescent="0.25">
      <c r="A85" s="19" t="s">
        <v>178</v>
      </c>
      <c r="B85" s="19" t="str">
        <f t="shared" si="1"/>
        <v>GKARTHIKEYA2</v>
      </c>
      <c r="C85" s="16" t="str">
        <f>VLOOKUP(B85,'Compiled Agents'!A:H,2,FALSE)</f>
        <v>Workplace</v>
      </c>
      <c r="D85" s="16" t="str">
        <f>VLOOKUP(B85,'Compiled Agents'!A:H,4,FALSE)</f>
        <v>Hyderabad</v>
      </c>
      <c r="E85" s="16" t="str">
        <f>VLOOKUP(B85,'Compiled Agents'!A:H,5,FALSE)</f>
        <v>Wave2</v>
      </c>
      <c r="F85" s="16" t="str">
        <f>VLOOKUP(B85,'Compiled Agents'!A:H,6,FALSE)</f>
        <v>Blue</v>
      </c>
      <c r="G85" s="16">
        <f>VLOOKUP($A85,'SurveyRpt_20150223 (1)'!$A$34:$AN$735,6,FALSE)</f>
        <v>15</v>
      </c>
      <c r="H85" s="16" t="str">
        <f>VLOOKUP($A85,'SurveyRpt_20150223 (1)'!$A$34:$AN$735,8,FALSE)</f>
        <v>Yes</v>
      </c>
      <c r="I85" s="16" t="str">
        <f>VLOOKUP($A85,'SurveyRpt_20150223 (1)'!$A$34:$AN$735,10,FALSE)</f>
        <v>Yes</v>
      </c>
      <c r="J85" s="16" t="str">
        <f>VLOOKUP($A85,'SurveyRpt_20150223 (1)'!$A$34:$AN$735,12,FALSE)</f>
        <v>Yes</v>
      </c>
      <c r="K85" s="16" t="str">
        <f>VLOOKUP($A85,'SurveyRpt_20150223 (1)'!$A$34:$AN$735,14,FALSE)</f>
        <v>Yes</v>
      </c>
      <c r="L85" s="16" t="str">
        <f>VLOOKUP($A85,'SurveyRpt_20150223 (1)'!$A$34:$AN$735,16,FALSE)</f>
        <v>Yes</v>
      </c>
      <c r="M85" s="16" t="str">
        <f>VLOOKUP($A85,'SurveyRpt_20150223 (1)'!$A$34:$AN$735,18,FALSE)</f>
        <v>No</v>
      </c>
      <c r="N85" s="16" t="str">
        <f>VLOOKUP($A85,'SurveyRpt_20150223 (1)'!$A$34:$AN$735,20,FALSE)</f>
        <v>Yes</v>
      </c>
      <c r="O85" s="16" t="str">
        <f>VLOOKUP($A85,'SurveyRpt_20150223 (1)'!$A$34:$AN$735,22,FALSE)</f>
        <v>Yes</v>
      </c>
      <c r="P85" s="16" t="str">
        <f>VLOOKUP($A85,'SurveyRpt_20150223 (1)'!$A$34:$AN$735,24,FALSE)</f>
        <v>Yes</v>
      </c>
      <c r="Q85" s="16" t="str">
        <f>VLOOKUP($A85,'SurveyRpt_20150223 (1)'!$A$34:$AN$735,26,FALSE)</f>
        <v>Yes</v>
      </c>
      <c r="R85" s="16" t="str">
        <f>VLOOKUP($A85,'SurveyRpt_20150223 (1)'!$A$34:$AN$735,28,FALSE)</f>
        <v>Yes</v>
      </c>
      <c r="S85" s="16" t="str">
        <f>VLOOKUP($A85,'SurveyRpt_20150223 (1)'!$A$34:$AN$735,30,FALSE)</f>
        <v>Yes</v>
      </c>
      <c r="T85" s="16" t="str">
        <f>VLOOKUP($A85,'SurveyRpt_20150223 (1)'!$A$34:$AN$735,32,FALSE)</f>
        <v>Yes</v>
      </c>
      <c r="U85" s="16" t="str">
        <f>VLOOKUP($A85,'SurveyRpt_20150223 (1)'!$A$34:$AN$735,34,FALSE)</f>
        <v>Yes</v>
      </c>
      <c r="V85" s="16" t="str">
        <f>VLOOKUP($A85,'SurveyRpt_20150223 (1)'!$A$34:$AN$735,36,FALSE)</f>
        <v>Yes</v>
      </c>
      <c r="W85" s="16" t="str">
        <f>VLOOKUP($A85,'SurveyRpt_20150223 (1)'!$A$34:$AN$735,38,FALSE)</f>
        <v>Yes</v>
      </c>
    </row>
    <row r="86" spans="1:23" ht="13.5" customHeight="1" x14ac:dyDescent="0.25">
      <c r="A86" s="19" t="s">
        <v>179</v>
      </c>
      <c r="B86" s="19" t="str">
        <f t="shared" si="1"/>
        <v>BTHOMAS42</v>
      </c>
      <c r="C86" s="16" t="str">
        <f>VLOOKUP(B86,'Compiled Agents'!A:H,2,FALSE)</f>
        <v>Workplace</v>
      </c>
      <c r="D86" s="16" t="str">
        <f>VLOOKUP(B86,'Compiled Agents'!A:H,4,FALSE)</f>
        <v>Noida</v>
      </c>
      <c r="E86" s="16" t="str">
        <f>VLOOKUP(B86,'Compiled Agents'!A:H,5,FALSE)</f>
        <v>Wave1</v>
      </c>
      <c r="F86" s="16" t="str">
        <f>VLOOKUP(B86,'Compiled Agents'!A:H,6,FALSE)</f>
        <v>Yellow</v>
      </c>
      <c r="G86" s="16">
        <f>VLOOKUP($A86,'SurveyRpt_20150223 (1)'!$A$34:$AN$735,6,FALSE)</f>
        <v>12</v>
      </c>
      <c r="H86" s="16" t="str">
        <f>VLOOKUP($A86,'SurveyRpt_20150223 (1)'!$A$34:$AN$735,8,FALSE)</f>
        <v>Yes</v>
      </c>
      <c r="I86" s="16" t="str">
        <f>VLOOKUP($A86,'SurveyRpt_20150223 (1)'!$A$34:$AN$735,10,FALSE)</f>
        <v>Yes</v>
      </c>
      <c r="J86" s="16" t="str">
        <f>VLOOKUP($A86,'SurveyRpt_20150223 (1)'!$A$34:$AN$735,12,FALSE)</f>
        <v>Yes</v>
      </c>
      <c r="K86" s="16" t="str">
        <f>VLOOKUP($A86,'SurveyRpt_20150223 (1)'!$A$34:$AN$735,14,FALSE)</f>
        <v>Yes</v>
      </c>
      <c r="L86" s="16" t="str">
        <f>VLOOKUP($A86,'SurveyRpt_20150223 (1)'!$A$34:$AN$735,16,FALSE)</f>
        <v>Yes</v>
      </c>
      <c r="M86" s="16" t="str">
        <f>VLOOKUP($A86,'SurveyRpt_20150223 (1)'!$A$34:$AN$735,18,FALSE)</f>
        <v>No</v>
      </c>
      <c r="N86" s="16" t="str">
        <f>VLOOKUP($A86,'SurveyRpt_20150223 (1)'!$A$34:$AN$735,20,FALSE)</f>
        <v>Yes</v>
      </c>
      <c r="O86" s="16" t="str">
        <f>VLOOKUP($A86,'SurveyRpt_20150223 (1)'!$A$34:$AN$735,22,FALSE)</f>
        <v>Yes</v>
      </c>
      <c r="P86" s="16" t="str">
        <f>VLOOKUP($A86,'SurveyRpt_20150223 (1)'!$A$34:$AN$735,24,FALSE)</f>
        <v>Yes</v>
      </c>
      <c r="Q86" s="16" t="str">
        <f>VLOOKUP($A86,'SurveyRpt_20150223 (1)'!$A$34:$AN$735,26,FALSE)</f>
        <v>Yes</v>
      </c>
      <c r="R86" s="16" t="str">
        <f>VLOOKUP($A86,'SurveyRpt_20150223 (1)'!$A$34:$AN$735,28,FALSE)</f>
        <v>Yes</v>
      </c>
      <c r="S86" s="16" t="str">
        <f>VLOOKUP($A86,'SurveyRpt_20150223 (1)'!$A$34:$AN$735,30,FALSE)</f>
        <v>Yes</v>
      </c>
      <c r="T86" s="16" t="str">
        <f>VLOOKUP($A86,'SurveyRpt_20150223 (1)'!$A$34:$AN$735,32,FALSE)</f>
        <v>No</v>
      </c>
      <c r="U86" s="16" t="str">
        <f>VLOOKUP($A86,'SurveyRpt_20150223 (1)'!$A$34:$AN$735,34,FALSE)</f>
        <v>No</v>
      </c>
      <c r="V86" s="16" t="str">
        <f>VLOOKUP($A86,'SurveyRpt_20150223 (1)'!$A$34:$AN$735,36,FALSE)</f>
        <v>Yes</v>
      </c>
      <c r="W86" s="16" t="str">
        <f>VLOOKUP($A86,'SurveyRpt_20150223 (1)'!$A$34:$AN$735,38,FALSE)</f>
        <v>No</v>
      </c>
    </row>
    <row r="87" spans="1:23" ht="13.5" customHeight="1" x14ac:dyDescent="0.25">
      <c r="A87" s="19" t="s">
        <v>180</v>
      </c>
      <c r="B87" s="19" t="str">
        <f t="shared" si="1"/>
        <v>KKRISHNAN4</v>
      </c>
      <c r="C87" s="16" t="str">
        <f>VLOOKUP(B87,'Compiled Agents'!A:H,2,FALSE)</f>
        <v>Platform</v>
      </c>
      <c r="D87" s="16" t="str">
        <f>VLOOKUP(B87,'Compiled Agents'!A:H,4,FALSE)</f>
        <v>Noida</v>
      </c>
      <c r="E87" s="16" t="str">
        <f>VLOOKUP(B87,'Compiled Agents'!A:H,5,FALSE)</f>
        <v>Wave1</v>
      </c>
      <c r="F87" s="16" t="str">
        <f>VLOOKUP(B87,'Compiled Agents'!A:H,6,FALSE)</f>
        <v>Yellow</v>
      </c>
      <c r="G87" s="16">
        <f>VLOOKUP($A87,'SurveyRpt_20150223 (1)'!$A$34:$AN$735,6,FALSE)</f>
        <v>6</v>
      </c>
      <c r="H87" s="16" t="str">
        <f>VLOOKUP($A87,'SurveyRpt_20150223 (1)'!$A$34:$AN$735,8,FALSE)</f>
        <v>No</v>
      </c>
      <c r="I87" s="16" t="str">
        <f>VLOOKUP($A87,'SurveyRpt_20150223 (1)'!$A$34:$AN$735,10,FALSE)</f>
        <v>Yes</v>
      </c>
      <c r="J87" s="16" t="str">
        <f>VLOOKUP($A87,'SurveyRpt_20150223 (1)'!$A$34:$AN$735,12,FALSE)</f>
        <v>No</v>
      </c>
      <c r="K87" s="16" t="str">
        <f>VLOOKUP($A87,'SurveyRpt_20150223 (1)'!$A$34:$AN$735,14,FALSE)</f>
        <v>No</v>
      </c>
      <c r="L87" s="16" t="str">
        <f>VLOOKUP($A87,'SurveyRpt_20150223 (1)'!$A$34:$AN$735,16,FALSE)</f>
        <v>No</v>
      </c>
      <c r="M87" s="16" t="str">
        <f>VLOOKUP($A87,'SurveyRpt_20150223 (1)'!$A$34:$AN$735,18,FALSE)</f>
        <v>Yes</v>
      </c>
      <c r="N87" s="16" t="str">
        <f>VLOOKUP($A87,'SurveyRpt_20150223 (1)'!$A$34:$AN$735,20,FALSE)</f>
        <v>No</v>
      </c>
      <c r="O87" s="16" t="str">
        <f>VLOOKUP($A87,'SurveyRpt_20150223 (1)'!$A$34:$AN$735,22,FALSE)</f>
        <v>No</v>
      </c>
      <c r="P87" s="16" t="str">
        <f>VLOOKUP($A87,'SurveyRpt_20150223 (1)'!$A$34:$AN$735,24,FALSE)</f>
        <v>Yes</v>
      </c>
      <c r="Q87" s="16" t="str">
        <f>VLOOKUP($A87,'SurveyRpt_20150223 (1)'!$A$34:$AN$735,26,FALSE)</f>
        <v>Yes</v>
      </c>
      <c r="R87" s="16" t="str">
        <f>VLOOKUP($A87,'SurveyRpt_20150223 (1)'!$A$34:$AN$735,28,FALSE)</f>
        <v>Yes</v>
      </c>
      <c r="S87" s="16" t="str">
        <f>VLOOKUP($A87,'SurveyRpt_20150223 (1)'!$A$34:$AN$735,30,FALSE)</f>
        <v>Yes</v>
      </c>
      <c r="T87" s="16" t="str">
        <f>VLOOKUP($A87,'SurveyRpt_20150223 (1)'!$A$34:$AN$735,32,FALSE)</f>
        <v>No</v>
      </c>
      <c r="U87" s="16" t="str">
        <f>VLOOKUP($A87,'SurveyRpt_20150223 (1)'!$A$34:$AN$735,34,FALSE)</f>
        <v>No</v>
      </c>
      <c r="V87" s="16" t="str">
        <f>VLOOKUP($A87,'SurveyRpt_20150223 (1)'!$A$34:$AN$735,36,FALSE)</f>
        <v>No</v>
      </c>
      <c r="W87" s="16" t="str">
        <f>VLOOKUP($A87,'SurveyRpt_20150223 (1)'!$A$34:$AN$735,38,FALSE)</f>
        <v>No</v>
      </c>
    </row>
    <row r="88" spans="1:23" ht="13.5" customHeight="1" x14ac:dyDescent="0.25">
      <c r="A88" s="19" t="s">
        <v>181</v>
      </c>
      <c r="B88" s="19" t="str">
        <f t="shared" si="1"/>
        <v>sparmekardag</v>
      </c>
      <c r="C88" s="16" t="str">
        <f>VLOOKUP(B88,'Compiled Agents'!A:H,2,FALSE)</f>
        <v>Platform</v>
      </c>
      <c r="D88" s="16" t="str">
        <f>VLOOKUP(B88,'Compiled Agents'!A:H,4,FALSE)</f>
        <v>Spain</v>
      </c>
      <c r="E88" s="16" t="str">
        <f>VLOOKUP(B88,'Compiled Agents'!A:H,5,FALSE)</f>
        <v>Wave1</v>
      </c>
      <c r="F88" s="16" t="str">
        <f>VLOOKUP(B88,'Compiled Agents'!A:H,6,FALSE)</f>
        <v>Purple</v>
      </c>
      <c r="G88" s="16">
        <f>VLOOKUP($A88,'SurveyRpt_20150223 (1)'!$A$34:$AN$735,6,FALSE)</f>
        <v>13</v>
      </c>
      <c r="H88" s="16" t="str">
        <f>VLOOKUP($A88,'SurveyRpt_20150223 (1)'!$A$34:$AN$735,8,FALSE)</f>
        <v>Yes</v>
      </c>
      <c r="I88" s="16" t="str">
        <f>VLOOKUP($A88,'SurveyRpt_20150223 (1)'!$A$34:$AN$735,10,FALSE)</f>
        <v>Yes</v>
      </c>
      <c r="J88" s="16" t="str">
        <f>VLOOKUP($A88,'SurveyRpt_20150223 (1)'!$A$34:$AN$735,12,FALSE)</f>
        <v>Yes</v>
      </c>
      <c r="K88" s="16" t="str">
        <f>VLOOKUP($A88,'SurveyRpt_20150223 (1)'!$A$34:$AN$735,14,FALSE)</f>
        <v>Yes</v>
      </c>
      <c r="L88" s="16" t="str">
        <f>VLOOKUP($A88,'SurveyRpt_20150223 (1)'!$A$34:$AN$735,16,FALSE)</f>
        <v>Yes</v>
      </c>
      <c r="M88" s="16" t="str">
        <f>VLOOKUP($A88,'SurveyRpt_20150223 (1)'!$A$34:$AN$735,18,FALSE)</f>
        <v>Yes</v>
      </c>
      <c r="N88" s="16" t="str">
        <f>VLOOKUP($A88,'SurveyRpt_20150223 (1)'!$A$34:$AN$735,20,FALSE)</f>
        <v>Yes</v>
      </c>
      <c r="O88" s="16" t="str">
        <f>VLOOKUP($A88,'SurveyRpt_20150223 (1)'!$A$34:$AN$735,22,FALSE)</f>
        <v>Yes</v>
      </c>
      <c r="P88" s="16" t="str">
        <f>VLOOKUP($A88,'SurveyRpt_20150223 (1)'!$A$34:$AN$735,24,FALSE)</f>
        <v>No</v>
      </c>
      <c r="Q88" s="16" t="str">
        <f>VLOOKUP($A88,'SurveyRpt_20150223 (1)'!$A$34:$AN$735,26,FALSE)</f>
        <v>Yes</v>
      </c>
      <c r="R88" s="16" t="str">
        <f>VLOOKUP($A88,'SurveyRpt_20150223 (1)'!$A$34:$AN$735,28,FALSE)</f>
        <v>Yes</v>
      </c>
      <c r="S88" s="16" t="str">
        <f>VLOOKUP($A88,'SurveyRpt_20150223 (1)'!$A$34:$AN$735,30,FALSE)</f>
        <v>Yes</v>
      </c>
      <c r="T88" s="16" t="str">
        <f>VLOOKUP($A88,'SurveyRpt_20150223 (1)'!$A$34:$AN$735,32,FALSE)</f>
        <v>No</v>
      </c>
      <c r="U88" s="16" t="str">
        <f>VLOOKUP($A88,'SurveyRpt_20150223 (1)'!$A$34:$AN$735,34,FALSE)</f>
        <v>Yes</v>
      </c>
      <c r="V88" s="16" t="str">
        <f>VLOOKUP($A88,'SurveyRpt_20150223 (1)'!$A$34:$AN$735,36,FALSE)</f>
        <v>Yes</v>
      </c>
      <c r="W88" s="16" t="str">
        <f>VLOOKUP($A88,'SurveyRpt_20150223 (1)'!$A$34:$AN$735,38,FALSE)</f>
        <v>No</v>
      </c>
    </row>
    <row r="89" spans="1:23" ht="13.5" customHeight="1" x14ac:dyDescent="0.25">
      <c r="A89" s="19" t="s">
        <v>182</v>
      </c>
      <c r="B89" s="19" t="str">
        <f t="shared" si="1"/>
        <v>ASHARMA330</v>
      </c>
      <c r="C89" s="16" t="str">
        <f>VLOOKUP(B89,'Compiled Agents'!A:H,2,FALSE)</f>
        <v>Platform</v>
      </c>
      <c r="D89" s="16" t="str">
        <f>VLOOKUP(B89,'Compiled Agents'!A:H,4,FALSE)</f>
        <v>Noida</v>
      </c>
      <c r="E89" s="16" t="str">
        <f>VLOOKUP(B89,'Compiled Agents'!A:H,5,FALSE)</f>
        <v>Wave1</v>
      </c>
      <c r="F89" s="16" t="str">
        <f>VLOOKUP(B89,'Compiled Agents'!A:H,6,FALSE)</f>
        <v>Blue</v>
      </c>
      <c r="G89" s="16">
        <f>VLOOKUP($A89,'SurveyRpt_20150223 (1)'!$A$34:$AN$735,6,FALSE)</f>
        <v>8</v>
      </c>
      <c r="H89" s="16" t="str">
        <f>VLOOKUP($A89,'SurveyRpt_20150223 (1)'!$A$34:$AN$735,8,FALSE)</f>
        <v>No</v>
      </c>
      <c r="I89" s="16" t="str">
        <f>VLOOKUP($A89,'SurveyRpt_20150223 (1)'!$A$34:$AN$735,10,FALSE)</f>
        <v>Yes</v>
      </c>
      <c r="J89" s="16" t="str">
        <f>VLOOKUP($A89,'SurveyRpt_20150223 (1)'!$A$34:$AN$735,12,FALSE)</f>
        <v>No</v>
      </c>
      <c r="K89" s="16" t="str">
        <f>VLOOKUP($A89,'SurveyRpt_20150223 (1)'!$A$34:$AN$735,14,FALSE)</f>
        <v>No</v>
      </c>
      <c r="L89" s="16" t="str">
        <f>VLOOKUP($A89,'SurveyRpt_20150223 (1)'!$A$34:$AN$735,16,FALSE)</f>
        <v>Yes</v>
      </c>
      <c r="M89" s="16" t="str">
        <f>VLOOKUP($A89,'SurveyRpt_20150223 (1)'!$A$34:$AN$735,18,FALSE)</f>
        <v>Yes</v>
      </c>
      <c r="N89" s="16" t="str">
        <f>VLOOKUP($A89,'SurveyRpt_20150223 (1)'!$A$34:$AN$735,20,FALSE)</f>
        <v>Yes</v>
      </c>
      <c r="O89" s="16" t="str">
        <f>VLOOKUP($A89,'SurveyRpt_20150223 (1)'!$A$34:$AN$735,22,FALSE)</f>
        <v>Yes</v>
      </c>
      <c r="P89" s="16" t="str">
        <f>VLOOKUP($A89,'SurveyRpt_20150223 (1)'!$A$34:$AN$735,24,FALSE)</f>
        <v>No</v>
      </c>
      <c r="Q89" s="16" t="str">
        <f>VLOOKUP($A89,'SurveyRpt_20150223 (1)'!$A$34:$AN$735,26,FALSE)</f>
        <v>No</v>
      </c>
      <c r="R89" s="16" t="str">
        <f>VLOOKUP($A89,'SurveyRpt_20150223 (1)'!$A$34:$AN$735,28,FALSE)</f>
        <v>No</v>
      </c>
      <c r="S89" s="16" t="str">
        <f>VLOOKUP($A89,'SurveyRpt_20150223 (1)'!$A$34:$AN$735,30,FALSE)</f>
        <v>Yes</v>
      </c>
      <c r="T89" s="16" t="str">
        <f>VLOOKUP($A89,'SurveyRpt_20150223 (1)'!$A$34:$AN$735,32,FALSE)</f>
        <v>No</v>
      </c>
      <c r="U89" s="16" t="str">
        <f>VLOOKUP($A89,'SurveyRpt_20150223 (1)'!$A$34:$AN$735,34,FALSE)</f>
        <v>Yes</v>
      </c>
      <c r="V89" s="16" t="str">
        <f>VLOOKUP($A89,'SurveyRpt_20150223 (1)'!$A$34:$AN$735,36,FALSE)</f>
        <v>Yes</v>
      </c>
      <c r="W89" s="16" t="str">
        <f>VLOOKUP($A89,'SurveyRpt_20150223 (1)'!$A$34:$AN$735,38,FALSE)</f>
        <v>No</v>
      </c>
    </row>
    <row r="90" spans="1:23" ht="13.5" customHeight="1" x14ac:dyDescent="0.25">
      <c r="A90" s="19" t="s">
        <v>183</v>
      </c>
      <c r="B90" s="19" t="str">
        <f t="shared" si="1"/>
        <v>ppraviaaguir</v>
      </c>
      <c r="C90" s="16" t="str">
        <f>VLOOKUP(B90,'Compiled Agents'!A:H,2,FALSE)</f>
        <v>Platform</v>
      </c>
      <c r="D90" s="16" t="str">
        <f>VLOOKUP(B90,'Compiled Agents'!A:H,4,FALSE)</f>
        <v>Spain</v>
      </c>
      <c r="E90" s="16" t="str">
        <f>VLOOKUP(B90,'Compiled Agents'!A:H,5,FALSE)</f>
        <v>Wave1</v>
      </c>
      <c r="F90" s="16" t="str">
        <f>VLOOKUP(B90,'Compiled Agents'!A:H,6,FALSE)</f>
        <v>Orange</v>
      </c>
      <c r="G90" s="16">
        <f>VLOOKUP($A90,'SurveyRpt_20150223 (1)'!$A$34:$AN$735,6,FALSE)</f>
        <v>5</v>
      </c>
      <c r="H90" s="16" t="str">
        <f>VLOOKUP($A90,'SurveyRpt_20150223 (1)'!$A$34:$AN$735,8,FALSE)</f>
        <v>No</v>
      </c>
      <c r="I90" s="16" t="str">
        <f>VLOOKUP($A90,'SurveyRpt_20150223 (1)'!$A$34:$AN$735,10,FALSE)</f>
        <v>No</v>
      </c>
      <c r="J90" s="16" t="str">
        <f>VLOOKUP($A90,'SurveyRpt_20150223 (1)'!$A$34:$AN$735,12,FALSE)</f>
        <v>No</v>
      </c>
      <c r="K90" s="16" t="str">
        <f>VLOOKUP($A90,'SurveyRpt_20150223 (1)'!$A$34:$AN$735,14,FALSE)</f>
        <v>No</v>
      </c>
      <c r="L90" s="16" t="str">
        <f>VLOOKUP($A90,'SurveyRpt_20150223 (1)'!$A$34:$AN$735,16,FALSE)</f>
        <v>Yes</v>
      </c>
      <c r="M90" s="16" t="str">
        <f>VLOOKUP($A90,'SurveyRpt_20150223 (1)'!$A$34:$AN$735,18,FALSE)</f>
        <v>No</v>
      </c>
      <c r="N90" s="16" t="str">
        <f>VLOOKUP($A90,'SurveyRpt_20150223 (1)'!$A$34:$AN$735,20,FALSE)</f>
        <v>No</v>
      </c>
      <c r="O90" s="16" t="str">
        <f>VLOOKUP($A90,'SurveyRpt_20150223 (1)'!$A$34:$AN$735,22,FALSE)</f>
        <v>No</v>
      </c>
      <c r="P90" s="16" t="str">
        <f>VLOOKUP($A90,'SurveyRpt_20150223 (1)'!$A$34:$AN$735,24,FALSE)</f>
        <v>Yes</v>
      </c>
      <c r="Q90" s="16" t="str">
        <f>VLOOKUP($A90,'SurveyRpt_20150223 (1)'!$A$34:$AN$735,26,FALSE)</f>
        <v>Yes</v>
      </c>
      <c r="R90" s="16" t="str">
        <f>VLOOKUP($A90,'SurveyRpt_20150223 (1)'!$A$34:$AN$735,28,FALSE)</f>
        <v>Yes</v>
      </c>
      <c r="S90" s="16" t="str">
        <f>VLOOKUP($A90,'SurveyRpt_20150223 (1)'!$A$34:$AN$735,30,FALSE)</f>
        <v>No</v>
      </c>
      <c r="T90" s="16" t="str">
        <f>VLOOKUP($A90,'SurveyRpt_20150223 (1)'!$A$34:$AN$735,32,FALSE)</f>
        <v>Yes</v>
      </c>
      <c r="U90" s="16" t="str">
        <f>VLOOKUP($A90,'SurveyRpt_20150223 (1)'!$A$34:$AN$735,34,FALSE)</f>
        <v>No</v>
      </c>
      <c r="V90" s="16" t="str">
        <f>VLOOKUP($A90,'SurveyRpt_20150223 (1)'!$A$34:$AN$735,36,FALSE)</f>
        <v>No</v>
      </c>
      <c r="W90" s="16" t="str">
        <f>VLOOKUP($A90,'SurveyRpt_20150223 (1)'!$A$34:$AN$735,38,FALSE)</f>
        <v>No</v>
      </c>
    </row>
    <row r="91" spans="1:23" ht="13.5" customHeight="1" x14ac:dyDescent="0.25">
      <c r="A91" s="19" t="s">
        <v>184</v>
      </c>
      <c r="B91" s="19" t="str">
        <f t="shared" si="1"/>
        <v>respinaflore</v>
      </c>
      <c r="C91" s="16" t="str">
        <f>VLOOKUP(B91,'Compiled Agents'!A:H,2,FALSE)</f>
        <v>Workplace</v>
      </c>
      <c r="D91" s="16" t="str">
        <f>VLOOKUP(B91,'Compiled Agents'!A:H,4,FALSE)</f>
        <v>Spain</v>
      </c>
      <c r="E91" s="16" t="str">
        <f>VLOOKUP(B91,'Compiled Agents'!A:H,5,FALSE)</f>
        <v>Wave1</v>
      </c>
      <c r="F91" s="16" t="str">
        <f>VLOOKUP(B91,'Compiled Agents'!A:H,6,FALSE)</f>
        <v>Blue</v>
      </c>
      <c r="G91" s="16">
        <f>VLOOKUP($A91,'SurveyRpt_20150223 (1)'!$A$34:$AN$735,6,FALSE)</f>
        <v>7</v>
      </c>
      <c r="H91" s="16" t="str">
        <f>VLOOKUP($A91,'SurveyRpt_20150223 (1)'!$A$34:$AN$735,8,FALSE)</f>
        <v>Yes</v>
      </c>
      <c r="I91" s="16" t="str">
        <f>VLOOKUP($A91,'SurveyRpt_20150223 (1)'!$A$34:$AN$735,10,FALSE)</f>
        <v>No</v>
      </c>
      <c r="J91" s="16" t="str">
        <f>VLOOKUP($A91,'SurveyRpt_20150223 (1)'!$A$34:$AN$735,12,FALSE)</f>
        <v>No</v>
      </c>
      <c r="K91" s="16" t="str">
        <f>VLOOKUP($A91,'SurveyRpt_20150223 (1)'!$A$34:$AN$735,14,FALSE)</f>
        <v>No</v>
      </c>
      <c r="L91" s="16" t="str">
        <f>VLOOKUP($A91,'SurveyRpt_20150223 (1)'!$A$34:$AN$735,16,FALSE)</f>
        <v>Yes</v>
      </c>
      <c r="M91" s="16" t="str">
        <f>VLOOKUP($A91,'SurveyRpt_20150223 (1)'!$A$34:$AN$735,18,FALSE)</f>
        <v>Yes</v>
      </c>
      <c r="N91" s="16" t="str">
        <f>VLOOKUP($A91,'SurveyRpt_20150223 (1)'!$A$34:$AN$735,20,FALSE)</f>
        <v>No</v>
      </c>
      <c r="O91" s="16" t="str">
        <f>VLOOKUP($A91,'SurveyRpt_20150223 (1)'!$A$34:$AN$735,22,FALSE)</f>
        <v>Yes</v>
      </c>
      <c r="P91" s="16" t="str">
        <f>VLOOKUP($A91,'SurveyRpt_20150223 (1)'!$A$34:$AN$735,24,FALSE)</f>
        <v>No</v>
      </c>
      <c r="Q91" s="16" t="str">
        <f>VLOOKUP($A91,'SurveyRpt_20150223 (1)'!$A$34:$AN$735,26,FALSE)</f>
        <v>Yes</v>
      </c>
      <c r="R91" s="16" t="str">
        <f>VLOOKUP($A91,'SurveyRpt_20150223 (1)'!$A$34:$AN$735,28,FALSE)</f>
        <v>Yes</v>
      </c>
      <c r="S91" s="16" t="str">
        <f>VLOOKUP($A91,'SurveyRpt_20150223 (1)'!$A$34:$AN$735,30,FALSE)</f>
        <v>Yes</v>
      </c>
      <c r="T91" s="16" t="str">
        <f>VLOOKUP($A91,'SurveyRpt_20150223 (1)'!$A$34:$AN$735,32,FALSE)</f>
        <v>No</v>
      </c>
      <c r="U91" s="16" t="str">
        <f>VLOOKUP($A91,'SurveyRpt_20150223 (1)'!$A$34:$AN$735,34,FALSE)</f>
        <v>No</v>
      </c>
      <c r="V91" s="16" t="str">
        <f>VLOOKUP($A91,'SurveyRpt_20150223 (1)'!$A$34:$AN$735,36,FALSE)</f>
        <v>No</v>
      </c>
      <c r="W91" s="16" t="str">
        <f>VLOOKUP($A91,'SurveyRpt_20150223 (1)'!$A$34:$AN$735,38,FALSE)</f>
        <v>No</v>
      </c>
    </row>
    <row r="92" spans="1:23" ht="13.5" customHeight="1" x14ac:dyDescent="0.25">
      <c r="A92" s="19" t="s">
        <v>185</v>
      </c>
      <c r="B92" s="19" t="str">
        <f t="shared" si="1"/>
        <v>RTIRUNAGARI</v>
      </c>
      <c r="C92" s="16" t="str">
        <f>VLOOKUP(B92,'Compiled Agents'!A:H,2,FALSE)</f>
        <v>Platform</v>
      </c>
      <c r="D92" s="16" t="str">
        <f>VLOOKUP(B92,'Compiled Agents'!A:H,4,FALSE)</f>
        <v>Noida</v>
      </c>
      <c r="E92" s="16" t="str">
        <f>VLOOKUP(B92,'Compiled Agents'!A:H,5,FALSE)</f>
        <v>Wave2</v>
      </c>
      <c r="F92" s="16" t="str">
        <f>VLOOKUP(B92,'Compiled Agents'!A:H,6,FALSE)</f>
        <v>Blue</v>
      </c>
      <c r="G92" s="16">
        <f>VLOOKUP($A92,'SurveyRpt_20150223 (1)'!$A$34:$AN$735,6,FALSE)</f>
        <v>15</v>
      </c>
      <c r="H92" s="16" t="str">
        <f>VLOOKUP($A92,'SurveyRpt_20150223 (1)'!$A$34:$AN$735,8,FALSE)</f>
        <v>Yes</v>
      </c>
      <c r="I92" s="16" t="str">
        <f>VLOOKUP($A92,'SurveyRpt_20150223 (1)'!$A$34:$AN$735,10,FALSE)</f>
        <v>Yes</v>
      </c>
      <c r="J92" s="16" t="str">
        <f>VLOOKUP($A92,'SurveyRpt_20150223 (1)'!$A$34:$AN$735,12,FALSE)</f>
        <v>Yes</v>
      </c>
      <c r="K92" s="16" t="str">
        <f>VLOOKUP($A92,'SurveyRpt_20150223 (1)'!$A$34:$AN$735,14,FALSE)</f>
        <v>Yes</v>
      </c>
      <c r="L92" s="16" t="str">
        <f>VLOOKUP($A92,'SurveyRpt_20150223 (1)'!$A$34:$AN$735,16,FALSE)</f>
        <v>Yes</v>
      </c>
      <c r="M92" s="16" t="str">
        <f>VLOOKUP($A92,'SurveyRpt_20150223 (1)'!$A$34:$AN$735,18,FALSE)</f>
        <v>Yes</v>
      </c>
      <c r="N92" s="16" t="str">
        <f>VLOOKUP($A92,'SurveyRpt_20150223 (1)'!$A$34:$AN$735,20,FALSE)</f>
        <v>Yes</v>
      </c>
      <c r="O92" s="16" t="str">
        <f>VLOOKUP($A92,'SurveyRpt_20150223 (1)'!$A$34:$AN$735,22,FALSE)</f>
        <v>Yes</v>
      </c>
      <c r="P92" s="16" t="str">
        <f>VLOOKUP($A92,'SurveyRpt_20150223 (1)'!$A$34:$AN$735,24,FALSE)</f>
        <v>Yes</v>
      </c>
      <c r="Q92" s="16" t="str">
        <f>VLOOKUP($A92,'SurveyRpt_20150223 (1)'!$A$34:$AN$735,26,FALSE)</f>
        <v>Yes</v>
      </c>
      <c r="R92" s="16" t="str">
        <f>VLOOKUP($A92,'SurveyRpt_20150223 (1)'!$A$34:$AN$735,28,FALSE)</f>
        <v>Yes</v>
      </c>
      <c r="S92" s="16" t="str">
        <f>VLOOKUP($A92,'SurveyRpt_20150223 (1)'!$A$34:$AN$735,30,FALSE)</f>
        <v>Yes</v>
      </c>
      <c r="T92" s="16" t="str">
        <f>VLOOKUP($A92,'SurveyRpt_20150223 (1)'!$A$34:$AN$735,32,FALSE)</f>
        <v>Yes</v>
      </c>
      <c r="U92" s="16" t="str">
        <f>VLOOKUP($A92,'SurveyRpt_20150223 (1)'!$A$34:$AN$735,34,FALSE)</f>
        <v>No</v>
      </c>
      <c r="V92" s="16" t="str">
        <f>VLOOKUP($A92,'SurveyRpt_20150223 (1)'!$A$34:$AN$735,36,FALSE)</f>
        <v>Yes</v>
      </c>
      <c r="W92" s="16" t="str">
        <f>VLOOKUP($A92,'SurveyRpt_20150223 (1)'!$A$34:$AN$735,38,FALSE)</f>
        <v>Yes</v>
      </c>
    </row>
    <row r="93" spans="1:23" ht="13.5" customHeight="1" x14ac:dyDescent="0.25">
      <c r="A93" s="19" t="s">
        <v>186</v>
      </c>
      <c r="B93" s="19" t="str">
        <f t="shared" si="1"/>
        <v>ahorneronava</v>
      </c>
      <c r="C93" s="16" t="str">
        <f>VLOOKUP(B93,'Compiled Agents'!A:H,2,FALSE)</f>
        <v>Platform</v>
      </c>
      <c r="D93" s="16" t="str">
        <f>VLOOKUP(B93,'Compiled Agents'!A:H,4,FALSE)</f>
        <v>Spain</v>
      </c>
      <c r="E93" s="16" t="str">
        <f>VLOOKUP(B93,'Compiled Agents'!A:H,5,FALSE)</f>
        <v>Wave1</v>
      </c>
      <c r="F93" s="16" t="str">
        <f>VLOOKUP(B93,'Compiled Agents'!A:H,6,FALSE)</f>
        <v>Orange</v>
      </c>
      <c r="G93" s="16">
        <f>VLOOKUP($A93,'SurveyRpt_20150223 (1)'!$A$34:$AN$735,6,FALSE)</f>
        <v>5</v>
      </c>
      <c r="H93" s="16" t="str">
        <f>VLOOKUP($A93,'SurveyRpt_20150223 (1)'!$A$34:$AN$735,8,FALSE)</f>
        <v>No</v>
      </c>
      <c r="I93" s="16" t="str">
        <f>VLOOKUP($A93,'SurveyRpt_20150223 (1)'!$A$34:$AN$735,10,FALSE)</f>
        <v>No</v>
      </c>
      <c r="J93" s="16" t="str">
        <f>VLOOKUP($A93,'SurveyRpt_20150223 (1)'!$A$34:$AN$735,12,FALSE)</f>
        <v>No</v>
      </c>
      <c r="K93" s="16" t="str">
        <f>VLOOKUP($A93,'SurveyRpt_20150223 (1)'!$A$34:$AN$735,14,FALSE)</f>
        <v>No</v>
      </c>
      <c r="L93" s="16" t="str">
        <f>VLOOKUP($A93,'SurveyRpt_20150223 (1)'!$A$34:$AN$735,16,FALSE)</f>
        <v>Yes</v>
      </c>
      <c r="M93" s="16" t="str">
        <f>VLOOKUP($A93,'SurveyRpt_20150223 (1)'!$A$34:$AN$735,18,FALSE)</f>
        <v>Yes</v>
      </c>
      <c r="N93" s="16" t="str">
        <f>VLOOKUP($A93,'SurveyRpt_20150223 (1)'!$A$34:$AN$735,20,FALSE)</f>
        <v>Yes</v>
      </c>
      <c r="O93" s="16" t="str">
        <f>VLOOKUP($A93,'SurveyRpt_20150223 (1)'!$A$34:$AN$735,22,FALSE)</f>
        <v>No</v>
      </c>
      <c r="P93" s="16" t="str">
        <f>VLOOKUP($A93,'SurveyRpt_20150223 (1)'!$A$34:$AN$735,24,FALSE)</f>
        <v>No</v>
      </c>
      <c r="Q93" s="16" t="str">
        <f>VLOOKUP($A93,'SurveyRpt_20150223 (1)'!$A$34:$AN$735,26,FALSE)</f>
        <v>Yes</v>
      </c>
      <c r="R93" s="16" t="str">
        <f>VLOOKUP($A93,'SurveyRpt_20150223 (1)'!$A$34:$AN$735,28,FALSE)</f>
        <v>Yes</v>
      </c>
      <c r="S93" s="16" t="str">
        <f>VLOOKUP($A93,'SurveyRpt_20150223 (1)'!$A$34:$AN$735,30,FALSE)</f>
        <v>No</v>
      </c>
      <c r="T93" s="16" t="str">
        <f>VLOOKUP($A93,'SurveyRpt_20150223 (1)'!$A$34:$AN$735,32,FALSE)</f>
        <v>No</v>
      </c>
      <c r="U93" s="16" t="str">
        <f>VLOOKUP($A93,'SurveyRpt_20150223 (1)'!$A$34:$AN$735,34,FALSE)</f>
        <v>No</v>
      </c>
      <c r="V93" s="16" t="str">
        <f>VLOOKUP($A93,'SurveyRpt_20150223 (1)'!$A$34:$AN$735,36,FALSE)</f>
        <v>No</v>
      </c>
      <c r="W93" s="16" t="str">
        <f>VLOOKUP($A93,'SurveyRpt_20150223 (1)'!$A$34:$AN$735,38,FALSE)</f>
        <v>No</v>
      </c>
    </row>
    <row r="94" spans="1:23" ht="13.5" customHeight="1" x14ac:dyDescent="0.25">
      <c r="A94" s="19" t="s">
        <v>187</v>
      </c>
      <c r="B94" s="19" t="str">
        <f t="shared" si="1"/>
        <v>MMADARPAKKAM</v>
      </c>
      <c r="C94" s="16" t="str">
        <f>VLOOKUP(B94,'Compiled Agents'!A:H,2,FALSE)</f>
        <v>Platform</v>
      </c>
      <c r="D94" s="16" t="str">
        <f>VLOOKUP(B94,'Compiled Agents'!A:H,4,FALSE)</f>
        <v>Noida</v>
      </c>
      <c r="E94" s="16" t="str">
        <f>VLOOKUP(B94,'Compiled Agents'!A:H,5,FALSE)</f>
        <v>Wave2</v>
      </c>
      <c r="F94" s="16" t="str">
        <f>VLOOKUP(B94,'Compiled Agents'!A:H,6,FALSE)</f>
        <v>Purple</v>
      </c>
      <c r="G94" s="16">
        <f>VLOOKUP($A94,'SurveyRpt_20150223 (1)'!$A$34:$AN$735,6,FALSE)</f>
        <v>10</v>
      </c>
      <c r="H94" s="16" t="str">
        <f>VLOOKUP($A94,'SurveyRpt_20150223 (1)'!$A$34:$AN$735,8,FALSE)</f>
        <v>Yes</v>
      </c>
      <c r="I94" s="16" t="str">
        <f>VLOOKUP($A94,'SurveyRpt_20150223 (1)'!$A$34:$AN$735,10,FALSE)</f>
        <v>Yes</v>
      </c>
      <c r="J94" s="16" t="str">
        <f>VLOOKUP($A94,'SurveyRpt_20150223 (1)'!$A$34:$AN$735,12,FALSE)</f>
        <v>No</v>
      </c>
      <c r="K94" s="16" t="str">
        <f>VLOOKUP($A94,'SurveyRpt_20150223 (1)'!$A$34:$AN$735,14,FALSE)</f>
        <v>Yes</v>
      </c>
      <c r="L94" s="16" t="str">
        <f>VLOOKUP($A94,'SurveyRpt_20150223 (1)'!$A$34:$AN$735,16,FALSE)</f>
        <v>No</v>
      </c>
      <c r="M94" s="16" t="str">
        <f>VLOOKUP($A94,'SurveyRpt_20150223 (1)'!$A$34:$AN$735,18,FALSE)</f>
        <v>No</v>
      </c>
      <c r="N94" s="16" t="str">
        <f>VLOOKUP($A94,'SurveyRpt_20150223 (1)'!$A$34:$AN$735,20,FALSE)</f>
        <v>No</v>
      </c>
      <c r="O94" s="16" t="str">
        <f>VLOOKUP($A94,'SurveyRpt_20150223 (1)'!$A$34:$AN$735,22,FALSE)</f>
        <v>No</v>
      </c>
      <c r="P94" s="16" t="str">
        <f>VLOOKUP($A94,'SurveyRpt_20150223 (1)'!$A$34:$AN$735,24,FALSE)</f>
        <v>Yes</v>
      </c>
      <c r="Q94" s="16" t="str">
        <f>VLOOKUP($A94,'SurveyRpt_20150223 (1)'!$A$34:$AN$735,26,FALSE)</f>
        <v>Yes</v>
      </c>
      <c r="R94" s="16" t="str">
        <f>VLOOKUP($A94,'SurveyRpt_20150223 (1)'!$A$34:$AN$735,28,FALSE)</f>
        <v>Yes</v>
      </c>
      <c r="S94" s="16" t="str">
        <f>VLOOKUP($A94,'SurveyRpt_20150223 (1)'!$A$34:$AN$735,30,FALSE)</f>
        <v>Yes</v>
      </c>
      <c r="T94" s="16" t="str">
        <f>VLOOKUP($A94,'SurveyRpt_20150223 (1)'!$A$34:$AN$735,32,FALSE)</f>
        <v>Yes</v>
      </c>
      <c r="U94" s="16" t="str">
        <f>VLOOKUP($A94,'SurveyRpt_20150223 (1)'!$A$34:$AN$735,34,FALSE)</f>
        <v>Yes</v>
      </c>
      <c r="V94" s="16" t="str">
        <f>VLOOKUP($A94,'SurveyRpt_20150223 (1)'!$A$34:$AN$735,36,FALSE)</f>
        <v>No</v>
      </c>
      <c r="W94" s="16" t="str">
        <f>VLOOKUP($A94,'SurveyRpt_20150223 (1)'!$A$34:$AN$735,38,FALSE)</f>
        <v>Yes</v>
      </c>
    </row>
    <row r="95" spans="1:23" ht="13.5" customHeight="1" x14ac:dyDescent="0.25">
      <c r="A95" s="19" t="s">
        <v>188</v>
      </c>
      <c r="B95" s="19" t="str">
        <f t="shared" si="1"/>
        <v>dherreromart</v>
      </c>
      <c r="C95" s="16" t="str">
        <f>VLOOKUP(B95,'Compiled Agents'!A:H,2,FALSE)</f>
        <v>Platform</v>
      </c>
      <c r="D95" s="16" t="str">
        <f>VLOOKUP(B95,'Compiled Agents'!A:H,4,FALSE)</f>
        <v>Spain</v>
      </c>
      <c r="E95" s="16" t="str">
        <f>VLOOKUP(B95,'Compiled Agents'!A:H,5,FALSE)</f>
        <v>Wave1</v>
      </c>
      <c r="F95" s="16" t="str">
        <f>VLOOKUP(B95,'Compiled Agents'!A:H,6,FALSE)</f>
        <v>Blue</v>
      </c>
      <c r="G95" s="16">
        <f>VLOOKUP($A95,'SurveyRpt_20150223 (1)'!$A$34:$AN$735,6,FALSE)</f>
        <v>15</v>
      </c>
      <c r="H95" s="16" t="str">
        <f>VLOOKUP($A95,'SurveyRpt_20150223 (1)'!$A$34:$AN$735,8,FALSE)</f>
        <v>Yes</v>
      </c>
      <c r="I95" s="16" t="str">
        <f>VLOOKUP($A95,'SurveyRpt_20150223 (1)'!$A$34:$AN$735,10,FALSE)</f>
        <v>Yes</v>
      </c>
      <c r="J95" s="16" t="str">
        <f>VLOOKUP($A95,'SurveyRpt_20150223 (1)'!$A$34:$AN$735,12,FALSE)</f>
        <v>No</v>
      </c>
      <c r="K95" s="16" t="str">
        <f>VLOOKUP($A95,'SurveyRpt_20150223 (1)'!$A$34:$AN$735,14,FALSE)</f>
        <v>Yes</v>
      </c>
      <c r="L95" s="16" t="str">
        <f>VLOOKUP($A95,'SurveyRpt_20150223 (1)'!$A$34:$AN$735,16,FALSE)</f>
        <v>Yes</v>
      </c>
      <c r="M95" s="16" t="str">
        <f>VLOOKUP($A95,'SurveyRpt_20150223 (1)'!$A$34:$AN$735,18,FALSE)</f>
        <v>Yes</v>
      </c>
      <c r="N95" s="16" t="str">
        <f>VLOOKUP($A95,'SurveyRpt_20150223 (1)'!$A$34:$AN$735,20,FALSE)</f>
        <v>Yes</v>
      </c>
      <c r="O95" s="16" t="str">
        <f>VLOOKUP($A95,'SurveyRpt_20150223 (1)'!$A$34:$AN$735,22,FALSE)</f>
        <v>Yes</v>
      </c>
      <c r="P95" s="16" t="str">
        <f>VLOOKUP($A95,'SurveyRpt_20150223 (1)'!$A$34:$AN$735,24,FALSE)</f>
        <v>Yes</v>
      </c>
      <c r="Q95" s="16" t="str">
        <f>VLOOKUP($A95,'SurveyRpt_20150223 (1)'!$A$34:$AN$735,26,FALSE)</f>
        <v>Yes</v>
      </c>
      <c r="R95" s="16" t="str">
        <f>VLOOKUP($A95,'SurveyRpt_20150223 (1)'!$A$34:$AN$735,28,FALSE)</f>
        <v>Yes</v>
      </c>
      <c r="S95" s="16" t="str">
        <f>VLOOKUP($A95,'SurveyRpt_20150223 (1)'!$A$34:$AN$735,30,FALSE)</f>
        <v>Yes</v>
      </c>
      <c r="T95" s="16" t="str">
        <f>VLOOKUP($A95,'SurveyRpt_20150223 (1)'!$A$34:$AN$735,32,FALSE)</f>
        <v>Yes</v>
      </c>
      <c r="U95" s="16" t="str">
        <f>VLOOKUP($A95,'SurveyRpt_20150223 (1)'!$A$34:$AN$735,34,FALSE)</f>
        <v>Yes</v>
      </c>
      <c r="V95" s="16" t="str">
        <f>VLOOKUP($A95,'SurveyRpt_20150223 (1)'!$A$34:$AN$735,36,FALSE)</f>
        <v>Yes</v>
      </c>
      <c r="W95" s="16" t="str">
        <f>VLOOKUP($A95,'SurveyRpt_20150223 (1)'!$A$34:$AN$735,38,FALSE)</f>
        <v>Yes</v>
      </c>
    </row>
    <row r="96" spans="1:23" ht="13.5" customHeight="1" x14ac:dyDescent="0.25">
      <c r="A96" s="19" t="s">
        <v>189</v>
      </c>
      <c r="B96" s="19" t="str">
        <f t="shared" si="1"/>
        <v>sgayolmenend</v>
      </c>
      <c r="C96" s="16" t="str">
        <f>VLOOKUP(B96,'Compiled Agents'!A:H,2,FALSE)</f>
        <v>Workplace</v>
      </c>
      <c r="D96" s="16" t="str">
        <f>VLOOKUP(B96,'Compiled Agents'!A:H,4,FALSE)</f>
        <v>Spain</v>
      </c>
      <c r="E96" s="16" t="str">
        <f>VLOOKUP(B96,'Compiled Agents'!A:H,5,FALSE)</f>
        <v>Wave1</v>
      </c>
      <c r="F96" s="16" t="str">
        <f>VLOOKUP(B96,'Compiled Agents'!A:H,6,FALSE)</f>
        <v>Purple</v>
      </c>
      <c r="G96" s="16">
        <f>VLOOKUP($A96,'SurveyRpt_20150223 (1)'!$A$34:$AN$735,6,FALSE)</f>
        <v>7</v>
      </c>
      <c r="H96" s="16" t="str">
        <f>VLOOKUP($A96,'SurveyRpt_20150223 (1)'!$A$34:$AN$735,8,FALSE)</f>
        <v>No</v>
      </c>
      <c r="I96" s="16" t="str">
        <f>VLOOKUP($A96,'SurveyRpt_20150223 (1)'!$A$34:$AN$735,10,FALSE)</f>
        <v>No</v>
      </c>
      <c r="J96" s="16" t="str">
        <f>VLOOKUP($A96,'SurveyRpt_20150223 (1)'!$A$34:$AN$735,12,FALSE)</f>
        <v>No</v>
      </c>
      <c r="K96" s="16" t="str">
        <f>VLOOKUP($A96,'SurveyRpt_20150223 (1)'!$A$34:$AN$735,14,FALSE)</f>
        <v>No</v>
      </c>
      <c r="L96" s="16" t="str">
        <f>VLOOKUP($A96,'SurveyRpt_20150223 (1)'!$A$34:$AN$735,16,FALSE)</f>
        <v>Yes</v>
      </c>
      <c r="M96" s="16" t="str">
        <f>VLOOKUP($A96,'SurveyRpt_20150223 (1)'!$A$34:$AN$735,18,FALSE)</f>
        <v>Yes</v>
      </c>
      <c r="N96" s="16" t="str">
        <f>VLOOKUP($A96,'SurveyRpt_20150223 (1)'!$A$34:$AN$735,20,FALSE)</f>
        <v>Yes</v>
      </c>
      <c r="O96" s="16" t="str">
        <f>VLOOKUP($A96,'SurveyRpt_20150223 (1)'!$A$34:$AN$735,22,FALSE)</f>
        <v>Yes</v>
      </c>
      <c r="P96" s="16" t="str">
        <f>VLOOKUP($A96,'SurveyRpt_20150223 (1)'!$A$34:$AN$735,24,FALSE)</f>
        <v>No</v>
      </c>
      <c r="Q96" s="16" t="str">
        <f>VLOOKUP($A96,'SurveyRpt_20150223 (1)'!$A$34:$AN$735,26,FALSE)</f>
        <v>No</v>
      </c>
      <c r="R96" s="16" t="str">
        <f>VLOOKUP($A96,'SurveyRpt_20150223 (1)'!$A$34:$AN$735,28,FALSE)</f>
        <v>No</v>
      </c>
      <c r="S96" s="16" t="str">
        <f>VLOOKUP($A96,'SurveyRpt_20150223 (1)'!$A$34:$AN$735,30,FALSE)</f>
        <v>Yes</v>
      </c>
      <c r="T96" s="16" t="str">
        <f>VLOOKUP($A96,'SurveyRpt_20150223 (1)'!$A$34:$AN$735,32,FALSE)</f>
        <v>No</v>
      </c>
      <c r="U96" s="16" t="str">
        <f>VLOOKUP($A96,'SurveyRpt_20150223 (1)'!$A$34:$AN$735,34,FALSE)</f>
        <v>Yes</v>
      </c>
      <c r="V96" s="16" t="str">
        <f>VLOOKUP($A96,'SurveyRpt_20150223 (1)'!$A$34:$AN$735,36,FALSE)</f>
        <v>Yes</v>
      </c>
      <c r="W96" s="16" t="str">
        <f>VLOOKUP($A96,'SurveyRpt_20150223 (1)'!$A$34:$AN$735,38,FALSE)</f>
        <v>No</v>
      </c>
    </row>
    <row r="97" spans="1:23" ht="13.5" customHeight="1" x14ac:dyDescent="0.25">
      <c r="A97" s="19" t="s">
        <v>190</v>
      </c>
      <c r="B97" s="19" t="str">
        <f t="shared" si="1"/>
        <v>SDATTA21</v>
      </c>
      <c r="C97" s="16" t="str">
        <f>VLOOKUP(B97,'Compiled Agents'!A:H,2,FALSE)</f>
        <v>Workplace</v>
      </c>
      <c r="D97" s="16" t="str">
        <f>VLOOKUP(B97,'Compiled Agents'!A:H,4,FALSE)</f>
        <v>Hyderabad</v>
      </c>
      <c r="E97" s="16" t="str">
        <f>VLOOKUP(B97,'Compiled Agents'!A:H,5,FALSE)</f>
        <v>Wave2</v>
      </c>
      <c r="F97" s="16" t="str">
        <f>VLOOKUP(B97,'Compiled Agents'!A:H,6,FALSE)</f>
        <v>Yellow</v>
      </c>
      <c r="G97" s="16">
        <f>VLOOKUP($A97,'SurveyRpt_20150223 (1)'!$A$34:$AN$735,6,FALSE)</f>
        <v>14</v>
      </c>
      <c r="H97" s="16" t="str">
        <f>VLOOKUP($A97,'SurveyRpt_20150223 (1)'!$A$34:$AN$735,8,FALSE)</f>
        <v>Yes</v>
      </c>
      <c r="I97" s="16" t="str">
        <f>VLOOKUP($A97,'SurveyRpt_20150223 (1)'!$A$34:$AN$735,10,FALSE)</f>
        <v>No</v>
      </c>
      <c r="J97" s="16" t="str">
        <f>VLOOKUP($A97,'SurveyRpt_20150223 (1)'!$A$34:$AN$735,12,FALSE)</f>
        <v>Yes</v>
      </c>
      <c r="K97" s="16" t="str">
        <f>VLOOKUP($A97,'SurveyRpt_20150223 (1)'!$A$34:$AN$735,14,FALSE)</f>
        <v>Yes</v>
      </c>
      <c r="L97" s="16" t="str">
        <f>VLOOKUP($A97,'SurveyRpt_20150223 (1)'!$A$34:$AN$735,16,FALSE)</f>
        <v>Yes</v>
      </c>
      <c r="M97" s="16" t="str">
        <f>VLOOKUP($A97,'SurveyRpt_20150223 (1)'!$A$34:$AN$735,18,FALSE)</f>
        <v>Yes</v>
      </c>
      <c r="N97" s="16" t="str">
        <f>VLOOKUP($A97,'SurveyRpt_20150223 (1)'!$A$34:$AN$735,20,FALSE)</f>
        <v>Yes</v>
      </c>
      <c r="O97" s="16" t="str">
        <f>VLOOKUP($A97,'SurveyRpt_20150223 (1)'!$A$34:$AN$735,22,FALSE)</f>
        <v>Yes</v>
      </c>
      <c r="P97" s="16" t="str">
        <f>VLOOKUP($A97,'SurveyRpt_20150223 (1)'!$A$34:$AN$735,24,FALSE)</f>
        <v>Yes</v>
      </c>
      <c r="Q97" s="16" t="str">
        <f>VLOOKUP($A97,'SurveyRpt_20150223 (1)'!$A$34:$AN$735,26,FALSE)</f>
        <v>Yes</v>
      </c>
      <c r="R97" s="16" t="str">
        <f>VLOOKUP($A97,'SurveyRpt_20150223 (1)'!$A$34:$AN$735,28,FALSE)</f>
        <v>Yes</v>
      </c>
      <c r="S97" s="16" t="str">
        <f>VLOOKUP($A97,'SurveyRpt_20150223 (1)'!$A$34:$AN$735,30,FALSE)</f>
        <v>Yes</v>
      </c>
      <c r="T97" s="16" t="str">
        <f>VLOOKUP($A97,'SurveyRpt_20150223 (1)'!$A$34:$AN$735,32,FALSE)</f>
        <v>No</v>
      </c>
      <c r="U97" s="16" t="str">
        <f>VLOOKUP($A97,'SurveyRpt_20150223 (1)'!$A$34:$AN$735,34,FALSE)</f>
        <v>Yes</v>
      </c>
      <c r="V97" s="16" t="str">
        <f>VLOOKUP($A97,'SurveyRpt_20150223 (1)'!$A$34:$AN$735,36,FALSE)</f>
        <v>Yes</v>
      </c>
      <c r="W97" s="16" t="str">
        <f>VLOOKUP($A97,'SurveyRpt_20150223 (1)'!$A$34:$AN$735,38,FALSE)</f>
        <v>Yes</v>
      </c>
    </row>
    <row r="98" spans="1:23" ht="13.5" customHeight="1" x14ac:dyDescent="0.25">
      <c r="A98" s="19" t="s">
        <v>191</v>
      </c>
      <c r="B98" s="19" t="str">
        <f t="shared" si="1"/>
        <v>PKUMAR258</v>
      </c>
      <c r="C98" s="16" t="str">
        <f>VLOOKUP(B98,'Compiled Agents'!A:H,2,FALSE)</f>
        <v>Platform</v>
      </c>
      <c r="D98" s="16" t="str">
        <f>VLOOKUP(B98,'Compiled Agents'!A:H,4,FALSE)</f>
        <v>Noida</v>
      </c>
      <c r="E98" s="16" t="str">
        <f>VLOOKUP(B98,'Compiled Agents'!A:H,5,FALSE)</f>
        <v>Wave2</v>
      </c>
      <c r="F98" s="16" t="str">
        <f>VLOOKUP(B98,'Compiled Agents'!A:H,6,FALSE)</f>
        <v>Purple</v>
      </c>
      <c r="G98" s="16">
        <f>VLOOKUP($A98,'SurveyRpt_20150223 (1)'!$A$34:$AN$735,6,FALSE)</f>
        <v>16</v>
      </c>
      <c r="H98" s="16" t="str">
        <f>VLOOKUP($A98,'SurveyRpt_20150223 (1)'!$A$34:$AN$735,8,FALSE)</f>
        <v>Yes</v>
      </c>
      <c r="I98" s="16" t="str">
        <f>VLOOKUP($A98,'SurveyRpt_20150223 (1)'!$A$34:$AN$735,10,FALSE)</f>
        <v>Yes</v>
      </c>
      <c r="J98" s="16" t="str">
        <f>VLOOKUP($A98,'SurveyRpt_20150223 (1)'!$A$34:$AN$735,12,FALSE)</f>
        <v>Yes</v>
      </c>
      <c r="K98" s="16" t="str">
        <f>VLOOKUP($A98,'SurveyRpt_20150223 (1)'!$A$34:$AN$735,14,FALSE)</f>
        <v>Yes</v>
      </c>
      <c r="L98" s="16" t="str">
        <f>VLOOKUP($A98,'SurveyRpt_20150223 (1)'!$A$34:$AN$735,16,FALSE)</f>
        <v>Yes</v>
      </c>
      <c r="M98" s="16" t="str">
        <f>VLOOKUP($A98,'SurveyRpt_20150223 (1)'!$A$34:$AN$735,18,FALSE)</f>
        <v>Yes</v>
      </c>
      <c r="N98" s="16" t="str">
        <f>VLOOKUP($A98,'SurveyRpt_20150223 (1)'!$A$34:$AN$735,20,FALSE)</f>
        <v>Yes</v>
      </c>
      <c r="O98" s="16" t="str">
        <f>VLOOKUP($A98,'SurveyRpt_20150223 (1)'!$A$34:$AN$735,22,FALSE)</f>
        <v>Yes</v>
      </c>
      <c r="P98" s="16" t="str">
        <f>VLOOKUP($A98,'SurveyRpt_20150223 (1)'!$A$34:$AN$735,24,FALSE)</f>
        <v>Yes</v>
      </c>
      <c r="Q98" s="16" t="str">
        <f>VLOOKUP($A98,'SurveyRpt_20150223 (1)'!$A$34:$AN$735,26,FALSE)</f>
        <v>Yes</v>
      </c>
      <c r="R98" s="16" t="str">
        <f>VLOOKUP($A98,'SurveyRpt_20150223 (1)'!$A$34:$AN$735,28,FALSE)</f>
        <v>Yes</v>
      </c>
      <c r="S98" s="16" t="str">
        <f>VLOOKUP($A98,'SurveyRpt_20150223 (1)'!$A$34:$AN$735,30,FALSE)</f>
        <v>Yes</v>
      </c>
      <c r="T98" s="16" t="str">
        <f>VLOOKUP($A98,'SurveyRpt_20150223 (1)'!$A$34:$AN$735,32,FALSE)</f>
        <v>Yes</v>
      </c>
      <c r="U98" s="16" t="str">
        <f>VLOOKUP($A98,'SurveyRpt_20150223 (1)'!$A$34:$AN$735,34,FALSE)</f>
        <v>Yes</v>
      </c>
      <c r="V98" s="16" t="str">
        <f>VLOOKUP($A98,'SurveyRpt_20150223 (1)'!$A$34:$AN$735,36,FALSE)</f>
        <v>Yes</v>
      </c>
      <c r="W98" s="16" t="str">
        <f>VLOOKUP($A98,'SurveyRpt_20150223 (1)'!$A$34:$AN$735,38,FALSE)</f>
        <v>Yes</v>
      </c>
    </row>
    <row r="99" spans="1:23" ht="13.5" customHeight="1" x14ac:dyDescent="0.25">
      <c r="A99" s="19" t="s">
        <v>192</v>
      </c>
      <c r="B99" s="19" t="str">
        <f t="shared" si="1"/>
        <v>ianiaalvarez</v>
      </c>
      <c r="C99" s="16" t="str">
        <f>VLOOKUP(B99,'Compiled Agents'!A:H,2,FALSE)</f>
        <v>Workplace</v>
      </c>
      <c r="D99" s="16" t="str">
        <f>VLOOKUP(B99,'Compiled Agents'!A:H,4,FALSE)</f>
        <v>Spain</v>
      </c>
      <c r="E99" s="16" t="str">
        <f>VLOOKUP(B99,'Compiled Agents'!A:H,5,FALSE)</f>
        <v>Wave1</v>
      </c>
      <c r="F99" s="16" t="str">
        <f>VLOOKUP(B99,'Compiled Agents'!A:H,6,FALSE)</f>
        <v>Purple</v>
      </c>
      <c r="G99" s="16">
        <f>VLOOKUP($A99,'SurveyRpt_20150223 (1)'!$A$34:$AN$735,6,FALSE)</f>
        <v>12</v>
      </c>
      <c r="H99" s="16" t="str">
        <f>VLOOKUP($A99,'SurveyRpt_20150223 (1)'!$A$34:$AN$735,8,FALSE)</f>
        <v>Yes</v>
      </c>
      <c r="I99" s="16" t="str">
        <f>VLOOKUP($A99,'SurveyRpt_20150223 (1)'!$A$34:$AN$735,10,FALSE)</f>
        <v>Yes</v>
      </c>
      <c r="J99" s="16" t="str">
        <f>VLOOKUP($A99,'SurveyRpt_20150223 (1)'!$A$34:$AN$735,12,FALSE)</f>
        <v>Yes</v>
      </c>
      <c r="K99" s="16" t="str">
        <f>VLOOKUP($A99,'SurveyRpt_20150223 (1)'!$A$34:$AN$735,14,FALSE)</f>
        <v>Yes</v>
      </c>
      <c r="L99" s="16" t="str">
        <f>VLOOKUP($A99,'SurveyRpt_20150223 (1)'!$A$34:$AN$735,16,FALSE)</f>
        <v>Yes</v>
      </c>
      <c r="M99" s="16" t="str">
        <f>VLOOKUP($A99,'SurveyRpt_20150223 (1)'!$A$34:$AN$735,18,FALSE)</f>
        <v>Yes</v>
      </c>
      <c r="N99" s="16" t="str">
        <f>VLOOKUP($A99,'SurveyRpt_20150223 (1)'!$A$34:$AN$735,20,FALSE)</f>
        <v>Yes</v>
      </c>
      <c r="O99" s="16" t="str">
        <f>VLOOKUP($A99,'SurveyRpt_20150223 (1)'!$A$34:$AN$735,22,FALSE)</f>
        <v>Yes</v>
      </c>
      <c r="P99" s="16" t="str">
        <f>VLOOKUP($A99,'SurveyRpt_20150223 (1)'!$A$34:$AN$735,24,FALSE)</f>
        <v>No</v>
      </c>
      <c r="Q99" s="16" t="str">
        <f>VLOOKUP($A99,'SurveyRpt_20150223 (1)'!$A$34:$AN$735,26,FALSE)</f>
        <v>Yes</v>
      </c>
      <c r="R99" s="16" t="str">
        <f>VLOOKUP($A99,'SurveyRpt_20150223 (1)'!$A$34:$AN$735,28,FALSE)</f>
        <v>Yes</v>
      </c>
      <c r="S99" s="16" t="str">
        <f>VLOOKUP($A99,'SurveyRpt_20150223 (1)'!$A$34:$AN$735,30,FALSE)</f>
        <v>Yes</v>
      </c>
      <c r="T99" s="16" t="str">
        <f>VLOOKUP($A99,'SurveyRpt_20150223 (1)'!$A$34:$AN$735,32,FALSE)</f>
        <v>No</v>
      </c>
      <c r="U99" s="16" t="str">
        <f>VLOOKUP($A99,'SurveyRpt_20150223 (1)'!$A$34:$AN$735,34,FALSE)</f>
        <v>Yes</v>
      </c>
      <c r="V99" s="16" t="str">
        <f>VLOOKUP($A99,'SurveyRpt_20150223 (1)'!$A$34:$AN$735,36,FALSE)</f>
        <v>No</v>
      </c>
      <c r="W99" s="16" t="str">
        <f>VLOOKUP($A99,'SurveyRpt_20150223 (1)'!$A$34:$AN$735,38,FALSE)</f>
        <v>No</v>
      </c>
    </row>
    <row r="100" spans="1:23" ht="13.5" customHeight="1" x14ac:dyDescent="0.25">
      <c r="A100" s="19" t="s">
        <v>193</v>
      </c>
      <c r="B100" s="19" t="str">
        <f t="shared" si="1"/>
        <v>SSINGH311</v>
      </c>
      <c r="C100" s="16" t="str">
        <f>VLOOKUP(B100,'Compiled Agents'!A:H,2,FALSE)</f>
        <v>Platform</v>
      </c>
      <c r="D100" s="16" t="str">
        <f>VLOOKUP(B100,'Compiled Agents'!A:H,4,FALSE)</f>
        <v>Noida</v>
      </c>
      <c r="E100" s="16" t="str">
        <f>VLOOKUP(B100,'Compiled Agents'!A:H,5,FALSE)</f>
        <v>Wave2</v>
      </c>
      <c r="F100" s="16" t="str">
        <f>VLOOKUP(B100,'Compiled Agents'!A:H,6,FALSE)</f>
        <v>Yellow</v>
      </c>
      <c r="G100" s="16">
        <f>VLOOKUP($A100,'SurveyRpt_20150223 (1)'!$A$34:$AN$735,6,FALSE)</f>
        <v>16</v>
      </c>
      <c r="H100" s="16" t="str">
        <f>VLOOKUP($A100,'SurveyRpt_20150223 (1)'!$A$34:$AN$735,8,FALSE)</f>
        <v>Yes</v>
      </c>
      <c r="I100" s="16" t="str">
        <f>VLOOKUP($A100,'SurveyRpt_20150223 (1)'!$A$34:$AN$735,10,FALSE)</f>
        <v>Yes</v>
      </c>
      <c r="J100" s="16" t="str">
        <f>VLOOKUP($A100,'SurveyRpt_20150223 (1)'!$A$34:$AN$735,12,FALSE)</f>
        <v>Yes</v>
      </c>
      <c r="K100" s="16" t="str">
        <f>VLOOKUP($A100,'SurveyRpt_20150223 (1)'!$A$34:$AN$735,14,FALSE)</f>
        <v>Yes</v>
      </c>
      <c r="L100" s="16" t="str">
        <f>VLOOKUP($A100,'SurveyRpt_20150223 (1)'!$A$34:$AN$735,16,FALSE)</f>
        <v>Yes</v>
      </c>
      <c r="M100" s="16" t="str">
        <f>VLOOKUP($A100,'SurveyRpt_20150223 (1)'!$A$34:$AN$735,18,FALSE)</f>
        <v>Yes</v>
      </c>
      <c r="N100" s="16" t="str">
        <f>VLOOKUP($A100,'SurveyRpt_20150223 (1)'!$A$34:$AN$735,20,FALSE)</f>
        <v>Yes</v>
      </c>
      <c r="O100" s="16" t="str">
        <f>VLOOKUP($A100,'SurveyRpt_20150223 (1)'!$A$34:$AN$735,22,FALSE)</f>
        <v>Yes</v>
      </c>
      <c r="P100" s="16" t="str">
        <f>VLOOKUP($A100,'SurveyRpt_20150223 (1)'!$A$34:$AN$735,24,FALSE)</f>
        <v>Yes</v>
      </c>
      <c r="Q100" s="16" t="str">
        <f>VLOOKUP($A100,'SurveyRpt_20150223 (1)'!$A$34:$AN$735,26,FALSE)</f>
        <v>Yes</v>
      </c>
      <c r="R100" s="16" t="str">
        <f>VLOOKUP($A100,'SurveyRpt_20150223 (1)'!$A$34:$AN$735,28,FALSE)</f>
        <v>Yes</v>
      </c>
      <c r="S100" s="16" t="str">
        <f>VLOOKUP($A100,'SurveyRpt_20150223 (1)'!$A$34:$AN$735,30,FALSE)</f>
        <v>Yes</v>
      </c>
      <c r="T100" s="16" t="str">
        <f>VLOOKUP($A100,'SurveyRpt_20150223 (1)'!$A$34:$AN$735,32,FALSE)</f>
        <v>Yes</v>
      </c>
      <c r="U100" s="16" t="str">
        <f>VLOOKUP($A100,'SurveyRpt_20150223 (1)'!$A$34:$AN$735,34,FALSE)</f>
        <v>Yes</v>
      </c>
      <c r="V100" s="16" t="str">
        <f>VLOOKUP($A100,'SurveyRpt_20150223 (1)'!$A$34:$AN$735,36,FALSE)</f>
        <v>Yes</v>
      </c>
      <c r="W100" s="16" t="str">
        <f>VLOOKUP($A100,'SurveyRpt_20150223 (1)'!$A$34:$AN$735,38,FALSE)</f>
        <v>Yes</v>
      </c>
    </row>
    <row r="101" spans="1:23" ht="13.5" customHeight="1" x14ac:dyDescent="0.25">
      <c r="A101" s="19" t="s">
        <v>194</v>
      </c>
      <c r="B101" s="19" t="str">
        <f t="shared" si="1"/>
        <v>erodrigueza2</v>
      </c>
      <c r="C101" s="16" t="str">
        <f>VLOOKUP(B101,'Compiled Agents'!A:H,2,FALSE)</f>
        <v>Workplace</v>
      </c>
      <c r="D101" s="16" t="str">
        <f>VLOOKUP(B101,'Compiled Agents'!A:H,4,FALSE)</f>
        <v>Spain</v>
      </c>
      <c r="E101" s="16" t="str">
        <f>VLOOKUP(B101,'Compiled Agents'!A:H,5,FALSE)</f>
        <v>Wave1</v>
      </c>
      <c r="F101" s="16" t="str">
        <f>VLOOKUP(B101,'Compiled Agents'!A:H,6,FALSE)</f>
        <v>Blue</v>
      </c>
      <c r="G101" s="16">
        <f>VLOOKUP($A101,'SurveyRpt_20150223 (1)'!$A$34:$AN$735,6,FALSE)</f>
        <v>16</v>
      </c>
      <c r="H101" s="16" t="str">
        <f>VLOOKUP($A101,'SurveyRpt_20150223 (1)'!$A$34:$AN$735,8,FALSE)</f>
        <v>Yes</v>
      </c>
      <c r="I101" s="16" t="str">
        <f>VLOOKUP($A101,'SurveyRpt_20150223 (1)'!$A$34:$AN$735,10,FALSE)</f>
        <v>Yes</v>
      </c>
      <c r="J101" s="16" t="str">
        <f>VLOOKUP($A101,'SurveyRpt_20150223 (1)'!$A$34:$AN$735,12,FALSE)</f>
        <v>Yes</v>
      </c>
      <c r="K101" s="16" t="str">
        <f>VLOOKUP($A101,'SurveyRpt_20150223 (1)'!$A$34:$AN$735,14,FALSE)</f>
        <v>Yes</v>
      </c>
      <c r="L101" s="16" t="str">
        <f>VLOOKUP($A101,'SurveyRpt_20150223 (1)'!$A$34:$AN$735,16,FALSE)</f>
        <v>Yes</v>
      </c>
      <c r="M101" s="16" t="str">
        <f>VLOOKUP($A101,'SurveyRpt_20150223 (1)'!$A$34:$AN$735,18,FALSE)</f>
        <v>Yes</v>
      </c>
      <c r="N101" s="16" t="str">
        <f>VLOOKUP($A101,'SurveyRpt_20150223 (1)'!$A$34:$AN$735,20,FALSE)</f>
        <v>Yes</v>
      </c>
      <c r="O101" s="16" t="str">
        <f>VLOOKUP($A101,'SurveyRpt_20150223 (1)'!$A$34:$AN$735,22,FALSE)</f>
        <v>Yes</v>
      </c>
      <c r="P101" s="16" t="str">
        <f>VLOOKUP($A101,'SurveyRpt_20150223 (1)'!$A$34:$AN$735,24,FALSE)</f>
        <v>Yes</v>
      </c>
      <c r="Q101" s="16" t="str">
        <f>VLOOKUP($A101,'SurveyRpt_20150223 (1)'!$A$34:$AN$735,26,FALSE)</f>
        <v>Yes</v>
      </c>
      <c r="R101" s="16" t="str">
        <f>VLOOKUP($A101,'SurveyRpt_20150223 (1)'!$A$34:$AN$735,28,FALSE)</f>
        <v>Yes</v>
      </c>
      <c r="S101" s="16" t="str">
        <f>VLOOKUP($A101,'SurveyRpt_20150223 (1)'!$A$34:$AN$735,30,FALSE)</f>
        <v>Yes</v>
      </c>
      <c r="T101" s="16" t="str">
        <f>VLOOKUP($A101,'SurveyRpt_20150223 (1)'!$A$34:$AN$735,32,FALSE)</f>
        <v>Yes</v>
      </c>
      <c r="U101" s="16" t="str">
        <f>VLOOKUP($A101,'SurveyRpt_20150223 (1)'!$A$34:$AN$735,34,FALSE)</f>
        <v>Yes</v>
      </c>
      <c r="V101" s="16" t="str">
        <f>VLOOKUP($A101,'SurveyRpt_20150223 (1)'!$A$34:$AN$735,36,FALSE)</f>
        <v>Yes</v>
      </c>
      <c r="W101" s="16" t="str">
        <f>VLOOKUP($A101,'SurveyRpt_20150223 (1)'!$A$34:$AN$735,38,FALSE)</f>
        <v>Yes</v>
      </c>
    </row>
    <row r="102" spans="1:23" ht="13.5" customHeight="1" x14ac:dyDescent="0.25">
      <c r="A102" s="19" t="s">
        <v>195</v>
      </c>
      <c r="B102" s="19" t="str">
        <f t="shared" si="1"/>
        <v>dperezjimene</v>
      </c>
      <c r="C102" s="16" t="str">
        <f>VLOOKUP(B102,'Compiled Agents'!A:H,2,FALSE)</f>
        <v>Workplace</v>
      </c>
      <c r="D102" s="16" t="str">
        <f>VLOOKUP(B102,'Compiled Agents'!A:H,4,FALSE)</f>
        <v>Spain</v>
      </c>
      <c r="E102" s="16" t="str">
        <f>VLOOKUP(B102,'Compiled Agents'!A:H,5,FALSE)</f>
        <v>Wave1</v>
      </c>
      <c r="F102" s="16" t="str">
        <f>VLOOKUP(B102,'Compiled Agents'!A:H,6,FALSE)</f>
        <v>Blue</v>
      </c>
      <c r="G102" s="16">
        <f>VLOOKUP($A102,'SurveyRpt_20150223 (1)'!$A$34:$AN$735,6,FALSE)</f>
        <v>16</v>
      </c>
      <c r="H102" s="16" t="str">
        <f>VLOOKUP($A102,'SurveyRpt_20150223 (1)'!$A$34:$AN$735,8,FALSE)</f>
        <v>Yes</v>
      </c>
      <c r="I102" s="16" t="str">
        <f>VLOOKUP($A102,'SurveyRpt_20150223 (1)'!$A$34:$AN$735,10,FALSE)</f>
        <v>Yes</v>
      </c>
      <c r="J102" s="16" t="str">
        <f>VLOOKUP($A102,'SurveyRpt_20150223 (1)'!$A$34:$AN$735,12,FALSE)</f>
        <v>Yes</v>
      </c>
      <c r="K102" s="16" t="str">
        <f>VLOOKUP($A102,'SurveyRpt_20150223 (1)'!$A$34:$AN$735,14,FALSE)</f>
        <v>Yes</v>
      </c>
      <c r="L102" s="16" t="str">
        <f>VLOOKUP($A102,'SurveyRpt_20150223 (1)'!$A$34:$AN$735,16,FALSE)</f>
        <v>Yes</v>
      </c>
      <c r="M102" s="16" t="str">
        <f>VLOOKUP($A102,'SurveyRpt_20150223 (1)'!$A$34:$AN$735,18,FALSE)</f>
        <v>Yes</v>
      </c>
      <c r="N102" s="16" t="str">
        <f>VLOOKUP($A102,'SurveyRpt_20150223 (1)'!$A$34:$AN$735,20,FALSE)</f>
        <v>Yes</v>
      </c>
      <c r="O102" s="16" t="str">
        <f>VLOOKUP($A102,'SurveyRpt_20150223 (1)'!$A$34:$AN$735,22,FALSE)</f>
        <v>Yes</v>
      </c>
      <c r="P102" s="16" t="str">
        <f>VLOOKUP($A102,'SurveyRpt_20150223 (1)'!$A$34:$AN$735,24,FALSE)</f>
        <v>Yes</v>
      </c>
      <c r="Q102" s="16" t="str">
        <f>VLOOKUP($A102,'SurveyRpt_20150223 (1)'!$A$34:$AN$735,26,FALSE)</f>
        <v>Yes</v>
      </c>
      <c r="R102" s="16" t="str">
        <f>VLOOKUP($A102,'SurveyRpt_20150223 (1)'!$A$34:$AN$735,28,FALSE)</f>
        <v>Yes</v>
      </c>
      <c r="S102" s="16" t="str">
        <f>VLOOKUP($A102,'SurveyRpt_20150223 (1)'!$A$34:$AN$735,30,FALSE)</f>
        <v>Yes</v>
      </c>
      <c r="T102" s="16" t="str">
        <f>VLOOKUP($A102,'SurveyRpt_20150223 (1)'!$A$34:$AN$735,32,FALSE)</f>
        <v>Yes</v>
      </c>
      <c r="U102" s="16" t="str">
        <f>VLOOKUP($A102,'SurveyRpt_20150223 (1)'!$A$34:$AN$735,34,FALSE)</f>
        <v>Yes</v>
      </c>
      <c r="V102" s="16" t="str">
        <f>VLOOKUP($A102,'SurveyRpt_20150223 (1)'!$A$34:$AN$735,36,FALSE)</f>
        <v>Yes</v>
      </c>
      <c r="W102" s="16" t="str">
        <f>VLOOKUP($A102,'SurveyRpt_20150223 (1)'!$A$34:$AN$735,38,FALSE)</f>
        <v>Yes</v>
      </c>
    </row>
    <row r="103" spans="1:23" ht="13.5" customHeight="1" x14ac:dyDescent="0.25">
      <c r="A103" s="19" t="s">
        <v>196</v>
      </c>
      <c r="B103" s="19" t="str">
        <f t="shared" si="1"/>
        <v>mcometa</v>
      </c>
      <c r="C103" s="16" t="str">
        <f>VLOOKUP(B103,'Compiled Agents'!A:H,2,FALSE)</f>
        <v>Platform</v>
      </c>
      <c r="D103" s="16" t="str">
        <f>VLOOKUP(B103,'Compiled Agents'!A:H,4,FALSE)</f>
        <v>Spain</v>
      </c>
      <c r="E103" s="16" t="str">
        <f>VLOOKUP(B103,'Compiled Agents'!A:H,5,FALSE)</f>
        <v>Wave1</v>
      </c>
      <c r="F103" s="16" t="str">
        <f>VLOOKUP(B103,'Compiled Agents'!A:H,6,FALSE)</f>
        <v>Yellow</v>
      </c>
      <c r="G103" s="16">
        <f>VLOOKUP($A103,'SurveyRpt_20150223 (1)'!$A$34:$AN$735,6,FALSE)</f>
        <v>15</v>
      </c>
      <c r="H103" s="16" t="str">
        <f>VLOOKUP($A103,'SurveyRpt_20150223 (1)'!$A$34:$AN$735,8,FALSE)</f>
        <v>No</v>
      </c>
      <c r="I103" s="16" t="str">
        <f>VLOOKUP($A103,'SurveyRpt_20150223 (1)'!$A$34:$AN$735,10,FALSE)</f>
        <v>Yes</v>
      </c>
      <c r="J103" s="16" t="str">
        <f>VLOOKUP($A103,'SurveyRpt_20150223 (1)'!$A$34:$AN$735,12,FALSE)</f>
        <v>Yes</v>
      </c>
      <c r="K103" s="16" t="str">
        <f>VLOOKUP($A103,'SurveyRpt_20150223 (1)'!$A$34:$AN$735,14,FALSE)</f>
        <v>Yes</v>
      </c>
      <c r="L103" s="16" t="str">
        <f>VLOOKUP($A103,'SurveyRpt_20150223 (1)'!$A$34:$AN$735,16,FALSE)</f>
        <v>Yes</v>
      </c>
      <c r="M103" s="16" t="str">
        <f>VLOOKUP($A103,'SurveyRpt_20150223 (1)'!$A$34:$AN$735,18,FALSE)</f>
        <v>Yes</v>
      </c>
      <c r="N103" s="16" t="str">
        <f>VLOOKUP($A103,'SurveyRpt_20150223 (1)'!$A$34:$AN$735,20,FALSE)</f>
        <v>Yes</v>
      </c>
      <c r="O103" s="16" t="str">
        <f>VLOOKUP($A103,'SurveyRpt_20150223 (1)'!$A$34:$AN$735,22,FALSE)</f>
        <v>Yes</v>
      </c>
      <c r="P103" s="16" t="str">
        <f>VLOOKUP($A103,'SurveyRpt_20150223 (1)'!$A$34:$AN$735,24,FALSE)</f>
        <v>Yes</v>
      </c>
      <c r="Q103" s="16" t="str">
        <f>VLOOKUP($A103,'SurveyRpt_20150223 (1)'!$A$34:$AN$735,26,FALSE)</f>
        <v>Yes</v>
      </c>
      <c r="R103" s="16" t="str">
        <f>VLOOKUP($A103,'SurveyRpt_20150223 (1)'!$A$34:$AN$735,28,FALSE)</f>
        <v>Yes</v>
      </c>
      <c r="S103" s="16" t="str">
        <f>VLOOKUP($A103,'SurveyRpt_20150223 (1)'!$A$34:$AN$735,30,FALSE)</f>
        <v>Yes</v>
      </c>
      <c r="T103" s="16" t="str">
        <f>VLOOKUP($A103,'SurveyRpt_20150223 (1)'!$A$34:$AN$735,32,FALSE)</f>
        <v>Yes</v>
      </c>
      <c r="U103" s="16" t="str">
        <f>VLOOKUP($A103,'SurveyRpt_20150223 (1)'!$A$34:$AN$735,34,FALSE)</f>
        <v>Yes</v>
      </c>
      <c r="V103" s="16" t="str">
        <f>VLOOKUP($A103,'SurveyRpt_20150223 (1)'!$A$34:$AN$735,36,FALSE)</f>
        <v>Yes</v>
      </c>
      <c r="W103" s="16" t="str">
        <f>VLOOKUP($A103,'SurveyRpt_20150223 (1)'!$A$34:$AN$735,38,FALSE)</f>
        <v>Yes</v>
      </c>
    </row>
    <row r="104" spans="1:23" ht="13.5" customHeight="1" x14ac:dyDescent="0.25">
      <c r="A104" s="19" t="s">
        <v>197</v>
      </c>
      <c r="B104" s="19" t="str">
        <f t="shared" si="1"/>
        <v>VKOLLI4</v>
      </c>
      <c r="C104" s="16" t="str">
        <f>VLOOKUP(B104,'Compiled Agents'!A:H,2,FALSE)</f>
        <v>Platform</v>
      </c>
      <c r="D104" s="16" t="str">
        <f>VLOOKUP(B104,'Compiled Agents'!A:H,4,FALSE)</f>
        <v>Noida</v>
      </c>
      <c r="E104" s="16" t="str">
        <f>VLOOKUP(B104,'Compiled Agents'!A:H,5,FALSE)</f>
        <v>Wave2</v>
      </c>
      <c r="F104" s="16" t="str">
        <f>VLOOKUP(B104,'Compiled Agents'!A:H,6,FALSE)</f>
        <v>Orange</v>
      </c>
      <c r="G104" s="16">
        <f>VLOOKUP($A104,'SurveyRpt_20150223 (1)'!$A$34:$AN$735,6,FALSE)</f>
        <v>16</v>
      </c>
      <c r="H104" s="16" t="str">
        <f>VLOOKUP($A104,'SurveyRpt_20150223 (1)'!$A$34:$AN$735,8,FALSE)</f>
        <v>Yes</v>
      </c>
      <c r="I104" s="16" t="str">
        <f>VLOOKUP($A104,'SurveyRpt_20150223 (1)'!$A$34:$AN$735,10,FALSE)</f>
        <v>Yes</v>
      </c>
      <c r="J104" s="16" t="str">
        <f>VLOOKUP($A104,'SurveyRpt_20150223 (1)'!$A$34:$AN$735,12,FALSE)</f>
        <v>Yes</v>
      </c>
      <c r="K104" s="16" t="str">
        <f>VLOOKUP($A104,'SurveyRpt_20150223 (1)'!$A$34:$AN$735,14,FALSE)</f>
        <v>Yes</v>
      </c>
      <c r="L104" s="16" t="str">
        <f>VLOOKUP($A104,'SurveyRpt_20150223 (1)'!$A$34:$AN$735,16,FALSE)</f>
        <v>Yes</v>
      </c>
      <c r="M104" s="16" t="str">
        <f>VLOOKUP($A104,'SurveyRpt_20150223 (1)'!$A$34:$AN$735,18,FALSE)</f>
        <v>Yes</v>
      </c>
      <c r="N104" s="16" t="str">
        <f>VLOOKUP($A104,'SurveyRpt_20150223 (1)'!$A$34:$AN$735,20,FALSE)</f>
        <v>Yes</v>
      </c>
      <c r="O104" s="16" t="str">
        <f>VLOOKUP($A104,'SurveyRpt_20150223 (1)'!$A$34:$AN$735,22,FALSE)</f>
        <v>Yes</v>
      </c>
      <c r="P104" s="16" t="str">
        <f>VLOOKUP($A104,'SurveyRpt_20150223 (1)'!$A$34:$AN$735,24,FALSE)</f>
        <v>Yes</v>
      </c>
      <c r="Q104" s="16" t="str">
        <f>VLOOKUP($A104,'SurveyRpt_20150223 (1)'!$A$34:$AN$735,26,FALSE)</f>
        <v>Yes</v>
      </c>
      <c r="R104" s="16" t="str">
        <f>VLOOKUP($A104,'SurveyRpt_20150223 (1)'!$A$34:$AN$735,28,FALSE)</f>
        <v>Yes</v>
      </c>
      <c r="S104" s="16" t="str">
        <f>VLOOKUP($A104,'SurveyRpt_20150223 (1)'!$A$34:$AN$735,30,FALSE)</f>
        <v>Yes</v>
      </c>
      <c r="T104" s="16" t="str">
        <f>VLOOKUP($A104,'SurveyRpt_20150223 (1)'!$A$34:$AN$735,32,FALSE)</f>
        <v>Yes</v>
      </c>
      <c r="U104" s="16" t="str">
        <f>VLOOKUP($A104,'SurveyRpt_20150223 (1)'!$A$34:$AN$735,34,FALSE)</f>
        <v>Yes</v>
      </c>
      <c r="V104" s="16" t="str">
        <f>VLOOKUP($A104,'SurveyRpt_20150223 (1)'!$A$34:$AN$735,36,FALSE)</f>
        <v>Yes</v>
      </c>
      <c r="W104" s="16" t="str">
        <f>VLOOKUP($A104,'SurveyRpt_20150223 (1)'!$A$34:$AN$735,38,FALSE)</f>
        <v>Yes</v>
      </c>
    </row>
    <row r="105" spans="1:23" ht="13.5" customHeight="1" x14ac:dyDescent="0.25">
      <c r="A105" s="19" t="s">
        <v>198</v>
      </c>
      <c r="B105" s="19" t="str">
        <f t="shared" si="1"/>
        <v>RREDDY42</v>
      </c>
      <c r="C105" s="16" t="str">
        <f>VLOOKUP(B105,'Compiled Agents'!A:H,2,FALSE)</f>
        <v>Workplace</v>
      </c>
      <c r="D105" s="16" t="str">
        <f>VLOOKUP(B105,'Compiled Agents'!A:H,4,FALSE)</f>
        <v>Hyderabad</v>
      </c>
      <c r="E105" s="16" t="str">
        <f>VLOOKUP(B105,'Compiled Agents'!A:H,5,FALSE)</f>
        <v>Wave2</v>
      </c>
      <c r="F105" s="16" t="str">
        <f>VLOOKUP(B105,'Compiled Agents'!A:H,6,FALSE)</f>
        <v>Purple</v>
      </c>
      <c r="G105" s="16">
        <f>VLOOKUP($A105,'SurveyRpt_20150223 (1)'!$A$34:$AN$735,6,FALSE)</f>
        <v>16</v>
      </c>
      <c r="H105" s="16" t="str">
        <f>VLOOKUP($A105,'SurveyRpt_20150223 (1)'!$A$34:$AN$735,8,FALSE)</f>
        <v>Yes</v>
      </c>
      <c r="I105" s="16" t="str">
        <f>VLOOKUP($A105,'SurveyRpt_20150223 (1)'!$A$34:$AN$735,10,FALSE)</f>
        <v>Yes</v>
      </c>
      <c r="J105" s="16" t="str">
        <f>VLOOKUP($A105,'SurveyRpt_20150223 (1)'!$A$34:$AN$735,12,FALSE)</f>
        <v>Yes</v>
      </c>
      <c r="K105" s="16" t="str">
        <f>VLOOKUP($A105,'SurveyRpt_20150223 (1)'!$A$34:$AN$735,14,FALSE)</f>
        <v>Yes</v>
      </c>
      <c r="L105" s="16" t="str">
        <f>VLOOKUP($A105,'SurveyRpt_20150223 (1)'!$A$34:$AN$735,16,FALSE)</f>
        <v>Yes</v>
      </c>
      <c r="M105" s="16" t="str">
        <f>VLOOKUP($A105,'SurveyRpt_20150223 (1)'!$A$34:$AN$735,18,FALSE)</f>
        <v>Yes</v>
      </c>
      <c r="N105" s="16" t="str">
        <f>VLOOKUP($A105,'SurveyRpt_20150223 (1)'!$A$34:$AN$735,20,FALSE)</f>
        <v>Yes</v>
      </c>
      <c r="O105" s="16" t="str">
        <f>VLOOKUP($A105,'SurveyRpt_20150223 (1)'!$A$34:$AN$735,22,FALSE)</f>
        <v>Yes</v>
      </c>
      <c r="P105" s="16" t="str">
        <f>VLOOKUP($A105,'SurveyRpt_20150223 (1)'!$A$34:$AN$735,24,FALSE)</f>
        <v>Yes</v>
      </c>
      <c r="Q105" s="16" t="str">
        <f>VLOOKUP($A105,'SurveyRpt_20150223 (1)'!$A$34:$AN$735,26,FALSE)</f>
        <v>Yes</v>
      </c>
      <c r="R105" s="16" t="str">
        <f>VLOOKUP($A105,'SurveyRpt_20150223 (1)'!$A$34:$AN$735,28,FALSE)</f>
        <v>Yes</v>
      </c>
      <c r="S105" s="16" t="str">
        <f>VLOOKUP($A105,'SurveyRpt_20150223 (1)'!$A$34:$AN$735,30,FALSE)</f>
        <v>Yes</v>
      </c>
      <c r="T105" s="16" t="str">
        <f>VLOOKUP($A105,'SurveyRpt_20150223 (1)'!$A$34:$AN$735,32,FALSE)</f>
        <v>Yes</v>
      </c>
      <c r="U105" s="16" t="str">
        <f>VLOOKUP($A105,'SurveyRpt_20150223 (1)'!$A$34:$AN$735,34,FALSE)</f>
        <v>Yes</v>
      </c>
      <c r="V105" s="16" t="str">
        <f>VLOOKUP($A105,'SurveyRpt_20150223 (1)'!$A$34:$AN$735,36,FALSE)</f>
        <v>Yes</v>
      </c>
      <c r="W105" s="16" t="str">
        <f>VLOOKUP($A105,'SurveyRpt_20150223 (1)'!$A$34:$AN$735,38,FALSE)</f>
        <v>Yes</v>
      </c>
    </row>
    <row r="106" spans="1:23" ht="13.5" customHeight="1" x14ac:dyDescent="0.25">
      <c r="A106" s="19" t="s">
        <v>199</v>
      </c>
      <c r="B106" s="19" t="str">
        <f t="shared" si="1"/>
        <v>VKAPOOR3</v>
      </c>
      <c r="C106" s="16" t="str">
        <f>VLOOKUP(B106,'Compiled Agents'!A:H,2,FALSE)</f>
        <v>Platform</v>
      </c>
      <c r="D106" s="16" t="str">
        <f>VLOOKUP(B106,'Compiled Agents'!A:H,4,FALSE)</f>
        <v>Noida</v>
      </c>
      <c r="E106" s="16" t="str">
        <f>VLOOKUP(B106,'Compiled Agents'!A:H,5,FALSE)</f>
        <v>Wave1</v>
      </c>
      <c r="F106" s="16" t="str">
        <f>VLOOKUP(B106,'Compiled Agents'!A:H,6,FALSE)</f>
        <v>Yellow</v>
      </c>
      <c r="G106" s="16">
        <f>VLOOKUP($A106,'SurveyRpt_20150223 (1)'!$A$34:$AN$735,6,FALSE)</f>
        <v>11</v>
      </c>
      <c r="H106" s="16" t="str">
        <f>VLOOKUP($A106,'SurveyRpt_20150223 (1)'!$A$34:$AN$735,8,FALSE)</f>
        <v>Yes</v>
      </c>
      <c r="I106" s="16" t="str">
        <f>VLOOKUP($A106,'SurveyRpt_20150223 (1)'!$A$34:$AN$735,10,FALSE)</f>
        <v>No</v>
      </c>
      <c r="J106" s="16" t="str">
        <f>VLOOKUP($A106,'SurveyRpt_20150223 (1)'!$A$34:$AN$735,12,FALSE)</f>
        <v>Yes</v>
      </c>
      <c r="K106" s="16" t="str">
        <f>VLOOKUP($A106,'SurveyRpt_20150223 (1)'!$A$34:$AN$735,14,FALSE)</f>
        <v>No</v>
      </c>
      <c r="L106" s="16" t="str">
        <f>VLOOKUP($A106,'SurveyRpt_20150223 (1)'!$A$34:$AN$735,16,FALSE)</f>
        <v>No</v>
      </c>
      <c r="M106" s="16" t="str">
        <f>VLOOKUP($A106,'SurveyRpt_20150223 (1)'!$A$34:$AN$735,18,FALSE)</f>
        <v>Yes</v>
      </c>
      <c r="N106" s="16" t="str">
        <f>VLOOKUP($A106,'SurveyRpt_20150223 (1)'!$A$34:$AN$735,20,FALSE)</f>
        <v>No</v>
      </c>
      <c r="O106" s="16" t="str">
        <f>VLOOKUP($A106,'SurveyRpt_20150223 (1)'!$A$34:$AN$735,22,FALSE)</f>
        <v>Yes</v>
      </c>
      <c r="P106" s="16" t="str">
        <f>VLOOKUP($A106,'SurveyRpt_20150223 (1)'!$A$34:$AN$735,24,FALSE)</f>
        <v>Yes</v>
      </c>
      <c r="Q106" s="16" t="str">
        <f>VLOOKUP($A106,'SurveyRpt_20150223 (1)'!$A$34:$AN$735,26,FALSE)</f>
        <v>Yes</v>
      </c>
      <c r="R106" s="16" t="str">
        <f>VLOOKUP($A106,'SurveyRpt_20150223 (1)'!$A$34:$AN$735,28,FALSE)</f>
        <v>Yes</v>
      </c>
      <c r="S106" s="16" t="str">
        <f>VLOOKUP($A106,'SurveyRpt_20150223 (1)'!$A$34:$AN$735,30,FALSE)</f>
        <v>Yes</v>
      </c>
      <c r="T106" s="16" t="str">
        <f>VLOOKUP($A106,'SurveyRpt_20150223 (1)'!$A$34:$AN$735,32,FALSE)</f>
        <v>No</v>
      </c>
      <c r="U106" s="16" t="str">
        <f>VLOOKUP($A106,'SurveyRpt_20150223 (1)'!$A$34:$AN$735,34,FALSE)</f>
        <v>Yes</v>
      </c>
      <c r="V106" s="16" t="str">
        <f>VLOOKUP($A106,'SurveyRpt_20150223 (1)'!$A$34:$AN$735,36,FALSE)</f>
        <v>Yes</v>
      </c>
      <c r="W106" s="16" t="str">
        <f>VLOOKUP($A106,'SurveyRpt_20150223 (1)'!$A$34:$AN$735,38,FALSE)</f>
        <v>Yes</v>
      </c>
    </row>
    <row r="107" spans="1:23" ht="13.5" customHeight="1" x14ac:dyDescent="0.25">
      <c r="A107" s="19" t="s">
        <v>200</v>
      </c>
      <c r="B107" s="19" t="str">
        <f t="shared" si="1"/>
        <v>gkerpitchian</v>
      </c>
      <c r="C107" s="16" t="str">
        <f>VLOOKUP(B107,'Compiled Agents'!A:H,2,FALSE)</f>
        <v>Platform</v>
      </c>
      <c r="D107" s="16" t="str">
        <f>VLOOKUP(B107,'Compiled Agents'!A:H,4,FALSE)</f>
        <v>Spain</v>
      </c>
      <c r="E107" s="16" t="str">
        <f>VLOOKUP(B107,'Compiled Agents'!A:H,5,FALSE)</f>
        <v>Wave1</v>
      </c>
      <c r="F107" s="16" t="str">
        <f>VLOOKUP(B107,'Compiled Agents'!A:H,6,FALSE)</f>
        <v>Purple</v>
      </c>
      <c r="G107" s="16">
        <f>VLOOKUP($A107,'SurveyRpt_20150223 (1)'!$A$34:$AN$735,6,FALSE)</f>
        <v>9</v>
      </c>
      <c r="H107" s="16" t="str">
        <f>VLOOKUP($A107,'SurveyRpt_20150223 (1)'!$A$34:$AN$735,8,FALSE)</f>
        <v>Yes</v>
      </c>
      <c r="I107" s="16" t="str">
        <f>VLOOKUP($A107,'SurveyRpt_20150223 (1)'!$A$34:$AN$735,10,FALSE)</f>
        <v>No</v>
      </c>
      <c r="J107" s="16" t="str">
        <f>VLOOKUP($A107,'SurveyRpt_20150223 (1)'!$A$34:$AN$735,12,FALSE)</f>
        <v>No</v>
      </c>
      <c r="K107" s="16" t="str">
        <f>VLOOKUP($A107,'SurveyRpt_20150223 (1)'!$A$34:$AN$735,14,FALSE)</f>
        <v>No</v>
      </c>
      <c r="L107" s="16" t="str">
        <f>VLOOKUP($A107,'SurveyRpt_20150223 (1)'!$A$34:$AN$735,16,FALSE)</f>
        <v>Yes</v>
      </c>
      <c r="M107" s="16" t="str">
        <f>VLOOKUP($A107,'SurveyRpt_20150223 (1)'!$A$34:$AN$735,18,FALSE)</f>
        <v>Yes</v>
      </c>
      <c r="N107" s="16" t="str">
        <f>VLOOKUP($A107,'SurveyRpt_20150223 (1)'!$A$34:$AN$735,20,FALSE)</f>
        <v>No</v>
      </c>
      <c r="O107" s="16" t="str">
        <f>VLOOKUP($A107,'SurveyRpt_20150223 (1)'!$A$34:$AN$735,22,FALSE)</f>
        <v>Yes</v>
      </c>
      <c r="P107" s="16" t="str">
        <f>VLOOKUP($A107,'SurveyRpt_20150223 (1)'!$A$34:$AN$735,24,FALSE)</f>
        <v>Yes</v>
      </c>
      <c r="Q107" s="16" t="str">
        <f>VLOOKUP($A107,'SurveyRpt_20150223 (1)'!$A$34:$AN$735,26,FALSE)</f>
        <v>Yes</v>
      </c>
      <c r="R107" s="16" t="str">
        <f>VLOOKUP($A107,'SurveyRpt_20150223 (1)'!$A$34:$AN$735,28,FALSE)</f>
        <v>No</v>
      </c>
      <c r="S107" s="16" t="str">
        <f>VLOOKUP($A107,'SurveyRpt_20150223 (1)'!$A$34:$AN$735,30,FALSE)</f>
        <v>Yes</v>
      </c>
      <c r="T107" s="16" t="str">
        <f>VLOOKUP($A107,'SurveyRpt_20150223 (1)'!$A$34:$AN$735,32,FALSE)</f>
        <v>No</v>
      </c>
      <c r="U107" s="16" t="str">
        <f>VLOOKUP($A107,'SurveyRpt_20150223 (1)'!$A$34:$AN$735,34,FALSE)</f>
        <v>Yes</v>
      </c>
      <c r="V107" s="16" t="str">
        <f>VLOOKUP($A107,'SurveyRpt_20150223 (1)'!$A$34:$AN$735,36,FALSE)</f>
        <v>Yes</v>
      </c>
      <c r="W107" s="16" t="str">
        <f>VLOOKUP($A107,'SurveyRpt_20150223 (1)'!$A$34:$AN$735,38,FALSE)</f>
        <v>No</v>
      </c>
    </row>
    <row r="108" spans="1:23" ht="13.5" customHeight="1" x14ac:dyDescent="0.25">
      <c r="A108" s="19" t="s">
        <v>201</v>
      </c>
      <c r="B108" s="19" t="str">
        <f t="shared" si="1"/>
        <v>msanchezhern</v>
      </c>
      <c r="C108" s="16" t="str">
        <f>VLOOKUP(B108,'Compiled Agents'!A:H,2,FALSE)</f>
        <v>Platform</v>
      </c>
      <c r="D108" s="16" t="str">
        <f>VLOOKUP(B108,'Compiled Agents'!A:H,4,FALSE)</f>
        <v>Spain</v>
      </c>
      <c r="E108" s="16" t="str">
        <f>VLOOKUP(B108,'Compiled Agents'!A:H,5,FALSE)</f>
        <v>Wave1</v>
      </c>
      <c r="F108" s="16" t="str">
        <f>VLOOKUP(B108,'Compiled Agents'!A:H,6,FALSE)</f>
        <v>Purple</v>
      </c>
      <c r="G108" s="16">
        <f>VLOOKUP($A108,'SurveyRpt_20150223 (1)'!$A$34:$AN$735,6,FALSE)</f>
        <v>1</v>
      </c>
      <c r="H108" s="16" t="str">
        <f>VLOOKUP($A108,'SurveyRpt_20150223 (1)'!$A$34:$AN$735,8,FALSE)</f>
        <v>No</v>
      </c>
      <c r="I108" s="16" t="str">
        <f>VLOOKUP($A108,'SurveyRpt_20150223 (1)'!$A$34:$AN$735,10,FALSE)</f>
        <v>No</v>
      </c>
      <c r="J108" s="16" t="str">
        <f>VLOOKUP($A108,'SurveyRpt_20150223 (1)'!$A$34:$AN$735,12,FALSE)</f>
        <v>No</v>
      </c>
      <c r="K108" s="16" t="str">
        <f>VLOOKUP($A108,'SurveyRpt_20150223 (1)'!$A$34:$AN$735,14,FALSE)</f>
        <v>No</v>
      </c>
      <c r="L108" s="16" t="str">
        <f>VLOOKUP($A108,'SurveyRpt_20150223 (1)'!$A$34:$AN$735,16,FALSE)</f>
        <v>No</v>
      </c>
      <c r="M108" s="16" t="str">
        <f>VLOOKUP($A108,'SurveyRpt_20150223 (1)'!$A$34:$AN$735,18,FALSE)</f>
        <v>Yes</v>
      </c>
      <c r="N108" s="16" t="str">
        <f>VLOOKUP($A108,'SurveyRpt_20150223 (1)'!$A$34:$AN$735,20,FALSE)</f>
        <v>No</v>
      </c>
      <c r="O108" s="16" t="str">
        <f>VLOOKUP($A108,'SurveyRpt_20150223 (1)'!$A$34:$AN$735,22,FALSE)</f>
        <v>No</v>
      </c>
      <c r="P108" s="16" t="str">
        <f>VLOOKUP($A108,'SurveyRpt_20150223 (1)'!$A$34:$AN$735,24,FALSE)</f>
        <v>No</v>
      </c>
      <c r="Q108" s="16" t="str">
        <f>VLOOKUP($A108,'SurveyRpt_20150223 (1)'!$A$34:$AN$735,26,FALSE)</f>
        <v>No</v>
      </c>
      <c r="R108" s="16" t="str">
        <f>VLOOKUP($A108,'SurveyRpt_20150223 (1)'!$A$34:$AN$735,28,FALSE)</f>
        <v>No</v>
      </c>
      <c r="S108" s="16" t="str">
        <f>VLOOKUP($A108,'SurveyRpt_20150223 (1)'!$A$34:$AN$735,30,FALSE)</f>
        <v>No</v>
      </c>
      <c r="T108" s="16" t="str">
        <f>VLOOKUP($A108,'SurveyRpt_20150223 (1)'!$A$34:$AN$735,32,FALSE)</f>
        <v>No</v>
      </c>
      <c r="U108" s="16" t="str">
        <f>VLOOKUP($A108,'SurveyRpt_20150223 (1)'!$A$34:$AN$735,34,FALSE)</f>
        <v>No</v>
      </c>
      <c r="V108" s="16" t="str">
        <f>VLOOKUP($A108,'SurveyRpt_20150223 (1)'!$A$34:$AN$735,36,FALSE)</f>
        <v>No</v>
      </c>
      <c r="W108" s="16" t="str">
        <f>VLOOKUP($A108,'SurveyRpt_20150223 (1)'!$A$34:$AN$735,38,FALSE)</f>
        <v>No</v>
      </c>
    </row>
    <row r="109" spans="1:23" ht="13.5" customHeight="1" x14ac:dyDescent="0.25">
      <c r="A109" s="19" t="s">
        <v>202</v>
      </c>
      <c r="B109" s="19" t="str">
        <f t="shared" si="1"/>
        <v>imenendezper</v>
      </c>
      <c r="C109" s="16" t="str">
        <f>VLOOKUP(B109,'Compiled Agents'!A:H,2,FALSE)</f>
        <v>Platform</v>
      </c>
      <c r="D109" s="16" t="str">
        <f>VLOOKUP(B109,'Compiled Agents'!A:H,4,FALSE)</f>
        <v>Spain</v>
      </c>
      <c r="E109" s="16" t="str">
        <f>VLOOKUP(B109,'Compiled Agents'!A:H,5,FALSE)</f>
        <v>Wave1</v>
      </c>
      <c r="F109" s="16" t="str">
        <f>VLOOKUP(B109,'Compiled Agents'!A:H,6,FALSE)</f>
        <v>Blue</v>
      </c>
      <c r="G109" s="16">
        <f>VLOOKUP($A109,'SurveyRpt_20150223 (1)'!$A$34:$AN$735,6,FALSE)</f>
        <v>16</v>
      </c>
      <c r="H109" s="16" t="str">
        <f>VLOOKUP($A109,'SurveyRpt_20150223 (1)'!$A$34:$AN$735,8,FALSE)</f>
        <v>Yes</v>
      </c>
      <c r="I109" s="16" t="str">
        <f>VLOOKUP($A109,'SurveyRpt_20150223 (1)'!$A$34:$AN$735,10,FALSE)</f>
        <v>Yes</v>
      </c>
      <c r="J109" s="16" t="str">
        <f>VLOOKUP($A109,'SurveyRpt_20150223 (1)'!$A$34:$AN$735,12,FALSE)</f>
        <v>Yes</v>
      </c>
      <c r="K109" s="16" t="str">
        <f>VLOOKUP($A109,'SurveyRpt_20150223 (1)'!$A$34:$AN$735,14,FALSE)</f>
        <v>Yes</v>
      </c>
      <c r="L109" s="16" t="str">
        <f>VLOOKUP($A109,'SurveyRpt_20150223 (1)'!$A$34:$AN$735,16,FALSE)</f>
        <v>Yes</v>
      </c>
      <c r="M109" s="16" t="str">
        <f>VLOOKUP($A109,'SurveyRpt_20150223 (1)'!$A$34:$AN$735,18,FALSE)</f>
        <v>Yes</v>
      </c>
      <c r="N109" s="16" t="str">
        <f>VLOOKUP($A109,'SurveyRpt_20150223 (1)'!$A$34:$AN$735,20,FALSE)</f>
        <v>Yes</v>
      </c>
      <c r="O109" s="16" t="str">
        <f>VLOOKUP($A109,'SurveyRpt_20150223 (1)'!$A$34:$AN$735,22,FALSE)</f>
        <v>Yes</v>
      </c>
      <c r="P109" s="16" t="str">
        <f>VLOOKUP($A109,'SurveyRpt_20150223 (1)'!$A$34:$AN$735,24,FALSE)</f>
        <v>Yes</v>
      </c>
      <c r="Q109" s="16" t="str">
        <f>VLOOKUP($A109,'SurveyRpt_20150223 (1)'!$A$34:$AN$735,26,FALSE)</f>
        <v>Yes</v>
      </c>
      <c r="R109" s="16" t="str">
        <f>VLOOKUP($A109,'SurveyRpt_20150223 (1)'!$A$34:$AN$735,28,FALSE)</f>
        <v>Yes</v>
      </c>
      <c r="S109" s="16" t="str">
        <f>VLOOKUP($A109,'SurveyRpt_20150223 (1)'!$A$34:$AN$735,30,FALSE)</f>
        <v>Yes</v>
      </c>
      <c r="T109" s="16" t="str">
        <f>VLOOKUP($A109,'SurveyRpt_20150223 (1)'!$A$34:$AN$735,32,FALSE)</f>
        <v>Yes</v>
      </c>
      <c r="U109" s="16" t="str">
        <f>VLOOKUP($A109,'SurveyRpt_20150223 (1)'!$A$34:$AN$735,34,FALSE)</f>
        <v>Yes</v>
      </c>
      <c r="V109" s="16" t="str">
        <f>VLOOKUP($A109,'SurveyRpt_20150223 (1)'!$A$34:$AN$735,36,FALSE)</f>
        <v>Yes</v>
      </c>
      <c r="W109" s="16" t="str">
        <f>VLOOKUP($A109,'SurveyRpt_20150223 (1)'!$A$34:$AN$735,38,FALSE)</f>
        <v>Yes</v>
      </c>
    </row>
    <row r="110" spans="1:23" ht="13.5" customHeight="1" x14ac:dyDescent="0.25">
      <c r="A110" s="19" t="s">
        <v>203</v>
      </c>
      <c r="B110" s="19" t="str">
        <f t="shared" si="1"/>
        <v>RTOLUCHURU</v>
      </c>
      <c r="C110" s="16" t="str">
        <f>VLOOKUP(B110,'Compiled Agents'!A:H,2,FALSE)</f>
        <v>Platform</v>
      </c>
      <c r="D110" s="16" t="str">
        <f>VLOOKUP(B110,'Compiled Agents'!A:H,4,FALSE)</f>
        <v>Hyderabad</v>
      </c>
      <c r="E110" s="16" t="str">
        <f>VLOOKUP(B110,'Compiled Agents'!A:H,5,FALSE)</f>
        <v>Wave1</v>
      </c>
      <c r="F110" s="16" t="str">
        <f>VLOOKUP(B110,'Compiled Agents'!A:H,6,FALSE)</f>
        <v>Blue</v>
      </c>
      <c r="G110" s="16">
        <f>VLOOKUP($A110,'SurveyRpt_20150223 (1)'!$A$34:$AN$735,6,FALSE)</f>
        <v>16</v>
      </c>
      <c r="H110" s="16" t="str">
        <f>VLOOKUP($A110,'SurveyRpt_20150223 (1)'!$A$34:$AN$735,8,FALSE)</f>
        <v>Yes</v>
      </c>
      <c r="I110" s="16" t="str">
        <f>VLOOKUP($A110,'SurveyRpt_20150223 (1)'!$A$34:$AN$735,10,FALSE)</f>
        <v>Yes</v>
      </c>
      <c r="J110" s="16" t="str">
        <f>VLOOKUP($A110,'SurveyRpt_20150223 (1)'!$A$34:$AN$735,12,FALSE)</f>
        <v>Yes</v>
      </c>
      <c r="K110" s="16" t="str">
        <f>VLOOKUP($A110,'SurveyRpt_20150223 (1)'!$A$34:$AN$735,14,FALSE)</f>
        <v>Yes</v>
      </c>
      <c r="L110" s="16" t="str">
        <f>VLOOKUP($A110,'SurveyRpt_20150223 (1)'!$A$34:$AN$735,16,FALSE)</f>
        <v>Yes</v>
      </c>
      <c r="M110" s="16" t="str">
        <f>VLOOKUP($A110,'SurveyRpt_20150223 (1)'!$A$34:$AN$735,18,FALSE)</f>
        <v>Yes</v>
      </c>
      <c r="N110" s="16" t="str">
        <f>VLOOKUP($A110,'SurveyRpt_20150223 (1)'!$A$34:$AN$735,20,FALSE)</f>
        <v>Yes</v>
      </c>
      <c r="O110" s="16" t="str">
        <f>VLOOKUP($A110,'SurveyRpt_20150223 (1)'!$A$34:$AN$735,22,FALSE)</f>
        <v>Yes</v>
      </c>
      <c r="P110" s="16" t="str">
        <f>VLOOKUP($A110,'SurveyRpt_20150223 (1)'!$A$34:$AN$735,24,FALSE)</f>
        <v>Yes</v>
      </c>
      <c r="Q110" s="16" t="str">
        <f>VLOOKUP($A110,'SurveyRpt_20150223 (1)'!$A$34:$AN$735,26,FALSE)</f>
        <v>Yes</v>
      </c>
      <c r="R110" s="16" t="str">
        <f>VLOOKUP($A110,'SurveyRpt_20150223 (1)'!$A$34:$AN$735,28,FALSE)</f>
        <v>Yes</v>
      </c>
      <c r="S110" s="16" t="str">
        <f>VLOOKUP($A110,'SurveyRpt_20150223 (1)'!$A$34:$AN$735,30,FALSE)</f>
        <v>Yes</v>
      </c>
      <c r="T110" s="16" t="str">
        <f>VLOOKUP($A110,'SurveyRpt_20150223 (1)'!$A$34:$AN$735,32,FALSE)</f>
        <v>Yes</v>
      </c>
      <c r="U110" s="16" t="str">
        <f>VLOOKUP($A110,'SurveyRpt_20150223 (1)'!$A$34:$AN$735,34,FALSE)</f>
        <v>Yes</v>
      </c>
      <c r="V110" s="16" t="str">
        <f>VLOOKUP($A110,'SurveyRpt_20150223 (1)'!$A$34:$AN$735,36,FALSE)</f>
        <v>Yes</v>
      </c>
      <c r="W110" s="16" t="str">
        <f>VLOOKUP($A110,'SurveyRpt_20150223 (1)'!$A$34:$AN$735,38,FALSE)</f>
        <v>Yes</v>
      </c>
    </row>
    <row r="111" spans="1:23" ht="13.5" customHeight="1" x14ac:dyDescent="0.25">
      <c r="A111" s="19" t="s">
        <v>204</v>
      </c>
      <c r="B111" s="19" t="str">
        <f t="shared" si="1"/>
        <v>PJASWAL</v>
      </c>
      <c r="C111" s="16" t="str">
        <f>VLOOKUP(B111,'Compiled Agents'!A:H,2,FALSE)</f>
        <v>Workplace</v>
      </c>
      <c r="D111" s="16" t="str">
        <f>VLOOKUP(B111,'Compiled Agents'!A:H,4,FALSE)</f>
        <v>Hyderabad</v>
      </c>
      <c r="E111" s="16" t="str">
        <f>VLOOKUP(B111,'Compiled Agents'!A:H,5,FALSE)</f>
        <v>Wave2</v>
      </c>
      <c r="F111" s="16" t="str">
        <f>VLOOKUP(B111,'Compiled Agents'!A:H,6,FALSE)</f>
        <v>Yellow</v>
      </c>
      <c r="G111" s="16">
        <f>VLOOKUP($A111,'SurveyRpt_20150223 (1)'!$A$34:$AN$735,6,FALSE)</f>
        <v>16</v>
      </c>
      <c r="H111" s="16" t="str">
        <f>VLOOKUP($A111,'SurveyRpt_20150223 (1)'!$A$34:$AN$735,8,FALSE)</f>
        <v>Yes</v>
      </c>
      <c r="I111" s="16" t="str">
        <f>VLOOKUP($A111,'SurveyRpt_20150223 (1)'!$A$34:$AN$735,10,FALSE)</f>
        <v>Yes</v>
      </c>
      <c r="J111" s="16" t="str">
        <f>VLOOKUP($A111,'SurveyRpt_20150223 (1)'!$A$34:$AN$735,12,FALSE)</f>
        <v>Yes</v>
      </c>
      <c r="K111" s="16" t="str">
        <f>VLOOKUP($A111,'SurveyRpt_20150223 (1)'!$A$34:$AN$735,14,FALSE)</f>
        <v>Yes</v>
      </c>
      <c r="L111" s="16" t="str">
        <f>VLOOKUP($A111,'SurveyRpt_20150223 (1)'!$A$34:$AN$735,16,FALSE)</f>
        <v>Yes</v>
      </c>
      <c r="M111" s="16" t="str">
        <f>VLOOKUP($A111,'SurveyRpt_20150223 (1)'!$A$34:$AN$735,18,FALSE)</f>
        <v>Yes</v>
      </c>
      <c r="N111" s="16" t="str">
        <f>VLOOKUP($A111,'SurveyRpt_20150223 (1)'!$A$34:$AN$735,20,FALSE)</f>
        <v>Yes</v>
      </c>
      <c r="O111" s="16" t="str">
        <f>VLOOKUP($A111,'SurveyRpt_20150223 (1)'!$A$34:$AN$735,22,FALSE)</f>
        <v>Yes</v>
      </c>
      <c r="P111" s="16" t="str">
        <f>VLOOKUP($A111,'SurveyRpt_20150223 (1)'!$A$34:$AN$735,24,FALSE)</f>
        <v>Yes</v>
      </c>
      <c r="Q111" s="16" t="str">
        <f>VLOOKUP($A111,'SurveyRpt_20150223 (1)'!$A$34:$AN$735,26,FALSE)</f>
        <v>Yes</v>
      </c>
      <c r="R111" s="16" t="str">
        <f>VLOOKUP($A111,'SurveyRpt_20150223 (1)'!$A$34:$AN$735,28,FALSE)</f>
        <v>Yes</v>
      </c>
      <c r="S111" s="16" t="str">
        <f>VLOOKUP($A111,'SurveyRpt_20150223 (1)'!$A$34:$AN$735,30,FALSE)</f>
        <v>Yes</v>
      </c>
      <c r="T111" s="16" t="str">
        <f>VLOOKUP($A111,'SurveyRpt_20150223 (1)'!$A$34:$AN$735,32,FALSE)</f>
        <v>Yes</v>
      </c>
      <c r="U111" s="16" t="str">
        <f>VLOOKUP($A111,'SurveyRpt_20150223 (1)'!$A$34:$AN$735,34,FALSE)</f>
        <v>Yes</v>
      </c>
      <c r="V111" s="16" t="str">
        <f>VLOOKUP($A111,'SurveyRpt_20150223 (1)'!$A$34:$AN$735,36,FALSE)</f>
        <v>Yes</v>
      </c>
      <c r="W111" s="16" t="str">
        <f>VLOOKUP($A111,'SurveyRpt_20150223 (1)'!$A$34:$AN$735,38,FALSE)</f>
        <v>Yes</v>
      </c>
    </row>
    <row r="112" spans="1:23" ht="13.5" customHeight="1" x14ac:dyDescent="0.25">
      <c r="A112" s="19" t="s">
        <v>205</v>
      </c>
      <c r="B112" s="19" t="str">
        <f t="shared" si="1"/>
        <v>njain38</v>
      </c>
      <c r="C112" s="16" t="str">
        <f>VLOOKUP(B112,'Compiled Agents'!A:H,2,FALSE)</f>
        <v>Platform</v>
      </c>
      <c r="D112" s="16" t="str">
        <f>VLOOKUP(B112,'Compiled Agents'!A:H,4,FALSE)</f>
        <v>Noida</v>
      </c>
      <c r="E112" s="16" t="str">
        <f>VLOOKUP(B112,'Compiled Agents'!A:H,5,FALSE)</f>
        <v>Wave1</v>
      </c>
      <c r="F112" s="16" t="str">
        <f>VLOOKUP(B112,'Compiled Agents'!A:H,6,FALSE)</f>
        <v>Brown</v>
      </c>
      <c r="G112" s="16">
        <f>VLOOKUP($A112,'SurveyRpt_20150223 (1)'!$A$34:$AN$735,6,FALSE)</f>
        <v>11</v>
      </c>
      <c r="H112" s="16" t="str">
        <f>VLOOKUP($A112,'SurveyRpt_20150223 (1)'!$A$34:$AN$735,8,FALSE)</f>
        <v>No</v>
      </c>
      <c r="I112" s="16" t="str">
        <f>VLOOKUP($A112,'SurveyRpt_20150223 (1)'!$A$34:$AN$735,10,FALSE)</f>
        <v>No</v>
      </c>
      <c r="J112" s="16" t="str">
        <f>VLOOKUP($A112,'SurveyRpt_20150223 (1)'!$A$34:$AN$735,12,FALSE)</f>
        <v>Yes</v>
      </c>
      <c r="K112" s="16" t="str">
        <f>VLOOKUP($A112,'SurveyRpt_20150223 (1)'!$A$34:$AN$735,14,FALSE)</f>
        <v>No</v>
      </c>
      <c r="L112" s="16" t="str">
        <f>VLOOKUP($A112,'SurveyRpt_20150223 (1)'!$A$34:$AN$735,16,FALSE)</f>
        <v>Yes</v>
      </c>
      <c r="M112" s="16" t="str">
        <f>VLOOKUP($A112,'SurveyRpt_20150223 (1)'!$A$34:$AN$735,18,FALSE)</f>
        <v>Yes</v>
      </c>
      <c r="N112" s="16" t="str">
        <f>VLOOKUP($A112,'SurveyRpt_20150223 (1)'!$A$34:$AN$735,20,FALSE)</f>
        <v>Yes</v>
      </c>
      <c r="O112" s="16" t="str">
        <f>VLOOKUP($A112,'SurveyRpt_20150223 (1)'!$A$34:$AN$735,22,FALSE)</f>
        <v>Yes</v>
      </c>
      <c r="P112" s="16" t="str">
        <f>VLOOKUP($A112,'SurveyRpt_20150223 (1)'!$A$34:$AN$735,24,FALSE)</f>
        <v>Yes</v>
      </c>
      <c r="Q112" s="16" t="str">
        <f>VLOOKUP($A112,'SurveyRpt_20150223 (1)'!$A$34:$AN$735,26,FALSE)</f>
        <v>Yes</v>
      </c>
      <c r="R112" s="16" t="str">
        <f>VLOOKUP($A112,'SurveyRpt_20150223 (1)'!$A$34:$AN$735,28,FALSE)</f>
        <v>Yes</v>
      </c>
      <c r="S112" s="16" t="str">
        <f>VLOOKUP($A112,'SurveyRpt_20150223 (1)'!$A$34:$AN$735,30,FALSE)</f>
        <v>Yes</v>
      </c>
      <c r="T112" s="16" t="str">
        <f>VLOOKUP($A112,'SurveyRpt_20150223 (1)'!$A$34:$AN$735,32,FALSE)</f>
        <v>No</v>
      </c>
      <c r="U112" s="16" t="str">
        <f>VLOOKUP($A112,'SurveyRpt_20150223 (1)'!$A$34:$AN$735,34,FALSE)</f>
        <v>Yes</v>
      </c>
      <c r="V112" s="16" t="str">
        <f>VLOOKUP($A112,'SurveyRpt_20150223 (1)'!$A$34:$AN$735,36,FALSE)</f>
        <v>Yes</v>
      </c>
      <c r="W112" s="16" t="str">
        <f>VLOOKUP($A112,'SurveyRpt_20150223 (1)'!$A$34:$AN$735,38,FALSE)</f>
        <v>No</v>
      </c>
    </row>
    <row r="113" spans="1:23" ht="13.5" customHeight="1" x14ac:dyDescent="0.25">
      <c r="A113" s="19" t="s">
        <v>206</v>
      </c>
      <c r="B113" s="19" t="str">
        <f t="shared" si="1"/>
        <v>PCHINTA4</v>
      </c>
      <c r="C113" s="16" t="str">
        <f>VLOOKUP(B113,'Compiled Agents'!A:H,2,FALSE)</f>
        <v>Platform</v>
      </c>
      <c r="D113" s="16" t="str">
        <f>VLOOKUP(B113,'Compiled Agents'!A:H,4,FALSE)</f>
        <v>Hyderabad</v>
      </c>
      <c r="E113" s="16" t="str">
        <f>VLOOKUP(B113,'Compiled Agents'!A:H,5,FALSE)</f>
        <v>Wave1</v>
      </c>
      <c r="F113" s="16" t="str">
        <f>VLOOKUP(B113,'Compiled Agents'!A:H,6,FALSE)</f>
        <v>Orange</v>
      </c>
      <c r="G113" s="16">
        <f>VLOOKUP($A113,'SurveyRpt_20150223 (1)'!$A$34:$AN$735,6,FALSE)</f>
        <v>14</v>
      </c>
      <c r="H113" s="16" t="str">
        <f>VLOOKUP($A113,'SurveyRpt_20150223 (1)'!$A$34:$AN$735,8,FALSE)</f>
        <v>Yes</v>
      </c>
      <c r="I113" s="16" t="str">
        <f>VLOOKUP($A113,'SurveyRpt_20150223 (1)'!$A$34:$AN$735,10,FALSE)</f>
        <v>Yes</v>
      </c>
      <c r="J113" s="16" t="str">
        <f>VLOOKUP($A113,'SurveyRpt_20150223 (1)'!$A$34:$AN$735,12,FALSE)</f>
        <v>Yes</v>
      </c>
      <c r="K113" s="16" t="str">
        <f>VLOOKUP($A113,'SurveyRpt_20150223 (1)'!$A$34:$AN$735,14,FALSE)</f>
        <v>Yes</v>
      </c>
      <c r="L113" s="16" t="str">
        <f>VLOOKUP($A113,'SurveyRpt_20150223 (1)'!$A$34:$AN$735,16,FALSE)</f>
        <v>Yes</v>
      </c>
      <c r="M113" s="16" t="str">
        <f>VLOOKUP($A113,'SurveyRpt_20150223 (1)'!$A$34:$AN$735,18,FALSE)</f>
        <v>Yes</v>
      </c>
      <c r="N113" s="16" t="str">
        <f>VLOOKUP($A113,'SurveyRpt_20150223 (1)'!$A$34:$AN$735,20,FALSE)</f>
        <v>Yes</v>
      </c>
      <c r="O113" s="16" t="str">
        <f>VLOOKUP($A113,'SurveyRpt_20150223 (1)'!$A$34:$AN$735,22,FALSE)</f>
        <v>Yes</v>
      </c>
      <c r="P113" s="16" t="str">
        <f>VLOOKUP($A113,'SurveyRpt_20150223 (1)'!$A$34:$AN$735,24,FALSE)</f>
        <v>Yes</v>
      </c>
      <c r="Q113" s="16" t="str">
        <f>VLOOKUP($A113,'SurveyRpt_20150223 (1)'!$A$34:$AN$735,26,FALSE)</f>
        <v>Yes</v>
      </c>
      <c r="R113" s="16" t="str">
        <f>VLOOKUP($A113,'SurveyRpt_20150223 (1)'!$A$34:$AN$735,28,FALSE)</f>
        <v>Yes</v>
      </c>
      <c r="S113" s="16" t="str">
        <f>VLOOKUP($A113,'SurveyRpt_20150223 (1)'!$A$34:$AN$735,30,FALSE)</f>
        <v>Yes</v>
      </c>
      <c r="T113" s="16" t="str">
        <f>VLOOKUP($A113,'SurveyRpt_20150223 (1)'!$A$34:$AN$735,32,FALSE)</f>
        <v>No</v>
      </c>
      <c r="U113" s="16" t="str">
        <f>VLOOKUP($A113,'SurveyRpt_20150223 (1)'!$A$34:$AN$735,34,FALSE)</f>
        <v>No</v>
      </c>
      <c r="V113" s="16" t="str">
        <f>VLOOKUP($A113,'SurveyRpt_20150223 (1)'!$A$34:$AN$735,36,FALSE)</f>
        <v>Yes</v>
      </c>
      <c r="W113" s="16" t="str">
        <f>VLOOKUP($A113,'SurveyRpt_20150223 (1)'!$A$34:$AN$735,38,FALSE)</f>
        <v>Yes</v>
      </c>
    </row>
    <row r="114" spans="1:23" ht="13.5" customHeight="1" x14ac:dyDescent="0.25">
      <c r="A114" s="19" t="s">
        <v>207</v>
      </c>
      <c r="B114" s="19" t="str">
        <f t="shared" si="1"/>
        <v>DUDAYA</v>
      </c>
      <c r="C114" s="16" t="str">
        <f>VLOOKUP(B114,'Compiled Agents'!A:H,2,FALSE)</f>
        <v>Platform</v>
      </c>
      <c r="D114" s="16" t="str">
        <f>VLOOKUP(B114,'Compiled Agents'!A:H,4,FALSE)</f>
        <v>Hyderabad</v>
      </c>
      <c r="E114" s="16" t="str">
        <f>VLOOKUP(B114,'Compiled Agents'!A:H,5,FALSE)</f>
        <v>Wave1</v>
      </c>
      <c r="F114" s="16" t="str">
        <f>VLOOKUP(B114,'Compiled Agents'!A:H,6,FALSE)</f>
        <v>Orange</v>
      </c>
      <c r="G114" s="16">
        <f>VLOOKUP($A114,'SurveyRpt_20150223 (1)'!$A$34:$AN$735,6,FALSE)</f>
        <v>16</v>
      </c>
      <c r="H114" s="16" t="str">
        <f>VLOOKUP($A114,'SurveyRpt_20150223 (1)'!$A$34:$AN$735,8,FALSE)</f>
        <v>Yes</v>
      </c>
      <c r="I114" s="16" t="str">
        <f>VLOOKUP($A114,'SurveyRpt_20150223 (1)'!$A$34:$AN$735,10,FALSE)</f>
        <v>Yes</v>
      </c>
      <c r="J114" s="16" t="str">
        <f>VLOOKUP($A114,'SurveyRpt_20150223 (1)'!$A$34:$AN$735,12,FALSE)</f>
        <v>Yes</v>
      </c>
      <c r="K114" s="16" t="str">
        <f>VLOOKUP($A114,'SurveyRpt_20150223 (1)'!$A$34:$AN$735,14,FALSE)</f>
        <v>Yes</v>
      </c>
      <c r="L114" s="16" t="str">
        <f>VLOOKUP($A114,'SurveyRpt_20150223 (1)'!$A$34:$AN$735,16,FALSE)</f>
        <v>Yes</v>
      </c>
      <c r="M114" s="16" t="str">
        <f>VLOOKUP($A114,'SurveyRpt_20150223 (1)'!$A$34:$AN$735,18,FALSE)</f>
        <v>Yes</v>
      </c>
      <c r="N114" s="16" t="str">
        <f>VLOOKUP($A114,'SurveyRpt_20150223 (1)'!$A$34:$AN$735,20,FALSE)</f>
        <v>Yes</v>
      </c>
      <c r="O114" s="16" t="str">
        <f>VLOOKUP($A114,'SurveyRpt_20150223 (1)'!$A$34:$AN$735,22,FALSE)</f>
        <v>Yes</v>
      </c>
      <c r="P114" s="16" t="str">
        <f>VLOOKUP($A114,'SurveyRpt_20150223 (1)'!$A$34:$AN$735,24,FALSE)</f>
        <v>Yes</v>
      </c>
      <c r="Q114" s="16" t="str">
        <f>VLOOKUP($A114,'SurveyRpt_20150223 (1)'!$A$34:$AN$735,26,FALSE)</f>
        <v>Yes</v>
      </c>
      <c r="R114" s="16" t="str">
        <f>VLOOKUP($A114,'SurveyRpt_20150223 (1)'!$A$34:$AN$735,28,FALSE)</f>
        <v>Yes</v>
      </c>
      <c r="S114" s="16" t="str">
        <f>VLOOKUP($A114,'SurveyRpt_20150223 (1)'!$A$34:$AN$735,30,FALSE)</f>
        <v>Yes</v>
      </c>
      <c r="T114" s="16" t="str">
        <f>VLOOKUP($A114,'SurveyRpt_20150223 (1)'!$A$34:$AN$735,32,FALSE)</f>
        <v>Yes</v>
      </c>
      <c r="U114" s="16" t="str">
        <f>VLOOKUP($A114,'SurveyRpt_20150223 (1)'!$A$34:$AN$735,34,FALSE)</f>
        <v>Yes</v>
      </c>
      <c r="V114" s="16" t="str">
        <f>VLOOKUP($A114,'SurveyRpt_20150223 (1)'!$A$34:$AN$735,36,FALSE)</f>
        <v>Yes</v>
      </c>
      <c r="W114" s="16" t="str">
        <f>VLOOKUP($A114,'SurveyRpt_20150223 (1)'!$A$34:$AN$735,38,FALSE)</f>
        <v>Yes</v>
      </c>
    </row>
    <row r="115" spans="1:23" ht="13.5" customHeight="1" x14ac:dyDescent="0.25">
      <c r="A115" s="19" t="s">
        <v>208</v>
      </c>
      <c r="B115" s="19" t="str">
        <f t="shared" si="1"/>
        <v>SMURAMSHETTY</v>
      </c>
      <c r="C115" s="16" t="str">
        <f>VLOOKUP(B115,'Compiled Agents'!A:H,2,FALSE)</f>
        <v>Platform</v>
      </c>
      <c r="D115" s="16" t="str">
        <f>VLOOKUP(B115,'Compiled Agents'!A:H,4,FALSE)</f>
        <v>Hyderabad</v>
      </c>
      <c r="E115" s="16" t="str">
        <f>VLOOKUP(B115,'Compiled Agents'!A:H,5,FALSE)</f>
        <v>Wave1</v>
      </c>
      <c r="F115" s="16" t="str">
        <f>VLOOKUP(B115,'Compiled Agents'!A:H,6,FALSE)</f>
        <v>Orange</v>
      </c>
      <c r="G115" s="16">
        <f>VLOOKUP($A115,'SurveyRpt_20150223 (1)'!$A$34:$AN$735,6,FALSE)</f>
        <v>16</v>
      </c>
      <c r="H115" s="16" t="str">
        <f>VLOOKUP($A115,'SurveyRpt_20150223 (1)'!$A$34:$AN$735,8,FALSE)</f>
        <v>Yes</v>
      </c>
      <c r="I115" s="16" t="str">
        <f>VLOOKUP($A115,'SurveyRpt_20150223 (1)'!$A$34:$AN$735,10,FALSE)</f>
        <v>Yes</v>
      </c>
      <c r="J115" s="16" t="str">
        <f>VLOOKUP($A115,'SurveyRpt_20150223 (1)'!$A$34:$AN$735,12,FALSE)</f>
        <v>Yes</v>
      </c>
      <c r="K115" s="16" t="str">
        <f>VLOOKUP($A115,'SurveyRpt_20150223 (1)'!$A$34:$AN$735,14,FALSE)</f>
        <v>Yes</v>
      </c>
      <c r="L115" s="16" t="str">
        <f>VLOOKUP($A115,'SurveyRpt_20150223 (1)'!$A$34:$AN$735,16,FALSE)</f>
        <v>Yes</v>
      </c>
      <c r="M115" s="16" t="str">
        <f>VLOOKUP($A115,'SurveyRpt_20150223 (1)'!$A$34:$AN$735,18,FALSE)</f>
        <v>Yes</v>
      </c>
      <c r="N115" s="16" t="str">
        <f>VLOOKUP($A115,'SurveyRpt_20150223 (1)'!$A$34:$AN$735,20,FALSE)</f>
        <v>Yes</v>
      </c>
      <c r="O115" s="16" t="str">
        <f>VLOOKUP($A115,'SurveyRpt_20150223 (1)'!$A$34:$AN$735,22,FALSE)</f>
        <v>Yes</v>
      </c>
      <c r="P115" s="16" t="str">
        <f>VLOOKUP($A115,'SurveyRpt_20150223 (1)'!$A$34:$AN$735,24,FALSE)</f>
        <v>Yes</v>
      </c>
      <c r="Q115" s="16" t="str">
        <f>VLOOKUP($A115,'SurveyRpt_20150223 (1)'!$A$34:$AN$735,26,FALSE)</f>
        <v>Yes</v>
      </c>
      <c r="R115" s="16" t="str">
        <f>VLOOKUP($A115,'SurveyRpt_20150223 (1)'!$A$34:$AN$735,28,FALSE)</f>
        <v>Yes</v>
      </c>
      <c r="S115" s="16" t="str">
        <f>VLOOKUP($A115,'SurveyRpt_20150223 (1)'!$A$34:$AN$735,30,FALSE)</f>
        <v>Yes</v>
      </c>
      <c r="T115" s="16" t="str">
        <f>VLOOKUP($A115,'SurveyRpt_20150223 (1)'!$A$34:$AN$735,32,FALSE)</f>
        <v>Yes</v>
      </c>
      <c r="U115" s="16" t="str">
        <f>VLOOKUP($A115,'SurveyRpt_20150223 (1)'!$A$34:$AN$735,34,FALSE)</f>
        <v>Yes</v>
      </c>
      <c r="V115" s="16" t="str">
        <f>VLOOKUP($A115,'SurveyRpt_20150223 (1)'!$A$34:$AN$735,36,FALSE)</f>
        <v>Yes</v>
      </c>
      <c r="W115" s="16" t="str">
        <f>VLOOKUP($A115,'SurveyRpt_20150223 (1)'!$A$34:$AN$735,38,FALSE)</f>
        <v>Yes</v>
      </c>
    </row>
    <row r="116" spans="1:23" ht="13.5" customHeight="1" x14ac:dyDescent="0.25">
      <c r="A116" s="19" t="s">
        <v>209</v>
      </c>
      <c r="B116" s="19" t="str">
        <f t="shared" si="1"/>
        <v>MFAIZAN</v>
      </c>
      <c r="C116" s="16" t="str">
        <f>VLOOKUP(B116,'Compiled Agents'!A:H,2,FALSE)</f>
        <v>Workplace</v>
      </c>
      <c r="D116" s="16" t="str">
        <f>VLOOKUP(B116,'Compiled Agents'!A:H,4,FALSE)</f>
        <v>Noida</v>
      </c>
      <c r="E116" s="16" t="str">
        <f>VLOOKUP(B116,'Compiled Agents'!A:H,5,FALSE)</f>
        <v>Wave1</v>
      </c>
      <c r="F116" s="16" t="str">
        <f>VLOOKUP(B116,'Compiled Agents'!A:H,6,FALSE)</f>
        <v>Blue</v>
      </c>
      <c r="G116" s="16">
        <f>VLOOKUP($A116,'SurveyRpt_20150223 (1)'!$A$34:$AN$735,6,FALSE)</f>
        <v>16</v>
      </c>
      <c r="H116" s="16" t="str">
        <f>VLOOKUP($A116,'SurveyRpt_20150223 (1)'!$A$34:$AN$735,8,FALSE)</f>
        <v>Yes</v>
      </c>
      <c r="I116" s="16" t="str">
        <f>VLOOKUP($A116,'SurveyRpt_20150223 (1)'!$A$34:$AN$735,10,FALSE)</f>
        <v>Yes</v>
      </c>
      <c r="J116" s="16" t="str">
        <f>VLOOKUP($A116,'SurveyRpt_20150223 (1)'!$A$34:$AN$735,12,FALSE)</f>
        <v>Yes</v>
      </c>
      <c r="K116" s="16" t="str">
        <f>VLOOKUP($A116,'SurveyRpt_20150223 (1)'!$A$34:$AN$735,14,FALSE)</f>
        <v>Yes</v>
      </c>
      <c r="L116" s="16" t="str">
        <f>VLOOKUP($A116,'SurveyRpt_20150223 (1)'!$A$34:$AN$735,16,FALSE)</f>
        <v>Yes</v>
      </c>
      <c r="M116" s="16" t="str">
        <f>VLOOKUP($A116,'SurveyRpt_20150223 (1)'!$A$34:$AN$735,18,FALSE)</f>
        <v>Yes</v>
      </c>
      <c r="N116" s="16" t="str">
        <f>VLOOKUP($A116,'SurveyRpt_20150223 (1)'!$A$34:$AN$735,20,FALSE)</f>
        <v>Yes</v>
      </c>
      <c r="O116" s="16" t="str">
        <f>VLOOKUP($A116,'SurveyRpt_20150223 (1)'!$A$34:$AN$735,22,FALSE)</f>
        <v>Yes</v>
      </c>
      <c r="P116" s="16" t="str">
        <f>VLOOKUP($A116,'SurveyRpt_20150223 (1)'!$A$34:$AN$735,24,FALSE)</f>
        <v>Yes</v>
      </c>
      <c r="Q116" s="16" t="str">
        <f>VLOOKUP($A116,'SurveyRpt_20150223 (1)'!$A$34:$AN$735,26,FALSE)</f>
        <v>Yes</v>
      </c>
      <c r="R116" s="16" t="str">
        <f>VLOOKUP($A116,'SurveyRpt_20150223 (1)'!$A$34:$AN$735,28,FALSE)</f>
        <v>Yes</v>
      </c>
      <c r="S116" s="16" t="str">
        <f>VLOOKUP($A116,'SurveyRpt_20150223 (1)'!$A$34:$AN$735,30,FALSE)</f>
        <v>Yes</v>
      </c>
      <c r="T116" s="16" t="str">
        <f>VLOOKUP($A116,'SurveyRpt_20150223 (1)'!$A$34:$AN$735,32,FALSE)</f>
        <v>Yes</v>
      </c>
      <c r="U116" s="16" t="str">
        <f>VLOOKUP($A116,'SurveyRpt_20150223 (1)'!$A$34:$AN$735,34,FALSE)</f>
        <v>Yes</v>
      </c>
      <c r="V116" s="16" t="str">
        <f>VLOOKUP($A116,'SurveyRpt_20150223 (1)'!$A$34:$AN$735,36,FALSE)</f>
        <v>Yes</v>
      </c>
      <c r="W116" s="16" t="str">
        <f>VLOOKUP($A116,'SurveyRpt_20150223 (1)'!$A$34:$AN$735,38,FALSE)</f>
        <v>Yes</v>
      </c>
    </row>
    <row r="117" spans="1:23" ht="13.5" customHeight="1" x14ac:dyDescent="0.25">
      <c r="A117" s="19" t="s">
        <v>210</v>
      </c>
      <c r="B117" s="19" t="str">
        <f t="shared" si="1"/>
        <v>SRAMDAS3</v>
      </c>
      <c r="C117" s="16" t="str">
        <f>VLOOKUP(B117,'Compiled Agents'!A:H,2,FALSE)</f>
        <v>Platform</v>
      </c>
      <c r="D117" s="16" t="str">
        <f>VLOOKUP(B117,'Compiled Agents'!A:H,4,FALSE)</f>
        <v>Hyderabad</v>
      </c>
      <c r="E117" s="16" t="str">
        <f>VLOOKUP(B117,'Compiled Agents'!A:H,5,FALSE)</f>
        <v>Wave1</v>
      </c>
      <c r="F117" s="16" t="str">
        <f>VLOOKUP(B117,'Compiled Agents'!A:H,6,FALSE)</f>
        <v>Purple</v>
      </c>
      <c r="G117" s="16">
        <f>VLOOKUP($A117,'SurveyRpt_20150223 (1)'!$A$34:$AN$735,6,FALSE)</f>
        <v>8</v>
      </c>
      <c r="H117" s="16" t="str">
        <f>VLOOKUP($A117,'SurveyRpt_20150223 (1)'!$A$34:$AN$735,8,FALSE)</f>
        <v>No</v>
      </c>
      <c r="I117" s="16" t="str">
        <f>VLOOKUP($A117,'SurveyRpt_20150223 (1)'!$A$34:$AN$735,10,FALSE)</f>
        <v>No</v>
      </c>
      <c r="J117" s="16" t="str">
        <f>VLOOKUP($A117,'SurveyRpt_20150223 (1)'!$A$34:$AN$735,12,FALSE)</f>
        <v>No</v>
      </c>
      <c r="K117" s="16" t="str">
        <f>VLOOKUP($A117,'SurveyRpt_20150223 (1)'!$A$34:$AN$735,14,FALSE)</f>
        <v>No</v>
      </c>
      <c r="L117" s="16" t="str">
        <f>VLOOKUP($A117,'SurveyRpt_20150223 (1)'!$A$34:$AN$735,16,FALSE)</f>
        <v>Yes</v>
      </c>
      <c r="M117" s="16" t="str">
        <f>VLOOKUP($A117,'SurveyRpt_20150223 (1)'!$A$34:$AN$735,18,FALSE)</f>
        <v>Yes</v>
      </c>
      <c r="N117" s="16" t="str">
        <f>VLOOKUP($A117,'SurveyRpt_20150223 (1)'!$A$34:$AN$735,20,FALSE)</f>
        <v>No</v>
      </c>
      <c r="O117" s="16" t="str">
        <f>VLOOKUP($A117,'SurveyRpt_20150223 (1)'!$A$34:$AN$735,22,FALSE)</f>
        <v>No</v>
      </c>
      <c r="P117" s="16" t="str">
        <f>VLOOKUP($A117,'SurveyRpt_20150223 (1)'!$A$34:$AN$735,24,FALSE)</f>
        <v>Yes</v>
      </c>
      <c r="Q117" s="16" t="str">
        <f>VLOOKUP($A117,'SurveyRpt_20150223 (1)'!$A$34:$AN$735,26,FALSE)</f>
        <v>Yes</v>
      </c>
      <c r="R117" s="16" t="str">
        <f>VLOOKUP($A117,'SurveyRpt_20150223 (1)'!$A$34:$AN$735,28,FALSE)</f>
        <v>Yes</v>
      </c>
      <c r="S117" s="16" t="str">
        <f>VLOOKUP($A117,'SurveyRpt_20150223 (1)'!$A$34:$AN$735,30,FALSE)</f>
        <v>Yes</v>
      </c>
      <c r="T117" s="16" t="str">
        <f>VLOOKUP($A117,'SurveyRpt_20150223 (1)'!$A$34:$AN$735,32,FALSE)</f>
        <v>Yes</v>
      </c>
      <c r="U117" s="16" t="str">
        <f>VLOOKUP($A117,'SurveyRpt_20150223 (1)'!$A$34:$AN$735,34,FALSE)</f>
        <v>Yes</v>
      </c>
      <c r="V117" s="16" t="str">
        <f>VLOOKUP($A117,'SurveyRpt_20150223 (1)'!$A$34:$AN$735,36,FALSE)</f>
        <v>No</v>
      </c>
      <c r="W117" s="16" t="str">
        <f>VLOOKUP($A117,'SurveyRpt_20150223 (1)'!$A$34:$AN$735,38,FALSE)</f>
        <v>No</v>
      </c>
    </row>
    <row r="118" spans="1:23" ht="13.5" customHeight="1" x14ac:dyDescent="0.25">
      <c r="A118" s="19" t="s">
        <v>211</v>
      </c>
      <c r="B118" s="19" t="str">
        <f t="shared" si="1"/>
        <v>PSHARMA203</v>
      </c>
      <c r="C118" s="16" t="str">
        <f>VLOOKUP(B118,'Compiled Agents'!A:H,2,FALSE)</f>
        <v>Workplace</v>
      </c>
      <c r="D118" s="16" t="str">
        <f>VLOOKUP(B118,'Compiled Agents'!A:H,4,FALSE)</f>
        <v>Noida</v>
      </c>
      <c r="E118" s="16" t="str">
        <f>VLOOKUP(B118,'Compiled Agents'!A:H,5,FALSE)</f>
        <v>Wave1</v>
      </c>
      <c r="F118" s="16" t="str">
        <f>VLOOKUP(B118,'Compiled Agents'!A:H,6,FALSE)</f>
        <v>Purple</v>
      </c>
      <c r="G118" s="16">
        <f>VLOOKUP($A118,'SurveyRpt_20150223 (1)'!$A$34:$AN$735,6,FALSE)</f>
        <v>9</v>
      </c>
      <c r="H118" s="16" t="str">
        <f>VLOOKUP($A118,'SurveyRpt_20150223 (1)'!$A$34:$AN$735,8,FALSE)</f>
        <v>Yes</v>
      </c>
      <c r="I118" s="16" t="str">
        <f>VLOOKUP($A118,'SurveyRpt_20150223 (1)'!$A$34:$AN$735,10,FALSE)</f>
        <v>Yes</v>
      </c>
      <c r="J118" s="16" t="str">
        <f>VLOOKUP($A118,'SurveyRpt_20150223 (1)'!$A$34:$AN$735,12,FALSE)</f>
        <v>Yes</v>
      </c>
      <c r="K118" s="16" t="str">
        <f>VLOOKUP($A118,'SurveyRpt_20150223 (1)'!$A$34:$AN$735,14,FALSE)</f>
        <v>No</v>
      </c>
      <c r="L118" s="16" t="str">
        <f>VLOOKUP($A118,'SurveyRpt_20150223 (1)'!$A$34:$AN$735,16,FALSE)</f>
        <v>Yes</v>
      </c>
      <c r="M118" s="16" t="str">
        <f>VLOOKUP($A118,'SurveyRpt_20150223 (1)'!$A$34:$AN$735,18,FALSE)</f>
        <v>Yes</v>
      </c>
      <c r="N118" s="16" t="str">
        <f>VLOOKUP($A118,'SurveyRpt_20150223 (1)'!$A$34:$AN$735,20,FALSE)</f>
        <v>Yes</v>
      </c>
      <c r="O118" s="16" t="str">
        <f>VLOOKUP($A118,'SurveyRpt_20150223 (1)'!$A$34:$AN$735,22,FALSE)</f>
        <v>No</v>
      </c>
      <c r="P118" s="16" t="str">
        <f>VLOOKUP($A118,'SurveyRpt_20150223 (1)'!$A$34:$AN$735,24,FALSE)</f>
        <v>No</v>
      </c>
      <c r="Q118" s="16" t="str">
        <f>VLOOKUP($A118,'SurveyRpt_20150223 (1)'!$A$34:$AN$735,26,FALSE)</f>
        <v>No</v>
      </c>
      <c r="R118" s="16" t="str">
        <f>VLOOKUP($A118,'SurveyRpt_20150223 (1)'!$A$34:$AN$735,28,FALSE)</f>
        <v>No</v>
      </c>
      <c r="S118" s="16" t="str">
        <f>VLOOKUP($A118,'SurveyRpt_20150223 (1)'!$A$34:$AN$735,30,FALSE)</f>
        <v>Yes</v>
      </c>
      <c r="T118" s="16" t="str">
        <f>VLOOKUP($A118,'SurveyRpt_20150223 (1)'!$A$34:$AN$735,32,FALSE)</f>
        <v>Yes</v>
      </c>
      <c r="U118" s="16" t="str">
        <f>VLOOKUP($A118,'SurveyRpt_20150223 (1)'!$A$34:$AN$735,34,FALSE)</f>
        <v>No</v>
      </c>
      <c r="V118" s="16" t="str">
        <f>VLOOKUP($A118,'SurveyRpt_20150223 (1)'!$A$34:$AN$735,36,FALSE)</f>
        <v>Yes</v>
      </c>
      <c r="W118" s="16" t="str">
        <f>VLOOKUP($A118,'SurveyRpt_20150223 (1)'!$A$34:$AN$735,38,FALSE)</f>
        <v>No</v>
      </c>
    </row>
    <row r="119" spans="1:23" ht="13.5" customHeight="1" x14ac:dyDescent="0.25">
      <c r="A119" s="19" t="s">
        <v>212</v>
      </c>
      <c r="B119" s="19" t="str">
        <f t="shared" si="1"/>
        <v>AGUPTA312</v>
      </c>
      <c r="C119" s="16" t="str">
        <f>VLOOKUP(B119,'Compiled Agents'!A:H,2,FALSE)</f>
        <v>Workplace</v>
      </c>
      <c r="D119" s="16" t="str">
        <f>VLOOKUP(B119,'Compiled Agents'!A:H,4,FALSE)</f>
        <v>Hyderabad</v>
      </c>
      <c r="E119" s="16" t="str">
        <f>VLOOKUP(B119,'Compiled Agents'!A:H,5,FALSE)</f>
        <v>Wave2</v>
      </c>
      <c r="F119" s="16" t="str">
        <f>VLOOKUP(B119,'Compiled Agents'!A:H,6,FALSE)</f>
        <v>Blue</v>
      </c>
      <c r="G119" s="16">
        <f>VLOOKUP($A119,'SurveyRpt_20150223 (1)'!$A$34:$AN$735,6,FALSE)</f>
        <v>16</v>
      </c>
      <c r="H119" s="16" t="str">
        <f>VLOOKUP($A119,'SurveyRpt_20150223 (1)'!$A$34:$AN$735,8,FALSE)</f>
        <v>Yes</v>
      </c>
      <c r="I119" s="16" t="str">
        <f>VLOOKUP($A119,'SurveyRpt_20150223 (1)'!$A$34:$AN$735,10,FALSE)</f>
        <v>Yes</v>
      </c>
      <c r="J119" s="16" t="str">
        <f>VLOOKUP($A119,'SurveyRpt_20150223 (1)'!$A$34:$AN$735,12,FALSE)</f>
        <v>Yes</v>
      </c>
      <c r="K119" s="16" t="str">
        <f>VLOOKUP($A119,'SurveyRpt_20150223 (1)'!$A$34:$AN$735,14,FALSE)</f>
        <v>Yes</v>
      </c>
      <c r="L119" s="16" t="str">
        <f>VLOOKUP($A119,'SurveyRpt_20150223 (1)'!$A$34:$AN$735,16,FALSE)</f>
        <v>Yes</v>
      </c>
      <c r="M119" s="16" t="str">
        <f>VLOOKUP($A119,'SurveyRpt_20150223 (1)'!$A$34:$AN$735,18,FALSE)</f>
        <v>Yes</v>
      </c>
      <c r="N119" s="16" t="str">
        <f>VLOOKUP($A119,'SurveyRpt_20150223 (1)'!$A$34:$AN$735,20,FALSE)</f>
        <v>Yes</v>
      </c>
      <c r="O119" s="16" t="str">
        <f>VLOOKUP($A119,'SurveyRpt_20150223 (1)'!$A$34:$AN$735,22,FALSE)</f>
        <v>Yes</v>
      </c>
      <c r="P119" s="16" t="str">
        <f>VLOOKUP($A119,'SurveyRpt_20150223 (1)'!$A$34:$AN$735,24,FALSE)</f>
        <v>Yes</v>
      </c>
      <c r="Q119" s="16" t="str">
        <f>VLOOKUP($A119,'SurveyRpt_20150223 (1)'!$A$34:$AN$735,26,FALSE)</f>
        <v>Yes</v>
      </c>
      <c r="R119" s="16" t="str">
        <f>VLOOKUP($A119,'SurveyRpt_20150223 (1)'!$A$34:$AN$735,28,FALSE)</f>
        <v>Yes</v>
      </c>
      <c r="S119" s="16" t="str">
        <f>VLOOKUP($A119,'SurveyRpt_20150223 (1)'!$A$34:$AN$735,30,FALSE)</f>
        <v>Yes</v>
      </c>
      <c r="T119" s="16" t="str">
        <f>VLOOKUP($A119,'SurveyRpt_20150223 (1)'!$A$34:$AN$735,32,FALSE)</f>
        <v>Yes</v>
      </c>
      <c r="U119" s="16" t="str">
        <f>VLOOKUP($A119,'SurveyRpt_20150223 (1)'!$A$34:$AN$735,34,FALSE)</f>
        <v>Yes</v>
      </c>
      <c r="V119" s="16" t="str">
        <f>VLOOKUP($A119,'SurveyRpt_20150223 (1)'!$A$34:$AN$735,36,FALSE)</f>
        <v>Yes</v>
      </c>
      <c r="W119" s="16" t="str">
        <f>VLOOKUP($A119,'SurveyRpt_20150223 (1)'!$A$34:$AN$735,38,FALSE)</f>
        <v>Yes</v>
      </c>
    </row>
    <row r="120" spans="1:23" ht="13.5" customHeight="1" x14ac:dyDescent="0.25">
      <c r="A120" s="19" t="s">
        <v>213</v>
      </c>
      <c r="B120" s="19" t="str">
        <f t="shared" si="1"/>
        <v>GKARAMSETTY</v>
      </c>
      <c r="C120" s="16" t="str">
        <f>VLOOKUP(B120,'Compiled Agents'!A:H,2,FALSE)</f>
        <v>Platform</v>
      </c>
      <c r="D120" s="16" t="str">
        <f>VLOOKUP(B120,'Compiled Agents'!A:H,4,FALSE)</f>
        <v>Noida</v>
      </c>
      <c r="E120" s="16" t="str">
        <f>VLOOKUP(B120,'Compiled Agents'!A:H,5,FALSE)</f>
        <v>Wave2</v>
      </c>
      <c r="F120" s="16" t="str">
        <f>VLOOKUP(B120,'Compiled Agents'!A:H,6,FALSE)</f>
        <v>Blue</v>
      </c>
      <c r="G120" s="16">
        <f>VLOOKUP($A120,'SurveyRpt_20150223 (1)'!$A$34:$AN$735,6,FALSE)</f>
        <v>16</v>
      </c>
      <c r="H120" s="16" t="str">
        <f>VLOOKUP($A120,'SurveyRpt_20150223 (1)'!$A$34:$AN$735,8,FALSE)</f>
        <v>Yes</v>
      </c>
      <c r="I120" s="16" t="str">
        <f>VLOOKUP($A120,'SurveyRpt_20150223 (1)'!$A$34:$AN$735,10,FALSE)</f>
        <v>Yes</v>
      </c>
      <c r="J120" s="16" t="str">
        <f>VLOOKUP($A120,'SurveyRpt_20150223 (1)'!$A$34:$AN$735,12,FALSE)</f>
        <v>Yes</v>
      </c>
      <c r="K120" s="16" t="str">
        <f>VLOOKUP($A120,'SurveyRpt_20150223 (1)'!$A$34:$AN$735,14,FALSE)</f>
        <v>Yes</v>
      </c>
      <c r="L120" s="16" t="str">
        <f>VLOOKUP($A120,'SurveyRpt_20150223 (1)'!$A$34:$AN$735,16,FALSE)</f>
        <v>Yes</v>
      </c>
      <c r="M120" s="16" t="str">
        <f>VLOOKUP($A120,'SurveyRpt_20150223 (1)'!$A$34:$AN$735,18,FALSE)</f>
        <v>Yes</v>
      </c>
      <c r="N120" s="16" t="str">
        <f>VLOOKUP($A120,'SurveyRpt_20150223 (1)'!$A$34:$AN$735,20,FALSE)</f>
        <v>Yes</v>
      </c>
      <c r="O120" s="16" t="str">
        <f>VLOOKUP($A120,'SurveyRpt_20150223 (1)'!$A$34:$AN$735,22,FALSE)</f>
        <v>Yes</v>
      </c>
      <c r="P120" s="16" t="str">
        <f>VLOOKUP($A120,'SurveyRpt_20150223 (1)'!$A$34:$AN$735,24,FALSE)</f>
        <v>Yes</v>
      </c>
      <c r="Q120" s="16" t="str">
        <f>VLOOKUP($A120,'SurveyRpt_20150223 (1)'!$A$34:$AN$735,26,FALSE)</f>
        <v>Yes</v>
      </c>
      <c r="R120" s="16" t="str">
        <f>VLOOKUP($A120,'SurveyRpt_20150223 (1)'!$A$34:$AN$735,28,FALSE)</f>
        <v>Yes</v>
      </c>
      <c r="S120" s="16" t="str">
        <f>VLOOKUP($A120,'SurveyRpt_20150223 (1)'!$A$34:$AN$735,30,FALSE)</f>
        <v>Yes</v>
      </c>
      <c r="T120" s="16" t="str">
        <f>VLOOKUP($A120,'SurveyRpt_20150223 (1)'!$A$34:$AN$735,32,FALSE)</f>
        <v>Yes</v>
      </c>
      <c r="U120" s="16" t="str">
        <f>VLOOKUP($A120,'SurveyRpt_20150223 (1)'!$A$34:$AN$735,34,FALSE)</f>
        <v>Yes</v>
      </c>
      <c r="V120" s="16" t="str">
        <f>VLOOKUP($A120,'SurveyRpt_20150223 (1)'!$A$34:$AN$735,36,FALSE)</f>
        <v>Yes</v>
      </c>
      <c r="W120" s="16" t="str">
        <f>VLOOKUP($A120,'SurveyRpt_20150223 (1)'!$A$34:$AN$735,38,FALSE)</f>
        <v>Yes</v>
      </c>
    </row>
    <row r="121" spans="1:23" ht="13.5" customHeight="1" x14ac:dyDescent="0.25">
      <c r="A121" s="19" t="s">
        <v>214</v>
      </c>
      <c r="B121" s="19" t="str">
        <f t="shared" si="1"/>
        <v>VKONDAPALLI3</v>
      </c>
      <c r="C121" s="16" t="str">
        <f>VLOOKUP(B121,'Compiled Agents'!A:H,2,FALSE)</f>
        <v>Platform</v>
      </c>
      <c r="D121" s="16" t="str">
        <f>VLOOKUP(B121,'Compiled Agents'!A:H,4,FALSE)</f>
        <v>Noida</v>
      </c>
      <c r="E121" s="16" t="str">
        <f>VLOOKUP(B121,'Compiled Agents'!A:H,5,FALSE)</f>
        <v>Wave2</v>
      </c>
      <c r="F121" s="16" t="str">
        <f>VLOOKUP(B121,'Compiled Agents'!A:H,6,FALSE)</f>
        <v>Purple</v>
      </c>
      <c r="G121" s="16">
        <f>VLOOKUP($A121,'SurveyRpt_20150223 (1)'!$A$34:$AN$735,6,FALSE)</f>
        <v>14</v>
      </c>
      <c r="H121" s="16" t="str">
        <f>VLOOKUP($A121,'SurveyRpt_20150223 (1)'!$A$34:$AN$735,8,FALSE)</f>
        <v>Yes</v>
      </c>
      <c r="I121" s="16" t="str">
        <f>VLOOKUP($A121,'SurveyRpt_20150223 (1)'!$A$34:$AN$735,10,FALSE)</f>
        <v>No</v>
      </c>
      <c r="J121" s="16" t="str">
        <f>VLOOKUP($A121,'SurveyRpt_20150223 (1)'!$A$34:$AN$735,12,FALSE)</f>
        <v>No</v>
      </c>
      <c r="K121" s="16" t="str">
        <f>VLOOKUP($A121,'SurveyRpt_20150223 (1)'!$A$34:$AN$735,14,FALSE)</f>
        <v>Yes</v>
      </c>
      <c r="L121" s="16" t="str">
        <f>VLOOKUP($A121,'SurveyRpt_20150223 (1)'!$A$34:$AN$735,16,FALSE)</f>
        <v>Yes</v>
      </c>
      <c r="M121" s="16" t="str">
        <f>VLOOKUP($A121,'SurveyRpt_20150223 (1)'!$A$34:$AN$735,18,FALSE)</f>
        <v>Yes</v>
      </c>
      <c r="N121" s="16" t="str">
        <f>VLOOKUP($A121,'SurveyRpt_20150223 (1)'!$A$34:$AN$735,20,FALSE)</f>
        <v>Yes</v>
      </c>
      <c r="O121" s="16" t="str">
        <f>VLOOKUP($A121,'SurveyRpt_20150223 (1)'!$A$34:$AN$735,22,FALSE)</f>
        <v>Yes</v>
      </c>
      <c r="P121" s="16" t="str">
        <f>VLOOKUP($A121,'SurveyRpt_20150223 (1)'!$A$34:$AN$735,24,FALSE)</f>
        <v>Yes</v>
      </c>
      <c r="Q121" s="16" t="str">
        <f>VLOOKUP($A121,'SurveyRpt_20150223 (1)'!$A$34:$AN$735,26,FALSE)</f>
        <v>Yes</v>
      </c>
      <c r="R121" s="16" t="str">
        <f>VLOOKUP($A121,'SurveyRpt_20150223 (1)'!$A$34:$AN$735,28,FALSE)</f>
        <v>Yes</v>
      </c>
      <c r="S121" s="16" t="str">
        <f>VLOOKUP($A121,'SurveyRpt_20150223 (1)'!$A$34:$AN$735,30,FALSE)</f>
        <v>Yes</v>
      </c>
      <c r="T121" s="16" t="str">
        <f>VLOOKUP($A121,'SurveyRpt_20150223 (1)'!$A$34:$AN$735,32,FALSE)</f>
        <v>Yes</v>
      </c>
      <c r="U121" s="16" t="str">
        <f>VLOOKUP($A121,'SurveyRpt_20150223 (1)'!$A$34:$AN$735,34,FALSE)</f>
        <v>Yes</v>
      </c>
      <c r="V121" s="16" t="str">
        <f>VLOOKUP($A121,'SurveyRpt_20150223 (1)'!$A$34:$AN$735,36,FALSE)</f>
        <v>Yes</v>
      </c>
      <c r="W121" s="16" t="str">
        <f>VLOOKUP($A121,'SurveyRpt_20150223 (1)'!$A$34:$AN$735,38,FALSE)</f>
        <v>Yes</v>
      </c>
    </row>
    <row r="122" spans="1:23" ht="13.5" customHeight="1" x14ac:dyDescent="0.25">
      <c r="A122" s="19" t="s">
        <v>215</v>
      </c>
      <c r="B122" s="19" t="str">
        <f t="shared" si="1"/>
        <v>dcherry4</v>
      </c>
      <c r="C122" s="16" t="str">
        <f>VLOOKUP(B122,'Compiled Agents'!A:H,2,FALSE)</f>
        <v>Platform</v>
      </c>
      <c r="D122" s="16" t="str">
        <f>VLOOKUP(B122,'Compiled Agents'!A:H,4,FALSE)</f>
        <v>MBC US</v>
      </c>
      <c r="E122" s="16" t="str">
        <f>VLOOKUP(B122,'Compiled Agents'!A:H,5,FALSE)</f>
        <v>Wave2</v>
      </c>
      <c r="F122" s="16" t="str">
        <f>VLOOKUP(B122,'Compiled Agents'!A:H,6,FALSE)</f>
        <v>Orange</v>
      </c>
      <c r="G122" s="16">
        <f>VLOOKUP($A122,'SurveyRpt_20150223 (1)'!$A$34:$AN$735,6,FALSE)</f>
        <v>6</v>
      </c>
      <c r="H122" s="16" t="str">
        <f>VLOOKUP($A122,'SurveyRpt_20150223 (1)'!$A$34:$AN$735,8,FALSE)</f>
        <v>No</v>
      </c>
      <c r="I122" s="16" t="str">
        <f>VLOOKUP($A122,'SurveyRpt_20150223 (1)'!$A$34:$AN$735,10,FALSE)</f>
        <v>No</v>
      </c>
      <c r="J122" s="16" t="str">
        <f>VLOOKUP($A122,'SurveyRpt_20150223 (1)'!$A$34:$AN$735,12,FALSE)</f>
        <v>Yes</v>
      </c>
      <c r="K122" s="16" t="str">
        <f>VLOOKUP($A122,'SurveyRpt_20150223 (1)'!$A$34:$AN$735,14,FALSE)</f>
        <v>No</v>
      </c>
      <c r="L122" s="16" t="str">
        <f>VLOOKUP($A122,'SurveyRpt_20150223 (1)'!$A$34:$AN$735,16,FALSE)</f>
        <v>No</v>
      </c>
      <c r="M122" s="16" t="str">
        <f>VLOOKUP($A122,'SurveyRpt_20150223 (1)'!$A$34:$AN$735,18,FALSE)</f>
        <v>No</v>
      </c>
      <c r="N122" s="16" t="str">
        <f>VLOOKUP($A122,'SurveyRpt_20150223 (1)'!$A$34:$AN$735,20,FALSE)</f>
        <v>No</v>
      </c>
      <c r="O122" s="16" t="str">
        <f>VLOOKUP($A122,'SurveyRpt_20150223 (1)'!$A$34:$AN$735,22,FALSE)</f>
        <v>Yes</v>
      </c>
      <c r="P122" s="16" t="str">
        <f>VLOOKUP($A122,'SurveyRpt_20150223 (1)'!$A$34:$AN$735,24,FALSE)</f>
        <v>Yes</v>
      </c>
      <c r="Q122" s="16" t="str">
        <f>VLOOKUP($A122,'SurveyRpt_20150223 (1)'!$A$34:$AN$735,26,FALSE)</f>
        <v>Yes</v>
      </c>
      <c r="R122" s="16" t="str">
        <f>VLOOKUP($A122,'SurveyRpt_20150223 (1)'!$A$34:$AN$735,28,FALSE)</f>
        <v>Yes</v>
      </c>
      <c r="S122" s="16" t="str">
        <f>VLOOKUP($A122,'SurveyRpt_20150223 (1)'!$A$34:$AN$735,30,FALSE)</f>
        <v>Yes</v>
      </c>
      <c r="T122" s="16" t="str">
        <f>VLOOKUP($A122,'SurveyRpt_20150223 (1)'!$A$34:$AN$735,32,FALSE)</f>
        <v>No</v>
      </c>
      <c r="U122" s="16" t="str">
        <f>VLOOKUP($A122,'SurveyRpt_20150223 (1)'!$A$34:$AN$735,34,FALSE)</f>
        <v>No</v>
      </c>
      <c r="V122" s="16" t="str">
        <f>VLOOKUP($A122,'SurveyRpt_20150223 (1)'!$A$34:$AN$735,36,FALSE)</f>
        <v>No</v>
      </c>
      <c r="W122" s="16" t="str">
        <f>VLOOKUP($A122,'SurveyRpt_20150223 (1)'!$A$34:$AN$735,38,FALSE)</f>
        <v>No</v>
      </c>
    </row>
    <row r="123" spans="1:23" ht="13.5" customHeight="1" x14ac:dyDescent="0.25">
      <c r="A123" s="19" t="s">
        <v>216</v>
      </c>
      <c r="B123" s="19" t="str">
        <f t="shared" si="1"/>
        <v>kbecker5</v>
      </c>
      <c r="C123" s="16" t="str">
        <f>VLOOKUP(B123,'Compiled Agents'!A:H,2,FALSE)</f>
        <v>Platform</v>
      </c>
      <c r="D123" s="16" t="str">
        <f>VLOOKUP(B123,'Compiled Agents'!A:H,4,FALSE)</f>
        <v>MBC US</v>
      </c>
      <c r="E123" s="16" t="str">
        <f>VLOOKUP(B123,'Compiled Agents'!A:H,5,FALSE)</f>
        <v>Wave2</v>
      </c>
      <c r="F123" s="16" t="str">
        <f>VLOOKUP(B123,'Compiled Agents'!A:H,6,FALSE)</f>
        <v>Yellow</v>
      </c>
      <c r="G123" s="16">
        <f>VLOOKUP($A123,'SurveyRpt_20150223 (1)'!$A$34:$AN$735,6,FALSE)</f>
        <v>4</v>
      </c>
      <c r="H123" s="16" t="str">
        <f>VLOOKUP($A123,'SurveyRpt_20150223 (1)'!$A$34:$AN$735,8,FALSE)</f>
        <v>No</v>
      </c>
      <c r="I123" s="16" t="str">
        <f>VLOOKUP($A123,'SurveyRpt_20150223 (1)'!$A$34:$AN$735,10,FALSE)</f>
        <v>No</v>
      </c>
      <c r="J123" s="16" t="str">
        <f>VLOOKUP($A123,'SurveyRpt_20150223 (1)'!$A$34:$AN$735,12,FALSE)</f>
        <v>No</v>
      </c>
      <c r="K123" s="16" t="str">
        <f>VLOOKUP($A123,'SurveyRpt_20150223 (1)'!$A$34:$AN$735,14,FALSE)</f>
        <v>No</v>
      </c>
      <c r="L123" s="16" t="str">
        <f>VLOOKUP($A123,'SurveyRpt_20150223 (1)'!$A$34:$AN$735,16,FALSE)</f>
        <v>No</v>
      </c>
      <c r="M123" s="16" t="str">
        <f>VLOOKUP($A123,'SurveyRpt_20150223 (1)'!$A$34:$AN$735,18,FALSE)</f>
        <v>Yes</v>
      </c>
      <c r="N123" s="16" t="str">
        <f>VLOOKUP($A123,'SurveyRpt_20150223 (1)'!$A$34:$AN$735,20,FALSE)</f>
        <v>No</v>
      </c>
      <c r="O123" s="16" t="str">
        <f>VLOOKUP($A123,'SurveyRpt_20150223 (1)'!$A$34:$AN$735,22,FALSE)</f>
        <v>Yes</v>
      </c>
      <c r="P123" s="16" t="str">
        <f>VLOOKUP($A123,'SurveyRpt_20150223 (1)'!$A$34:$AN$735,24,FALSE)</f>
        <v>No</v>
      </c>
      <c r="Q123" s="16" t="str">
        <f>VLOOKUP($A123,'SurveyRpt_20150223 (1)'!$A$34:$AN$735,26,FALSE)</f>
        <v>No</v>
      </c>
      <c r="R123" s="16" t="str">
        <f>VLOOKUP($A123,'SurveyRpt_20150223 (1)'!$A$34:$AN$735,28,FALSE)</f>
        <v>No</v>
      </c>
      <c r="S123" s="16" t="str">
        <f>VLOOKUP($A123,'SurveyRpt_20150223 (1)'!$A$34:$AN$735,30,FALSE)</f>
        <v>No</v>
      </c>
      <c r="T123" s="16" t="str">
        <f>VLOOKUP($A123,'SurveyRpt_20150223 (1)'!$A$34:$AN$735,32,FALSE)</f>
        <v>No</v>
      </c>
      <c r="U123" s="16" t="str">
        <f>VLOOKUP($A123,'SurveyRpt_20150223 (1)'!$A$34:$AN$735,34,FALSE)</f>
        <v>Yes</v>
      </c>
      <c r="V123" s="16" t="str">
        <f>VLOOKUP($A123,'SurveyRpt_20150223 (1)'!$A$34:$AN$735,36,FALSE)</f>
        <v>Yes</v>
      </c>
      <c r="W123" s="16" t="str">
        <f>VLOOKUP($A123,'SurveyRpt_20150223 (1)'!$A$34:$AN$735,38,FALSE)</f>
        <v>No</v>
      </c>
    </row>
    <row r="124" spans="1:23" ht="13.5" customHeight="1" x14ac:dyDescent="0.25">
      <c r="A124" s="19" t="s">
        <v>217</v>
      </c>
      <c r="B124" s="19" t="str">
        <f t="shared" si="1"/>
        <v>cmullinar</v>
      </c>
      <c r="C124" s="16" t="str">
        <f>VLOOKUP(B124,'Compiled Agents'!A:H,2,FALSE)</f>
        <v>Workplace</v>
      </c>
      <c r="D124" s="16" t="str">
        <f>VLOOKUP(B124,'Compiled Agents'!A:H,4,FALSE)</f>
        <v>MBC US</v>
      </c>
      <c r="E124" s="16" t="str">
        <f>VLOOKUP(B124,'Compiled Agents'!A:H,5,FALSE)</f>
        <v>Wave2</v>
      </c>
      <c r="F124" s="16" t="str">
        <f>VLOOKUP(B124,'Compiled Agents'!A:H,6,FALSE)</f>
        <v>Yellow</v>
      </c>
      <c r="G124" s="16">
        <f>VLOOKUP($A124,'SurveyRpt_20150223 (1)'!$A$34:$AN$735,6,FALSE)</f>
        <v>13</v>
      </c>
      <c r="H124" s="16" t="str">
        <f>VLOOKUP($A124,'SurveyRpt_20150223 (1)'!$A$34:$AN$735,8,FALSE)</f>
        <v>Yes</v>
      </c>
      <c r="I124" s="16" t="str">
        <f>VLOOKUP($A124,'SurveyRpt_20150223 (1)'!$A$34:$AN$735,10,FALSE)</f>
        <v>Yes</v>
      </c>
      <c r="J124" s="16" t="str">
        <f>VLOOKUP($A124,'SurveyRpt_20150223 (1)'!$A$34:$AN$735,12,FALSE)</f>
        <v>Yes</v>
      </c>
      <c r="K124" s="16" t="str">
        <f>VLOOKUP($A124,'SurveyRpt_20150223 (1)'!$A$34:$AN$735,14,FALSE)</f>
        <v>Yes</v>
      </c>
      <c r="L124" s="16" t="str">
        <f>VLOOKUP($A124,'SurveyRpt_20150223 (1)'!$A$34:$AN$735,16,FALSE)</f>
        <v>Yes</v>
      </c>
      <c r="M124" s="16" t="str">
        <f>VLOOKUP($A124,'SurveyRpt_20150223 (1)'!$A$34:$AN$735,18,FALSE)</f>
        <v>Yes</v>
      </c>
      <c r="N124" s="16" t="str">
        <f>VLOOKUP($A124,'SurveyRpt_20150223 (1)'!$A$34:$AN$735,20,FALSE)</f>
        <v>No</v>
      </c>
      <c r="O124" s="16" t="str">
        <f>VLOOKUP($A124,'SurveyRpt_20150223 (1)'!$A$34:$AN$735,22,FALSE)</f>
        <v>Yes</v>
      </c>
      <c r="P124" s="16" t="str">
        <f>VLOOKUP($A124,'SurveyRpt_20150223 (1)'!$A$34:$AN$735,24,FALSE)</f>
        <v>Yes</v>
      </c>
      <c r="Q124" s="16" t="str">
        <f>VLOOKUP($A124,'SurveyRpt_20150223 (1)'!$A$34:$AN$735,26,FALSE)</f>
        <v>Yes</v>
      </c>
      <c r="R124" s="16" t="str">
        <f>VLOOKUP($A124,'SurveyRpt_20150223 (1)'!$A$34:$AN$735,28,FALSE)</f>
        <v>Yes</v>
      </c>
      <c r="S124" s="16" t="str">
        <f>VLOOKUP($A124,'SurveyRpt_20150223 (1)'!$A$34:$AN$735,30,FALSE)</f>
        <v>No</v>
      </c>
      <c r="T124" s="16" t="str">
        <f>VLOOKUP($A124,'SurveyRpt_20150223 (1)'!$A$34:$AN$735,32,FALSE)</f>
        <v>Yes</v>
      </c>
      <c r="U124" s="16" t="str">
        <f>VLOOKUP($A124,'SurveyRpt_20150223 (1)'!$A$34:$AN$735,34,FALSE)</f>
        <v>Yes</v>
      </c>
      <c r="V124" s="16" t="str">
        <f>VLOOKUP($A124,'SurveyRpt_20150223 (1)'!$A$34:$AN$735,36,FALSE)</f>
        <v>Yes</v>
      </c>
      <c r="W124" s="16" t="str">
        <f>VLOOKUP($A124,'SurveyRpt_20150223 (1)'!$A$34:$AN$735,38,FALSE)</f>
        <v>No</v>
      </c>
    </row>
    <row r="125" spans="1:23" ht="13.5" customHeight="1" x14ac:dyDescent="0.25">
      <c r="A125" s="19" t="s">
        <v>218</v>
      </c>
      <c r="B125" s="19" t="str">
        <f t="shared" si="1"/>
        <v>SDONDAPATI3</v>
      </c>
      <c r="C125" s="16" t="str">
        <f>VLOOKUP(B125,'Compiled Agents'!A:H,2,FALSE)</f>
        <v>Platform</v>
      </c>
      <c r="D125" s="16" t="str">
        <f>VLOOKUP(B125,'Compiled Agents'!A:H,4,FALSE)</f>
        <v>Noida</v>
      </c>
      <c r="E125" s="16" t="str">
        <f>VLOOKUP(B125,'Compiled Agents'!A:H,5,FALSE)</f>
        <v>Wave2</v>
      </c>
      <c r="F125" s="16" t="str">
        <f>VLOOKUP(B125,'Compiled Agents'!A:H,6,FALSE)</f>
        <v>Purple</v>
      </c>
      <c r="G125" s="16">
        <f>VLOOKUP($A125,'SurveyRpt_20150223 (1)'!$A$34:$AN$735,6,FALSE)</f>
        <v>7</v>
      </c>
      <c r="H125" s="16" t="str">
        <f>VLOOKUP($A125,'SurveyRpt_20150223 (1)'!$A$34:$AN$735,8,FALSE)</f>
        <v>Yes</v>
      </c>
      <c r="I125" s="16" t="str">
        <f>VLOOKUP($A125,'SurveyRpt_20150223 (1)'!$A$34:$AN$735,10,FALSE)</f>
        <v>Yes</v>
      </c>
      <c r="J125" s="16" t="str">
        <f>VLOOKUP($A125,'SurveyRpt_20150223 (1)'!$A$34:$AN$735,12,FALSE)</f>
        <v>No</v>
      </c>
      <c r="K125" s="16" t="str">
        <f>VLOOKUP($A125,'SurveyRpt_20150223 (1)'!$A$34:$AN$735,14,FALSE)</f>
        <v>No</v>
      </c>
      <c r="L125" s="16" t="str">
        <f>VLOOKUP($A125,'SurveyRpt_20150223 (1)'!$A$34:$AN$735,16,FALSE)</f>
        <v>Yes</v>
      </c>
      <c r="M125" s="16" t="str">
        <f>VLOOKUP($A125,'SurveyRpt_20150223 (1)'!$A$34:$AN$735,18,FALSE)</f>
        <v>Yes</v>
      </c>
      <c r="N125" s="16" t="str">
        <f>VLOOKUP($A125,'SurveyRpt_20150223 (1)'!$A$34:$AN$735,20,FALSE)</f>
        <v>No</v>
      </c>
      <c r="O125" s="16" t="str">
        <f>VLOOKUP($A125,'SurveyRpt_20150223 (1)'!$A$34:$AN$735,22,FALSE)</f>
        <v>No</v>
      </c>
      <c r="P125" s="16" t="str">
        <f>VLOOKUP($A125,'SurveyRpt_20150223 (1)'!$A$34:$AN$735,24,FALSE)</f>
        <v>No</v>
      </c>
      <c r="Q125" s="16" t="str">
        <f>VLOOKUP($A125,'SurveyRpt_20150223 (1)'!$A$34:$AN$735,26,FALSE)</f>
        <v>No</v>
      </c>
      <c r="R125" s="16" t="str">
        <f>VLOOKUP($A125,'SurveyRpt_20150223 (1)'!$A$34:$AN$735,28,FALSE)</f>
        <v>No</v>
      </c>
      <c r="S125" s="16" t="str">
        <f>VLOOKUP($A125,'SurveyRpt_20150223 (1)'!$A$34:$AN$735,30,FALSE)</f>
        <v>Yes</v>
      </c>
      <c r="T125" s="16" t="str">
        <f>VLOOKUP($A125,'SurveyRpt_20150223 (1)'!$A$34:$AN$735,32,FALSE)</f>
        <v>Yes</v>
      </c>
      <c r="U125" s="16" t="str">
        <f>VLOOKUP($A125,'SurveyRpt_20150223 (1)'!$A$34:$AN$735,34,FALSE)</f>
        <v>No</v>
      </c>
      <c r="V125" s="16" t="str">
        <f>VLOOKUP($A125,'SurveyRpt_20150223 (1)'!$A$34:$AN$735,36,FALSE)</f>
        <v>Yes</v>
      </c>
      <c r="W125" s="16" t="str">
        <f>VLOOKUP($A125,'SurveyRpt_20150223 (1)'!$A$34:$AN$735,38,FALSE)</f>
        <v>No</v>
      </c>
    </row>
    <row r="126" spans="1:23" ht="13.5" customHeight="1" x14ac:dyDescent="0.25">
      <c r="A126" s="19" t="s">
        <v>219</v>
      </c>
      <c r="B126" s="19" t="str">
        <f t="shared" si="1"/>
        <v>BPATTNAIK2</v>
      </c>
      <c r="C126" s="16" t="str">
        <f>VLOOKUP(B126,'Compiled Agents'!A:H,2,FALSE)</f>
        <v>Platform</v>
      </c>
      <c r="D126" s="16" t="str">
        <f>VLOOKUP(B126,'Compiled Agents'!A:H,4,FALSE)</f>
        <v>Noida</v>
      </c>
      <c r="E126" s="16" t="str">
        <f>VLOOKUP(B126,'Compiled Agents'!A:H,5,FALSE)</f>
        <v>Wave1</v>
      </c>
      <c r="F126" s="16" t="str">
        <f>VLOOKUP(B126,'Compiled Agents'!A:H,6,FALSE)</f>
        <v>Blue</v>
      </c>
      <c r="G126" s="16">
        <f>VLOOKUP($A126,'SurveyRpt_20150223 (1)'!$A$34:$AN$735,6,FALSE)</f>
        <v>16</v>
      </c>
      <c r="H126" s="16" t="str">
        <f>VLOOKUP($A126,'SurveyRpt_20150223 (1)'!$A$34:$AN$735,8,FALSE)</f>
        <v>Yes</v>
      </c>
      <c r="I126" s="16" t="str">
        <f>VLOOKUP($A126,'SurveyRpt_20150223 (1)'!$A$34:$AN$735,10,FALSE)</f>
        <v>Yes</v>
      </c>
      <c r="J126" s="16" t="str">
        <f>VLOOKUP($A126,'SurveyRpt_20150223 (1)'!$A$34:$AN$735,12,FALSE)</f>
        <v>Yes</v>
      </c>
      <c r="K126" s="16" t="str">
        <f>VLOOKUP($A126,'SurveyRpt_20150223 (1)'!$A$34:$AN$735,14,FALSE)</f>
        <v>Yes</v>
      </c>
      <c r="L126" s="16" t="str">
        <f>VLOOKUP($A126,'SurveyRpt_20150223 (1)'!$A$34:$AN$735,16,FALSE)</f>
        <v>Yes</v>
      </c>
      <c r="M126" s="16" t="str">
        <f>VLOOKUP($A126,'SurveyRpt_20150223 (1)'!$A$34:$AN$735,18,FALSE)</f>
        <v>Yes</v>
      </c>
      <c r="N126" s="16" t="str">
        <f>VLOOKUP($A126,'SurveyRpt_20150223 (1)'!$A$34:$AN$735,20,FALSE)</f>
        <v>Yes</v>
      </c>
      <c r="O126" s="16" t="str">
        <f>VLOOKUP($A126,'SurveyRpt_20150223 (1)'!$A$34:$AN$735,22,FALSE)</f>
        <v>Yes</v>
      </c>
      <c r="P126" s="16" t="str">
        <f>VLOOKUP($A126,'SurveyRpt_20150223 (1)'!$A$34:$AN$735,24,FALSE)</f>
        <v>Yes</v>
      </c>
      <c r="Q126" s="16" t="str">
        <f>VLOOKUP($A126,'SurveyRpt_20150223 (1)'!$A$34:$AN$735,26,FALSE)</f>
        <v>Yes</v>
      </c>
      <c r="R126" s="16" t="str">
        <f>VLOOKUP($A126,'SurveyRpt_20150223 (1)'!$A$34:$AN$735,28,FALSE)</f>
        <v>Yes</v>
      </c>
      <c r="S126" s="16" t="str">
        <f>VLOOKUP($A126,'SurveyRpt_20150223 (1)'!$A$34:$AN$735,30,FALSE)</f>
        <v>Yes</v>
      </c>
      <c r="T126" s="16" t="str">
        <f>VLOOKUP($A126,'SurveyRpt_20150223 (1)'!$A$34:$AN$735,32,FALSE)</f>
        <v>Yes</v>
      </c>
      <c r="U126" s="16" t="str">
        <f>VLOOKUP($A126,'SurveyRpt_20150223 (1)'!$A$34:$AN$735,34,FALSE)</f>
        <v>Yes</v>
      </c>
      <c r="V126" s="16" t="str">
        <f>VLOOKUP($A126,'SurveyRpt_20150223 (1)'!$A$34:$AN$735,36,FALSE)</f>
        <v>Yes</v>
      </c>
      <c r="W126" s="16" t="str">
        <f>VLOOKUP($A126,'SurveyRpt_20150223 (1)'!$A$34:$AN$735,38,FALSE)</f>
        <v>Yes</v>
      </c>
    </row>
    <row r="127" spans="1:23" ht="13.5" customHeight="1" x14ac:dyDescent="0.25">
      <c r="A127" s="19" t="s">
        <v>220</v>
      </c>
      <c r="B127" s="19" t="str">
        <f t="shared" si="1"/>
        <v>PKIRAN3</v>
      </c>
      <c r="C127" s="16" t="str">
        <f>VLOOKUP(B127,'Compiled Agents'!A:H,2,FALSE)</f>
        <v>Platform</v>
      </c>
      <c r="D127" s="16" t="str">
        <f>VLOOKUP(B127,'Compiled Agents'!A:H,4,FALSE)</f>
        <v>Hyderabad</v>
      </c>
      <c r="E127" s="16" t="str">
        <f>VLOOKUP(B127,'Compiled Agents'!A:H,5,FALSE)</f>
        <v>Wave1</v>
      </c>
      <c r="F127" s="16" t="str">
        <f>VLOOKUP(B127,'Compiled Agents'!A:H,6,FALSE)</f>
        <v>Purple</v>
      </c>
      <c r="G127" s="16">
        <f>VLOOKUP($A127,'SurveyRpt_20150223 (1)'!$A$34:$AN$735,6,FALSE)</f>
        <v>12</v>
      </c>
      <c r="H127" s="16" t="str">
        <f>VLOOKUP($A127,'SurveyRpt_20150223 (1)'!$A$34:$AN$735,8,FALSE)</f>
        <v>Yes</v>
      </c>
      <c r="I127" s="16" t="str">
        <f>VLOOKUP($A127,'SurveyRpt_20150223 (1)'!$A$34:$AN$735,10,FALSE)</f>
        <v>Yes</v>
      </c>
      <c r="J127" s="16" t="str">
        <f>VLOOKUP($A127,'SurveyRpt_20150223 (1)'!$A$34:$AN$735,12,FALSE)</f>
        <v>No</v>
      </c>
      <c r="K127" s="16" t="str">
        <f>VLOOKUP($A127,'SurveyRpt_20150223 (1)'!$A$34:$AN$735,14,FALSE)</f>
        <v>No</v>
      </c>
      <c r="L127" s="16" t="str">
        <f>VLOOKUP($A127,'SurveyRpt_20150223 (1)'!$A$34:$AN$735,16,FALSE)</f>
        <v>Yes</v>
      </c>
      <c r="M127" s="16" t="str">
        <f>VLOOKUP($A127,'SurveyRpt_20150223 (1)'!$A$34:$AN$735,18,FALSE)</f>
        <v>Yes</v>
      </c>
      <c r="N127" s="16" t="str">
        <f>VLOOKUP($A127,'SurveyRpt_20150223 (1)'!$A$34:$AN$735,20,FALSE)</f>
        <v>No</v>
      </c>
      <c r="O127" s="16" t="str">
        <f>VLOOKUP($A127,'SurveyRpt_20150223 (1)'!$A$34:$AN$735,22,FALSE)</f>
        <v>Yes</v>
      </c>
      <c r="P127" s="16" t="str">
        <f>VLOOKUP($A127,'SurveyRpt_20150223 (1)'!$A$34:$AN$735,24,FALSE)</f>
        <v>Yes</v>
      </c>
      <c r="Q127" s="16" t="str">
        <f>VLOOKUP($A127,'SurveyRpt_20150223 (1)'!$A$34:$AN$735,26,FALSE)</f>
        <v>Yes</v>
      </c>
      <c r="R127" s="16" t="str">
        <f>VLOOKUP($A127,'SurveyRpt_20150223 (1)'!$A$34:$AN$735,28,FALSE)</f>
        <v>Yes</v>
      </c>
      <c r="S127" s="16" t="str">
        <f>VLOOKUP($A127,'SurveyRpt_20150223 (1)'!$A$34:$AN$735,30,FALSE)</f>
        <v>Yes</v>
      </c>
      <c r="T127" s="16" t="str">
        <f>VLOOKUP($A127,'SurveyRpt_20150223 (1)'!$A$34:$AN$735,32,FALSE)</f>
        <v>Yes</v>
      </c>
      <c r="U127" s="16" t="str">
        <f>VLOOKUP($A127,'SurveyRpt_20150223 (1)'!$A$34:$AN$735,34,FALSE)</f>
        <v>Yes</v>
      </c>
      <c r="V127" s="16" t="str">
        <f>VLOOKUP($A127,'SurveyRpt_20150223 (1)'!$A$34:$AN$735,36,FALSE)</f>
        <v>No</v>
      </c>
      <c r="W127" s="16" t="str">
        <f>VLOOKUP($A127,'SurveyRpt_20150223 (1)'!$A$34:$AN$735,38,FALSE)</f>
        <v>Yes</v>
      </c>
    </row>
    <row r="128" spans="1:23" ht="13.5" customHeight="1" x14ac:dyDescent="0.25">
      <c r="A128" s="19" t="s">
        <v>221</v>
      </c>
      <c r="B128" s="19" t="str">
        <f t="shared" si="1"/>
        <v>MMUSTAFA5</v>
      </c>
      <c r="C128" s="16" t="str">
        <f>VLOOKUP(B128,'Compiled Agents'!A:H,2,FALSE)</f>
        <v>Platform</v>
      </c>
      <c r="D128" s="16" t="str">
        <f>VLOOKUP(B128,'Compiled Agents'!A:H,4,FALSE)</f>
        <v>Noida</v>
      </c>
      <c r="E128" s="16" t="str">
        <f>VLOOKUP(B128,'Compiled Agents'!A:H,5,FALSE)</f>
        <v>Wave1</v>
      </c>
      <c r="F128" s="16" t="str">
        <f>VLOOKUP(B128,'Compiled Agents'!A:H,6,FALSE)</f>
        <v>Blue</v>
      </c>
      <c r="G128" s="16">
        <f>VLOOKUP($A128,'SurveyRpt_20150223 (1)'!$A$34:$AN$735,6,FALSE)</f>
        <v>16</v>
      </c>
      <c r="H128" s="16" t="str">
        <f>VLOOKUP($A128,'SurveyRpt_20150223 (1)'!$A$34:$AN$735,8,FALSE)</f>
        <v>Yes</v>
      </c>
      <c r="I128" s="16" t="str">
        <f>VLOOKUP($A128,'SurveyRpt_20150223 (1)'!$A$34:$AN$735,10,FALSE)</f>
        <v>Yes</v>
      </c>
      <c r="J128" s="16" t="str">
        <f>VLOOKUP($A128,'SurveyRpt_20150223 (1)'!$A$34:$AN$735,12,FALSE)</f>
        <v>Yes</v>
      </c>
      <c r="K128" s="16" t="str">
        <f>VLOOKUP($A128,'SurveyRpt_20150223 (1)'!$A$34:$AN$735,14,FALSE)</f>
        <v>Yes</v>
      </c>
      <c r="L128" s="16" t="str">
        <f>VLOOKUP($A128,'SurveyRpt_20150223 (1)'!$A$34:$AN$735,16,FALSE)</f>
        <v>Yes</v>
      </c>
      <c r="M128" s="16" t="str">
        <f>VLOOKUP($A128,'SurveyRpt_20150223 (1)'!$A$34:$AN$735,18,FALSE)</f>
        <v>Yes</v>
      </c>
      <c r="N128" s="16" t="str">
        <f>VLOOKUP($A128,'SurveyRpt_20150223 (1)'!$A$34:$AN$735,20,FALSE)</f>
        <v>Yes</v>
      </c>
      <c r="O128" s="16" t="str">
        <f>VLOOKUP($A128,'SurveyRpt_20150223 (1)'!$A$34:$AN$735,22,FALSE)</f>
        <v>Yes</v>
      </c>
      <c r="P128" s="16" t="str">
        <f>VLOOKUP($A128,'SurveyRpt_20150223 (1)'!$A$34:$AN$735,24,FALSE)</f>
        <v>Yes</v>
      </c>
      <c r="Q128" s="16" t="str">
        <f>VLOOKUP($A128,'SurveyRpt_20150223 (1)'!$A$34:$AN$735,26,FALSE)</f>
        <v>Yes</v>
      </c>
      <c r="R128" s="16" t="str">
        <f>VLOOKUP($A128,'SurveyRpt_20150223 (1)'!$A$34:$AN$735,28,FALSE)</f>
        <v>Yes</v>
      </c>
      <c r="S128" s="16" t="str">
        <f>VLOOKUP($A128,'SurveyRpt_20150223 (1)'!$A$34:$AN$735,30,FALSE)</f>
        <v>Yes</v>
      </c>
      <c r="T128" s="16" t="str">
        <f>VLOOKUP($A128,'SurveyRpt_20150223 (1)'!$A$34:$AN$735,32,FALSE)</f>
        <v>Yes</v>
      </c>
      <c r="U128" s="16" t="str">
        <f>VLOOKUP($A128,'SurveyRpt_20150223 (1)'!$A$34:$AN$735,34,FALSE)</f>
        <v>Yes</v>
      </c>
      <c r="V128" s="16" t="str">
        <f>VLOOKUP($A128,'SurveyRpt_20150223 (1)'!$A$34:$AN$735,36,FALSE)</f>
        <v>Yes</v>
      </c>
      <c r="W128" s="16" t="str">
        <f>VLOOKUP($A128,'SurveyRpt_20150223 (1)'!$A$34:$AN$735,38,FALSE)</f>
        <v>Yes</v>
      </c>
    </row>
    <row r="129" spans="1:23" ht="13.5" customHeight="1" x14ac:dyDescent="0.25">
      <c r="A129" s="19" t="s">
        <v>222</v>
      </c>
      <c r="B129" s="19" t="str">
        <f t="shared" si="1"/>
        <v>SMAJETY</v>
      </c>
      <c r="C129" s="16" t="str">
        <f>VLOOKUP(B129,'Compiled Agents'!A:H,2,FALSE)</f>
        <v>Workplace</v>
      </c>
      <c r="D129" s="16" t="str">
        <f>VLOOKUP(B129,'Compiled Agents'!A:H,4,FALSE)</f>
        <v>Noida</v>
      </c>
      <c r="E129" s="16" t="str">
        <f>VLOOKUP(B129,'Compiled Agents'!A:H,5,FALSE)</f>
        <v>Wave2</v>
      </c>
      <c r="F129" s="16" t="str">
        <f>VLOOKUP(B129,'Compiled Agents'!A:H,6,FALSE)</f>
        <v>Purple</v>
      </c>
      <c r="G129" s="16">
        <f>VLOOKUP($A129,'SurveyRpt_20150223 (1)'!$A$34:$AN$735,6,FALSE)</f>
        <v>16</v>
      </c>
      <c r="H129" s="16" t="str">
        <f>VLOOKUP($A129,'SurveyRpt_20150223 (1)'!$A$34:$AN$735,8,FALSE)</f>
        <v>Yes</v>
      </c>
      <c r="I129" s="16" t="str">
        <f>VLOOKUP($A129,'SurveyRpt_20150223 (1)'!$A$34:$AN$735,10,FALSE)</f>
        <v>Yes</v>
      </c>
      <c r="J129" s="16" t="str">
        <f>VLOOKUP($A129,'SurveyRpt_20150223 (1)'!$A$34:$AN$735,12,FALSE)</f>
        <v>Yes</v>
      </c>
      <c r="K129" s="16" t="str">
        <f>VLOOKUP($A129,'SurveyRpt_20150223 (1)'!$A$34:$AN$735,14,FALSE)</f>
        <v>Yes</v>
      </c>
      <c r="L129" s="16" t="str">
        <f>VLOOKUP($A129,'SurveyRpt_20150223 (1)'!$A$34:$AN$735,16,FALSE)</f>
        <v>Yes</v>
      </c>
      <c r="M129" s="16" t="str">
        <f>VLOOKUP($A129,'SurveyRpt_20150223 (1)'!$A$34:$AN$735,18,FALSE)</f>
        <v>Yes</v>
      </c>
      <c r="N129" s="16" t="str">
        <f>VLOOKUP($A129,'SurveyRpt_20150223 (1)'!$A$34:$AN$735,20,FALSE)</f>
        <v>Yes</v>
      </c>
      <c r="O129" s="16" t="str">
        <f>VLOOKUP($A129,'SurveyRpt_20150223 (1)'!$A$34:$AN$735,22,FALSE)</f>
        <v>Yes</v>
      </c>
      <c r="P129" s="16" t="str">
        <f>VLOOKUP($A129,'SurveyRpt_20150223 (1)'!$A$34:$AN$735,24,FALSE)</f>
        <v>Yes</v>
      </c>
      <c r="Q129" s="16" t="str">
        <f>VLOOKUP($A129,'SurveyRpt_20150223 (1)'!$A$34:$AN$735,26,FALSE)</f>
        <v>Yes</v>
      </c>
      <c r="R129" s="16" t="str">
        <f>VLOOKUP($A129,'SurveyRpt_20150223 (1)'!$A$34:$AN$735,28,FALSE)</f>
        <v>Yes</v>
      </c>
      <c r="S129" s="16" t="str">
        <f>VLOOKUP($A129,'SurveyRpt_20150223 (1)'!$A$34:$AN$735,30,FALSE)</f>
        <v>Yes</v>
      </c>
      <c r="T129" s="16" t="str">
        <f>VLOOKUP($A129,'SurveyRpt_20150223 (1)'!$A$34:$AN$735,32,FALSE)</f>
        <v>Yes</v>
      </c>
      <c r="U129" s="16" t="str">
        <f>VLOOKUP($A129,'SurveyRpt_20150223 (1)'!$A$34:$AN$735,34,FALSE)</f>
        <v>Yes</v>
      </c>
      <c r="V129" s="16" t="str">
        <f>VLOOKUP($A129,'SurveyRpt_20150223 (1)'!$A$34:$AN$735,36,FALSE)</f>
        <v>Yes</v>
      </c>
      <c r="W129" s="16" t="str">
        <f>VLOOKUP($A129,'SurveyRpt_20150223 (1)'!$A$34:$AN$735,38,FALSE)</f>
        <v>Yes</v>
      </c>
    </row>
    <row r="130" spans="1:23" ht="13.5" customHeight="1" x14ac:dyDescent="0.25">
      <c r="A130" s="19" t="s">
        <v>223</v>
      </c>
      <c r="B130" s="19" t="str">
        <f t="shared" si="1"/>
        <v>SKAGITA</v>
      </c>
      <c r="C130" s="16" t="str">
        <f>VLOOKUP(B130,'Compiled Agents'!A:H,2,FALSE)</f>
        <v>Platform</v>
      </c>
      <c r="D130" s="16" t="str">
        <f>VLOOKUP(B130,'Compiled Agents'!A:H,4,FALSE)</f>
        <v>Hyderabad</v>
      </c>
      <c r="E130" s="16" t="str">
        <f>VLOOKUP(B130,'Compiled Agents'!A:H,5,FALSE)</f>
        <v>Wave1</v>
      </c>
      <c r="F130" s="16" t="str">
        <f>VLOOKUP(B130,'Compiled Agents'!A:H,6,FALSE)</f>
        <v>Orange</v>
      </c>
      <c r="G130" s="16">
        <f>VLOOKUP($A130,'SurveyRpt_20150223 (1)'!$A$34:$AN$735,6,FALSE)</f>
        <v>16</v>
      </c>
      <c r="H130" s="16" t="str">
        <f>VLOOKUP($A130,'SurveyRpt_20150223 (1)'!$A$34:$AN$735,8,FALSE)</f>
        <v>Yes</v>
      </c>
      <c r="I130" s="16" t="str">
        <f>VLOOKUP($A130,'SurveyRpt_20150223 (1)'!$A$34:$AN$735,10,FALSE)</f>
        <v>Yes</v>
      </c>
      <c r="J130" s="16" t="str">
        <f>VLOOKUP($A130,'SurveyRpt_20150223 (1)'!$A$34:$AN$735,12,FALSE)</f>
        <v>Yes</v>
      </c>
      <c r="K130" s="16" t="str">
        <f>VLOOKUP($A130,'SurveyRpt_20150223 (1)'!$A$34:$AN$735,14,FALSE)</f>
        <v>Yes</v>
      </c>
      <c r="L130" s="16" t="str">
        <f>VLOOKUP($A130,'SurveyRpt_20150223 (1)'!$A$34:$AN$735,16,FALSE)</f>
        <v>Yes</v>
      </c>
      <c r="M130" s="16" t="str">
        <f>VLOOKUP($A130,'SurveyRpt_20150223 (1)'!$A$34:$AN$735,18,FALSE)</f>
        <v>Yes</v>
      </c>
      <c r="N130" s="16" t="str">
        <f>VLOOKUP($A130,'SurveyRpt_20150223 (1)'!$A$34:$AN$735,20,FALSE)</f>
        <v>Yes</v>
      </c>
      <c r="O130" s="16" t="str">
        <f>VLOOKUP($A130,'SurveyRpt_20150223 (1)'!$A$34:$AN$735,22,FALSE)</f>
        <v>Yes</v>
      </c>
      <c r="P130" s="16" t="str">
        <f>VLOOKUP($A130,'SurveyRpt_20150223 (1)'!$A$34:$AN$735,24,FALSE)</f>
        <v>Yes</v>
      </c>
      <c r="Q130" s="16" t="str">
        <f>VLOOKUP($A130,'SurveyRpt_20150223 (1)'!$A$34:$AN$735,26,FALSE)</f>
        <v>Yes</v>
      </c>
      <c r="R130" s="16" t="str">
        <f>VLOOKUP($A130,'SurveyRpt_20150223 (1)'!$A$34:$AN$735,28,FALSE)</f>
        <v>Yes</v>
      </c>
      <c r="S130" s="16" t="str">
        <f>VLOOKUP($A130,'SurveyRpt_20150223 (1)'!$A$34:$AN$735,30,FALSE)</f>
        <v>Yes</v>
      </c>
      <c r="T130" s="16" t="str">
        <f>VLOOKUP($A130,'SurveyRpt_20150223 (1)'!$A$34:$AN$735,32,FALSE)</f>
        <v>Yes</v>
      </c>
      <c r="U130" s="16" t="str">
        <f>VLOOKUP($A130,'SurveyRpt_20150223 (1)'!$A$34:$AN$735,34,FALSE)</f>
        <v>Yes</v>
      </c>
      <c r="V130" s="16" t="str">
        <f>VLOOKUP($A130,'SurveyRpt_20150223 (1)'!$A$34:$AN$735,36,FALSE)</f>
        <v>Yes</v>
      </c>
      <c r="W130" s="16" t="str">
        <f>VLOOKUP($A130,'SurveyRpt_20150223 (1)'!$A$34:$AN$735,38,FALSE)</f>
        <v>Yes</v>
      </c>
    </row>
    <row r="131" spans="1:23" ht="13.5" customHeight="1" x14ac:dyDescent="0.25">
      <c r="A131" s="19" t="s">
        <v>224</v>
      </c>
      <c r="B131" s="19" t="str">
        <f t="shared" ref="B131:B194" si="2">TRIM(LEFT(A131,FIND("@",A131)-1))</f>
        <v>KRAMALINGAM8</v>
      </c>
      <c r="C131" s="16" t="str">
        <f>VLOOKUP(B131,'Compiled Agents'!A:H,2,FALSE)</f>
        <v>Workplace</v>
      </c>
      <c r="D131" s="16" t="str">
        <f>VLOOKUP(B131,'Compiled Agents'!A:H,4,FALSE)</f>
        <v>Hyderabad</v>
      </c>
      <c r="E131" s="16" t="str">
        <f>VLOOKUP(B131,'Compiled Agents'!A:H,5,FALSE)</f>
        <v>Wave2</v>
      </c>
      <c r="F131" s="16" t="str">
        <f>VLOOKUP(B131,'Compiled Agents'!A:H,6,FALSE)</f>
        <v>Purple</v>
      </c>
      <c r="G131" s="16">
        <f>VLOOKUP($A131,'SurveyRpt_20150223 (1)'!$A$34:$AN$735,6,FALSE)</f>
        <v>16</v>
      </c>
      <c r="H131" s="16" t="str">
        <f>VLOOKUP($A131,'SurveyRpt_20150223 (1)'!$A$34:$AN$735,8,FALSE)</f>
        <v>Yes</v>
      </c>
      <c r="I131" s="16" t="str">
        <f>VLOOKUP($A131,'SurveyRpt_20150223 (1)'!$A$34:$AN$735,10,FALSE)</f>
        <v>Yes</v>
      </c>
      <c r="J131" s="16" t="str">
        <f>VLOOKUP($A131,'SurveyRpt_20150223 (1)'!$A$34:$AN$735,12,FALSE)</f>
        <v>Yes</v>
      </c>
      <c r="K131" s="16" t="str">
        <f>VLOOKUP($A131,'SurveyRpt_20150223 (1)'!$A$34:$AN$735,14,FALSE)</f>
        <v>Yes</v>
      </c>
      <c r="L131" s="16" t="str">
        <f>VLOOKUP($A131,'SurveyRpt_20150223 (1)'!$A$34:$AN$735,16,FALSE)</f>
        <v>Yes</v>
      </c>
      <c r="M131" s="16" t="str">
        <f>VLOOKUP($A131,'SurveyRpt_20150223 (1)'!$A$34:$AN$735,18,FALSE)</f>
        <v>Yes</v>
      </c>
      <c r="N131" s="16" t="str">
        <f>VLOOKUP($A131,'SurveyRpt_20150223 (1)'!$A$34:$AN$735,20,FALSE)</f>
        <v>Yes</v>
      </c>
      <c r="O131" s="16" t="str">
        <f>VLOOKUP($A131,'SurveyRpt_20150223 (1)'!$A$34:$AN$735,22,FALSE)</f>
        <v>Yes</v>
      </c>
      <c r="P131" s="16" t="str">
        <f>VLOOKUP($A131,'SurveyRpt_20150223 (1)'!$A$34:$AN$735,24,FALSE)</f>
        <v>Yes</v>
      </c>
      <c r="Q131" s="16" t="str">
        <f>VLOOKUP($A131,'SurveyRpt_20150223 (1)'!$A$34:$AN$735,26,FALSE)</f>
        <v>Yes</v>
      </c>
      <c r="R131" s="16" t="str">
        <f>VLOOKUP($A131,'SurveyRpt_20150223 (1)'!$A$34:$AN$735,28,FALSE)</f>
        <v>Yes</v>
      </c>
      <c r="S131" s="16" t="str">
        <f>VLOOKUP($A131,'SurveyRpt_20150223 (1)'!$A$34:$AN$735,30,FALSE)</f>
        <v>Yes</v>
      </c>
      <c r="T131" s="16" t="str">
        <f>VLOOKUP($A131,'SurveyRpt_20150223 (1)'!$A$34:$AN$735,32,FALSE)</f>
        <v>Yes</v>
      </c>
      <c r="U131" s="16" t="str">
        <f>VLOOKUP($A131,'SurveyRpt_20150223 (1)'!$A$34:$AN$735,34,FALSE)</f>
        <v>Yes</v>
      </c>
      <c r="V131" s="16" t="str">
        <f>VLOOKUP($A131,'SurveyRpt_20150223 (1)'!$A$34:$AN$735,36,FALSE)</f>
        <v>Yes</v>
      </c>
      <c r="W131" s="16" t="str">
        <f>VLOOKUP($A131,'SurveyRpt_20150223 (1)'!$A$34:$AN$735,38,FALSE)</f>
        <v>Yes</v>
      </c>
    </row>
    <row r="132" spans="1:23" ht="13.5" customHeight="1" x14ac:dyDescent="0.25">
      <c r="A132" s="19" t="s">
        <v>225</v>
      </c>
      <c r="B132" s="19" t="str">
        <f t="shared" si="2"/>
        <v>RJAYAPAL2</v>
      </c>
      <c r="C132" s="16" t="str">
        <f>VLOOKUP(B132,'Compiled Agents'!A:H,2,FALSE)</f>
        <v>Workplace</v>
      </c>
      <c r="D132" s="16" t="str">
        <f>VLOOKUP(B132,'Compiled Agents'!A:H,4,FALSE)</f>
        <v>Hyderabad</v>
      </c>
      <c r="E132" s="16" t="str">
        <f>VLOOKUP(B132,'Compiled Agents'!A:H,5,FALSE)</f>
        <v>Wave2</v>
      </c>
      <c r="F132" s="16" t="str">
        <f>VLOOKUP(B132,'Compiled Agents'!A:H,6,FALSE)</f>
        <v>Purple</v>
      </c>
      <c r="G132" s="16">
        <f>VLOOKUP($A132,'SurveyRpt_20150223 (1)'!$A$34:$AN$735,6,FALSE)</f>
        <v>16</v>
      </c>
      <c r="H132" s="16" t="str">
        <f>VLOOKUP($A132,'SurveyRpt_20150223 (1)'!$A$34:$AN$735,8,FALSE)</f>
        <v>Yes</v>
      </c>
      <c r="I132" s="16" t="str">
        <f>VLOOKUP($A132,'SurveyRpt_20150223 (1)'!$A$34:$AN$735,10,FALSE)</f>
        <v>Yes</v>
      </c>
      <c r="J132" s="16" t="str">
        <f>VLOOKUP($A132,'SurveyRpt_20150223 (1)'!$A$34:$AN$735,12,FALSE)</f>
        <v>Yes</v>
      </c>
      <c r="K132" s="16" t="str">
        <f>VLOOKUP($A132,'SurveyRpt_20150223 (1)'!$A$34:$AN$735,14,FALSE)</f>
        <v>Yes</v>
      </c>
      <c r="L132" s="16" t="str">
        <f>VLOOKUP($A132,'SurveyRpt_20150223 (1)'!$A$34:$AN$735,16,FALSE)</f>
        <v>Yes</v>
      </c>
      <c r="M132" s="16" t="str">
        <f>VLOOKUP($A132,'SurveyRpt_20150223 (1)'!$A$34:$AN$735,18,FALSE)</f>
        <v>Yes</v>
      </c>
      <c r="N132" s="16" t="str">
        <f>VLOOKUP($A132,'SurveyRpt_20150223 (1)'!$A$34:$AN$735,20,FALSE)</f>
        <v>Yes</v>
      </c>
      <c r="O132" s="16" t="str">
        <f>VLOOKUP($A132,'SurveyRpt_20150223 (1)'!$A$34:$AN$735,22,FALSE)</f>
        <v>Yes</v>
      </c>
      <c r="P132" s="16" t="str">
        <f>VLOOKUP($A132,'SurveyRpt_20150223 (1)'!$A$34:$AN$735,24,FALSE)</f>
        <v>Yes</v>
      </c>
      <c r="Q132" s="16" t="str">
        <f>VLOOKUP($A132,'SurveyRpt_20150223 (1)'!$A$34:$AN$735,26,FALSE)</f>
        <v>Yes</v>
      </c>
      <c r="R132" s="16" t="str">
        <f>VLOOKUP($A132,'SurveyRpt_20150223 (1)'!$A$34:$AN$735,28,FALSE)</f>
        <v>Yes</v>
      </c>
      <c r="S132" s="16" t="str">
        <f>VLOOKUP($A132,'SurveyRpt_20150223 (1)'!$A$34:$AN$735,30,FALSE)</f>
        <v>Yes</v>
      </c>
      <c r="T132" s="16" t="str">
        <f>VLOOKUP($A132,'SurveyRpt_20150223 (1)'!$A$34:$AN$735,32,FALSE)</f>
        <v>Yes</v>
      </c>
      <c r="U132" s="16" t="str">
        <f>VLOOKUP($A132,'SurveyRpt_20150223 (1)'!$A$34:$AN$735,34,FALSE)</f>
        <v>Yes</v>
      </c>
      <c r="V132" s="16" t="str">
        <f>VLOOKUP($A132,'SurveyRpt_20150223 (1)'!$A$34:$AN$735,36,FALSE)</f>
        <v>Yes</v>
      </c>
      <c r="W132" s="16" t="str">
        <f>VLOOKUP($A132,'SurveyRpt_20150223 (1)'!$A$34:$AN$735,38,FALSE)</f>
        <v>Yes</v>
      </c>
    </row>
    <row r="133" spans="1:23" ht="13.5" customHeight="1" x14ac:dyDescent="0.25">
      <c r="A133" s="19" t="s">
        <v>226</v>
      </c>
      <c r="B133" s="19" t="str">
        <f t="shared" si="2"/>
        <v>RVELUSAMY</v>
      </c>
      <c r="C133" s="16" t="str">
        <f>VLOOKUP(B133,'Compiled Agents'!A:H,2,FALSE)</f>
        <v>Platform</v>
      </c>
      <c r="D133" s="16" t="str">
        <f>VLOOKUP(B133,'Compiled Agents'!A:H,4,FALSE)</f>
        <v>Hyderabad</v>
      </c>
      <c r="E133" s="16" t="str">
        <f>VLOOKUP(B133,'Compiled Agents'!A:H,5,FALSE)</f>
        <v>Wave1</v>
      </c>
      <c r="F133" s="16" t="str">
        <f>VLOOKUP(B133,'Compiled Agents'!A:H,6,FALSE)</f>
        <v>Blue</v>
      </c>
      <c r="G133" s="16">
        <f>VLOOKUP($A133,'SurveyRpt_20150223 (1)'!$A$34:$AN$735,6,FALSE)</f>
        <v>16</v>
      </c>
      <c r="H133" s="16" t="str">
        <f>VLOOKUP($A133,'SurveyRpt_20150223 (1)'!$A$34:$AN$735,8,FALSE)</f>
        <v>Yes</v>
      </c>
      <c r="I133" s="16" t="str">
        <f>VLOOKUP($A133,'SurveyRpt_20150223 (1)'!$A$34:$AN$735,10,FALSE)</f>
        <v>Yes</v>
      </c>
      <c r="J133" s="16" t="str">
        <f>VLOOKUP($A133,'SurveyRpt_20150223 (1)'!$A$34:$AN$735,12,FALSE)</f>
        <v>Yes</v>
      </c>
      <c r="K133" s="16" t="str">
        <f>VLOOKUP($A133,'SurveyRpt_20150223 (1)'!$A$34:$AN$735,14,FALSE)</f>
        <v>Yes</v>
      </c>
      <c r="L133" s="16" t="str">
        <f>VLOOKUP($A133,'SurveyRpt_20150223 (1)'!$A$34:$AN$735,16,FALSE)</f>
        <v>Yes</v>
      </c>
      <c r="M133" s="16" t="str">
        <f>VLOOKUP($A133,'SurveyRpt_20150223 (1)'!$A$34:$AN$735,18,FALSE)</f>
        <v>Yes</v>
      </c>
      <c r="N133" s="16" t="str">
        <f>VLOOKUP($A133,'SurveyRpt_20150223 (1)'!$A$34:$AN$735,20,FALSE)</f>
        <v>Yes</v>
      </c>
      <c r="O133" s="16" t="str">
        <f>VLOOKUP($A133,'SurveyRpt_20150223 (1)'!$A$34:$AN$735,22,FALSE)</f>
        <v>Yes</v>
      </c>
      <c r="P133" s="16" t="str">
        <f>VLOOKUP($A133,'SurveyRpt_20150223 (1)'!$A$34:$AN$735,24,FALSE)</f>
        <v>Yes</v>
      </c>
      <c r="Q133" s="16" t="str">
        <f>VLOOKUP($A133,'SurveyRpt_20150223 (1)'!$A$34:$AN$735,26,FALSE)</f>
        <v>Yes</v>
      </c>
      <c r="R133" s="16" t="str">
        <f>VLOOKUP($A133,'SurveyRpt_20150223 (1)'!$A$34:$AN$735,28,FALSE)</f>
        <v>Yes</v>
      </c>
      <c r="S133" s="16" t="str">
        <f>VLOOKUP($A133,'SurveyRpt_20150223 (1)'!$A$34:$AN$735,30,FALSE)</f>
        <v>Yes</v>
      </c>
      <c r="T133" s="16" t="str">
        <f>VLOOKUP($A133,'SurveyRpt_20150223 (1)'!$A$34:$AN$735,32,FALSE)</f>
        <v>Yes</v>
      </c>
      <c r="U133" s="16" t="str">
        <f>VLOOKUP($A133,'SurveyRpt_20150223 (1)'!$A$34:$AN$735,34,FALSE)</f>
        <v>Yes</v>
      </c>
      <c r="V133" s="16" t="str">
        <f>VLOOKUP($A133,'SurveyRpt_20150223 (1)'!$A$34:$AN$735,36,FALSE)</f>
        <v>Yes</v>
      </c>
      <c r="W133" s="16" t="str">
        <f>VLOOKUP($A133,'SurveyRpt_20150223 (1)'!$A$34:$AN$735,38,FALSE)</f>
        <v>Yes</v>
      </c>
    </row>
    <row r="134" spans="1:23" ht="13.5" customHeight="1" x14ac:dyDescent="0.25">
      <c r="A134" s="19" t="s">
        <v>227</v>
      </c>
      <c r="B134" s="19" t="str">
        <f t="shared" si="2"/>
        <v>TBROOCKERD</v>
      </c>
      <c r="C134" s="16" t="str">
        <f>VLOOKUP(B134,'Compiled Agents'!A:H,2,FALSE)</f>
        <v>Platform</v>
      </c>
      <c r="D134" s="16" t="str">
        <f>VLOOKUP(B134,'Compiled Agents'!A:H,4,FALSE)</f>
        <v>MBC US</v>
      </c>
      <c r="E134" s="16" t="str">
        <f>VLOOKUP(B134,'Compiled Agents'!A:H,5,FALSE)</f>
        <v>Wave2</v>
      </c>
      <c r="F134" s="16" t="str">
        <f>VLOOKUP(B134,'Compiled Agents'!A:H,6,FALSE)</f>
        <v>Orange</v>
      </c>
      <c r="G134" s="16">
        <f>VLOOKUP($A134,'SurveyRpt_20150223 (1)'!$A$34:$AN$735,6,FALSE)</f>
        <v>11</v>
      </c>
      <c r="H134" s="16" t="str">
        <f>VLOOKUP($A134,'SurveyRpt_20150223 (1)'!$A$34:$AN$735,8,FALSE)</f>
        <v>Yes</v>
      </c>
      <c r="I134" s="16" t="str">
        <f>VLOOKUP($A134,'SurveyRpt_20150223 (1)'!$A$34:$AN$735,10,FALSE)</f>
        <v>No</v>
      </c>
      <c r="J134" s="16" t="str">
        <f>VLOOKUP($A134,'SurveyRpt_20150223 (1)'!$A$34:$AN$735,12,FALSE)</f>
        <v>Yes</v>
      </c>
      <c r="K134" s="16" t="str">
        <f>VLOOKUP($A134,'SurveyRpt_20150223 (1)'!$A$34:$AN$735,14,FALSE)</f>
        <v>Yes</v>
      </c>
      <c r="L134" s="16" t="str">
        <f>VLOOKUP($A134,'SurveyRpt_20150223 (1)'!$A$34:$AN$735,16,FALSE)</f>
        <v>Yes</v>
      </c>
      <c r="M134" s="16" t="str">
        <f>VLOOKUP($A134,'SurveyRpt_20150223 (1)'!$A$34:$AN$735,18,FALSE)</f>
        <v>No</v>
      </c>
      <c r="N134" s="16" t="str">
        <f>VLOOKUP($A134,'SurveyRpt_20150223 (1)'!$A$34:$AN$735,20,FALSE)</f>
        <v>No</v>
      </c>
      <c r="O134" s="16" t="str">
        <f>VLOOKUP($A134,'SurveyRpt_20150223 (1)'!$A$34:$AN$735,22,FALSE)</f>
        <v>Yes</v>
      </c>
      <c r="P134" s="16" t="str">
        <f>VLOOKUP($A134,'SurveyRpt_20150223 (1)'!$A$34:$AN$735,24,FALSE)</f>
        <v>Yes</v>
      </c>
      <c r="Q134" s="16" t="str">
        <f>VLOOKUP($A134,'SurveyRpt_20150223 (1)'!$A$34:$AN$735,26,FALSE)</f>
        <v>Yes</v>
      </c>
      <c r="R134" s="16" t="str">
        <f>VLOOKUP($A134,'SurveyRpt_20150223 (1)'!$A$34:$AN$735,28,FALSE)</f>
        <v>Yes</v>
      </c>
      <c r="S134" s="16" t="str">
        <f>VLOOKUP($A134,'SurveyRpt_20150223 (1)'!$A$34:$AN$735,30,FALSE)</f>
        <v>No</v>
      </c>
      <c r="T134" s="16" t="str">
        <f>VLOOKUP($A134,'SurveyRpt_20150223 (1)'!$A$34:$AN$735,32,FALSE)</f>
        <v>No</v>
      </c>
      <c r="U134" s="16" t="str">
        <f>VLOOKUP($A134,'SurveyRpt_20150223 (1)'!$A$34:$AN$735,34,FALSE)</f>
        <v>Yes</v>
      </c>
      <c r="V134" s="16" t="str">
        <f>VLOOKUP($A134,'SurveyRpt_20150223 (1)'!$A$34:$AN$735,36,FALSE)</f>
        <v>Yes</v>
      </c>
      <c r="W134" s="16" t="str">
        <f>VLOOKUP($A134,'SurveyRpt_20150223 (1)'!$A$34:$AN$735,38,FALSE)</f>
        <v>Yes</v>
      </c>
    </row>
    <row r="135" spans="1:23" ht="13.5" customHeight="1" x14ac:dyDescent="0.25">
      <c r="A135" s="19" t="s">
        <v>228</v>
      </c>
      <c r="B135" s="19" t="str">
        <f t="shared" si="2"/>
        <v>JIMMANUVEL</v>
      </c>
      <c r="C135" s="16" t="str">
        <f>VLOOKUP(B135,'Compiled Agents'!A:H,2,FALSE)</f>
        <v>Platform</v>
      </c>
      <c r="D135" s="16" t="str">
        <f>VLOOKUP(B135,'Compiled Agents'!A:H,4,FALSE)</f>
        <v>Noida</v>
      </c>
      <c r="E135" s="16" t="str">
        <f>VLOOKUP(B135,'Compiled Agents'!A:H,5,FALSE)</f>
        <v>Wave1</v>
      </c>
      <c r="F135" s="16" t="str">
        <f>VLOOKUP(B135,'Compiled Agents'!A:H,6,FALSE)</f>
        <v>Yellow</v>
      </c>
      <c r="G135" s="16">
        <f>VLOOKUP($A135,'SurveyRpt_20150223 (1)'!$A$34:$AN$735,6,FALSE)</f>
        <v>9</v>
      </c>
      <c r="H135" s="16" t="str">
        <f>VLOOKUP($A135,'SurveyRpt_20150223 (1)'!$A$34:$AN$735,8,FALSE)</f>
        <v>No</v>
      </c>
      <c r="I135" s="16" t="str">
        <f>VLOOKUP($A135,'SurveyRpt_20150223 (1)'!$A$34:$AN$735,10,FALSE)</f>
        <v>No</v>
      </c>
      <c r="J135" s="16" t="str">
        <f>VLOOKUP($A135,'SurveyRpt_20150223 (1)'!$A$34:$AN$735,12,FALSE)</f>
        <v>No</v>
      </c>
      <c r="K135" s="16" t="str">
        <f>VLOOKUP($A135,'SurveyRpt_20150223 (1)'!$A$34:$AN$735,14,FALSE)</f>
        <v>No</v>
      </c>
      <c r="L135" s="16" t="str">
        <f>VLOOKUP($A135,'SurveyRpt_20150223 (1)'!$A$34:$AN$735,16,FALSE)</f>
        <v>Yes</v>
      </c>
      <c r="M135" s="16" t="str">
        <f>VLOOKUP($A135,'SurveyRpt_20150223 (1)'!$A$34:$AN$735,18,FALSE)</f>
        <v>Yes</v>
      </c>
      <c r="N135" s="16" t="str">
        <f>VLOOKUP($A135,'SurveyRpt_20150223 (1)'!$A$34:$AN$735,20,FALSE)</f>
        <v>No</v>
      </c>
      <c r="O135" s="16" t="str">
        <f>VLOOKUP($A135,'SurveyRpt_20150223 (1)'!$A$34:$AN$735,22,FALSE)</f>
        <v>Yes</v>
      </c>
      <c r="P135" s="16" t="str">
        <f>VLOOKUP($A135,'SurveyRpt_20150223 (1)'!$A$34:$AN$735,24,FALSE)</f>
        <v>Yes</v>
      </c>
      <c r="Q135" s="16" t="str">
        <f>VLOOKUP($A135,'SurveyRpt_20150223 (1)'!$A$34:$AN$735,26,FALSE)</f>
        <v>Yes</v>
      </c>
      <c r="R135" s="16" t="str">
        <f>VLOOKUP($A135,'SurveyRpt_20150223 (1)'!$A$34:$AN$735,28,FALSE)</f>
        <v>Yes</v>
      </c>
      <c r="S135" s="16" t="str">
        <f>VLOOKUP($A135,'SurveyRpt_20150223 (1)'!$A$34:$AN$735,30,FALSE)</f>
        <v>No</v>
      </c>
      <c r="T135" s="16" t="str">
        <f>VLOOKUP($A135,'SurveyRpt_20150223 (1)'!$A$34:$AN$735,32,FALSE)</f>
        <v>Yes</v>
      </c>
      <c r="U135" s="16" t="str">
        <f>VLOOKUP($A135,'SurveyRpt_20150223 (1)'!$A$34:$AN$735,34,FALSE)</f>
        <v>No</v>
      </c>
      <c r="V135" s="16" t="str">
        <f>VLOOKUP($A135,'SurveyRpt_20150223 (1)'!$A$34:$AN$735,36,FALSE)</f>
        <v>Yes</v>
      </c>
      <c r="W135" s="16" t="str">
        <f>VLOOKUP($A135,'SurveyRpt_20150223 (1)'!$A$34:$AN$735,38,FALSE)</f>
        <v>Yes</v>
      </c>
    </row>
    <row r="136" spans="1:23" ht="13.5" customHeight="1" x14ac:dyDescent="0.25">
      <c r="A136" s="19" t="s">
        <v>229</v>
      </c>
      <c r="B136" s="19" t="str">
        <f t="shared" si="2"/>
        <v>MRAGHAVAPURA</v>
      </c>
      <c r="C136" s="16" t="str">
        <f>VLOOKUP(B136,'Compiled Agents'!A:H,2,FALSE)</f>
        <v>Platform</v>
      </c>
      <c r="D136" s="16" t="str">
        <f>VLOOKUP(B136,'Compiled Agents'!A:H,4,FALSE)</f>
        <v>Noida</v>
      </c>
      <c r="E136" s="16" t="str">
        <f>VLOOKUP(B136,'Compiled Agents'!A:H,5,FALSE)</f>
        <v>Wave1</v>
      </c>
      <c r="F136" s="16" t="str">
        <f>VLOOKUP(B136,'Compiled Agents'!A:H,6,FALSE)</f>
        <v>Orange</v>
      </c>
      <c r="G136" s="16">
        <f>VLOOKUP($A136,'SurveyRpt_20150223 (1)'!$A$34:$AN$735,6,FALSE)</f>
        <v>10</v>
      </c>
      <c r="H136" s="16" t="str">
        <f>VLOOKUP($A136,'SurveyRpt_20150223 (1)'!$A$34:$AN$735,8,FALSE)</f>
        <v>Yes</v>
      </c>
      <c r="I136" s="16" t="str">
        <f>VLOOKUP($A136,'SurveyRpt_20150223 (1)'!$A$34:$AN$735,10,FALSE)</f>
        <v>Yes</v>
      </c>
      <c r="J136" s="16" t="str">
        <f>VLOOKUP($A136,'SurveyRpt_20150223 (1)'!$A$34:$AN$735,12,FALSE)</f>
        <v>No</v>
      </c>
      <c r="K136" s="16" t="str">
        <f>VLOOKUP($A136,'SurveyRpt_20150223 (1)'!$A$34:$AN$735,14,FALSE)</f>
        <v>Yes</v>
      </c>
      <c r="L136" s="16" t="str">
        <f>VLOOKUP($A136,'SurveyRpt_20150223 (1)'!$A$34:$AN$735,16,FALSE)</f>
        <v>No</v>
      </c>
      <c r="M136" s="16" t="str">
        <f>VLOOKUP($A136,'SurveyRpt_20150223 (1)'!$A$34:$AN$735,18,FALSE)</f>
        <v>Yes</v>
      </c>
      <c r="N136" s="16" t="str">
        <f>VLOOKUP($A136,'SurveyRpt_20150223 (1)'!$A$34:$AN$735,20,FALSE)</f>
        <v>No</v>
      </c>
      <c r="O136" s="16" t="str">
        <f>VLOOKUP($A136,'SurveyRpt_20150223 (1)'!$A$34:$AN$735,22,FALSE)</f>
        <v>No</v>
      </c>
      <c r="P136" s="16" t="str">
        <f>VLOOKUP($A136,'SurveyRpt_20150223 (1)'!$A$34:$AN$735,24,FALSE)</f>
        <v>Yes</v>
      </c>
      <c r="Q136" s="16" t="str">
        <f>VLOOKUP($A136,'SurveyRpt_20150223 (1)'!$A$34:$AN$735,26,FALSE)</f>
        <v>No</v>
      </c>
      <c r="R136" s="16" t="str">
        <f>VLOOKUP($A136,'SurveyRpt_20150223 (1)'!$A$34:$AN$735,28,FALSE)</f>
        <v>No</v>
      </c>
      <c r="S136" s="16" t="str">
        <f>VLOOKUP($A136,'SurveyRpt_20150223 (1)'!$A$34:$AN$735,30,FALSE)</f>
        <v>Yes</v>
      </c>
      <c r="T136" s="16" t="str">
        <f>VLOOKUP($A136,'SurveyRpt_20150223 (1)'!$A$34:$AN$735,32,FALSE)</f>
        <v>Yes</v>
      </c>
      <c r="U136" s="16" t="str">
        <f>VLOOKUP($A136,'SurveyRpt_20150223 (1)'!$A$34:$AN$735,34,FALSE)</f>
        <v>Yes</v>
      </c>
      <c r="V136" s="16" t="str">
        <f>VLOOKUP($A136,'SurveyRpt_20150223 (1)'!$A$34:$AN$735,36,FALSE)</f>
        <v>Yes</v>
      </c>
      <c r="W136" s="16" t="str">
        <f>VLOOKUP($A136,'SurveyRpt_20150223 (1)'!$A$34:$AN$735,38,FALSE)</f>
        <v>Yes</v>
      </c>
    </row>
    <row r="137" spans="1:23" ht="13.5" customHeight="1" x14ac:dyDescent="0.25">
      <c r="A137" s="19" t="s">
        <v>230</v>
      </c>
      <c r="B137" s="19" t="str">
        <f t="shared" si="2"/>
        <v>AKUMAR333</v>
      </c>
      <c r="C137" s="16" t="str">
        <f>VLOOKUP(B137,'Compiled Agents'!A:H,2,FALSE)</f>
        <v>Workplace</v>
      </c>
      <c r="D137" s="16" t="str">
        <f>VLOOKUP(B137,'Compiled Agents'!A:H,4,FALSE)</f>
        <v>Noida</v>
      </c>
      <c r="E137" s="16" t="str">
        <f>VLOOKUP(B137,'Compiled Agents'!A:H,5,FALSE)</f>
        <v>Wave1</v>
      </c>
      <c r="F137" s="16" t="str">
        <f>VLOOKUP(B137,'Compiled Agents'!A:H,6,FALSE)</f>
        <v>Orange</v>
      </c>
      <c r="G137" s="16">
        <f>VLOOKUP($A137,'SurveyRpt_20150223 (1)'!$A$34:$AN$735,6,FALSE)</f>
        <v>16</v>
      </c>
      <c r="H137" s="16" t="str">
        <f>VLOOKUP($A137,'SurveyRpt_20150223 (1)'!$A$34:$AN$735,8,FALSE)</f>
        <v>Yes</v>
      </c>
      <c r="I137" s="16" t="str">
        <f>VLOOKUP($A137,'SurveyRpt_20150223 (1)'!$A$34:$AN$735,10,FALSE)</f>
        <v>Yes</v>
      </c>
      <c r="J137" s="16" t="str">
        <f>VLOOKUP($A137,'SurveyRpt_20150223 (1)'!$A$34:$AN$735,12,FALSE)</f>
        <v>Yes</v>
      </c>
      <c r="K137" s="16" t="str">
        <f>VLOOKUP($A137,'SurveyRpt_20150223 (1)'!$A$34:$AN$735,14,FALSE)</f>
        <v>Yes</v>
      </c>
      <c r="L137" s="16" t="str">
        <f>VLOOKUP($A137,'SurveyRpt_20150223 (1)'!$A$34:$AN$735,16,FALSE)</f>
        <v>Yes</v>
      </c>
      <c r="M137" s="16" t="str">
        <f>VLOOKUP($A137,'SurveyRpt_20150223 (1)'!$A$34:$AN$735,18,FALSE)</f>
        <v>Yes</v>
      </c>
      <c r="N137" s="16" t="str">
        <f>VLOOKUP($A137,'SurveyRpt_20150223 (1)'!$A$34:$AN$735,20,FALSE)</f>
        <v>Yes</v>
      </c>
      <c r="O137" s="16" t="str">
        <f>VLOOKUP($A137,'SurveyRpt_20150223 (1)'!$A$34:$AN$735,22,FALSE)</f>
        <v>Yes</v>
      </c>
      <c r="P137" s="16" t="str">
        <f>VLOOKUP($A137,'SurveyRpt_20150223 (1)'!$A$34:$AN$735,24,FALSE)</f>
        <v>Yes</v>
      </c>
      <c r="Q137" s="16" t="str">
        <f>VLOOKUP($A137,'SurveyRpt_20150223 (1)'!$A$34:$AN$735,26,FALSE)</f>
        <v>Yes</v>
      </c>
      <c r="R137" s="16" t="str">
        <f>VLOOKUP($A137,'SurveyRpt_20150223 (1)'!$A$34:$AN$735,28,FALSE)</f>
        <v>Yes</v>
      </c>
      <c r="S137" s="16" t="str">
        <f>VLOOKUP($A137,'SurveyRpt_20150223 (1)'!$A$34:$AN$735,30,FALSE)</f>
        <v>Yes</v>
      </c>
      <c r="T137" s="16" t="str">
        <f>VLOOKUP($A137,'SurveyRpt_20150223 (1)'!$A$34:$AN$735,32,FALSE)</f>
        <v>Yes</v>
      </c>
      <c r="U137" s="16" t="str">
        <f>VLOOKUP($A137,'SurveyRpt_20150223 (1)'!$A$34:$AN$735,34,FALSE)</f>
        <v>Yes</v>
      </c>
      <c r="V137" s="16" t="str">
        <f>VLOOKUP($A137,'SurveyRpt_20150223 (1)'!$A$34:$AN$735,36,FALSE)</f>
        <v>Yes</v>
      </c>
      <c r="W137" s="16" t="str">
        <f>VLOOKUP($A137,'SurveyRpt_20150223 (1)'!$A$34:$AN$735,38,FALSE)</f>
        <v>Yes</v>
      </c>
    </row>
    <row r="138" spans="1:23" ht="13.5" customHeight="1" x14ac:dyDescent="0.25">
      <c r="A138" s="19" t="s">
        <v>231</v>
      </c>
      <c r="B138" s="19" t="str">
        <f t="shared" si="2"/>
        <v>AGROVER5</v>
      </c>
      <c r="C138" s="16" t="str">
        <f>VLOOKUP(B138,'Compiled Agents'!A:H,2,FALSE)</f>
        <v>Platform</v>
      </c>
      <c r="D138" s="16" t="str">
        <f>VLOOKUP(B138,'Compiled Agents'!A:H,4,FALSE)</f>
        <v>Noida</v>
      </c>
      <c r="E138" s="16" t="str">
        <f>VLOOKUP(B138,'Compiled Agents'!A:H,5,FALSE)</f>
        <v>Wave1</v>
      </c>
      <c r="F138" s="16" t="str">
        <f>VLOOKUP(B138,'Compiled Agents'!A:H,6,FALSE)</f>
        <v>Blue</v>
      </c>
      <c r="G138" s="16">
        <f>VLOOKUP($A138,'SurveyRpt_20150223 (1)'!$A$34:$AN$735,6,FALSE)</f>
        <v>8</v>
      </c>
      <c r="H138" s="16" t="str">
        <f>VLOOKUP($A138,'SurveyRpt_20150223 (1)'!$A$34:$AN$735,8,FALSE)</f>
        <v>No</v>
      </c>
      <c r="I138" s="16" t="str">
        <f>VLOOKUP($A138,'SurveyRpt_20150223 (1)'!$A$34:$AN$735,10,FALSE)</f>
        <v>No</v>
      </c>
      <c r="J138" s="16" t="str">
        <f>VLOOKUP($A138,'SurveyRpt_20150223 (1)'!$A$34:$AN$735,12,FALSE)</f>
        <v>No</v>
      </c>
      <c r="K138" s="16" t="str">
        <f>VLOOKUP($A138,'SurveyRpt_20150223 (1)'!$A$34:$AN$735,14,FALSE)</f>
        <v>No</v>
      </c>
      <c r="L138" s="16" t="str">
        <f>VLOOKUP($A138,'SurveyRpt_20150223 (1)'!$A$34:$AN$735,16,FALSE)</f>
        <v>Yes</v>
      </c>
      <c r="M138" s="16" t="str">
        <f>VLOOKUP($A138,'SurveyRpt_20150223 (1)'!$A$34:$AN$735,18,FALSE)</f>
        <v>Yes</v>
      </c>
      <c r="N138" s="16" t="str">
        <f>VLOOKUP($A138,'SurveyRpt_20150223 (1)'!$A$34:$AN$735,20,FALSE)</f>
        <v>No</v>
      </c>
      <c r="O138" s="16" t="str">
        <f>VLOOKUP($A138,'SurveyRpt_20150223 (1)'!$A$34:$AN$735,22,FALSE)</f>
        <v>Yes</v>
      </c>
      <c r="P138" s="16" t="str">
        <f>VLOOKUP($A138,'SurveyRpt_20150223 (1)'!$A$34:$AN$735,24,FALSE)</f>
        <v>No</v>
      </c>
      <c r="Q138" s="16" t="str">
        <f>VLOOKUP($A138,'SurveyRpt_20150223 (1)'!$A$34:$AN$735,26,FALSE)</f>
        <v>Yes</v>
      </c>
      <c r="R138" s="16" t="str">
        <f>VLOOKUP($A138,'SurveyRpt_20150223 (1)'!$A$34:$AN$735,28,FALSE)</f>
        <v>Yes</v>
      </c>
      <c r="S138" s="16" t="str">
        <f>VLOOKUP($A138,'SurveyRpt_20150223 (1)'!$A$34:$AN$735,30,FALSE)</f>
        <v>Yes</v>
      </c>
      <c r="T138" s="16" t="str">
        <f>VLOOKUP($A138,'SurveyRpt_20150223 (1)'!$A$34:$AN$735,32,FALSE)</f>
        <v>No</v>
      </c>
      <c r="U138" s="16" t="str">
        <f>VLOOKUP($A138,'SurveyRpt_20150223 (1)'!$A$34:$AN$735,34,FALSE)</f>
        <v>Yes</v>
      </c>
      <c r="V138" s="16" t="str">
        <f>VLOOKUP($A138,'SurveyRpt_20150223 (1)'!$A$34:$AN$735,36,FALSE)</f>
        <v>Yes</v>
      </c>
      <c r="W138" s="16" t="str">
        <f>VLOOKUP($A138,'SurveyRpt_20150223 (1)'!$A$34:$AN$735,38,FALSE)</f>
        <v>No</v>
      </c>
    </row>
    <row r="139" spans="1:23" ht="13.5" customHeight="1" x14ac:dyDescent="0.25">
      <c r="A139" s="19" t="s">
        <v>232</v>
      </c>
      <c r="B139" s="19" t="str">
        <f t="shared" si="2"/>
        <v>trogers31</v>
      </c>
      <c r="C139" s="16" t="str">
        <f>VLOOKUP(B139,'Compiled Agents'!A:H,2,FALSE)</f>
        <v>Workplace</v>
      </c>
      <c r="D139" s="16" t="str">
        <f>VLOOKUP(B139,'Compiled Agents'!A:H,4,FALSE)</f>
        <v>MBC US</v>
      </c>
      <c r="E139" s="16" t="str">
        <f>VLOOKUP(B139,'Compiled Agents'!A:H,5,FALSE)</f>
        <v>Wave2</v>
      </c>
      <c r="F139" s="16" t="str">
        <f>VLOOKUP(B139,'Compiled Agents'!A:H,6,FALSE)</f>
        <v>Orange</v>
      </c>
      <c r="G139" s="16">
        <f>VLOOKUP($A139,'SurveyRpt_20150223 (1)'!$A$34:$AN$735,6,FALSE)</f>
        <v>9</v>
      </c>
      <c r="H139" s="16" t="str">
        <f>VLOOKUP($A139,'SurveyRpt_20150223 (1)'!$A$34:$AN$735,8,FALSE)</f>
        <v>Yes</v>
      </c>
      <c r="I139" s="16" t="str">
        <f>VLOOKUP($A139,'SurveyRpt_20150223 (1)'!$A$34:$AN$735,10,FALSE)</f>
        <v>Yes</v>
      </c>
      <c r="J139" s="16" t="str">
        <f>VLOOKUP($A139,'SurveyRpt_20150223 (1)'!$A$34:$AN$735,12,FALSE)</f>
        <v>Yes</v>
      </c>
      <c r="K139" s="16" t="str">
        <f>VLOOKUP($A139,'SurveyRpt_20150223 (1)'!$A$34:$AN$735,14,FALSE)</f>
        <v>No</v>
      </c>
      <c r="L139" s="16" t="str">
        <f>VLOOKUP($A139,'SurveyRpt_20150223 (1)'!$A$34:$AN$735,16,FALSE)</f>
        <v>Yes</v>
      </c>
      <c r="M139" s="16" t="str">
        <f>VLOOKUP($A139,'SurveyRpt_20150223 (1)'!$A$34:$AN$735,18,FALSE)</f>
        <v>Yes</v>
      </c>
      <c r="N139" s="16" t="str">
        <f>VLOOKUP($A139,'SurveyRpt_20150223 (1)'!$A$34:$AN$735,20,FALSE)</f>
        <v>No</v>
      </c>
      <c r="O139" s="16" t="str">
        <f>VLOOKUP($A139,'SurveyRpt_20150223 (1)'!$A$34:$AN$735,22,FALSE)</f>
        <v>No</v>
      </c>
      <c r="P139" s="16" t="str">
        <f>VLOOKUP($A139,'SurveyRpt_20150223 (1)'!$A$34:$AN$735,24,FALSE)</f>
        <v>Yes</v>
      </c>
      <c r="Q139" s="16" t="str">
        <f>VLOOKUP($A139,'SurveyRpt_20150223 (1)'!$A$34:$AN$735,26,FALSE)</f>
        <v>No</v>
      </c>
      <c r="R139" s="16" t="str">
        <f>VLOOKUP($A139,'SurveyRpt_20150223 (1)'!$A$34:$AN$735,28,FALSE)</f>
        <v>No</v>
      </c>
      <c r="S139" s="16" t="str">
        <f>VLOOKUP($A139,'SurveyRpt_20150223 (1)'!$A$34:$AN$735,30,FALSE)</f>
        <v>Yes</v>
      </c>
      <c r="T139" s="16" t="str">
        <f>VLOOKUP($A139,'SurveyRpt_20150223 (1)'!$A$34:$AN$735,32,FALSE)</f>
        <v>Yes</v>
      </c>
      <c r="U139" s="16" t="str">
        <f>VLOOKUP($A139,'SurveyRpt_20150223 (1)'!$A$34:$AN$735,34,FALSE)</f>
        <v>No</v>
      </c>
      <c r="V139" s="16" t="str">
        <f>VLOOKUP($A139,'SurveyRpt_20150223 (1)'!$A$34:$AN$735,36,FALSE)</f>
        <v>Yes</v>
      </c>
      <c r="W139" s="16" t="str">
        <f>VLOOKUP($A139,'SurveyRpt_20150223 (1)'!$A$34:$AN$735,38,FALSE)</f>
        <v>No</v>
      </c>
    </row>
    <row r="140" spans="1:23" ht="13.5" customHeight="1" x14ac:dyDescent="0.25">
      <c r="A140" s="19" t="s">
        <v>233</v>
      </c>
      <c r="B140" s="19" t="str">
        <f t="shared" si="2"/>
        <v>SSEVIMLI</v>
      </c>
      <c r="C140" s="16" t="str">
        <f>VLOOKUP(B140,'Compiled Agents'!A:H,2,FALSE)</f>
        <v>Workplace</v>
      </c>
      <c r="D140" s="16" t="str">
        <f>VLOOKUP(B140,'Compiled Agents'!A:H,4,FALSE)</f>
        <v>MBC US</v>
      </c>
      <c r="E140" s="16" t="str">
        <f>VLOOKUP(B140,'Compiled Agents'!A:H,5,FALSE)</f>
        <v>Wave2</v>
      </c>
      <c r="F140" s="16" t="str">
        <f>VLOOKUP(B140,'Compiled Agents'!A:H,6,FALSE)</f>
        <v>Orange</v>
      </c>
      <c r="G140" s="16">
        <f>VLOOKUP($A140,'SurveyRpt_20150223 (1)'!$A$34:$AN$735,6,FALSE)</f>
        <v>12</v>
      </c>
      <c r="H140" s="16" t="str">
        <f>VLOOKUP($A140,'SurveyRpt_20150223 (1)'!$A$34:$AN$735,8,FALSE)</f>
        <v>Yes</v>
      </c>
      <c r="I140" s="16" t="str">
        <f>VLOOKUP($A140,'SurveyRpt_20150223 (1)'!$A$34:$AN$735,10,FALSE)</f>
        <v>Yes</v>
      </c>
      <c r="J140" s="16" t="str">
        <f>VLOOKUP($A140,'SurveyRpt_20150223 (1)'!$A$34:$AN$735,12,FALSE)</f>
        <v>Yes</v>
      </c>
      <c r="K140" s="16" t="str">
        <f>VLOOKUP($A140,'SurveyRpt_20150223 (1)'!$A$34:$AN$735,14,FALSE)</f>
        <v>Yes</v>
      </c>
      <c r="L140" s="16" t="str">
        <f>VLOOKUP($A140,'SurveyRpt_20150223 (1)'!$A$34:$AN$735,16,FALSE)</f>
        <v>Yes</v>
      </c>
      <c r="M140" s="16" t="str">
        <f>VLOOKUP($A140,'SurveyRpt_20150223 (1)'!$A$34:$AN$735,18,FALSE)</f>
        <v>Yes</v>
      </c>
      <c r="N140" s="16" t="str">
        <f>VLOOKUP($A140,'SurveyRpt_20150223 (1)'!$A$34:$AN$735,20,FALSE)</f>
        <v>No</v>
      </c>
      <c r="O140" s="16" t="str">
        <f>VLOOKUP($A140,'SurveyRpt_20150223 (1)'!$A$34:$AN$735,22,FALSE)</f>
        <v>Yes</v>
      </c>
      <c r="P140" s="16" t="str">
        <f>VLOOKUP($A140,'SurveyRpt_20150223 (1)'!$A$34:$AN$735,24,FALSE)</f>
        <v>Yes</v>
      </c>
      <c r="Q140" s="16" t="str">
        <f>VLOOKUP($A140,'SurveyRpt_20150223 (1)'!$A$34:$AN$735,26,FALSE)</f>
        <v>Yes</v>
      </c>
      <c r="R140" s="16" t="str">
        <f>VLOOKUP($A140,'SurveyRpt_20150223 (1)'!$A$34:$AN$735,28,FALSE)</f>
        <v>Yes</v>
      </c>
      <c r="S140" s="16" t="str">
        <f>VLOOKUP($A140,'SurveyRpt_20150223 (1)'!$A$34:$AN$735,30,FALSE)</f>
        <v>No</v>
      </c>
      <c r="T140" s="16" t="str">
        <f>VLOOKUP($A140,'SurveyRpt_20150223 (1)'!$A$34:$AN$735,32,FALSE)</f>
        <v>Yes</v>
      </c>
      <c r="U140" s="16" t="str">
        <f>VLOOKUP($A140,'SurveyRpt_20150223 (1)'!$A$34:$AN$735,34,FALSE)</f>
        <v>No</v>
      </c>
      <c r="V140" s="16" t="str">
        <f>VLOOKUP($A140,'SurveyRpt_20150223 (1)'!$A$34:$AN$735,36,FALSE)</f>
        <v>Yes</v>
      </c>
      <c r="W140" s="16" t="str">
        <f>VLOOKUP($A140,'SurveyRpt_20150223 (1)'!$A$34:$AN$735,38,FALSE)</f>
        <v>No</v>
      </c>
    </row>
    <row r="141" spans="1:23" ht="13.5" customHeight="1" x14ac:dyDescent="0.25">
      <c r="A141" s="19" t="s">
        <v>234</v>
      </c>
      <c r="B141" s="19" t="str">
        <f t="shared" si="2"/>
        <v>ameunier</v>
      </c>
      <c r="C141" s="16" t="str">
        <f>VLOOKUP(B141,'Compiled Agents'!A:H,2,FALSE)</f>
        <v>Workplace</v>
      </c>
      <c r="D141" s="16" t="str">
        <f>VLOOKUP(B141,'Compiled Agents'!A:H,4,FALSE)</f>
        <v>MBC US</v>
      </c>
      <c r="E141" s="16" t="str">
        <f>VLOOKUP(B141,'Compiled Agents'!A:H,5,FALSE)</f>
        <v>Wave2</v>
      </c>
      <c r="F141" s="16" t="str">
        <f>VLOOKUP(B141,'Compiled Agents'!A:H,6,FALSE)</f>
        <v>Yellow</v>
      </c>
      <c r="G141" s="16">
        <f>VLOOKUP($A141,'SurveyRpt_20150223 (1)'!$A$34:$AN$735,6,FALSE)</f>
        <v>16</v>
      </c>
      <c r="H141" s="16" t="str">
        <f>VLOOKUP($A141,'SurveyRpt_20150223 (1)'!$A$34:$AN$735,8,FALSE)</f>
        <v>Yes</v>
      </c>
      <c r="I141" s="16" t="str">
        <f>VLOOKUP($A141,'SurveyRpt_20150223 (1)'!$A$34:$AN$735,10,FALSE)</f>
        <v>Yes</v>
      </c>
      <c r="J141" s="16" t="str">
        <f>VLOOKUP($A141,'SurveyRpt_20150223 (1)'!$A$34:$AN$735,12,FALSE)</f>
        <v>Yes</v>
      </c>
      <c r="K141" s="16" t="str">
        <f>VLOOKUP($A141,'SurveyRpt_20150223 (1)'!$A$34:$AN$735,14,FALSE)</f>
        <v>Yes</v>
      </c>
      <c r="L141" s="16" t="str">
        <f>VLOOKUP($A141,'SurveyRpt_20150223 (1)'!$A$34:$AN$735,16,FALSE)</f>
        <v>Yes</v>
      </c>
      <c r="M141" s="16" t="str">
        <f>VLOOKUP($A141,'SurveyRpt_20150223 (1)'!$A$34:$AN$735,18,FALSE)</f>
        <v>Yes</v>
      </c>
      <c r="N141" s="16" t="str">
        <f>VLOOKUP($A141,'SurveyRpt_20150223 (1)'!$A$34:$AN$735,20,FALSE)</f>
        <v>Yes</v>
      </c>
      <c r="O141" s="16" t="str">
        <f>VLOOKUP($A141,'SurveyRpt_20150223 (1)'!$A$34:$AN$735,22,FALSE)</f>
        <v>Yes</v>
      </c>
      <c r="P141" s="16" t="str">
        <f>VLOOKUP($A141,'SurveyRpt_20150223 (1)'!$A$34:$AN$735,24,FALSE)</f>
        <v>Yes</v>
      </c>
      <c r="Q141" s="16" t="str">
        <f>VLOOKUP($A141,'SurveyRpt_20150223 (1)'!$A$34:$AN$735,26,FALSE)</f>
        <v>Yes</v>
      </c>
      <c r="R141" s="16" t="str">
        <f>VLOOKUP($A141,'SurveyRpt_20150223 (1)'!$A$34:$AN$735,28,FALSE)</f>
        <v>Yes</v>
      </c>
      <c r="S141" s="16" t="str">
        <f>VLOOKUP($A141,'SurveyRpt_20150223 (1)'!$A$34:$AN$735,30,FALSE)</f>
        <v>Yes</v>
      </c>
      <c r="T141" s="16" t="str">
        <f>VLOOKUP($A141,'SurveyRpt_20150223 (1)'!$A$34:$AN$735,32,FALSE)</f>
        <v>Yes</v>
      </c>
      <c r="U141" s="16" t="str">
        <f>VLOOKUP($A141,'SurveyRpt_20150223 (1)'!$A$34:$AN$735,34,FALSE)</f>
        <v>Yes</v>
      </c>
      <c r="V141" s="16" t="str">
        <f>VLOOKUP($A141,'SurveyRpt_20150223 (1)'!$A$34:$AN$735,36,FALSE)</f>
        <v>Yes</v>
      </c>
      <c r="W141" s="16" t="str">
        <f>VLOOKUP($A141,'SurveyRpt_20150223 (1)'!$A$34:$AN$735,38,FALSE)</f>
        <v>Yes</v>
      </c>
    </row>
    <row r="142" spans="1:23" ht="13.5" customHeight="1" x14ac:dyDescent="0.25">
      <c r="A142" s="19" t="s">
        <v>235</v>
      </c>
      <c r="B142" s="19" t="str">
        <f t="shared" si="2"/>
        <v>RVERMA23</v>
      </c>
      <c r="C142" s="16" t="str">
        <f>VLOOKUP(B142,'Compiled Agents'!A:H,2,FALSE)</f>
        <v>Workplace</v>
      </c>
      <c r="D142" s="16" t="str">
        <f>VLOOKUP(B142,'Compiled Agents'!A:H,4,FALSE)</f>
        <v>Noida</v>
      </c>
      <c r="E142" s="16" t="str">
        <f>VLOOKUP(B142,'Compiled Agents'!A:H,5,FALSE)</f>
        <v>Wave2</v>
      </c>
      <c r="F142" s="16" t="str">
        <f>VLOOKUP(B142,'Compiled Agents'!A:H,6,FALSE)</f>
        <v>Blue</v>
      </c>
      <c r="G142" s="16">
        <f>VLOOKUP($A142,'SurveyRpt_20150223 (1)'!$A$34:$AN$735,6,FALSE)</f>
        <v>16</v>
      </c>
      <c r="H142" s="16" t="str">
        <f>VLOOKUP($A142,'SurveyRpt_20150223 (1)'!$A$34:$AN$735,8,FALSE)</f>
        <v>Yes</v>
      </c>
      <c r="I142" s="16" t="str">
        <f>VLOOKUP($A142,'SurveyRpt_20150223 (1)'!$A$34:$AN$735,10,FALSE)</f>
        <v>Yes</v>
      </c>
      <c r="J142" s="16" t="str">
        <f>VLOOKUP($A142,'SurveyRpt_20150223 (1)'!$A$34:$AN$735,12,FALSE)</f>
        <v>Yes</v>
      </c>
      <c r="K142" s="16" t="str">
        <f>VLOOKUP($A142,'SurveyRpt_20150223 (1)'!$A$34:$AN$735,14,FALSE)</f>
        <v>Yes</v>
      </c>
      <c r="L142" s="16" t="str">
        <f>VLOOKUP($A142,'SurveyRpt_20150223 (1)'!$A$34:$AN$735,16,FALSE)</f>
        <v>Yes</v>
      </c>
      <c r="M142" s="16" t="str">
        <f>VLOOKUP($A142,'SurveyRpt_20150223 (1)'!$A$34:$AN$735,18,FALSE)</f>
        <v>Yes</v>
      </c>
      <c r="N142" s="16" t="str">
        <f>VLOOKUP($A142,'SurveyRpt_20150223 (1)'!$A$34:$AN$735,20,FALSE)</f>
        <v>Yes</v>
      </c>
      <c r="O142" s="16" t="str">
        <f>VLOOKUP($A142,'SurveyRpt_20150223 (1)'!$A$34:$AN$735,22,FALSE)</f>
        <v>Yes</v>
      </c>
      <c r="P142" s="16" t="str">
        <f>VLOOKUP($A142,'SurveyRpt_20150223 (1)'!$A$34:$AN$735,24,FALSE)</f>
        <v>Yes</v>
      </c>
      <c r="Q142" s="16" t="str">
        <f>VLOOKUP($A142,'SurveyRpt_20150223 (1)'!$A$34:$AN$735,26,FALSE)</f>
        <v>Yes</v>
      </c>
      <c r="R142" s="16" t="str">
        <f>VLOOKUP($A142,'SurveyRpt_20150223 (1)'!$A$34:$AN$735,28,FALSE)</f>
        <v>Yes</v>
      </c>
      <c r="S142" s="16" t="str">
        <f>VLOOKUP($A142,'SurveyRpt_20150223 (1)'!$A$34:$AN$735,30,FALSE)</f>
        <v>Yes</v>
      </c>
      <c r="T142" s="16" t="str">
        <f>VLOOKUP($A142,'SurveyRpt_20150223 (1)'!$A$34:$AN$735,32,FALSE)</f>
        <v>Yes</v>
      </c>
      <c r="U142" s="16" t="str">
        <f>VLOOKUP($A142,'SurveyRpt_20150223 (1)'!$A$34:$AN$735,34,FALSE)</f>
        <v>Yes</v>
      </c>
      <c r="V142" s="16" t="str">
        <f>VLOOKUP($A142,'SurveyRpt_20150223 (1)'!$A$34:$AN$735,36,FALSE)</f>
        <v>Yes</v>
      </c>
      <c r="W142" s="16" t="str">
        <f>VLOOKUP($A142,'SurveyRpt_20150223 (1)'!$A$34:$AN$735,38,FALSE)</f>
        <v>Yes</v>
      </c>
    </row>
    <row r="143" spans="1:23" ht="13.5" customHeight="1" x14ac:dyDescent="0.25">
      <c r="A143" s="19" t="s">
        <v>236</v>
      </c>
      <c r="B143" s="19" t="str">
        <f t="shared" si="2"/>
        <v>dbarber6</v>
      </c>
      <c r="C143" s="16" t="str">
        <f>VLOOKUP(B143,'Compiled Agents'!A:H,2,FALSE)</f>
        <v>Platform</v>
      </c>
      <c r="D143" s="16" t="str">
        <f>VLOOKUP(B143,'Compiled Agents'!A:H,4,FALSE)</f>
        <v>MBC US</v>
      </c>
      <c r="E143" s="16" t="str">
        <f>VLOOKUP(B143,'Compiled Agents'!A:H,5,FALSE)</f>
        <v>Wave2</v>
      </c>
      <c r="F143" s="16" t="str">
        <f>VLOOKUP(B143,'Compiled Agents'!A:H,6,FALSE)</f>
        <v>Blue</v>
      </c>
      <c r="G143" s="16">
        <f>VLOOKUP($A143,'SurveyRpt_20150223 (1)'!$A$34:$AN$735,6,FALSE)</f>
        <v>16</v>
      </c>
      <c r="H143" s="16" t="str">
        <f>VLOOKUP($A143,'SurveyRpt_20150223 (1)'!$A$34:$AN$735,8,FALSE)</f>
        <v>Yes</v>
      </c>
      <c r="I143" s="16" t="str">
        <f>VLOOKUP($A143,'SurveyRpt_20150223 (1)'!$A$34:$AN$735,10,FALSE)</f>
        <v>Yes</v>
      </c>
      <c r="J143" s="16" t="str">
        <f>VLOOKUP($A143,'SurveyRpt_20150223 (1)'!$A$34:$AN$735,12,FALSE)</f>
        <v>Yes</v>
      </c>
      <c r="K143" s="16" t="str">
        <f>VLOOKUP($A143,'SurveyRpt_20150223 (1)'!$A$34:$AN$735,14,FALSE)</f>
        <v>Yes</v>
      </c>
      <c r="L143" s="16" t="str">
        <f>VLOOKUP($A143,'SurveyRpt_20150223 (1)'!$A$34:$AN$735,16,FALSE)</f>
        <v>Yes</v>
      </c>
      <c r="M143" s="16" t="str">
        <f>VLOOKUP($A143,'SurveyRpt_20150223 (1)'!$A$34:$AN$735,18,FALSE)</f>
        <v>Yes</v>
      </c>
      <c r="N143" s="16" t="str">
        <f>VLOOKUP($A143,'SurveyRpt_20150223 (1)'!$A$34:$AN$735,20,FALSE)</f>
        <v>Yes</v>
      </c>
      <c r="O143" s="16" t="str">
        <f>VLOOKUP($A143,'SurveyRpt_20150223 (1)'!$A$34:$AN$735,22,FALSE)</f>
        <v>Yes</v>
      </c>
      <c r="P143" s="16" t="str">
        <f>VLOOKUP($A143,'SurveyRpt_20150223 (1)'!$A$34:$AN$735,24,FALSE)</f>
        <v>Yes</v>
      </c>
      <c r="Q143" s="16" t="str">
        <f>VLOOKUP($A143,'SurveyRpt_20150223 (1)'!$A$34:$AN$735,26,FALSE)</f>
        <v>Yes</v>
      </c>
      <c r="R143" s="16" t="str">
        <f>VLOOKUP($A143,'SurveyRpt_20150223 (1)'!$A$34:$AN$735,28,FALSE)</f>
        <v>Yes</v>
      </c>
      <c r="S143" s="16" t="str">
        <f>VLOOKUP($A143,'SurveyRpt_20150223 (1)'!$A$34:$AN$735,30,FALSE)</f>
        <v>Yes</v>
      </c>
      <c r="T143" s="16" t="str">
        <f>VLOOKUP($A143,'SurveyRpt_20150223 (1)'!$A$34:$AN$735,32,FALSE)</f>
        <v>Yes</v>
      </c>
      <c r="U143" s="16" t="str">
        <f>VLOOKUP($A143,'SurveyRpt_20150223 (1)'!$A$34:$AN$735,34,FALSE)</f>
        <v>Yes</v>
      </c>
      <c r="V143" s="16" t="str">
        <f>VLOOKUP($A143,'SurveyRpt_20150223 (1)'!$A$34:$AN$735,36,FALSE)</f>
        <v>Yes</v>
      </c>
      <c r="W143" s="16" t="str">
        <f>VLOOKUP($A143,'SurveyRpt_20150223 (1)'!$A$34:$AN$735,38,FALSE)</f>
        <v>Yes</v>
      </c>
    </row>
    <row r="144" spans="1:23" ht="13.5" customHeight="1" x14ac:dyDescent="0.25">
      <c r="A144" s="19" t="s">
        <v>237</v>
      </c>
      <c r="B144" s="19" t="str">
        <f t="shared" si="2"/>
        <v>HGARY</v>
      </c>
      <c r="C144" s="16" t="str">
        <f>VLOOKUP(B144,'Compiled Agents'!A:H,2,FALSE)</f>
        <v>Workplace</v>
      </c>
      <c r="D144" s="16" t="str">
        <f>VLOOKUP(B144,'Compiled Agents'!A:H,4,FALSE)</f>
        <v>MBC US</v>
      </c>
      <c r="E144" s="16" t="str">
        <f>VLOOKUP(B144,'Compiled Agents'!A:H,5,FALSE)</f>
        <v>Wave2</v>
      </c>
      <c r="F144" s="16" t="str">
        <f>VLOOKUP(B144,'Compiled Agents'!A:H,6,FALSE)</f>
        <v>Yellow</v>
      </c>
      <c r="G144" s="16">
        <f>VLOOKUP($A144,'SurveyRpt_20150223 (1)'!$A$34:$AN$735,6,FALSE)</f>
        <v>15</v>
      </c>
      <c r="H144" s="16" t="str">
        <f>VLOOKUP($A144,'SurveyRpt_20150223 (1)'!$A$34:$AN$735,8,FALSE)</f>
        <v>Yes</v>
      </c>
      <c r="I144" s="16" t="str">
        <f>VLOOKUP($A144,'SurveyRpt_20150223 (1)'!$A$34:$AN$735,10,FALSE)</f>
        <v>Yes</v>
      </c>
      <c r="J144" s="16" t="str">
        <f>VLOOKUP($A144,'SurveyRpt_20150223 (1)'!$A$34:$AN$735,12,FALSE)</f>
        <v>Yes</v>
      </c>
      <c r="K144" s="16" t="str">
        <f>VLOOKUP($A144,'SurveyRpt_20150223 (1)'!$A$34:$AN$735,14,FALSE)</f>
        <v>Yes</v>
      </c>
      <c r="L144" s="16" t="str">
        <f>VLOOKUP($A144,'SurveyRpt_20150223 (1)'!$A$34:$AN$735,16,FALSE)</f>
        <v>Yes</v>
      </c>
      <c r="M144" s="16" t="str">
        <f>VLOOKUP($A144,'SurveyRpt_20150223 (1)'!$A$34:$AN$735,18,FALSE)</f>
        <v>Yes</v>
      </c>
      <c r="N144" s="16" t="str">
        <f>VLOOKUP($A144,'SurveyRpt_20150223 (1)'!$A$34:$AN$735,20,FALSE)</f>
        <v>Yes</v>
      </c>
      <c r="O144" s="16" t="str">
        <f>VLOOKUP($A144,'SurveyRpt_20150223 (1)'!$A$34:$AN$735,22,FALSE)</f>
        <v>Yes</v>
      </c>
      <c r="P144" s="16" t="str">
        <f>VLOOKUP($A144,'SurveyRpt_20150223 (1)'!$A$34:$AN$735,24,FALSE)</f>
        <v>Yes</v>
      </c>
      <c r="Q144" s="16" t="str">
        <f>VLOOKUP($A144,'SurveyRpt_20150223 (1)'!$A$34:$AN$735,26,FALSE)</f>
        <v>Yes</v>
      </c>
      <c r="R144" s="16" t="str">
        <f>VLOOKUP($A144,'SurveyRpt_20150223 (1)'!$A$34:$AN$735,28,FALSE)</f>
        <v>Yes</v>
      </c>
      <c r="S144" s="16" t="str">
        <f>VLOOKUP($A144,'SurveyRpt_20150223 (1)'!$A$34:$AN$735,30,FALSE)</f>
        <v>Yes</v>
      </c>
      <c r="T144" s="16" t="str">
        <f>VLOOKUP($A144,'SurveyRpt_20150223 (1)'!$A$34:$AN$735,32,FALSE)</f>
        <v>Yes</v>
      </c>
      <c r="U144" s="16" t="str">
        <f>VLOOKUP($A144,'SurveyRpt_20150223 (1)'!$A$34:$AN$735,34,FALSE)</f>
        <v>Yes</v>
      </c>
      <c r="V144" s="16" t="str">
        <f>VLOOKUP($A144,'SurveyRpt_20150223 (1)'!$A$34:$AN$735,36,FALSE)</f>
        <v>Yes</v>
      </c>
      <c r="W144" s="16" t="str">
        <f>VLOOKUP($A144,'SurveyRpt_20150223 (1)'!$A$34:$AN$735,38,FALSE)</f>
        <v>No</v>
      </c>
    </row>
    <row r="145" spans="1:23" ht="13.5" customHeight="1" x14ac:dyDescent="0.25">
      <c r="A145" s="19" t="s">
        <v>238</v>
      </c>
      <c r="B145" s="19" t="str">
        <f t="shared" si="2"/>
        <v>JDAS5</v>
      </c>
      <c r="C145" s="16" t="str">
        <f>VLOOKUP(B145,'Compiled Agents'!A:H,2,FALSE)</f>
        <v>Workplace</v>
      </c>
      <c r="D145" s="16" t="str">
        <f>VLOOKUP(B145,'Compiled Agents'!A:H,4,FALSE)</f>
        <v>Noida</v>
      </c>
      <c r="E145" s="16" t="str">
        <f>VLOOKUP(B145,'Compiled Agents'!A:H,5,FALSE)</f>
        <v>Wave1</v>
      </c>
      <c r="F145" s="16" t="str">
        <f>VLOOKUP(B145,'Compiled Agents'!A:H,6,FALSE)</f>
        <v>Orange</v>
      </c>
      <c r="G145" s="16">
        <f>VLOOKUP($A145,'SurveyRpt_20150223 (1)'!$A$34:$AN$735,6,FALSE)</f>
        <v>6</v>
      </c>
      <c r="H145" s="16" t="str">
        <f>VLOOKUP($A145,'SurveyRpt_20150223 (1)'!$A$34:$AN$735,8,FALSE)</f>
        <v>Yes</v>
      </c>
      <c r="I145" s="16" t="str">
        <f>VLOOKUP($A145,'SurveyRpt_20150223 (1)'!$A$34:$AN$735,10,FALSE)</f>
        <v>No</v>
      </c>
      <c r="J145" s="16" t="str">
        <f>VLOOKUP($A145,'SurveyRpt_20150223 (1)'!$A$34:$AN$735,12,FALSE)</f>
        <v>No</v>
      </c>
      <c r="K145" s="16" t="str">
        <f>VLOOKUP($A145,'SurveyRpt_20150223 (1)'!$A$34:$AN$735,14,FALSE)</f>
        <v>No</v>
      </c>
      <c r="L145" s="16" t="str">
        <f>VLOOKUP($A145,'SurveyRpt_20150223 (1)'!$A$34:$AN$735,16,FALSE)</f>
        <v>Yes</v>
      </c>
      <c r="M145" s="16" t="str">
        <f>VLOOKUP($A145,'SurveyRpt_20150223 (1)'!$A$34:$AN$735,18,FALSE)</f>
        <v>No</v>
      </c>
      <c r="N145" s="16" t="str">
        <f>VLOOKUP($A145,'SurveyRpt_20150223 (1)'!$A$34:$AN$735,20,FALSE)</f>
        <v>Yes</v>
      </c>
      <c r="O145" s="16" t="str">
        <f>VLOOKUP($A145,'SurveyRpt_20150223 (1)'!$A$34:$AN$735,22,FALSE)</f>
        <v>Yes</v>
      </c>
      <c r="P145" s="16" t="str">
        <f>VLOOKUP($A145,'SurveyRpt_20150223 (1)'!$A$34:$AN$735,24,FALSE)</f>
        <v>No</v>
      </c>
      <c r="Q145" s="16" t="str">
        <f>VLOOKUP($A145,'SurveyRpt_20150223 (1)'!$A$34:$AN$735,26,FALSE)</f>
        <v>No</v>
      </c>
      <c r="R145" s="16" t="str">
        <f>VLOOKUP($A145,'SurveyRpt_20150223 (1)'!$A$34:$AN$735,28,FALSE)</f>
        <v>No</v>
      </c>
      <c r="S145" s="16" t="str">
        <f>VLOOKUP($A145,'SurveyRpt_20150223 (1)'!$A$34:$AN$735,30,FALSE)</f>
        <v>Yes</v>
      </c>
      <c r="T145" s="16" t="str">
        <f>VLOOKUP($A145,'SurveyRpt_20150223 (1)'!$A$34:$AN$735,32,FALSE)</f>
        <v>No</v>
      </c>
      <c r="U145" s="16" t="str">
        <f>VLOOKUP($A145,'SurveyRpt_20150223 (1)'!$A$34:$AN$735,34,FALSE)</f>
        <v>No</v>
      </c>
      <c r="V145" s="16" t="str">
        <f>VLOOKUP($A145,'SurveyRpt_20150223 (1)'!$A$34:$AN$735,36,FALSE)</f>
        <v>Yes</v>
      </c>
      <c r="W145" s="16" t="str">
        <f>VLOOKUP($A145,'SurveyRpt_20150223 (1)'!$A$34:$AN$735,38,FALSE)</f>
        <v>No</v>
      </c>
    </row>
    <row r="146" spans="1:23" ht="13.5" customHeight="1" x14ac:dyDescent="0.25">
      <c r="A146" s="19" t="s">
        <v>239</v>
      </c>
      <c r="B146" s="19" t="str">
        <f t="shared" si="2"/>
        <v>tmerritt3</v>
      </c>
      <c r="C146" s="16" t="str">
        <f>VLOOKUP(B146,'Compiled Agents'!A:H,2,FALSE)</f>
        <v>Workplace</v>
      </c>
      <c r="D146" s="16" t="str">
        <f>VLOOKUP(B146,'Compiled Agents'!A:H,4,FALSE)</f>
        <v>MBC US</v>
      </c>
      <c r="E146" s="16" t="str">
        <f>VLOOKUP(B146,'Compiled Agents'!A:H,5,FALSE)</f>
        <v>Wave2</v>
      </c>
      <c r="F146" s="16" t="str">
        <f>VLOOKUP(B146,'Compiled Agents'!A:H,6,FALSE)</f>
        <v>Orange</v>
      </c>
      <c r="G146" s="16">
        <f>VLOOKUP($A146,'SurveyRpt_20150223 (1)'!$A$34:$AN$735,6,FALSE)</f>
        <v>12</v>
      </c>
      <c r="H146" s="16" t="str">
        <f>VLOOKUP($A146,'SurveyRpt_20150223 (1)'!$A$34:$AN$735,8,FALSE)</f>
        <v>Yes</v>
      </c>
      <c r="I146" s="16" t="str">
        <f>VLOOKUP($A146,'SurveyRpt_20150223 (1)'!$A$34:$AN$735,10,FALSE)</f>
        <v>No</v>
      </c>
      <c r="J146" s="16" t="str">
        <f>VLOOKUP($A146,'SurveyRpt_20150223 (1)'!$A$34:$AN$735,12,FALSE)</f>
        <v>Yes</v>
      </c>
      <c r="K146" s="16" t="str">
        <f>VLOOKUP($A146,'SurveyRpt_20150223 (1)'!$A$34:$AN$735,14,FALSE)</f>
        <v>Yes</v>
      </c>
      <c r="L146" s="16" t="str">
        <f>VLOOKUP($A146,'SurveyRpt_20150223 (1)'!$A$34:$AN$735,16,FALSE)</f>
        <v>Yes</v>
      </c>
      <c r="M146" s="16" t="str">
        <f>VLOOKUP($A146,'SurveyRpt_20150223 (1)'!$A$34:$AN$735,18,FALSE)</f>
        <v>Yes</v>
      </c>
      <c r="N146" s="16" t="str">
        <f>VLOOKUP($A146,'SurveyRpt_20150223 (1)'!$A$34:$AN$735,20,FALSE)</f>
        <v>Yes</v>
      </c>
      <c r="O146" s="16" t="str">
        <f>VLOOKUP($A146,'SurveyRpt_20150223 (1)'!$A$34:$AN$735,22,FALSE)</f>
        <v>Yes</v>
      </c>
      <c r="P146" s="16" t="str">
        <f>VLOOKUP($A146,'SurveyRpt_20150223 (1)'!$A$34:$AN$735,24,FALSE)</f>
        <v>Yes</v>
      </c>
      <c r="Q146" s="16" t="str">
        <f>VLOOKUP($A146,'SurveyRpt_20150223 (1)'!$A$34:$AN$735,26,FALSE)</f>
        <v>Yes</v>
      </c>
      <c r="R146" s="16" t="str">
        <f>VLOOKUP($A146,'SurveyRpt_20150223 (1)'!$A$34:$AN$735,28,FALSE)</f>
        <v>Yes</v>
      </c>
      <c r="S146" s="16" t="str">
        <f>VLOOKUP($A146,'SurveyRpt_20150223 (1)'!$A$34:$AN$735,30,FALSE)</f>
        <v>No</v>
      </c>
      <c r="T146" s="16" t="str">
        <f>VLOOKUP($A146,'SurveyRpt_20150223 (1)'!$A$34:$AN$735,32,FALSE)</f>
        <v>No</v>
      </c>
      <c r="U146" s="16" t="str">
        <f>VLOOKUP($A146,'SurveyRpt_20150223 (1)'!$A$34:$AN$735,34,FALSE)</f>
        <v>No</v>
      </c>
      <c r="V146" s="16" t="str">
        <f>VLOOKUP($A146,'SurveyRpt_20150223 (1)'!$A$34:$AN$735,36,FALSE)</f>
        <v>Yes</v>
      </c>
      <c r="W146" s="16" t="str">
        <f>VLOOKUP($A146,'SurveyRpt_20150223 (1)'!$A$34:$AN$735,38,FALSE)</f>
        <v>Yes</v>
      </c>
    </row>
    <row r="147" spans="1:23" ht="13.5" customHeight="1" x14ac:dyDescent="0.25">
      <c r="A147" s="19" t="s">
        <v>240</v>
      </c>
      <c r="B147" s="19" t="str">
        <f t="shared" si="2"/>
        <v>RMOUNTZ2</v>
      </c>
      <c r="C147" s="16" t="str">
        <f>VLOOKUP(B147,'Compiled Agents'!A:H,2,FALSE)</f>
        <v>Workplace</v>
      </c>
      <c r="D147" s="16" t="str">
        <f>VLOOKUP(B147,'Compiled Agents'!A:H,4,FALSE)</f>
        <v>MBC US</v>
      </c>
      <c r="E147" s="16" t="str">
        <f>VLOOKUP(B147,'Compiled Agents'!A:H,5,FALSE)</f>
        <v>Wave2</v>
      </c>
      <c r="F147" s="16" t="str">
        <f>VLOOKUP(B147,'Compiled Agents'!A:H,6,FALSE)</f>
        <v>Orange</v>
      </c>
      <c r="G147" s="16">
        <f>VLOOKUP($A147,'SurveyRpt_20150223 (1)'!$A$34:$AN$735,6,FALSE)</f>
        <v>12</v>
      </c>
      <c r="H147" s="16" t="str">
        <f>VLOOKUP($A147,'SurveyRpt_20150223 (1)'!$A$34:$AN$735,8,FALSE)</f>
        <v>Yes</v>
      </c>
      <c r="I147" s="16" t="str">
        <f>VLOOKUP($A147,'SurveyRpt_20150223 (1)'!$A$34:$AN$735,10,FALSE)</f>
        <v>Yes</v>
      </c>
      <c r="J147" s="16" t="str">
        <f>VLOOKUP($A147,'SurveyRpt_20150223 (1)'!$A$34:$AN$735,12,FALSE)</f>
        <v>Yes</v>
      </c>
      <c r="K147" s="16" t="str">
        <f>VLOOKUP($A147,'SurveyRpt_20150223 (1)'!$A$34:$AN$735,14,FALSE)</f>
        <v>Yes</v>
      </c>
      <c r="L147" s="16" t="str">
        <f>VLOOKUP($A147,'SurveyRpt_20150223 (1)'!$A$34:$AN$735,16,FALSE)</f>
        <v>Yes</v>
      </c>
      <c r="M147" s="16" t="str">
        <f>VLOOKUP($A147,'SurveyRpt_20150223 (1)'!$A$34:$AN$735,18,FALSE)</f>
        <v>Yes</v>
      </c>
      <c r="N147" s="16" t="str">
        <f>VLOOKUP($A147,'SurveyRpt_20150223 (1)'!$A$34:$AN$735,20,FALSE)</f>
        <v>No</v>
      </c>
      <c r="O147" s="16" t="str">
        <f>VLOOKUP($A147,'SurveyRpt_20150223 (1)'!$A$34:$AN$735,22,FALSE)</f>
        <v>No</v>
      </c>
      <c r="P147" s="16" t="str">
        <f>VLOOKUP($A147,'SurveyRpt_20150223 (1)'!$A$34:$AN$735,24,FALSE)</f>
        <v>Yes</v>
      </c>
      <c r="Q147" s="16" t="str">
        <f>VLOOKUP($A147,'SurveyRpt_20150223 (1)'!$A$34:$AN$735,26,FALSE)</f>
        <v>Yes</v>
      </c>
      <c r="R147" s="16" t="str">
        <f>VLOOKUP($A147,'SurveyRpt_20150223 (1)'!$A$34:$AN$735,28,FALSE)</f>
        <v>Yes</v>
      </c>
      <c r="S147" s="16" t="str">
        <f>VLOOKUP($A147,'SurveyRpt_20150223 (1)'!$A$34:$AN$735,30,FALSE)</f>
        <v>Yes</v>
      </c>
      <c r="T147" s="16" t="str">
        <f>VLOOKUP($A147,'SurveyRpt_20150223 (1)'!$A$34:$AN$735,32,FALSE)</f>
        <v>No</v>
      </c>
      <c r="U147" s="16" t="str">
        <f>VLOOKUP($A147,'SurveyRpt_20150223 (1)'!$A$34:$AN$735,34,FALSE)</f>
        <v>Yes</v>
      </c>
      <c r="V147" s="16" t="str">
        <f>VLOOKUP($A147,'SurveyRpt_20150223 (1)'!$A$34:$AN$735,36,FALSE)</f>
        <v>Yes</v>
      </c>
      <c r="W147" s="16" t="str">
        <f>VLOOKUP($A147,'SurveyRpt_20150223 (1)'!$A$34:$AN$735,38,FALSE)</f>
        <v>No</v>
      </c>
    </row>
    <row r="148" spans="1:23" ht="13.5" customHeight="1" x14ac:dyDescent="0.25">
      <c r="A148" s="19" t="s">
        <v>241</v>
      </c>
      <c r="B148" s="19" t="str">
        <f t="shared" si="2"/>
        <v>mdelles</v>
      </c>
      <c r="C148" s="16" t="str">
        <f>VLOOKUP(B148,'Compiled Agents'!A:H,2,FALSE)</f>
        <v>Platform</v>
      </c>
      <c r="D148" s="16" t="str">
        <f>VLOOKUP(B148,'Compiled Agents'!A:H,4,FALSE)</f>
        <v>MBC US</v>
      </c>
      <c r="E148" s="16" t="str">
        <f>VLOOKUP(B148,'Compiled Agents'!A:H,5,FALSE)</f>
        <v>Wave2</v>
      </c>
      <c r="F148" s="16" t="str">
        <f>VLOOKUP(B148,'Compiled Agents'!A:H,6,FALSE)</f>
        <v>Orange</v>
      </c>
      <c r="G148" s="16">
        <f>VLOOKUP($A148,'SurveyRpt_20150223 (1)'!$A$34:$AN$735,6,FALSE)</f>
        <v>4</v>
      </c>
      <c r="H148" s="16" t="str">
        <f>VLOOKUP($A148,'SurveyRpt_20150223 (1)'!$A$34:$AN$735,8,FALSE)</f>
        <v>No</v>
      </c>
      <c r="I148" s="16" t="str">
        <f>VLOOKUP($A148,'SurveyRpt_20150223 (1)'!$A$34:$AN$735,10,FALSE)</f>
        <v>No</v>
      </c>
      <c r="J148" s="16" t="str">
        <f>VLOOKUP($A148,'SurveyRpt_20150223 (1)'!$A$34:$AN$735,12,FALSE)</f>
        <v>No</v>
      </c>
      <c r="K148" s="16" t="str">
        <f>VLOOKUP($A148,'SurveyRpt_20150223 (1)'!$A$34:$AN$735,14,FALSE)</f>
        <v>No</v>
      </c>
      <c r="L148" s="16" t="str">
        <f>VLOOKUP($A148,'SurveyRpt_20150223 (1)'!$A$34:$AN$735,16,FALSE)</f>
        <v>No</v>
      </c>
      <c r="M148" s="16" t="str">
        <f>VLOOKUP($A148,'SurveyRpt_20150223 (1)'!$A$34:$AN$735,18,FALSE)</f>
        <v>No</v>
      </c>
      <c r="N148" s="16" t="str">
        <f>VLOOKUP($A148,'SurveyRpt_20150223 (1)'!$A$34:$AN$735,20,FALSE)</f>
        <v>No</v>
      </c>
      <c r="O148" s="16" t="str">
        <f>VLOOKUP($A148,'SurveyRpt_20150223 (1)'!$A$34:$AN$735,22,FALSE)</f>
        <v>No</v>
      </c>
      <c r="P148" s="16" t="str">
        <f>VLOOKUP($A148,'SurveyRpt_20150223 (1)'!$A$34:$AN$735,24,FALSE)</f>
        <v>Yes</v>
      </c>
      <c r="Q148" s="16" t="str">
        <f>VLOOKUP($A148,'SurveyRpt_20150223 (1)'!$A$34:$AN$735,26,FALSE)</f>
        <v>Yes</v>
      </c>
      <c r="R148" s="16" t="str">
        <f>VLOOKUP($A148,'SurveyRpt_20150223 (1)'!$A$34:$AN$735,28,FALSE)</f>
        <v>No</v>
      </c>
      <c r="S148" s="16" t="str">
        <f>VLOOKUP($A148,'SurveyRpt_20150223 (1)'!$A$34:$AN$735,30,FALSE)</f>
        <v>Yes</v>
      </c>
      <c r="T148" s="16" t="str">
        <f>VLOOKUP($A148,'SurveyRpt_20150223 (1)'!$A$34:$AN$735,32,FALSE)</f>
        <v>No</v>
      </c>
      <c r="U148" s="16" t="str">
        <f>VLOOKUP($A148,'SurveyRpt_20150223 (1)'!$A$34:$AN$735,34,FALSE)</f>
        <v>No</v>
      </c>
      <c r="V148" s="16" t="str">
        <f>VLOOKUP($A148,'SurveyRpt_20150223 (1)'!$A$34:$AN$735,36,FALSE)</f>
        <v>Yes</v>
      </c>
      <c r="W148" s="16" t="str">
        <f>VLOOKUP($A148,'SurveyRpt_20150223 (1)'!$A$34:$AN$735,38,FALSE)</f>
        <v>No</v>
      </c>
    </row>
    <row r="149" spans="1:23" ht="13.5" customHeight="1" x14ac:dyDescent="0.25">
      <c r="A149" s="19" t="s">
        <v>242</v>
      </c>
      <c r="B149" s="19" t="str">
        <f t="shared" si="2"/>
        <v>dmlynek</v>
      </c>
      <c r="C149" s="16" t="str">
        <f>VLOOKUP(B149,'Compiled Agents'!A:H,2,FALSE)</f>
        <v>Platform</v>
      </c>
      <c r="D149" s="16" t="str">
        <f>VLOOKUP(B149,'Compiled Agents'!A:H,4,FALSE)</f>
        <v>MBC US</v>
      </c>
      <c r="E149" s="16" t="str">
        <f>VLOOKUP(B149,'Compiled Agents'!A:H,5,FALSE)</f>
        <v>Wave2</v>
      </c>
      <c r="F149" s="16" t="str">
        <f>VLOOKUP(B149,'Compiled Agents'!A:H,6,FALSE)</f>
        <v>Brown</v>
      </c>
      <c r="G149" s="16">
        <f>VLOOKUP($A149,'SurveyRpt_20150223 (1)'!$A$34:$AN$735,6,FALSE)</f>
        <v>0</v>
      </c>
      <c r="H149" s="16" t="str">
        <f>VLOOKUP($A149,'SurveyRpt_20150223 (1)'!$A$34:$AN$735,8,FALSE)</f>
        <v>No</v>
      </c>
      <c r="I149" s="16" t="str">
        <f>VLOOKUP($A149,'SurveyRpt_20150223 (1)'!$A$34:$AN$735,10,FALSE)</f>
        <v>No</v>
      </c>
      <c r="J149" s="16" t="str">
        <f>VLOOKUP($A149,'SurveyRpt_20150223 (1)'!$A$34:$AN$735,12,FALSE)</f>
        <v>No</v>
      </c>
      <c r="K149" s="16" t="str">
        <f>VLOOKUP($A149,'SurveyRpt_20150223 (1)'!$A$34:$AN$735,14,FALSE)</f>
        <v>No</v>
      </c>
      <c r="L149" s="16" t="str">
        <f>VLOOKUP($A149,'SurveyRpt_20150223 (1)'!$A$34:$AN$735,16,FALSE)</f>
        <v>No</v>
      </c>
      <c r="M149" s="16" t="str">
        <f>VLOOKUP($A149,'SurveyRpt_20150223 (1)'!$A$34:$AN$735,18,FALSE)</f>
        <v>No</v>
      </c>
      <c r="N149" s="16" t="str">
        <f>VLOOKUP($A149,'SurveyRpt_20150223 (1)'!$A$34:$AN$735,20,FALSE)</f>
        <v>No</v>
      </c>
      <c r="O149" s="16" t="str">
        <f>VLOOKUP($A149,'SurveyRpt_20150223 (1)'!$A$34:$AN$735,22,FALSE)</f>
        <v>No</v>
      </c>
      <c r="P149" s="16" t="str">
        <f>VLOOKUP($A149,'SurveyRpt_20150223 (1)'!$A$34:$AN$735,24,FALSE)</f>
        <v>No</v>
      </c>
      <c r="Q149" s="16" t="str">
        <f>VLOOKUP($A149,'SurveyRpt_20150223 (1)'!$A$34:$AN$735,26,FALSE)</f>
        <v>No</v>
      </c>
      <c r="R149" s="16" t="str">
        <f>VLOOKUP($A149,'SurveyRpt_20150223 (1)'!$A$34:$AN$735,28,FALSE)</f>
        <v>No</v>
      </c>
      <c r="S149" s="16" t="str">
        <f>VLOOKUP($A149,'SurveyRpt_20150223 (1)'!$A$34:$AN$735,30,FALSE)</f>
        <v>No</v>
      </c>
      <c r="T149" s="16" t="str">
        <f>VLOOKUP($A149,'SurveyRpt_20150223 (1)'!$A$34:$AN$735,32,FALSE)</f>
        <v>No</v>
      </c>
      <c r="U149" s="16" t="str">
        <f>VLOOKUP($A149,'SurveyRpt_20150223 (1)'!$A$34:$AN$735,34,FALSE)</f>
        <v>No</v>
      </c>
      <c r="V149" s="16" t="str">
        <f>VLOOKUP($A149,'SurveyRpt_20150223 (1)'!$A$34:$AN$735,36,FALSE)</f>
        <v>No</v>
      </c>
      <c r="W149" s="16" t="str">
        <f>VLOOKUP($A149,'SurveyRpt_20150223 (1)'!$A$34:$AN$735,38,FALSE)</f>
        <v>No</v>
      </c>
    </row>
    <row r="150" spans="1:23" ht="13.5" customHeight="1" x14ac:dyDescent="0.25">
      <c r="A150" s="19" t="s">
        <v>243</v>
      </c>
      <c r="B150" s="19" t="str">
        <f t="shared" si="2"/>
        <v>ktotten4</v>
      </c>
      <c r="C150" s="16" t="str">
        <f>VLOOKUP(B150,'Compiled Agents'!A:H,2,FALSE)</f>
        <v>Platform</v>
      </c>
      <c r="D150" s="16" t="str">
        <f>VLOOKUP(B150,'Compiled Agents'!A:H,4,FALSE)</f>
        <v>MBC US</v>
      </c>
      <c r="E150" s="16" t="str">
        <f>VLOOKUP(B150,'Compiled Agents'!A:H,5,FALSE)</f>
        <v>Wave2</v>
      </c>
      <c r="F150" s="16" t="str">
        <f>VLOOKUP(B150,'Compiled Agents'!A:H,6,FALSE)</f>
        <v>Yellow</v>
      </c>
      <c r="G150" s="16">
        <f>VLOOKUP($A150,'SurveyRpt_20150223 (1)'!$A$34:$AN$735,6,FALSE)</f>
        <v>8</v>
      </c>
      <c r="H150" s="16" t="str">
        <f>VLOOKUP($A150,'SurveyRpt_20150223 (1)'!$A$34:$AN$735,8,FALSE)</f>
        <v>Yes</v>
      </c>
      <c r="I150" s="16" t="str">
        <f>VLOOKUP($A150,'SurveyRpt_20150223 (1)'!$A$34:$AN$735,10,FALSE)</f>
        <v>No</v>
      </c>
      <c r="J150" s="16" t="str">
        <f>VLOOKUP($A150,'SurveyRpt_20150223 (1)'!$A$34:$AN$735,12,FALSE)</f>
        <v>No</v>
      </c>
      <c r="K150" s="16" t="str">
        <f>VLOOKUP($A150,'SurveyRpt_20150223 (1)'!$A$34:$AN$735,14,FALSE)</f>
        <v>No</v>
      </c>
      <c r="L150" s="16" t="str">
        <f>VLOOKUP($A150,'SurveyRpt_20150223 (1)'!$A$34:$AN$735,16,FALSE)</f>
        <v>Yes</v>
      </c>
      <c r="M150" s="16" t="str">
        <f>VLOOKUP($A150,'SurveyRpt_20150223 (1)'!$A$34:$AN$735,18,FALSE)</f>
        <v>Yes</v>
      </c>
      <c r="N150" s="16" t="str">
        <f>VLOOKUP($A150,'SurveyRpt_20150223 (1)'!$A$34:$AN$735,20,FALSE)</f>
        <v>No</v>
      </c>
      <c r="O150" s="16" t="str">
        <f>VLOOKUP($A150,'SurveyRpt_20150223 (1)'!$A$34:$AN$735,22,FALSE)</f>
        <v>Yes</v>
      </c>
      <c r="P150" s="16" t="str">
        <f>VLOOKUP($A150,'SurveyRpt_20150223 (1)'!$A$34:$AN$735,24,FALSE)</f>
        <v>No</v>
      </c>
      <c r="Q150" s="16" t="str">
        <f>VLOOKUP($A150,'SurveyRpt_20150223 (1)'!$A$34:$AN$735,26,FALSE)</f>
        <v>No</v>
      </c>
      <c r="R150" s="16" t="str">
        <f>VLOOKUP($A150,'SurveyRpt_20150223 (1)'!$A$34:$AN$735,28,FALSE)</f>
        <v>Yes</v>
      </c>
      <c r="S150" s="16" t="str">
        <f>VLOOKUP($A150,'SurveyRpt_20150223 (1)'!$A$34:$AN$735,30,FALSE)</f>
        <v>Yes</v>
      </c>
      <c r="T150" s="16" t="str">
        <f>VLOOKUP($A150,'SurveyRpt_20150223 (1)'!$A$34:$AN$735,32,FALSE)</f>
        <v>No</v>
      </c>
      <c r="U150" s="16" t="str">
        <f>VLOOKUP($A150,'SurveyRpt_20150223 (1)'!$A$34:$AN$735,34,FALSE)</f>
        <v>Yes</v>
      </c>
      <c r="V150" s="16" t="str">
        <f>VLOOKUP($A150,'SurveyRpt_20150223 (1)'!$A$34:$AN$735,36,FALSE)</f>
        <v>Yes</v>
      </c>
      <c r="W150" s="16" t="str">
        <f>VLOOKUP($A150,'SurveyRpt_20150223 (1)'!$A$34:$AN$735,38,FALSE)</f>
        <v>No</v>
      </c>
    </row>
    <row r="151" spans="1:23" ht="13.5" customHeight="1" x14ac:dyDescent="0.25">
      <c r="A151" s="19" t="s">
        <v>244</v>
      </c>
      <c r="B151" s="19" t="str">
        <f t="shared" si="2"/>
        <v>wmalone3</v>
      </c>
      <c r="C151" s="16" t="str">
        <f>VLOOKUP(B151,'Compiled Agents'!A:H,2,FALSE)</f>
        <v>Platform</v>
      </c>
      <c r="D151" s="16" t="str">
        <f>VLOOKUP(B151,'Compiled Agents'!A:H,4,FALSE)</f>
        <v>MBC US</v>
      </c>
      <c r="E151" s="16" t="str">
        <f>VLOOKUP(B151,'Compiled Agents'!A:H,5,FALSE)</f>
        <v>Wave2</v>
      </c>
      <c r="F151" s="16" t="str">
        <f>VLOOKUP(B151,'Compiled Agents'!A:H,6,FALSE)</f>
        <v>Orange</v>
      </c>
      <c r="G151" s="16">
        <f>VLOOKUP($A151,'SurveyRpt_20150223 (1)'!$A$34:$AN$735,6,FALSE)</f>
        <v>16</v>
      </c>
      <c r="H151" s="16" t="str">
        <f>VLOOKUP($A151,'SurveyRpt_20150223 (1)'!$A$34:$AN$735,8,FALSE)</f>
        <v>Yes</v>
      </c>
      <c r="I151" s="16" t="str">
        <f>VLOOKUP($A151,'SurveyRpt_20150223 (1)'!$A$34:$AN$735,10,FALSE)</f>
        <v>Yes</v>
      </c>
      <c r="J151" s="16" t="str">
        <f>VLOOKUP($A151,'SurveyRpt_20150223 (1)'!$A$34:$AN$735,12,FALSE)</f>
        <v>Yes</v>
      </c>
      <c r="K151" s="16" t="str">
        <f>VLOOKUP($A151,'SurveyRpt_20150223 (1)'!$A$34:$AN$735,14,FALSE)</f>
        <v>Yes</v>
      </c>
      <c r="L151" s="16" t="str">
        <f>VLOOKUP($A151,'SurveyRpt_20150223 (1)'!$A$34:$AN$735,16,FALSE)</f>
        <v>Yes</v>
      </c>
      <c r="M151" s="16" t="str">
        <f>VLOOKUP($A151,'SurveyRpt_20150223 (1)'!$A$34:$AN$735,18,FALSE)</f>
        <v>Yes</v>
      </c>
      <c r="N151" s="16" t="str">
        <f>VLOOKUP($A151,'SurveyRpt_20150223 (1)'!$A$34:$AN$735,20,FALSE)</f>
        <v>Yes</v>
      </c>
      <c r="O151" s="16" t="str">
        <f>VLOOKUP($A151,'SurveyRpt_20150223 (1)'!$A$34:$AN$735,22,FALSE)</f>
        <v>Yes</v>
      </c>
      <c r="P151" s="16" t="str">
        <f>VLOOKUP($A151,'SurveyRpt_20150223 (1)'!$A$34:$AN$735,24,FALSE)</f>
        <v>Yes</v>
      </c>
      <c r="Q151" s="16" t="str">
        <f>VLOOKUP($A151,'SurveyRpt_20150223 (1)'!$A$34:$AN$735,26,FALSE)</f>
        <v>Yes</v>
      </c>
      <c r="R151" s="16" t="str">
        <f>VLOOKUP($A151,'SurveyRpt_20150223 (1)'!$A$34:$AN$735,28,FALSE)</f>
        <v>Yes</v>
      </c>
      <c r="S151" s="16" t="str">
        <f>VLOOKUP($A151,'SurveyRpt_20150223 (1)'!$A$34:$AN$735,30,FALSE)</f>
        <v>Yes</v>
      </c>
      <c r="T151" s="16" t="str">
        <f>VLOOKUP($A151,'SurveyRpt_20150223 (1)'!$A$34:$AN$735,32,FALSE)</f>
        <v>Yes</v>
      </c>
      <c r="U151" s="16" t="str">
        <f>VLOOKUP($A151,'SurveyRpt_20150223 (1)'!$A$34:$AN$735,34,FALSE)</f>
        <v>Yes</v>
      </c>
      <c r="V151" s="16" t="str">
        <f>VLOOKUP($A151,'SurveyRpt_20150223 (1)'!$A$34:$AN$735,36,FALSE)</f>
        <v>Yes</v>
      </c>
      <c r="W151" s="16" t="str">
        <f>VLOOKUP($A151,'SurveyRpt_20150223 (1)'!$A$34:$AN$735,38,FALSE)</f>
        <v>Yes</v>
      </c>
    </row>
    <row r="152" spans="1:23" ht="13.5" customHeight="1" x14ac:dyDescent="0.25">
      <c r="A152" s="19" t="s">
        <v>245</v>
      </c>
      <c r="B152" s="19" t="str">
        <f t="shared" si="2"/>
        <v>dbritt3</v>
      </c>
      <c r="C152" s="16" t="str">
        <f>VLOOKUP(B152,'Compiled Agents'!A:H,2,FALSE)</f>
        <v>Platform</v>
      </c>
      <c r="D152" s="16" t="str">
        <f>VLOOKUP(B152,'Compiled Agents'!A:H,4,FALSE)</f>
        <v>MBC US</v>
      </c>
      <c r="E152" s="16" t="str">
        <f>VLOOKUP(B152,'Compiled Agents'!A:H,5,FALSE)</f>
        <v>Wave2</v>
      </c>
      <c r="F152" s="16" t="str">
        <f>VLOOKUP(B152,'Compiled Agents'!A:H,6,FALSE)</f>
        <v>Yellow</v>
      </c>
      <c r="G152" s="16">
        <f>VLOOKUP($A152,'SurveyRpt_20150223 (1)'!$A$34:$AN$735,6,FALSE)</f>
        <v>16</v>
      </c>
      <c r="H152" s="16" t="str">
        <f>VLOOKUP($A152,'SurveyRpt_20150223 (1)'!$A$34:$AN$735,8,FALSE)</f>
        <v>Yes</v>
      </c>
      <c r="I152" s="16" t="str">
        <f>VLOOKUP($A152,'SurveyRpt_20150223 (1)'!$A$34:$AN$735,10,FALSE)</f>
        <v>Yes</v>
      </c>
      <c r="J152" s="16" t="str">
        <f>VLOOKUP($A152,'SurveyRpt_20150223 (1)'!$A$34:$AN$735,12,FALSE)</f>
        <v>Yes</v>
      </c>
      <c r="K152" s="16" t="str">
        <f>VLOOKUP($A152,'SurveyRpt_20150223 (1)'!$A$34:$AN$735,14,FALSE)</f>
        <v>Yes</v>
      </c>
      <c r="L152" s="16" t="str">
        <f>VLOOKUP($A152,'SurveyRpt_20150223 (1)'!$A$34:$AN$735,16,FALSE)</f>
        <v>Yes</v>
      </c>
      <c r="M152" s="16" t="str">
        <f>VLOOKUP($A152,'SurveyRpt_20150223 (1)'!$A$34:$AN$735,18,FALSE)</f>
        <v>Yes</v>
      </c>
      <c r="N152" s="16" t="str">
        <f>VLOOKUP($A152,'SurveyRpt_20150223 (1)'!$A$34:$AN$735,20,FALSE)</f>
        <v>Yes</v>
      </c>
      <c r="O152" s="16" t="str">
        <f>VLOOKUP($A152,'SurveyRpt_20150223 (1)'!$A$34:$AN$735,22,FALSE)</f>
        <v>Yes</v>
      </c>
      <c r="P152" s="16" t="str">
        <f>VLOOKUP($A152,'SurveyRpt_20150223 (1)'!$A$34:$AN$735,24,FALSE)</f>
        <v>Yes</v>
      </c>
      <c r="Q152" s="16" t="str">
        <f>VLOOKUP($A152,'SurveyRpt_20150223 (1)'!$A$34:$AN$735,26,FALSE)</f>
        <v>Yes</v>
      </c>
      <c r="R152" s="16" t="str">
        <f>VLOOKUP($A152,'SurveyRpt_20150223 (1)'!$A$34:$AN$735,28,FALSE)</f>
        <v>Yes</v>
      </c>
      <c r="S152" s="16" t="str">
        <f>VLOOKUP($A152,'SurveyRpt_20150223 (1)'!$A$34:$AN$735,30,FALSE)</f>
        <v>Yes</v>
      </c>
      <c r="T152" s="16" t="str">
        <f>VLOOKUP($A152,'SurveyRpt_20150223 (1)'!$A$34:$AN$735,32,FALSE)</f>
        <v>Yes</v>
      </c>
      <c r="U152" s="16" t="str">
        <f>VLOOKUP($A152,'SurveyRpt_20150223 (1)'!$A$34:$AN$735,34,FALSE)</f>
        <v>Yes</v>
      </c>
      <c r="V152" s="16" t="str">
        <f>VLOOKUP($A152,'SurveyRpt_20150223 (1)'!$A$34:$AN$735,36,FALSE)</f>
        <v>Yes</v>
      </c>
      <c r="W152" s="16" t="str">
        <f>VLOOKUP($A152,'SurveyRpt_20150223 (1)'!$A$34:$AN$735,38,FALSE)</f>
        <v>Yes</v>
      </c>
    </row>
    <row r="153" spans="1:23" ht="13.5" customHeight="1" x14ac:dyDescent="0.25">
      <c r="A153" s="19" t="s">
        <v>246</v>
      </c>
      <c r="B153" s="19" t="str">
        <f t="shared" si="2"/>
        <v>dgagne3</v>
      </c>
      <c r="C153" s="16" t="str">
        <f>VLOOKUP(B153,'Compiled Agents'!A:H,2,FALSE)</f>
        <v>Workplace</v>
      </c>
      <c r="D153" s="16" t="str">
        <f>VLOOKUP(B153,'Compiled Agents'!A:H,4,FALSE)</f>
        <v>MBC US</v>
      </c>
      <c r="E153" s="16" t="str">
        <f>VLOOKUP(B153,'Compiled Agents'!A:H,5,FALSE)</f>
        <v>Wave2</v>
      </c>
      <c r="F153" s="16" t="str">
        <f>VLOOKUP(B153,'Compiled Agents'!A:H,6,FALSE)</f>
        <v>Orange</v>
      </c>
      <c r="G153" s="16">
        <f>VLOOKUP($A153,'SurveyRpt_20150223 (1)'!$A$34:$AN$735,6,FALSE)</f>
        <v>2</v>
      </c>
      <c r="H153" s="16" t="str">
        <f>VLOOKUP($A153,'SurveyRpt_20150223 (1)'!$A$34:$AN$735,8,FALSE)</f>
        <v>No</v>
      </c>
      <c r="I153" s="16" t="str">
        <f>VLOOKUP($A153,'SurveyRpt_20150223 (1)'!$A$34:$AN$735,10,FALSE)</f>
        <v>No</v>
      </c>
      <c r="J153" s="16" t="str">
        <f>VLOOKUP($A153,'SurveyRpt_20150223 (1)'!$A$34:$AN$735,12,FALSE)</f>
        <v>No</v>
      </c>
      <c r="K153" s="16" t="str">
        <f>VLOOKUP($A153,'SurveyRpt_20150223 (1)'!$A$34:$AN$735,14,FALSE)</f>
        <v>No</v>
      </c>
      <c r="L153" s="16" t="str">
        <f>VLOOKUP($A153,'SurveyRpt_20150223 (1)'!$A$34:$AN$735,16,FALSE)</f>
        <v>Yes</v>
      </c>
      <c r="M153" s="16" t="str">
        <f>VLOOKUP($A153,'SurveyRpt_20150223 (1)'!$A$34:$AN$735,18,FALSE)</f>
        <v>Yes</v>
      </c>
      <c r="N153" s="16" t="str">
        <f>VLOOKUP($A153,'SurveyRpt_20150223 (1)'!$A$34:$AN$735,20,FALSE)</f>
        <v>No</v>
      </c>
      <c r="O153" s="16" t="str">
        <f>VLOOKUP($A153,'SurveyRpt_20150223 (1)'!$A$34:$AN$735,22,FALSE)</f>
        <v>No</v>
      </c>
      <c r="P153" s="16" t="str">
        <f>VLOOKUP($A153,'SurveyRpt_20150223 (1)'!$A$34:$AN$735,24,FALSE)</f>
        <v>No</v>
      </c>
      <c r="Q153" s="16" t="str">
        <f>VLOOKUP($A153,'SurveyRpt_20150223 (1)'!$A$34:$AN$735,26,FALSE)</f>
        <v>No</v>
      </c>
      <c r="R153" s="16" t="str">
        <f>VLOOKUP($A153,'SurveyRpt_20150223 (1)'!$A$34:$AN$735,28,FALSE)</f>
        <v>No</v>
      </c>
      <c r="S153" s="16" t="str">
        <f>VLOOKUP($A153,'SurveyRpt_20150223 (1)'!$A$34:$AN$735,30,FALSE)</f>
        <v>No</v>
      </c>
      <c r="T153" s="16" t="str">
        <f>VLOOKUP($A153,'SurveyRpt_20150223 (1)'!$A$34:$AN$735,32,FALSE)</f>
        <v>No</v>
      </c>
      <c r="U153" s="16" t="str">
        <f>VLOOKUP($A153,'SurveyRpt_20150223 (1)'!$A$34:$AN$735,34,FALSE)</f>
        <v>No</v>
      </c>
      <c r="V153" s="16" t="str">
        <f>VLOOKUP($A153,'SurveyRpt_20150223 (1)'!$A$34:$AN$735,36,FALSE)</f>
        <v>No</v>
      </c>
      <c r="W153" s="16" t="str">
        <f>VLOOKUP($A153,'SurveyRpt_20150223 (1)'!$A$34:$AN$735,38,FALSE)</f>
        <v>No</v>
      </c>
    </row>
    <row r="154" spans="1:23" ht="13.5" customHeight="1" x14ac:dyDescent="0.25">
      <c r="A154" s="19" t="s">
        <v>247</v>
      </c>
      <c r="B154" s="19" t="str">
        <f t="shared" si="2"/>
        <v>jutielortega</v>
      </c>
      <c r="C154" s="16" t="str">
        <f>VLOOKUP(B154,'Compiled Agents'!A:H,2,FALSE)</f>
        <v>Workplace</v>
      </c>
      <c r="D154" s="16" t="str">
        <f>VLOOKUP(B154,'Compiled Agents'!A:H,4,FALSE)</f>
        <v>Spain</v>
      </c>
      <c r="E154" s="16" t="str">
        <f>VLOOKUP(B154,'Compiled Agents'!A:H,5,FALSE)</f>
        <v>Wave1</v>
      </c>
      <c r="F154" s="16" t="str">
        <f>VLOOKUP(B154,'Compiled Agents'!A:H,6,FALSE)</f>
        <v>Blue</v>
      </c>
      <c r="G154" s="16">
        <f>VLOOKUP($A154,'SurveyRpt_20150223 (1)'!$A$34:$AN$735,6,FALSE)</f>
        <v>4</v>
      </c>
      <c r="H154" s="16" t="str">
        <f>VLOOKUP($A154,'SurveyRpt_20150223 (1)'!$A$34:$AN$735,8,FALSE)</f>
        <v>Yes</v>
      </c>
      <c r="I154" s="16" t="str">
        <f>VLOOKUP($A154,'SurveyRpt_20150223 (1)'!$A$34:$AN$735,10,FALSE)</f>
        <v>No</v>
      </c>
      <c r="J154" s="16" t="str">
        <f>VLOOKUP($A154,'SurveyRpt_20150223 (1)'!$A$34:$AN$735,12,FALSE)</f>
        <v>No</v>
      </c>
      <c r="K154" s="16" t="str">
        <f>VLOOKUP($A154,'SurveyRpt_20150223 (1)'!$A$34:$AN$735,14,FALSE)</f>
        <v>No</v>
      </c>
      <c r="L154" s="16" t="str">
        <f>VLOOKUP($A154,'SurveyRpt_20150223 (1)'!$A$34:$AN$735,16,FALSE)</f>
        <v>No</v>
      </c>
      <c r="M154" s="16" t="str">
        <f>VLOOKUP($A154,'SurveyRpt_20150223 (1)'!$A$34:$AN$735,18,FALSE)</f>
        <v>Yes</v>
      </c>
      <c r="N154" s="16" t="str">
        <f>VLOOKUP($A154,'SurveyRpt_20150223 (1)'!$A$34:$AN$735,20,FALSE)</f>
        <v>No</v>
      </c>
      <c r="O154" s="16" t="str">
        <f>VLOOKUP($A154,'SurveyRpt_20150223 (1)'!$A$34:$AN$735,22,FALSE)</f>
        <v>No</v>
      </c>
      <c r="P154" s="16" t="str">
        <f>VLOOKUP($A154,'SurveyRpt_20150223 (1)'!$A$34:$AN$735,24,FALSE)</f>
        <v>No</v>
      </c>
      <c r="Q154" s="16" t="str">
        <f>VLOOKUP($A154,'SurveyRpt_20150223 (1)'!$A$34:$AN$735,26,FALSE)</f>
        <v>No</v>
      </c>
      <c r="R154" s="16" t="str">
        <f>VLOOKUP($A154,'SurveyRpt_20150223 (1)'!$A$34:$AN$735,28,FALSE)</f>
        <v>No</v>
      </c>
      <c r="S154" s="16" t="str">
        <f>VLOOKUP($A154,'SurveyRpt_20150223 (1)'!$A$34:$AN$735,30,FALSE)</f>
        <v>Yes</v>
      </c>
      <c r="T154" s="16" t="str">
        <f>VLOOKUP($A154,'SurveyRpt_20150223 (1)'!$A$34:$AN$735,32,FALSE)</f>
        <v>No</v>
      </c>
      <c r="U154" s="16" t="str">
        <f>VLOOKUP($A154,'SurveyRpt_20150223 (1)'!$A$34:$AN$735,34,FALSE)</f>
        <v>No</v>
      </c>
      <c r="V154" s="16" t="str">
        <f>VLOOKUP($A154,'SurveyRpt_20150223 (1)'!$A$34:$AN$735,36,FALSE)</f>
        <v>Yes</v>
      </c>
      <c r="W154" s="16" t="str">
        <f>VLOOKUP($A154,'SurveyRpt_20150223 (1)'!$A$34:$AN$735,38,FALSE)</f>
        <v>No</v>
      </c>
    </row>
    <row r="155" spans="1:23" ht="13.5" customHeight="1" x14ac:dyDescent="0.25">
      <c r="A155" s="19" t="s">
        <v>248</v>
      </c>
      <c r="B155" s="19" t="str">
        <f t="shared" si="2"/>
        <v>SCHAUHAN30</v>
      </c>
      <c r="C155" s="16" t="str">
        <f>VLOOKUP(B155,'Compiled Agents'!A:H,2,FALSE)</f>
        <v>Workplace</v>
      </c>
      <c r="D155" s="16" t="str">
        <f>VLOOKUP(B155,'Compiled Agents'!A:H,4,FALSE)</f>
        <v>Noida</v>
      </c>
      <c r="E155" s="16" t="str">
        <f>VLOOKUP(B155,'Compiled Agents'!A:H,5,FALSE)</f>
        <v>Wave1</v>
      </c>
      <c r="F155" s="16" t="str">
        <f>VLOOKUP(B155,'Compiled Agents'!A:H,6,FALSE)</f>
        <v>Orange</v>
      </c>
      <c r="G155" s="16">
        <f>VLOOKUP($A155,'SurveyRpt_20150223 (1)'!$A$34:$AN$735,6,FALSE)</f>
        <v>16</v>
      </c>
      <c r="H155" s="16" t="str">
        <f>VLOOKUP($A155,'SurveyRpt_20150223 (1)'!$A$34:$AN$735,8,FALSE)</f>
        <v>Yes</v>
      </c>
      <c r="I155" s="16" t="str">
        <f>VLOOKUP($A155,'SurveyRpt_20150223 (1)'!$A$34:$AN$735,10,FALSE)</f>
        <v>Yes</v>
      </c>
      <c r="J155" s="16" t="str">
        <f>VLOOKUP($A155,'SurveyRpt_20150223 (1)'!$A$34:$AN$735,12,FALSE)</f>
        <v>Yes</v>
      </c>
      <c r="K155" s="16" t="str">
        <f>VLOOKUP($A155,'SurveyRpt_20150223 (1)'!$A$34:$AN$735,14,FALSE)</f>
        <v>Yes</v>
      </c>
      <c r="L155" s="16" t="str">
        <f>VLOOKUP($A155,'SurveyRpt_20150223 (1)'!$A$34:$AN$735,16,FALSE)</f>
        <v>Yes</v>
      </c>
      <c r="M155" s="16" t="str">
        <f>VLOOKUP($A155,'SurveyRpt_20150223 (1)'!$A$34:$AN$735,18,FALSE)</f>
        <v>Yes</v>
      </c>
      <c r="N155" s="16" t="str">
        <f>VLOOKUP($A155,'SurveyRpt_20150223 (1)'!$A$34:$AN$735,20,FALSE)</f>
        <v>Yes</v>
      </c>
      <c r="O155" s="16" t="str">
        <f>VLOOKUP($A155,'SurveyRpt_20150223 (1)'!$A$34:$AN$735,22,FALSE)</f>
        <v>Yes</v>
      </c>
      <c r="P155" s="16" t="str">
        <f>VLOOKUP($A155,'SurveyRpt_20150223 (1)'!$A$34:$AN$735,24,FALSE)</f>
        <v>Yes</v>
      </c>
      <c r="Q155" s="16" t="str">
        <f>VLOOKUP($A155,'SurveyRpt_20150223 (1)'!$A$34:$AN$735,26,FALSE)</f>
        <v>Yes</v>
      </c>
      <c r="R155" s="16" t="str">
        <f>VLOOKUP($A155,'SurveyRpt_20150223 (1)'!$A$34:$AN$735,28,FALSE)</f>
        <v>Yes</v>
      </c>
      <c r="S155" s="16" t="str">
        <f>VLOOKUP($A155,'SurveyRpt_20150223 (1)'!$A$34:$AN$735,30,FALSE)</f>
        <v>Yes</v>
      </c>
      <c r="T155" s="16" t="str">
        <f>VLOOKUP($A155,'SurveyRpt_20150223 (1)'!$A$34:$AN$735,32,FALSE)</f>
        <v>Yes</v>
      </c>
      <c r="U155" s="16" t="str">
        <f>VLOOKUP($A155,'SurveyRpt_20150223 (1)'!$A$34:$AN$735,34,FALSE)</f>
        <v>Yes</v>
      </c>
      <c r="V155" s="16" t="str">
        <f>VLOOKUP($A155,'SurveyRpt_20150223 (1)'!$A$34:$AN$735,36,FALSE)</f>
        <v>Yes</v>
      </c>
      <c r="W155" s="16" t="str">
        <f>VLOOKUP($A155,'SurveyRpt_20150223 (1)'!$A$34:$AN$735,38,FALSE)</f>
        <v>Yes</v>
      </c>
    </row>
    <row r="156" spans="1:23" ht="13.5" customHeight="1" x14ac:dyDescent="0.25">
      <c r="A156" s="19" t="s">
        <v>249</v>
      </c>
      <c r="B156" s="19" t="str">
        <f t="shared" si="2"/>
        <v>dgallantjr</v>
      </c>
      <c r="C156" s="16" t="str">
        <f>VLOOKUP(B156,'Compiled Agents'!A:H,2,FALSE)</f>
        <v>Workplace</v>
      </c>
      <c r="D156" s="16" t="str">
        <f>VLOOKUP(B156,'Compiled Agents'!A:H,4,FALSE)</f>
        <v>MBC US</v>
      </c>
      <c r="E156" s="16" t="str">
        <f>VLOOKUP(B156,'Compiled Agents'!A:H,5,FALSE)</f>
        <v>Wave2</v>
      </c>
      <c r="F156" s="16" t="str">
        <f>VLOOKUP(B156,'Compiled Agents'!A:H,6,FALSE)</f>
        <v>Purple</v>
      </c>
      <c r="G156" s="16">
        <f>VLOOKUP($A156,'SurveyRpt_20150223 (1)'!$A$34:$AN$735,6,FALSE)</f>
        <v>14</v>
      </c>
      <c r="H156" s="16" t="str">
        <f>VLOOKUP($A156,'SurveyRpt_20150223 (1)'!$A$34:$AN$735,8,FALSE)</f>
        <v>Yes</v>
      </c>
      <c r="I156" s="16" t="str">
        <f>VLOOKUP($A156,'SurveyRpt_20150223 (1)'!$A$34:$AN$735,10,FALSE)</f>
        <v>Yes</v>
      </c>
      <c r="J156" s="16" t="str">
        <f>VLOOKUP($A156,'SurveyRpt_20150223 (1)'!$A$34:$AN$735,12,FALSE)</f>
        <v>Yes</v>
      </c>
      <c r="K156" s="16" t="str">
        <f>VLOOKUP($A156,'SurveyRpt_20150223 (1)'!$A$34:$AN$735,14,FALSE)</f>
        <v>Yes</v>
      </c>
      <c r="L156" s="16" t="str">
        <f>VLOOKUP($A156,'SurveyRpt_20150223 (1)'!$A$34:$AN$735,16,FALSE)</f>
        <v>Yes</v>
      </c>
      <c r="M156" s="16" t="str">
        <f>VLOOKUP($A156,'SurveyRpt_20150223 (1)'!$A$34:$AN$735,18,FALSE)</f>
        <v>Yes</v>
      </c>
      <c r="N156" s="16" t="str">
        <f>VLOOKUP($A156,'SurveyRpt_20150223 (1)'!$A$34:$AN$735,20,FALSE)</f>
        <v>Yes</v>
      </c>
      <c r="O156" s="16" t="str">
        <f>VLOOKUP($A156,'SurveyRpt_20150223 (1)'!$A$34:$AN$735,22,FALSE)</f>
        <v>Yes</v>
      </c>
      <c r="P156" s="16" t="str">
        <f>VLOOKUP($A156,'SurveyRpt_20150223 (1)'!$A$34:$AN$735,24,FALSE)</f>
        <v>Yes</v>
      </c>
      <c r="Q156" s="16" t="str">
        <f>VLOOKUP($A156,'SurveyRpt_20150223 (1)'!$A$34:$AN$735,26,FALSE)</f>
        <v>Yes</v>
      </c>
      <c r="R156" s="16" t="str">
        <f>VLOOKUP($A156,'SurveyRpt_20150223 (1)'!$A$34:$AN$735,28,FALSE)</f>
        <v>Yes</v>
      </c>
      <c r="S156" s="16" t="str">
        <f>VLOOKUP($A156,'SurveyRpt_20150223 (1)'!$A$34:$AN$735,30,FALSE)</f>
        <v>Yes</v>
      </c>
      <c r="T156" s="16" t="str">
        <f>VLOOKUP($A156,'SurveyRpt_20150223 (1)'!$A$34:$AN$735,32,FALSE)</f>
        <v>No</v>
      </c>
      <c r="U156" s="16" t="str">
        <f>VLOOKUP($A156,'SurveyRpt_20150223 (1)'!$A$34:$AN$735,34,FALSE)</f>
        <v>Yes</v>
      </c>
      <c r="V156" s="16" t="str">
        <f>VLOOKUP($A156,'SurveyRpt_20150223 (1)'!$A$34:$AN$735,36,FALSE)</f>
        <v>Yes</v>
      </c>
      <c r="W156" s="16" t="str">
        <f>VLOOKUP($A156,'SurveyRpt_20150223 (1)'!$A$34:$AN$735,38,FALSE)</f>
        <v>No</v>
      </c>
    </row>
    <row r="157" spans="1:23" ht="13.5" customHeight="1" x14ac:dyDescent="0.25">
      <c r="A157" s="19" t="s">
        <v>250</v>
      </c>
      <c r="B157" s="19" t="str">
        <f t="shared" si="2"/>
        <v>ykorang</v>
      </c>
      <c r="C157" s="16" t="str">
        <f>VLOOKUP(B157,'Compiled Agents'!A:H,2,FALSE)</f>
        <v>Platform</v>
      </c>
      <c r="D157" s="16" t="str">
        <f>VLOOKUP(B157,'Compiled Agents'!A:H,4,FALSE)</f>
        <v>MBC US</v>
      </c>
      <c r="E157" s="16" t="str">
        <f>VLOOKUP(B157,'Compiled Agents'!A:H,5,FALSE)</f>
        <v>Wave2</v>
      </c>
      <c r="F157" s="16" t="str">
        <f>VLOOKUP(B157,'Compiled Agents'!A:H,6,FALSE)</f>
        <v>Orange</v>
      </c>
      <c r="G157" s="16">
        <f>VLOOKUP($A157,'SurveyRpt_20150223 (1)'!$A$34:$AN$735,6,FALSE)</f>
        <v>3</v>
      </c>
      <c r="H157" s="16" t="str">
        <f>VLOOKUP($A157,'SurveyRpt_20150223 (1)'!$A$34:$AN$735,8,FALSE)</f>
        <v>No</v>
      </c>
      <c r="I157" s="16" t="str">
        <f>VLOOKUP($A157,'SurveyRpt_20150223 (1)'!$A$34:$AN$735,10,FALSE)</f>
        <v>No</v>
      </c>
      <c r="J157" s="16" t="str">
        <f>VLOOKUP($A157,'SurveyRpt_20150223 (1)'!$A$34:$AN$735,12,FALSE)</f>
        <v>No</v>
      </c>
      <c r="K157" s="16" t="str">
        <f>VLOOKUP($A157,'SurveyRpt_20150223 (1)'!$A$34:$AN$735,14,FALSE)</f>
        <v>No</v>
      </c>
      <c r="L157" s="16" t="str">
        <f>VLOOKUP($A157,'SurveyRpt_20150223 (1)'!$A$34:$AN$735,16,FALSE)</f>
        <v>No</v>
      </c>
      <c r="M157" s="16" t="str">
        <f>VLOOKUP($A157,'SurveyRpt_20150223 (1)'!$A$34:$AN$735,18,FALSE)</f>
        <v>Yes</v>
      </c>
      <c r="N157" s="16" t="str">
        <f>VLOOKUP($A157,'SurveyRpt_20150223 (1)'!$A$34:$AN$735,20,FALSE)</f>
        <v>Yes</v>
      </c>
      <c r="O157" s="16" t="str">
        <f>VLOOKUP($A157,'SurveyRpt_20150223 (1)'!$A$34:$AN$735,22,FALSE)</f>
        <v>No</v>
      </c>
      <c r="P157" s="16" t="str">
        <f>VLOOKUP($A157,'SurveyRpt_20150223 (1)'!$A$34:$AN$735,24,FALSE)</f>
        <v>No</v>
      </c>
      <c r="Q157" s="16" t="str">
        <f>VLOOKUP($A157,'SurveyRpt_20150223 (1)'!$A$34:$AN$735,26,FALSE)</f>
        <v>No</v>
      </c>
      <c r="R157" s="16" t="str">
        <f>VLOOKUP($A157,'SurveyRpt_20150223 (1)'!$A$34:$AN$735,28,FALSE)</f>
        <v>No</v>
      </c>
      <c r="S157" s="16" t="str">
        <f>VLOOKUP($A157,'SurveyRpt_20150223 (1)'!$A$34:$AN$735,30,FALSE)</f>
        <v>Yes</v>
      </c>
      <c r="T157" s="16" t="str">
        <f>VLOOKUP($A157,'SurveyRpt_20150223 (1)'!$A$34:$AN$735,32,FALSE)</f>
        <v>No</v>
      </c>
      <c r="U157" s="16" t="str">
        <f>VLOOKUP($A157,'SurveyRpt_20150223 (1)'!$A$34:$AN$735,34,FALSE)</f>
        <v>No</v>
      </c>
      <c r="V157" s="16" t="str">
        <f>VLOOKUP($A157,'SurveyRpt_20150223 (1)'!$A$34:$AN$735,36,FALSE)</f>
        <v>No</v>
      </c>
      <c r="W157" s="16" t="str">
        <f>VLOOKUP($A157,'SurveyRpt_20150223 (1)'!$A$34:$AN$735,38,FALSE)</f>
        <v>No</v>
      </c>
    </row>
    <row r="158" spans="1:23" ht="13.5" customHeight="1" x14ac:dyDescent="0.25">
      <c r="A158" s="19" t="s">
        <v>251</v>
      </c>
      <c r="B158" s="19" t="str">
        <f t="shared" si="2"/>
        <v>afernandez26</v>
      </c>
      <c r="C158" s="16" t="str">
        <f>VLOOKUP(B158,'Compiled Agents'!A:H,2,FALSE)</f>
        <v>Platform</v>
      </c>
      <c r="D158" s="16" t="str">
        <f>VLOOKUP(B158,'Compiled Agents'!A:H,4,FALSE)</f>
        <v>MBC US</v>
      </c>
      <c r="E158" s="16" t="str">
        <f>VLOOKUP(B158,'Compiled Agents'!A:H,5,FALSE)</f>
        <v>Wave2</v>
      </c>
      <c r="F158" s="16" t="str">
        <f>VLOOKUP(B158,'Compiled Agents'!A:H,6,FALSE)</f>
        <v>Orange</v>
      </c>
      <c r="G158" s="16">
        <f>VLOOKUP($A158,'SurveyRpt_20150223 (1)'!$A$34:$AN$735,6,FALSE)</f>
        <v>2</v>
      </c>
      <c r="H158" s="16" t="str">
        <f>VLOOKUP($A158,'SurveyRpt_20150223 (1)'!$A$34:$AN$735,8,FALSE)</f>
        <v>No</v>
      </c>
      <c r="I158" s="16" t="str">
        <f>VLOOKUP($A158,'SurveyRpt_20150223 (1)'!$A$34:$AN$735,10,FALSE)</f>
        <v>No</v>
      </c>
      <c r="J158" s="16" t="str">
        <f>VLOOKUP($A158,'SurveyRpt_20150223 (1)'!$A$34:$AN$735,12,FALSE)</f>
        <v>No</v>
      </c>
      <c r="K158" s="16" t="str">
        <f>VLOOKUP($A158,'SurveyRpt_20150223 (1)'!$A$34:$AN$735,14,FALSE)</f>
        <v>No</v>
      </c>
      <c r="L158" s="16" t="str">
        <f>VLOOKUP($A158,'SurveyRpt_20150223 (1)'!$A$34:$AN$735,16,FALSE)</f>
        <v>No</v>
      </c>
      <c r="M158" s="16" t="str">
        <f>VLOOKUP($A158,'SurveyRpt_20150223 (1)'!$A$34:$AN$735,18,FALSE)</f>
        <v>No</v>
      </c>
      <c r="N158" s="16" t="str">
        <f>VLOOKUP($A158,'SurveyRpt_20150223 (1)'!$A$34:$AN$735,20,FALSE)</f>
        <v>No</v>
      </c>
      <c r="O158" s="16" t="str">
        <f>VLOOKUP($A158,'SurveyRpt_20150223 (1)'!$A$34:$AN$735,22,FALSE)</f>
        <v>No</v>
      </c>
      <c r="P158" s="16" t="str">
        <f>VLOOKUP($A158,'SurveyRpt_20150223 (1)'!$A$34:$AN$735,24,FALSE)</f>
        <v>No</v>
      </c>
      <c r="Q158" s="16" t="str">
        <f>VLOOKUP($A158,'SurveyRpt_20150223 (1)'!$A$34:$AN$735,26,FALSE)</f>
        <v>No</v>
      </c>
      <c r="R158" s="16" t="str">
        <f>VLOOKUP($A158,'SurveyRpt_20150223 (1)'!$A$34:$AN$735,28,FALSE)</f>
        <v>No</v>
      </c>
      <c r="S158" s="16" t="str">
        <f>VLOOKUP($A158,'SurveyRpt_20150223 (1)'!$A$34:$AN$735,30,FALSE)</f>
        <v>Yes</v>
      </c>
      <c r="T158" s="16" t="str">
        <f>VLOOKUP($A158,'SurveyRpt_20150223 (1)'!$A$34:$AN$735,32,FALSE)</f>
        <v>Yes</v>
      </c>
      <c r="U158" s="16" t="str">
        <f>VLOOKUP($A158,'SurveyRpt_20150223 (1)'!$A$34:$AN$735,34,FALSE)</f>
        <v>No</v>
      </c>
      <c r="V158" s="16" t="str">
        <f>VLOOKUP($A158,'SurveyRpt_20150223 (1)'!$A$34:$AN$735,36,FALSE)</f>
        <v>No</v>
      </c>
      <c r="W158" s="16" t="str">
        <f>VLOOKUP($A158,'SurveyRpt_20150223 (1)'!$A$34:$AN$735,38,FALSE)</f>
        <v>No</v>
      </c>
    </row>
    <row r="159" spans="1:23" ht="13.5" customHeight="1" x14ac:dyDescent="0.25">
      <c r="A159" s="19" t="s">
        <v>252</v>
      </c>
      <c r="B159" s="19" t="str">
        <f t="shared" si="2"/>
        <v>SSHEIK2</v>
      </c>
      <c r="C159" s="16" t="str">
        <f>VLOOKUP(B159,'Compiled Agents'!A:H,2,FALSE)</f>
        <v>Workplace</v>
      </c>
      <c r="D159" s="16" t="str">
        <f>VLOOKUP(B159,'Compiled Agents'!A:H,4,FALSE)</f>
        <v>Hyderabad</v>
      </c>
      <c r="E159" s="16" t="str">
        <f>VLOOKUP(B159,'Compiled Agents'!A:H,5,FALSE)</f>
        <v>Wave2</v>
      </c>
      <c r="F159" s="16" t="str">
        <f>VLOOKUP(B159,'Compiled Agents'!A:H,6,FALSE)</f>
        <v>Yellow</v>
      </c>
      <c r="G159" s="16">
        <f>VLOOKUP($A159,'SurveyRpt_20150223 (1)'!$A$34:$AN$735,6,FALSE)</f>
        <v>16</v>
      </c>
      <c r="H159" s="16" t="str">
        <f>VLOOKUP($A159,'SurveyRpt_20150223 (1)'!$A$34:$AN$735,8,FALSE)</f>
        <v>Yes</v>
      </c>
      <c r="I159" s="16" t="str">
        <f>VLOOKUP($A159,'SurveyRpt_20150223 (1)'!$A$34:$AN$735,10,FALSE)</f>
        <v>Yes</v>
      </c>
      <c r="J159" s="16" t="str">
        <f>VLOOKUP($A159,'SurveyRpt_20150223 (1)'!$A$34:$AN$735,12,FALSE)</f>
        <v>Yes</v>
      </c>
      <c r="K159" s="16" t="str">
        <f>VLOOKUP($A159,'SurveyRpt_20150223 (1)'!$A$34:$AN$735,14,FALSE)</f>
        <v>Yes</v>
      </c>
      <c r="L159" s="16" t="str">
        <f>VLOOKUP($A159,'SurveyRpt_20150223 (1)'!$A$34:$AN$735,16,FALSE)</f>
        <v>Yes</v>
      </c>
      <c r="M159" s="16" t="str">
        <f>VLOOKUP($A159,'SurveyRpt_20150223 (1)'!$A$34:$AN$735,18,FALSE)</f>
        <v>Yes</v>
      </c>
      <c r="N159" s="16" t="str">
        <f>VLOOKUP($A159,'SurveyRpt_20150223 (1)'!$A$34:$AN$735,20,FALSE)</f>
        <v>Yes</v>
      </c>
      <c r="O159" s="16" t="str">
        <f>VLOOKUP($A159,'SurveyRpt_20150223 (1)'!$A$34:$AN$735,22,FALSE)</f>
        <v>Yes</v>
      </c>
      <c r="P159" s="16" t="str">
        <f>VLOOKUP($A159,'SurveyRpt_20150223 (1)'!$A$34:$AN$735,24,FALSE)</f>
        <v>Yes</v>
      </c>
      <c r="Q159" s="16" t="str">
        <f>VLOOKUP($A159,'SurveyRpt_20150223 (1)'!$A$34:$AN$735,26,FALSE)</f>
        <v>Yes</v>
      </c>
      <c r="R159" s="16" t="str">
        <f>VLOOKUP($A159,'SurveyRpt_20150223 (1)'!$A$34:$AN$735,28,FALSE)</f>
        <v>Yes</v>
      </c>
      <c r="S159" s="16" t="str">
        <f>VLOOKUP($A159,'SurveyRpt_20150223 (1)'!$A$34:$AN$735,30,FALSE)</f>
        <v>Yes</v>
      </c>
      <c r="T159" s="16" t="str">
        <f>VLOOKUP($A159,'SurveyRpt_20150223 (1)'!$A$34:$AN$735,32,FALSE)</f>
        <v>Yes</v>
      </c>
      <c r="U159" s="16" t="str">
        <f>VLOOKUP($A159,'SurveyRpt_20150223 (1)'!$A$34:$AN$735,34,FALSE)</f>
        <v>Yes</v>
      </c>
      <c r="V159" s="16" t="str">
        <f>VLOOKUP($A159,'SurveyRpt_20150223 (1)'!$A$34:$AN$735,36,FALSE)</f>
        <v>Yes</v>
      </c>
      <c r="W159" s="16" t="str">
        <f>VLOOKUP($A159,'SurveyRpt_20150223 (1)'!$A$34:$AN$735,38,FALSE)</f>
        <v>Yes</v>
      </c>
    </row>
    <row r="160" spans="1:23" ht="13.5" customHeight="1" x14ac:dyDescent="0.25">
      <c r="A160" s="19" t="s">
        <v>253</v>
      </c>
      <c r="B160" s="19" t="str">
        <f t="shared" si="2"/>
        <v>UBHATIA</v>
      </c>
      <c r="C160" s="16" t="str">
        <f>VLOOKUP(B160,'Compiled Agents'!A:H,2,FALSE)</f>
        <v>Workplace</v>
      </c>
      <c r="D160" s="16" t="str">
        <f>VLOOKUP(B160,'Compiled Agents'!A:H,4,FALSE)</f>
        <v>Noida</v>
      </c>
      <c r="E160" s="16" t="str">
        <f>VLOOKUP(B160,'Compiled Agents'!A:H,5,FALSE)</f>
        <v>Wave1</v>
      </c>
      <c r="F160" s="16" t="str">
        <f>VLOOKUP(B160,'Compiled Agents'!A:H,6,FALSE)</f>
        <v>Yellow</v>
      </c>
      <c r="G160" s="16">
        <f>VLOOKUP($A160,'SurveyRpt_20150223 (1)'!$A$34:$AN$735,6,FALSE)</f>
        <v>13</v>
      </c>
      <c r="H160" s="16" t="str">
        <f>VLOOKUP($A160,'SurveyRpt_20150223 (1)'!$A$34:$AN$735,8,FALSE)</f>
        <v>Yes</v>
      </c>
      <c r="I160" s="16" t="str">
        <f>VLOOKUP($A160,'SurveyRpt_20150223 (1)'!$A$34:$AN$735,10,FALSE)</f>
        <v>Yes</v>
      </c>
      <c r="J160" s="16" t="str">
        <f>VLOOKUP($A160,'SurveyRpt_20150223 (1)'!$A$34:$AN$735,12,FALSE)</f>
        <v>Yes</v>
      </c>
      <c r="K160" s="16" t="str">
        <f>VLOOKUP($A160,'SurveyRpt_20150223 (1)'!$A$34:$AN$735,14,FALSE)</f>
        <v>Yes</v>
      </c>
      <c r="L160" s="16" t="str">
        <f>VLOOKUP($A160,'SurveyRpt_20150223 (1)'!$A$34:$AN$735,16,FALSE)</f>
        <v>Yes</v>
      </c>
      <c r="M160" s="16" t="str">
        <f>VLOOKUP($A160,'SurveyRpt_20150223 (1)'!$A$34:$AN$735,18,FALSE)</f>
        <v>No</v>
      </c>
      <c r="N160" s="16" t="str">
        <f>VLOOKUP($A160,'SurveyRpt_20150223 (1)'!$A$34:$AN$735,20,FALSE)</f>
        <v>No</v>
      </c>
      <c r="O160" s="16" t="str">
        <f>VLOOKUP($A160,'SurveyRpt_20150223 (1)'!$A$34:$AN$735,22,FALSE)</f>
        <v>Yes</v>
      </c>
      <c r="P160" s="16" t="str">
        <f>VLOOKUP($A160,'SurveyRpt_20150223 (1)'!$A$34:$AN$735,24,FALSE)</f>
        <v>Yes</v>
      </c>
      <c r="Q160" s="16" t="str">
        <f>VLOOKUP($A160,'SurveyRpt_20150223 (1)'!$A$34:$AN$735,26,FALSE)</f>
        <v>Yes</v>
      </c>
      <c r="R160" s="16" t="str">
        <f>VLOOKUP($A160,'SurveyRpt_20150223 (1)'!$A$34:$AN$735,28,FALSE)</f>
        <v>Yes</v>
      </c>
      <c r="S160" s="16" t="str">
        <f>VLOOKUP($A160,'SurveyRpt_20150223 (1)'!$A$34:$AN$735,30,FALSE)</f>
        <v>Yes</v>
      </c>
      <c r="T160" s="16" t="str">
        <f>VLOOKUP($A160,'SurveyRpt_20150223 (1)'!$A$34:$AN$735,32,FALSE)</f>
        <v>Yes</v>
      </c>
      <c r="U160" s="16" t="str">
        <f>VLOOKUP($A160,'SurveyRpt_20150223 (1)'!$A$34:$AN$735,34,FALSE)</f>
        <v>Yes</v>
      </c>
      <c r="V160" s="16" t="str">
        <f>VLOOKUP($A160,'SurveyRpt_20150223 (1)'!$A$34:$AN$735,36,FALSE)</f>
        <v>Yes</v>
      </c>
      <c r="W160" s="16" t="str">
        <f>VLOOKUP($A160,'SurveyRpt_20150223 (1)'!$A$34:$AN$735,38,FALSE)</f>
        <v>No</v>
      </c>
    </row>
    <row r="161" spans="1:23" ht="13.5" customHeight="1" x14ac:dyDescent="0.25">
      <c r="A161" s="19" t="s">
        <v>254</v>
      </c>
      <c r="B161" s="19" t="str">
        <f t="shared" si="2"/>
        <v>bcislak</v>
      </c>
      <c r="C161" s="16" t="str">
        <f>VLOOKUP(B161,'Compiled Agents'!A:H,2,FALSE)</f>
        <v>Platform</v>
      </c>
      <c r="D161" s="16" t="str">
        <f>VLOOKUP(B161,'Compiled Agents'!A:H,4,FALSE)</f>
        <v>MBC US</v>
      </c>
      <c r="E161" s="16" t="str">
        <f>VLOOKUP(B161,'Compiled Agents'!A:H,5,FALSE)</f>
        <v>Wave2</v>
      </c>
      <c r="F161" s="16" t="str">
        <f>VLOOKUP(B161,'Compiled Agents'!A:H,6,FALSE)</f>
        <v>Orange</v>
      </c>
      <c r="G161" s="16">
        <f>VLOOKUP($A161,'SurveyRpt_20150223 (1)'!$A$34:$AN$735,6,FALSE)</f>
        <v>7</v>
      </c>
      <c r="H161" s="16" t="str">
        <f>VLOOKUP($A161,'SurveyRpt_20150223 (1)'!$A$34:$AN$735,8,FALSE)</f>
        <v>Yes</v>
      </c>
      <c r="I161" s="16" t="str">
        <f>VLOOKUP($A161,'SurveyRpt_20150223 (1)'!$A$34:$AN$735,10,FALSE)</f>
        <v>No</v>
      </c>
      <c r="J161" s="16" t="str">
        <f>VLOOKUP($A161,'SurveyRpt_20150223 (1)'!$A$34:$AN$735,12,FALSE)</f>
        <v>Yes</v>
      </c>
      <c r="K161" s="16" t="str">
        <f>VLOOKUP($A161,'SurveyRpt_20150223 (1)'!$A$34:$AN$735,14,FALSE)</f>
        <v>No</v>
      </c>
      <c r="L161" s="16" t="str">
        <f>VLOOKUP($A161,'SurveyRpt_20150223 (1)'!$A$34:$AN$735,16,FALSE)</f>
        <v>No</v>
      </c>
      <c r="M161" s="16" t="str">
        <f>VLOOKUP($A161,'SurveyRpt_20150223 (1)'!$A$34:$AN$735,18,FALSE)</f>
        <v>Yes</v>
      </c>
      <c r="N161" s="16" t="str">
        <f>VLOOKUP($A161,'SurveyRpt_20150223 (1)'!$A$34:$AN$735,20,FALSE)</f>
        <v>No</v>
      </c>
      <c r="O161" s="16" t="str">
        <f>VLOOKUP($A161,'SurveyRpt_20150223 (1)'!$A$34:$AN$735,22,FALSE)</f>
        <v>No</v>
      </c>
      <c r="P161" s="16" t="str">
        <f>VLOOKUP($A161,'SurveyRpt_20150223 (1)'!$A$34:$AN$735,24,FALSE)</f>
        <v>Yes</v>
      </c>
      <c r="Q161" s="16" t="str">
        <f>VLOOKUP($A161,'SurveyRpt_20150223 (1)'!$A$34:$AN$735,26,FALSE)</f>
        <v>No</v>
      </c>
      <c r="R161" s="16" t="str">
        <f>VLOOKUP($A161,'SurveyRpt_20150223 (1)'!$A$34:$AN$735,28,FALSE)</f>
        <v>No</v>
      </c>
      <c r="S161" s="16" t="str">
        <f>VLOOKUP($A161,'SurveyRpt_20150223 (1)'!$A$34:$AN$735,30,FALSE)</f>
        <v>Yes</v>
      </c>
      <c r="T161" s="16" t="str">
        <f>VLOOKUP($A161,'SurveyRpt_20150223 (1)'!$A$34:$AN$735,32,FALSE)</f>
        <v>Yes</v>
      </c>
      <c r="U161" s="16" t="str">
        <f>VLOOKUP($A161,'SurveyRpt_20150223 (1)'!$A$34:$AN$735,34,FALSE)</f>
        <v>No</v>
      </c>
      <c r="V161" s="16" t="str">
        <f>VLOOKUP($A161,'SurveyRpt_20150223 (1)'!$A$34:$AN$735,36,FALSE)</f>
        <v>No</v>
      </c>
      <c r="W161" s="16" t="str">
        <f>VLOOKUP($A161,'SurveyRpt_20150223 (1)'!$A$34:$AN$735,38,FALSE)</f>
        <v>Yes</v>
      </c>
    </row>
    <row r="162" spans="1:23" ht="13.5" customHeight="1" x14ac:dyDescent="0.25">
      <c r="A162" s="19" t="s">
        <v>255</v>
      </c>
      <c r="B162" s="19" t="str">
        <f t="shared" si="2"/>
        <v>jjones77</v>
      </c>
      <c r="C162" s="16" t="str">
        <f>VLOOKUP(B162,'Compiled Agents'!A:H,2,FALSE)</f>
        <v>Platform</v>
      </c>
      <c r="D162" s="16" t="str">
        <f>VLOOKUP(B162,'Compiled Agents'!A:H,4,FALSE)</f>
        <v>MBC US</v>
      </c>
      <c r="E162" s="16" t="str">
        <f>VLOOKUP(B162,'Compiled Agents'!A:H,5,FALSE)</f>
        <v>Wave2</v>
      </c>
      <c r="F162" s="16" t="str">
        <f>VLOOKUP(B162,'Compiled Agents'!A:H,6,FALSE)</f>
        <v>Blue</v>
      </c>
      <c r="G162" s="16">
        <f>VLOOKUP($A162,'SurveyRpt_20150223 (1)'!$A$34:$AN$735,6,FALSE)</f>
        <v>16</v>
      </c>
      <c r="H162" s="16" t="str">
        <f>VLOOKUP($A162,'SurveyRpt_20150223 (1)'!$A$34:$AN$735,8,FALSE)</f>
        <v>Yes</v>
      </c>
      <c r="I162" s="16" t="str">
        <f>VLOOKUP($A162,'SurveyRpt_20150223 (1)'!$A$34:$AN$735,10,FALSE)</f>
        <v>Yes</v>
      </c>
      <c r="J162" s="16" t="str">
        <f>VLOOKUP($A162,'SurveyRpt_20150223 (1)'!$A$34:$AN$735,12,FALSE)</f>
        <v>Yes</v>
      </c>
      <c r="K162" s="16" t="str">
        <f>VLOOKUP($A162,'SurveyRpt_20150223 (1)'!$A$34:$AN$735,14,FALSE)</f>
        <v>Yes</v>
      </c>
      <c r="L162" s="16" t="str">
        <f>VLOOKUP($A162,'SurveyRpt_20150223 (1)'!$A$34:$AN$735,16,FALSE)</f>
        <v>Yes</v>
      </c>
      <c r="M162" s="16" t="str">
        <f>VLOOKUP($A162,'SurveyRpt_20150223 (1)'!$A$34:$AN$735,18,FALSE)</f>
        <v>Yes</v>
      </c>
      <c r="N162" s="16" t="str">
        <f>VLOOKUP($A162,'SurveyRpt_20150223 (1)'!$A$34:$AN$735,20,FALSE)</f>
        <v>Yes</v>
      </c>
      <c r="O162" s="16" t="str">
        <f>VLOOKUP($A162,'SurveyRpt_20150223 (1)'!$A$34:$AN$735,22,FALSE)</f>
        <v>Yes</v>
      </c>
      <c r="P162" s="16" t="str">
        <f>VLOOKUP($A162,'SurveyRpt_20150223 (1)'!$A$34:$AN$735,24,FALSE)</f>
        <v>Yes</v>
      </c>
      <c r="Q162" s="16" t="str">
        <f>VLOOKUP($A162,'SurveyRpt_20150223 (1)'!$A$34:$AN$735,26,FALSE)</f>
        <v>Yes</v>
      </c>
      <c r="R162" s="16" t="str">
        <f>VLOOKUP($A162,'SurveyRpt_20150223 (1)'!$A$34:$AN$735,28,FALSE)</f>
        <v>Yes</v>
      </c>
      <c r="S162" s="16" t="str">
        <f>VLOOKUP($A162,'SurveyRpt_20150223 (1)'!$A$34:$AN$735,30,FALSE)</f>
        <v>Yes</v>
      </c>
      <c r="T162" s="16" t="str">
        <f>VLOOKUP($A162,'SurveyRpt_20150223 (1)'!$A$34:$AN$735,32,FALSE)</f>
        <v>Yes</v>
      </c>
      <c r="U162" s="16" t="str">
        <f>VLOOKUP($A162,'SurveyRpt_20150223 (1)'!$A$34:$AN$735,34,FALSE)</f>
        <v>Yes</v>
      </c>
      <c r="V162" s="16" t="str">
        <f>VLOOKUP($A162,'SurveyRpt_20150223 (1)'!$A$34:$AN$735,36,FALSE)</f>
        <v>Yes</v>
      </c>
      <c r="W162" s="16" t="str">
        <f>VLOOKUP($A162,'SurveyRpt_20150223 (1)'!$A$34:$AN$735,38,FALSE)</f>
        <v>Yes</v>
      </c>
    </row>
    <row r="163" spans="1:23" ht="13.5" customHeight="1" x14ac:dyDescent="0.25">
      <c r="A163" s="19" t="s">
        <v>256</v>
      </c>
      <c r="B163" s="19" t="str">
        <f t="shared" si="2"/>
        <v>KMITTAKOLU</v>
      </c>
      <c r="C163" s="16" t="str">
        <f>VLOOKUP(B163,'Compiled Agents'!A:H,2,FALSE)</f>
        <v>Workplace</v>
      </c>
      <c r="D163" s="16" t="str">
        <f>VLOOKUP(B163,'Compiled Agents'!A:H,4,FALSE)</f>
        <v>Hyderabad</v>
      </c>
      <c r="E163" s="16" t="str">
        <f>VLOOKUP(B163,'Compiled Agents'!A:H,5,FALSE)</f>
        <v>Wave2</v>
      </c>
      <c r="F163" s="16" t="str">
        <f>VLOOKUP(B163,'Compiled Agents'!A:H,6,FALSE)</f>
        <v>Yellow</v>
      </c>
      <c r="G163" s="16">
        <f>VLOOKUP($A163,'SurveyRpt_20150223 (1)'!$A$34:$AN$735,6,FALSE)</f>
        <v>16</v>
      </c>
      <c r="H163" s="16" t="str">
        <f>VLOOKUP($A163,'SurveyRpt_20150223 (1)'!$A$34:$AN$735,8,FALSE)</f>
        <v>Yes</v>
      </c>
      <c r="I163" s="16" t="str">
        <f>VLOOKUP($A163,'SurveyRpt_20150223 (1)'!$A$34:$AN$735,10,FALSE)</f>
        <v>Yes</v>
      </c>
      <c r="J163" s="16" t="str">
        <f>VLOOKUP($A163,'SurveyRpt_20150223 (1)'!$A$34:$AN$735,12,FALSE)</f>
        <v>Yes</v>
      </c>
      <c r="K163" s="16" t="str">
        <f>VLOOKUP($A163,'SurveyRpt_20150223 (1)'!$A$34:$AN$735,14,FALSE)</f>
        <v>Yes</v>
      </c>
      <c r="L163" s="16" t="str">
        <f>VLOOKUP($A163,'SurveyRpt_20150223 (1)'!$A$34:$AN$735,16,FALSE)</f>
        <v>Yes</v>
      </c>
      <c r="M163" s="16" t="str">
        <f>VLOOKUP($A163,'SurveyRpt_20150223 (1)'!$A$34:$AN$735,18,FALSE)</f>
        <v>Yes</v>
      </c>
      <c r="N163" s="16" t="str">
        <f>VLOOKUP($A163,'SurveyRpt_20150223 (1)'!$A$34:$AN$735,20,FALSE)</f>
        <v>Yes</v>
      </c>
      <c r="O163" s="16" t="str">
        <f>VLOOKUP($A163,'SurveyRpt_20150223 (1)'!$A$34:$AN$735,22,FALSE)</f>
        <v>Yes</v>
      </c>
      <c r="P163" s="16" t="str">
        <f>VLOOKUP($A163,'SurveyRpt_20150223 (1)'!$A$34:$AN$735,24,FALSE)</f>
        <v>Yes</v>
      </c>
      <c r="Q163" s="16" t="str">
        <f>VLOOKUP($A163,'SurveyRpt_20150223 (1)'!$A$34:$AN$735,26,FALSE)</f>
        <v>Yes</v>
      </c>
      <c r="R163" s="16" t="str">
        <f>VLOOKUP($A163,'SurveyRpt_20150223 (1)'!$A$34:$AN$735,28,FALSE)</f>
        <v>Yes</v>
      </c>
      <c r="S163" s="16" t="str">
        <f>VLOOKUP($A163,'SurveyRpt_20150223 (1)'!$A$34:$AN$735,30,FALSE)</f>
        <v>Yes</v>
      </c>
      <c r="T163" s="16" t="str">
        <f>VLOOKUP($A163,'SurveyRpt_20150223 (1)'!$A$34:$AN$735,32,FALSE)</f>
        <v>Yes</v>
      </c>
      <c r="U163" s="16" t="str">
        <f>VLOOKUP($A163,'SurveyRpt_20150223 (1)'!$A$34:$AN$735,34,FALSE)</f>
        <v>Yes</v>
      </c>
      <c r="V163" s="16" t="str">
        <f>VLOOKUP($A163,'SurveyRpt_20150223 (1)'!$A$34:$AN$735,36,FALSE)</f>
        <v>Yes</v>
      </c>
      <c r="W163" s="16" t="str">
        <f>VLOOKUP($A163,'SurveyRpt_20150223 (1)'!$A$34:$AN$735,38,FALSE)</f>
        <v>Yes</v>
      </c>
    </row>
    <row r="164" spans="1:23" ht="13.5" customHeight="1" x14ac:dyDescent="0.25">
      <c r="A164" s="19" t="s">
        <v>257</v>
      </c>
      <c r="B164" s="19" t="str">
        <f t="shared" si="2"/>
        <v>VVENKATESH4</v>
      </c>
      <c r="C164" s="16" t="str">
        <f>VLOOKUP(B164,'Compiled Agents'!A:H,2,FALSE)</f>
        <v>Workplace</v>
      </c>
      <c r="D164" s="16" t="str">
        <f>VLOOKUP(B164,'Compiled Agents'!A:H,4,FALSE)</f>
        <v>Noida</v>
      </c>
      <c r="E164" s="16" t="str">
        <f>VLOOKUP(B164,'Compiled Agents'!A:H,5,FALSE)</f>
        <v>Wave1</v>
      </c>
      <c r="F164" s="16" t="str">
        <f>VLOOKUP(B164,'Compiled Agents'!A:H,6,FALSE)</f>
        <v>Orange</v>
      </c>
      <c r="G164" s="16">
        <f>VLOOKUP($A164,'SurveyRpt_20150223 (1)'!$A$34:$AN$735,6,FALSE)</f>
        <v>16</v>
      </c>
      <c r="H164" s="16" t="str">
        <f>VLOOKUP($A164,'SurveyRpt_20150223 (1)'!$A$34:$AN$735,8,FALSE)</f>
        <v>Yes</v>
      </c>
      <c r="I164" s="16" t="str">
        <f>VLOOKUP($A164,'SurveyRpt_20150223 (1)'!$A$34:$AN$735,10,FALSE)</f>
        <v>Yes</v>
      </c>
      <c r="J164" s="16" t="str">
        <f>VLOOKUP($A164,'SurveyRpt_20150223 (1)'!$A$34:$AN$735,12,FALSE)</f>
        <v>Yes</v>
      </c>
      <c r="K164" s="16" t="str">
        <f>VLOOKUP($A164,'SurveyRpt_20150223 (1)'!$A$34:$AN$735,14,FALSE)</f>
        <v>Yes</v>
      </c>
      <c r="L164" s="16" t="str">
        <f>VLOOKUP($A164,'SurveyRpt_20150223 (1)'!$A$34:$AN$735,16,FALSE)</f>
        <v>Yes</v>
      </c>
      <c r="M164" s="16" t="str">
        <f>VLOOKUP($A164,'SurveyRpt_20150223 (1)'!$A$34:$AN$735,18,FALSE)</f>
        <v>Yes</v>
      </c>
      <c r="N164" s="16" t="str">
        <f>VLOOKUP($A164,'SurveyRpt_20150223 (1)'!$A$34:$AN$735,20,FALSE)</f>
        <v>Yes</v>
      </c>
      <c r="O164" s="16" t="str">
        <f>VLOOKUP($A164,'SurveyRpt_20150223 (1)'!$A$34:$AN$735,22,FALSE)</f>
        <v>Yes</v>
      </c>
      <c r="P164" s="16" t="str">
        <f>VLOOKUP($A164,'SurveyRpt_20150223 (1)'!$A$34:$AN$735,24,FALSE)</f>
        <v>Yes</v>
      </c>
      <c r="Q164" s="16" t="str">
        <f>VLOOKUP($A164,'SurveyRpt_20150223 (1)'!$A$34:$AN$735,26,FALSE)</f>
        <v>Yes</v>
      </c>
      <c r="R164" s="16" t="str">
        <f>VLOOKUP($A164,'SurveyRpt_20150223 (1)'!$A$34:$AN$735,28,FALSE)</f>
        <v>Yes</v>
      </c>
      <c r="S164" s="16" t="str">
        <f>VLOOKUP($A164,'SurveyRpt_20150223 (1)'!$A$34:$AN$735,30,FALSE)</f>
        <v>Yes</v>
      </c>
      <c r="T164" s="16" t="str">
        <f>VLOOKUP($A164,'SurveyRpt_20150223 (1)'!$A$34:$AN$735,32,FALSE)</f>
        <v>Yes</v>
      </c>
      <c r="U164" s="16" t="str">
        <f>VLOOKUP($A164,'SurveyRpt_20150223 (1)'!$A$34:$AN$735,34,FALSE)</f>
        <v>Yes</v>
      </c>
      <c r="V164" s="16" t="str">
        <f>VLOOKUP($A164,'SurveyRpt_20150223 (1)'!$A$34:$AN$735,36,FALSE)</f>
        <v>Yes</v>
      </c>
      <c r="W164" s="16" t="str">
        <f>VLOOKUP($A164,'SurveyRpt_20150223 (1)'!$A$34:$AN$735,38,FALSE)</f>
        <v>Yes</v>
      </c>
    </row>
    <row r="165" spans="1:23" ht="13.5" customHeight="1" x14ac:dyDescent="0.25">
      <c r="A165" s="19" t="s">
        <v>258</v>
      </c>
      <c r="B165" s="19" t="str">
        <f t="shared" si="2"/>
        <v>MELANGO</v>
      </c>
      <c r="C165" s="16" t="str">
        <f>VLOOKUP(B165,'Compiled Agents'!A:H,2,FALSE)</f>
        <v>Workplace</v>
      </c>
      <c r="D165" s="16" t="str">
        <f>VLOOKUP(B165,'Compiled Agents'!A:H,4,FALSE)</f>
        <v>Hyderabad</v>
      </c>
      <c r="E165" s="16" t="str">
        <f>VLOOKUP(B165,'Compiled Agents'!A:H,5,FALSE)</f>
        <v>Wave2</v>
      </c>
      <c r="F165" s="16" t="str">
        <f>VLOOKUP(B165,'Compiled Agents'!A:H,6,FALSE)</f>
        <v>Orange</v>
      </c>
      <c r="G165" s="16">
        <f>VLOOKUP($A165,'SurveyRpt_20150223 (1)'!$A$34:$AN$735,6,FALSE)</f>
        <v>16</v>
      </c>
      <c r="H165" s="16" t="str">
        <f>VLOOKUP($A165,'SurveyRpt_20150223 (1)'!$A$34:$AN$735,8,FALSE)</f>
        <v>Yes</v>
      </c>
      <c r="I165" s="16" t="str">
        <f>VLOOKUP($A165,'SurveyRpt_20150223 (1)'!$A$34:$AN$735,10,FALSE)</f>
        <v>Yes</v>
      </c>
      <c r="J165" s="16" t="str">
        <f>VLOOKUP($A165,'SurveyRpt_20150223 (1)'!$A$34:$AN$735,12,FALSE)</f>
        <v>Yes</v>
      </c>
      <c r="K165" s="16" t="str">
        <f>VLOOKUP($A165,'SurveyRpt_20150223 (1)'!$A$34:$AN$735,14,FALSE)</f>
        <v>Yes</v>
      </c>
      <c r="L165" s="16" t="str">
        <f>VLOOKUP($A165,'SurveyRpt_20150223 (1)'!$A$34:$AN$735,16,FALSE)</f>
        <v>Yes</v>
      </c>
      <c r="M165" s="16" t="str">
        <f>VLOOKUP($A165,'SurveyRpt_20150223 (1)'!$A$34:$AN$735,18,FALSE)</f>
        <v>Yes</v>
      </c>
      <c r="N165" s="16" t="str">
        <f>VLOOKUP($A165,'SurveyRpt_20150223 (1)'!$A$34:$AN$735,20,FALSE)</f>
        <v>Yes</v>
      </c>
      <c r="O165" s="16" t="str">
        <f>VLOOKUP($A165,'SurveyRpt_20150223 (1)'!$A$34:$AN$735,22,FALSE)</f>
        <v>Yes</v>
      </c>
      <c r="P165" s="16" t="str">
        <f>VLOOKUP($A165,'SurveyRpt_20150223 (1)'!$A$34:$AN$735,24,FALSE)</f>
        <v>Yes</v>
      </c>
      <c r="Q165" s="16" t="str">
        <f>VLOOKUP($A165,'SurveyRpt_20150223 (1)'!$A$34:$AN$735,26,FALSE)</f>
        <v>Yes</v>
      </c>
      <c r="R165" s="16" t="str">
        <f>VLOOKUP($A165,'SurveyRpt_20150223 (1)'!$A$34:$AN$735,28,FALSE)</f>
        <v>Yes</v>
      </c>
      <c r="S165" s="16" t="str">
        <f>VLOOKUP($A165,'SurveyRpt_20150223 (1)'!$A$34:$AN$735,30,FALSE)</f>
        <v>Yes</v>
      </c>
      <c r="T165" s="16" t="str">
        <f>VLOOKUP($A165,'SurveyRpt_20150223 (1)'!$A$34:$AN$735,32,FALSE)</f>
        <v>Yes</v>
      </c>
      <c r="U165" s="16" t="str">
        <f>VLOOKUP($A165,'SurveyRpt_20150223 (1)'!$A$34:$AN$735,34,FALSE)</f>
        <v>Yes</v>
      </c>
      <c r="V165" s="16" t="str">
        <f>VLOOKUP($A165,'SurveyRpt_20150223 (1)'!$A$34:$AN$735,36,FALSE)</f>
        <v>Yes</v>
      </c>
      <c r="W165" s="16" t="str">
        <f>VLOOKUP($A165,'SurveyRpt_20150223 (1)'!$A$34:$AN$735,38,FALSE)</f>
        <v>Yes</v>
      </c>
    </row>
    <row r="166" spans="1:23" ht="13.5" customHeight="1" x14ac:dyDescent="0.25">
      <c r="A166" s="19" t="s">
        <v>259</v>
      </c>
      <c r="B166" s="19" t="str">
        <f t="shared" si="2"/>
        <v>KKESIPEDDI</v>
      </c>
      <c r="C166" s="16" t="str">
        <f>VLOOKUP(B166,'Compiled Agents'!A:H,2,FALSE)</f>
        <v>Workplace</v>
      </c>
      <c r="D166" s="16" t="str">
        <f>VLOOKUP(B166,'Compiled Agents'!A:H,4,FALSE)</f>
        <v>Hyderabad</v>
      </c>
      <c r="E166" s="16" t="str">
        <f>VLOOKUP(B166,'Compiled Agents'!A:H,5,FALSE)</f>
        <v>Wave2</v>
      </c>
      <c r="F166" s="16" t="str">
        <f>VLOOKUP(B166,'Compiled Agents'!A:H,6,FALSE)</f>
        <v>Yellow</v>
      </c>
      <c r="G166" s="16">
        <f>VLOOKUP($A166,'SurveyRpt_20150223 (1)'!$A$34:$AN$735,6,FALSE)</f>
        <v>16</v>
      </c>
      <c r="H166" s="16" t="str">
        <f>VLOOKUP($A166,'SurveyRpt_20150223 (1)'!$A$34:$AN$735,8,FALSE)</f>
        <v>Yes</v>
      </c>
      <c r="I166" s="16" t="str">
        <f>VLOOKUP($A166,'SurveyRpt_20150223 (1)'!$A$34:$AN$735,10,FALSE)</f>
        <v>Yes</v>
      </c>
      <c r="J166" s="16" t="str">
        <f>VLOOKUP($A166,'SurveyRpt_20150223 (1)'!$A$34:$AN$735,12,FALSE)</f>
        <v>Yes</v>
      </c>
      <c r="K166" s="16" t="str">
        <f>VLOOKUP($A166,'SurveyRpt_20150223 (1)'!$A$34:$AN$735,14,FALSE)</f>
        <v>Yes</v>
      </c>
      <c r="L166" s="16" t="str">
        <f>VLOOKUP($A166,'SurveyRpt_20150223 (1)'!$A$34:$AN$735,16,FALSE)</f>
        <v>Yes</v>
      </c>
      <c r="M166" s="16" t="str">
        <f>VLOOKUP($A166,'SurveyRpt_20150223 (1)'!$A$34:$AN$735,18,FALSE)</f>
        <v>Yes</v>
      </c>
      <c r="N166" s="16" t="str">
        <f>VLOOKUP($A166,'SurveyRpt_20150223 (1)'!$A$34:$AN$735,20,FALSE)</f>
        <v>Yes</v>
      </c>
      <c r="O166" s="16" t="str">
        <f>VLOOKUP($A166,'SurveyRpt_20150223 (1)'!$A$34:$AN$735,22,FALSE)</f>
        <v>Yes</v>
      </c>
      <c r="P166" s="16" t="str">
        <f>VLOOKUP($A166,'SurveyRpt_20150223 (1)'!$A$34:$AN$735,24,FALSE)</f>
        <v>Yes</v>
      </c>
      <c r="Q166" s="16" t="str">
        <f>VLOOKUP($A166,'SurveyRpt_20150223 (1)'!$A$34:$AN$735,26,FALSE)</f>
        <v>Yes</v>
      </c>
      <c r="R166" s="16" t="str">
        <f>VLOOKUP($A166,'SurveyRpt_20150223 (1)'!$A$34:$AN$735,28,FALSE)</f>
        <v>Yes</v>
      </c>
      <c r="S166" s="16" t="str">
        <f>VLOOKUP($A166,'SurveyRpt_20150223 (1)'!$A$34:$AN$735,30,FALSE)</f>
        <v>Yes</v>
      </c>
      <c r="T166" s="16" t="str">
        <f>VLOOKUP($A166,'SurveyRpt_20150223 (1)'!$A$34:$AN$735,32,FALSE)</f>
        <v>Yes</v>
      </c>
      <c r="U166" s="16" t="str">
        <f>VLOOKUP($A166,'SurveyRpt_20150223 (1)'!$A$34:$AN$735,34,FALSE)</f>
        <v>Yes</v>
      </c>
      <c r="V166" s="16" t="str">
        <f>VLOOKUP($A166,'SurveyRpt_20150223 (1)'!$A$34:$AN$735,36,FALSE)</f>
        <v>Yes</v>
      </c>
      <c r="W166" s="16" t="str">
        <f>VLOOKUP($A166,'SurveyRpt_20150223 (1)'!$A$34:$AN$735,38,FALSE)</f>
        <v>Yes</v>
      </c>
    </row>
    <row r="167" spans="1:23" ht="13.5" customHeight="1" x14ac:dyDescent="0.25">
      <c r="A167" s="19" t="s">
        <v>260</v>
      </c>
      <c r="B167" s="19" t="str">
        <f t="shared" si="2"/>
        <v>RSIVASANKARA</v>
      </c>
      <c r="C167" s="16" t="str">
        <f>VLOOKUP(B167,'Compiled Agents'!A:H,2,FALSE)</f>
        <v>Platform</v>
      </c>
      <c r="D167" s="16" t="str">
        <f>VLOOKUP(B167,'Compiled Agents'!A:H,4,FALSE)</f>
        <v>Noida</v>
      </c>
      <c r="E167" s="16" t="str">
        <f>VLOOKUP(B167,'Compiled Agents'!A:H,5,FALSE)</f>
        <v>Wave2</v>
      </c>
      <c r="F167" s="16" t="str">
        <f>VLOOKUP(B167,'Compiled Agents'!A:H,6,FALSE)</f>
        <v>Purple</v>
      </c>
      <c r="G167" s="16">
        <f>VLOOKUP($A167,'SurveyRpt_20150223 (1)'!$A$34:$AN$735,6,FALSE)</f>
        <v>9</v>
      </c>
      <c r="H167" s="16" t="str">
        <f>VLOOKUP($A167,'SurveyRpt_20150223 (1)'!$A$34:$AN$735,8,FALSE)</f>
        <v>Yes</v>
      </c>
      <c r="I167" s="16" t="str">
        <f>VLOOKUP($A167,'SurveyRpt_20150223 (1)'!$A$34:$AN$735,10,FALSE)</f>
        <v>Yes</v>
      </c>
      <c r="J167" s="16" t="str">
        <f>VLOOKUP($A167,'SurveyRpt_20150223 (1)'!$A$34:$AN$735,12,FALSE)</f>
        <v>No</v>
      </c>
      <c r="K167" s="16" t="str">
        <f>VLOOKUP($A167,'SurveyRpt_20150223 (1)'!$A$34:$AN$735,14,FALSE)</f>
        <v>No</v>
      </c>
      <c r="L167" s="16" t="str">
        <f>VLOOKUP($A167,'SurveyRpt_20150223 (1)'!$A$34:$AN$735,16,FALSE)</f>
        <v>No</v>
      </c>
      <c r="M167" s="16" t="str">
        <f>VLOOKUP($A167,'SurveyRpt_20150223 (1)'!$A$34:$AN$735,18,FALSE)</f>
        <v>Yes</v>
      </c>
      <c r="N167" s="16" t="str">
        <f>VLOOKUP($A167,'SurveyRpt_20150223 (1)'!$A$34:$AN$735,20,FALSE)</f>
        <v>No</v>
      </c>
      <c r="O167" s="16" t="str">
        <f>VLOOKUP($A167,'SurveyRpt_20150223 (1)'!$A$34:$AN$735,22,FALSE)</f>
        <v>No</v>
      </c>
      <c r="P167" s="16" t="str">
        <f>VLOOKUP($A167,'SurveyRpt_20150223 (1)'!$A$34:$AN$735,24,FALSE)</f>
        <v>No</v>
      </c>
      <c r="Q167" s="16" t="str">
        <f>VLOOKUP($A167,'SurveyRpt_20150223 (1)'!$A$34:$AN$735,26,FALSE)</f>
        <v>No</v>
      </c>
      <c r="R167" s="16" t="str">
        <f>VLOOKUP($A167,'SurveyRpt_20150223 (1)'!$A$34:$AN$735,28,FALSE)</f>
        <v>Yes</v>
      </c>
      <c r="S167" s="16" t="str">
        <f>VLOOKUP($A167,'SurveyRpt_20150223 (1)'!$A$34:$AN$735,30,FALSE)</f>
        <v>Yes</v>
      </c>
      <c r="T167" s="16" t="str">
        <f>VLOOKUP($A167,'SurveyRpt_20150223 (1)'!$A$34:$AN$735,32,FALSE)</f>
        <v>Yes</v>
      </c>
      <c r="U167" s="16" t="str">
        <f>VLOOKUP($A167,'SurveyRpt_20150223 (1)'!$A$34:$AN$735,34,FALSE)</f>
        <v>Yes</v>
      </c>
      <c r="V167" s="16" t="str">
        <f>VLOOKUP($A167,'SurveyRpt_20150223 (1)'!$A$34:$AN$735,36,FALSE)</f>
        <v>Yes</v>
      </c>
      <c r="W167" s="16" t="str">
        <f>VLOOKUP($A167,'SurveyRpt_20150223 (1)'!$A$34:$AN$735,38,FALSE)</f>
        <v>Yes</v>
      </c>
    </row>
    <row r="168" spans="1:23" ht="13.5" customHeight="1" x14ac:dyDescent="0.25">
      <c r="A168" s="19" t="s">
        <v>261</v>
      </c>
      <c r="B168" s="19" t="str">
        <f t="shared" si="2"/>
        <v>HPADALA</v>
      </c>
      <c r="C168" s="16" t="str">
        <f>VLOOKUP(B168,'Compiled Agents'!A:H,2,FALSE)</f>
        <v>Workplace</v>
      </c>
      <c r="D168" s="16" t="str">
        <f>VLOOKUP(B168,'Compiled Agents'!A:H,4,FALSE)</f>
        <v>Hyderabad</v>
      </c>
      <c r="E168" s="16" t="str">
        <f>VLOOKUP(B168,'Compiled Agents'!A:H,5,FALSE)</f>
        <v>Wave2</v>
      </c>
      <c r="F168" s="16" t="str">
        <f>VLOOKUP(B168,'Compiled Agents'!A:H,6,FALSE)</f>
        <v>Orange</v>
      </c>
      <c r="G168" s="16">
        <f>VLOOKUP($A168,'SurveyRpt_20150223 (1)'!$A$34:$AN$735,6,FALSE)</f>
        <v>16</v>
      </c>
      <c r="H168" s="16" t="str">
        <f>VLOOKUP($A168,'SurveyRpt_20150223 (1)'!$A$34:$AN$735,8,FALSE)</f>
        <v>Yes</v>
      </c>
      <c r="I168" s="16" t="str">
        <f>VLOOKUP($A168,'SurveyRpt_20150223 (1)'!$A$34:$AN$735,10,FALSE)</f>
        <v>Yes</v>
      </c>
      <c r="J168" s="16" t="str">
        <f>VLOOKUP($A168,'SurveyRpt_20150223 (1)'!$A$34:$AN$735,12,FALSE)</f>
        <v>Yes</v>
      </c>
      <c r="K168" s="16" t="str">
        <f>VLOOKUP($A168,'SurveyRpt_20150223 (1)'!$A$34:$AN$735,14,FALSE)</f>
        <v>Yes</v>
      </c>
      <c r="L168" s="16" t="str">
        <f>VLOOKUP($A168,'SurveyRpt_20150223 (1)'!$A$34:$AN$735,16,FALSE)</f>
        <v>Yes</v>
      </c>
      <c r="M168" s="16" t="str">
        <f>VLOOKUP($A168,'SurveyRpt_20150223 (1)'!$A$34:$AN$735,18,FALSE)</f>
        <v>Yes</v>
      </c>
      <c r="N168" s="16" t="str">
        <f>VLOOKUP($A168,'SurveyRpt_20150223 (1)'!$A$34:$AN$735,20,FALSE)</f>
        <v>Yes</v>
      </c>
      <c r="O168" s="16" t="str">
        <f>VLOOKUP($A168,'SurveyRpt_20150223 (1)'!$A$34:$AN$735,22,FALSE)</f>
        <v>Yes</v>
      </c>
      <c r="P168" s="16" t="str">
        <f>VLOOKUP($A168,'SurveyRpt_20150223 (1)'!$A$34:$AN$735,24,FALSE)</f>
        <v>Yes</v>
      </c>
      <c r="Q168" s="16" t="str">
        <f>VLOOKUP($A168,'SurveyRpt_20150223 (1)'!$A$34:$AN$735,26,FALSE)</f>
        <v>Yes</v>
      </c>
      <c r="R168" s="16" t="str">
        <f>VLOOKUP($A168,'SurveyRpt_20150223 (1)'!$A$34:$AN$735,28,FALSE)</f>
        <v>Yes</v>
      </c>
      <c r="S168" s="16" t="str">
        <f>VLOOKUP($A168,'SurveyRpt_20150223 (1)'!$A$34:$AN$735,30,FALSE)</f>
        <v>Yes</v>
      </c>
      <c r="T168" s="16" t="str">
        <f>VLOOKUP($A168,'SurveyRpt_20150223 (1)'!$A$34:$AN$735,32,FALSE)</f>
        <v>Yes</v>
      </c>
      <c r="U168" s="16" t="str">
        <f>VLOOKUP($A168,'SurveyRpt_20150223 (1)'!$A$34:$AN$735,34,FALSE)</f>
        <v>Yes</v>
      </c>
      <c r="V168" s="16" t="str">
        <f>VLOOKUP($A168,'SurveyRpt_20150223 (1)'!$A$34:$AN$735,36,FALSE)</f>
        <v>Yes</v>
      </c>
      <c r="W168" s="16" t="str">
        <f>VLOOKUP($A168,'SurveyRpt_20150223 (1)'!$A$34:$AN$735,38,FALSE)</f>
        <v>Yes</v>
      </c>
    </row>
    <row r="169" spans="1:23" ht="13.5" customHeight="1" x14ac:dyDescent="0.25">
      <c r="A169" s="19" t="s">
        <v>262</v>
      </c>
      <c r="B169" s="19" t="str">
        <f t="shared" si="2"/>
        <v>lstpier2</v>
      </c>
      <c r="C169" s="16" t="str">
        <f>VLOOKUP(B169,'Compiled Agents'!A:H,2,FALSE)</f>
        <v>Platform</v>
      </c>
      <c r="D169" s="16" t="str">
        <f>VLOOKUP(B169,'Compiled Agents'!A:H,4,FALSE)</f>
        <v>MBC US</v>
      </c>
      <c r="E169" s="16" t="str">
        <f>VLOOKUP(B169,'Compiled Agents'!A:H,5,FALSE)</f>
        <v>Wave2</v>
      </c>
      <c r="F169" s="16" t="str">
        <f>VLOOKUP(B169,'Compiled Agents'!A:H,6,FALSE)</f>
        <v>Blue</v>
      </c>
      <c r="G169" s="16">
        <f>VLOOKUP($A169,'SurveyRpt_20150223 (1)'!$A$34:$AN$735,6,FALSE)</f>
        <v>7</v>
      </c>
      <c r="H169" s="16" t="str">
        <f>VLOOKUP($A169,'SurveyRpt_20150223 (1)'!$A$34:$AN$735,8,FALSE)</f>
        <v>Yes</v>
      </c>
      <c r="I169" s="16" t="str">
        <f>VLOOKUP($A169,'SurveyRpt_20150223 (1)'!$A$34:$AN$735,10,FALSE)</f>
        <v>No</v>
      </c>
      <c r="J169" s="16" t="str">
        <f>VLOOKUP($A169,'SurveyRpt_20150223 (1)'!$A$34:$AN$735,12,FALSE)</f>
        <v>No</v>
      </c>
      <c r="K169" s="16" t="str">
        <f>VLOOKUP($A169,'SurveyRpt_20150223 (1)'!$A$34:$AN$735,14,FALSE)</f>
        <v>No</v>
      </c>
      <c r="L169" s="16" t="str">
        <f>VLOOKUP($A169,'SurveyRpt_20150223 (1)'!$A$34:$AN$735,16,FALSE)</f>
        <v>Yes</v>
      </c>
      <c r="M169" s="16" t="str">
        <f>VLOOKUP($A169,'SurveyRpt_20150223 (1)'!$A$34:$AN$735,18,FALSE)</f>
        <v>No</v>
      </c>
      <c r="N169" s="16" t="str">
        <f>VLOOKUP($A169,'SurveyRpt_20150223 (1)'!$A$34:$AN$735,20,FALSE)</f>
        <v>No</v>
      </c>
      <c r="O169" s="16" t="str">
        <f>VLOOKUP($A169,'SurveyRpt_20150223 (1)'!$A$34:$AN$735,22,FALSE)</f>
        <v>Yes</v>
      </c>
      <c r="P169" s="16" t="str">
        <f>VLOOKUP($A169,'SurveyRpt_20150223 (1)'!$A$34:$AN$735,24,FALSE)</f>
        <v>Yes</v>
      </c>
      <c r="Q169" s="16" t="str">
        <f>VLOOKUP($A169,'SurveyRpt_20150223 (1)'!$A$34:$AN$735,26,FALSE)</f>
        <v>Yes</v>
      </c>
      <c r="R169" s="16" t="str">
        <f>VLOOKUP($A169,'SurveyRpt_20150223 (1)'!$A$34:$AN$735,28,FALSE)</f>
        <v>No</v>
      </c>
      <c r="S169" s="16" t="str">
        <f>VLOOKUP($A169,'SurveyRpt_20150223 (1)'!$A$34:$AN$735,30,FALSE)</f>
        <v>Yes</v>
      </c>
      <c r="T169" s="16" t="str">
        <f>VLOOKUP($A169,'SurveyRpt_20150223 (1)'!$A$34:$AN$735,32,FALSE)</f>
        <v>No</v>
      </c>
      <c r="U169" s="16" t="str">
        <f>VLOOKUP($A169,'SurveyRpt_20150223 (1)'!$A$34:$AN$735,34,FALSE)</f>
        <v>No</v>
      </c>
      <c r="V169" s="16" t="str">
        <f>VLOOKUP($A169,'SurveyRpt_20150223 (1)'!$A$34:$AN$735,36,FALSE)</f>
        <v>Yes</v>
      </c>
      <c r="W169" s="16" t="str">
        <f>VLOOKUP($A169,'SurveyRpt_20150223 (1)'!$A$34:$AN$735,38,FALSE)</f>
        <v>No</v>
      </c>
    </row>
    <row r="170" spans="1:23" ht="13.5" customHeight="1" x14ac:dyDescent="0.25">
      <c r="A170" s="19" t="s">
        <v>263</v>
      </c>
      <c r="B170" s="19" t="str">
        <f t="shared" si="2"/>
        <v>DBHUIYA</v>
      </c>
      <c r="C170" s="16" t="str">
        <f>VLOOKUP(B170,'Compiled Agents'!A:H,2,FALSE)</f>
        <v>Workplace</v>
      </c>
      <c r="D170" s="16" t="str">
        <f>VLOOKUP(B170,'Compiled Agents'!A:H,4,FALSE)</f>
        <v>Noida</v>
      </c>
      <c r="E170" s="16" t="str">
        <f>VLOOKUP(B170,'Compiled Agents'!A:H,5,FALSE)</f>
        <v>Wave2</v>
      </c>
      <c r="F170" s="16" t="str">
        <f>VLOOKUP(B170,'Compiled Agents'!A:H,6,FALSE)</f>
        <v>Yellow</v>
      </c>
      <c r="G170" s="16">
        <f>VLOOKUP($A170,'SurveyRpt_20150223 (1)'!$A$34:$AN$735,6,FALSE)</f>
        <v>16</v>
      </c>
      <c r="H170" s="16" t="str">
        <f>VLOOKUP($A170,'SurveyRpt_20150223 (1)'!$A$34:$AN$735,8,FALSE)</f>
        <v>Yes</v>
      </c>
      <c r="I170" s="16" t="str">
        <f>VLOOKUP($A170,'SurveyRpt_20150223 (1)'!$A$34:$AN$735,10,FALSE)</f>
        <v>Yes</v>
      </c>
      <c r="J170" s="16" t="str">
        <f>VLOOKUP($A170,'SurveyRpt_20150223 (1)'!$A$34:$AN$735,12,FALSE)</f>
        <v>Yes</v>
      </c>
      <c r="K170" s="16" t="str">
        <f>VLOOKUP($A170,'SurveyRpt_20150223 (1)'!$A$34:$AN$735,14,FALSE)</f>
        <v>Yes</v>
      </c>
      <c r="L170" s="16" t="str">
        <f>VLOOKUP($A170,'SurveyRpt_20150223 (1)'!$A$34:$AN$735,16,FALSE)</f>
        <v>Yes</v>
      </c>
      <c r="M170" s="16" t="str">
        <f>VLOOKUP($A170,'SurveyRpt_20150223 (1)'!$A$34:$AN$735,18,FALSE)</f>
        <v>Yes</v>
      </c>
      <c r="N170" s="16" t="str">
        <f>VLOOKUP($A170,'SurveyRpt_20150223 (1)'!$A$34:$AN$735,20,FALSE)</f>
        <v>Yes</v>
      </c>
      <c r="O170" s="16" t="str">
        <f>VLOOKUP($A170,'SurveyRpt_20150223 (1)'!$A$34:$AN$735,22,FALSE)</f>
        <v>Yes</v>
      </c>
      <c r="P170" s="16" t="str">
        <f>VLOOKUP($A170,'SurveyRpt_20150223 (1)'!$A$34:$AN$735,24,FALSE)</f>
        <v>Yes</v>
      </c>
      <c r="Q170" s="16" t="str">
        <f>VLOOKUP($A170,'SurveyRpt_20150223 (1)'!$A$34:$AN$735,26,FALSE)</f>
        <v>Yes</v>
      </c>
      <c r="R170" s="16" t="str">
        <f>VLOOKUP($A170,'SurveyRpt_20150223 (1)'!$A$34:$AN$735,28,FALSE)</f>
        <v>Yes</v>
      </c>
      <c r="S170" s="16" t="str">
        <f>VLOOKUP($A170,'SurveyRpt_20150223 (1)'!$A$34:$AN$735,30,FALSE)</f>
        <v>Yes</v>
      </c>
      <c r="T170" s="16" t="str">
        <f>VLOOKUP($A170,'SurveyRpt_20150223 (1)'!$A$34:$AN$735,32,FALSE)</f>
        <v>Yes</v>
      </c>
      <c r="U170" s="16" t="str">
        <f>VLOOKUP($A170,'SurveyRpt_20150223 (1)'!$A$34:$AN$735,34,FALSE)</f>
        <v>Yes</v>
      </c>
      <c r="V170" s="16" t="str">
        <f>VLOOKUP($A170,'SurveyRpt_20150223 (1)'!$A$34:$AN$735,36,FALSE)</f>
        <v>Yes</v>
      </c>
      <c r="W170" s="16" t="str">
        <f>VLOOKUP($A170,'SurveyRpt_20150223 (1)'!$A$34:$AN$735,38,FALSE)</f>
        <v>Yes</v>
      </c>
    </row>
    <row r="171" spans="1:23" ht="13.5" customHeight="1" x14ac:dyDescent="0.25">
      <c r="A171" s="19" t="s">
        <v>264</v>
      </c>
      <c r="B171" s="19" t="str">
        <f t="shared" si="2"/>
        <v>SRAOAKKINEPA</v>
      </c>
      <c r="C171" s="16" t="str">
        <f>VLOOKUP(B171,'Compiled Agents'!A:H,2,FALSE)</f>
        <v>Workplace</v>
      </c>
      <c r="D171" s="16" t="str">
        <f>VLOOKUP(B171,'Compiled Agents'!A:H,4,FALSE)</f>
        <v>Hyderabad</v>
      </c>
      <c r="E171" s="16" t="str">
        <f>VLOOKUP(B171,'Compiled Agents'!A:H,5,FALSE)</f>
        <v>Wave2</v>
      </c>
      <c r="F171" s="16" t="str">
        <f>VLOOKUP(B171,'Compiled Agents'!A:H,6,FALSE)</f>
        <v>Purple</v>
      </c>
      <c r="G171" s="16">
        <f>VLOOKUP($A171,'SurveyRpt_20150223 (1)'!$A$34:$AN$735,6,FALSE)</f>
        <v>16</v>
      </c>
      <c r="H171" s="16" t="str">
        <f>VLOOKUP($A171,'SurveyRpt_20150223 (1)'!$A$34:$AN$735,8,FALSE)</f>
        <v>Yes</v>
      </c>
      <c r="I171" s="16" t="str">
        <f>VLOOKUP($A171,'SurveyRpt_20150223 (1)'!$A$34:$AN$735,10,FALSE)</f>
        <v>Yes</v>
      </c>
      <c r="J171" s="16" t="str">
        <f>VLOOKUP($A171,'SurveyRpt_20150223 (1)'!$A$34:$AN$735,12,FALSE)</f>
        <v>Yes</v>
      </c>
      <c r="K171" s="16" t="str">
        <f>VLOOKUP($A171,'SurveyRpt_20150223 (1)'!$A$34:$AN$735,14,FALSE)</f>
        <v>Yes</v>
      </c>
      <c r="L171" s="16" t="str">
        <f>VLOOKUP($A171,'SurveyRpt_20150223 (1)'!$A$34:$AN$735,16,FALSE)</f>
        <v>Yes</v>
      </c>
      <c r="M171" s="16" t="str">
        <f>VLOOKUP($A171,'SurveyRpt_20150223 (1)'!$A$34:$AN$735,18,FALSE)</f>
        <v>Yes</v>
      </c>
      <c r="N171" s="16" t="str">
        <f>VLOOKUP($A171,'SurveyRpt_20150223 (1)'!$A$34:$AN$735,20,FALSE)</f>
        <v>Yes</v>
      </c>
      <c r="O171" s="16" t="str">
        <f>VLOOKUP($A171,'SurveyRpt_20150223 (1)'!$A$34:$AN$735,22,FALSE)</f>
        <v>Yes</v>
      </c>
      <c r="P171" s="16" t="str">
        <f>VLOOKUP($A171,'SurveyRpt_20150223 (1)'!$A$34:$AN$735,24,FALSE)</f>
        <v>Yes</v>
      </c>
      <c r="Q171" s="16" t="str">
        <f>VLOOKUP($A171,'SurveyRpt_20150223 (1)'!$A$34:$AN$735,26,FALSE)</f>
        <v>Yes</v>
      </c>
      <c r="R171" s="16" t="str">
        <f>VLOOKUP($A171,'SurveyRpt_20150223 (1)'!$A$34:$AN$735,28,FALSE)</f>
        <v>Yes</v>
      </c>
      <c r="S171" s="16" t="str">
        <f>VLOOKUP($A171,'SurveyRpt_20150223 (1)'!$A$34:$AN$735,30,FALSE)</f>
        <v>Yes</v>
      </c>
      <c r="T171" s="16" t="str">
        <f>VLOOKUP($A171,'SurveyRpt_20150223 (1)'!$A$34:$AN$735,32,FALSE)</f>
        <v>Yes</v>
      </c>
      <c r="U171" s="16" t="str">
        <f>VLOOKUP($A171,'SurveyRpt_20150223 (1)'!$A$34:$AN$735,34,FALSE)</f>
        <v>Yes</v>
      </c>
      <c r="V171" s="16" t="str">
        <f>VLOOKUP($A171,'SurveyRpt_20150223 (1)'!$A$34:$AN$735,36,FALSE)</f>
        <v>Yes</v>
      </c>
      <c r="W171" s="16" t="str">
        <f>VLOOKUP($A171,'SurveyRpt_20150223 (1)'!$A$34:$AN$735,38,FALSE)</f>
        <v>Yes</v>
      </c>
    </row>
    <row r="172" spans="1:23" ht="13.5" customHeight="1" x14ac:dyDescent="0.25">
      <c r="A172" s="19" t="s">
        <v>265</v>
      </c>
      <c r="B172" s="19" t="str">
        <f t="shared" si="2"/>
        <v>GBELLANI</v>
      </c>
      <c r="C172" s="16" t="str">
        <f>VLOOKUP(B172,'Compiled Agents'!A:H,2,FALSE)</f>
        <v>Workplace</v>
      </c>
      <c r="D172" s="16" t="str">
        <f>VLOOKUP(B172,'Compiled Agents'!A:H,4,FALSE)</f>
        <v>Noida</v>
      </c>
      <c r="E172" s="16" t="str">
        <f>VLOOKUP(B172,'Compiled Agents'!A:H,5,FALSE)</f>
        <v>Wave1</v>
      </c>
      <c r="F172" s="16" t="str">
        <f>VLOOKUP(B172,'Compiled Agents'!A:H,6,FALSE)</f>
        <v>Yellow</v>
      </c>
      <c r="G172" s="16">
        <f>VLOOKUP($A172,'SurveyRpt_20150223 (1)'!$A$34:$AN$735,6,FALSE)</f>
        <v>16</v>
      </c>
      <c r="H172" s="16" t="str">
        <f>VLOOKUP($A172,'SurveyRpt_20150223 (1)'!$A$34:$AN$735,8,FALSE)</f>
        <v>Yes</v>
      </c>
      <c r="I172" s="16" t="str">
        <f>VLOOKUP($A172,'SurveyRpt_20150223 (1)'!$A$34:$AN$735,10,FALSE)</f>
        <v>Yes</v>
      </c>
      <c r="J172" s="16" t="str">
        <f>VLOOKUP($A172,'SurveyRpt_20150223 (1)'!$A$34:$AN$735,12,FALSE)</f>
        <v>Yes</v>
      </c>
      <c r="K172" s="16" t="str">
        <f>VLOOKUP($A172,'SurveyRpt_20150223 (1)'!$A$34:$AN$735,14,FALSE)</f>
        <v>Yes</v>
      </c>
      <c r="L172" s="16" t="str">
        <f>VLOOKUP($A172,'SurveyRpt_20150223 (1)'!$A$34:$AN$735,16,FALSE)</f>
        <v>Yes</v>
      </c>
      <c r="M172" s="16" t="str">
        <f>VLOOKUP($A172,'SurveyRpt_20150223 (1)'!$A$34:$AN$735,18,FALSE)</f>
        <v>Yes</v>
      </c>
      <c r="N172" s="16" t="str">
        <f>VLOOKUP($A172,'SurveyRpt_20150223 (1)'!$A$34:$AN$735,20,FALSE)</f>
        <v>Yes</v>
      </c>
      <c r="O172" s="16" t="str">
        <f>VLOOKUP($A172,'SurveyRpt_20150223 (1)'!$A$34:$AN$735,22,FALSE)</f>
        <v>Yes</v>
      </c>
      <c r="P172" s="16" t="str">
        <f>VLOOKUP($A172,'SurveyRpt_20150223 (1)'!$A$34:$AN$735,24,FALSE)</f>
        <v>Yes</v>
      </c>
      <c r="Q172" s="16" t="str">
        <f>VLOOKUP($A172,'SurveyRpt_20150223 (1)'!$A$34:$AN$735,26,FALSE)</f>
        <v>Yes</v>
      </c>
      <c r="R172" s="16" t="str">
        <f>VLOOKUP($A172,'SurveyRpt_20150223 (1)'!$A$34:$AN$735,28,FALSE)</f>
        <v>Yes</v>
      </c>
      <c r="S172" s="16" t="str">
        <f>VLOOKUP($A172,'SurveyRpt_20150223 (1)'!$A$34:$AN$735,30,FALSE)</f>
        <v>Yes</v>
      </c>
      <c r="T172" s="16" t="str">
        <f>VLOOKUP($A172,'SurveyRpt_20150223 (1)'!$A$34:$AN$735,32,FALSE)</f>
        <v>Yes</v>
      </c>
      <c r="U172" s="16" t="str">
        <f>VLOOKUP($A172,'SurveyRpt_20150223 (1)'!$A$34:$AN$735,34,FALSE)</f>
        <v>Yes</v>
      </c>
      <c r="V172" s="16" t="str">
        <f>VLOOKUP($A172,'SurveyRpt_20150223 (1)'!$A$34:$AN$735,36,FALSE)</f>
        <v>Yes</v>
      </c>
      <c r="W172" s="16" t="str">
        <f>VLOOKUP($A172,'SurveyRpt_20150223 (1)'!$A$34:$AN$735,38,FALSE)</f>
        <v>Yes</v>
      </c>
    </row>
    <row r="173" spans="1:23" ht="13.5" customHeight="1" x14ac:dyDescent="0.25">
      <c r="A173" s="19" t="s">
        <v>266</v>
      </c>
      <c r="B173" s="19" t="str">
        <f t="shared" si="2"/>
        <v>SOZA3</v>
      </c>
      <c r="C173" s="16" t="str">
        <f>VLOOKUP(B173,'Compiled Agents'!A:H,2,FALSE)</f>
        <v>Workplace</v>
      </c>
      <c r="D173" s="16" t="str">
        <f>VLOOKUP(B173,'Compiled Agents'!A:H,4,FALSE)</f>
        <v>Noida</v>
      </c>
      <c r="E173" s="16" t="str">
        <f>VLOOKUP(B173,'Compiled Agents'!A:H,5,FALSE)</f>
        <v>Wave2</v>
      </c>
      <c r="F173" s="16" t="str">
        <f>VLOOKUP(B173,'Compiled Agents'!A:H,6,FALSE)</f>
        <v>Yellow</v>
      </c>
      <c r="G173" s="16">
        <f>VLOOKUP($A173,'SurveyRpt_20150223 (1)'!$A$34:$AN$735,6,FALSE)</f>
        <v>10</v>
      </c>
      <c r="H173" s="16" t="str">
        <f>VLOOKUP($A173,'SurveyRpt_20150223 (1)'!$A$34:$AN$735,8,FALSE)</f>
        <v>Yes</v>
      </c>
      <c r="I173" s="16" t="str">
        <f>VLOOKUP($A173,'SurveyRpt_20150223 (1)'!$A$34:$AN$735,10,FALSE)</f>
        <v>No</v>
      </c>
      <c r="J173" s="16" t="str">
        <f>VLOOKUP($A173,'SurveyRpt_20150223 (1)'!$A$34:$AN$735,12,FALSE)</f>
        <v>No</v>
      </c>
      <c r="K173" s="16" t="str">
        <f>VLOOKUP($A173,'SurveyRpt_20150223 (1)'!$A$34:$AN$735,14,FALSE)</f>
        <v>No</v>
      </c>
      <c r="L173" s="16" t="str">
        <f>VLOOKUP($A173,'SurveyRpt_20150223 (1)'!$A$34:$AN$735,16,FALSE)</f>
        <v>No</v>
      </c>
      <c r="M173" s="16" t="str">
        <f>VLOOKUP($A173,'SurveyRpt_20150223 (1)'!$A$34:$AN$735,18,FALSE)</f>
        <v>Yes</v>
      </c>
      <c r="N173" s="16" t="str">
        <f>VLOOKUP($A173,'SurveyRpt_20150223 (1)'!$A$34:$AN$735,20,FALSE)</f>
        <v>Yes</v>
      </c>
      <c r="O173" s="16" t="str">
        <f>VLOOKUP($A173,'SurveyRpt_20150223 (1)'!$A$34:$AN$735,22,FALSE)</f>
        <v>No</v>
      </c>
      <c r="P173" s="16" t="str">
        <f>VLOOKUP($A173,'SurveyRpt_20150223 (1)'!$A$34:$AN$735,24,FALSE)</f>
        <v>Yes</v>
      </c>
      <c r="Q173" s="16" t="str">
        <f>VLOOKUP($A173,'SurveyRpt_20150223 (1)'!$A$34:$AN$735,26,FALSE)</f>
        <v>No</v>
      </c>
      <c r="R173" s="16" t="str">
        <f>VLOOKUP($A173,'SurveyRpt_20150223 (1)'!$A$34:$AN$735,28,FALSE)</f>
        <v>Yes</v>
      </c>
      <c r="S173" s="16" t="str">
        <f>VLOOKUP($A173,'SurveyRpt_20150223 (1)'!$A$34:$AN$735,30,FALSE)</f>
        <v>Yes</v>
      </c>
      <c r="T173" s="16" t="str">
        <f>VLOOKUP($A173,'SurveyRpt_20150223 (1)'!$A$34:$AN$735,32,FALSE)</f>
        <v>Yes</v>
      </c>
      <c r="U173" s="16" t="str">
        <f>VLOOKUP($A173,'SurveyRpt_20150223 (1)'!$A$34:$AN$735,34,FALSE)</f>
        <v>Yes</v>
      </c>
      <c r="V173" s="16" t="str">
        <f>VLOOKUP($A173,'SurveyRpt_20150223 (1)'!$A$34:$AN$735,36,FALSE)</f>
        <v>Yes</v>
      </c>
      <c r="W173" s="16" t="str">
        <f>VLOOKUP($A173,'SurveyRpt_20150223 (1)'!$A$34:$AN$735,38,FALSE)</f>
        <v>Yes</v>
      </c>
    </row>
    <row r="174" spans="1:23" ht="13.5" customHeight="1" x14ac:dyDescent="0.25">
      <c r="A174" s="19" t="s">
        <v>267</v>
      </c>
      <c r="B174" s="19" t="str">
        <f t="shared" si="2"/>
        <v>jlynch28</v>
      </c>
      <c r="C174" s="16" t="str">
        <f>VLOOKUP(B174,'Compiled Agents'!A:H,2,FALSE)</f>
        <v>Platform</v>
      </c>
      <c r="D174" s="16" t="str">
        <f>VLOOKUP(B174,'Compiled Agents'!A:H,4,FALSE)</f>
        <v>MBC US</v>
      </c>
      <c r="E174" s="16" t="str">
        <f>VLOOKUP(B174,'Compiled Agents'!A:H,5,FALSE)</f>
        <v>Wave2</v>
      </c>
      <c r="F174" s="16" t="str">
        <f>VLOOKUP(B174,'Compiled Agents'!A:H,6,FALSE)</f>
        <v>Orange</v>
      </c>
      <c r="G174" s="16">
        <f>VLOOKUP($A174,'SurveyRpt_20150223 (1)'!$A$34:$AN$735,6,FALSE)</f>
        <v>16</v>
      </c>
      <c r="H174" s="16" t="str">
        <f>VLOOKUP($A174,'SurveyRpt_20150223 (1)'!$A$34:$AN$735,8,FALSE)</f>
        <v>Yes</v>
      </c>
      <c r="I174" s="16" t="str">
        <f>VLOOKUP($A174,'SurveyRpt_20150223 (1)'!$A$34:$AN$735,10,FALSE)</f>
        <v>Yes</v>
      </c>
      <c r="J174" s="16" t="str">
        <f>VLOOKUP($A174,'SurveyRpt_20150223 (1)'!$A$34:$AN$735,12,FALSE)</f>
        <v>Yes</v>
      </c>
      <c r="K174" s="16" t="str">
        <f>VLOOKUP($A174,'SurveyRpt_20150223 (1)'!$A$34:$AN$735,14,FALSE)</f>
        <v>Yes</v>
      </c>
      <c r="L174" s="16" t="str">
        <f>VLOOKUP($A174,'SurveyRpt_20150223 (1)'!$A$34:$AN$735,16,FALSE)</f>
        <v>Yes</v>
      </c>
      <c r="M174" s="16" t="str">
        <f>VLOOKUP($A174,'SurveyRpt_20150223 (1)'!$A$34:$AN$735,18,FALSE)</f>
        <v>Yes</v>
      </c>
      <c r="N174" s="16" t="str">
        <f>VLOOKUP($A174,'SurveyRpt_20150223 (1)'!$A$34:$AN$735,20,FALSE)</f>
        <v>Yes</v>
      </c>
      <c r="O174" s="16" t="str">
        <f>VLOOKUP($A174,'SurveyRpt_20150223 (1)'!$A$34:$AN$735,22,FALSE)</f>
        <v>Yes</v>
      </c>
      <c r="P174" s="16" t="str">
        <f>VLOOKUP($A174,'SurveyRpt_20150223 (1)'!$A$34:$AN$735,24,FALSE)</f>
        <v>Yes</v>
      </c>
      <c r="Q174" s="16" t="str">
        <f>VLOOKUP($A174,'SurveyRpt_20150223 (1)'!$A$34:$AN$735,26,FALSE)</f>
        <v>Yes</v>
      </c>
      <c r="R174" s="16" t="str">
        <f>VLOOKUP($A174,'SurveyRpt_20150223 (1)'!$A$34:$AN$735,28,FALSE)</f>
        <v>Yes</v>
      </c>
      <c r="S174" s="16" t="str">
        <f>VLOOKUP($A174,'SurveyRpt_20150223 (1)'!$A$34:$AN$735,30,FALSE)</f>
        <v>Yes</v>
      </c>
      <c r="T174" s="16" t="str">
        <f>VLOOKUP($A174,'SurveyRpt_20150223 (1)'!$A$34:$AN$735,32,FALSE)</f>
        <v>Yes</v>
      </c>
      <c r="U174" s="16" t="str">
        <f>VLOOKUP($A174,'SurveyRpt_20150223 (1)'!$A$34:$AN$735,34,FALSE)</f>
        <v>Yes</v>
      </c>
      <c r="V174" s="16" t="str">
        <f>VLOOKUP($A174,'SurveyRpt_20150223 (1)'!$A$34:$AN$735,36,FALSE)</f>
        <v>Yes</v>
      </c>
      <c r="W174" s="16" t="str">
        <f>VLOOKUP($A174,'SurveyRpt_20150223 (1)'!$A$34:$AN$735,38,FALSE)</f>
        <v>Yes</v>
      </c>
    </row>
    <row r="175" spans="1:23" ht="13.5" customHeight="1" x14ac:dyDescent="0.25">
      <c r="A175" s="19" t="s">
        <v>268</v>
      </c>
      <c r="B175" s="19" t="str">
        <f t="shared" si="2"/>
        <v>SSHIVKUMARSH</v>
      </c>
      <c r="C175" s="16" t="str">
        <f>VLOOKUP(B175,'Compiled Agents'!A:H,2,FALSE)</f>
        <v>Workplace</v>
      </c>
      <c r="D175" s="16" t="str">
        <f>VLOOKUP(B175,'Compiled Agents'!A:H,4,FALSE)</f>
        <v>Noida</v>
      </c>
      <c r="E175" s="16" t="str">
        <f>VLOOKUP(B175,'Compiled Agents'!A:H,5,FALSE)</f>
        <v>Wave2</v>
      </c>
      <c r="F175" s="16" t="str">
        <f>VLOOKUP(B175,'Compiled Agents'!A:H,6,FALSE)</f>
        <v>Yellow</v>
      </c>
      <c r="G175" s="16">
        <f>VLOOKUP($A175,'SurveyRpt_20150223 (1)'!$A$34:$AN$735,6,FALSE)</f>
        <v>9</v>
      </c>
      <c r="H175" s="16" t="str">
        <f>VLOOKUP($A175,'SurveyRpt_20150223 (1)'!$A$34:$AN$735,8,FALSE)</f>
        <v>No</v>
      </c>
      <c r="I175" s="16" t="str">
        <f>VLOOKUP($A175,'SurveyRpt_20150223 (1)'!$A$34:$AN$735,10,FALSE)</f>
        <v>No</v>
      </c>
      <c r="J175" s="16" t="str">
        <f>VLOOKUP($A175,'SurveyRpt_20150223 (1)'!$A$34:$AN$735,12,FALSE)</f>
        <v>Yes</v>
      </c>
      <c r="K175" s="16" t="str">
        <f>VLOOKUP($A175,'SurveyRpt_20150223 (1)'!$A$34:$AN$735,14,FALSE)</f>
        <v>No</v>
      </c>
      <c r="L175" s="16" t="str">
        <f>VLOOKUP($A175,'SurveyRpt_20150223 (1)'!$A$34:$AN$735,16,FALSE)</f>
        <v>Yes</v>
      </c>
      <c r="M175" s="16" t="str">
        <f>VLOOKUP($A175,'SurveyRpt_20150223 (1)'!$A$34:$AN$735,18,FALSE)</f>
        <v>Yes</v>
      </c>
      <c r="N175" s="16" t="str">
        <f>VLOOKUP($A175,'SurveyRpt_20150223 (1)'!$A$34:$AN$735,20,FALSE)</f>
        <v>No</v>
      </c>
      <c r="O175" s="16" t="str">
        <f>VLOOKUP($A175,'SurveyRpt_20150223 (1)'!$A$34:$AN$735,22,FALSE)</f>
        <v>Yes</v>
      </c>
      <c r="P175" s="16" t="str">
        <f>VLOOKUP($A175,'SurveyRpt_20150223 (1)'!$A$34:$AN$735,24,FALSE)</f>
        <v>No</v>
      </c>
      <c r="Q175" s="16" t="str">
        <f>VLOOKUP($A175,'SurveyRpt_20150223 (1)'!$A$34:$AN$735,26,FALSE)</f>
        <v>Yes</v>
      </c>
      <c r="R175" s="16" t="str">
        <f>VLOOKUP($A175,'SurveyRpt_20150223 (1)'!$A$34:$AN$735,28,FALSE)</f>
        <v>Yes</v>
      </c>
      <c r="S175" s="16" t="str">
        <f>VLOOKUP($A175,'SurveyRpt_20150223 (1)'!$A$34:$AN$735,30,FALSE)</f>
        <v>Yes</v>
      </c>
      <c r="T175" s="16" t="str">
        <f>VLOOKUP($A175,'SurveyRpt_20150223 (1)'!$A$34:$AN$735,32,FALSE)</f>
        <v>No</v>
      </c>
      <c r="U175" s="16" t="str">
        <f>VLOOKUP($A175,'SurveyRpt_20150223 (1)'!$A$34:$AN$735,34,FALSE)</f>
        <v>No</v>
      </c>
      <c r="V175" s="16" t="str">
        <f>VLOOKUP($A175,'SurveyRpt_20150223 (1)'!$A$34:$AN$735,36,FALSE)</f>
        <v>Yes</v>
      </c>
      <c r="W175" s="16" t="str">
        <f>VLOOKUP($A175,'SurveyRpt_20150223 (1)'!$A$34:$AN$735,38,FALSE)</f>
        <v>Yes</v>
      </c>
    </row>
    <row r="176" spans="1:23" ht="13.5" customHeight="1" x14ac:dyDescent="0.25">
      <c r="A176" s="19" t="s">
        <v>269</v>
      </c>
      <c r="B176" s="19" t="str">
        <f t="shared" si="2"/>
        <v>MASAD</v>
      </c>
      <c r="C176" s="16" t="str">
        <f>VLOOKUP(B176,'Compiled Agents'!A:H,2,FALSE)</f>
        <v>Workplace</v>
      </c>
      <c r="D176" s="16" t="str">
        <f>VLOOKUP(B176,'Compiled Agents'!A:H,4,FALSE)</f>
        <v>Noida</v>
      </c>
      <c r="E176" s="16" t="str">
        <f>VLOOKUP(B176,'Compiled Agents'!A:H,5,FALSE)</f>
        <v>Wave2</v>
      </c>
      <c r="F176" s="16" t="str">
        <f>VLOOKUP(B176,'Compiled Agents'!A:H,6,FALSE)</f>
        <v>Purple</v>
      </c>
      <c r="G176" s="16">
        <f>VLOOKUP($A176,'SurveyRpt_20150223 (1)'!$A$34:$AN$735,6,FALSE)</f>
        <v>16</v>
      </c>
      <c r="H176" s="16" t="str">
        <f>VLOOKUP($A176,'SurveyRpt_20150223 (1)'!$A$34:$AN$735,8,FALSE)</f>
        <v>Yes</v>
      </c>
      <c r="I176" s="16" t="str">
        <f>VLOOKUP($A176,'SurveyRpt_20150223 (1)'!$A$34:$AN$735,10,FALSE)</f>
        <v>Yes</v>
      </c>
      <c r="J176" s="16" t="str">
        <f>VLOOKUP($A176,'SurveyRpt_20150223 (1)'!$A$34:$AN$735,12,FALSE)</f>
        <v>Yes</v>
      </c>
      <c r="K176" s="16" t="str">
        <f>VLOOKUP($A176,'SurveyRpt_20150223 (1)'!$A$34:$AN$735,14,FALSE)</f>
        <v>Yes</v>
      </c>
      <c r="L176" s="16" t="str">
        <f>VLOOKUP($A176,'SurveyRpt_20150223 (1)'!$A$34:$AN$735,16,FALSE)</f>
        <v>Yes</v>
      </c>
      <c r="M176" s="16" t="str">
        <f>VLOOKUP($A176,'SurveyRpt_20150223 (1)'!$A$34:$AN$735,18,FALSE)</f>
        <v>Yes</v>
      </c>
      <c r="N176" s="16" t="str">
        <f>VLOOKUP($A176,'SurveyRpt_20150223 (1)'!$A$34:$AN$735,20,FALSE)</f>
        <v>Yes</v>
      </c>
      <c r="O176" s="16" t="str">
        <f>VLOOKUP($A176,'SurveyRpt_20150223 (1)'!$A$34:$AN$735,22,FALSE)</f>
        <v>Yes</v>
      </c>
      <c r="P176" s="16" t="str">
        <f>VLOOKUP($A176,'SurveyRpt_20150223 (1)'!$A$34:$AN$735,24,FALSE)</f>
        <v>Yes</v>
      </c>
      <c r="Q176" s="16" t="str">
        <f>VLOOKUP($A176,'SurveyRpt_20150223 (1)'!$A$34:$AN$735,26,FALSE)</f>
        <v>Yes</v>
      </c>
      <c r="R176" s="16" t="str">
        <f>VLOOKUP($A176,'SurveyRpt_20150223 (1)'!$A$34:$AN$735,28,FALSE)</f>
        <v>Yes</v>
      </c>
      <c r="S176" s="16" t="str">
        <f>VLOOKUP($A176,'SurveyRpt_20150223 (1)'!$A$34:$AN$735,30,FALSE)</f>
        <v>Yes</v>
      </c>
      <c r="T176" s="16" t="str">
        <f>VLOOKUP($A176,'SurveyRpt_20150223 (1)'!$A$34:$AN$735,32,FALSE)</f>
        <v>Yes</v>
      </c>
      <c r="U176" s="16" t="str">
        <f>VLOOKUP($A176,'SurveyRpt_20150223 (1)'!$A$34:$AN$735,34,FALSE)</f>
        <v>Yes</v>
      </c>
      <c r="V176" s="16" t="str">
        <f>VLOOKUP($A176,'SurveyRpt_20150223 (1)'!$A$34:$AN$735,36,FALSE)</f>
        <v>Yes</v>
      </c>
      <c r="W176" s="16" t="str">
        <f>VLOOKUP($A176,'SurveyRpt_20150223 (1)'!$A$34:$AN$735,38,FALSE)</f>
        <v>Yes</v>
      </c>
    </row>
    <row r="177" spans="1:23" ht="13.5" customHeight="1" x14ac:dyDescent="0.25">
      <c r="A177" s="19" t="s">
        <v>270</v>
      </c>
      <c r="B177" s="19" t="str">
        <f t="shared" si="2"/>
        <v>dvictori</v>
      </c>
      <c r="C177" s="16" t="str">
        <f>VLOOKUP(B177,'Compiled Agents'!A:H,2,FALSE)</f>
        <v>Platform</v>
      </c>
      <c r="D177" s="16" t="str">
        <f>VLOOKUP(B177,'Compiled Agents'!A:H,4,FALSE)</f>
        <v>MBC US</v>
      </c>
      <c r="E177" s="16" t="str">
        <f>VLOOKUP(B177,'Compiled Agents'!A:H,5,FALSE)</f>
        <v>Wave2</v>
      </c>
      <c r="F177" s="16" t="str">
        <f>VLOOKUP(B177,'Compiled Agents'!A:H,6,FALSE)</f>
        <v>Brown</v>
      </c>
      <c r="G177" s="16">
        <f>VLOOKUP($A177,'SurveyRpt_20150223 (1)'!$A$34:$AN$735,6,FALSE)</f>
        <v>2</v>
      </c>
      <c r="H177" s="16" t="str">
        <f>VLOOKUP($A177,'SurveyRpt_20150223 (1)'!$A$34:$AN$735,8,FALSE)</f>
        <v>No</v>
      </c>
      <c r="I177" s="16" t="str">
        <f>VLOOKUP($A177,'SurveyRpt_20150223 (1)'!$A$34:$AN$735,10,FALSE)</f>
        <v>No</v>
      </c>
      <c r="J177" s="16" t="str">
        <f>VLOOKUP($A177,'SurveyRpt_20150223 (1)'!$A$34:$AN$735,12,FALSE)</f>
        <v>No</v>
      </c>
      <c r="K177" s="16" t="str">
        <f>VLOOKUP($A177,'SurveyRpt_20150223 (1)'!$A$34:$AN$735,14,FALSE)</f>
        <v>No</v>
      </c>
      <c r="L177" s="16" t="str">
        <f>VLOOKUP($A177,'SurveyRpt_20150223 (1)'!$A$34:$AN$735,16,FALSE)</f>
        <v>No</v>
      </c>
      <c r="M177" s="16" t="str">
        <f>VLOOKUP($A177,'SurveyRpt_20150223 (1)'!$A$34:$AN$735,18,FALSE)</f>
        <v>Yes</v>
      </c>
      <c r="N177" s="16" t="str">
        <f>VLOOKUP($A177,'SurveyRpt_20150223 (1)'!$A$34:$AN$735,20,FALSE)</f>
        <v>No</v>
      </c>
      <c r="O177" s="16" t="str">
        <f>VLOOKUP($A177,'SurveyRpt_20150223 (1)'!$A$34:$AN$735,22,FALSE)</f>
        <v>No</v>
      </c>
      <c r="P177" s="16" t="str">
        <f>VLOOKUP($A177,'SurveyRpt_20150223 (1)'!$A$34:$AN$735,24,FALSE)</f>
        <v>No</v>
      </c>
      <c r="Q177" s="16" t="str">
        <f>VLOOKUP($A177,'SurveyRpt_20150223 (1)'!$A$34:$AN$735,26,FALSE)</f>
        <v>No</v>
      </c>
      <c r="R177" s="16" t="str">
        <f>VLOOKUP($A177,'SurveyRpt_20150223 (1)'!$A$34:$AN$735,28,FALSE)</f>
        <v>No</v>
      </c>
      <c r="S177" s="16" t="str">
        <f>VLOOKUP($A177,'SurveyRpt_20150223 (1)'!$A$34:$AN$735,30,FALSE)</f>
        <v>Yes</v>
      </c>
      <c r="T177" s="16" t="str">
        <f>VLOOKUP($A177,'SurveyRpt_20150223 (1)'!$A$34:$AN$735,32,FALSE)</f>
        <v>No</v>
      </c>
      <c r="U177" s="16" t="str">
        <f>VLOOKUP($A177,'SurveyRpt_20150223 (1)'!$A$34:$AN$735,34,FALSE)</f>
        <v>No</v>
      </c>
      <c r="V177" s="16" t="str">
        <f>VLOOKUP($A177,'SurveyRpt_20150223 (1)'!$A$34:$AN$735,36,FALSE)</f>
        <v>No</v>
      </c>
      <c r="W177" s="16" t="str">
        <f>VLOOKUP($A177,'SurveyRpt_20150223 (1)'!$A$34:$AN$735,38,FALSE)</f>
        <v>No</v>
      </c>
    </row>
    <row r="178" spans="1:23" ht="13.5" customHeight="1" x14ac:dyDescent="0.25">
      <c r="A178" s="19" t="s">
        <v>271</v>
      </c>
      <c r="B178" s="19" t="str">
        <f t="shared" si="2"/>
        <v>abaum</v>
      </c>
      <c r="C178" s="16" t="str">
        <f>VLOOKUP(B178,'Compiled Agents'!A:H,2,FALSE)</f>
        <v>Platform</v>
      </c>
      <c r="D178" s="16" t="str">
        <f>VLOOKUP(B178,'Compiled Agents'!A:H,4,FALSE)</f>
        <v>MBC US</v>
      </c>
      <c r="E178" s="16" t="str">
        <f>VLOOKUP(B178,'Compiled Agents'!A:H,5,FALSE)</f>
        <v>Wave2</v>
      </c>
      <c r="F178" s="16" t="str">
        <f>VLOOKUP(B178,'Compiled Agents'!A:H,6,FALSE)</f>
        <v>Orange</v>
      </c>
      <c r="G178" s="16">
        <f>VLOOKUP($A178,'SurveyRpt_20150223 (1)'!$A$34:$AN$735,6,FALSE)</f>
        <v>9</v>
      </c>
      <c r="H178" s="16" t="str">
        <f>VLOOKUP($A178,'SurveyRpt_20150223 (1)'!$A$34:$AN$735,8,FALSE)</f>
        <v>No</v>
      </c>
      <c r="I178" s="16" t="str">
        <f>VLOOKUP($A178,'SurveyRpt_20150223 (1)'!$A$34:$AN$735,10,FALSE)</f>
        <v>No</v>
      </c>
      <c r="J178" s="16" t="str">
        <f>VLOOKUP($A178,'SurveyRpt_20150223 (1)'!$A$34:$AN$735,12,FALSE)</f>
        <v>No</v>
      </c>
      <c r="K178" s="16" t="str">
        <f>VLOOKUP($A178,'SurveyRpt_20150223 (1)'!$A$34:$AN$735,14,FALSE)</f>
        <v>Yes</v>
      </c>
      <c r="L178" s="16" t="str">
        <f>VLOOKUP($A178,'SurveyRpt_20150223 (1)'!$A$34:$AN$735,16,FALSE)</f>
        <v>Yes</v>
      </c>
      <c r="M178" s="16" t="str">
        <f>VLOOKUP($A178,'SurveyRpt_20150223 (1)'!$A$34:$AN$735,18,FALSE)</f>
        <v>Yes</v>
      </c>
      <c r="N178" s="16" t="str">
        <f>VLOOKUP($A178,'SurveyRpt_20150223 (1)'!$A$34:$AN$735,20,FALSE)</f>
        <v>No</v>
      </c>
      <c r="O178" s="16" t="str">
        <f>VLOOKUP($A178,'SurveyRpt_20150223 (1)'!$A$34:$AN$735,22,FALSE)</f>
        <v>Yes</v>
      </c>
      <c r="P178" s="16" t="str">
        <f>VLOOKUP($A178,'SurveyRpt_20150223 (1)'!$A$34:$AN$735,24,FALSE)</f>
        <v>Yes</v>
      </c>
      <c r="Q178" s="16" t="str">
        <f>VLOOKUP($A178,'SurveyRpt_20150223 (1)'!$A$34:$AN$735,26,FALSE)</f>
        <v>No</v>
      </c>
      <c r="R178" s="16" t="str">
        <f>VLOOKUP($A178,'SurveyRpt_20150223 (1)'!$A$34:$AN$735,28,FALSE)</f>
        <v>No</v>
      </c>
      <c r="S178" s="16" t="str">
        <f>VLOOKUP($A178,'SurveyRpt_20150223 (1)'!$A$34:$AN$735,30,FALSE)</f>
        <v>Yes</v>
      </c>
      <c r="T178" s="16" t="str">
        <f>VLOOKUP($A178,'SurveyRpt_20150223 (1)'!$A$34:$AN$735,32,FALSE)</f>
        <v>No</v>
      </c>
      <c r="U178" s="16" t="str">
        <f>VLOOKUP($A178,'SurveyRpt_20150223 (1)'!$A$34:$AN$735,34,FALSE)</f>
        <v>Yes</v>
      </c>
      <c r="V178" s="16" t="str">
        <f>VLOOKUP($A178,'SurveyRpt_20150223 (1)'!$A$34:$AN$735,36,FALSE)</f>
        <v>Yes</v>
      </c>
      <c r="W178" s="16" t="str">
        <f>VLOOKUP($A178,'SurveyRpt_20150223 (1)'!$A$34:$AN$735,38,FALSE)</f>
        <v>Yes</v>
      </c>
    </row>
    <row r="179" spans="1:23" ht="13.5" customHeight="1" x14ac:dyDescent="0.25">
      <c r="A179" s="19" t="s">
        <v>272</v>
      </c>
      <c r="B179" s="19" t="str">
        <f t="shared" si="2"/>
        <v>gjulian</v>
      </c>
      <c r="C179" s="16" t="str">
        <f>VLOOKUP(B179,'Compiled Agents'!A:H,2,FALSE)</f>
        <v>Platform</v>
      </c>
      <c r="D179" s="16" t="str">
        <f>VLOOKUP(B179,'Compiled Agents'!A:H,4,FALSE)</f>
        <v>MBC US</v>
      </c>
      <c r="E179" s="16" t="str">
        <f>VLOOKUP(B179,'Compiled Agents'!A:H,5,FALSE)</f>
        <v>Wave2</v>
      </c>
      <c r="F179" s="16" t="str">
        <f>VLOOKUP(B179,'Compiled Agents'!A:H,6,FALSE)</f>
        <v>Brown</v>
      </c>
      <c r="G179" s="16">
        <f>VLOOKUP($A179,'SurveyRpt_20150223 (1)'!$A$34:$AN$735,6,FALSE)</f>
        <v>4</v>
      </c>
      <c r="H179" s="16" t="str">
        <f>VLOOKUP($A179,'SurveyRpt_20150223 (1)'!$A$34:$AN$735,8,FALSE)</f>
        <v>No</v>
      </c>
      <c r="I179" s="16" t="str">
        <f>VLOOKUP($A179,'SurveyRpt_20150223 (1)'!$A$34:$AN$735,10,FALSE)</f>
        <v>No</v>
      </c>
      <c r="J179" s="16" t="str">
        <f>VLOOKUP($A179,'SurveyRpt_20150223 (1)'!$A$34:$AN$735,12,FALSE)</f>
        <v>No</v>
      </c>
      <c r="K179" s="16" t="str">
        <f>VLOOKUP($A179,'SurveyRpt_20150223 (1)'!$A$34:$AN$735,14,FALSE)</f>
        <v>No</v>
      </c>
      <c r="L179" s="16" t="str">
        <f>VLOOKUP($A179,'SurveyRpt_20150223 (1)'!$A$34:$AN$735,16,FALSE)</f>
        <v>Yes</v>
      </c>
      <c r="M179" s="16" t="str">
        <f>VLOOKUP($A179,'SurveyRpt_20150223 (1)'!$A$34:$AN$735,18,FALSE)</f>
        <v>No</v>
      </c>
      <c r="N179" s="16" t="str">
        <f>VLOOKUP($A179,'SurveyRpt_20150223 (1)'!$A$34:$AN$735,20,FALSE)</f>
        <v>Yes</v>
      </c>
      <c r="O179" s="16" t="str">
        <f>VLOOKUP($A179,'SurveyRpt_20150223 (1)'!$A$34:$AN$735,22,FALSE)</f>
        <v>Yes</v>
      </c>
      <c r="P179" s="16" t="str">
        <f>VLOOKUP($A179,'SurveyRpt_20150223 (1)'!$A$34:$AN$735,24,FALSE)</f>
        <v>No</v>
      </c>
      <c r="Q179" s="16" t="str">
        <f>VLOOKUP($A179,'SurveyRpt_20150223 (1)'!$A$34:$AN$735,26,FALSE)</f>
        <v>No</v>
      </c>
      <c r="R179" s="16" t="str">
        <f>VLOOKUP($A179,'SurveyRpt_20150223 (1)'!$A$34:$AN$735,28,FALSE)</f>
        <v>No</v>
      </c>
      <c r="S179" s="16" t="str">
        <f>VLOOKUP($A179,'SurveyRpt_20150223 (1)'!$A$34:$AN$735,30,FALSE)</f>
        <v>No</v>
      </c>
      <c r="T179" s="16" t="str">
        <f>VLOOKUP($A179,'SurveyRpt_20150223 (1)'!$A$34:$AN$735,32,FALSE)</f>
        <v>No</v>
      </c>
      <c r="U179" s="16" t="str">
        <f>VLOOKUP($A179,'SurveyRpt_20150223 (1)'!$A$34:$AN$735,34,FALSE)</f>
        <v>No</v>
      </c>
      <c r="V179" s="16" t="str">
        <f>VLOOKUP($A179,'SurveyRpt_20150223 (1)'!$A$34:$AN$735,36,FALSE)</f>
        <v>Yes</v>
      </c>
      <c r="W179" s="16" t="str">
        <f>VLOOKUP($A179,'SurveyRpt_20150223 (1)'!$A$34:$AN$735,38,FALSE)</f>
        <v>No</v>
      </c>
    </row>
    <row r="180" spans="1:23" ht="13.5" customHeight="1" x14ac:dyDescent="0.25">
      <c r="A180" s="19" t="s">
        <v>273</v>
      </c>
      <c r="B180" s="19" t="str">
        <f t="shared" si="2"/>
        <v>SMUKHERJEE8</v>
      </c>
      <c r="C180" s="16" t="str">
        <f>VLOOKUP(B180,'Compiled Agents'!A:H,2,FALSE)</f>
        <v>Workplace</v>
      </c>
      <c r="D180" s="16" t="str">
        <f>VLOOKUP(B180,'Compiled Agents'!A:H,4,FALSE)</f>
        <v>Noida</v>
      </c>
      <c r="E180" s="16" t="str">
        <f>VLOOKUP(B180,'Compiled Agents'!A:H,5,FALSE)</f>
        <v>Wave2</v>
      </c>
      <c r="F180" s="16" t="str">
        <f>VLOOKUP(B180,'Compiled Agents'!A:H,6,FALSE)</f>
        <v>Yellow</v>
      </c>
      <c r="G180" s="16">
        <f>VLOOKUP($A180,'SurveyRpt_20150223 (1)'!$A$34:$AN$735,6,FALSE)</f>
        <v>16</v>
      </c>
      <c r="H180" s="16" t="str">
        <f>VLOOKUP($A180,'SurveyRpt_20150223 (1)'!$A$34:$AN$735,8,FALSE)</f>
        <v>Yes</v>
      </c>
      <c r="I180" s="16" t="str">
        <f>VLOOKUP($A180,'SurveyRpt_20150223 (1)'!$A$34:$AN$735,10,FALSE)</f>
        <v>Yes</v>
      </c>
      <c r="J180" s="16" t="str">
        <f>VLOOKUP($A180,'SurveyRpt_20150223 (1)'!$A$34:$AN$735,12,FALSE)</f>
        <v>Yes</v>
      </c>
      <c r="K180" s="16" t="str">
        <f>VLOOKUP($A180,'SurveyRpt_20150223 (1)'!$A$34:$AN$735,14,FALSE)</f>
        <v>Yes</v>
      </c>
      <c r="L180" s="16" t="str">
        <f>VLOOKUP($A180,'SurveyRpt_20150223 (1)'!$A$34:$AN$735,16,FALSE)</f>
        <v>Yes</v>
      </c>
      <c r="M180" s="16" t="str">
        <f>VLOOKUP($A180,'SurveyRpt_20150223 (1)'!$A$34:$AN$735,18,FALSE)</f>
        <v>Yes</v>
      </c>
      <c r="N180" s="16" t="str">
        <f>VLOOKUP($A180,'SurveyRpt_20150223 (1)'!$A$34:$AN$735,20,FALSE)</f>
        <v>Yes</v>
      </c>
      <c r="O180" s="16" t="str">
        <f>VLOOKUP($A180,'SurveyRpt_20150223 (1)'!$A$34:$AN$735,22,FALSE)</f>
        <v>Yes</v>
      </c>
      <c r="P180" s="16" t="str">
        <f>VLOOKUP($A180,'SurveyRpt_20150223 (1)'!$A$34:$AN$735,24,FALSE)</f>
        <v>Yes</v>
      </c>
      <c r="Q180" s="16" t="str">
        <f>VLOOKUP($A180,'SurveyRpt_20150223 (1)'!$A$34:$AN$735,26,FALSE)</f>
        <v>Yes</v>
      </c>
      <c r="R180" s="16" t="str">
        <f>VLOOKUP($A180,'SurveyRpt_20150223 (1)'!$A$34:$AN$735,28,FALSE)</f>
        <v>Yes</v>
      </c>
      <c r="S180" s="16" t="str">
        <f>VLOOKUP($A180,'SurveyRpt_20150223 (1)'!$A$34:$AN$735,30,FALSE)</f>
        <v>Yes</v>
      </c>
      <c r="T180" s="16" t="str">
        <f>VLOOKUP($A180,'SurveyRpt_20150223 (1)'!$A$34:$AN$735,32,FALSE)</f>
        <v>Yes</v>
      </c>
      <c r="U180" s="16" t="str">
        <f>VLOOKUP($A180,'SurveyRpt_20150223 (1)'!$A$34:$AN$735,34,FALSE)</f>
        <v>Yes</v>
      </c>
      <c r="V180" s="16" t="str">
        <f>VLOOKUP($A180,'SurveyRpt_20150223 (1)'!$A$34:$AN$735,36,FALSE)</f>
        <v>Yes</v>
      </c>
      <c r="W180" s="16" t="str">
        <f>VLOOKUP($A180,'SurveyRpt_20150223 (1)'!$A$34:$AN$735,38,FALSE)</f>
        <v>Yes</v>
      </c>
    </row>
    <row r="181" spans="1:23" ht="13.5" customHeight="1" x14ac:dyDescent="0.25">
      <c r="A181" s="19" t="s">
        <v>274</v>
      </c>
      <c r="B181" s="19" t="str">
        <f t="shared" si="2"/>
        <v>STIKOO</v>
      </c>
      <c r="C181" s="16" t="str">
        <f>VLOOKUP(B181,'Compiled Agents'!A:H,2,FALSE)</f>
        <v>Workplace</v>
      </c>
      <c r="D181" s="16" t="str">
        <f>VLOOKUP(B181,'Compiled Agents'!A:H,4,FALSE)</f>
        <v>Noida</v>
      </c>
      <c r="E181" s="16" t="str">
        <f>VLOOKUP(B181,'Compiled Agents'!A:H,5,FALSE)</f>
        <v>Wave1</v>
      </c>
      <c r="F181" s="16" t="str">
        <f>VLOOKUP(B181,'Compiled Agents'!A:H,6,FALSE)</f>
        <v>Purple</v>
      </c>
      <c r="G181" s="16">
        <f>VLOOKUP($A181,'SurveyRpt_20150223 (1)'!$A$34:$AN$735,6,FALSE)</f>
        <v>9</v>
      </c>
      <c r="H181" s="16" t="str">
        <f>VLOOKUP($A181,'SurveyRpt_20150223 (1)'!$A$34:$AN$735,8,FALSE)</f>
        <v>Yes</v>
      </c>
      <c r="I181" s="16" t="str">
        <f>VLOOKUP($A181,'SurveyRpt_20150223 (1)'!$A$34:$AN$735,10,FALSE)</f>
        <v>Yes</v>
      </c>
      <c r="J181" s="16" t="str">
        <f>VLOOKUP($A181,'SurveyRpt_20150223 (1)'!$A$34:$AN$735,12,FALSE)</f>
        <v>No</v>
      </c>
      <c r="K181" s="16" t="str">
        <f>VLOOKUP($A181,'SurveyRpt_20150223 (1)'!$A$34:$AN$735,14,FALSE)</f>
        <v>Yes</v>
      </c>
      <c r="L181" s="16" t="str">
        <f>VLOOKUP($A181,'SurveyRpt_20150223 (1)'!$A$34:$AN$735,16,FALSE)</f>
        <v>No</v>
      </c>
      <c r="M181" s="16" t="str">
        <f>VLOOKUP($A181,'SurveyRpt_20150223 (1)'!$A$34:$AN$735,18,FALSE)</f>
        <v>Yes</v>
      </c>
      <c r="N181" s="16" t="str">
        <f>VLOOKUP($A181,'SurveyRpt_20150223 (1)'!$A$34:$AN$735,20,FALSE)</f>
        <v>No</v>
      </c>
      <c r="O181" s="16" t="str">
        <f>VLOOKUP($A181,'SurveyRpt_20150223 (1)'!$A$34:$AN$735,22,FALSE)</f>
        <v>Yes</v>
      </c>
      <c r="P181" s="16" t="str">
        <f>VLOOKUP($A181,'SurveyRpt_20150223 (1)'!$A$34:$AN$735,24,FALSE)</f>
        <v>Yes</v>
      </c>
      <c r="Q181" s="16" t="str">
        <f>VLOOKUP($A181,'SurveyRpt_20150223 (1)'!$A$34:$AN$735,26,FALSE)</f>
        <v>Yes</v>
      </c>
      <c r="R181" s="16" t="str">
        <f>VLOOKUP($A181,'SurveyRpt_20150223 (1)'!$A$34:$AN$735,28,FALSE)</f>
        <v>Yes</v>
      </c>
      <c r="S181" s="16" t="str">
        <f>VLOOKUP($A181,'SurveyRpt_20150223 (1)'!$A$34:$AN$735,30,FALSE)</f>
        <v>Yes</v>
      </c>
      <c r="T181" s="16" t="str">
        <f>VLOOKUP($A181,'SurveyRpt_20150223 (1)'!$A$34:$AN$735,32,FALSE)</f>
        <v>No</v>
      </c>
      <c r="U181" s="16" t="str">
        <f>VLOOKUP($A181,'SurveyRpt_20150223 (1)'!$A$34:$AN$735,34,FALSE)</f>
        <v>No</v>
      </c>
      <c r="V181" s="16" t="str">
        <f>VLOOKUP($A181,'SurveyRpt_20150223 (1)'!$A$34:$AN$735,36,FALSE)</f>
        <v>No</v>
      </c>
      <c r="W181" s="16" t="str">
        <f>VLOOKUP($A181,'SurveyRpt_20150223 (1)'!$A$34:$AN$735,38,FALSE)</f>
        <v>No</v>
      </c>
    </row>
    <row r="182" spans="1:23" ht="13.5" customHeight="1" x14ac:dyDescent="0.25">
      <c r="A182" s="19" t="s">
        <v>275</v>
      </c>
      <c r="B182" s="19" t="str">
        <f t="shared" si="2"/>
        <v>zdudas</v>
      </c>
      <c r="C182" s="16" t="str">
        <f>VLOOKUP(B182,'Compiled Agents'!A:H,2,FALSE)</f>
        <v>Platform</v>
      </c>
      <c r="D182" s="16" t="str">
        <f>VLOOKUP(B182,'Compiled Agents'!A:H,4,FALSE)</f>
        <v>Spain</v>
      </c>
      <c r="E182" s="16" t="str">
        <f>VLOOKUP(B182,'Compiled Agents'!A:H,5,FALSE)</f>
        <v>Wave1</v>
      </c>
      <c r="F182" s="16" t="str">
        <f>VLOOKUP(B182,'Compiled Agents'!A:H,6,FALSE)</f>
        <v>Blue</v>
      </c>
      <c r="G182" s="16">
        <f>VLOOKUP($A182,'SurveyRpt_20150223 (1)'!$A$34:$AN$735,6,FALSE)</f>
        <v>0</v>
      </c>
      <c r="H182" s="16" t="str">
        <f>VLOOKUP($A182,'SurveyRpt_20150223 (1)'!$A$34:$AN$735,8,FALSE)</f>
        <v>No</v>
      </c>
      <c r="I182" s="16" t="str">
        <f>VLOOKUP($A182,'SurveyRpt_20150223 (1)'!$A$34:$AN$735,10,FALSE)</f>
        <v>No</v>
      </c>
      <c r="J182" s="16" t="str">
        <f>VLOOKUP($A182,'SurveyRpt_20150223 (1)'!$A$34:$AN$735,12,FALSE)</f>
        <v>No</v>
      </c>
      <c r="K182" s="16" t="str">
        <f>VLOOKUP($A182,'SurveyRpt_20150223 (1)'!$A$34:$AN$735,14,FALSE)</f>
        <v>No</v>
      </c>
      <c r="L182" s="16" t="str">
        <f>VLOOKUP($A182,'SurveyRpt_20150223 (1)'!$A$34:$AN$735,16,FALSE)</f>
        <v>No</v>
      </c>
      <c r="M182" s="16" t="str">
        <f>VLOOKUP($A182,'SurveyRpt_20150223 (1)'!$A$34:$AN$735,18,FALSE)</f>
        <v>No</v>
      </c>
      <c r="N182" s="16" t="str">
        <f>VLOOKUP($A182,'SurveyRpt_20150223 (1)'!$A$34:$AN$735,20,FALSE)</f>
        <v>No</v>
      </c>
      <c r="O182" s="16" t="str">
        <f>VLOOKUP($A182,'SurveyRpt_20150223 (1)'!$A$34:$AN$735,22,FALSE)</f>
        <v>No</v>
      </c>
      <c r="P182" s="16" t="str">
        <f>VLOOKUP($A182,'SurveyRpt_20150223 (1)'!$A$34:$AN$735,24,FALSE)</f>
        <v>No</v>
      </c>
      <c r="Q182" s="16" t="str">
        <f>VLOOKUP($A182,'SurveyRpt_20150223 (1)'!$A$34:$AN$735,26,FALSE)</f>
        <v>No</v>
      </c>
      <c r="R182" s="16" t="str">
        <f>VLOOKUP($A182,'SurveyRpt_20150223 (1)'!$A$34:$AN$735,28,FALSE)</f>
        <v>No</v>
      </c>
      <c r="S182" s="16" t="str">
        <f>VLOOKUP($A182,'SurveyRpt_20150223 (1)'!$A$34:$AN$735,30,FALSE)</f>
        <v>No</v>
      </c>
      <c r="T182" s="16" t="str">
        <f>VLOOKUP($A182,'SurveyRpt_20150223 (1)'!$A$34:$AN$735,32,FALSE)</f>
        <v>No</v>
      </c>
      <c r="U182" s="16" t="str">
        <f>VLOOKUP($A182,'SurveyRpt_20150223 (1)'!$A$34:$AN$735,34,FALSE)</f>
        <v>No</v>
      </c>
      <c r="V182" s="16" t="str">
        <f>VLOOKUP($A182,'SurveyRpt_20150223 (1)'!$A$34:$AN$735,36,FALSE)</f>
        <v>No</v>
      </c>
      <c r="W182" s="16" t="str">
        <f>VLOOKUP($A182,'SurveyRpt_20150223 (1)'!$A$34:$AN$735,38,FALSE)</f>
        <v>No</v>
      </c>
    </row>
    <row r="183" spans="1:23" ht="13.5" customHeight="1" x14ac:dyDescent="0.25">
      <c r="A183" s="19" t="s">
        <v>276</v>
      </c>
      <c r="B183" s="19" t="str">
        <f t="shared" si="2"/>
        <v>GTHAMIZHARAS</v>
      </c>
      <c r="C183" s="16" t="str">
        <f>VLOOKUP(B183,'Compiled Agents'!A:H,2,FALSE)</f>
        <v>Workplace</v>
      </c>
      <c r="D183" s="16" t="str">
        <f>VLOOKUP(B183,'Compiled Agents'!A:H,4,FALSE)</f>
        <v>Noida</v>
      </c>
      <c r="E183" s="16" t="str">
        <f>VLOOKUP(B183,'Compiled Agents'!A:H,5,FALSE)</f>
        <v>Wave1</v>
      </c>
      <c r="F183" s="16" t="str">
        <f>VLOOKUP(B183,'Compiled Agents'!A:H,6,FALSE)</f>
        <v>Yellow</v>
      </c>
      <c r="G183" s="16">
        <f>VLOOKUP($A183,'SurveyRpt_20150223 (1)'!$A$34:$AN$735,6,FALSE)</f>
        <v>16</v>
      </c>
      <c r="H183" s="16" t="str">
        <f>VLOOKUP($A183,'SurveyRpt_20150223 (1)'!$A$34:$AN$735,8,FALSE)</f>
        <v>Yes</v>
      </c>
      <c r="I183" s="16" t="str">
        <f>VLOOKUP($A183,'SurveyRpt_20150223 (1)'!$A$34:$AN$735,10,FALSE)</f>
        <v>Yes</v>
      </c>
      <c r="J183" s="16" t="str">
        <f>VLOOKUP($A183,'SurveyRpt_20150223 (1)'!$A$34:$AN$735,12,FALSE)</f>
        <v>Yes</v>
      </c>
      <c r="K183" s="16" t="str">
        <f>VLOOKUP($A183,'SurveyRpt_20150223 (1)'!$A$34:$AN$735,14,FALSE)</f>
        <v>Yes</v>
      </c>
      <c r="L183" s="16" t="str">
        <f>VLOOKUP($A183,'SurveyRpt_20150223 (1)'!$A$34:$AN$735,16,FALSE)</f>
        <v>Yes</v>
      </c>
      <c r="M183" s="16" t="str">
        <f>VLOOKUP($A183,'SurveyRpt_20150223 (1)'!$A$34:$AN$735,18,FALSE)</f>
        <v>Yes</v>
      </c>
      <c r="N183" s="16" t="str">
        <f>VLOOKUP($A183,'SurveyRpt_20150223 (1)'!$A$34:$AN$735,20,FALSE)</f>
        <v>Yes</v>
      </c>
      <c r="O183" s="16" t="str">
        <f>VLOOKUP($A183,'SurveyRpt_20150223 (1)'!$A$34:$AN$735,22,FALSE)</f>
        <v>Yes</v>
      </c>
      <c r="P183" s="16" t="str">
        <f>VLOOKUP($A183,'SurveyRpt_20150223 (1)'!$A$34:$AN$735,24,FALSE)</f>
        <v>Yes</v>
      </c>
      <c r="Q183" s="16" t="str">
        <f>VLOOKUP($A183,'SurveyRpt_20150223 (1)'!$A$34:$AN$735,26,FALSE)</f>
        <v>Yes</v>
      </c>
      <c r="R183" s="16" t="str">
        <f>VLOOKUP($A183,'SurveyRpt_20150223 (1)'!$A$34:$AN$735,28,FALSE)</f>
        <v>Yes</v>
      </c>
      <c r="S183" s="16" t="str">
        <f>VLOOKUP($A183,'SurveyRpt_20150223 (1)'!$A$34:$AN$735,30,FALSE)</f>
        <v>Yes</v>
      </c>
      <c r="T183" s="16" t="str">
        <f>VLOOKUP($A183,'SurveyRpt_20150223 (1)'!$A$34:$AN$735,32,FALSE)</f>
        <v>Yes</v>
      </c>
      <c r="U183" s="16" t="str">
        <f>VLOOKUP($A183,'SurveyRpt_20150223 (1)'!$A$34:$AN$735,34,FALSE)</f>
        <v>Yes</v>
      </c>
      <c r="V183" s="16" t="str">
        <f>VLOOKUP($A183,'SurveyRpt_20150223 (1)'!$A$34:$AN$735,36,FALSE)</f>
        <v>Yes</v>
      </c>
      <c r="W183" s="16" t="str">
        <f>VLOOKUP($A183,'SurveyRpt_20150223 (1)'!$A$34:$AN$735,38,FALSE)</f>
        <v>Yes</v>
      </c>
    </row>
    <row r="184" spans="1:23" ht="13.5" customHeight="1" x14ac:dyDescent="0.25">
      <c r="A184" s="19" t="s">
        <v>277</v>
      </c>
      <c r="B184" s="19" t="str">
        <f t="shared" si="2"/>
        <v>cconstantin2</v>
      </c>
      <c r="C184" s="16" t="str">
        <f>VLOOKUP(B184,'Compiled Agents'!A:H,2,FALSE)</f>
        <v>Workplace</v>
      </c>
      <c r="D184" s="16" t="str">
        <f>VLOOKUP(B184,'Compiled Agents'!A:H,4,FALSE)</f>
        <v>MBC US</v>
      </c>
      <c r="E184" s="16" t="str">
        <f>VLOOKUP(B184,'Compiled Agents'!A:H,5,FALSE)</f>
        <v>Wave2</v>
      </c>
      <c r="F184" s="16" t="str">
        <f>VLOOKUP(B184,'Compiled Agents'!A:H,6,FALSE)</f>
        <v>Blue</v>
      </c>
      <c r="G184" s="16">
        <f>VLOOKUP($A184,'SurveyRpt_20150223 (1)'!$A$34:$AN$735,6,FALSE)</f>
        <v>14</v>
      </c>
      <c r="H184" s="16" t="str">
        <f>VLOOKUP($A184,'SurveyRpt_20150223 (1)'!$A$34:$AN$735,8,FALSE)</f>
        <v>Yes</v>
      </c>
      <c r="I184" s="16" t="str">
        <f>VLOOKUP($A184,'SurveyRpt_20150223 (1)'!$A$34:$AN$735,10,FALSE)</f>
        <v>Yes</v>
      </c>
      <c r="J184" s="16" t="str">
        <f>VLOOKUP($A184,'SurveyRpt_20150223 (1)'!$A$34:$AN$735,12,FALSE)</f>
        <v>Yes</v>
      </c>
      <c r="K184" s="16" t="str">
        <f>VLOOKUP($A184,'SurveyRpt_20150223 (1)'!$A$34:$AN$735,14,FALSE)</f>
        <v>Yes</v>
      </c>
      <c r="L184" s="16" t="str">
        <f>VLOOKUP($A184,'SurveyRpt_20150223 (1)'!$A$34:$AN$735,16,FALSE)</f>
        <v>Yes</v>
      </c>
      <c r="M184" s="16" t="str">
        <f>VLOOKUP($A184,'SurveyRpt_20150223 (1)'!$A$34:$AN$735,18,FALSE)</f>
        <v>Yes</v>
      </c>
      <c r="N184" s="16" t="str">
        <f>VLOOKUP($A184,'SurveyRpt_20150223 (1)'!$A$34:$AN$735,20,FALSE)</f>
        <v>Yes</v>
      </c>
      <c r="O184" s="16" t="str">
        <f>VLOOKUP($A184,'SurveyRpt_20150223 (1)'!$A$34:$AN$735,22,FALSE)</f>
        <v>Yes</v>
      </c>
      <c r="P184" s="16" t="str">
        <f>VLOOKUP($A184,'SurveyRpt_20150223 (1)'!$A$34:$AN$735,24,FALSE)</f>
        <v>Yes</v>
      </c>
      <c r="Q184" s="16" t="str">
        <f>VLOOKUP($A184,'SurveyRpt_20150223 (1)'!$A$34:$AN$735,26,FALSE)</f>
        <v>Yes</v>
      </c>
      <c r="R184" s="16" t="str">
        <f>VLOOKUP($A184,'SurveyRpt_20150223 (1)'!$A$34:$AN$735,28,FALSE)</f>
        <v>Yes</v>
      </c>
      <c r="S184" s="16" t="str">
        <f>VLOOKUP($A184,'SurveyRpt_20150223 (1)'!$A$34:$AN$735,30,FALSE)</f>
        <v>No</v>
      </c>
      <c r="T184" s="16" t="str">
        <f>VLOOKUP($A184,'SurveyRpt_20150223 (1)'!$A$34:$AN$735,32,FALSE)</f>
        <v>Yes</v>
      </c>
      <c r="U184" s="16" t="str">
        <f>VLOOKUP($A184,'SurveyRpt_20150223 (1)'!$A$34:$AN$735,34,FALSE)</f>
        <v>Yes</v>
      </c>
      <c r="V184" s="16" t="str">
        <f>VLOOKUP($A184,'SurveyRpt_20150223 (1)'!$A$34:$AN$735,36,FALSE)</f>
        <v>Yes</v>
      </c>
      <c r="W184" s="16" t="str">
        <f>VLOOKUP($A184,'SurveyRpt_20150223 (1)'!$A$34:$AN$735,38,FALSE)</f>
        <v>No</v>
      </c>
    </row>
    <row r="185" spans="1:23" ht="13.5" customHeight="1" x14ac:dyDescent="0.25">
      <c r="A185" s="19" t="s">
        <v>278</v>
      </c>
      <c r="B185" s="19" t="str">
        <f t="shared" si="2"/>
        <v>ACHAUDHARY23</v>
      </c>
      <c r="C185" s="16" t="str">
        <f>VLOOKUP(B185,'Compiled Agents'!A:H,2,FALSE)</f>
        <v>Workplace</v>
      </c>
      <c r="D185" s="16" t="str">
        <f>VLOOKUP(B185,'Compiled Agents'!A:H,4,FALSE)</f>
        <v>Noida</v>
      </c>
      <c r="E185" s="16" t="str">
        <f>VLOOKUP(B185,'Compiled Agents'!A:H,5,FALSE)</f>
        <v>Wave2</v>
      </c>
      <c r="F185" s="16" t="str">
        <f>VLOOKUP(B185,'Compiled Agents'!A:H,6,FALSE)</f>
        <v>Purple</v>
      </c>
      <c r="G185" s="16">
        <f>VLOOKUP($A185,'SurveyRpt_20150223 (1)'!$A$34:$AN$735,6,FALSE)</f>
        <v>15</v>
      </c>
      <c r="H185" s="16" t="str">
        <f>VLOOKUP($A185,'SurveyRpt_20150223 (1)'!$A$34:$AN$735,8,FALSE)</f>
        <v>Yes</v>
      </c>
      <c r="I185" s="16" t="str">
        <f>VLOOKUP($A185,'SurveyRpt_20150223 (1)'!$A$34:$AN$735,10,FALSE)</f>
        <v>Yes</v>
      </c>
      <c r="J185" s="16" t="str">
        <f>VLOOKUP($A185,'SurveyRpt_20150223 (1)'!$A$34:$AN$735,12,FALSE)</f>
        <v>Yes</v>
      </c>
      <c r="K185" s="16" t="str">
        <f>VLOOKUP($A185,'SurveyRpt_20150223 (1)'!$A$34:$AN$735,14,FALSE)</f>
        <v>Yes</v>
      </c>
      <c r="L185" s="16" t="str">
        <f>VLOOKUP($A185,'SurveyRpt_20150223 (1)'!$A$34:$AN$735,16,FALSE)</f>
        <v>Yes</v>
      </c>
      <c r="M185" s="16" t="str">
        <f>VLOOKUP($A185,'SurveyRpt_20150223 (1)'!$A$34:$AN$735,18,FALSE)</f>
        <v>Yes</v>
      </c>
      <c r="N185" s="16" t="str">
        <f>VLOOKUP($A185,'SurveyRpt_20150223 (1)'!$A$34:$AN$735,20,FALSE)</f>
        <v>Yes</v>
      </c>
      <c r="O185" s="16" t="str">
        <f>VLOOKUP($A185,'SurveyRpt_20150223 (1)'!$A$34:$AN$735,22,FALSE)</f>
        <v>Yes</v>
      </c>
      <c r="P185" s="16" t="str">
        <f>VLOOKUP($A185,'SurveyRpt_20150223 (1)'!$A$34:$AN$735,24,FALSE)</f>
        <v>Yes</v>
      </c>
      <c r="Q185" s="16" t="str">
        <f>VLOOKUP($A185,'SurveyRpt_20150223 (1)'!$A$34:$AN$735,26,FALSE)</f>
        <v>Yes</v>
      </c>
      <c r="R185" s="16" t="str">
        <f>VLOOKUP($A185,'SurveyRpt_20150223 (1)'!$A$34:$AN$735,28,FALSE)</f>
        <v>Yes</v>
      </c>
      <c r="S185" s="16" t="str">
        <f>VLOOKUP($A185,'SurveyRpt_20150223 (1)'!$A$34:$AN$735,30,FALSE)</f>
        <v>Yes</v>
      </c>
      <c r="T185" s="16" t="str">
        <f>VLOOKUP($A185,'SurveyRpt_20150223 (1)'!$A$34:$AN$735,32,FALSE)</f>
        <v>Yes</v>
      </c>
      <c r="U185" s="16" t="str">
        <f>VLOOKUP($A185,'SurveyRpt_20150223 (1)'!$A$34:$AN$735,34,FALSE)</f>
        <v>Yes</v>
      </c>
      <c r="V185" s="16" t="str">
        <f>VLOOKUP($A185,'SurveyRpt_20150223 (1)'!$A$34:$AN$735,36,FALSE)</f>
        <v>Yes</v>
      </c>
      <c r="W185" s="16" t="str">
        <f>VLOOKUP($A185,'SurveyRpt_20150223 (1)'!$A$34:$AN$735,38,FALSE)</f>
        <v>No</v>
      </c>
    </row>
    <row r="186" spans="1:23" ht="13.5" customHeight="1" x14ac:dyDescent="0.25">
      <c r="A186" s="19" t="s">
        <v>279</v>
      </c>
      <c r="B186" s="19" t="str">
        <f t="shared" si="2"/>
        <v>MNASEER2</v>
      </c>
      <c r="C186" s="16" t="str">
        <f>VLOOKUP(B186,'Compiled Agents'!A:H,2,FALSE)</f>
        <v>Platform</v>
      </c>
      <c r="D186" s="16" t="str">
        <f>VLOOKUP(B186,'Compiled Agents'!A:H,4,FALSE)</f>
        <v>Hyderabad</v>
      </c>
      <c r="E186" s="16" t="str">
        <f>VLOOKUP(B186,'Compiled Agents'!A:H,5,FALSE)</f>
        <v>Wave1</v>
      </c>
      <c r="F186" s="16" t="str">
        <f>VLOOKUP(B186,'Compiled Agents'!A:H,6,FALSE)</f>
        <v>Orange</v>
      </c>
      <c r="G186" s="16">
        <f>VLOOKUP($A186,'SurveyRpt_20150223 (1)'!$A$34:$AN$735,6,FALSE)</f>
        <v>15</v>
      </c>
      <c r="H186" s="16" t="str">
        <f>VLOOKUP($A186,'SurveyRpt_20150223 (1)'!$A$34:$AN$735,8,FALSE)</f>
        <v>Yes</v>
      </c>
      <c r="I186" s="16" t="str">
        <f>VLOOKUP($A186,'SurveyRpt_20150223 (1)'!$A$34:$AN$735,10,FALSE)</f>
        <v>Yes</v>
      </c>
      <c r="J186" s="16" t="str">
        <f>VLOOKUP($A186,'SurveyRpt_20150223 (1)'!$A$34:$AN$735,12,FALSE)</f>
        <v>No</v>
      </c>
      <c r="K186" s="16" t="str">
        <f>VLOOKUP($A186,'SurveyRpt_20150223 (1)'!$A$34:$AN$735,14,FALSE)</f>
        <v>Yes</v>
      </c>
      <c r="L186" s="16" t="str">
        <f>VLOOKUP($A186,'SurveyRpt_20150223 (1)'!$A$34:$AN$735,16,FALSE)</f>
        <v>Yes</v>
      </c>
      <c r="M186" s="16" t="str">
        <f>VLOOKUP($A186,'SurveyRpt_20150223 (1)'!$A$34:$AN$735,18,FALSE)</f>
        <v>Yes</v>
      </c>
      <c r="N186" s="16" t="str">
        <f>VLOOKUP($A186,'SurveyRpt_20150223 (1)'!$A$34:$AN$735,20,FALSE)</f>
        <v>Yes</v>
      </c>
      <c r="O186" s="16" t="str">
        <f>VLOOKUP($A186,'SurveyRpt_20150223 (1)'!$A$34:$AN$735,22,FALSE)</f>
        <v>Yes</v>
      </c>
      <c r="P186" s="16" t="str">
        <f>VLOOKUP($A186,'SurveyRpt_20150223 (1)'!$A$34:$AN$735,24,FALSE)</f>
        <v>Yes</v>
      </c>
      <c r="Q186" s="16" t="str">
        <f>VLOOKUP($A186,'SurveyRpt_20150223 (1)'!$A$34:$AN$735,26,FALSE)</f>
        <v>Yes</v>
      </c>
      <c r="R186" s="16" t="str">
        <f>VLOOKUP($A186,'SurveyRpt_20150223 (1)'!$A$34:$AN$735,28,FALSE)</f>
        <v>Yes</v>
      </c>
      <c r="S186" s="16" t="str">
        <f>VLOOKUP($A186,'SurveyRpt_20150223 (1)'!$A$34:$AN$735,30,FALSE)</f>
        <v>Yes</v>
      </c>
      <c r="T186" s="16" t="str">
        <f>VLOOKUP($A186,'SurveyRpt_20150223 (1)'!$A$34:$AN$735,32,FALSE)</f>
        <v>Yes</v>
      </c>
      <c r="U186" s="16" t="str">
        <f>VLOOKUP($A186,'SurveyRpt_20150223 (1)'!$A$34:$AN$735,34,FALSE)</f>
        <v>Yes</v>
      </c>
      <c r="V186" s="16" t="str">
        <f>VLOOKUP($A186,'SurveyRpt_20150223 (1)'!$A$34:$AN$735,36,FALSE)</f>
        <v>Yes</v>
      </c>
      <c r="W186" s="16" t="str">
        <f>VLOOKUP($A186,'SurveyRpt_20150223 (1)'!$A$34:$AN$735,38,FALSE)</f>
        <v>Yes</v>
      </c>
    </row>
    <row r="187" spans="1:23" ht="13.5" customHeight="1" x14ac:dyDescent="0.25">
      <c r="A187" s="19" t="s">
        <v>280</v>
      </c>
      <c r="B187" s="19" t="str">
        <f t="shared" si="2"/>
        <v>jsmall5</v>
      </c>
      <c r="C187" s="16" t="str">
        <f>VLOOKUP(B187,'Compiled Agents'!A:H,2,FALSE)</f>
        <v>Platform</v>
      </c>
      <c r="D187" s="16" t="str">
        <f>VLOOKUP(B187,'Compiled Agents'!A:H,4,FALSE)</f>
        <v>MBC US</v>
      </c>
      <c r="E187" s="16" t="str">
        <f>VLOOKUP(B187,'Compiled Agents'!A:H,5,FALSE)</f>
        <v>Wave2</v>
      </c>
      <c r="F187" s="16" t="str">
        <f>VLOOKUP(B187,'Compiled Agents'!A:H,6,FALSE)</f>
        <v>Purple</v>
      </c>
      <c r="G187" s="16">
        <f>VLOOKUP($A187,'SurveyRpt_20150223 (1)'!$A$34:$AN$735,6,FALSE)</f>
        <v>0</v>
      </c>
      <c r="H187" s="16" t="str">
        <f>VLOOKUP($A187,'SurveyRpt_20150223 (1)'!$A$34:$AN$735,8,FALSE)</f>
        <v>No</v>
      </c>
      <c r="I187" s="16" t="str">
        <f>VLOOKUP($A187,'SurveyRpt_20150223 (1)'!$A$34:$AN$735,10,FALSE)</f>
        <v>No</v>
      </c>
      <c r="J187" s="16" t="str">
        <f>VLOOKUP($A187,'SurveyRpt_20150223 (1)'!$A$34:$AN$735,12,FALSE)</f>
        <v>No</v>
      </c>
      <c r="K187" s="16" t="str">
        <f>VLOOKUP($A187,'SurveyRpt_20150223 (1)'!$A$34:$AN$735,14,FALSE)</f>
        <v>No</v>
      </c>
      <c r="L187" s="16" t="str">
        <f>VLOOKUP($A187,'SurveyRpt_20150223 (1)'!$A$34:$AN$735,16,FALSE)</f>
        <v>No</v>
      </c>
      <c r="M187" s="16" t="str">
        <f>VLOOKUP($A187,'SurveyRpt_20150223 (1)'!$A$34:$AN$735,18,FALSE)</f>
        <v>No</v>
      </c>
      <c r="N187" s="16" t="str">
        <f>VLOOKUP($A187,'SurveyRpt_20150223 (1)'!$A$34:$AN$735,20,FALSE)</f>
        <v>No</v>
      </c>
      <c r="O187" s="16" t="str">
        <f>VLOOKUP($A187,'SurveyRpt_20150223 (1)'!$A$34:$AN$735,22,FALSE)</f>
        <v>No</v>
      </c>
      <c r="P187" s="16" t="str">
        <f>VLOOKUP($A187,'SurveyRpt_20150223 (1)'!$A$34:$AN$735,24,FALSE)</f>
        <v>No</v>
      </c>
      <c r="Q187" s="16" t="str">
        <f>VLOOKUP($A187,'SurveyRpt_20150223 (1)'!$A$34:$AN$735,26,FALSE)</f>
        <v>No</v>
      </c>
      <c r="R187" s="16" t="str">
        <f>VLOOKUP($A187,'SurveyRpt_20150223 (1)'!$A$34:$AN$735,28,FALSE)</f>
        <v>No</v>
      </c>
      <c r="S187" s="16" t="str">
        <f>VLOOKUP($A187,'SurveyRpt_20150223 (1)'!$A$34:$AN$735,30,FALSE)</f>
        <v>No</v>
      </c>
      <c r="T187" s="16" t="str">
        <f>VLOOKUP($A187,'SurveyRpt_20150223 (1)'!$A$34:$AN$735,32,FALSE)</f>
        <v>No</v>
      </c>
      <c r="U187" s="16" t="str">
        <f>VLOOKUP($A187,'SurveyRpt_20150223 (1)'!$A$34:$AN$735,34,FALSE)</f>
        <v>No</v>
      </c>
      <c r="V187" s="16" t="str">
        <f>VLOOKUP($A187,'SurveyRpt_20150223 (1)'!$A$34:$AN$735,36,FALSE)</f>
        <v>No</v>
      </c>
      <c r="W187" s="16" t="str">
        <f>VLOOKUP($A187,'SurveyRpt_20150223 (1)'!$A$34:$AN$735,38,FALSE)</f>
        <v>No</v>
      </c>
    </row>
    <row r="188" spans="1:23" ht="13.5" customHeight="1" x14ac:dyDescent="0.25">
      <c r="A188" s="19" t="s">
        <v>281</v>
      </c>
      <c r="B188" s="19" t="str">
        <f t="shared" si="2"/>
        <v>YRAMESHKUMAR</v>
      </c>
      <c r="C188" s="16" t="str">
        <f>VLOOKUP(B188,'Compiled Agents'!A:H,2,FALSE)</f>
        <v>Platform</v>
      </c>
      <c r="D188" s="16" t="str">
        <f>VLOOKUP(B188,'Compiled Agents'!A:H,4,FALSE)</f>
        <v>Hyderabad</v>
      </c>
      <c r="E188" s="16" t="str">
        <f>VLOOKUP(B188,'Compiled Agents'!A:H,5,FALSE)</f>
        <v>Wave1</v>
      </c>
      <c r="F188" s="16" t="str">
        <f>VLOOKUP(B188,'Compiled Agents'!A:H,6,FALSE)</f>
        <v>Blue</v>
      </c>
      <c r="G188" s="16">
        <f>VLOOKUP($A188,'SurveyRpt_20150223 (1)'!$A$34:$AN$735,6,FALSE)</f>
        <v>16</v>
      </c>
      <c r="H188" s="16" t="str">
        <f>VLOOKUP($A188,'SurveyRpt_20150223 (1)'!$A$34:$AN$735,8,FALSE)</f>
        <v>Yes</v>
      </c>
      <c r="I188" s="16" t="str">
        <f>VLOOKUP($A188,'SurveyRpt_20150223 (1)'!$A$34:$AN$735,10,FALSE)</f>
        <v>Yes</v>
      </c>
      <c r="J188" s="16" t="str">
        <f>VLOOKUP($A188,'SurveyRpt_20150223 (1)'!$A$34:$AN$735,12,FALSE)</f>
        <v>Yes</v>
      </c>
      <c r="K188" s="16" t="str">
        <f>VLOOKUP($A188,'SurveyRpt_20150223 (1)'!$A$34:$AN$735,14,FALSE)</f>
        <v>Yes</v>
      </c>
      <c r="L188" s="16" t="str">
        <f>VLOOKUP($A188,'SurveyRpt_20150223 (1)'!$A$34:$AN$735,16,FALSE)</f>
        <v>Yes</v>
      </c>
      <c r="M188" s="16" t="str">
        <f>VLOOKUP($A188,'SurveyRpt_20150223 (1)'!$A$34:$AN$735,18,FALSE)</f>
        <v>Yes</v>
      </c>
      <c r="N188" s="16" t="str">
        <f>VLOOKUP($A188,'SurveyRpt_20150223 (1)'!$A$34:$AN$735,20,FALSE)</f>
        <v>Yes</v>
      </c>
      <c r="O188" s="16" t="str">
        <f>VLOOKUP($A188,'SurveyRpt_20150223 (1)'!$A$34:$AN$735,22,FALSE)</f>
        <v>Yes</v>
      </c>
      <c r="P188" s="16" t="str">
        <f>VLOOKUP($A188,'SurveyRpt_20150223 (1)'!$A$34:$AN$735,24,FALSE)</f>
        <v>Yes</v>
      </c>
      <c r="Q188" s="16" t="str">
        <f>VLOOKUP($A188,'SurveyRpt_20150223 (1)'!$A$34:$AN$735,26,FALSE)</f>
        <v>Yes</v>
      </c>
      <c r="R188" s="16" t="str">
        <f>VLOOKUP($A188,'SurveyRpt_20150223 (1)'!$A$34:$AN$735,28,FALSE)</f>
        <v>Yes</v>
      </c>
      <c r="S188" s="16" t="str">
        <f>VLOOKUP($A188,'SurveyRpt_20150223 (1)'!$A$34:$AN$735,30,FALSE)</f>
        <v>Yes</v>
      </c>
      <c r="T188" s="16" t="str">
        <f>VLOOKUP($A188,'SurveyRpt_20150223 (1)'!$A$34:$AN$735,32,FALSE)</f>
        <v>Yes</v>
      </c>
      <c r="U188" s="16" t="str">
        <f>VLOOKUP($A188,'SurveyRpt_20150223 (1)'!$A$34:$AN$735,34,FALSE)</f>
        <v>Yes</v>
      </c>
      <c r="V188" s="16" t="str">
        <f>VLOOKUP($A188,'SurveyRpt_20150223 (1)'!$A$34:$AN$735,36,FALSE)</f>
        <v>Yes</v>
      </c>
      <c r="W188" s="16" t="str">
        <f>VLOOKUP($A188,'SurveyRpt_20150223 (1)'!$A$34:$AN$735,38,FALSE)</f>
        <v>Yes</v>
      </c>
    </row>
    <row r="189" spans="1:23" ht="13.5" customHeight="1" x14ac:dyDescent="0.25">
      <c r="A189" s="19" t="s">
        <v>282</v>
      </c>
      <c r="B189" s="19" t="str">
        <f t="shared" si="2"/>
        <v>BGRANDHI</v>
      </c>
      <c r="C189" s="16" t="str">
        <f>VLOOKUP(B189,'Compiled Agents'!A:H,2,FALSE)</f>
        <v>Platform</v>
      </c>
      <c r="D189" s="16" t="str">
        <f>VLOOKUP(B189,'Compiled Agents'!A:H,4,FALSE)</f>
        <v>Hyderabad</v>
      </c>
      <c r="E189" s="16" t="str">
        <f>VLOOKUP(B189,'Compiled Agents'!A:H,5,FALSE)</f>
        <v>Wave1</v>
      </c>
      <c r="F189" s="16" t="str">
        <f>VLOOKUP(B189,'Compiled Agents'!A:H,6,FALSE)</f>
        <v>Purple</v>
      </c>
      <c r="G189" s="16">
        <f>VLOOKUP($A189,'SurveyRpt_20150223 (1)'!$A$34:$AN$735,6,FALSE)</f>
        <v>14</v>
      </c>
      <c r="H189" s="16" t="str">
        <f>VLOOKUP($A189,'SurveyRpt_20150223 (1)'!$A$34:$AN$735,8,FALSE)</f>
        <v>Yes</v>
      </c>
      <c r="I189" s="16" t="str">
        <f>VLOOKUP($A189,'SurveyRpt_20150223 (1)'!$A$34:$AN$735,10,FALSE)</f>
        <v>Yes</v>
      </c>
      <c r="J189" s="16" t="str">
        <f>VLOOKUP($A189,'SurveyRpt_20150223 (1)'!$A$34:$AN$735,12,FALSE)</f>
        <v>Yes</v>
      </c>
      <c r="K189" s="16" t="str">
        <f>VLOOKUP($A189,'SurveyRpt_20150223 (1)'!$A$34:$AN$735,14,FALSE)</f>
        <v>Yes</v>
      </c>
      <c r="L189" s="16" t="str">
        <f>VLOOKUP($A189,'SurveyRpt_20150223 (1)'!$A$34:$AN$735,16,FALSE)</f>
        <v>Yes</v>
      </c>
      <c r="M189" s="16" t="str">
        <f>VLOOKUP($A189,'SurveyRpt_20150223 (1)'!$A$34:$AN$735,18,FALSE)</f>
        <v>No</v>
      </c>
      <c r="N189" s="16" t="str">
        <f>VLOOKUP($A189,'SurveyRpt_20150223 (1)'!$A$34:$AN$735,20,FALSE)</f>
        <v>Yes</v>
      </c>
      <c r="O189" s="16" t="str">
        <f>VLOOKUP($A189,'SurveyRpt_20150223 (1)'!$A$34:$AN$735,22,FALSE)</f>
        <v>No</v>
      </c>
      <c r="P189" s="16" t="str">
        <f>VLOOKUP($A189,'SurveyRpt_20150223 (1)'!$A$34:$AN$735,24,FALSE)</f>
        <v>Yes</v>
      </c>
      <c r="Q189" s="16" t="str">
        <f>VLOOKUP($A189,'SurveyRpt_20150223 (1)'!$A$34:$AN$735,26,FALSE)</f>
        <v>Yes</v>
      </c>
      <c r="R189" s="16" t="str">
        <f>VLOOKUP($A189,'SurveyRpt_20150223 (1)'!$A$34:$AN$735,28,FALSE)</f>
        <v>Yes</v>
      </c>
      <c r="S189" s="16" t="str">
        <f>VLOOKUP($A189,'SurveyRpt_20150223 (1)'!$A$34:$AN$735,30,FALSE)</f>
        <v>Yes</v>
      </c>
      <c r="T189" s="16" t="str">
        <f>VLOOKUP($A189,'SurveyRpt_20150223 (1)'!$A$34:$AN$735,32,FALSE)</f>
        <v>Yes</v>
      </c>
      <c r="U189" s="16" t="str">
        <f>VLOOKUP($A189,'SurveyRpt_20150223 (1)'!$A$34:$AN$735,34,FALSE)</f>
        <v>Yes</v>
      </c>
      <c r="V189" s="16" t="str">
        <f>VLOOKUP($A189,'SurveyRpt_20150223 (1)'!$A$34:$AN$735,36,FALSE)</f>
        <v>Yes</v>
      </c>
      <c r="W189" s="16" t="str">
        <f>VLOOKUP($A189,'SurveyRpt_20150223 (1)'!$A$34:$AN$735,38,FALSE)</f>
        <v>Yes</v>
      </c>
    </row>
    <row r="190" spans="1:23" ht="13.5" customHeight="1" x14ac:dyDescent="0.25">
      <c r="A190" s="19" t="s">
        <v>283</v>
      </c>
      <c r="B190" s="19" t="str">
        <f t="shared" si="2"/>
        <v>SANBAZHAGAN</v>
      </c>
      <c r="C190" s="16" t="str">
        <f>VLOOKUP(B190,'Compiled Agents'!A:H,2,FALSE)</f>
        <v>Platform</v>
      </c>
      <c r="D190" s="16" t="str">
        <f>VLOOKUP(B190,'Compiled Agents'!A:H,4,FALSE)</f>
        <v>Hyderabad</v>
      </c>
      <c r="E190" s="16" t="str">
        <f>VLOOKUP(B190,'Compiled Agents'!A:H,5,FALSE)</f>
        <v>Wave1</v>
      </c>
      <c r="F190" s="16" t="str">
        <f>VLOOKUP(B190,'Compiled Agents'!A:H,6,FALSE)</f>
        <v>Yellow</v>
      </c>
      <c r="G190" s="16">
        <f>VLOOKUP($A190,'SurveyRpt_20150223 (1)'!$A$34:$AN$735,6,FALSE)</f>
        <v>15</v>
      </c>
      <c r="H190" s="16" t="str">
        <f>VLOOKUP($A190,'SurveyRpt_20150223 (1)'!$A$34:$AN$735,8,FALSE)</f>
        <v>Yes</v>
      </c>
      <c r="I190" s="16" t="str">
        <f>VLOOKUP($A190,'SurveyRpt_20150223 (1)'!$A$34:$AN$735,10,FALSE)</f>
        <v>Yes</v>
      </c>
      <c r="J190" s="16" t="str">
        <f>VLOOKUP($A190,'SurveyRpt_20150223 (1)'!$A$34:$AN$735,12,FALSE)</f>
        <v>Yes</v>
      </c>
      <c r="K190" s="16" t="str">
        <f>VLOOKUP($A190,'SurveyRpt_20150223 (1)'!$A$34:$AN$735,14,FALSE)</f>
        <v>Yes</v>
      </c>
      <c r="L190" s="16" t="str">
        <f>VLOOKUP($A190,'SurveyRpt_20150223 (1)'!$A$34:$AN$735,16,FALSE)</f>
        <v>Yes</v>
      </c>
      <c r="M190" s="16" t="str">
        <f>VLOOKUP($A190,'SurveyRpt_20150223 (1)'!$A$34:$AN$735,18,FALSE)</f>
        <v>Yes</v>
      </c>
      <c r="N190" s="16" t="str">
        <f>VLOOKUP($A190,'SurveyRpt_20150223 (1)'!$A$34:$AN$735,20,FALSE)</f>
        <v>No</v>
      </c>
      <c r="O190" s="16" t="str">
        <f>VLOOKUP($A190,'SurveyRpt_20150223 (1)'!$A$34:$AN$735,22,FALSE)</f>
        <v>Yes</v>
      </c>
      <c r="P190" s="16" t="str">
        <f>VLOOKUP($A190,'SurveyRpt_20150223 (1)'!$A$34:$AN$735,24,FALSE)</f>
        <v>Yes</v>
      </c>
      <c r="Q190" s="16" t="str">
        <f>VLOOKUP($A190,'SurveyRpt_20150223 (1)'!$A$34:$AN$735,26,FALSE)</f>
        <v>Yes</v>
      </c>
      <c r="R190" s="16" t="str">
        <f>VLOOKUP($A190,'SurveyRpt_20150223 (1)'!$A$34:$AN$735,28,FALSE)</f>
        <v>Yes</v>
      </c>
      <c r="S190" s="16" t="str">
        <f>VLOOKUP($A190,'SurveyRpt_20150223 (1)'!$A$34:$AN$735,30,FALSE)</f>
        <v>Yes</v>
      </c>
      <c r="T190" s="16" t="str">
        <f>VLOOKUP($A190,'SurveyRpt_20150223 (1)'!$A$34:$AN$735,32,FALSE)</f>
        <v>Yes</v>
      </c>
      <c r="U190" s="16" t="str">
        <f>VLOOKUP($A190,'SurveyRpt_20150223 (1)'!$A$34:$AN$735,34,FALSE)</f>
        <v>Yes</v>
      </c>
      <c r="V190" s="16" t="str">
        <f>VLOOKUP($A190,'SurveyRpt_20150223 (1)'!$A$34:$AN$735,36,FALSE)</f>
        <v>Yes</v>
      </c>
      <c r="W190" s="16" t="str">
        <f>VLOOKUP($A190,'SurveyRpt_20150223 (1)'!$A$34:$AN$735,38,FALSE)</f>
        <v>Yes</v>
      </c>
    </row>
    <row r="191" spans="1:23" ht="13.5" customHeight="1" x14ac:dyDescent="0.25">
      <c r="A191" s="19" t="s">
        <v>284</v>
      </c>
      <c r="B191" s="19" t="str">
        <f t="shared" si="2"/>
        <v>esmith76</v>
      </c>
      <c r="C191" s="16" t="str">
        <f>VLOOKUP(B191,'Compiled Agents'!A:H,2,FALSE)</f>
        <v>Platform</v>
      </c>
      <c r="D191" s="16" t="str">
        <f>VLOOKUP(B191,'Compiled Agents'!A:H,4,FALSE)</f>
        <v>MBC US</v>
      </c>
      <c r="E191" s="16" t="str">
        <f>VLOOKUP(B191,'Compiled Agents'!A:H,5,FALSE)</f>
        <v>Wave2</v>
      </c>
      <c r="F191" s="16" t="str">
        <f>VLOOKUP(B191,'Compiled Agents'!A:H,6,FALSE)</f>
        <v>Blue</v>
      </c>
      <c r="G191" s="16">
        <f>VLOOKUP($A191,'SurveyRpt_20150223 (1)'!$A$34:$AN$735,6,FALSE)</f>
        <v>3</v>
      </c>
      <c r="H191" s="16" t="str">
        <f>VLOOKUP($A191,'SurveyRpt_20150223 (1)'!$A$34:$AN$735,8,FALSE)</f>
        <v>No</v>
      </c>
      <c r="I191" s="16" t="str">
        <f>VLOOKUP($A191,'SurveyRpt_20150223 (1)'!$A$34:$AN$735,10,FALSE)</f>
        <v>No</v>
      </c>
      <c r="J191" s="16" t="str">
        <f>VLOOKUP($A191,'SurveyRpt_20150223 (1)'!$A$34:$AN$735,12,FALSE)</f>
        <v>No</v>
      </c>
      <c r="K191" s="16" t="str">
        <f>VLOOKUP($A191,'SurveyRpt_20150223 (1)'!$A$34:$AN$735,14,FALSE)</f>
        <v>No</v>
      </c>
      <c r="L191" s="16" t="str">
        <f>VLOOKUP($A191,'SurveyRpt_20150223 (1)'!$A$34:$AN$735,16,FALSE)</f>
        <v>No</v>
      </c>
      <c r="M191" s="16" t="str">
        <f>VLOOKUP($A191,'SurveyRpt_20150223 (1)'!$A$34:$AN$735,18,FALSE)</f>
        <v>Yes</v>
      </c>
      <c r="N191" s="16" t="str">
        <f>VLOOKUP($A191,'SurveyRpt_20150223 (1)'!$A$34:$AN$735,20,FALSE)</f>
        <v>No</v>
      </c>
      <c r="O191" s="16" t="str">
        <f>VLOOKUP($A191,'SurveyRpt_20150223 (1)'!$A$34:$AN$735,22,FALSE)</f>
        <v>No</v>
      </c>
      <c r="P191" s="16" t="str">
        <f>VLOOKUP($A191,'SurveyRpt_20150223 (1)'!$A$34:$AN$735,24,FALSE)</f>
        <v>No</v>
      </c>
      <c r="Q191" s="16" t="str">
        <f>VLOOKUP($A191,'SurveyRpt_20150223 (1)'!$A$34:$AN$735,26,FALSE)</f>
        <v>Yes</v>
      </c>
      <c r="R191" s="16" t="str">
        <f>VLOOKUP($A191,'SurveyRpt_20150223 (1)'!$A$34:$AN$735,28,FALSE)</f>
        <v>No</v>
      </c>
      <c r="S191" s="16" t="str">
        <f>VLOOKUP($A191,'SurveyRpt_20150223 (1)'!$A$34:$AN$735,30,FALSE)</f>
        <v>Yes</v>
      </c>
      <c r="T191" s="16" t="str">
        <f>VLOOKUP($A191,'SurveyRpt_20150223 (1)'!$A$34:$AN$735,32,FALSE)</f>
        <v>No</v>
      </c>
      <c r="U191" s="16" t="str">
        <f>VLOOKUP($A191,'SurveyRpt_20150223 (1)'!$A$34:$AN$735,34,FALSE)</f>
        <v>No</v>
      </c>
      <c r="V191" s="16" t="str">
        <f>VLOOKUP($A191,'SurveyRpt_20150223 (1)'!$A$34:$AN$735,36,FALSE)</f>
        <v>No</v>
      </c>
      <c r="W191" s="16" t="str">
        <f>VLOOKUP($A191,'SurveyRpt_20150223 (1)'!$A$34:$AN$735,38,FALSE)</f>
        <v>No</v>
      </c>
    </row>
    <row r="192" spans="1:23" ht="13.5" customHeight="1" x14ac:dyDescent="0.25">
      <c r="A192" s="19" t="s">
        <v>285</v>
      </c>
      <c r="B192" s="19" t="str">
        <f t="shared" si="2"/>
        <v>jlohnes</v>
      </c>
      <c r="C192" s="16" t="str">
        <f>VLOOKUP(B192,'Compiled Agents'!A:H,2,FALSE)</f>
        <v>Workplace</v>
      </c>
      <c r="D192" s="16" t="str">
        <f>VLOOKUP(B192,'Compiled Agents'!A:H,4,FALSE)</f>
        <v>MBC US</v>
      </c>
      <c r="E192" s="16" t="str">
        <f>VLOOKUP(B192,'Compiled Agents'!A:H,5,FALSE)</f>
        <v>Wave2</v>
      </c>
      <c r="F192" s="16" t="str">
        <f>VLOOKUP(B192,'Compiled Agents'!A:H,6,FALSE)</f>
        <v>Orange</v>
      </c>
      <c r="G192" s="16">
        <f>VLOOKUP($A192,'SurveyRpt_20150223 (1)'!$A$34:$AN$735,6,FALSE)</f>
        <v>16</v>
      </c>
      <c r="H192" s="16" t="str">
        <f>VLOOKUP($A192,'SurveyRpt_20150223 (1)'!$A$34:$AN$735,8,FALSE)</f>
        <v>Yes</v>
      </c>
      <c r="I192" s="16" t="str">
        <f>VLOOKUP($A192,'SurveyRpt_20150223 (1)'!$A$34:$AN$735,10,FALSE)</f>
        <v>Yes</v>
      </c>
      <c r="J192" s="16" t="str">
        <f>VLOOKUP($A192,'SurveyRpt_20150223 (1)'!$A$34:$AN$735,12,FALSE)</f>
        <v>Yes</v>
      </c>
      <c r="K192" s="16" t="str">
        <f>VLOOKUP($A192,'SurveyRpt_20150223 (1)'!$A$34:$AN$735,14,FALSE)</f>
        <v>Yes</v>
      </c>
      <c r="L192" s="16" t="str">
        <f>VLOOKUP($A192,'SurveyRpt_20150223 (1)'!$A$34:$AN$735,16,FALSE)</f>
        <v>Yes</v>
      </c>
      <c r="M192" s="16" t="str">
        <f>VLOOKUP($A192,'SurveyRpt_20150223 (1)'!$A$34:$AN$735,18,FALSE)</f>
        <v>Yes</v>
      </c>
      <c r="N192" s="16" t="str">
        <f>VLOOKUP($A192,'SurveyRpt_20150223 (1)'!$A$34:$AN$735,20,FALSE)</f>
        <v>Yes</v>
      </c>
      <c r="O192" s="16" t="str">
        <f>VLOOKUP($A192,'SurveyRpt_20150223 (1)'!$A$34:$AN$735,22,FALSE)</f>
        <v>Yes</v>
      </c>
      <c r="P192" s="16" t="str">
        <f>VLOOKUP($A192,'SurveyRpt_20150223 (1)'!$A$34:$AN$735,24,FALSE)</f>
        <v>Yes</v>
      </c>
      <c r="Q192" s="16" t="str">
        <f>VLOOKUP($A192,'SurveyRpt_20150223 (1)'!$A$34:$AN$735,26,FALSE)</f>
        <v>Yes</v>
      </c>
      <c r="R192" s="16" t="str">
        <f>VLOOKUP($A192,'SurveyRpt_20150223 (1)'!$A$34:$AN$735,28,FALSE)</f>
        <v>Yes</v>
      </c>
      <c r="S192" s="16" t="str">
        <f>VLOOKUP($A192,'SurveyRpt_20150223 (1)'!$A$34:$AN$735,30,FALSE)</f>
        <v>Yes</v>
      </c>
      <c r="T192" s="16" t="str">
        <f>VLOOKUP($A192,'SurveyRpt_20150223 (1)'!$A$34:$AN$735,32,FALSE)</f>
        <v>Yes</v>
      </c>
      <c r="U192" s="16" t="str">
        <f>VLOOKUP($A192,'SurveyRpt_20150223 (1)'!$A$34:$AN$735,34,FALSE)</f>
        <v>Yes</v>
      </c>
      <c r="V192" s="16" t="str">
        <f>VLOOKUP($A192,'SurveyRpt_20150223 (1)'!$A$34:$AN$735,36,FALSE)</f>
        <v>Yes</v>
      </c>
      <c r="W192" s="16" t="str">
        <f>VLOOKUP($A192,'SurveyRpt_20150223 (1)'!$A$34:$AN$735,38,FALSE)</f>
        <v>Yes</v>
      </c>
    </row>
    <row r="193" spans="1:23" ht="13.5" customHeight="1" x14ac:dyDescent="0.25">
      <c r="A193" s="19" t="s">
        <v>286</v>
      </c>
      <c r="B193" s="19" t="str">
        <f t="shared" si="2"/>
        <v>vmaksymova</v>
      </c>
      <c r="C193" s="16" t="str">
        <f>VLOOKUP(B193,'Compiled Agents'!A:H,2,FALSE)</f>
        <v>Platform</v>
      </c>
      <c r="D193" s="16" t="str">
        <f>VLOOKUP(B193,'Compiled Agents'!A:H,4,FALSE)</f>
        <v>MBC US</v>
      </c>
      <c r="E193" s="16" t="str">
        <f>VLOOKUP(B193,'Compiled Agents'!A:H,5,FALSE)</f>
        <v>Wave2</v>
      </c>
      <c r="F193" s="16" t="str">
        <f>VLOOKUP(B193,'Compiled Agents'!A:H,6,FALSE)</f>
        <v>Orange</v>
      </c>
      <c r="G193" s="16">
        <f>VLOOKUP($A193,'SurveyRpt_20150223 (1)'!$A$34:$AN$735,6,FALSE)</f>
        <v>9</v>
      </c>
      <c r="H193" s="16" t="str">
        <f>VLOOKUP($A193,'SurveyRpt_20150223 (1)'!$A$34:$AN$735,8,FALSE)</f>
        <v>No</v>
      </c>
      <c r="I193" s="16" t="str">
        <f>VLOOKUP($A193,'SurveyRpt_20150223 (1)'!$A$34:$AN$735,10,FALSE)</f>
        <v>Yes</v>
      </c>
      <c r="J193" s="16" t="str">
        <f>VLOOKUP($A193,'SurveyRpt_20150223 (1)'!$A$34:$AN$735,12,FALSE)</f>
        <v>Yes</v>
      </c>
      <c r="K193" s="16" t="str">
        <f>VLOOKUP($A193,'SurveyRpt_20150223 (1)'!$A$34:$AN$735,14,FALSE)</f>
        <v>No</v>
      </c>
      <c r="L193" s="16" t="str">
        <f>VLOOKUP($A193,'SurveyRpt_20150223 (1)'!$A$34:$AN$735,16,FALSE)</f>
        <v>Yes</v>
      </c>
      <c r="M193" s="16" t="str">
        <f>VLOOKUP($A193,'SurveyRpt_20150223 (1)'!$A$34:$AN$735,18,FALSE)</f>
        <v>Yes</v>
      </c>
      <c r="N193" s="16" t="str">
        <f>VLOOKUP($A193,'SurveyRpt_20150223 (1)'!$A$34:$AN$735,20,FALSE)</f>
        <v>No</v>
      </c>
      <c r="O193" s="16" t="str">
        <f>VLOOKUP($A193,'SurveyRpt_20150223 (1)'!$A$34:$AN$735,22,FALSE)</f>
        <v>Yes</v>
      </c>
      <c r="P193" s="16" t="str">
        <f>VLOOKUP($A193,'SurveyRpt_20150223 (1)'!$A$34:$AN$735,24,FALSE)</f>
        <v>Yes</v>
      </c>
      <c r="Q193" s="16" t="str">
        <f>VLOOKUP($A193,'SurveyRpt_20150223 (1)'!$A$34:$AN$735,26,FALSE)</f>
        <v>Yes</v>
      </c>
      <c r="R193" s="16" t="str">
        <f>VLOOKUP($A193,'SurveyRpt_20150223 (1)'!$A$34:$AN$735,28,FALSE)</f>
        <v>Yes</v>
      </c>
      <c r="S193" s="16" t="str">
        <f>VLOOKUP($A193,'SurveyRpt_20150223 (1)'!$A$34:$AN$735,30,FALSE)</f>
        <v>Yes</v>
      </c>
      <c r="T193" s="16" t="str">
        <f>VLOOKUP($A193,'SurveyRpt_20150223 (1)'!$A$34:$AN$735,32,FALSE)</f>
        <v>No</v>
      </c>
      <c r="U193" s="16" t="str">
        <f>VLOOKUP($A193,'SurveyRpt_20150223 (1)'!$A$34:$AN$735,34,FALSE)</f>
        <v>No</v>
      </c>
      <c r="V193" s="16" t="str">
        <f>VLOOKUP($A193,'SurveyRpt_20150223 (1)'!$A$34:$AN$735,36,FALSE)</f>
        <v>No</v>
      </c>
      <c r="W193" s="16" t="str">
        <f>VLOOKUP($A193,'SurveyRpt_20150223 (1)'!$A$34:$AN$735,38,FALSE)</f>
        <v>No</v>
      </c>
    </row>
    <row r="194" spans="1:23" ht="13.5" customHeight="1" x14ac:dyDescent="0.25">
      <c r="A194" s="19" t="s">
        <v>287</v>
      </c>
      <c r="B194" s="19" t="str">
        <f t="shared" si="2"/>
        <v>SDORAIRAJ6</v>
      </c>
      <c r="C194" s="16" t="str">
        <f>VLOOKUP(B194,'Compiled Agents'!A:H,2,FALSE)</f>
        <v>Workplace</v>
      </c>
      <c r="D194" s="16" t="str">
        <f>VLOOKUP(B194,'Compiled Agents'!A:H,4,FALSE)</f>
        <v>Noida</v>
      </c>
      <c r="E194" s="16" t="str">
        <f>VLOOKUP(B194,'Compiled Agents'!A:H,5,FALSE)</f>
        <v>Wave1</v>
      </c>
      <c r="F194" s="16" t="str">
        <f>VLOOKUP(B194,'Compiled Agents'!A:H,6,FALSE)</f>
        <v>Yellow</v>
      </c>
      <c r="G194" s="16">
        <f>VLOOKUP($A194,'SurveyRpt_20150223 (1)'!$A$34:$AN$735,6,FALSE)</f>
        <v>16</v>
      </c>
      <c r="H194" s="16" t="str">
        <f>VLOOKUP($A194,'SurveyRpt_20150223 (1)'!$A$34:$AN$735,8,FALSE)</f>
        <v>Yes</v>
      </c>
      <c r="I194" s="16" t="str">
        <f>VLOOKUP($A194,'SurveyRpt_20150223 (1)'!$A$34:$AN$735,10,FALSE)</f>
        <v>Yes</v>
      </c>
      <c r="J194" s="16" t="str">
        <f>VLOOKUP($A194,'SurveyRpt_20150223 (1)'!$A$34:$AN$735,12,FALSE)</f>
        <v>Yes</v>
      </c>
      <c r="K194" s="16" t="str">
        <f>VLOOKUP($A194,'SurveyRpt_20150223 (1)'!$A$34:$AN$735,14,FALSE)</f>
        <v>Yes</v>
      </c>
      <c r="L194" s="16" t="str">
        <f>VLOOKUP($A194,'SurveyRpt_20150223 (1)'!$A$34:$AN$735,16,FALSE)</f>
        <v>Yes</v>
      </c>
      <c r="M194" s="16" t="str">
        <f>VLOOKUP($A194,'SurveyRpt_20150223 (1)'!$A$34:$AN$735,18,FALSE)</f>
        <v>Yes</v>
      </c>
      <c r="N194" s="16" t="str">
        <f>VLOOKUP($A194,'SurveyRpt_20150223 (1)'!$A$34:$AN$735,20,FALSE)</f>
        <v>Yes</v>
      </c>
      <c r="O194" s="16" t="str">
        <f>VLOOKUP($A194,'SurveyRpt_20150223 (1)'!$A$34:$AN$735,22,FALSE)</f>
        <v>Yes</v>
      </c>
      <c r="P194" s="16" t="str">
        <f>VLOOKUP($A194,'SurveyRpt_20150223 (1)'!$A$34:$AN$735,24,FALSE)</f>
        <v>Yes</v>
      </c>
      <c r="Q194" s="16" t="str">
        <f>VLOOKUP($A194,'SurveyRpt_20150223 (1)'!$A$34:$AN$735,26,FALSE)</f>
        <v>Yes</v>
      </c>
      <c r="R194" s="16" t="str">
        <f>VLOOKUP($A194,'SurveyRpt_20150223 (1)'!$A$34:$AN$735,28,FALSE)</f>
        <v>Yes</v>
      </c>
      <c r="S194" s="16" t="str">
        <f>VLOOKUP($A194,'SurveyRpt_20150223 (1)'!$A$34:$AN$735,30,FALSE)</f>
        <v>Yes</v>
      </c>
      <c r="T194" s="16" t="str">
        <f>VLOOKUP($A194,'SurveyRpt_20150223 (1)'!$A$34:$AN$735,32,FALSE)</f>
        <v>Yes</v>
      </c>
      <c r="U194" s="16" t="str">
        <f>VLOOKUP($A194,'SurveyRpt_20150223 (1)'!$A$34:$AN$735,34,FALSE)</f>
        <v>Yes</v>
      </c>
      <c r="V194" s="16" t="str">
        <f>VLOOKUP($A194,'SurveyRpt_20150223 (1)'!$A$34:$AN$735,36,FALSE)</f>
        <v>Yes</v>
      </c>
      <c r="W194" s="16" t="str">
        <f>VLOOKUP($A194,'SurveyRpt_20150223 (1)'!$A$34:$AN$735,38,FALSE)</f>
        <v>Yes</v>
      </c>
    </row>
    <row r="195" spans="1:23" ht="13.5" customHeight="1" x14ac:dyDescent="0.25">
      <c r="A195" s="19" t="s">
        <v>288</v>
      </c>
      <c r="B195" s="19" t="str">
        <f t="shared" ref="B195:B258" si="3">TRIM(LEFT(A195,FIND("@",A195)-1))</f>
        <v>SSHARMA289</v>
      </c>
      <c r="C195" s="16" t="str">
        <f>VLOOKUP(B195,'Compiled Agents'!A:H,2,FALSE)</f>
        <v>Workplace</v>
      </c>
      <c r="D195" s="16" t="str">
        <f>VLOOKUP(B195,'Compiled Agents'!A:H,4,FALSE)</f>
        <v>Noida</v>
      </c>
      <c r="E195" s="16" t="str">
        <f>VLOOKUP(B195,'Compiled Agents'!A:H,5,FALSE)</f>
        <v>Wave1</v>
      </c>
      <c r="F195" s="16" t="str">
        <f>VLOOKUP(B195,'Compiled Agents'!A:H,6,FALSE)</f>
        <v>Purple</v>
      </c>
      <c r="G195" s="16">
        <f>VLOOKUP($A195,'SurveyRpt_20150223 (1)'!$A$34:$AN$735,6,FALSE)</f>
        <v>14</v>
      </c>
      <c r="H195" s="16" t="str">
        <f>VLOOKUP($A195,'SurveyRpt_20150223 (1)'!$A$34:$AN$735,8,FALSE)</f>
        <v>Yes</v>
      </c>
      <c r="I195" s="16" t="str">
        <f>VLOOKUP($A195,'SurveyRpt_20150223 (1)'!$A$34:$AN$735,10,FALSE)</f>
        <v>Yes</v>
      </c>
      <c r="J195" s="16" t="str">
        <f>VLOOKUP($A195,'SurveyRpt_20150223 (1)'!$A$34:$AN$735,12,FALSE)</f>
        <v>No</v>
      </c>
      <c r="K195" s="16" t="str">
        <f>VLOOKUP($A195,'SurveyRpt_20150223 (1)'!$A$34:$AN$735,14,FALSE)</f>
        <v>Yes</v>
      </c>
      <c r="L195" s="16" t="str">
        <f>VLOOKUP($A195,'SurveyRpt_20150223 (1)'!$A$34:$AN$735,16,FALSE)</f>
        <v>Yes</v>
      </c>
      <c r="M195" s="16" t="str">
        <f>VLOOKUP($A195,'SurveyRpt_20150223 (1)'!$A$34:$AN$735,18,FALSE)</f>
        <v>Yes</v>
      </c>
      <c r="N195" s="16" t="str">
        <f>VLOOKUP($A195,'SurveyRpt_20150223 (1)'!$A$34:$AN$735,20,FALSE)</f>
        <v>Yes</v>
      </c>
      <c r="O195" s="16" t="str">
        <f>VLOOKUP($A195,'SurveyRpt_20150223 (1)'!$A$34:$AN$735,22,FALSE)</f>
        <v>Yes</v>
      </c>
      <c r="P195" s="16" t="str">
        <f>VLOOKUP($A195,'SurveyRpt_20150223 (1)'!$A$34:$AN$735,24,FALSE)</f>
        <v>Yes</v>
      </c>
      <c r="Q195" s="16" t="str">
        <f>VLOOKUP($A195,'SurveyRpt_20150223 (1)'!$A$34:$AN$735,26,FALSE)</f>
        <v>Yes</v>
      </c>
      <c r="R195" s="16" t="str">
        <f>VLOOKUP($A195,'SurveyRpt_20150223 (1)'!$A$34:$AN$735,28,FALSE)</f>
        <v>Yes</v>
      </c>
      <c r="S195" s="16" t="str">
        <f>VLOOKUP($A195,'SurveyRpt_20150223 (1)'!$A$34:$AN$735,30,FALSE)</f>
        <v>Yes</v>
      </c>
      <c r="T195" s="16" t="str">
        <f>VLOOKUP($A195,'SurveyRpt_20150223 (1)'!$A$34:$AN$735,32,FALSE)</f>
        <v>No</v>
      </c>
      <c r="U195" s="16" t="str">
        <f>VLOOKUP($A195,'SurveyRpt_20150223 (1)'!$A$34:$AN$735,34,FALSE)</f>
        <v>Yes</v>
      </c>
      <c r="V195" s="16" t="str">
        <f>VLOOKUP($A195,'SurveyRpt_20150223 (1)'!$A$34:$AN$735,36,FALSE)</f>
        <v>Yes</v>
      </c>
      <c r="W195" s="16" t="str">
        <f>VLOOKUP($A195,'SurveyRpt_20150223 (1)'!$A$34:$AN$735,38,FALSE)</f>
        <v>Yes</v>
      </c>
    </row>
    <row r="196" spans="1:23" ht="13.5" customHeight="1" x14ac:dyDescent="0.25">
      <c r="A196" s="19" t="s">
        <v>289</v>
      </c>
      <c r="B196" s="19" t="str">
        <f t="shared" si="3"/>
        <v>ptubauro</v>
      </c>
      <c r="C196" s="16" t="str">
        <f>VLOOKUP(B196,'Compiled Agents'!A:H,2,FALSE)</f>
        <v>POD</v>
      </c>
      <c r="D196" s="16" t="str">
        <f>VLOOKUP(B196,'Compiled Agents'!A:H,4,FALSE)</f>
        <v>Spain</v>
      </c>
      <c r="E196" s="16" t="str">
        <f>VLOOKUP(B196,'Compiled Agents'!A:H,5,FALSE)</f>
        <v>Wave1</v>
      </c>
      <c r="F196" s="16" t="str">
        <f>VLOOKUP(B196,'Compiled Agents'!A:H,6,FALSE)</f>
        <v>Blue</v>
      </c>
      <c r="G196" s="16">
        <f>VLOOKUP($A196,'SurveyRpt_20150223 (1)'!$A$34:$AN$735,6,FALSE)</f>
        <v>16</v>
      </c>
      <c r="H196" s="16" t="str">
        <f>VLOOKUP($A196,'SurveyRpt_20150223 (1)'!$A$34:$AN$735,8,FALSE)</f>
        <v>Yes</v>
      </c>
      <c r="I196" s="16" t="str">
        <f>VLOOKUP($A196,'SurveyRpt_20150223 (1)'!$A$34:$AN$735,10,FALSE)</f>
        <v>Yes</v>
      </c>
      <c r="J196" s="16" t="str">
        <f>VLOOKUP($A196,'SurveyRpt_20150223 (1)'!$A$34:$AN$735,12,FALSE)</f>
        <v>Yes</v>
      </c>
      <c r="K196" s="16" t="str">
        <f>VLOOKUP($A196,'SurveyRpt_20150223 (1)'!$A$34:$AN$735,14,FALSE)</f>
        <v>Yes</v>
      </c>
      <c r="L196" s="16" t="str">
        <f>VLOOKUP($A196,'SurveyRpt_20150223 (1)'!$A$34:$AN$735,16,FALSE)</f>
        <v>Yes</v>
      </c>
      <c r="M196" s="16" t="str">
        <f>VLOOKUP($A196,'SurveyRpt_20150223 (1)'!$A$34:$AN$735,18,FALSE)</f>
        <v>Yes</v>
      </c>
      <c r="N196" s="16" t="str">
        <f>VLOOKUP($A196,'SurveyRpt_20150223 (1)'!$A$34:$AN$735,20,FALSE)</f>
        <v>Yes</v>
      </c>
      <c r="O196" s="16" t="str">
        <f>VLOOKUP($A196,'SurveyRpt_20150223 (1)'!$A$34:$AN$735,22,FALSE)</f>
        <v>Yes</v>
      </c>
      <c r="P196" s="16" t="str">
        <f>VLOOKUP($A196,'SurveyRpt_20150223 (1)'!$A$34:$AN$735,24,FALSE)</f>
        <v>Yes</v>
      </c>
      <c r="Q196" s="16" t="str">
        <f>VLOOKUP($A196,'SurveyRpt_20150223 (1)'!$A$34:$AN$735,26,FALSE)</f>
        <v>Yes</v>
      </c>
      <c r="R196" s="16" t="str">
        <f>VLOOKUP($A196,'SurveyRpt_20150223 (1)'!$A$34:$AN$735,28,FALSE)</f>
        <v>Yes</v>
      </c>
      <c r="S196" s="16" t="str">
        <f>VLOOKUP($A196,'SurveyRpt_20150223 (1)'!$A$34:$AN$735,30,FALSE)</f>
        <v>Yes</v>
      </c>
      <c r="T196" s="16" t="str">
        <f>VLOOKUP($A196,'SurveyRpt_20150223 (1)'!$A$34:$AN$735,32,FALSE)</f>
        <v>Yes</v>
      </c>
      <c r="U196" s="16" t="str">
        <f>VLOOKUP($A196,'SurveyRpt_20150223 (1)'!$A$34:$AN$735,34,FALSE)</f>
        <v>Yes</v>
      </c>
      <c r="V196" s="16" t="str">
        <f>VLOOKUP($A196,'SurveyRpt_20150223 (1)'!$A$34:$AN$735,36,FALSE)</f>
        <v>Yes</v>
      </c>
      <c r="W196" s="16" t="str">
        <f>VLOOKUP($A196,'SurveyRpt_20150223 (1)'!$A$34:$AN$735,38,FALSE)</f>
        <v>Yes</v>
      </c>
    </row>
    <row r="197" spans="1:23" ht="13.5" customHeight="1" x14ac:dyDescent="0.25">
      <c r="A197" s="19" t="s">
        <v>290</v>
      </c>
      <c r="B197" s="19" t="str">
        <f t="shared" si="3"/>
        <v>GNAGRAJ</v>
      </c>
      <c r="C197" s="16" t="str">
        <f>VLOOKUP(B197,'Compiled Agents'!A:H,2,FALSE)</f>
        <v>Platform</v>
      </c>
      <c r="D197" s="16" t="str">
        <f>VLOOKUP(B197,'Compiled Agents'!A:H,4,FALSE)</f>
        <v>Hyderabad</v>
      </c>
      <c r="E197" s="16" t="str">
        <f>VLOOKUP(B197,'Compiled Agents'!A:H,5,FALSE)</f>
        <v>Wave1</v>
      </c>
      <c r="F197" s="16" t="str">
        <f>VLOOKUP(B197,'Compiled Agents'!A:H,6,FALSE)</f>
        <v>Purple</v>
      </c>
      <c r="G197" s="16">
        <f>VLOOKUP($A197,'SurveyRpt_20150223 (1)'!$A$34:$AN$735,6,FALSE)</f>
        <v>16</v>
      </c>
      <c r="H197" s="16" t="str">
        <f>VLOOKUP($A197,'SurveyRpt_20150223 (1)'!$A$34:$AN$735,8,FALSE)</f>
        <v>Yes</v>
      </c>
      <c r="I197" s="16" t="str">
        <f>VLOOKUP($A197,'SurveyRpt_20150223 (1)'!$A$34:$AN$735,10,FALSE)</f>
        <v>Yes</v>
      </c>
      <c r="J197" s="16" t="str">
        <f>VLOOKUP($A197,'SurveyRpt_20150223 (1)'!$A$34:$AN$735,12,FALSE)</f>
        <v>Yes</v>
      </c>
      <c r="K197" s="16" t="str">
        <f>VLOOKUP($A197,'SurveyRpt_20150223 (1)'!$A$34:$AN$735,14,FALSE)</f>
        <v>Yes</v>
      </c>
      <c r="L197" s="16" t="str">
        <f>VLOOKUP($A197,'SurveyRpt_20150223 (1)'!$A$34:$AN$735,16,FALSE)</f>
        <v>Yes</v>
      </c>
      <c r="M197" s="16" t="str">
        <f>VLOOKUP($A197,'SurveyRpt_20150223 (1)'!$A$34:$AN$735,18,FALSE)</f>
        <v>Yes</v>
      </c>
      <c r="N197" s="16" t="str">
        <f>VLOOKUP($A197,'SurveyRpt_20150223 (1)'!$A$34:$AN$735,20,FALSE)</f>
        <v>Yes</v>
      </c>
      <c r="O197" s="16" t="str">
        <f>VLOOKUP($A197,'SurveyRpt_20150223 (1)'!$A$34:$AN$735,22,FALSE)</f>
        <v>Yes</v>
      </c>
      <c r="P197" s="16" t="str">
        <f>VLOOKUP($A197,'SurveyRpt_20150223 (1)'!$A$34:$AN$735,24,FALSE)</f>
        <v>Yes</v>
      </c>
      <c r="Q197" s="16" t="str">
        <f>VLOOKUP($A197,'SurveyRpt_20150223 (1)'!$A$34:$AN$735,26,FALSE)</f>
        <v>Yes</v>
      </c>
      <c r="R197" s="16" t="str">
        <f>VLOOKUP($A197,'SurveyRpt_20150223 (1)'!$A$34:$AN$735,28,FALSE)</f>
        <v>Yes</v>
      </c>
      <c r="S197" s="16" t="str">
        <f>VLOOKUP($A197,'SurveyRpt_20150223 (1)'!$A$34:$AN$735,30,FALSE)</f>
        <v>Yes</v>
      </c>
      <c r="T197" s="16" t="str">
        <f>VLOOKUP($A197,'SurveyRpt_20150223 (1)'!$A$34:$AN$735,32,FALSE)</f>
        <v>Yes</v>
      </c>
      <c r="U197" s="16" t="str">
        <f>VLOOKUP($A197,'SurveyRpt_20150223 (1)'!$A$34:$AN$735,34,FALSE)</f>
        <v>Yes</v>
      </c>
      <c r="V197" s="16" t="str">
        <f>VLOOKUP($A197,'SurveyRpt_20150223 (1)'!$A$34:$AN$735,36,FALSE)</f>
        <v>Yes</v>
      </c>
      <c r="W197" s="16" t="str">
        <f>VLOOKUP($A197,'SurveyRpt_20150223 (1)'!$A$34:$AN$735,38,FALSE)</f>
        <v>Yes</v>
      </c>
    </row>
    <row r="198" spans="1:23" ht="13.5" customHeight="1" x14ac:dyDescent="0.25">
      <c r="A198" s="19" t="s">
        <v>291</v>
      </c>
      <c r="B198" s="19" t="str">
        <f t="shared" si="3"/>
        <v>SKONDAPALLI</v>
      </c>
      <c r="C198" s="16" t="str">
        <f>VLOOKUP(B198,'Compiled Agents'!A:H,2,FALSE)</f>
        <v>Platform</v>
      </c>
      <c r="D198" s="16" t="str">
        <f>VLOOKUP(B198,'Compiled Agents'!A:H,4,FALSE)</f>
        <v>Noida</v>
      </c>
      <c r="E198" s="16" t="str">
        <f>VLOOKUP(B198,'Compiled Agents'!A:H,5,FALSE)</f>
        <v>Wave2</v>
      </c>
      <c r="F198" s="16" t="str">
        <f>VLOOKUP(B198,'Compiled Agents'!A:H,6,FALSE)</f>
        <v>Blue</v>
      </c>
      <c r="G198" s="16">
        <f>VLOOKUP($A198,'SurveyRpt_20150223 (1)'!$A$34:$AN$735,6,FALSE)</f>
        <v>15</v>
      </c>
      <c r="H198" s="16" t="str">
        <f>VLOOKUP($A198,'SurveyRpt_20150223 (1)'!$A$34:$AN$735,8,FALSE)</f>
        <v>Yes</v>
      </c>
      <c r="I198" s="16" t="str">
        <f>VLOOKUP($A198,'SurveyRpt_20150223 (1)'!$A$34:$AN$735,10,FALSE)</f>
        <v>Yes</v>
      </c>
      <c r="J198" s="16" t="str">
        <f>VLOOKUP($A198,'SurveyRpt_20150223 (1)'!$A$34:$AN$735,12,FALSE)</f>
        <v>Yes</v>
      </c>
      <c r="K198" s="16" t="str">
        <f>VLOOKUP($A198,'SurveyRpt_20150223 (1)'!$A$34:$AN$735,14,FALSE)</f>
        <v>Yes</v>
      </c>
      <c r="L198" s="16" t="str">
        <f>VLOOKUP($A198,'SurveyRpt_20150223 (1)'!$A$34:$AN$735,16,FALSE)</f>
        <v>Yes</v>
      </c>
      <c r="M198" s="16" t="str">
        <f>VLOOKUP($A198,'SurveyRpt_20150223 (1)'!$A$34:$AN$735,18,FALSE)</f>
        <v>Yes</v>
      </c>
      <c r="N198" s="16" t="str">
        <f>VLOOKUP($A198,'SurveyRpt_20150223 (1)'!$A$34:$AN$735,20,FALSE)</f>
        <v>No</v>
      </c>
      <c r="O198" s="16" t="str">
        <f>VLOOKUP($A198,'SurveyRpt_20150223 (1)'!$A$34:$AN$735,22,FALSE)</f>
        <v>Yes</v>
      </c>
      <c r="P198" s="16" t="str">
        <f>VLOOKUP($A198,'SurveyRpt_20150223 (1)'!$A$34:$AN$735,24,FALSE)</f>
        <v>Yes</v>
      </c>
      <c r="Q198" s="16" t="str">
        <f>VLOOKUP($A198,'SurveyRpt_20150223 (1)'!$A$34:$AN$735,26,FALSE)</f>
        <v>Yes</v>
      </c>
      <c r="R198" s="16" t="str">
        <f>VLOOKUP($A198,'SurveyRpt_20150223 (1)'!$A$34:$AN$735,28,FALSE)</f>
        <v>Yes</v>
      </c>
      <c r="S198" s="16" t="str">
        <f>VLOOKUP($A198,'SurveyRpt_20150223 (1)'!$A$34:$AN$735,30,FALSE)</f>
        <v>Yes</v>
      </c>
      <c r="T198" s="16" t="str">
        <f>VLOOKUP($A198,'SurveyRpt_20150223 (1)'!$A$34:$AN$735,32,FALSE)</f>
        <v>Yes</v>
      </c>
      <c r="U198" s="16" t="str">
        <f>VLOOKUP($A198,'SurveyRpt_20150223 (1)'!$A$34:$AN$735,34,FALSE)</f>
        <v>Yes</v>
      </c>
      <c r="V198" s="16" t="str">
        <f>VLOOKUP($A198,'SurveyRpt_20150223 (1)'!$A$34:$AN$735,36,FALSE)</f>
        <v>Yes</v>
      </c>
      <c r="W198" s="16" t="str">
        <f>VLOOKUP($A198,'SurveyRpt_20150223 (1)'!$A$34:$AN$735,38,FALSE)</f>
        <v>Yes</v>
      </c>
    </row>
    <row r="199" spans="1:23" ht="13.5" customHeight="1" x14ac:dyDescent="0.25">
      <c r="A199" s="19" t="s">
        <v>292</v>
      </c>
      <c r="B199" s="19" t="str">
        <f t="shared" si="3"/>
        <v>SJUNAIDI</v>
      </c>
      <c r="C199" s="16" t="str">
        <f>VLOOKUP(B199,'Compiled Agents'!A:H,2,FALSE)</f>
        <v>Platform</v>
      </c>
      <c r="D199" s="16" t="str">
        <f>VLOOKUP(B199,'Compiled Agents'!A:H,4,FALSE)</f>
        <v>Noida</v>
      </c>
      <c r="E199" s="16" t="str">
        <f>VLOOKUP(B199,'Compiled Agents'!A:H,5,FALSE)</f>
        <v>Wave1</v>
      </c>
      <c r="F199" s="16" t="str">
        <f>VLOOKUP(B199,'Compiled Agents'!A:H,6,FALSE)</f>
        <v>Yellow</v>
      </c>
      <c r="G199" s="16">
        <f>VLOOKUP($A199,'SurveyRpt_20150223 (1)'!$A$34:$AN$735,6,FALSE)</f>
        <v>16</v>
      </c>
      <c r="H199" s="16" t="str">
        <f>VLOOKUP($A199,'SurveyRpt_20150223 (1)'!$A$34:$AN$735,8,FALSE)</f>
        <v>Yes</v>
      </c>
      <c r="I199" s="16" t="str">
        <f>VLOOKUP($A199,'SurveyRpt_20150223 (1)'!$A$34:$AN$735,10,FALSE)</f>
        <v>Yes</v>
      </c>
      <c r="J199" s="16" t="str">
        <f>VLOOKUP($A199,'SurveyRpt_20150223 (1)'!$A$34:$AN$735,12,FALSE)</f>
        <v>Yes</v>
      </c>
      <c r="K199" s="16" t="str">
        <f>VLOOKUP($A199,'SurveyRpt_20150223 (1)'!$A$34:$AN$735,14,FALSE)</f>
        <v>Yes</v>
      </c>
      <c r="L199" s="16" t="str">
        <f>VLOOKUP($A199,'SurveyRpt_20150223 (1)'!$A$34:$AN$735,16,FALSE)</f>
        <v>Yes</v>
      </c>
      <c r="M199" s="16" t="str">
        <f>VLOOKUP($A199,'SurveyRpt_20150223 (1)'!$A$34:$AN$735,18,FALSE)</f>
        <v>Yes</v>
      </c>
      <c r="N199" s="16" t="str">
        <f>VLOOKUP($A199,'SurveyRpt_20150223 (1)'!$A$34:$AN$735,20,FALSE)</f>
        <v>Yes</v>
      </c>
      <c r="O199" s="16" t="str">
        <f>VLOOKUP($A199,'SurveyRpt_20150223 (1)'!$A$34:$AN$735,22,FALSE)</f>
        <v>Yes</v>
      </c>
      <c r="P199" s="16" t="str">
        <f>VLOOKUP($A199,'SurveyRpt_20150223 (1)'!$A$34:$AN$735,24,FALSE)</f>
        <v>Yes</v>
      </c>
      <c r="Q199" s="16" t="str">
        <f>VLOOKUP($A199,'SurveyRpt_20150223 (1)'!$A$34:$AN$735,26,FALSE)</f>
        <v>Yes</v>
      </c>
      <c r="R199" s="16" t="str">
        <f>VLOOKUP($A199,'SurveyRpt_20150223 (1)'!$A$34:$AN$735,28,FALSE)</f>
        <v>Yes</v>
      </c>
      <c r="S199" s="16" t="str">
        <f>VLOOKUP($A199,'SurveyRpt_20150223 (1)'!$A$34:$AN$735,30,FALSE)</f>
        <v>Yes</v>
      </c>
      <c r="T199" s="16" t="str">
        <f>VLOOKUP($A199,'SurveyRpt_20150223 (1)'!$A$34:$AN$735,32,FALSE)</f>
        <v>Yes</v>
      </c>
      <c r="U199" s="16" t="str">
        <f>VLOOKUP($A199,'SurveyRpt_20150223 (1)'!$A$34:$AN$735,34,FALSE)</f>
        <v>Yes</v>
      </c>
      <c r="V199" s="16" t="str">
        <f>VLOOKUP($A199,'SurveyRpt_20150223 (1)'!$A$34:$AN$735,36,FALSE)</f>
        <v>Yes</v>
      </c>
      <c r="W199" s="16" t="str">
        <f>VLOOKUP($A199,'SurveyRpt_20150223 (1)'!$A$34:$AN$735,38,FALSE)</f>
        <v>Yes</v>
      </c>
    </row>
    <row r="200" spans="1:23" ht="13.5" customHeight="1" x14ac:dyDescent="0.25">
      <c r="A200" s="19" t="s">
        <v>293</v>
      </c>
      <c r="B200" s="19" t="str">
        <f t="shared" si="3"/>
        <v>jmartinezbro</v>
      </c>
      <c r="C200" s="16" t="str">
        <f>VLOOKUP(B200,'Compiled Agents'!A:H,2,FALSE)</f>
        <v>Platform</v>
      </c>
      <c r="D200" s="16" t="str">
        <f>VLOOKUP(B200,'Compiled Agents'!A:H,4,FALSE)</f>
        <v>Spain</v>
      </c>
      <c r="E200" s="16" t="str">
        <f>VLOOKUP(B200,'Compiled Agents'!A:H,5,FALSE)</f>
        <v>Wave1</v>
      </c>
      <c r="F200" s="16" t="str">
        <f>VLOOKUP(B200,'Compiled Agents'!A:H,6,FALSE)</f>
        <v>Orange</v>
      </c>
      <c r="G200" s="16">
        <f>VLOOKUP($A200,'SurveyRpt_20150223 (1)'!$A$34:$AN$735,6,FALSE)</f>
        <v>16</v>
      </c>
      <c r="H200" s="16" t="str">
        <f>VLOOKUP($A200,'SurveyRpt_20150223 (1)'!$A$34:$AN$735,8,FALSE)</f>
        <v>Yes</v>
      </c>
      <c r="I200" s="16" t="str">
        <f>VLOOKUP($A200,'SurveyRpt_20150223 (1)'!$A$34:$AN$735,10,FALSE)</f>
        <v>Yes</v>
      </c>
      <c r="J200" s="16" t="str">
        <f>VLOOKUP($A200,'SurveyRpt_20150223 (1)'!$A$34:$AN$735,12,FALSE)</f>
        <v>Yes</v>
      </c>
      <c r="K200" s="16" t="str">
        <f>VLOOKUP($A200,'SurveyRpt_20150223 (1)'!$A$34:$AN$735,14,FALSE)</f>
        <v>Yes</v>
      </c>
      <c r="L200" s="16" t="str">
        <f>VLOOKUP($A200,'SurveyRpt_20150223 (1)'!$A$34:$AN$735,16,FALSE)</f>
        <v>Yes</v>
      </c>
      <c r="M200" s="16" t="str">
        <f>VLOOKUP($A200,'SurveyRpt_20150223 (1)'!$A$34:$AN$735,18,FALSE)</f>
        <v>Yes</v>
      </c>
      <c r="N200" s="16" t="str">
        <f>VLOOKUP($A200,'SurveyRpt_20150223 (1)'!$A$34:$AN$735,20,FALSE)</f>
        <v>Yes</v>
      </c>
      <c r="O200" s="16" t="str">
        <f>VLOOKUP($A200,'SurveyRpt_20150223 (1)'!$A$34:$AN$735,22,FALSE)</f>
        <v>Yes</v>
      </c>
      <c r="P200" s="16" t="str">
        <f>VLOOKUP($A200,'SurveyRpt_20150223 (1)'!$A$34:$AN$735,24,FALSE)</f>
        <v>Yes</v>
      </c>
      <c r="Q200" s="16" t="str">
        <f>VLOOKUP($A200,'SurveyRpt_20150223 (1)'!$A$34:$AN$735,26,FALSE)</f>
        <v>Yes</v>
      </c>
      <c r="R200" s="16" t="str">
        <f>VLOOKUP($A200,'SurveyRpt_20150223 (1)'!$A$34:$AN$735,28,FALSE)</f>
        <v>Yes</v>
      </c>
      <c r="S200" s="16" t="str">
        <f>VLOOKUP($A200,'SurveyRpt_20150223 (1)'!$A$34:$AN$735,30,FALSE)</f>
        <v>Yes</v>
      </c>
      <c r="T200" s="16" t="str">
        <f>VLOOKUP($A200,'SurveyRpt_20150223 (1)'!$A$34:$AN$735,32,FALSE)</f>
        <v>Yes</v>
      </c>
      <c r="U200" s="16" t="str">
        <f>VLOOKUP($A200,'SurveyRpt_20150223 (1)'!$A$34:$AN$735,34,FALSE)</f>
        <v>Yes</v>
      </c>
      <c r="V200" s="16" t="str">
        <f>VLOOKUP($A200,'SurveyRpt_20150223 (1)'!$A$34:$AN$735,36,FALSE)</f>
        <v>Yes</v>
      </c>
      <c r="W200" s="16" t="str">
        <f>VLOOKUP($A200,'SurveyRpt_20150223 (1)'!$A$34:$AN$735,38,FALSE)</f>
        <v>Yes</v>
      </c>
    </row>
    <row r="201" spans="1:23" ht="13.5" customHeight="1" x14ac:dyDescent="0.25">
      <c r="A201" s="19" t="s">
        <v>294</v>
      </c>
      <c r="B201" s="19" t="str">
        <f t="shared" si="3"/>
        <v>jsenamartin</v>
      </c>
      <c r="C201" s="16" t="str">
        <f>VLOOKUP(B201,'Compiled Agents'!A:H,2,FALSE)</f>
        <v>Platform</v>
      </c>
      <c r="D201" s="16" t="str">
        <f>VLOOKUP(B201,'Compiled Agents'!A:H,4,FALSE)</f>
        <v>Spain</v>
      </c>
      <c r="E201" s="16" t="str">
        <f>VLOOKUP(B201,'Compiled Agents'!A:H,5,FALSE)</f>
        <v>Wave1</v>
      </c>
      <c r="F201" s="16" t="str">
        <f>VLOOKUP(B201,'Compiled Agents'!A:H,6,FALSE)</f>
        <v>Yellow</v>
      </c>
      <c r="G201" s="16">
        <f>VLOOKUP($A201,'SurveyRpt_20150223 (1)'!$A$34:$AN$735,6,FALSE)</f>
        <v>11</v>
      </c>
      <c r="H201" s="16" t="str">
        <f>VLOOKUP($A201,'SurveyRpt_20150223 (1)'!$A$34:$AN$735,8,FALSE)</f>
        <v>Yes</v>
      </c>
      <c r="I201" s="16" t="str">
        <f>VLOOKUP($A201,'SurveyRpt_20150223 (1)'!$A$34:$AN$735,10,FALSE)</f>
        <v>No</v>
      </c>
      <c r="J201" s="16" t="str">
        <f>VLOOKUP($A201,'SurveyRpt_20150223 (1)'!$A$34:$AN$735,12,FALSE)</f>
        <v>Yes</v>
      </c>
      <c r="K201" s="16" t="str">
        <f>VLOOKUP($A201,'SurveyRpt_20150223 (1)'!$A$34:$AN$735,14,FALSE)</f>
        <v>No</v>
      </c>
      <c r="L201" s="16" t="str">
        <f>VLOOKUP($A201,'SurveyRpt_20150223 (1)'!$A$34:$AN$735,16,FALSE)</f>
        <v>Yes</v>
      </c>
      <c r="M201" s="16" t="str">
        <f>VLOOKUP($A201,'SurveyRpt_20150223 (1)'!$A$34:$AN$735,18,FALSE)</f>
        <v>Yes</v>
      </c>
      <c r="N201" s="16" t="str">
        <f>VLOOKUP($A201,'SurveyRpt_20150223 (1)'!$A$34:$AN$735,20,FALSE)</f>
        <v>Yes</v>
      </c>
      <c r="O201" s="16" t="str">
        <f>VLOOKUP($A201,'SurveyRpt_20150223 (1)'!$A$34:$AN$735,22,FALSE)</f>
        <v>No</v>
      </c>
      <c r="P201" s="16" t="str">
        <f>VLOOKUP($A201,'SurveyRpt_20150223 (1)'!$A$34:$AN$735,24,FALSE)</f>
        <v>Yes</v>
      </c>
      <c r="Q201" s="16" t="str">
        <f>VLOOKUP($A201,'SurveyRpt_20150223 (1)'!$A$34:$AN$735,26,FALSE)</f>
        <v>Yes</v>
      </c>
      <c r="R201" s="16" t="str">
        <f>VLOOKUP($A201,'SurveyRpt_20150223 (1)'!$A$34:$AN$735,28,FALSE)</f>
        <v>Yes</v>
      </c>
      <c r="S201" s="16" t="str">
        <f>VLOOKUP($A201,'SurveyRpt_20150223 (1)'!$A$34:$AN$735,30,FALSE)</f>
        <v>Yes</v>
      </c>
      <c r="T201" s="16" t="str">
        <f>VLOOKUP($A201,'SurveyRpt_20150223 (1)'!$A$34:$AN$735,32,FALSE)</f>
        <v>No</v>
      </c>
      <c r="U201" s="16" t="str">
        <f>VLOOKUP($A201,'SurveyRpt_20150223 (1)'!$A$34:$AN$735,34,FALSE)</f>
        <v>Yes</v>
      </c>
      <c r="V201" s="16" t="str">
        <f>VLOOKUP($A201,'SurveyRpt_20150223 (1)'!$A$34:$AN$735,36,FALSE)</f>
        <v>Yes</v>
      </c>
      <c r="W201" s="16" t="str">
        <f>VLOOKUP($A201,'SurveyRpt_20150223 (1)'!$A$34:$AN$735,38,FALSE)</f>
        <v>No</v>
      </c>
    </row>
    <row r="202" spans="1:23" ht="13.5" customHeight="1" x14ac:dyDescent="0.25">
      <c r="A202" s="19" t="s">
        <v>295</v>
      </c>
      <c r="B202" s="19" t="str">
        <f t="shared" si="3"/>
        <v>ARAFEY</v>
      </c>
      <c r="C202" s="16" t="str">
        <f>VLOOKUP(B202,'Compiled Agents'!A:H,2,FALSE)</f>
        <v>Platform</v>
      </c>
      <c r="D202" s="16" t="str">
        <f>VLOOKUP(B202,'Compiled Agents'!A:H,4,FALSE)</f>
        <v>Noida</v>
      </c>
      <c r="E202" s="16" t="str">
        <f>VLOOKUP(B202,'Compiled Agents'!A:H,5,FALSE)</f>
        <v>Wave2</v>
      </c>
      <c r="F202" s="16" t="str">
        <f>VLOOKUP(B202,'Compiled Agents'!A:H,6,FALSE)</f>
        <v>Yellow</v>
      </c>
      <c r="G202" s="16">
        <f>VLOOKUP($A202,'SurveyRpt_20150223 (1)'!$A$34:$AN$735,6,FALSE)</f>
        <v>9</v>
      </c>
      <c r="H202" s="16" t="str">
        <f>VLOOKUP($A202,'SurveyRpt_20150223 (1)'!$A$34:$AN$735,8,FALSE)</f>
        <v>No</v>
      </c>
      <c r="I202" s="16" t="str">
        <f>VLOOKUP($A202,'SurveyRpt_20150223 (1)'!$A$34:$AN$735,10,FALSE)</f>
        <v>Yes</v>
      </c>
      <c r="J202" s="16" t="str">
        <f>VLOOKUP($A202,'SurveyRpt_20150223 (1)'!$A$34:$AN$735,12,FALSE)</f>
        <v>No</v>
      </c>
      <c r="K202" s="16" t="str">
        <f>VLOOKUP($A202,'SurveyRpt_20150223 (1)'!$A$34:$AN$735,14,FALSE)</f>
        <v>No</v>
      </c>
      <c r="L202" s="16" t="str">
        <f>VLOOKUP($A202,'SurveyRpt_20150223 (1)'!$A$34:$AN$735,16,FALSE)</f>
        <v>Yes</v>
      </c>
      <c r="M202" s="16" t="str">
        <f>VLOOKUP($A202,'SurveyRpt_20150223 (1)'!$A$34:$AN$735,18,FALSE)</f>
        <v>Yes</v>
      </c>
      <c r="N202" s="16" t="str">
        <f>VLOOKUP($A202,'SurveyRpt_20150223 (1)'!$A$34:$AN$735,20,FALSE)</f>
        <v>Yes</v>
      </c>
      <c r="O202" s="16" t="str">
        <f>VLOOKUP($A202,'SurveyRpt_20150223 (1)'!$A$34:$AN$735,22,FALSE)</f>
        <v>Yes</v>
      </c>
      <c r="P202" s="16" t="str">
        <f>VLOOKUP($A202,'SurveyRpt_20150223 (1)'!$A$34:$AN$735,24,FALSE)</f>
        <v>Yes</v>
      </c>
      <c r="Q202" s="16" t="str">
        <f>VLOOKUP($A202,'SurveyRpt_20150223 (1)'!$A$34:$AN$735,26,FALSE)</f>
        <v>Yes</v>
      </c>
      <c r="R202" s="16" t="str">
        <f>VLOOKUP($A202,'SurveyRpt_20150223 (1)'!$A$34:$AN$735,28,FALSE)</f>
        <v>Yes</v>
      </c>
      <c r="S202" s="16" t="str">
        <f>VLOOKUP($A202,'SurveyRpt_20150223 (1)'!$A$34:$AN$735,30,FALSE)</f>
        <v>Yes</v>
      </c>
      <c r="T202" s="16" t="str">
        <f>VLOOKUP($A202,'SurveyRpt_20150223 (1)'!$A$34:$AN$735,32,FALSE)</f>
        <v>No</v>
      </c>
      <c r="U202" s="16" t="str">
        <f>VLOOKUP($A202,'SurveyRpt_20150223 (1)'!$A$34:$AN$735,34,FALSE)</f>
        <v>No</v>
      </c>
      <c r="V202" s="16" t="str">
        <f>VLOOKUP($A202,'SurveyRpt_20150223 (1)'!$A$34:$AN$735,36,FALSE)</f>
        <v>No</v>
      </c>
      <c r="W202" s="16" t="str">
        <f>VLOOKUP($A202,'SurveyRpt_20150223 (1)'!$A$34:$AN$735,38,FALSE)</f>
        <v>No</v>
      </c>
    </row>
    <row r="203" spans="1:23" ht="13.5" customHeight="1" x14ac:dyDescent="0.25">
      <c r="A203" s="19" t="s">
        <v>296</v>
      </c>
      <c r="B203" s="19" t="str">
        <f t="shared" si="3"/>
        <v>ASINGH284</v>
      </c>
      <c r="C203" s="16" t="str">
        <f>VLOOKUP(B203,'Compiled Agents'!A:H,2,FALSE)</f>
        <v>Platform</v>
      </c>
      <c r="D203" s="16" t="str">
        <f>VLOOKUP(B203,'Compiled Agents'!A:H,4,FALSE)</f>
        <v>Noida</v>
      </c>
      <c r="E203" s="16" t="str">
        <f>VLOOKUP(B203,'Compiled Agents'!A:H,5,FALSE)</f>
        <v>Wave2</v>
      </c>
      <c r="F203" s="16" t="str">
        <f>VLOOKUP(B203,'Compiled Agents'!A:H,6,FALSE)</f>
        <v>Yellow</v>
      </c>
      <c r="G203" s="16">
        <f>VLOOKUP($A203,'SurveyRpt_20150223 (1)'!$A$34:$AN$735,6,FALSE)</f>
        <v>16</v>
      </c>
      <c r="H203" s="16" t="str">
        <f>VLOOKUP($A203,'SurveyRpt_20150223 (1)'!$A$34:$AN$735,8,FALSE)</f>
        <v>Yes</v>
      </c>
      <c r="I203" s="16" t="str">
        <f>VLOOKUP($A203,'SurveyRpt_20150223 (1)'!$A$34:$AN$735,10,FALSE)</f>
        <v>Yes</v>
      </c>
      <c r="J203" s="16" t="str">
        <f>VLOOKUP($A203,'SurveyRpt_20150223 (1)'!$A$34:$AN$735,12,FALSE)</f>
        <v>Yes</v>
      </c>
      <c r="K203" s="16" t="str">
        <f>VLOOKUP($A203,'SurveyRpt_20150223 (1)'!$A$34:$AN$735,14,FALSE)</f>
        <v>Yes</v>
      </c>
      <c r="L203" s="16" t="str">
        <f>VLOOKUP($A203,'SurveyRpt_20150223 (1)'!$A$34:$AN$735,16,FALSE)</f>
        <v>Yes</v>
      </c>
      <c r="M203" s="16" t="str">
        <f>VLOOKUP($A203,'SurveyRpt_20150223 (1)'!$A$34:$AN$735,18,FALSE)</f>
        <v>Yes</v>
      </c>
      <c r="N203" s="16" t="str">
        <f>VLOOKUP($A203,'SurveyRpt_20150223 (1)'!$A$34:$AN$735,20,FALSE)</f>
        <v>Yes</v>
      </c>
      <c r="O203" s="16" t="str">
        <f>VLOOKUP($A203,'SurveyRpt_20150223 (1)'!$A$34:$AN$735,22,FALSE)</f>
        <v>Yes</v>
      </c>
      <c r="P203" s="16" t="str">
        <f>VLOOKUP($A203,'SurveyRpt_20150223 (1)'!$A$34:$AN$735,24,FALSE)</f>
        <v>Yes</v>
      </c>
      <c r="Q203" s="16" t="str">
        <f>VLOOKUP($A203,'SurveyRpt_20150223 (1)'!$A$34:$AN$735,26,FALSE)</f>
        <v>Yes</v>
      </c>
      <c r="R203" s="16" t="str">
        <f>VLOOKUP($A203,'SurveyRpt_20150223 (1)'!$A$34:$AN$735,28,FALSE)</f>
        <v>Yes</v>
      </c>
      <c r="S203" s="16" t="str">
        <f>VLOOKUP($A203,'SurveyRpt_20150223 (1)'!$A$34:$AN$735,30,FALSE)</f>
        <v>Yes</v>
      </c>
      <c r="T203" s="16" t="str">
        <f>VLOOKUP($A203,'SurveyRpt_20150223 (1)'!$A$34:$AN$735,32,FALSE)</f>
        <v>Yes</v>
      </c>
      <c r="U203" s="16" t="str">
        <f>VLOOKUP($A203,'SurveyRpt_20150223 (1)'!$A$34:$AN$735,34,FALSE)</f>
        <v>Yes</v>
      </c>
      <c r="V203" s="16" t="str">
        <f>VLOOKUP($A203,'SurveyRpt_20150223 (1)'!$A$34:$AN$735,36,FALSE)</f>
        <v>Yes</v>
      </c>
      <c r="W203" s="16" t="str">
        <f>VLOOKUP($A203,'SurveyRpt_20150223 (1)'!$A$34:$AN$735,38,FALSE)</f>
        <v>Yes</v>
      </c>
    </row>
    <row r="204" spans="1:23" ht="13.5" customHeight="1" x14ac:dyDescent="0.25">
      <c r="A204" s="19" t="s">
        <v>297</v>
      </c>
      <c r="B204" s="19" t="str">
        <f t="shared" si="3"/>
        <v>DBABU9</v>
      </c>
      <c r="C204" s="16" t="str">
        <f>VLOOKUP(B204,'Compiled Agents'!A:H,2,FALSE)</f>
        <v>Platform</v>
      </c>
      <c r="D204" s="16" t="str">
        <f>VLOOKUP(B204,'Compiled Agents'!A:H,4,FALSE)</f>
        <v>Hyderabad</v>
      </c>
      <c r="E204" s="16" t="str">
        <f>VLOOKUP(B204,'Compiled Agents'!A:H,5,FALSE)</f>
        <v>Wave1</v>
      </c>
      <c r="F204" s="16" t="str">
        <f>VLOOKUP(B204,'Compiled Agents'!A:H,6,FALSE)</f>
        <v>Purple</v>
      </c>
      <c r="G204" s="16">
        <f>VLOOKUP($A204,'SurveyRpt_20150223 (1)'!$A$34:$AN$735,6,FALSE)</f>
        <v>16</v>
      </c>
      <c r="H204" s="16" t="str">
        <f>VLOOKUP($A204,'SurveyRpt_20150223 (1)'!$A$34:$AN$735,8,FALSE)</f>
        <v>Yes</v>
      </c>
      <c r="I204" s="16" t="str">
        <f>VLOOKUP($A204,'SurveyRpt_20150223 (1)'!$A$34:$AN$735,10,FALSE)</f>
        <v>Yes</v>
      </c>
      <c r="J204" s="16" t="str">
        <f>VLOOKUP($A204,'SurveyRpt_20150223 (1)'!$A$34:$AN$735,12,FALSE)</f>
        <v>Yes</v>
      </c>
      <c r="K204" s="16" t="str">
        <f>VLOOKUP($A204,'SurveyRpt_20150223 (1)'!$A$34:$AN$735,14,FALSE)</f>
        <v>Yes</v>
      </c>
      <c r="L204" s="16" t="str">
        <f>VLOOKUP($A204,'SurveyRpt_20150223 (1)'!$A$34:$AN$735,16,FALSE)</f>
        <v>Yes</v>
      </c>
      <c r="M204" s="16" t="str">
        <f>VLOOKUP($A204,'SurveyRpt_20150223 (1)'!$A$34:$AN$735,18,FALSE)</f>
        <v>Yes</v>
      </c>
      <c r="N204" s="16" t="str">
        <f>VLOOKUP($A204,'SurveyRpt_20150223 (1)'!$A$34:$AN$735,20,FALSE)</f>
        <v>Yes</v>
      </c>
      <c r="O204" s="16" t="str">
        <f>VLOOKUP($A204,'SurveyRpt_20150223 (1)'!$A$34:$AN$735,22,FALSE)</f>
        <v>Yes</v>
      </c>
      <c r="P204" s="16" t="str">
        <f>VLOOKUP($A204,'SurveyRpt_20150223 (1)'!$A$34:$AN$735,24,FALSE)</f>
        <v>Yes</v>
      </c>
      <c r="Q204" s="16" t="str">
        <f>VLOOKUP($A204,'SurveyRpt_20150223 (1)'!$A$34:$AN$735,26,FALSE)</f>
        <v>Yes</v>
      </c>
      <c r="R204" s="16" t="str">
        <f>VLOOKUP($A204,'SurveyRpt_20150223 (1)'!$A$34:$AN$735,28,FALSE)</f>
        <v>Yes</v>
      </c>
      <c r="S204" s="16" t="str">
        <f>VLOOKUP($A204,'SurveyRpt_20150223 (1)'!$A$34:$AN$735,30,FALSE)</f>
        <v>Yes</v>
      </c>
      <c r="T204" s="16" t="str">
        <f>VLOOKUP($A204,'SurveyRpt_20150223 (1)'!$A$34:$AN$735,32,FALSE)</f>
        <v>Yes</v>
      </c>
      <c r="U204" s="16" t="str">
        <f>VLOOKUP($A204,'SurveyRpt_20150223 (1)'!$A$34:$AN$735,34,FALSE)</f>
        <v>Yes</v>
      </c>
      <c r="V204" s="16" t="str">
        <f>VLOOKUP($A204,'SurveyRpt_20150223 (1)'!$A$34:$AN$735,36,FALSE)</f>
        <v>Yes</v>
      </c>
      <c r="W204" s="16" t="str">
        <f>VLOOKUP($A204,'SurveyRpt_20150223 (1)'!$A$34:$AN$735,38,FALSE)</f>
        <v>Yes</v>
      </c>
    </row>
    <row r="205" spans="1:23" ht="13.5" customHeight="1" x14ac:dyDescent="0.25">
      <c r="A205" s="19" t="s">
        <v>298</v>
      </c>
      <c r="B205" s="19" t="str">
        <f t="shared" si="3"/>
        <v>BJANGRA</v>
      </c>
      <c r="C205" s="16" t="str">
        <f>VLOOKUP(B205,'Compiled Agents'!A:H,2,FALSE)</f>
        <v>Platform</v>
      </c>
      <c r="D205" s="16" t="str">
        <f>VLOOKUP(B205,'Compiled Agents'!A:H,4,FALSE)</f>
        <v>Noida</v>
      </c>
      <c r="E205" s="16" t="str">
        <f>VLOOKUP(B205,'Compiled Agents'!A:H,5,FALSE)</f>
        <v>Wave2</v>
      </c>
      <c r="F205" s="16" t="str">
        <f>VLOOKUP(B205,'Compiled Agents'!A:H,6,FALSE)</f>
        <v>Brown</v>
      </c>
      <c r="G205" s="16">
        <f>VLOOKUP($A205,'SurveyRpt_20150223 (1)'!$A$34:$AN$735,6,FALSE)</f>
        <v>15</v>
      </c>
      <c r="H205" s="16" t="str">
        <f>VLOOKUP($A205,'SurveyRpt_20150223 (1)'!$A$34:$AN$735,8,FALSE)</f>
        <v>Yes</v>
      </c>
      <c r="I205" s="16" t="str">
        <f>VLOOKUP($A205,'SurveyRpt_20150223 (1)'!$A$34:$AN$735,10,FALSE)</f>
        <v>Yes</v>
      </c>
      <c r="J205" s="16" t="str">
        <f>VLOOKUP($A205,'SurveyRpt_20150223 (1)'!$A$34:$AN$735,12,FALSE)</f>
        <v>Yes</v>
      </c>
      <c r="K205" s="16" t="str">
        <f>VLOOKUP($A205,'SurveyRpt_20150223 (1)'!$A$34:$AN$735,14,FALSE)</f>
        <v>Yes</v>
      </c>
      <c r="L205" s="16" t="str">
        <f>VLOOKUP($A205,'SurveyRpt_20150223 (1)'!$A$34:$AN$735,16,FALSE)</f>
        <v>Yes</v>
      </c>
      <c r="M205" s="16" t="str">
        <f>VLOOKUP($A205,'SurveyRpt_20150223 (1)'!$A$34:$AN$735,18,FALSE)</f>
        <v>Yes</v>
      </c>
      <c r="N205" s="16" t="str">
        <f>VLOOKUP($A205,'SurveyRpt_20150223 (1)'!$A$34:$AN$735,20,FALSE)</f>
        <v>Yes</v>
      </c>
      <c r="O205" s="16" t="str">
        <f>VLOOKUP($A205,'SurveyRpt_20150223 (1)'!$A$34:$AN$735,22,FALSE)</f>
        <v>Yes</v>
      </c>
      <c r="P205" s="16" t="str">
        <f>VLOOKUP($A205,'SurveyRpt_20150223 (1)'!$A$34:$AN$735,24,FALSE)</f>
        <v>Yes</v>
      </c>
      <c r="Q205" s="16" t="str">
        <f>VLOOKUP($A205,'SurveyRpt_20150223 (1)'!$A$34:$AN$735,26,FALSE)</f>
        <v>Yes</v>
      </c>
      <c r="R205" s="16" t="str">
        <f>VLOOKUP($A205,'SurveyRpt_20150223 (1)'!$A$34:$AN$735,28,FALSE)</f>
        <v>Yes</v>
      </c>
      <c r="S205" s="16" t="str">
        <f>VLOOKUP($A205,'SurveyRpt_20150223 (1)'!$A$34:$AN$735,30,FALSE)</f>
        <v>Yes</v>
      </c>
      <c r="T205" s="16" t="str">
        <f>VLOOKUP($A205,'SurveyRpt_20150223 (1)'!$A$34:$AN$735,32,FALSE)</f>
        <v>Yes</v>
      </c>
      <c r="U205" s="16" t="str">
        <f>VLOOKUP($A205,'SurveyRpt_20150223 (1)'!$A$34:$AN$735,34,FALSE)</f>
        <v>Yes</v>
      </c>
      <c r="V205" s="16" t="str">
        <f>VLOOKUP($A205,'SurveyRpt_20150223 (1)'!$A$34:$AN$735,36,FALSE)</f>
        <v>Yes</v>
      </c>
      <c r="W205" s="16" t="str">
        <f>VLOOKUP($A205,'SurveyRpt_20150223 (1)'!$A$34:$AN$735,38,FALSE)</f>
        <v>No</v>
      </c>
    </row>
    <row r="206" spans="1:23" ht="13.5" customHeight="1" x14ac:dyDescent="0.25">
      <c r="A206" s="19" t="s">
        <v>299</v>
      </c>
      <c r="B206" s="19" t="str">
        <f t="shared" si="3"/>
        <v>DMUDUNURU</v>
      </c>
      <c r="C206" s="16" t="str">
        <f>VLOOKUP(B206,'Compiled Agents'!A:H,2,FALSE)</f>
        <v>Platform</v>
      </c>
      <c r="D206" s="16" t="str">
        <f>VLOOKUP(B206,'Compiled Agents'!A:H,4,FALSE)</f>
        <v>Hyderabad</v>
      </c>
      <c r="E206" s="16" t="str">
        <f>VLOOKUP(B206,'Compiled Agents'!A:H,5,FALSE)</f>
        <v>Wave1</v>
      </c>
      <c r="F206" s="16" t="str">
        <f>VLOOKUP(B206,'Compiled Agents'!A:H,6,FALSE)</f>
        <v>Yellow</v>
      </c>
      <c r="G206" s="16">
        <f>VLOOKUP($A206,'SurveyRpt_20150223 (1)'!$A$34:$AN$735,6,FALSE)</f>
        <v>16</v>
      </c>
      <c r="H206" s="16" t="str">
        <f>VLOOKUP($A206,'SurveyRpt_20150223 (1)'!$A$34:$AN$735,8,FALSE)</f>
        <v>Yes</v>
      </c>
      <c r="I206" s="16" t="str">
        <f>VLOOKUP($A206,'SurveyRpt_20150223 (1)'!$A$34:$AN$735,10,FALSE)</f>
        <v>Yes</v>
      </c>
      <c r="J206" s="16" t="str">
        <f>VLOOKUP($A206,'SurveyRpt_20150223 (1)'!$A$34:$AN$735,12,FALSE)</f>
        <v>Yes</v>
      </c>
      <c r="K206" s="16" t="str">
        <f>VLOOKUP($A206,'SurveyRpt_20150223 (1)'!$A$34:$AN$735,14,FALSE)</f>
        <v>Yes</v>
      </c>
      <c r="L206" s="16" t="str">
        <f>VLOOKUP($A206,'SurveyRpt_20150223 (1)'!$A$34:$AN$735,16,FALSE)</f>
        <v>Yes</v>
      </c>
      <c r="M206" s="16" t="str">
        <f>VLOOKUP($A206,'SurveyRpt_20150223 (1)'!$A$34:$AN$735,18,FALSE)</f>
        <v>Yes</v>
      </c>
      <c r="N206" s="16" t="str">
        <f>VLOOKUP($A206,'SurveyRpt_20150223 (1)'!$A$34:$AN$735,20,FALSE)</f>
        <v>Yes</v>
      </c>
      <c r="O206" s="16" t="str">
        <f>VLOOKUP($A206,'SurveyRpt_20150223 (1)'!$A$34:$AN$735,22,FALSE)</f>
        <v>Yes</v>
      </c>
      <c r="P206" s="16" t="str">
        <f>VLOOKUP($A206,'SurveyRpt_20150223 (1)'!$A$34:$AN$735,24,FALSE)</f>
        <v>Yes</v>
      </c>
      <c r="Q206" s="16" t="str">
        <f>VLOOKUP($A206,'SurveyRpt_20150223 (1)'!$A$34:$AN$735,26,FALSE)</f>
        <v>Yes</v>
      </c>
      <c r="R206" s="16" t="str">
        <f>VLOOKUP($A206,'SurveyRpt_20150223 (1)'!$A$34:$AN$735,28,FALSE)</f>
        <v>Yes</v>
      </c>
      <c r="S206" s="16" t="str">
        <f>VLOOKUP($A206,'SurveyRpt_20150223 (1)'!$A$34:$AN$735,30,FALSE)</f>
        <v>Yes</v>
      </c>
      <c r="T206" s="16" t="str">
        <f>VLOOKUP($A206,'SurveyRpt_20150223 (1)'!$A$34:$AN$735,32,FALSE)</f>
        <v>Yes</v>
      </c>
      <c r="U206" s="16" t="str">
        <f>VLOOKUP($A206,'SurveyRpt_20150223 (1)'!$A$34:$AN$735,34,FALSE)</f>
        <v>Yes</v>
      </c>
      <c r="V206" s="16" t="str">
        <f>VLOOKUP($A206,'SurveyRpt_20150223 (1)'!$A$34:$AN$735,36,FALSE)</f>
        <v>Yes</v>
      </c>
      <c r="W206" s="16" t="str">
        <f>VLOOKUP($A206,'SurveyRpt_20150223 (1)'!$A$34:$AN$735,38,FALSE)</f>
        <v>Yes</v>
      </c>
    </row>
    <row r="207" spans="1:23" ht="13.5" customHeight="1" x14ac:dyDescent="0.25">
      <c r="A207" s="19" t="s">
        <v>300</v>
      </c>
      <c r="B207" s="19" t="str">
        <f t="shared" si="3"/>
        <v>NANSARI3</v>
      </c>
      <c r="C207" s="16" t="str">
        <f>VLOOKUP(B207,'Compiled Agents'!A:H,2,FALSE)</f>
        <v>Platform</v>
      </c>
      <c r="D207" s="16" t="str">
        <f>VLOOKUP(B207,'Compiled Agents'!A:H,4,FALSE)</f>
        <v>Noida</v>
      </c>
      <c r="E207" s="16" t="str">
        <f>VLOOKUP(B207,'Compiled Agents'!A:H,5,FALSE)</f>
        <v>Wave1</v>
      </c>
      <c r="F207" s="16" t="str">
        <f>VLOOKUP(B207,'Compiled Agents'!A:H,6,FALSE)</f>
        <v>Yellow</v>
      </c>
      <c r="G207" s="16">
        <f>VLOOKUP($A207,'SurveyRpt_20150223 (1)'!$A$34:$AN$735,6,FALSE)</f>
        <v>16</v>
      </c>
      <c r="H207" s="16" t="str">
        <f>VLOOKUP($A207,'SurveyRpt_20150223 (1)'!$A$34:$AN$735,8,FALSE)</f>
        <v>Yes</v>
      </c>
      <c r="I207" s="16" t="str">
        <f>VLOOKUP($A207,'SurveyRpt_20150223 (1)'!$A$34:$AN$735,10,FALSE)</f>
        <v>Yes</v>
      </c>
      <c r="J207" s="16" t="str">
        <f>VLOOKUP($A207,'SurveyRpt_20150223 (1)'!$A$34:$AN$735,12,FALSE)</f>
        <v>Yes</v>
      </c>
      <c r="K207" s="16" t="str">
        <f>VLOOKUP($A207,'SurveyRpt_20150223 (1)'!$A$34:$AN$735,14,FALSE)</f>
        <v>Yes</v>
      </c>
      <c r="L207" s="16" t="str">
        <f>VLOOKUP($A207,'SurveyRpt_20150223 (1)'!$A$34:$AN$735,16,FALSE)</f>
        <v>Yes</v>
      </c>
      <c r="M207" s="16" t="str">
        <f>VLOOKUP($A207,'SurveyRpt_20150223 (1)'!$A$34:$AN$735,18,FALSE)</f>
        <v>Yes</v>
      </c>
      <c r="N207" s="16" t="str">
        <f>VLOOKUP($A207,'SurveyRpt_20150223 (1)'!$A$34:$AN$735,20,FALSE)</f>
        <v>Yes</v>
      </c>
      <c r="O207" s="16" t="str">
        <f>VLOOKUP($A207,'SurveyRpt_20150223 (1)'!$A$34:$AN$735,22,FALSE)</f>
        <v>Yes</v>
      </c>
      <c r="P207" s="16" t="str">
        <f>VLOOKUP($A207,'SurveyRpt_20150223 (1)'!$A$34:$AN$735,24,FALSE)</f>
        <v>Yes</v>
      </c>
      <c r="Q207" s="16" t="str">
        <f>VLOOKUP($A207,'SurveyRpt_20150223 (1)'!$A$34:$AN$735,26,FALSE)</f>
        <v>Yes</v>
      </c>
      <c r="R207" s="16" t="str">
        <f>VLOOKUP($A207,'SurveyRpt_20150223 (1)'!$A$34:$AN$735,28,FALSE)</f>
        <v>Yes</v>
      </c>
      <c r="S207" s="16" t="str">
        <f>VLOOKUP($A207,'SurveyRpt_20150223 (1)'!$A$34:$AN$735,30,FALSE)</f>
        <v>Yes</v>
      </c>
      <c r="T207" s="16" t="str">
        <f>VLOOKUP($A207,'SurveyRpt_20150223 (1)'!$A$34:$AN$735,32,FALSE)</f>
        <v>Yes</v>
      </c>
      <c r="U207" s="16" t="str">
        <f>VLOOKUP($A207,'SurveyRpt_20150223 (1)'!$A$34:$AN$735,34,FALSE)</f>
        <v>Yes</v>
      </c>
      <c r="V207" s="16" t="str">
        <f>VLOOKUP($A207,'SurveyRpt_20150223 (1)'!$A$34:$AN$735,36,FALSE)</f>
        <v>Yes</v>
      </c>
      <c r="W207" s="16" t="str">
        <f>VLOOKUP($A207,'SurveyRpt_20150223 (1)'!$A$34:$AN$735,38,FALSE)</f>
        <v>Yes</v>
      </c>
    </row>
    <row r="208" spans="1:23" ht="13.5" customHeight="1" x14ac:dyDescent="0.25">
      <c r="A208" s="19" t="s">
        <v>301</v>
      </c>
      <c r="B208" s="19" t="str">
        <f t="shared" si="3"/>
        <v>VNANDIGAMA</v>
      </c>
      <c r="C208" s="16" t="str">
        <f>VLOOKUP(B208,'Compiled Agents'!A:H,2,FALSE)</f>
        <v>Platform</v>
      </c>
      <c r="D208" s="16" t="str">
        <f>VLOOKUP(B208,'Compiled Agents'!A:H,4,FALSE)</f>
        <v>Noida</v>
      </c>
      <c r="E208" s="16" t="str">
        <f>VLOOKUP(B208,'Compiled Agents'!A:H,5,FALSE)</f>
        <v>Wave1</v>
      </c>
      <c r="F208" s="16" t="str">
        <f>VLOOKUP(B208,'Compiled Agents'!A:H,6,FALSE)</f>
        <v>Purple</v>
      </c>
      <c r="G208" s="16">
        <f>VLOOKUP($A208,'SurveyRpt_20150223 (1)'!$A$34:$AN$735,6,FALSE)</f>
        <v>16</v>
      </c>
      <c r="H208" s="16" t="str">
        <f>VLOOKUP($A208,'SurveyRpt_20150223 (1)'!$A$34:$AN$735,8,FALSE)</f>
        <v>Yes</v>
      </c>
      <c r="I208" s="16" t="str">
        <f>VLOOKUP($A208,'SurveyRpt_20150223 (1)'!$A$34:$AN$735,10,FALSE)</f>
        <v>Yes</v>
      </c>
      <c r="J208" s="16" t="str">
        <f>VLOOKUP($A208,'SurveyRpt_20150223 (1)'!$A$34:$AN$735,12,FALSE)</f>
        <v>Yes</v>
      </c>
      <c r="K208" s="16" t="str">
        <f>VLOOKUP($A208,'SurveyRpt_20150223 (1)'!$A$34:$AN$735,14,FALSE)</f>
        <v>Yes</v>
      </c>
      <c r="L208" s="16" t="str">
        <f>VLOOKUP($A208,'SurveyRpt_20150223 (1)'!$A$34:$AN$735,16,FALSE)</f>
        <v>Yes</v>
      </c>
      <c r="M208" s="16" t="str">
        <f>VLOOKUP($A208,'SurveyRpt_20150223 (1)'!$A$34:$AN$735,18,FALSE)</f>
        <v>Yes</v>
      </c>
      <c r="N208" s="16" t="str">
        <f>VLOOKUP($A208,'SurveyRpt_20150223 (1)'!$A$34:$AN$735,20,FALSE)</f>
        <v>Yes</v>
      </c>
      <c r="O208" s="16" t="str">
        <f>VLOOKUP($A208,'SurveyRpt_20150223 (1)'!$A$34:$AN$735,22,FALSE)</f>
        <v>Yes</v>
      </c>
      <c r="P208" s="16" t="str">
        <f>VLOOKUP($A208,'SurveyRpt_20150223 (1)'!$A$34:$AN$735,24,FALSE)</f>
        <v>Yes</v>
      </c>
      <c r="Q208" s="16" t="str">
        <f>VLOOKUP($A208,'SurveyRpt_20150223 (1)'!$A$34:$AN$735,26,FALSE)</f>
        <v>Yes</v>
      </c>
      <c r="R208" s="16" t="str">
        <f>VLOOKUP($A208,'SurveyRpt_20150223 (1)'!$A$34:$AN$735,28,FALSE)</f>
        <v>Yes</v>
      </c>
      <c r="S208" s="16" t="str">
        <f>VLOOKUP($A208,'SurveyRpt_20150223 (1)'!$A$34:$AN$735,30,FALSE)</f>
        <v>Yes</v>
      </c>
      <c r="T208" s="16" t="str">
        <f>VLOOKUP($A208,'SurveyRpt_20150223 (1)'!$A$34:$AN$735,32,FALSE)</f>
        <v>Yes</v>
      </c>
      <c r="U208" s="16" t="str">
        <f>VLOOKUP($A208,'SurveyRpt_20150223 (1)'!$A$34:$AN$735,34,FALSE)</f>
        <v>Yes</v>
      </c>
      <c r="V208" s="16" t="str">
        <f>VLOOKUP($A208,'SurveyRpt_20150223 (1)'!$A$34:$AN$735,36,FALSE)</f>
        <v>Yes</v>
      </c>
      <c r="W208" s="16" t="str">
        <f>VLOOKUP($A208,'SurveyRpt_20150223 (1)'!$A$34:$AN$735,38,FALSE)</f>
        <v>Yes</v>
      </c>
    </row>
    <row r="209" spans="1:23" ht="13.5" customHeight="1" x14ac:dyDescent="0.25">
      <c r="A209" s="19" t="s">
        <v>302</v>
      </c>
      <c r="B209" s="19" t="str">
        <f t="shared" si="3"/>
        <v>BMUDDANA</v>
      </c>
      <c r="C209" s="16" t="str">
        <f>VLOOKUP(B209,'Compiled Agents'!A:H,2,FALSE)</f>
        <v>Platform</v>
      </c>
      <c r="D209" s="16" t="str">
        <f>VLOOKUP(B209,'Compiled Agents'!A:H,4,FALSE)</f>
        <v>Noida</v>
      </c>
      <c r="E209" s="16" t="str">
        <f>VLOOKUP(B209,'Compiled Agents'!A:H,5,FALSE)</f>
        <v>Wave2</v>
      </c>
      <c r="F209" s="16" t="str">
        <f>VLOOKUP(B209,'Compiled Agents'!A:H,6,FALSE)</f>
        <v>Blue</v>
      </c>
      <c r="G209" s="16">
        <f>VLOOKUP($A209,'SurveyRpt_20150223 (1)'!$A$34:$AN$735,6,FALSE)</f>
        <v>16</v>
      </c>
      <c r="H209" s="16" t="str">
        <f>VLOOKUP($A209,'SurveyRpt_20150223 (1)'!$A$34:$AN$735,8,FALSE)</f>
        <v>Yes</v>
      </c>
      <c r="I209" s="16" t="str">
        <f>VLOOKUP($A209,'SurveyRpt_20150223 (1)'!$A$34:$AN$735,10,FALSE)</f>
        <v>Yes</v>
      </c>
      <c r="J209" s="16" t="str">
        <f>VLOOKUP($A209,'SurveyRpt_20150223 (1)'!$A$34:$AN$735,12,FALSE)</f>
        <v>Yes</v>
      </c>
      <c r="K209" s="16" t="str">
        <f>VLOOKUP($A209,'SurveyRpt_20150223 (1)'!$A$34:$AN$735,14,FALSE)</f>
        <v>Yes</v>
      </c>
      <c r="L209" s="16" t="str">
        <f>VLOOKUP($A209,'SurveyRpt_20150223 (1)'!$A$34:$AN$735,16,FALSE)</f>
        <v>Yes</v>
      </c>
      <c r="M209" s="16" t="str">
        <f>VLOOKUP($A209,'SurveyRpt_20150223 (1)'!$A$34:$AN$735,18,FALSE)</f>
        <v>Yes</v>
      </c>
      <c r="N209" s="16" t="str">
        <f>VLOOKUP($A209,'SurveyRpt_20150223 (1)'!$A$34:$AN$735,20,FALSE)</f>
        <v>Yes</v>
      </c>
      <c r="O209" s="16" t="str">
        <f>VLOOKUP($A209,'SurveyRpt_20150223 (1)'!$A$34:$AN$735,22,FALSE)</f>
        <v>Yes</v>
      </c>
      <c r="P209" s="16" t="str">
        <f>VLOOKUP($A209,'SurveyRpt_20150223 (1)'!$A$34:$AN$735,24,FALSE)</f>
        <v>Yes</v>
      </c>
      <c r="Q209" s="16" t="str">
        <f>VLOOKUP($A209,'SurveyRpt_20150223 (1)'!$A$34:$AN$735,26,FALSE)</f>
        <v>Yes</v>
      </c>
      <c r="R209" s="16" t="str">
        <f>VLOOKUP($A209,'SurveyRpt_20150223 (1)'!$A$34:$AN$735,28,FALSE)</f>
        <v>Yes</v>
      </c>
      <c r="S209" s="16" t="str">
        <f>VLOOKUP($A209,'SurveyRpt_20150223 (1)'!$A$34:$AN$735,30,FALSE)</f>
        <v>Yes</v>
      </c>
      <c r="T209" s="16" t="str">
        <f>VLOOKUP($A209,'SurveyRpt_20150223 (1)'!$A$34:$AN$735,32,FALSE)</f>
        <v>Yes</v>
      </c>
      <c r="U209" s="16" t="str">
        <f>VLOOKUP($A209,'SurveyRpt_20150223 (1)'!$A$34:$AN$735,34,FALSE)</f>
        <v>Yes</v>
      </c>
      <c r="V209" s="16" t="str">
        <f>VLOOKUP($A209,'SurveyRpt_20150223 (1)'!$A$34:$AN$735,36,FALSE)</f>
        <v>Yes</v>
      </c>
      <c r="W209" s="16" t="str">
        <f>VLOOKUP($A209,'SurveyRpt_20150223 (1)'!$A$34:$AN$735,38,FALSE)</f>
        <v>Yes</v>
      </c>
    </row>
    <row r="210" spans="1:23" ht="13.5" customHeight="1" x14ac:dyDescent="0.25">
      <c r="A210" s="19" t="s">
        <v>303</v>
      </c>
      <c r="B210" s="19" t="str">
        <f t="shared" si="3"/>
        <v>AYERVAKOTRAP</v>
      </c>
      <c r="C210" s="16" t="str">
        <f>VLOOKUP(B210,'Compiled Agents'!A:H,2,FALSE)</f>
        <v>Platform</v>
      </c>
      <c r="D210" s="16" t="str">
        <f>VLOOKUP(B210,'Compiled Agents'!A:H,4,FALSE)</f>
        <v>Noida</v>
      </c>
      <c r="E210" s="16" t="str">
        <f>VLOOKUP(B210,'Compiled Agents'!A:H,5,FALSE)</f>
        <v>Wave2</v>
      </c>
      <c r="F210" s="16" t="str">
        <f>VLOOKUP(B210,'Compiled Agents'!A:H,6,FALSE)</f>
        <v>Purple</v>
      </c>
      <c r="G210" s="16">
        <f>VLOOKUP($A210,'SurveyRpt_20150223 (1)'!$A$34:$AN$735,6,FALSE)</f>
        <v>14</v>
      </c>
      <c r="H210" s="16" t="str">
        <f>VLOOKUP($A210,'SurveyRpt_20150223 (1)'!$A$34:$AN$735,8,FALSE)</f>
        <v>Yes</v>
      </c>
      <c r="I210" s="16" t="str">
        <f>VLOOKUP($A210,'SurveyRpt_20150223 (1)'!$A$34:$AN$735,10,FALSE)</f>
        <v>Yes</v>
      </c>
      <c r="J210" s="16" t="str">
        <f>VLOOKUP($A210,'SurveyRpt_20150223 (1)'!$A$34:$AN$735,12,FALSE)</f>
        <v>Yes</v>
      </c>
      <c r="K210" s="16" t="str">
        <f>VLOOKUP($A210,'SurveyRpt_20150223 (1)'!$A$34:$AN$735,14,FALSE)</f>
        <v>Yes</v>
      </c>
      <c r="L210" s="16" t="str">
        <f>VLOOKUP($A210,'SurveyRpt_20150223 (1)'!$A$34:$AN$735,16,FALSE)</f>
        <v>Yes</v>
      </c>
      <c r="M210" s="16" t="str">
        <f>VLOOKUP($A210,'SurveyRpt_20150223 (1)'!$A$34:$AN$735,18,FALSE)</f>
        <v>Yes</v>
      </c>
      <c r="N210" s="16" t="str">
        <f>VLOOKUP($A210,'SurveyRpt_20150223 (1)'!$A$34:$AN$735,20,FALSE)</f>
        <v>Yes</v>
      </c>
      <c r="O210" s="16" t="str">
        <f>VLOOKUP($A210,'SurveyRpt_20150223 (1)'!$A$34:$AN$735,22,FALSE)</f>
        <v>Yes</v>
      </c>
      <c r="P210" s="16" t="str">
        <f>VLOOKUP($A210,'SurveyRpt_20150223 (1)'!$A$34:$AN$735,24,FALSE)</f>
        <v>Yes</v>
      </c>
      <c r="Q210" s="16" t="str">
        <f>VLOOKUP($A210,'SurveyRpt_20150223 (1)'!$A$34:$AN$735,26,FALSE)</f>
        <v>Yes</v>
      </c>
      <c r="R210" s="16" t="str">
        <f>VLOOKUP($A210,'SurveyRpt_20150223 (1)'!$A$34:$AN$735,28,FALSE)</f>
        <v>Yes</v>
      </c>
      <c r="S210" s="16" t="str">
        <f>VLOOKUP($A210,'SurveyRpt_20150223 (1)'!$A$34:$AN$735,30,FALSE)</f>
        <v>Yes</v>
      </c>
      <c r="T210" s="16" t="str">
        <f>VLOOKUP($A210,'SurveyRpt_20150223 (1)'!$A$34:$AN$735,32,FALSE)</f>
        <v>Yes</v>
      </c>
      <c r="U210" s="16" t="str">
        <f>VLOOKUP($A210,'SurveyRpt_20150223 (1)'!$A$34:$AN$735,34,FALSE)</f>
        <v>No</v>
      </c>
      <c r="V210" s="16" t="str">
        <f>VLOOKUP($A210,'SurveyRpt_20150223 (1)'!$A$34:$AN$735,36,FALSE)</f>
        <v>Yes</v>
      </c>
      <c r="W210" s="16" t="str">
        <f>VLOOKUP($A210,'SurveyRpt_20150223 (1)'!$A$34:$AN$735,38,FALSE)</f>
        <v>No</v>
      </c>
    </row>
    <row r="211" spans="1:23" ht="13.5" customHeight="1" x14ac:dyDescent="0.25">
      <c r="A211" s="19" t="s">
        <v>304</v>
      </c>
      <c r="B211" s="19" t="str">
        <f t="shared" si="3"/>
        <v>CPOTNURU</v>
      </c>
      <c r="C211" s="16" t="str">
        <f>VLOOKUP(B211,'Compiled Agents'!A:H,2,FALSE)</f>
        <v>Workplace</v>
      </c>
      <c r="D211" s="16" t="str">
        <f>VLOOKUP(B211,'Compiled Agents'!A:H,4,FALSE)</f>
        <v>Hyderabad</v>
      </c>
      <c r="E211" s="16" t="str">
        <f>VLOOKUP(B211,'Compiled Agents'!A:H,5,FALSE)</f>
        <v>Wave2</v>
      </c>
      <c r="F211" s="16" t="str">
        <f>VLOOKUP(B211,'Compiled Agents'!A:H,6,FALSE)</f>
        <v>Purple</v>
      </c>
      <c r="G211" s="16">
        <f>VLOOKUP($A211,'SurveyRpt_20150223 (1)'!$A$34:$AN$735,6,FALSE)</f>
        <v>16</v>
      </c>
      <c r="H211" s="16" t="str">
        <f>VLOOKUP($A211,'SurveyRpt_20150223 (1)'!$A$34:$AN$735,8,FALSE)</f>
        <v>Yes</v>
      </c>
      <c r="I211" s="16" t="str">
        <f>VLOOKUP($A211,'SurveyRpt_20150223 (1)'!$A$34:$AN$735,10,FALSE)</f>
        <v>Yes</v>
      </c>
      <c r="J211" s="16" t="str">
        <f>VLOOKUP($A211,'SurveyRpt_20150223 (1)'!$A$34:$AN$735,12,FALSE)</f>
        <v>Yes</v>
      </c>
      <c r="K211" s="16" t="str">
        <f>VLOOKUP($A211,'SurveyRpt_20150223 (1)'!$A$34:$AN$735,14,FALSE)</f>
        <v>Yes</v>
      </c>
      <c r="L211" s="16" t="str">
        <f>VLOOKUP($A211,'SurveyRpt_20150223 (1)'!$A$34:$AN$735,16,FALSE)</f>
        <v>Yes</v>
      </c>
      <c r="M211" s="16" t="str">
        <f>VLOOKUP($A211,'SurveyRpt_20150223 (1)'!$A$34:$AN$735,18,FALSE)</f>
        <v>Yes</v>
      </c>
      <c r="N211" s="16" t="str">
        <f>VLOOKUP($A211,'SurveyRpt_20150223 (1)'!$A$34:$AN$735,20,FALSE)</f>
        <v>Yes</v>
      </c>
      <c r="O211" s="16" t="str">
        <f>VLOOKUP($A211,'SurveyRpt_20150223 (1)'!$A$34:$AN$735,22,FALSE)</f>
        <v>Yes</v>
      </c>
      <c r="P211" s="16" t="str">
        <f>VLOOKUP($A211,'SurveyRpt_20150223 (1)'!$A$34:$AN$735,24,FALSE)</f>
        <v>Yes</v>
      </c>
      <c r="Q211" s="16" t="str">
        <f>VLOOKUP($A211,'SurveyRpt_20150223 (1)'!$A$34:$AN$735,26,FALSE)</f>
        <v>Yes</v>
      </c>
      <c r="R211" s="16" t="str">
        <f>VLOOKUP($A211,'SurveyRpt_20150223 (1)'!$A$34:$AN$735,28,FALSE)</f>
        <v>Yes</v>
      </c>
      <c r="S211" s="16" t="str">
        <f>VLOOKUP($A211,'SurveyRpt_20150223 (1)'!$A$34:$AN$735,30,FALSE)</f>
        <v>Yes</v>
      </c>
      <c r="T211" s="16" t="str">
        <f>VLOOKUP($A211,'SurveyRpt_20150223 (1)'!$A$34:$AN$735,32,FALSE)</f>
        <v>Yes</v>
      </c>
      <c r="U211" s="16" t="str">
        <f>VLOOKUP($A211,'SurveyRpt_20150223 (1)'!$A$34:$AN$735,34,FALSE)</f>
        <v>Yes</v>
      </c>
      <c r="V211" s="16" t="str">
        <f>VLOOKUP($A211,'SurveyRpt_20150223 (1)'!$A$34:$AN$735,36,FALSE)</f>
        <v>Yes</v>
      </c>
      <c r="W211" s="16" t="str">
        <f>VLOOKUP($A211,'SurveyRpt_20150223 (1)'!$A$34:$AN$735,38,FALSE)</f>
        <v>Yes</v>
      </c>
    </row>
    <row r="212" spans="1:23" ht="13.5" customHeight="1" x14ac:dyDescent="0.25">
      <c r="A212" s="19" t="s">
        <v>305</v>
      </c>
      <c r="B212" s="19" t="str">
        <f t="shared" si="3"/>
        <v>SMOOLAKKAPAR</v>
      </c>
      <c r="C212" s="16" t="str">
        <f>VLOOKUP(B212,'Compiled Agents'!A:H,2,FALSE)</f>
        <v>Platform</v>
      </c>
      <c r="D212" s="16" t="str">
        <f>VLOOKUP(B212,'Compiled Agents'!A:H,4,FALSE)</f>
        <v>Hyderabad</v>
      </c>
      <c r="E212" s="16" t="str">
        <f>VLOOKUP(B212,'Compiled Agents'!A:H,5,FALSE)</f>
        <v>Wave1</v>
      </c>
      <c r="F212" s="16" t="str">
        <f>VLOOKUP(B212,'Compiled Agents'!A:H,6,FALSE)</f>
        <v>Purple</v>
      </c>
      <c r="G212" s="16">
        <f>VLOOKUP($A212,'SurveyRpt_20150223 (1)'!$A$34:$AN$735,6,FALSE)</f>
        <v>16</v>
      </c>
      <c r="H212" s="16" t="str">
        <f>VLOOKUP($A212,'SurveyRpt_20150223 (1)'!$A$34:$AN$735,8,FALSE)</f>
        <v>Yes</v>
      </c>
      <c r="I212" s="16" t="str">
        <f>VLOOKUP($A212,'SurveyRpt_20150223 (1)'!$A$34:$AN$735,10,FALSE)</f>
        <v>Yes</v>
      </c>
      <c r="J212" s="16" t="str">
        <f>VLOOKUP($A212,'SurveyRpt_20150223 (1)'!$A$34:$AN$735,12,FALSE)</f>
        <v>Yes</v>
      </c>
      <c r="K212" s="16" t="str">
        <f>VLOOKUP($A212,'SurveyRpt_20150223 (1)'!$A$34:$AN$735,14,FALSE)</f>
        <v>Yes</v>
      </c>
      <c r="L212" s="16" t="str">
        <f>VLOOKUP($A212,'SurveyRpt_20150223 (1)'!$A$34:$AN$735,16,FALSE)</f>
        <v>Yes</v>
      </c>
      <c r="M212" s="16" t="str">
        <f>VLOOKUP($A212,'SurveyRpt_20150223 (1)'!$A$34:$AN$735,18,FALSE)</f>
        <v>Yes</v>
      </c>
      <c r="N212" s="16" t="str">
        <f>VLOOKUP($A212,'SurveyRpt_20150223 (1)'!$A$34:$AN$735,20,FALSE)</f>
        <v>Yes</v>
      </c>
      <c r="O212" s="16" t="str">
        <f>VLOOKUP($A212,'SurveyRpt_20150223 (1)'!$A$34:$AN$735,22,FALSE)</f>
        <v>Yes</v>
      </c>
      <c r="P212" s="16" t="str">
        <f>VLOOKUP($A212,'SurveyRpt_20150223 (1)'!$A$34:$AN$735,24,FALSE)</f>
        <v>Yes</v>
      </c>
      <c r="Q212" s="16" t="str">
        <f>VLOOKUP($A212,'SurveyRpt_20150223 (1)'!$A$34:$AN$735,26,FALSE)</f>
        <v>Yes</v>
      </c>
      <c r="R212" s="16" t="str">
        <f>VLOOKUP($A212,'SurveyRpt_20150223 (1)'!$A$34:$AN$735,28,FALSE)</f>
        <v>Yes</v>
      </c>
      <c r="S212" s="16" t="str">
        <f>VLOOKUP($A212,'SurveyRpt_20150223 (1)'!$A$34:$AN$735,30,FALSE)</f>
        <v>Yes</v>
      </c>
      <c r="T212" s="16" t="str">
        <f>VLOOKUP($A212,'SurveyRpt_20150223 (1)'!$A$34:$AN$735,32,FALSE)</f>
        <v>Yes</v>
      </c>
      <c r="U212" s="16" t="str">
        <f>VLOOKUP($A212,'SurveyRpt_20150223 (1)'!$A$34:$AN$735,34,FALSE)</f>
        <v>Yes</v>
      </c>
      <c r="V212" s="16" t="str">
        <f>VLOOKUP($A212,'SurveyRpt_20150223 (1)'!$A$34:$AN$735,36,FALSE)</f>
        <v>Yes</v>
      </c>
      <c r="W212" s="16" t="str">
        <f>VLOOKUP($A212,'SurveyRpt_20150223 (1)'!$A$34:$AN$735,38,FALSE)</f>
        <v>Yes</v>
      </c>
    </row>
    <row r="213" spans="1:23" ht="13.5" customHeight="1" x14ac:dyDescent="0.25">
      <c r="A213" s="19" t="s">
        <v>306</v>
      </c>
      <c r="B213" s="19" t="str">
        <f t="shared" si="3"/>
        <v>JSRAVYA</v>
      </c>
      <c r="C213" s="16" t="str">
        <f>VLOOKUP(B213,'Compiled Agents'!A:H,2,FALSE)</f>
        <v>Platform</v>
      </c>
      <c r="D213" s="16" t="str">
        <f>VLOOKUP(B213,'Compiled Agents'!A:H,4,FALSE)</f>
        <v>Noida</v>
      </c>
      <c r="E213" s="16" t="str">
        <f>VLOOKUP(B213,'Compiled Agents'!A:H,5,FALSE)</f>
        <v>Wave2</v>
      </c>
      <c r="F213" s="16" t="str">
        <f>VLOOKUP(B213,'Compiled Agents'!A:H,6,FALSE)</f>
        <v>Yellow</v>
      </c>
      <c r="G213" s="16">
        <f>VLOOKUP($A213,'SurveyRpt_20150223 (1)'!$A$34:$AN$735,6,FALSE)</f>
        <v>15</v>
      </c>
      <c r="H213" s="16" t="str">
        <f>VLOOKUP($A213,'SurveyRpt_20150223 (1)'!$A$34:$AN$735,8,FALSE)</f>
        <v>Yes</v>
      </c>
      <c r="I213" s="16" t="str">
        <f>VLOOKUP($A213,'SurveyRpt_20150223 (1)'!$A$34:$AN$735,10,FALSE)</f>
        <v>Yes</v>
      </c>
      <c r="J213" s="16" t="str">
        <f>VLOOKUP($A213,'SurveyRpt_20150223 (1)'!$A$34:$AN$735,12,FALSE)</f>
        <v>Yes</v>
      </c>
      <c r="K213" s="16" t="str">
        <f>VLOOKUP($A213,'SurveyRpt_20150223 (1)'!$A$34:$AN$735,14,FALSE)</f>
        <v>Yes</v>
      </c>
      <c r="L213" s="16" t="str">
        <f>VLOOKUP($A213,'SurveyRpt_20150223 (1)'!$A$34:$AN$735,16,FALSE)</f>
        <v>Yes</v>
      </c>
      <c r="M213" s="16" t="str">
        <f>VLOOKUP($A213,'SurveyRpt_20150223 (1)'!$A$34:$AN$735,18,FALSE)</f>
        <v>Yes</v>
      </c>
      <c r="N213" s="16" t="str">
        <f>VLOOKUP($A213,'SurveyRpt_20150223 (1)'!$A$34:$AN$735,20,FALSE)</f>
        <v>Yes</v>
      </c>
      <c r="O213" s="16" t="str">
        <f>VLOOKUP($A213,'SurveyRpt_20150223 (1)'!$A$34:$AN$735,22,FALSE)</f>
        <v>Yes</v>
      </c>
      <c r="P213" s="16" t="str">
        <f>VLOOKUP($A213,'SurveyRpt_20150223 (1)'!$A$34:$AN$735,24,FALSE)</f>
        <v>Yes</v>
      </c>
      <c r="Q213" s="16" t="str">
        <f>VLOOKUP($A213,'SurveyRpt_20150223 (1)'!$A$34:$AN$735,26,FALSE)</f>
        <v>Yes</v>
      </c>
      <c r="R213" s="16" t="str">
        <f>VLOOKUP($A213,'SurveyRpt_20150223 (1)'!$A$34:$AN$735,28,FALSE)</f>
        <v>Yes</v>
      </c>
      <c r="S213" s="16" t="str">
        <f>VLOOKUP($A213,'SurveyRpt_20150223 (1)'!$A$34:$AN$735,30,FALSE)</f>
        <v>Yes</v>
      </c>
      <c r="T213" s="16" t="str">
        <f>VLOOKUP($A213,'SurveyRpt_20150223 (1)'!$A$34:$AN$735,32,FALSE)</f>
        <v>No</v>
      </c>
      <c r="U213" s="16" t="str">
        <f>VLOOKUP($A213,'SurveyRpt_20150223 (1)'!$A$34:$AN$735,34,FALSE)</f>
        <v>Yes</v>
      </c>
      <c r="V213" s="16" t="str">
        <f>VLOOKUP($A213,'SurveyRpt_20150223 (1)'!$A$34:$AN$735,36,FALSE)</f>
        <v>Yes</v>
      </c>
      <c r="W213" s="16" t="str">
        <f>VLOOKUP($A213,'SurveyRpt_20150223 (1)'!$A$34:$AN$735,38,FALSE)</f>
        <v>Yes</v>
      </c>
    </row>
    <row r="214" spans="1:23" ht="13.5" customHeight="1" x14ac:dyDescent="0.25">
      <c r="A214" s="19" t="s">
        <v>307</v>
      </c>
      <c r="B214" s="19" t="str">
        <f t="shared" si="3"/>
        <v>BOJHA</v>
      </c>
      <c r="C214" s="16" t="str">
        <f>VLOOKUP(B214,'Compiled Agents'!A:H,2,FALSE)</f>
        <v>Platform</v>
      </c>
      <c r="D214" s="16" t="str">
        <f>VLOOKUP(B214,'Compiled Agents'!A:H,4,FALSE)</f>
        <v>Noida</v>
      </c>
      <c r="E214" s="16" t="str">
        <f>VLOOKUP(B214,'Compiled Agents'!A:H,5,FALSE)</f>
        <v>Wave2</v>
      </c>
      <c r="F214" s="16" t="str">
        <f>VLOOKUP(B214,'Compiled Agents'!A:H,6,FALSE)</f>
        <v>Orange</v>
      </c>
      <c r="G214" s="16">
        <f>VLOOKUP($A214,'SurveyRpt_20150223 (1)'!$A$34:$AN$735,6,FALSE)</f>
        <v>13</v>
      </c>
      <c r="H214" s="16" t="str">
        <f>VLOOKUP($A214,'SurveyRpt_20150223 (1)'!$A$34:$AN$735,8,FALSE)</f>
        <v>Yes</v>
      </c>
      <c r="I214" s="16" t="str">
        <f>VLOOKUP($A214,'SurveyRpt_20150223 (1)'!$A$34:$AN$735,10,FALSE)</f>
        <v>Yes</v>
      </c>
      <c r="J214" s="16" t="str">
        <f>VLOOKUP($A214,'SurveyRpt_20150223 (1)'!$A$34:$AN$735,12,FALSE)</f>
        <v>Yes</v>
      </c>
      <c r="K214" s="16" t="str">
        <f>VLOOKUP($A214,'SurveyRpt_20150223 (1)'!$A$34:$AN$735,14,FALSE)</f>
        <v>Yes</v>
      </c>
      <c r="L214" s="16" t="str">
        <f>VLOOKUP($A214,'SurveyRpt_20150223 (1)'!$A$34:$AN$735,16,FALSE)</f>
        <v>Yes</v>
      </c>
      <c r="M214" s="16" t="str">
        <f>VLOOKUP($A214,'SurveyRpt_20150223 (1)'!$A$34:$AN$735,18,FALSE)</f>
        <v>Yes</v>
      </c>
      <c r="N214" s="16" t="str">
        <f>VLOOKUP($A214,'SurveyRpt_20150223 (1)'!$A$34:$AN$735,20,FALSE)</f>
        <v>No</v>
      </c>
      <c r="O214" s="16" t="str">
        <f>VLOOKUP($A214,'SurveyRpt_20150223 (1)'!$A$34:$AN$735,22,FALSE)</f>
        <v>No</v>
      </c>
      <c r="P214" s="16" t="str">
        <f>VLOOKUP($A214,'SurveyRpt_20150223 (1)'!$A$34:$AN$735,24,FALSE)</f>
        <v>No</v>
      </c>
      <c r="Q214" s="16" t="str">
        <f>VLOOKUP($A214,'SurveyRpt_20150223 (1)'!$A$34:$AN$735,26,FALSE)</f>
        <v>Yes</v>
      </c>
      <c r="R214" s="16" t="str">
        <f>VLOOKUP($A214,'SurveyRpt_20150223 (1)'!$A$34:$AN$735,28,FALSE)</f>
        <v>Yes</v>
      </c>
      <c r="S214" s="16" t="str">
        <f>VLOOKUP($A214,'SurveyRpt_20150223 (1)'!$A$34:$AN$735,30,FALSE)</f>
        <v>Yes</v>
      </c>
      <c r="T214" s="16" t="str">
        <f>VLOOKUP($A214,'SurveyRpt_20150223 (1)'!$A$34:$AN$735,32,FALSE)</f>
        <v>Yes</v>
      </c>
      <c r="U214" s="16" t="str">
        <f>VLOOKUP($A214,'SurveyRpt_20150223 (1)'!$A$34:$AN$735,34,FALSE)</f>
        <v>Yes</v>
      </c>
      <c r="V214" s="16" t="str">
        <f>VLOOKUP($A214,'SurveyRpt_20150223 (1)'!$A$34:$AN$735,36,FALSE)</f>
        <v>Yes</v>
      </c>
      <c r="W214" s="16" t="str">
        <f>VLOOKUP($A214,'SurveyRpt_20150223 (1)'!$A$34:$AN$735,38,FALSE)</f>
        <v>Yes</v>
      </c>
    </row>
    <row r="215" spans="1:23" ht="13.5" customHeight="1" x14ac:dyDescent="0.25">
      <c r="A215" s="19" t="s">
        <v>308</v>
      </c>
      <c r="B215" s="19" t="str">
        <f t="shared" si="3"/>
        <v>JAROCKIASAMY</v>
      </c>
      <c r="C215" s="16" t="str">
        <f>VLOOKUP(B215,'Compiled Agents'!A:H,2,FALSE)</f>
        <v>Platform</v>
      </c>
      <c r="D215" s="16" t="str">
        <f>VLOOKUP(B215,'Compiled Agents'!A:H,4,FALSE)</f>
        <v>Hyderabad</v>
      </c>
      <c r="E215" s="16" t="str">
        <f>VLOOKUP(B215,'Compiled Agents'!A:H,5,FALSE)</f>
        <v>Wave1</v>
      </c>
      <c r="F215" s="16" t="str">
        <f>VLOOKUP(B215,'Compiled Agents'!A:H,6,FALSE)</f>
        <v>Purple</v>
      </c>
      <c r="G215" s="16">
        <f>VLOOKUP($A215,'SurveyRpt_20150223 (1)'!$A$34:$AN$735,6,FALSE)</f>
        <v>14</v>
      </c>
      <c r="H215" s="16" t="str">
        <f>VLOOKUP($A215,'SurveyRpt_20150223 (1)'!$A$34:$AN$735,8,FALSE)</f>
        <v>Yes</v>
      </c>
      <c r="I215" s="16" t="str">
        <f>VLOOKUP($A215,'SurveyRpt_20150223 (1)'!$A$34:$AN$735,10,FALSE)</f>
        <v>Yes</v>
      </c>
      <c r="J215" s="16" t="str">
        <f>VLOOKUP($A215,'SurveyRpt_20150223 (1)'!$A$34:$AN$735,12,FALSE)</f>
        <v>Yes</v>
      </c>
      <c r="K215" s="16" t="str">
        <f>VLOOKUP($A215,'SurveyRpt_20150223 (1)'!$A$34:$AN$735,14,FALSE)</f>
        <v>Yes</v>
      </c>
      <c r="L215" s="16" t="str">
        <f>VLOOKUP($A215,'SurveyRpt_20150223 (1)'!$A$34:$AN$735,16,FALSE)</f>
        <v>Yes</v>
      </c>
      <c r="M215" s="16" t="str">
        <f>VLOOKUP($A215,'SurveyRpt_20150223 (1)'!$A$34:$AN$735,18,FALSE)</f>
        <v>Yes</v>
      </c>
      <c r="N215" s="16" t="str">
        <f>VLOOKUP($A215,'SurveyRpt_20150223 (1)'!$A$34:$AN$735,20,FALSE)</f>
        <v>Yes</v>
      </c>
      <c r="O215" s="16" t="str">
        <f>VLOOKUP($A215,'SurveyRpt_20150223 (1)'!$A$34:$AN$735,22,FALSE)</f>
        <v>Yes</v>
      </c>
      <c r="P215" s="16" t="str">
        <f>VLOOKUP($A215,'SurveyRpt_20150223 (1)'!$A$34:$AN$735,24,FALSE)</f>
        <v>No</v>
      </c>
      <c r="Q215" s="16" t="str">
        <f>VLOOKUP($A215,'SurveyRpt_20150223 (1)'!$A$34:$AN$735,26,FALSE)</f>
        <v>No</v>
      </c>
      <c r="R215" s="16" t="str">
        <f>VLOOKUP($A215,'SurveyRpt_20150223 (1)'!$A$34:$AN$735,28,FALSE)</f>
        <v>Yes</v>
      </c>
      <c r="S215" s="16" t="str">
        <f>VLOOKUP($A215,'SurveyRpt_20150223 (1)'!$A$34:$AN$735,30,FALSE)</f>
        <v>Yes</v>
      </c>
      <c r="T215" s="16" t="str">
        <f>VLOOKUP($A215,'SurveyRpt_20150223 (1)'!$A$34:$AN$735,32,FALSE)</f>
        <v>Yes</v>
      </c>
      <c r="U215" s="16" t="str">
        <f>VLOOKUP($A215,'SurveyRpt_20150223 (1)'!$A$34:$AN$735,34,FALSE)</f>
        <v>Yes</v>
      </c>
      <c r="V215" s="16" t="str">
        <f>VLOOKUP($A215,'SurveyRpt_20150223 (1)'!$A$34:$AN$735,36,FALSE)</f>
        <v>Yes</v>
      </c>
      <c r="W215" s="16" t="str">
        <f>VLOOKUP($A215,'SurveyRpt_20150223 (1)'!$A$34:$AN$735,38,FALSE)</f>
        <v>Yes</v>
      </c>
    </row>
    <row r="216" spans="1:23" ht="13.5" customHeight="1" x14ac:dyDescent="0.25">
      <c r="A216" s="19" t="s">
        <v>309</v>
      </c>
      <c r="B216" s="19" t="str">
        <f t="shared" si="3"/>
        <v>KFAROOQI</v>
      </c>
      <c r="C216" s="16" t="str">
        <f>VLOOKUP(B216,'Compiled Agents'!A:H,2,FALSE)</f>
        <v>Platform</v>
      </c>
      <c r="D216" s="16" t="str">
        <f>VLOOKUP(B216,'Compiled Agents'!A:H,4,FALSE)</f>
        <v>Hyderabad</v>
      </c>
      <c r="E216" s="16" t="str">
        <f>VLOOKUP(B216,'Compiled Agents'!A:H,5,FALSE)</f>
        <v>Wave1</v>
      </c>
      <c r="F216" s="16" t="str">
        <f>VLOOKUP(B216,'Compiled Agents'!A:H,6,FALSE)</f>
        <v>Yellow</v>
      </c>
      <c r="G216" s="16">
        <f>VLOOKUP($A216,'SurveyRpt_20150223 (1)'!$A$34:$AN$735,6,FALSE)</f>
        <v>5</v>
      </c>
      <c r="H216" s="16" t="str">
        <f>VLOOKUP($A216,'SurveyRpt_20150223 (1)'!$A$34:$AN$735,8,FALSE)</f>
        <v>No</v>
      </c>
      <c r="I216" s="16" t="str">
        <f>VLOOKUP($A216,'SurveyRpt_20150223 (1)'!$A$34:$AN$735,10,FALSE)</f>
        <v>No</v>
      </c>
      <c r="J216" s="16" t="str">
        <f>VLOOKUP($A216,'SurveyRpt_20150223 (1)'!$A$34:$AN$735,12,FALSE)</f>
        <v>No</v>
      </c>
      <c r="K216" s="16" t="str">
        <f>VLOOKUP($A216,'SurveyRpt_20150223 (1)'!$A$34:$AN$735,14,FALSE)</f>
        <v>No</v>
      </c>
      <c r="L216" s="16" t="str">
        <f>VLOOKUP($A216,'SurveyRpt_20150223 (1)'!$A$34:$AN$735,16,FALSE)</f>
        <v>Yes</v>
      </c>
      <c r="M216" s="16" t="str">
        <f>VLOOKUP($A216,'SurveyRpt_20150223 (1)'!$A$34:$AN$735,18,FALSE)</f>
        <v>No</v>
      </c>
      <c r="N216" s="16" t="str">
        <f>VLOOKUP($A216,'SurveyRpt_20150223 (1)'!$A$34:$AN$735,20,FALSE)</f>
        <v>No</v>
      </c>
      <c r="O216" s="16" t="str">
        <f>VLOOKUP($A216,'SurveyRpt_20150223 (1)'!$A$34:$AN$735,22,FALSE)</f>
        <v>No</v>
      </c>
      <c r="P216" s="16" t="str">
        <f>VLOOKUP($A216,'SurveyRpt_20150223 (1)'!$A$34:$AN$735,24,FALSE)</f>
        <v>Yes</v>
      </c>
      <c r="Q216" s="16" t="str">
        <f>VLOOKUP($A216,'SurveyRpt_20150223 (1)'!$A$34:$AN$735,26,FALSE)</f>
        <v>Yes</v>
      </c>
      <c r="R216" s="16" t="str">
        <f>VLOOKUP($A216,'SurveyRpt_20150223 (1)'!$A$34:$AN$735,28,FALSE)</f>
        <v>Yes</v>
      </c>
      <c r="S216" s="16" t="str">
        <f>VLOOKUP($A216,'SurveyRpt_20150223 (1)'!$A$34:$AN$735,30,FALSE)</f>
        <v>Yes</v>
      </c>
      <c r="T216" s="16" t="str">
        <f>VLOOKUP($A216,'SurveyRpt_20150223 (1)'!$A$34:$AN$735,32,FALSE)</f>
        <v>No</v>
      </c>
      <c r="U216" s="16" t="str">
        <f>VLOOKUP($A216,'SurveyRpt_20150223 (1)'!$A$34:$AN$735,34,FALSE)</f>
        <v>No</v>
      </c>
      <c r="V216" s="16" t="str">
        <f>VLOOKUP($A216,'SurveyRpt_20150223 (1)'!$A$34:$AN$735,36,FALSE)</f>
        <v>No</v>
      </c>
      <c r="W216" s="16" t="str">
        <f>VLOOKUP($A216,'SurveyRpt_20150223 (1)'!$A$34:$AN$735,38,FALSE)</f>
        <v>No</v>
      </c>
    </row>
    <row r="217" spans="1:23" ht="13.5" customHeight="1" x14ac:dyDescent="0.25">
      <c r="A217" s="19" t="s">
        <v>310</v>
      </c>
      <c r="B217" s="19" t="str">
        <f t="shared" si="3"/>
        <v>NBHATKOTI</v>
      </c>
      <c r="C217" s="16" t="str">
        <f>VLOOKUP(B217,'Compiled Agents'!A:H,2,FALSE)</f>
        <v>Platform</v>
      </c>
      <c r="D217" s="16" t="str">
        <f>VLOOKUP(B217,'Compiled Agents'!A:H,4,FALSE)</f>
        <v>Noida</v>
      </c>
      <c r="E217" s="16" t="str">
        <f>VLOOKUP(B217,'Compiled Agents'!A:H,5,FALSE)</f>
        <v>Wave2</v>
      </c>
      <c r="F217" s="16" t="str">
        <f>VLOOKUP(B217,'Compiled Agents'!A:H,6,FALSE)</f>
        <v>Purple</v>
      </c>
      <c r="G217" s="16">
        <f>VLOOKUP($A217,'SurveyRpt_20150223 (1)'!$A$34:$AN$735,6,FALSE)</f>
        <v>13</v>
      </c>
      <c r="H217" s="16" t="str">
        <f>VLOOKUP($A217,'SurveyRpt_20150223 (1)'!$A$34:$AN$735,8,FALSE)</f>
        <v>Yes</v>
      </c>
      <c r="I217" s="16" t="str">
        <f>VLOOKUP($A217,'SurveyRpt_20150223 (1)'!$A$34:$AN$735,10,FALSE)</f>
        <v>Yes</v>
      </c>
      <c r="J217" s="16" t="str">
        <f>VLOOKUP($A217,'SurveyRpt_20150223 (1)'!$A$34:$AN$735,12,FALSE)</f>
        <v>No</v>
      </c>
      <c r="K217" s="16" t="str">
        <f>VLOOKUP($A217,'SurveyRpt_20150223 (1)'!$A$34:$AN$735,14,FALSE)</f>
        <v>No</v>
      </c>
      <c r="L217" s="16" t="str">
        <f>VLOOKUP($A217,'SurveyRpt_20150223 (1)'!$A$34:$AN$735,16,FALSE)</f>
        <v>Yes</v>
      </c>
      <c r="M217" s="16" t="str">
        <f>VLOOKUP($A217,'SurveyRpt_20150223 (1)'!$A$34:$AN$735,18,FALSE)</f>
        <v>Yes</v>
      </c>
      <c r="N217" s="16" t="str">
        <f>VLOOKUP($A217,'SurveyRpt_20150223 (1)'!$A$34:$AN$735,20,FALSE)</f>
        <v>Yes</v>
      </c>
      <c r="O217" s="16" t="str">
        <f>VLOOKUP($A217,'SurveyRpt_20150223 (1)'!$A$34:$AN$735,22,FALSE)</f>
        <v>Yes</v>
      </c>
      <c r="P217" s="16" t="str">
        <f>VLOOKUP($A217,'SurveyRpt_20150223 (1)'!$A$34:$AN$735,24,FALSE)</f>
        <v>Yes</v>
      </c>
      <c r="Q217" s="16" t="str">
        <f>VLOOKUP($A217,'SurveyRpt_20150223 (1)'!$A$34:$AN$735,26,FALSE)</f>
        <v>Yes</v>
      </c>
      <c r="R217" s="16" t="str">
        <f>VLOOKUP($A217,'SurveyRpt_20150223 (1)'!$A$34:$AN$735,28,FALSE)</f>
        <v>Yes</v>
      </c>
      <c r="S217" s="16" t="str">
        <f>VLOOKUP($A217,'SurveyRpt_20150223 (1)'!$A$34:$AN$735,30,FALSE)</f>
        <v>Yes</v>
      </c>
      <c r="T217" s="16" t="str">
        <f>VLOOKUP($A217,'SurveyRpt_20150223 (1)'!$A$34:$AN$735,32,FALSE)</f>
        <v>No</v>
      </c>
      <c r="U217" s="16" t="str">
        <f>VLOOKUP($A217,'SurveyRpt_20150223 (1)'!$A$34:$AN$735,34,FALSE)</f>
        <v>Yes</v>
      </c>
      <c r="V217" s="16" t="str">
        <f>VLOOKUP($A217,'SurveyRpt_20150223 (1)'!$A$34:$AN$735,36,FALSE)</f>
        <v>Yes</v>
      </c>
      <c r="W217" s="16" t="str">
        <f>VLOOKUP($A217,'SurveyRpt_20150223 (1)'!$A$34:$AN$735,38,FALSE)</f>
        <v>Yes</v>
      </c>
    </row>
    <row r="218" spans="1:23" ht="13.5" customHeight="1" x14ac:dyDescent="0.25">
      <c r="A218" s="19" t="s">
        <v>311</v>
      </c>
      <c r="B218" s="19" t="str">
        <f t="shared" si="3"/>
        <v>jmcconnell6</v>
      </c>
      <c r="C218" s="16" t="str">
        <f>VLOOKUP(B218,'Compiled Agents'!A:H,2,FALSE)</f>
        <v>Workplace</v>
      </c>
      <c r="D218" s="16" t="str">
        <f>VLOOKUP(B218,'Compiled Agents'!A:H,4,FALSE)</f>
        <v>MBC US</v>
      </c>
      <c r="E218" s="16" t="str">
        <f>VLOOKUP(B218,'Compiled Agents'!A:H,5,FALSE)</f>
        <v>Wave2</v>
      </c>
      <c r="F218" s="16" t="str">
        <f>VLOOKUP(B218,'Compiled Agents'!A:H,6,FALSE)</f>
        <v>Orange</v>
      </c>
      <c r="G218" s="16">
        <f>VLOOKUP($A218,'SurveyRpt_20150223 (1)'!$A$34:$AN$735,6,FALSE)</f>
        <v>7</v>
      </c>
      <c r="H218" s="16" t="str">
        <f>VLOOKUP($A218,'SurveyRpt_20150223 (1)'!$A$34:$AN$735,8,FALSE)</f>
        <v>Yes</v>
      </c>
      <c r="I218" s="16" t="str">
        <f>VLOOKUP($A218,'SurveyRpt_20150223 (1)'!$A$34:$AN$735,10,FALSE)</f>
        <v>No</v>
      </c>
      <c r="J218" s="16" t="str">
        <f>VLOOKUP($A218,'SurveyRpt_20150223 (1)'!$A$34:$AN$735,12,FALSE)</f>
        <v>No</v>
      </c>
      <c r="K218" s="16" t="str">
        <f>VLOOKUP($A218,'SurveyRpt_20150223 (1)'!$A$34:$AN$735,14,FALSE)</f>
        <v>Yes</v>
      </c>
      <c r="L218" s="16" t="str">
        <f>VLOOKUP($A218,'SurveyRpt_20150223 (1)'!$A$34:$AN$735,16,FALSE)</f>
        <v>Yes</v>
      </c>
      <c r="M218" s="16" t="str">
        <f>VLOOKUP($A218,'SurveyRpt_20150223 (1)'!$A$34:$AN$735,18,FALSE)</f>
        <v>No</v>
      </c>
      <c r="N218" s="16" t="str">
        <f>VLOOKUP($A218,'SurveyRpt_20150223 (1)'!$A$34:$AN$735,20,FALSE)</f>
        <v>No</v>
      </c>
      <c r="O218" s="16" t="str">
        <f>VLOOKUP($A218,'SurveyRpt_20150223 (1)'!$A$34:$AN$735,22,FALSE)</f>
        <v>Yes</v>
      </c>
      <c r="P218" s="16" t="str">
        <f>VLOOKUP($A218,'SurveyRpt_20150223 (1)'!$A$34:$AN$735,24,FALSE)</f>
        <v>No</v>
      </c>
      <c r="Q218" s="16" t="str">
        <f>VLOOKUP($A218,'SurveyRpt_20150223 (1)'!$A$34:$AN$735,26,FALSE)</f>
        <v>Yes</v>
      </c>
      <c r="R218" s="16" t="str">
        <f>VLOOKUP($A218,'SurveyRpt_20150223 (1)'!$A$34:$AN$735,28,FALSE)</f>
        <v>Yes</v>
      </c>
      <c r="S218" s="16" t="str">
        <f>VLOOKUP($A218,'SurveyRpt_20150223 (1)'!$A$34:$AN$735,30,FALSE)</f>
        <v>Yes</v>
      </c>
      <c r="T218" s="16" t="str">
        <f>VLOOKUP($A218,'SurveyRpt_20150223 (1)'!$A$34:$AN$735,32,FALSE)</f>
        <v>No</v>
      </c>
      <c r="U218" s="16" t="str">
        <f>VLOOKUP($A218,'SurveyRpt_20150223 (1)'!$A$34:$AN$735,34,FALSE)</f>
        <v>No</v>
      </c>
      <c r="V218" s="16" t="str">
        <f>VLOOKUP($A218,'SurveyRpt_20150223 (1)'!$A$34:$AN$735,36,FALSE)</f>
        <v>No</v>
      </c>
      <c r="W218" s="16" t="str">
        <f>VLOOKUP($A218,'SurveyRpt_20150223 (1)'!$A$34:$AN$735,38,FALSE)</f>
        <v>No</v>
      </c>
    </row>
    <row r="219" spans="1:23" ht="13.5" customHeight="1" x14ac:dyDescent="0.25">
      <c r="A219" s="19" t="s">
        <v>312</v>
      </c>
      <c r="B219" s="19" t="str">
        <f t="shared" si="3"/>
        <v>RPANDARI</v>
      </c>
      <c r="C219" s="16" t="str">
        <f>VLOOKUP(B219,'Compiled Agents'!A:H,2,FALSE)</f>
        <v>Platform</v>
      </c>
      <c r="D219" s="16" t="str">
        <f>VLOOKUP(B219,'Compiled Agents'!A:H,4,FALSE)</f>
        <v>Hyderabad</v>
      </c>
      <c r="E219" s="16" t="str">
        <f>VLOOKUP(B219,'Compiled Agents'!A:H,5,FALSE)</f>
        <v>Wave1</v>
      </c>
      <c r="F219" s="16" t="str">
        <f>VLOOKUP(B219,'Compiled Agents'!A:H,6,FALSE)</f>
        <v>Orange</v>
      </c>
      <c r="G219" s="16">
        <f>VLOOKUP($A219,'SurveyRpt_20150223 (1)'!$A$34:$AN$735,6,FALSE)</f>
        <v>16</v>
      </c>
      <c r="H219" s="16" t="str">
        <f>VLOOKUP($A219,'SurveyRpt_20150223 (1)'!$A$34:$AN$735,8,FALSE)</f>
        <v>Yes</v>
      </c>
      <c r="I219" s="16" t="str">
        <f>VLOOKUP($A219,'SurveyRpt_20150223 (1)'!$A$34:$AN$735,10,FALSE)</f>
        <v>Yes</v>
      </c>
      <c r="J219" s="16" t="str">
        <f>VLOOKUP($A219,'SurveyRpt_20150223 (1)'!$A$34:$AN$735,12,FALSE)</f>
        <v>Yes</v>
      </c>
      <c r="K219" s="16" t="str">
        <f>VLOOKUP($A219,'SurveyRpt_20150223 (1)'!$A$34:$AN$735,14,FALSE)</f>
        <v>Yes</v>
      </c>
      <c r="L219" s="16" t="str">
        <f>VLOOKUP($A219,'SurveyRpt_20150223 (1)'!$A$34:$AN$735,16,FALSE)</f>
        <v>Yes</v>
      </c>
      <c r="M219" s="16" t="str">
        <f>VLOOKUP($A219,'SurveyRpt_20150223 (1)'!$A$34:$AN$735,18,FALSE)</f>
        <v>Yes</v>
      </c>
      <c r="N219" s="16" t="str">
        <f>VLOOKUP($A219,'SurveyRpt_20150223 (1)'!$A$34:$AN$735,20,FALSE)</f>
        <v>Yes</v>
      </c>
      <c r="O219" s="16" t="str">
        <f>VLOOKUP($A219,'SurveyRpt_20150223 (1)'!$A$34:$AN$735,22,FALSE)</f>
        <v>Yes</v>
      </c>
      <c r="P219" s="16" t="str">
        <f>VLOOKUP($A219,'SurveyRpt_20150223 (1)'!$A$34:$AN$735,24,FALSE)</f>
        <v>Yes</v>
      </c>
      <c r="Q219" s="16" t="str">
        <f>VLOOKUP($A219,'SurveyRpt_20150223 (1)'!$A$34:$AN$735,26,FALSE)</f>
        <v>Yes</v>
      </c>
      <c r="R219" s="16" t="str">
        <f>VLOOKUP($A219,'SurveyRpt_20150223 (1)'!$A$34:$AN$735,28,FALSE)</f>
        <v>Yes</v>
      </c>
      <c r="S219" s="16" t="str">
        <f>VLOOKUP($A219,'SurveyRpt_20150223 (1)'!$A$34:$AN$735,30,FALSE)</f>
        <v>Yes</v>
      </c>
      <c r="T219" s="16" t="str">
        <f>VLOOKUP($A219,'SurveyRpt_20150223 (1)'!$A$34:$AN$735,32,FALSE)</f>
        <v>Yes</v>
      </c>
      <c r="U219" s="16" t="str">
        <f>VLOOKUP($A219,'SurveyRpt_20150223 (1)'!$A$34:$AN$735,34,FALSE)</f>
        <v>Yes</v>
      </c>
      <c r="V219" s="16" t="str">
        <f>VLOOKUP($A219,'SurveyRpt_20150223 (1)'!$A$34:$AN$735,36,FALSE)</f>
        <v>Yes</v>
      </c>
      <c r="W219" s="16" t="str">
        <f>VLOOKUP($A219,'SurveyRpt_20150223 (1)'!$A$34:$AN$735,38,FALSE)</f>
        <v>Yes</v>
      </c>
    </row>
    <row r="220" spans="1:23" ht="13.5" customHeight="1" x14ac:dyDescent="0.25">
      <c r="A220" s="19" t="s">
        <v>313</v>
      </c>
      <c r="B220" s="19" t="str">
        <f t="shared" si="3"/>
        <v>RGONENI</v>
      </c>
      <c r="C220" s="16" t="str">
        <f>VLOOKUP(B220,'Compiled Agents'!A:H,2,FALSE)</f>
        <v>Workplace</v>
      </c>
      <c r="D220" s="16" t="str">
        <f>VLOOKUP(B220,'Compiled Agents'!A:H,4,FALSE)</f>
        <v>Hyderabad</v>
      </c>
      <c r="E220" s="16" t="str">
        <f>VLOOKUP(B220,'Compiled Agents'!A:H,5,FALSE)</f>
        <v>Wave2</v>
      </c>
      <c r="F220" s="16" t="str">
        <f>VLOOKUP(B220,'Compiled Agents'!A:H,6,FALSE)</f>
        <v>Yellow</v>
      </c>
      <c r="G220" s="16">
        <f>VLOOKUP($A220,'SurveyRpt_20150223 (1)'!$A$34:$AN$735,6,FALSE)</f>
        <v>16</v>
      </c>
      <c r="H220" s="16" t="str">
        <f>VLOOKUP($A220,'SurveyRpt_20150223 (1)'!$A$34:$AN$735,8,FALSE)</f>
        <v>Yes</v>
      </c>
      <c r="I220" s="16" t="str">
        <f>VLOOKUP($A220,'SurveyRpt_20150223 (1)'!$A$34:$AN$735,10,FALSE)</f>
        <v>Yes</v>
      </c>
      <c r="J220" s="16" t="str">
        <f>VLOOKUP($A220,'SurveyRpt_20150223 (1)'!$A$34:$AN$735,12,FALSE)</f>
        <v>Yes</v>
      </c>
      <c r="K220" s="16" t="str">
        <f>VLOOKUP($A220,'SurveyRpt_20150223 (1)'!$A$34:$AN$735,14,FALSE)</f>
        <v>Yes</v>
      </c>
      <c r="L220" s="16" t="str">
        <f>VLOOKUP($A220,'SurveyRpt_20150223 (1)'!$A$34:$AN$735,16,FALSE)</f>
        <v>Yes</v>
      </c>
      <c r="M220" s="16" t="str">
        <f>VLOOKUP($A220,'SurveyRpt_20150223 (1)'!$A$34:$AN$735,18,FALSE)</f>
        <v>Yes</v>
      </c>
      <c r="N220" s="16" t="str">
        <f>VLOOKUP($A220,'SurveyRpt_20150223 (1)'!$A$34:$AN$735,20,FALSE)</f>
        <v>Yes</v>
      </c>
      <c r="O220" s="16" t="str">
        <f>VLOOKUP($A220,'SurveyRpt_20150223 (1)'!$A$34:$AN$735,22,FALSE)</f>
        <v>Yes</v>
      </c>
      <c r="P220" s="16" t="str">
        <f>VLOOKUP($A220,'SurveyRpt_20150223 (1)'!$A$34:$AN$735,24,FALSE)</f>
        <v>Yes</v>
      </c>
      <c r="Q220" s="16" t="str">
        <f>VLOOKUP($A220,'SurveyRpt_20150223 (1)'!$A$34:$AN$735,26,FALSE)</f>
        <v>Yes</v>
      </c>
      <c r="R220" s="16" t="str">
        <f>VLOOKUP($A220,'SurveyRpt_20150223 (1)'!$A$34:$AN$735,28,FALSE)</f>
        <v>Yes</v>
      </c>
      <c r="S220" s="16" t="str">
        <f>VLOOKUP($A220,'SurveyRpt_20150223 (1)'!$A$34:$AN$735,30,FALSE)</f>
        <v>Yes</v>
      </c>
      <c r="T220" s="16" t="str">
        <f>VLOOKUP($A220,'SurveyRpt_20150223 (1)'!$A$34:$AN$735,32,FALSE)</f>
        <v>Yes</v>
      </c>
      <c r="U220" s="16" t="str">
        <f>VLOOKUP($A220,'SurveyRpt_20150223 (1)'!$A$34:$AN$735,34,FALSE)</f>
        <v>Yes</v>
      </c>
      <c r="V220" s="16" t="str">
        <f>VLOOKUP($A220,'SurveyRpt_20150223 (1)'!$A$34:$AN$735,36,FALSE)</f>
        <v>Yes</v>
      </c>
      <c r="W220" s="16" t="str">
        <f>VLOOKUP($A220,'SurveyRpt_20150223 (1)'!$A$34:$AN$735,38,FALSE)</f>
        <v>Yes</v>
      </c>
    </row>
    <row r="221" spans="1:23" ht="13.5" customHeight="1" x14ac:dyDescent="0.25">
      <c r="A221" s="19" t="s">
        <v>314</v>
      </c>
      <c r="B221" s="19" t="str">
        <f t="shared" si="3"/>
        <v>NSURENDRAKUM</v>
      </c>
      <c r="C221" s="16" t="str">
        <f>VLOOKUP(B221,'Compiled Agents'!A:H,2,FALSE)</f>
        <v>Workplace</v>
      </c>
      <c r="D221" s="16" t="str">
        <f>VLOOKUP(B221,'Compiled Agents'!A:H,4,FALSE)</f>
        <v>Noida</v>
      </c>
      <c r="E221" s="16" t="str">
        <f>VLOOKUP(B221,'Compiled Agents'!A:H,5,FALSE)</f>
        <v>Wave1</v>
      </c>
      <c r="F221" s="16" t="str">
        <f>VLOOKUP(B221,'Compiled Agents'!A:H,6,FALSE)</f>
        <v>Yellow</v>
      </c>
      <c r="G221" s="16">
        <f>VLOOKUP($A221,'SurveyRpt_20150223 (1)'!$A$34:$AN$735,6,FALSE)</f>
        <v>16</v>
      </c>
      <c r="H221" s="16" t="str">
        <f>VLOOKUP($A221,'SurveyRpt_20150223 (1)'!$A$34:$AN$735,8,FALSE)</f>
        <v>Yes</v>
      </c>
      <c r="I221" s="16" t="str">
        <f>VLOOKUP($A221,'SurveyRpt_20150223 (1)'!$A$34:$AN$735,10,FALSE)</f>
        <v>Yes</v>
      </c>
      <c r="J221" s="16" t="str">
        <f>VLOOKUP($A221,'SurveyRpt_20150223 (1)'!$A$34:$AN$735,12,FALSE)</f>
        <v>Yes</v>
      </c>
      <c r="K221" s="16" t="str">
        <f>VLOOKUP($A221,'SurveyRpt_20150223 (1)'!$A$34:$AN$735,14,FALSE)</f>
        <v>Yes</v>
      </c>
      <c r="L221" s="16" t="str">
        <f>VLOOKUP($A221,'SurveyRpt_20150223 (1)'!$A$34:$AN$735,16,FALSE)</f>
        <v>Yes</v>
      </c>
      <c r="M221" s="16" t="str">
        <f>VLOOKUP($A221,'SurveyRpt_20150223 (1)'!$A$34:$AN$735,18,FALSE)</f>
        <v>Yes</v>
      </c>
      <c r="N221" s="16" t="str">
        <f>VLOOKUP($A221,'SurveyRpt_20150223 (1)'!$A$34:$AN$735,20,FALSE)</f>
        <v>Yes</v>
      </c>
      <c r="O221" s="16" t="str">
        <f>VLOOKUP($A221,'SurveyRpt_20150223 (1)'!$A$34:$AN$735,22,FALSE)</f>
        <v>Yes</v>
      </c>
      <c r="P221" s="16" t="str">
        <f>VLOOKUP($A221,'SurveyRpt_20150223 (1)'!$A$34:$AN$735,24,FALSE)</f>
        <v>Yes</v>
      </c>
      <c r="Q221" s="16" t="str">
        <f>VLOOKUP($A221,'SurveyRpt_20150223 (1)'!$A$34:$AN$735,26,FALSE)</f>
        <v>Yes</v>
      </c>
      <c r="R221" s="16" t="str">
        <f>VLOOKUP($A221,'SurveyRpt_20150223 (1)'!$A$34:$AN$735,28,FALSE)</f>
        <v>Yes</v>
      </c>
      <c r="S221" s="16" t="str">
        <f>VLOOKUP($A221,'SurveyRpt_20150223 (1)'!$A$34:$AN$735,30,FALSE)</f>
        <v>Yes</v>
      </c>
      <c r="T221" s="16" t="str">
        <f>VLOOKUP($A221,'SurveyRpt_20150223 (1)'!$A$34:$AN$735,32,FALSE)</f>
        <v>Yes</v>
      </c>
      <c r="U221" s="16" t="str">
        <f>VLOOKUP($A221,'SurveyRpt_20150223 (1)'!$A$34:$AN$735,34,FALSE)</f>
        <v>Yes</v>
      </c>
      <c r="V221" s="16" t="str">
        <f>VLOOKUP($A221,'SurveyRpt_20150223 (1)'!$A$34:$AN$735,36,FALSE)</f>
        <v>Yes</v>
      </c>
      <c r="W221" s="16" t="str">
        <f>VLOOKUP($A221,'SurveyRpt_20150223 (1)'!$A$34:$AN$735,38,FALSE)</f>
        <v>Yes</v>
      </c>
    </row>
    <row r="222" spans="1:23" ht="13.5" customHeight="1" x14ac:dyDescent="0.25">
      <c r="A222" s="19" t="s">
        <v>315</v>
      </c>
      <c r="B222" s="19" t="str">
        <f t="shared" si="3"/>
        <v>DBHATTACHAR7</v>
      </c>
      <c r="C222" s="16" t="str">
        <f>VLOOKUP(B222,'Compiled Agents'!A:H,2,FALSE)</f>
        <v>Platform</v>
      </c>
      <c r="D222" s="16" t="str">
        <f>VLOOKUP(B222,'Compiled Agents'!A:H,4,FALSE)</f>
        <v>Noida</v>
      </c>
      <c r="E222" s="16" t="str">
        <f>VLOOKUP(B222,'Compiled Agents'!A:H,5,FALSE)</f>
        <v>Wave2</v>
      </c>
      <c r="F222" s="16" t="str">
        <f>VLOOKUP(B222,'Compiled Agents'!A:H,6,FALSE)</f>
        <v>Purple</v>
      </c>
      <c r="G222" s="16">
        <f>VLOOKUP($A222,'SurveyRpt_20150223 (1)'!$A$34:$AN$735,6,FALSE)</f>
        <v>16</v>
      </c>
      <c r="H222" s="16" t="str">
        <f>VLOOKUP($A222,'SurveyRpt_20150223 (1)'!$A$34:$AN$735,8,FALSE)</f>
        <v>Yes</v>
      </c>
      <c r="I222" s="16" t="str">
        <f>VLOOKUP($A222,'SurveyRpt_20150223 (1)'!$A$34:$AN$735,10,FALSE)</f>
        <v>Yes</v>
      </c>
      <c r="J222" s="16" t="str">
        <f>VLOOKUP($A222,'SurveyRpt_20150223 (1)'!$A$34:$AN$735,12,FALSE)</f>
        <v>Yes</v>
      </c>
      <c r="K222" s="16" t="str">
        <f>VLOOKUP($A222,'SurveyRpt_20150223 (1)'!$A$34:$AN$735,14,FALSE)</f>
        <v>Yes</v>
      </c>
      <c r="L222" s="16" t="str">
        <f>VLOOKUP($A222,'SurveyRpt_20150223 (1)'!$A$34:$AN$735,16,FALSE)</f>
        <v>Yes</v>
      </c>
      <c r="M222" s="16" t="str">
        <f>VLOOKUP($A222,'SurveyRpt_20150223 (1)'!$A$34:$AN$735,18,FALSE)</f>
        <v>Yes</v>
      </c>
      <c r="N222" s="16" t="str">
        <f>VLOOKUP($A222,'SurveyRpt_20150223 (1)'!$A$34:$AN$735,20,FALSE)</f>
        <v>Yes</v>
      </c>
      <c r="O222" s="16" t="str">
        <f>VLOOKUP($A222,'SurveyRpt_20150223 (1)'!$A$34:$AN$735,22,FALSE)</f>
        <v>Yes</v>
      </c>
      <c r="P222" s="16" t="str">
        <f>VLOOKUP($A222,'SurveyRpt_20150223 (1)'!$A$34:$AN$735,24,FALSE)</f>
        <v>Yes</v>
      </c>
      <c r="Q222" s="16" t="str">
        <f>VLOOKUP($A222,'SurveyRpt_20150223 (1)'!$A$34:$AN$735,26,FALSE)</f>
        <v>Yes</v>
      </c>
      <c r="R222" s="16" t="str">
        <f>VLOOKUP($A222,'SurveyRpt_20150223 (1)'!$A$34:$AN$735,28,FALSE)</f>
        <v>Yes</v>
      </c>
      <c r="S222" s="16" t="str">
        <f>VLOOKUP($A222,'SurveyRpt_20150223 (1)'!$A$34:$AN$735,30,FALSE)</f>
        <v>Yes</v>
      </c>
      <c r="T222" s="16" t="str">
        <f>VLOOKUP($A222,'SurveyRpt_20150223 (1)'!$A$34:$AN$735,32,FALSE)</f>
        <v>Yes</v>
      </c>
      <c r="U222" s="16" t="str">
        <f>VLOOKUP($A222,'SurveyRpt_20150223 (1)'!$A$34:$AN$735,34,FALSE)</f>
        <v>Yes</v>
      </c>
      <c r="V222" s="16" t="str">
        <f>VLOOKUP($A222,'SurveyRpt_20150223 (1)'!$A$34:$AN$735,36,FALSE)</f>
        <v>Yes</v>
      </c>
      <c r="W222" s="16" t="str">
        <f>VLOOKUP($A222,'SurveyRpt_20150223 (1)'!$A$34:$AN$735,38,FALSE)</f>
        <v>Yes</v>
      </c>
    </row>
    <row r="223" spans="1:23" ht="13.5" customHeight="1" x14ac:dyDescent="0.25">
      <c r="A223" s="19" t="s">
        <v>316</v>
      </c>
      <c r="B223" s="19" t="str">
        <f t="shared" si="3"/>
        <v>ANAIK7</v>
      </c>
      <c r="C223" s="16" t="str">
        <f>VLOOKUP(B223,'Compiled Agents'!A:H,2,FALSE)</f>
        <v>Platform</v>
      </c>
      <c r="D223" s="16" t="str">
        <f>VLOOKUP(B223,'Compiled Agents'!A:H,4,FALSE)</f>
        <v>Hyderabad</v>
      </c>
      <c r="E223" s="16" t="str">
        <f>VLOOKUP(B223,'Compiled Agents'!A:H,5,FALSE)</f>
        <v>Wave1</v>
      </c>
      <c r="F223" s="16" t="str">
        <f>VLOOKUP(B223,'Compiled Agents'!A:H,6,FALSE)</f>
        <v>Purple</v>
      </c>
      <c r="G223" s="16">
        <f>VLOOKUP($A223,'SurveyRpt_20150223 (1)'!$A$34:$AN$735,6,FALSE)</f>
        <v>16</v>
      </c>
      <c r="H223" s="16" t="str">
        <f>VLOOKUP($A223,'SurveyRpt_20150223 (1)'!$A$34:$AN$735,8,FALSE)</f>
        <v>Yes</v>
      </c>
      <c r="I223" s="16" t="str">
        <f>VLOOKUP($A223,'SurveyRpt_20150223 (1)'!$A$34:$AN$735,10,FALSE)</f>
        <v>Yes</v>
      </c>
      <c r="J223" s="16" t="str">
        <f>VLOOKUP($A223,'SurveyRpt_20150223 (1)'!$A$34:$AN$735,12,FALSE)</f>
        <v>Yes</v>
      </c>
      <c r="K223" s="16" t="str">
        <f>VLOOKUP($A223,'SurveyRpt_20150223 (1)'!$A$34:$AN$735,14,FALSE)</f>
        <v>Yes</v>
      </c>
      <c r="L223" s="16" t="str">
        <f>VLOOKUP($A223,'SurveyRpt_20150223 (1)'!$A$34:$AN$735,16,FALSE)</f>
        <v>Yes</v>
      </c>
      <c r="M223" s="16" t="str">
        <f>VLOOKUP($A223,'SurveyRpt_20150223 (1)'!$A$34:$AN$735,18,FALSE)</f>
        <v>Yes</v>
      </c>
      <c r="N223" s="16" t="str">
        <f>VLOOKUP($A223,'SurveyRpt_20150223 (1)'!$A$34:$AN$735,20,FALSE)</f>
        <v>Yes</v>
      </c>
      <c r="O223" s="16" t="str">
        <f>VLOOKUP($A223,'SurveyRpt_20150223 (1)'!$A$34:$AN$735,22,FALSE)</f>
        <v>Yes</v>
      </c>
      <c r="P223" s="16" t="str">
        <f>VLOOKUP($A223,'SurveyRpt_20150223 (1)'!$A$34:$AN$735,24,FALSE)</f>
        <v>Yes</v>
      </c>
      <c r="Q223" s="16" t="str">
        <f>VLOOKUP($A223,'SurveyRpt_20150223 (1)'!$A$34:$AN$735,26,FALSE)</f>
        <v>Yes</v>
      </c>
      <c r="R223" s="16" t="str">
        <f>VLOOKUP($A223,'SurveyRpt_20150223 (1)'!$A$34:$AN$735,28,FALSE)</f>
        <v>Yes</v>
      </c>
      <c r="S223" s="16" t="str">
        <f>VLOOKUP($A223,'SurveyRpt_20150223 (1)'!$A$34:$AN$735,30,FALSE)</f>
        <v>Yes</v>
      </c>
      <c r="T223" s="16" t="str">
        <f>VLOOKUP($A223,'SurveyRpt_20150223 (1)'!$A$34:$AN$735,32,FALSE)</f>
        <v>Yes</v>
      </c>
      <c r="U223" s="16" t="str">
        <f>VLOOKUP($A223,'SurveyRpt_20150223 (1)'!$A$34:$AN$735,34,FALSE)</f>
        <v>Yes</v>
      </c>
      <c r="V223" s="16" t="str">
        <f>VLOOKUP($A223,'SurveyRpt_20150223 (1)'!$A$34:$AN$735,36,FALSE)</f>
        <v>Yes</v>
      </c>
      <c r="W223" s="16" t="str">
        <f>VLOOKUP($A223,'SurveyRpt_20150223 (1)'!$A$34:$AN$735,38,FALSE)</f>
        <v>Yes</v>
      </c>
    </row>
    <row r="224" spans="1:23" ht="13.5" customHeight="1" x14ac:dyDescent="0.25">
      <c r="A224" s="19" t="s">
        <v>317</v>
      </c>
      <c r="B224" s="19" t="str">
        <f t="shared" si="3"/>
        <v>mnestroy</v>
      </c>
      <c r="C224" s="16" t="str">
        <f>VLOOKUP(B224,'Compiled Agents'!A:H,2,FALSE)</f>
        <v>Workplace</v>
      </c>
      <c r="D224" s="16" t="str">
        <f>VLOOKUP(B224,'Compiled Agents'!A:H,4,FALSE)</f>
        <v>MBC US</v>
      </c>
      <c r="E224" s="16" t="str">
        <f>VLOOKUP(B224,'Compiled Agents'!A:H,5,FALSE)</f>
        <v>Wave2</v>
      </c>
      <c r="F224" s="16" t="str">
        <f>VLOOKUP(B224,'Compiled Agents'!A:H,6,FALSE)</f>
        <v>Brown</v>
      </c>
      <c r="G224" s="16">
        <f>VLOOKUP($A224,'SurveyRpt_20150223 (1)'!$A$34:$AN$735,6,FALSE)</f>
        <v>3</v>
      </c>
      <c r="H224" s="16" t="str">
        <f>VLOOKUP($A224,'SurveyRpt_20150223 (1)'!$A$34:$AN$735,8,FALSE)</f>
        <v>No</v>
      </c>
      <c r="I224" s="16" t="str">
        <f>VLOOKUP($A224,'SurveyRpt_20150223 (1)'!$A$34:$AN$735,10,FALSE)</f>
        <v>No</v>
      </c>
      <c r="J224" s="16" t="str">
        <f>VLOOKUP($A224,'SurveyRpt_20150223 (1)'!$A$34:$AN$735,12,FALSE)</f>
        <v>No</v>
      </c>
      <c r="K224" s="16" t="str">
        <f>VLOOKUP($A224,'SurveyRpt_20150223 (1)'!$A$34:$AN$735,14,FALSE)</f>
        <v>No</v>
      </c>
      <c r="L224" s="16" t="str">
        <f>VLOOKUP($A224,'SurveyRpt_20150223 (1)'!$A$34:$AN$735,16,FALSE)</f>
        <v>No</v>
      </c>
      <c r="M224" s="16" t="str">
        <f>VLOOKUP($A224,'SurveyRpt_20150223 (1)'!$A$34:$AN$735,18,FALSE)</f>
        <v>Yes</v>
      </c>
      <c r="N224" s="16" t="str">
        <f>VLOOKUP($A224,'SurveyRpt_20150223 (1)'!$A$34:$AN$735,20,FALSE)</f>
        <v>No</v>
      </c>
      <c r="O224" s="16" t="str">
        <f>VLOOKUP($A224,'SurveyRpt_20150223 (1)'!$A$34:$AN$735,22,FALSE)</f>
        <v>No</v>
      </c>
      <c r="P224" s="16" t="str">
        <f>VLOOKUP($A224,'SurveyRpt_20150223 (1)'!$A$34:$AN$735,24,FALSE)</f>
        <v>No</v>
      </c>
      <c r="Q224" s="16" t="str">
        <f>VLOOKUP($A224,'SurveyRpt_20150223 (1)'!$A$34:$AN$735,26,FALSE)</f>
        <v>No</v>
      </c>
      <c r="R224" s="16" t="str">
        <f>VLOOKUP($A224,'SurveyRpt_20150223 (1)'!$A$34:$AN$735,28,FALSE)</f>
        <v>No</v>
      </c>
      <c r="S224" s="16" t="str">
        <f>VLOOKUP($A224,'SurveyRpt_20150223 (1)'!$A$34:$AN$735,30,FALSE)</f>
        <v>Yes</v>
      </c>
      <c r="T224" s="16" t="str">
        <f>VLOOKUP($A224,'SurveyRpt_20150223 (1)'!$A$34:$AN$735,32,FALSE)</f>
        <v>No</v>
      </c>
      <c r="U224" s="16" t="str">
        <f>VLOOKUP($A224,'SurveyRpt_20150223 (1)'!$A$34:$AN$735,34,FALSE)</f>
        <v>No</v>
      </c>
      <c r="V224" s="16" t="str">
        <f>VLOOKUP($A224,'SurveyRpt_20150223 (1)'!$A$34:$AN$735,36,FALSE)</f>
        <v>Yes</v>
      </c>
      <c r="W224" s="16" t="str">
        <f>VLOOKUP($A224,'SurveyRpt_20150223 (1)'!$A$34:$AN$735,38,FALSE)</f>
        <v>No</v>
      </c>
    </row>
    <row r="225" spans="1:23" ht="13.5" customHeight="1" x14ac:dyDescent="0.25">
      <c r="A225" s="19" t="s">
        <v>318</v>
      </c>
      <c r="B225" s="19" t="str">
        <f t="shared" si="3"/>
        <v>PSABHARWAL2</v>
      </c>
      <c r="C225" s="16" t="str">
        <f>VLOOKUP(B225,'Compiled Agents'!A:H,2,FALSE)</f>
        <v>Platform</v>
      </c>
      <c r="D225" s="16" t="str">
        <f>VLOOKUP(B225,'Compiled Agents'!A:H,4,FALSE)</f>
        <v>Noida</v>
      </c>
      <c r="E225" s="16" t="str">
        <f>VLOOKUP(B225,'Compiled Agents'!A:H,5,FALSE)</f>
        <v>Wave2</v>
      </c>
      <c r="F225" s="16" t="str">
        <f>VLOOKUP(B225,'Compiled Agents'!A:H,6,FALSE)</f>
        <v>Yellow</v>
      </c>
      <c r="G225" s="16">
        <f>VLOOKUP($A225,'SurveyRpt_20150223 (1)'!$A$34:$AN$735,6,FALSE)</f>
        <v>11</v>
      </c>
      <c r="H225" s="16" t="str">
        <f>VLOOKUP($A225,'SurveyRpt_20150223 (1)'!$A$34:$AN$735,8,FALSE)</f>
        <v>No</v>
      </c>
      <c r="I225" s="16" t="str">
        <f>VLOOKUP($A225,'SurveyRpt_20150223 (1)'!$A$34:$AN$735,10,FALSE)</f>
        <v>Yes</v>
      </c>
      <c r="J225" s="16" t="str">
        <f>VLOOKUP($A225,'SurveyRpt_20150223 (1)'!$A$34:$AN$735,12,FALSE)</f>
        <v>Yes</v>
      </c>
      <c r="K225" s="16" t="str">
        <f>VLOOKUP($A225,'SurveyRpt_20150223 (1)'!$A$34:$AN$735,14,FALSE)</f>
        <v>No</v>
      </c>
      <c r="L225" s="16" t="str">
        <f>VLOOKUP($A225,'SurveyRpt_20150223 (1)'!$A$34:$AN$735,16,FALSE)</f>
        <v>Yes</v>
      </c>
      <c r="M225" s="16" t="str">
        <f>VLOOKUP($A225,'SurveyRpt_20150223 (1)'!$A$34:$AN$735,18,FALSE)</f>
        <v>Yes</v>
      </c>
      <c r="N225" s="16" t="str">
        <f>VLOOKUP($A225,'SurveyRpt_20150223 (1)'!$A$34:$AN$735,20,FALSE)</f>
        <v>Yes</v>
      </c>
      <c r="O225" s="16" t="str">
        <f>VLOOKUP($A225,'SurveyRpt_20150223 (1)'!$A$34:$AN$735,22,FALSE)</f>
        <v>Yes</v>
      </c>
      <c r="P225" s="16" t="str">
        <f>VLOOKUP($A225,'SurveyRpt_20150223 (1)'!$A$34:$AN$735,24,FALSE)</f>
        <v>Yes</v>
      </c>
      <c r="Q225" s="16" t="str">
        <f>VLOOKUP($A225,'SurveyRpt_20150223 (1)'!$A$34:$AN$735,26,FALSE)</f>
        <v>Yes</v>
      </c>
      <c r="R225" s="16" t="str">
        <f>VLOOKUP($A225,'SurveyRpt_20150223 (1)'!$A$34:$AN$735,28,FALSE)</f>
        <v>Yes</v>
      </c>
      <c r="S225" s="16" t="str">
        <f>VLOOKUP($A225,'SurveyRpt_20150223 (1)'!$A$34:$AN$735,30,FALSE)</f>
        <v>Yes</v>
      </c>
      <c r="T225" s="16" t="str">
        <f>VLOOKUP($A225,'SurveyRpt_20150223 (1)'!$A$34:$AN$735,32,FALSE)</f>
        <v>No</v>
      </c>
      <c r="U225" s="16" t="str">
        <f>VLOOKUP($A225,'SurveyRpt_20150223 (1)'!$A$34:$AN$735,34,FALSE)</f>
        <v>No</v>
      </c>
      <c r="V225" s="16" t="str">
        <f>VLOOKUP($A225,'SurveyRpt_20150223 (1)'!$A$34:$AN$735,36,FALSE)</f>
        <v>Yes</v>
      </c>
      <c r="W225" s="16" t="str">
        <f>VLOOKUP($A225,'SurveyRpt_20150223 (1)'!$A$34:$AN$735,38,FALSE)</f>
        <v>No</v>
      </c>
    </row>
    <row r="226" spans="1:23" ht="13.5" customHeight="1" x14ac:dyDescent="0.25">
      <c r="A226" s="19" t="s">
        <v>319</v>
      </c>
      <c r="B226" s="19" t="str">
        <f t="shared" si="3"/>
        <v>MGAUR</v>
      </c>
      <c r="C226" s="16" t="str">
        <f>VLOOKUP(B226,'Compiled Agents'!A:H,2,FALSE)</f>
        <v>Platform</v>
      </c>
      <c r="D226" s="16" t="str">
        <f>VLOOKUP(B226,'Compiled Agents'!A:H,4,FALSE)</f>
        <v>Noida</v>
      </c>
      <c r="E226" s="16" t="str">
        <f>VLOOKUP(B226,'Compiled Agents'!A:H,5,FALSE)</f>
        <v>Wave2</v>
      </c>
      <c r="F226" s="16" t="str">
        <f>VLOOKUP(B226,'Compiled Agents'!A:H,6,FALSE)</f>
        <v>Blue</v>
      </c>
      <c r="G226" s="16">
        <f>VLOOKUP($A226,'SurveyRpt_20150223 (1)'!$A$34:$AN$735,6,FALSE)</f>
        <v>16</v>
      </c>
      <c r="H226" s="16" t="str">
        <f>VLOOKUP($A226,'SurveyRpt_20150223 (1)'!$A$34:$AN$735,8,FALSE)</f>
        <v>Yes</v>
      </c>
      <c r="I226" s="16" t="str">
        <f>VLOOKUP($A226,'SurveyRpt_20150223 (1)'!$A$34:$AN$735,10,FALSE)</f>
        <v>Yes</v>
      </c>
      <c r="J226" s="16" t="str">
        <f>VLOOKUP($A226,'SurveyRpt_20150223 (1)'!$A$34:$AN$735,12,FALSE)</f>
        <v>Yes</v>
      </c>
      <c r="K226" s="16" t="str">
        <f>VLOOKUP($A226,'SurveyRpt_20150223 (1)'!$A$34:$AN$735,14,FALSE)</f>
        <v>Yes</v>
      </c>
      <c r="L226" s="16" t="str">
        <f>VLOOKUP($A226,'SurveyRpt_20150223 (1)'!$A$34:$AN$735,16,FALSE)</f>
        <v>Yes</v>
      </c>
      <c r="M226" s="16" t="str">
        <f>VLOOKUP($A226,'SurveyRpt_20150223 (1)'!$A$34:$AN$735,18,FALSE)</f>
        <v>Yes</v>
      </c>
      <c r="N226" s="16" t="str">
        <f>VLOOKUP($A226,'SurveyRpt_20150223 (1)'!$A$34:$AN$735,20,FALSE)</f>
        <v>Yes</v>
      </c>
      <c r="O226" s="16" t="str">
        <f>VLOOKUP($A226,'SurveyRpt_20150223 (1)'!$A$34:$AN$735,22,FALSE)</f>
        <v>Yes</v>
      </c>
      <c r="P226" s="16" t="str">
        <f>VLOOKUP($A226,'SurveyRpt_20150223 (1)'!$A$34:$AN$735,24,FALSE)</f>
        <v>Yes</v>
      </c>
      <c r="Q226" s="16" t="str">
        <f>VLOOKUP($A226,'SurveyRpt_20150223 (1)'!$A$34:$AN$735,26,FALSE)</f>
        <v>Yes</v>
      </c>
      <c r="R226" s="16" t="str">
        <f>VLOOKUP($A226,'SurveyRpt_20150223 (1)'!$A$34:$AN$735,28,FALSE)</f>
        <v>Yes</v>
      </c>
      <c r="S226" s="16" t="str">
        <f>VLOOKUP($A226,'SurveyRpt_20150223 (1)'!$A$34:$AN$735,30,FALSE)</f>
        <v>Yes</v>
      </c>
      <c r="T226" s="16" t="str">
        <f>VLOOKUP($A226,'SurveyRpt_20150223 (1)'!$A$34:$AN$735,32,FALSE)</f>
        <v>Yes</v>
      </c>
      <c r="U226" s="16" t="str">
        <f>VLOOKUP($A226,'SurveyRpt_20150223 (1)'!$A$34:$AN$735,34,FALSE)</f>
        <v>Yes</v>
      </c>
      <c r="V226" s="16" t="str">
        <f>VLOOKUP($A226,'SurveyRpt_20150223 (1)'!$A$34:$AN$735,36,FALSE)</f>
        <v>Yes</v>
      </c>
      <c r="W226" s="16" t="str">
        <f>VLOOKUP($A226,'SurveyRpt_20150223 (1)'!$A$34:$AN$735,38,FALSE)</f>
        <v>Yes</v>
      </c>
    </row>
    <row r="227" spans="1:23" ht="13.5" customHeight="1" x14ac:dyDescent="0.25">
      <c r="A227" s="19" t="s">
        <v>320</v>
      </c>
      <c r="B227" s="19" t="str">
        <f t="shared" si="3"/>
        <v>KPERUMAL5</v>
      </c>
      <c r="C227" s="16" t="str">
        <f>VLOOKUP(B227,'Compiled Agents'!A:H,2,FALSE)</f>
        <v>Platform</v>
      </c>
      <c r="D227" s="16" t="str">
        <f>VLOOKUP(B227,'Compiled Agents'!A:H,4,FALSE)</f>
        <v>Hyderabad</v>
      </c>
      <c r="E227" s="16" t="str">
        <f>VLOOKUP(B227,'Compiled Agents'!A:H,5,FALSE)</f>
        <v>Wave1</v>
      </c>
      <c r="F227" s="16" t="str">
        <f>VLOOKUP(B227,'Compiled Agents'!A:H,6,FALSE)</f>
        <v>Purple</v>
      </c>
      <c r="G227" s="16">
        <f>VLOOKUP($A227,'SurveyRpt_20150223 (1)'!$A$34:$AN$735,6,FALSE)</f>
        <v>7</v>
      </c>
      <c r="H227" s="16" t="str">
        <f>VLOOKUP($A227,'SurveyRpt_20150223 (1)'!$A$34:$AN$735,8,FALSE)</f>
        <v>Yes</v>
      </c>
      <c r="I227" s="16" t="str">
        <f>VLOOKUP($A227,'SurveyRpt_20150223 (1)'!$A$34:$AN$735,10,FALSE)</f>
        <v>No</v>
      </c>
      <c r="J227" s="16" t="str">
        <f>VLOOKUP($A227,'SurveyRpt_20150223 (1)'!$A$34:$AN$735,12,FALSE)</f>
        <v>No</v>
      </c>
      <c r="K227" s="16" t="str">
        <f>VLOOKUP($A227,'SurveyRpt_20150223 (1)'!$A$34:$AN$735,14,FALSE)</f>
        <v>Yes</v>
      </c>
      <c r="L227" s="16" t="str">
        <f>VLOOKUP($A227,'SurveyRpt_20150223 (1)'!$A$34:$AN$735,16,FALSE)</f>
        <v>No</v>
      </c>
      <c r="M227" s="16" t="str">
        <f>VLOOKUP($A227,'SurveyRpt_20150223 (1)'!$A$34:$AN$735,18,FALSE)</f>
        <v>Yes</v>
      </c>
      <c r="N227" s="16" t="str">
        <f>VLOOKUP($A227,'SurveyRpt_20150223 (1)'!$A$34:$AN$735,20,FALSE)</f>
        <v>No</v>
      </c>
      <c r="O227" s="16" t="str">
        <f>VLOOKUP($A227,'SurveyRpt_20150223 (1)'!$A$34:$AN$735,22,FALSE)</f>
        <v>No</v>
      </c>
      <c r="P227" s="16" t="str">
        <f>VLOOKUP($A227,'SurveyRpt_20150223 (1)'!$A$34:$AN$735,24,FALSE)</f>
        <v>Yes</v>
      </c>
      <c r="Q227" s="16" t="str">
        <f>VLOOKUP($A227,'SurveyRpt_20150223 (1)'!$A$34:$AN$735,26,FALSE)</f>
        <v>No</v>
      </c>
      <c r="R227" s="16" t="str">
        <f>VLOOKUP($A227,'SurveyRpt_20150223 (1)'!$A$34:$AN$735,28,FALSE)</f>
        <v>Yes</v>
      </c>
      <c r="S227" s="16" t="str">
        <f>VLOOKUP($A227,'SurveyRpt_20150223 (1)'!$A$34:$AN$735,30,FALSE)</f>
        <v>Yes</v>
      </c>
      <c r="T227" s="16" t="str">
        <f>VLOOKUP($A227,'SurveyRpt_20150223 (1)'!$A$34:$AN$735,32,FALSE)</f>
        <v>No</v>
      </c>
      <c r="U227" s="16" t="str">
        <f>VLOOKUP($A227,'SurveyRpt_20150223 (1)'!$A$34:$AN$735,34,FALSE)</f>
        <v>No</v>
      </c>
      <c r="V227" s="16" t="str">
        <f>VLOOKUP($A227,'SurveyRpt_20150223 (1)'!$A$34:$AN$735,36,FALSE)</f>
        <v>Yes</v>
      </c>
      <c r="W227" s="16" t="str">
        <f>VLOOKUP($A227,'SurveyRpt_20150223 (1)'!$A$34:$AN$735,38,FALSE)</f>
        <v>No</v>
      </c>
    </row>
    <row r="228" spans="1:23" ht="13.5" customHeight="1" x14ac:dyDescent="0.25">
      <c r="A228" s="19" t="s">
        <v>321</v>
      </c>
      <c r="B228" s="19" t="str">
        <f t="shared" si="3"/>
        <v>SSINGH265</v>
      </c>
      <c r="C228" s="16" t="str">
        <f>VLOOKUP(B228,'Compiled Agents'!A:H,2,FALSE)</f>
        <v>Platform</v>
      </c>
      <c r="D228" s="16" t="str">
        <f>VLOOKUP(B228,'Compiled Agents'!A:H,4,FALSE)</f>
        <v>Noida</v>
      </c>
      <c r="E228" s="16" t="str">
        <f>VLOOKUP(B228,'Compiled Agents'!A:H,5,FALSE)</f>
        <v>Wave2</v>
      </c>
      <c r="F228" s="16" t="str">
        <f>VLOOKUP(B228,'Compiled Agents'!A:H,6,FALSE)</f>
        <v>Blue</v>
      </c>
      <c r="G228" s="16">
        <f>VLOOKUP($A228,'SurveyRpt_20150223 (1)'!$A$34:$AN$735,6,FALSE)</f>
        <v>16</v>
      </c>
      <c r="H228" s="16" t="str">
        <f>VLOOKUP($A228,'SurveyRpt_20150223 (1)'!$A$34:$AN$735,8,FALSE)</f>
        <v>Yes</v>
      </c>
      <c r="I228" s="16" t="str">
        <f>VLOOKUP($A228,'SurveyRpt_20150223 (1)'!$A$34:$AN$735,10,FALSE)</f>
        <v>Yes</v>
      </c>
      <c r="J228" s="16" t="str">
        <f>VLOOKUP($A228,'SurveyRpt_20150223 (1)'!$A$34:$AN$735,12,FALSE)</f>
        <v>Yes</v>
      </c>
      <c r="K228" s="16" t="str">
        <f>VLOOKUP($A228,'SurveyRpt_20150223 (1)'!$A$34:$AN$735,14,FALSE)</f>
        <v>Yes</v>
      </c>
      <c r="L228" s="16" t="str">
        <f>VLOOKUP($A228,'SurveyRpt_20150223 (1)'!$A$34:$AN$735,16,FALSE)</f>
        <v>Yes</v>
      </c>
      <c r="M228" s="16" t="str">
        <f>VLOOKUP($A228,'SurveyRpt_20150223 (1)'!$A$34:$AN$735,18,FALSE)</f>
        <v>Yes</v>
      </c>
      <c r="N228" s="16" t="str">
        <f>VLOOKUP($A228,'SurveyRpt_20150223 (1)'!$A$34:$AN$735,20,FALSE)</f>
        <v>Yes</v>
      </c>
      <c r="O228" s="16" t="str">
        <f>VLOOKUP($A228,'SurveyRpt_20150223 (1)'!$A$34:$AN$735,22,FALSE)</f>
        <v>Yes</v>
      </c>
      <c r="P228" s="16" t="str">
        <f>VLOOKUP($A228,'SurveyRpt_20150223 (1)'!$A$34:$AN$735,24,FALSE)</f>
        <v>Yes</v>
      </c>
      <c r="Q228" s="16" t="str">
        <f>VLOOKUP($A228,'SurveyRpt_20150223 (1)'!$A$34:$AN$735,26,FALSE)</f>
        <v>Yes</v>
      </c>
      <c r="R228" s="16" t="str">
        <f>VLOOKUP($A228,'SurveyRpt_20150223 (1)'!$A$34:$AN$735,28,FALSE)</f>
        <v>Yes</v>
      </c>
      <c r="S228" s="16" t="str">
        <f>VLOOKUP($A228,'SurveyRpt_20150223 (1)'!$A$34:$AN$735,30,FALSE)</f>
        <v>Yes</v>
      </c>
      <c r="T228" s="16" t="str">
        <f>VLOOKUP($A228,'SurveyRpt_20150223 (1)'!$A$34:$AN$735,32,FALSE)</f>
        <v>Yes</v>
      </c>
      <c r="U228" s="16" t="str">
        <f>VLOOKUP($A228,'SurveyRpt_20150223 (1)'!$A$34:$AN$735,34,FALSE)</f>
        <v>Yes</v>
      </c>
      <c r="V228" s="16" t="str">
        <f>VLOOKUP($A228,'SurveyRpt_20150223 (1)'!$A$34:$AN$735,36,FALSE)</f>
        <v>Yes</v>
      </c>
      <c r="W228" s="16" t="str">
        <f>VLOOKUP($A228,'SurveyRpt_20150223 (1)'!$A$34:$AN$735,38,FALSE)</f>
        <v>Yes</v>
      </c>
    </row>
    <row r="229" spans="1:23" ht="13.5" customHeight="1" x14ac:dyDescent="0.25">
      <c r="A229" s="19" t="s">
        <v>322</v>
      </c>
      <c r="B229" s="19" t="str">
        <f t="shared" si="3"/>
        <v>RBHAT4</v>
      </c>
      <c r="C229" s="16" t="str">
        <f>VLOOKUP(B229,'Compiled Agents'!A:H,2,FALSE)</f>
        <v>Platform</v>
      </c>
      <c r="D229" s="16" t="str">
        <f>VLOOKUP(B229,'Compiled Agents'!A:H,4,FALSE)</f>
        <v>Hyderabad</v>
      </c>
      <c r="E229" s="16" t="str">
        <f>VLOOKUP(B229,'Compiled Agents'!A:H,5,FALSE)</f>
        <v>Wave1</v>
      </c>
      <c r="F229" s="16" t="str">
        <f>VLOOKUP(B229,'Compiled Agents'!A:H,6,FALSE)</f>
        <v>Purple</v>
      </c>
      <c r="G229" s="16">
        <f>VLOOKUP($A229,'SurveyRpt_20150223 (1)'!$A$34:$AN$735,6,FALSE)</f>
        <v>16</v>
      </c>
      <c r="H229" s="16" t="str">
        <f>VLOOKUP($A229,'SurveyRpt_20150223 (1)'!$A$34:$AN$735,8,FALSE)</f>
        <v>Yes</v>
      </c>
      <c r="I229" s="16" t="str">
        <f>VLOOKUP($A229,'SurveyRpt_20150223 (1)'!$A$34:$AN$735,10,FALSE)</f>
        <v>Yes</v>
      </c>
      <c r="J229" s="16" t="str">
        <f>VLOOKUP($A229,'SurveyRpt_20150223 (1)'!$A$34:$AN$735,12,FALSE)</f>
        <v>Yes</v>
      </c>
      <c r="K229" s="16" t="str">
        <f>VLOOKUP($A229,'SurveyRpt_20150223 (1)'!$A$34:$AN$735,14,FALSE)</f>
        <v>Yes</v>
      </c>
      <c r="L229" s="16" t="str">
        <f>VLOOKUP($A229,'SurveyRpt_20150223 (1)'!$A$34:$AN$735,16,FALSE)</f>
        <v>Yes</v>
      </c>
      <c r="M229" s="16" t="str">
        <f>VLOOKUP($A229,'SurveyRpt_20150223 (1)'!$A$34:$AN$735,18,FALSE)</f>
        <v>Yes</v>
      </c>
      <c r="N229" s="16" t="str">
        <f>VLOOKUP($A229,'SurveyRpt_20150223 (1)'!$A$34:$AN$735,20,FALSE)</f>
        <v>Yes</v>
      </c>
      <c r="O229" s="16" t="str">
        <f>VLOOKUP($A229,'SurveyRpt_20150223 (1)'!$A$34:$AN$735,22,FALSE)</f>
        <v>Yes</v>
      </c>
      <c r="P229" s="16" t="str">
        <f>VLOOKUP($A229,'SurveyRpt_20150223 (1)'!$A$34:$AN$735,24,FALSE)</f>
        <v>Yes</v>
      </c>
      <c r="Q229" s="16" t="str">
        <f>VLOOKUP($A229,'SurveyRpt_20150223 (1)'!$A$34:$AN$735,26,FALSE)</f>
        <v>Yes</v>
      </c>
      <c r="R229" s="16" t="str">
        <f>VLOOKUP($A229,'SurveyRpt_20150223 (1)'!$A$34:$AN$735,28,FALSE)</f>
        <v>Yes</v>
      </c>
      <c r="S229" s="16" t="str">
        <f>VLOOKUP($A229,'SurveyRpt_20150223 (1)'!$A$34:$AN$735,30,FALSE)</f>
        <v>Yes</v>
      </c>
      <c r="T229" s="16" t="str">
        <f>VLOOKUP($A229,'SurveyRpt_20150223 (1)'!$A$34:$AN$735,32,FALSE)</f>
        <v>Yes</v>
      </c>
      <c r="U229" s="16" t="str">
        <f>VLOOKUP($A229,'SurveyRpt_20150223 (1)'!$A$34:$AN$735,34,FALSE)</f>
        <v>Yes</v>
      </c>
      <c r="V229" s="16" t="str">
        <f>VLOOKUP($A229,'SurveyRpt_20150223 (1)'!$A$34:$AN$735,36,FALSE)</f>
        <v>Yes</v>
      </c>
      <c r="W229" s="16" t="str">
        <f>VLOOKUP($A229,'SurveyRpt_20150223 (1)'!$A$34:$AN$735,38,FALSE)</f>
        <v>Yes</v>
      </c>
    </row>
    <row r="230" spans="1:23" ht="13.5" customHeight="1" x14ac:dyDescent="0.25">
      <c r="A230" s="19" t="s">
        <v>323</v>
      </c>
      <c r="B230" s="19" t="str">
        <f t="shared" si="3"/>
        <v>ralvarezabal</v>
      </c>
      <c r="C230" s="16" t="str">
        <f>VLOOKUP(B230,'Compiled Agents'!A:H,2,FALSE)</f>
        <v>Platform</v>
      </c>
      <c r="D230" s="16" t="str">
        <f>VLOOKUP(B230,'Compiled Agents'!A:H,4,FALSE)</f>
        <v>Spain</v>
      </c>
      <c r="E230" s="16" t="str">
        <f>VLOOKUP(B230,'Compiled Agents'!A:H,5,FALSE)</f>
        <v>Wave1</v>
      </c>
      <c r="F230" s="16" t="str">
        <f>VLOOKUP(B230,'Compiled Agents'!A:H,6,FALSE)</f>
        <v>Yellow</v>
      </c>
      <c r="G230" s="16">
        <f>VLOOKUP($A230,'SurveyRpt_20150223 (1)'!$A$34:$AN$735,6,FALSE)</f>
        <v>9</v>
      </c>
      <c r="H230" s="16" t="str">
        <f>VLOOKUP($A230,'SurveyRpt_20150223 (1)'!$A$34:$AN$735,8,FALSE)</f>
        <v>No</v>
      </c>
      <c r="I230" s="16" t="str">
        <f>VLOOKUP($A230,'SurveyRpt_20150223 (1)'!$A$34:$AN$735,10,FALSE)</f>
        <v>Yes</v>
      </c>
      <c r="J230" s="16" t="str">
        <f>VLOOKUP($A230,'SurveyRpt_20150223 (1)'!$A$34:$AN$735,12,FALSE)</f>
        <v>No</v>
      </c>
      <c r="K230" s="16" t="str">
        <f>VLOOKUP($A230,'SurveyRpt_20150223 (1)'!$A$34:$AN$735,14,FALSE)</f>
        <v>No</v>
      </c>
      <c r="L230" s="16" t="str">
        <f>VLOOKUP($A230,'SurveyRpt_20150223 (1)'!$A$34:$AN$735,16,FALSE)</f>
        <v>No</v>
      </c>
      <c r="M230" s="16" t="str">
        <f>VLOOKUP($A230,'SurveyRpt_20150223 (1)'!$A$34:$AN$735,18,FALSE)</f>
        <v>Yes</v>
      </c>
      <c r="N230" s="16" t="str">
        <f>VLOOKUP($A230,'SurveyRpt_20150223 (1)'!$A$34:$AN$735,20,FALSE)</f>
        <v>No</v>
      </c>
      <c r="O230" s="16" t="str">
        <f>VLOOKUP($A230,'SurveyRpt_20150223 (1)'!$A$34:$AN$735,22,FALSE)</f>
        <v>Yes</v>
      </c>
      <c r="P230" s="16" t="str">
        <f>VLOOKUP($A230,'SurveyRpt_20150223 (1)'!$A$34:$AN$735,24,FALSE)</f>
        <v>Yes</v>
      </c>
      <c r="Q230" s="16" t="str">
        <f>VLOOKUP($A230,'SurveyRpt_20150223 (1)'!$A$34:$AN$735,26,FALSE)</f>
        <v>Yes</v>
      </c>
      <c r="R230" s="16" t="str">
        <f>VLOOKUP($A230,'SurveyRpt_20150223 (1)'!$A$34:$AN$735,28,FALSE)</f>
        <v>Yes</v>
      </c>
      <c r="S230" s="16" t="str">
        <f>VLOOKUP($A230,'SurveyRpt_20150223 (1)'!$A$34:$AN$735,30,FALSE)</f>
        <v>Yes</v>
      </c>
      <c r="T230" s="16" t="str">
        <f>VLOOKUP($A230,'SurveyRpt_20150223 (1)'!$A$34:$AN$735,32,FALSE)</f>
        <v>No</v>
      </c>
      <c r="U230" s="16" t="str">
        <f>VLOOKUP($A230,'SurveyRpt_20150223 (1)'!$A$34:$AN$735,34,FALSE)</f>
        <v>No</v>
      </c>
      <c r="V230" s="16" t="str">
        <f>VLOOKUP($A230,'SurveyRpt_20150223 (1)'!$A$34:$AN$735,36,FALSE)</f>
        <v>Yes</v>
      </c>
      <c r="W230" s="16" t="str">
        <f>VLOOKUP($A230,'SurveyRpt_20150223 (1)'!$A$34:$AN$735,38,FALSE)</f>
        <v>Yes</v>
      </c>
    </row>
    <row r="231" spans="1:23" ht="13.5" customHeight="1" x14ac:dyDescent="0.25">
      <c r="A231" s="19" t="s">
        <v>324</v>
      </c>
      <c r="B231" s="19" t="str">
        <f t="shared" si="3"/>
        <v>MSETHURAMAN</v>
      </c>
      <c r="C231" s="16" t="str">
        <f>VLOOKUP(B231,'Compiled Agents'!A:H,2,FALSE)</f>
        <v>Workplace</v>
      </c>
      <c r="D231" s="16" t="str">
        <f>VLOOKUP(B231,'Compiled Agents'!A:H,4,FALSE)</f>
        <v>Hyderabad</v>
      </c>
      <c r="E231" s="16" t="str">
        <f>VLOOKUP(B231,'Compiled Agents'!A:H,5,FALSE)</f>
        <v>Wave2</v>
      </c>
      <c r="F231" s="16" t="str">
        <f>VLOOKUP(B231,'Compiled Agents'!A:H,6,FALSE)</f>
        <v>Purple</v>
      </c>
      <c r="G231" s="16">
        <f>VLOOKUP($A231,'SurveyRpt_20150223 (1)'!$A$34:$AN$735,6,FALSE)</f>
        <v>16</v>
      </c>
      <c r="H231" s="16" t="str">
        <f>VLOOKUP($A231,'SurveyRpt_20150223 (1)'!$A$34:$AN$735,8,FALSE)</f>
        <v>Yes</v>
      </c>
      <c r="I231" s="16" t="str">
        <f>VLOOKUP($A231,'SurveyRpt_20150223 (1)'!$A$34:$AN$735,10,FALSE)</f>
        <v>Yes</v>
      </c>
      <c r="J231" s="16" t="str">
        <f>VLOOKUP($A231,'SurveyRpt_20150223 (1)'!$A$34:$AN$735,12,FALSE)</f>
        <v>Yes</v>
      </c>
      <c r="K231" s="16" t="str">
        <f>VLOOKUP($A231,'SurveyRpt_20150223 (1)'!$A$34:$AN$735,14,FALSE)</f>
        <v>Yes</v>
      </c>
      <c r="L231" s="16" t="str">
        <f>VLOOKUP($A231,'SurveyRpt_20150223 (1)'!$A$34:$AN$735,16,FALSE)</f>
        <v>Yes</v>
      </c>
      <c r="M231" s="16" t="str">
        <f>VLOOKUP($A231,'SurveyRpt_20150223 (1)'!$A$34:$AN$735,18,FALSE)</f>
        <v>Yes</v>
      </c>
      <c r="N231" s="16" t="str">
        <f>VLOOKUP($A231,'SurveyRpt_20150223 (1)'!$A$34:$AN$735,20,FALSE)</f>
        <v>Yes</v>
      </c>
      <c r="O231" s="16" t="str">
        <f>VLOOKUP($A231,'SurveyRpt_20150223 (1)'!$A$34:$AN$735,22,FALSE)</f>
        <v>Yes</v>
      </c>
      <c r="P231" s="16" t="str">
        <f>VLOOKUP($A231,'SurveyRpt_20150223 (1)'!$A$34:$AN$735,24,FALSE)</f>
        <v>Yes</v>
      </c>
      <c r="Q231" s="16" t="str">
        <f>VLOOKUP($A231,'SurveyRpt_20150223 (1)'!$A$34:$AN$735,26,FALSE)</f>
        <v>Yes</v>
      </c>
      <c r="R231" s="16" t="str">
        <f>VLOOKUP($A231,'SurveyRpt_20150223 (1)'!$A$34:$AN$735,28,FALSE)</f>
        <v>Yes</v>
      </c>
      <c r="S231" s="16" t="str">
        <f>VLOOKUP($A231,'SurveyRpt_20150223 (1)'!$A$34:$AN$735,30,FALSE)</f>
        <v>Yes</v>
      </c>
      <c r="T231" s="16" t="str">
        <f>VLOOKUP($A231,'SurveyRpt_20150223 (1)'!$A$34:$AN$735,32,FALSE)</f>
        <v>Yes</v>
      </c>
      <c r="U231" s="16" t="str">
        <f>VLOOKUP($A231,'SurveyRpt_20150223 (1)'!$A$34:$AN$735,34,FALSE)</f>
        <v>Yes</v>
      </c>
      <c r="V231" s="16" t="str">
        <f>VLOOKUP($A231,'SurveyRpt_20150223 (1)'!$A$34:$AN$735,36,FALSE)</f>
        <v>Yes</v>
      </c>
      <c r="W231" s="16" t="str">
        <f>VLOOKUP($A231,'SurveyRpt_20150223 (1)'!$A$34:$AN$735,38,FALSE)</f>
        <v>Yes</v>
      </c>
    </row>
    <row r="232" spans="1:23" ht="13.5" customHeight="1" x14ac:dyDescent="0.25">
      <c r="A232" s="19" t="s">
        <v>325</v>
      </c>
      <c r="B232" s="19" t="str">
        <f t="shared" si="3"/>
        <v>KBHADORIA</v>
      </c>
      <c r="C232" s="16" t="str">
        <f>VLOOKUP(B232,'Compiled Agents'!A:H,2,FALSE)</f>
        <v>Workplace</v>
      </c>
      <c r="D232" s="16" t="str">
        <f>VLOOKUP(B232,'Compiled Agents'!A:H,4,FALSE)</f>
        <v>Hyderabad</v>
      </c>
      <c r="E232" s="16" t="str">
        <f>VLOOKUP(B232,'Compiled Agents'!A:H,5,FALSE)</f>
        <v>Wave2</v>
      </c>
      <c r="F232" s="16" t="str">
        <f>VLOOKUP(B232,'Compiled Agents'!A:H,6,FALSE)</f>
        <v>Blue</v>
      </c>
      <c r="G232" s="16">
        <f>VLOOKUP($A232,'SurveyRpt_20150223 (1)'!$A$34:$AN$735,6,FALSE)</f>
        <v>16</v>
      </c>
      <c r="H232" s="16" t="str">
        <f>VLOOKUP($A232,'SurveyRpt_20150223 (1)'!$A$34:$AN$735,8,FALSE)</f>
        <v>Yes</v>
      </c>
      <c r="I232" s="16" t="str">
        <f>VLOOKUP($A232,'SurveyRpt_20150223 (1)'!$A$34:$AN$735,10,FALSE)</f>
        <v>Yes</v>
      </c>
      <c r="J232" s="16" t="str">
        <f>VLOOKUP($A232,'SurveyRpt_20150223 (1)'!$A$34:$AN$735,12,FALSE)</f>
        <v>Yes</v>
      </c>
      <c r="K232" s="16" t="str">
        <f>VLOOKUP($A232,'SurveyRpt_20150223 (1)'!$A$34:$AN$735,14,FALSE)</f>
        <v>Yes</v>
      </c>
      <c r="L232" s="16" t="str">
        <f>VLOOKUP($A232,'SurveyRpt_20150223 (1)'!$A$34:$AN$735,16,FALSE)</f>
        <v>Yes</v>
      </c>
      <c r="M232" s="16" t="str">
        <f>VLOOKUP($A232,'SurveyRpt_20150223 (1)'!$A$34:$AN$735,18,FALSE)</f>
        <v>Yes</v>
      </c>
      <c r="N232" s="16" t="str">
        <f>VLOOKUP($A232,'SurveyRpt_20150223 (1)'!$A$34:$AN$735,20,FALSE)</f>
        <v>Yes</v>
      </c>
      <c r="O232" s="16" t="str">
        <f>VLOOKUP($A232,'SurveyRpt_20150223 (1)'!$A$34:$AN$735,22,FALSE)</f>
        <v>Yes</v>
      </c>
      <c r="P232" s="16" t="str">
        <f>VLOOKUP($A232,'SurveyRpt_20150223 (1)'!$A$34:$AN$735,24,FALSE)</f>
        <v>Yes</v>
      </c>
      <c r="Q232" s="16" t="str">
        <f>VLOOKUP($A232,'SurveyRpt_20150223 (1)'!$A$34:$AN$735,26,FALSE)</f>
        <v>Yes</v>
      </c>
      <c r="R232" s="16" t="str">
        <f>VLOOKUP($A232,'SurveyRpt_20150223 (1)'!$A$34:$AN$735,28,FALSE)</f>
        <v>Yes</v>
      </c>
      <c r="S232" s="16" t="str">
        <f>VLOOKUP($A232,'SurveyRpt_20150223 (1)'!$A$34:$AN$735,30,FALSE)</f>
        <v>Yes</v>
      </c>
      <c r="T232" s="16" t="str">
        <f>VLOOKUP($A232,'SurveyRpt_20150223 (1)'!$A$34:$AN$735,32,FALSE)</f>
        <v>Yes</v>
      </c>
      <c r="U232" s="16" t="str">
        <f>VLOOKUP($A232,'SurveyRpt_20150223 (1)'!$A$34:$AN$735,34,FALSE)</f>
        <v>Yes</v>
      </c>
      <c r="V232" s="16" t="str">
        <f>VLOOKUP($A232,'SurveyRpt_20150223 (1)'!$A$34:$AN$735,36,FALSE)</f>
        <v>Yes</v>
      </c>
      <c r="W232" s="16" t="str">
        <f>VLOOKUP($A232,'SurveyRpt_20150223 (1)'!$A$34:$AN$735,38,FALSE)</f>
        <v>Yes</v>
      </c>
    </row>
    <row r="233" spans="1:23" ht="13.5" customHeight="1" x14ac:dyDescent="0.25">
      <c r="A233" s="19" t="s">
        <v>326</v>
      </c>
      <c r="B233" s="19" t="str">
        <f t="shared" si="3"/>
        <v>RSADANANDAN</v>
      </c>
      <c r="C233" s="16" t="str">
        <f>VLOOKUP(B233,'Compiled Agents'!A:H,2,FALSE)</f>
        <v>Workplace</v>
      </c>
      <c r="D233" s="16" t="str">
        <f>VLOOKUP(B233,'Compiled Agents'!A:H,4,FALSE)</f>
        <v>Noida</v>
      </c>
      <c r="E233" s="16" t="str">
        <f>VLOOKUP(B233,'Compiled Agents'!A:H,5,FALSE)</f>
        <v>Wave2</v>
      </c>
      <c r="F233" s="16" t="str">
        <f>VLOOKUP(B233,'Compiled Agents'!A:H,6,FALSE)</f>
        <v>Purple</v>
      </c>
      <c r="G233" s="16">
        <f>VLOOKUP($A233,'SurveyRpt_20150223 (1)'!$A$34:$AN$735,6,FALSE)</f>
        <v>16</v>
      </c>
      <c r="H233" s="16" t="str">
        <f>VLOOKUP($A233,'SurveyRpt_20150223 (1)'!$A$34:$AN$735,8,FALSE)</f>
        <v>Yes</v>
      </c>
      <c r="I233" s="16" t="str">
        <f>VLOOKUP($A233,'SurveyRpt_20150223 (1)'!$A$34:$AN$735,10,FALSE)</f>
        <v>Yes</v>
      </c>
      <c r="J233" s="16" t="str">
        <f>VLOOKUP($A233,'SurveyRpt_20150223 (1)'!$A$34:$AN$735,12,FALSE)</f>
        <v>Yes</v>
      </c>
      <c r="K233" s="16" t="str">
        <f>VLOOKUP($A233,'SurveyRpt_20150223 (1)'!$A$34:$AN$735,14,FALSE)</f>
        <v>Yes</v>
      </c>
      <c r="L233" s="16" t="str">
        <f>VLOOKUP($A233,'SurveyRpt_20150223 (1)'!$A$34:$AN$735,16,FALSE)</f>
        <v>Yes</v>
      </c>
      <c r="M233" s="16" t="str">
        <f>VLOOKUP($A233,'SurveyRpt_20150223 (1)'!$A$34:$AN$735,18,FALSE)</f>
        <v>Yes</v>
      </c>
      <c r="N233" s="16" t="str">
        <f>VLOOKUP($A233,'SurveyRpt_20150223 (1)'!$A$34:$AN$735,20,FALSE)</f>
        <v>Yes</v>
      </c>
      <c r="O233" s="16" t="str">
        <f>VLOOKUP($A233,'SurveyRpt_20150223 (1)'!$A$34:$AN$735,22,FALSE)</f>
        <v>Yes</v>
      </c>
      <c r="P233" s="16" t="str">
        <f>VLOOKUP($A233,'SurveyRpt_20150223 (1)'!$A$34:$AN$735,24,FALSE)</f>
        <v>Yes</v>
      </c>
      <c r="Q233" s="16" t="str">
        <f>VLOOKUP($A233,'SurveyRpt_20150223 (1)'!$A$34:$AN$735,26,FALSE)</f>
        <v>Yes</v>
      </c>
      <c r="R233" s="16" t="str">
        <f>VLOOKUP($A233,'SurveyRpt_20150223 (1)'!$A$34:$AN$735,28,FALSE)</f>
        <v>Yes</v>
      </c>
      <c r="S233" s="16" t="str">
        <f>VLOOKUP($A233,'SurveyRpt_20150223 (1)'!$A$34:$AN$735,30,FALSE)</f>
        <v>Yes</v>
      </c>
      <c r="T233" s="16" t="str">
        <f>VLOOKUP($A233,'SurveyRpt_20150223 (1)'!$A$34:$AN$735,32,FALSE)</f>
        <v>Yes</v>
      </c>
      <c r="U233" s="16" t="str">
        <f>VLOOKUP($A233,'SurveyRpt_20150223 (1)'!$A$34:$AN$735,34,FALSE)</f>
        <v>Yes</v>
      </c>
      <c r="V233" s="16" t="str">
        <f>VLOOKUP($A233,'SurveyRpt_20150223 (1)'!$A$34:$AN$735,36,FALSE)</f>
        <v>Yes</v>
      </c>
      <c r="W233" s="16" t="str">
        <f>VLOOKUP($A233,'SurveyRpt_20150223 (1)'!$A$34:$AN$735,38,FALSE)</f>
        <v>Yes</v>
      </c>
    </row>
    <row r="234" spans="1:23" ht="13.5" customHeight="1" x14ac:dyDescent="0.25">
      <c r="A234" s="19" t="s">
        <v>327</v>
      </c>
      <c r="B234" s="19" t="str">
        <f t="shared" si="3"/>
        <v>SSABUI</v>
      </c>
      <c r="C234" s="16" t="str">
        <f>VLOOKUP(B234,'Compiled Agents'!A:H,2,FALSE)</f>
        <v>Workplace</v>
      </c>
      <c r="D234" s="16" t="str">
        <f>VLOOKUP(B234,'Compiled Agents'!A:H,4,FALSE)</f>
        <v>Noida</v>
      </c>
      <c r="E234" s="16" t="str">
        <f>VLOOKUP(B234,'Compiled Agents'!A:H,5,FALSE)</f>
        <v>Wave1</v>
      </c>
      <c r="F234" s="16" t="str">
        <f>VLOOKUP(B234,'Compiled Agents'!A:H,6,FALSE)</f>
        <v>Purple</v>
      </c>
      <c r="G234" s="16">
        <f>VLOOKUP($A234,'SurveyRpt_20150223 (1)'!$A$34:$AN$735,6,FALSE)</f>
        <v>16</v>
      </c>
      <c r="H234" s="16" t="str">
        <f>VLOOKUP($A234,'SurveyRpt_20150223 (1)'!$A$34:$AN$735,8,FALSE)</f>
        <v>Yes</v>
      </c>
      <c r="I234" s="16" t="str">
        <f>VLOOKUP($A234,'SurveyRpt_20150223 (1)'!$A$34:$AN$735,10,FALSE)</f>
        <v>Yes</v>
      </c>
      <c r="J234" s="16" t="str">
        <f>VLOOKUP($A234,'SurveyRpt_20150223 (1)'!$A$34:$AN$735,12,FALSE)</f>
        <v>Yes</v>
      </c>
      <c r="K234" s="16" t="str">
        <f>VLOOKUP($A234,'SurveyRpt_20150223 (1)'!$A$34:$AN$735,14,FALSE)</f>
        <v>Yes</v>
      </c>
      <c r="L234" s="16" t="str">
        <f>VLOOKUP($A234,'SurveyRpt_20150223 (1)'!$A$34:$AN$735,16,FALSE)</f>
        <v>Yes</v>
      </c>
      <c r="M234" s="16" t="str">
        <f>VLOOKUP($A234,'SurveyRpt_20150223 (1)'!$A$34:$AN$735,18,FALSE)</f>
        <v>Yes</v>
      </c>
      <c r="N234" s="16" t="str">
        <f>VLOOKUP($A234,'SurveyRpt_20150223 (1)'!$A$34:$AN$735,20,FALSE)</f>
        <v>Yes</v>
      </c>
      <c r="O234" s="16" t="str">
        <f>VLOOKUP($A234,'SurveyRpt_20150223 (1)'!$A$34:$AN$735,22,FALSE)</f>
        <v>Yes</v>
      </c>
      <c r="P234" s="16" t="str">
        <f>VLOOKUP($A234,'SurveyRpt_20150223 (1)'!$A$34:$AN$735,24,FALSE)</f>
        <v>Yes</v>
      </c>
      <c r="Q234" s="16" t="str">
        <f>VLOOKUP($A234,'SurveyRpt_20150223 (1)'!$A$34:$AN$735,26,FALSE)</f>
        <v>Yes</v>
      </c>
      <c r="R234" s="16" t="str">
        <f>VLOOKUP($A234,'SurveyRpt_20150223 (1)'!$A$34:$AN$735,28,FALSE)</f>
        <v>Yes</v>
      </c>
      <c r="S234" s="16" t="str">
        <f>VLOOKUP($A234,'SurveyRpt_20150223 (1)'!$A$34:$AN$735,30,FALSE)</f>
        <v>Yes</v>
      </c>
      <c r="T234" s="16" t="str">
        <f>VLOOKUP($A234,'SurveyRpt_20150223 (1)'!$A$34:$AN$735,32,FALSE)</f>
        <v>Yes</v>
      </c>
      <c r="U234" s="16" t="str">
        <f>VLOOKUP($A234,'SurveyRpt_20150223 (1)'!$A$34:$AN$735,34,FALSE)</f>
        <v>Yes</v>
      </c>
      <c r="V234" s="16" t="str">
        <f>VLOOKUP($A234,'SurveyRpt_20150223 (1)'!$A$34:$AN$735,36,FALSE)</f>
        <v>Yes</v>
      </c>
      <c r="W234" s="16" t="str">
        <f>VLOOKUP($A234,'SurveyRpt_20150223 (1)'!$A$34:$AN$735,38,FALSE)</f>
        <v>Yes</v>
      </c>
    </row>
    <row r="235" spans="1:23" ht="13.5" customHeight="1" x14ac:dyDescent="0.25">
      <c r="A235" s="19" t="s">
        <v>328</v>
      </c>
      <c r="B235" s="19" t="str">
        <f t="shared" si="3"/>
        <v>MDAUD5</v>
      </c>
      <c r="C235" s="16" t="str">
        <f>VLOOKUP(B235,'Compiled Agents'!A:H,2,FALSE)</f>
        <v>Platform</v>
      </c>
      <c r="D235" s="16" t="str">
        <f>VLOOKUP(B235,'Compiled Agents'!A:H,4,FALSE)</f>
        <v>Noida</v>
      </c>
      <c r="E235" s="16" t="str">
        <f>VLOOKUP(B235,'Compiled Agents'!A:H,5,FALSE)</f>
        <v>Wave2</v>
      </c>
      <c r="F235" s="16" t="str">
        <f>VLOOKUP(B235,'Compiled Agents'!A:H,6,FALSE)</f>
        <v>Blue</v>
      </c>
      <c r="G235" s="16">
        <f>VLOOKUP($A235,'SurveyRpt_20150223 (1)'!$A$34:$AN$735,6,FALSE)</f>
        <v>16</v>
      </c>
      <c r="H235" s="16" t="str">
        <f>VLOOKUP($A235,'SurveyRpt_20150223 (1)'!$A$34:$AN$735,8,FALSE)</f>
        <v>Yes</v>
      </c>
      <c r="I235" s="16" t="str">
        <f>VLOOKUP($A235,'SurveyRpt_20150223 (1)'!$A$34:$AN$735,10,FALSE)</f>
        <v>Yes</v>
      </c>
      <c r="J235" s="16" t="str">
        <f>VLOOKUP($A235,'SurveyRpt_20150223 (1)'!$A$34:$AN$735,12,FALSE)</f>
        <v>Yes</v>
      </c>
      <c r="K235" s="16" t="str">
        <f>VLOOKUP($A235,'SurveyRpt_20150223 (1)'!$A$34:$AN$735,14,FALSE)</f>
        <v>Yes</v>
      </c>
      <c r="L235" s="16" t="str">
        <f>VLOOKUP($A235,'SurveyRpt_20150223 (1)'!$A$34:$AN$735,16,FALSE)</f>
        <v>Yes</v>
      </c>
      <c r="M235" s="16" t="str">
        <f>VLOOKUP($A235,'SurveyRpt_20150223 (1)'!$A$34:$AN$735,18,FALSE)</f>
        <v>Yes</v>
      </c>
      <c r="N235" s="16" t="str">
        <f>VLOOKUP($A235,'SurveyRpt_20150223 (1)'!$A$34:$AN$735,20,FALSE)</f>
        <v>Yes</v>
      </c>
      <c r="O235" s="16" t="str">
        <f>VLOOKUP($A235,'SurveyRpt_20150223 (1)'!$A$34:$AN$735,22,FALSE)</f>
        <v>Yes</v>
      </c>
      <c r="P235" s="16" t="str">
        <f>VLOOKUP($A235,'SurveyRpt_20150223 (1)'!$A$34:$AN$735,24,FALSE)</f>
        <v>Yes</v>
      </c>
      <c r="Q235" s="16" t="str">
        <f>VLOOKUP($A235,'SurveyRpt_20150223 (1)'!$A$34:$AN$735,26,FALSE)</f>
        <v>Yes</v>
      </c>
      <c r="R235" s="16" t="str">
        <f>VLOOKUP($A235,'SurveyRpt_20150223 (1)'!$A$34:$AN$735,28,FALSE)</f>
        <v>Yes</v>
      </c>
      <c r="S235" s="16" t="str">
        <f>VLOOKUP($A235,'SurveyRpt_20150223 (1)'!$A$34:$AN$735,30,FALSE)</f>
        <v>Yes</v>
      </c>
      <c r="T235" s="16" t="str">
        <f>VLOOKUP($A235,'SurveyRpt_20150223 (1)'!$A$34:$AN$735,32,FALSE)</f>
        <v>Yes</v>
      </c>
      <c r="U235" s="16" t="str">
        <f>VLOOKUP($A235,'SurveyRpt_20150223 (1)'!$A$34:$AN$735,34,FALSE)</f>
        <v>Yes</v>
      </c>
      <c r="V235" s="16" t="str">
        <f>VLOOKUP($A235,'SurveyRpt_20150223 (1)'!$A$34:$AN$735,36,FALSE)</f>
        <v>Yes</v>
      </c>
      <c r="W235" s="16" t="str">
        <f>VLOOKUP($A235,'SurveyRpt_20150223 (1)'!$A$34:$AN$735,38,FALSE)</f>
        <v>Yes</v>
      </c>
    </row>
    <row r="236" spans="1:23" ht="13.5" customHeight="1" x14ac:dyDescent="0.25">
      <c r="A236" s="19" t="s">
        <v>329</v>
      </c>
      <c r="B236" s="19" t="str">
        <f t="shared" si="3"/>
        <v>RPRAVEENMURT</v>
      </c>
      <c r="C236" s="16" t="str">
        <f>VLOOKUP(B236,'Compiled Agents'!A:H,2,FALSE)</f>
        <v>Workplace</v>
      </c>
      <c r="D236" s="16" t="str">
        <f>VLOOKUP(B236,'Compiled Agents'!A:H,4,FALSE)</f>
        <v>Noida</v>
      </c>
      <c r="E236" s="16" t="str">
        <f>VLOOKUP(B236,'Compiled Agents'!A:H,5,FALSE)</f>
        <v>Wave2</v>
      </c>
      <c r="F236" s="16" t="str">
        <f>VLOOKUP(B236,'Compiled Agents'!A:H,6,FALSE)</f>
        <v>Purple</v>
      </c>
      <c r="G236" s="16">
        <f>VLOOKUP($A236,'SurveyRpt_20150223 (1)'!$A$34:$AN$735,6,FALSE)</f>
        <v>16</v>
      </c>
      <c r="H236" s="16" t="str">
        <f>VLOOKUP($A236,'SurveyRpt_20150223 (1)'!$A$34:$AN$735,8,FALSE)</f>
        <v>Yes</v>
      </c>
      <c r="I236" s="16" t="str">
        <f>VLOOKUP($A236,'SurveyRpt_20150223 (1)'!$A$34:$AN$735,10,FALSE)</f>
        <v>Yes</v>
      </c>
      <c r="J236" s="16" t="str">
        <f>VLOOKUP($A236,'SurveyRpt_20150223 (1)'!$A$34:$AN$735,12,FALSE)</f>
        <v>Yes</v>
      </c>
      <c r="K236" s="16" t="str">
        <f>VLOOKUP($A236,'SurveyRpt_20150223 (1)'!$A$34:$AN$735,14,FALSE)</f>
        <v>Yes</v>
      </c>
      <c r="L236" s="16" t="str">
        <f>VLOOKUP($A236,'SurveyRpt_20150223 (1)'!$A$34:$AN$735,16,FALSE)</f>
        <v>Yes</v>
      </c>
      <c r="M236" s="16" t="str">
        <f>VLOOKUP($A236,'SurveyRpt_20150223 (1)'!$A$34:$AN$735,18,FALSE)</f>
        <v>Yes</v>
      </c>
      <c r="N236" s="16" t="str">
        <f>VLOOKUP($A236,'SurveyRpt_20150223 (1)'!$A$34:$AN$735,20,FALSE)</f>
        <v>Yes</v>
      </c>
      <c r="O236" s="16" t="str">
        <f>VLOOKUP($A236,'SurveyRpt_20150223 (1)'!$A$34:$AN$735,22,FALSE)</f>
        <v>Yes</v>
      </c>
      <c r="P236" s="16" t="str">
        <f>VLOOKUP($A236,'SurveyRpt_20150223 (1)'!$A$34:$AN$735,24,FALSE)</f>
        <v>Yes</v>
      </c>
      <c r="Q236" s="16" t="str">
        <f>VLOOKUP($A236,'SurveyRpt_20150223 (1)'!$A$34:$AN$735,26,FALSE)</f>
        <v>Yes</v>
      </c>
      <c r="R236" s="16" t="str">
        <f>VLOOKUP($A236,'SurveyRpt_20150223 (1)'!$A$34:$AN$735,28,FALSE)</f>
        <v>Yes</v>
      </c>
      <c r="S236" s="16" t="str">
        <f>VLOOKUP($A236,'SurveyRpt_20150223 (1)'!$A$34:$AN$735,30,FALSE)</f>
        <v>Yes</v>
      </c>
      <c r="T236" s="16" t="str">
        <f>VLOOKUP($A236,'SurveyRpt_20150223 (1)'!$A$34:$AN$735,32,FALSE)</f>
        <v>Yes</v>
      </c>
      <c r="U236" s="16" t="str">
        <f>VLOOKUP($A236,'SurveyRpt_20150223 (1)'!$A$34:$AN$735,34,FALSE)</f>
        <v>Yes</v>
      </c>
      <c r="V236" s="16" t="str">
        <f>VLOOKUP($A236,'SurveyRpt_20150223 (1)'!$A$34:$AN$735,36,FALSE)</f>
        <v>Yes</v>
      </c>
      <c r="W236" s="16" t="str">
        <f>VLOOKUP($A236,'SurveyRpt_20150223 (1)'!$A$34:$AN$735,38,FALSE)</f>
        <v>Yes</v>
      </c>
    </row>
    <row r="237" spans="1:23" ht="13.5" customHeight="1" x14ac:dyDescent="0.25">
      <c r="A237" s="19" t="s">
        <v>330</v>
      </c>
      <c r="B237" s="19" t="str">
        <f t="shared" si="3"/>
        <v>AKHAN30</v>
      </c>
      <c r="C237" s="16" t="str">
        <f>VLOOKUP(B237,'Compiled Agents'!A:H,2,FALSE)</f>
        <v>Platform</v>
      </c>
      <c r="D237" s="16" t="str">
        <f>VLOOKUP(B237,'Compiled Agents'!A:H,4,FALSE)</f>
        <v>Hyderabad</v>
      </c>
      <c r="E237" s="16" t="str">
        <f>VLOOKUP(B237,'Compiled Agents'!A:H,5,FALSE)</f>
        <v>Wave1</v>
      </c>
      <c r="F237" s="16" t="str">
        <f>VLOOKUP(B237,'Compiled Agents'!A:H,6,FALSE)</f>
        <v>Orange</v>
      </c>
      <c r="G237" s="16">
        <f>VLOOKUP($A237,'SurveyRpt_20150223 (1)'!$A$34:$AN$735,6,FALSE)</f>
        <v>15</v>
      </c>
      <c r="H237" s="16" t="str">
        <f>VLOOKUP($A237,'SurveyRpt_20150223 (1)'!$A$34:$AN$735,8,FALSE)</f>
        <v>Yes</v>
      </c>
      <c r="I237" s="16" t="str">
        <f>VLOOKUP($A237,'SurveyRpt_20150223 (1)'!$A$34:$AN$735,10,FALSE)</f>
        <v>Yes</v>
      </c>
      <c r="J237" s="16" t="str">
        <f>VLOOKUP($A237,'SurveyRpt_20150223 (1)'!$A$34:$AN$735,12,FALSE)</f>
        <v>Yes</v>
      </c>
      <c r="K237" s="16" t="str">
        <f>VLOOKUP($A237,'SurveyRpt_20150223 (1)'!$A$34:$AN$735,14,FALSE)</f>
        <v>Yes</v>
      </c>
      <c r="L237" s="16" t="str">
        <f>VLOOKUP($A237,'SurveyRpt_20150223 (1)'!$A$34:$AN$735,16,FALSE)</f>
        <v>Yes</v>
      </c>
      <c r="M237" s="16" t="str">
        <f>VLOOKUP($A237,'SurveyRpt_20150223 (1)'!$A$34:$AN$735,18,FALSE)</f>
        <v>Yes</v>
      </c>
      <c r="N237" s="16" t="str">
        <f>VLOOKUP($A237,'SurveyRpt_20150223 (1)'!$A$34:$AN$735,20,FALSE)</f>
        <v>Yes</v>
      </c>
      <c r="O237" s="16" t="str">
        <f>VLOOKUP($A237,'SurveyRpt_20150223 (1)'!$A$34:$AN$735,22,FALSE)</f>
        <v>Yes</v>
      </c>
      <c r="P237" s="16" t="str">
        <f>VLOOKUP($A237,'SurveyRpt_20150223 (1)'!$A$34:$AN$735,24,FALSE)</f>
        <v>Yes</v>
      </c>
      <c r="Q237" s="16" t="str">
        <f>VLOOKUP($A237,'SurveyRpt_20150223 (1)'!$A$34:$AN$735,26,FALSE)</f>
        <v>Yes</v>
      </c>
      <c r="R237" s="16" t="str">
        <f>VLOOKUP($A237,'SurveyRpt_20150223 (1)'!$A$34:$AN$735,28,FALSE)</f>
        <v>Yes</v>
      </c>
      <c r="S237" s="16" t="str">
        <f>VLOOKUP($A237,'SurveyRpt_20150223 (1)'!$A$34:$AN$735,30,FALSE)</f>
        <v>Yes</v>
      </c>
      <c r="T237" s="16" t="str">
        <f>VLOOKUP($A237,'SurveyRpt_20150223 (1)'!$A$34:$AN$735,32,FALSE)</f>
        <v>Yes</v>
      </c>
      <c r="U237" s="16" t="str">
        <f>VLOOKUP($A237,'SurveyRpt_20150223 (1)'!$A$34:$AN$735,34,FALSE)</f>
        <v>Yes</v>
      </c>
      <c r="V237" s="16" t="str">
        <f>VLOOKUP($A237,'SurveyRpt_20150223 (1)'!$A$34:$AN$735,36,FALSE)</f>
        <v>Yes</v>
      </c>
      <c r="W237" s="16" t="str">
        <f>VLOOKUP($A237,'SurveyRpt_20150223 (1)'!$A$34:$AN$735,38,FALSE)</f>
        <v>No</v>
      </c>
    </row>
    <row r="238" spans="1:23" ht="13.5" customHeight="1" x14ac:dyDescent="0.25">
      <c r="A238" s="19" t="s">
        <v>331</v>
      </c>
      <c r="B238" s="19" t="str">
        <f t="shared" si="3"/>
        <v>PKHERA</v>
      </c>
      <c r="C238" s="16" t="str">
        <f>VLOOKUP(B238,'Compiled Agents'!A:H,2,FALSE)</f>
        <v>Platform</v>
      </c>
      <c r="D238" s="16" t="str">
        <f>VLOOKUP(B238,'Compiled Agents'!A:H,4,FALSE)</f>
        <v>Noida</v>
      </c>
      <c r="E238" s="16" t="str">
        <f>VLOOKUP(B238,'Compiled Agents'!A:H,5,FALSE)</f>
        <v>Wave2</v>
      </c>
      <c r="F238" s="16" t="str">
        <f>VLOOKUP(B238,'Compiled Agents'!A:H,6,FALSE)</f>
        <v>Yellow</v>
      </c>
      <c r="G238" s="16">
        <f>VLOOKUP($A238,'SurveyRpt_20150223 (1)'!$A$34:$AN$735,6,FALSE)</f>
        <v>14</v>
      </c>
      <c r="H238" s="16" t="str">
        <f>VLOOKUP($A238,'SurveyRpt_20150223 (1)'!$A$34:$AN$735,8,FALSE)</f>
        <v>Yes</v>
      </c>
      <c r="I238" s="16" t="str">
        <f>VLOOKUP($A238,'SurveyRpt_20150223 (1)'!$A$34:$AN$735,10,FALSE)</f>
        <v>Yes</v>
      </c>
      <c r="J238" s="16" t="str">
        <f>VLOOKUP($A238,'SurveyRpt_20150223 (1)'!$A$34:$AN$735,12,FALSE)</f>
        <v>Yes</v>
      </c>
      <c r="K238" s="16" t="str">
        <f>VLOOKUP($A238,'SurveyRpt_20150223 (1)'!$A$34:$AN$735,14,FALSE)</f>
        <v>Yes</v>
      </c>
      <c r="L238" s="16" t="str">
        <f>VLOOKUP($A238,'SurveyRpt_20150223 (1)'!$A$34:$AN$735,16,FALSE)</f>
        <v>No</v>
      </c>
      <c r="M238" s="16" t="str">
        <f>VLOOKUP($A238,'SurveyRpt_20150223 (1)'!$A$34:$AN$735,18,FALSE)</f>
        <v>Yes</v>
      </c>
      <c r="N238" s="16" t="str">
        <f>VLOOKUP($A238,'SurveyRpt_20150223 (1)'!$A$34:$AN$735,20,FALSE)</f>
        <v>Yes</v>
      </c>
      <c r="O238" s="16" t="str">
        <f>VLOOKUP($A238,'SurveyRpt_20150223 (1)'!$A$34:$AN$735,22,FALSE)</f>
        <v>Yes</v>
      </c>
      <c r="P238" s="16" t="str">
        <f>VLOOKUP($A238,'SurveyRpt_20150223 (1)'!$A$34:$AN$735,24,FALSE)</f>
        <v>Yes</v>
      </c>
      <c r="Q238" s="16" t="str">
        <f>VLOOKUP($A238,'SurveyRpt_20150223 (1)'!$A$34:$AN$735,26,FALSE)</f>
        <v>Yes</v>
      </c>
      <c r="R238" s="16" t="str">
        <f>VLOOKUP($A238,'SurveyRpt_20150223 (1)'!$A$34:$AN$735,28,FALSE)</f>
        <v>Yes</v>
      </c>
      <c r="S238" s="16" t="str">
        <f>VLOOKUP($A238,'SurveyRpt_20150223 (1)'!$A$34:$AN$735,30,FALSE)</f>
        <v>No</v>
      </c>
      <c r="T238" s="16" t="str">
        <f>VLOOKUP($A238,'SurveyRpt_20150223 (1)'!$A$34:$AN$735,32,FALSE)</f>
        <v>Yes</v>
      </c>
      <c r="U238" s="16" t="str">
        <f>VLOOKUP($A238,'SurveyRpt_20150223 (1)'!$A$34:$AN$735,34,FALSE)</f>
        <v>Yes</v>
      </c>
      <c r="V238" s="16" t="str">
        <f>VLOOKUP($A238,'SurveyRpt_20150223 (1)'!$A$34:$AN$735,36,FALSE)</f>
        <v>Yes</v>
      </c>
      <c r="W238" s="16" t="str">
        <f>VLOOKUP($A238,'SurveyRpt_20150223 (1)'!$A$34:$AN$735,38,FALSE)</f>
        <v>Yes</v>
      </c>
    </row>
    <row r="239" spans="1:23" ht="13.5" customHeight="1" x14ac:dyDescent="0.25">
      <c r="A239" s="19" t="s">
        <v>332</v>
      </c>
      <c r="B239" s="19" t="str">
        <f t="shared" si="3"/>
        <v>JKUMAR42</v>
      </c>
      <c r="C239" s="16" t="str">
        <f>VLOOKUP(B239,'Compiled Agents'!A:H,2,FALSE)</f>
        <v>Workplace</v>
      </c>
      <c r="D239" s="16" t="str">
        <f>VLOOKUP(B239,'Compiled Agents'!A:H,4,FALSE)</f>
        <v>Noida</v>
      </c>
      <c r="E239" s="16" t="str">
        <f>VLOOKUP(B239,'Compiled Agents'!A:H,5,FALSE)</f>
        <v>Wave2</v>
      </c>
      <c r="F239" s="16" t="str">
        <f>VLOOKUP(B239,'Compiled Agents'!A:H,6,FALSE)</f>
        <v>Yellow</v>
      </c>
      <c r="G239" s="16">
        <f>VLOOKUP($A239,'SurveyRpt_20150223 (1)'!$A$34:$AN$735,6,FALSE)</f>
        <v>16</v>
      </c>
      <c r="H239" s="16" t="str">
        <f>VLOOKUP($A239,'SurveyRpt_20150223 (1)'!$A$34:$AN$735,8,FALSE)</f>
        <v>Yes</v>
      </c>
      <c r="I239" s="16" t="str">
        <f>VLOOKUP($A239,'SurveyRpt_20150223 (1)'!$A$34:$AN$735,10,FALSE)</f>
        <v>Yes</v>
      </c>
      <c r="J239" s="16" t="str">
        <f>VLOOKUP($A239,'SurveyRpt_20150223 (1)'!$A$34:$AN$735,12,FALSE)</f>
        <v>Yes</v>
      </c>
      <c r="K239" s="16" t="str">
        <f>VLOOKUP($A239,'SurveyRpt_20150223 (1)'!$A$34:$AN$735,14,FALSE)</f>
        <v>Yes</v>
      </c>
      <c r="L239" s="16" t="str">
        <f>VLOOKUP($A239,'SurveyRpt_20150223 (1)'!$A$34:$AN$735,16,FALSE)</f>
        <v>Yes</v>
      </c>
      <c r="M239" s="16" t="str">
        <f>VLOOKUP($A239,'SurveyRpt_20150223 (1)'!$A$34:$AN$735,18,FALSE)</f>
        <v>Yes</v>
      </c>
      <c r="N239" s="16" t="str">
        <f>VLOOKUP($A239,'SurveyRpt_20150223 (1)'!$A$34:$AN$735,20,FALSE)</f>
        <v>Yes</v>
      </c>
      <c r="O239" s="16" t="str">
        <f>VLOOKUP($A239,'SurveyRpt_20150223 (1)'!$A$34:$AN$735,22,FALSE)</f>
        <v>Yes</v>
      </c>
      <c r="P239" s="16" t="str">
        <f>VLOOKUP($A239,'SurveyRpt_20150223 (1)'!$A$34:$AN$735,24,FALSE)</f>
        <v>Yes</v>
      </c>
      <c r="Q239" s="16" t="str">
        <f>VLOOKUP($A239,'SurveyRpt_20150223 (1)'!$A$34:$AN$735,26,FALSE)</f>
        <v>Yes</v>
      </c>
      <c r="R239" s="16" t="str">
        <f>VLOOKUP($A239,'SurveyRpt_20150223 (1)'!$A$34:$AN$735,28,FALSE)</f>
        <v>Yes</v>
      </c>
      <c r="S239" s="16" t="str">
        <f>VLOOKUP($A239,'SurveyRpt_20150223 (1)'!$A$34:$AN$735,30,FALSE)</f>
        <v>Yes</v>
      </c>
      <c r="T239" s="16" t="str">
        <f>VLOOKUP($A239,'SurveyRpt_20150223 (1)'!$A$34:$AN$735,32,FALSE)</f>
        <v>Yes</v>
      </c>
      <c r="U239" s="16" t="str">
        <f>VLOOKUP($A239,'SurveyRpt_20150223 (1)'!$A$34:$AN$735,34,FALSE)</f>
        <v>Yes</v>
      </c>
      <c r="V239" s="16" t="str">
        <f>VLOOKUP($A239,'SurveyRpt_20150223 (1)'!$A$34:$AN$735,36,FALSE)</f>
        <v>Yes</v>
      </c>
      <c r="W239" s="16" t="str">
        <f>VLOOKUP($A239,'SurveyRpt_20150223 (1)'!$A$34:$AN$735,38,FALSE)</f>
        <v>Yes</v>
      </c>
    </row>
    <row r="240" spans="1:23" ht="13.5" customHeight="1" x14ac:dyDescent="0.25">
      <c r="A240" s="19" t="s">
        <v>333</v>
      </c>
      <c r="B240" s="19" t="str">
        <f t="shared" si="3"/>
        <v>GGUPTA24</v>
      </c>
      <c r="C240" s="16" t="str">
        <f>VLOOKUP(B240,'Compiled Agents'!A:H,2,FALSE)</f>
        <v>Workplace</v>
      </c>
      <c r="D240" s="16" t="str">
        <f>VLOOKUP(B240,'Compiled Agents'!A:H,4,FALSE)</f>
        <v>Noida</v>
      </c>
      <c r="E240" s="16" t="str">
        <f>VLOOKUP(B240,'Compiled Agents'!A:H,5,FALSE)</f>
        <v>Wave1</v>
      </c>
      <c r="F240" s="16" t="str">
        <f>VLOOKUP(B240,'Compiled Agents'!A:H,6,FALSE)</f>
        <v>Yellow</v>
      </c>
      <c r="G240" s="16">
        <f>VLOOKUP($A240,'SurveyRpt_20150223 (1)'!$A$34:$AN$735,6,FALSE)</f>
        <v>9</v>
      </c>
      <c r="H240" s="16" t="str">
        <f>VLOOKUP($A240,'SurveyRpt_20150223 (1)'!$A$34:$AN$735,8,FALSE)</f>
        <v>Yes</v>
      </c>
      <c r="I240" s="16" t="str">
        <f>VLOOKUP($A240,'SurveyRpt_20150223 (1)'!$A$34:$AN$735,10,FALSE)</f>
        <v>Yes</v>
      </c>
      <c r="J240" s="16" t="str">
        <f>VLOOKUP($A240,'SurveyRpt_20150223 (1)'!$A$34:$AN$735,12,FALSE)</f>
        <v>No</v>
      </c>
      <c r="K240" s="16" t="str">
        <f>VLOOKUP($A240,'SurveyRpt_20150223 (1)'!$A$34:$AN$735,14,FALSE)</f>
        <v>Yes</v>
      </c>
      <c r="L240" s="16" t="str">
        <f>VLOOKUP($A240,'SurveyRpt_20150223 (1)'!$A$34:$AN$735,16,FALSE)</f>
        <v>Yes</v>
      </c>
      <c r="M240" s="16" t="str">
        <f>VLOOKUP($A240,'SurveyRpt_20150223 (1)'!$A$34:$AN$735,18,FALSE)</f>
        <v>Yes</v>
      </c>
      <c r="N240" s="16" t="str">
        <f>VLOOKUP($A240,'SurveyRpt_20150223 (1)'!$A$34:$AN$735,20,FALSE)</f>
        <v>No</v>
      </c>
      <c r="O240" s="16" t="str">
        <f>VLOOKUP($A240,'SurveyRpt_20150223 (1)'!$A$34:$AN$735,22,FALSE)</f>
        <v>No</v>
      </c>
      <c r="P240" s="16" t="str">
        <f>VLOOKUP($A240,'SurveyRpt_20150223 (1)'!$A$34:$AN$735,24,FALSE)</f>
        <v>Yes</v>
      </c>
      <c r="Q240" s="16" t="str">
        <f>VLOOKUP($A240,'SurveyRpt_20150223 (1)'!$A$34:$AN$735,26,FALSE)</f>
        <v>Yes</v>
      </c>
      <c r="R240" s="16" t="str">
        <f>VLOOKUP($A240,'SurveyRpt_20150223 (1)'!$A$34:$AN$735,28,FALSE)</f>
        <v>Yes</v>
      </c>
      <c r="S240" s="16" t="str">
        <f>VLOOKUP($A240,'SurveyRpt_20150223 (1)'!$A$34:$AN$735,30,FALSE)</f>
        <v>Yes</v>
      </c>
      <c r="T240" s="16" t="str">
        <f>VLOOKUP($A240,'SurveyRpt_20150223 (1)'!$A$34:$AN$735,32,FALSE)</f>
        <v>No</v>
      </c>
      <c r="U240" s="16" t="str">
        <f>VLOOKUP($A240,'SurveyRpt_20150223 (1)'!$A$34:$AN$735,34,FALSE)</f>
        <v>No</v>
      </c>
      <c r="V240" s="16" t="str">
        <f>VLOOKUP($A240,'SurveyRpt_20150223 (1)'!$A$34:$AN$735,36,FALSE)</f>
        <v>No</v>
      </c>
      <c r="W240" s="16" t="str">
        <f>VLOOKUP($A240,'SurveyRpt_20150223 (1)'!$A$34:$AN$735,38,FALSE)</f>
        <v>No</v>
      </c>
    </row>
    <row r="241" spans="1:23" ht="13.5" customHeight="1" x14ac:dyDescent="0.25">
      <c r="A241" s="19" t="s">
        <v>334</v>
      </c>
      <c r="B241" s="19" t="str">
        <f t="shared" si="3"/>
        <v>ASHARMA277</v>
      </c>
      <c r="C241" s="16" t="str">
        <f>VLOOKUP(B241,'Compiled Agents'!A:H,2,FALSE)</f>
        <v>Workplace</v>
      </c>
      <c r="D241" s="16" t="str">
        <f>VLOOKUP(B241,'Compiled Agents'!A:H,4,FALSE)</f>
        <v>Noida</v>
      </c>
      <c r="E241" s="16" t="str">
        <f>VLOOKUP(B241,'Compiled Agents'!A:H,5,FALSE)</f>
        <v>Wave1</v>
      </c>
      <c r="F241" s="16" t="str">
        <f>VLOOKUP(B241,'Compiled Agents'!A:H,6,FALSE)</f>
        <v>Blue</v>
      </c>
      <c r="G241" s="16">
        <f>VLOOKUP($A241,'SurveyRpt_20150223 (1)'!$A$34:$AN$735,6,FALSE)</f>
        <v>15</v>
      </c>
      <c r="H241" s="16" t="str">
        <f>VLOOKUP($A241,'SurveyRpt_20150223 (1)'!$A$34:$AN$735,8,FALSE)</f>
        <v>Yes</v>
      </c>
      <c r="I241" s="16" t="str">
        <f>VLOOKUP($A241,'SurveyRpt_20150223 (1)'!$A$34:$AN$735,10,FALSE)</f>
        <v>Yes</v>
      </c>
      <c r="J241" s="16" t="str">
        <f>VLOOKUP($A241,'SurveyRpt_20150223 (1)'!$A$34:$AN$735,12,FALSE)</f>
        <v>Yes</v>
      </c>
      <c r="K241" s="16" t="str">
        <f>VLOOKUP($A241,'SurveyRpt_20150223 (1)'!$A$34:$AN$735,14,FALSE)</f>
        <v>Yes</v>
      </c>
      <c r="L241" s="16" t="str">
        <f>VLOOKUP($A241,'SurveyRpt_20150223 (1)'!$A$34:$AN$735,16,FALSE)</f>
        <v>Yes</v>
      </c>
      <c r="M241" s="16" t="str">
        <f>VLOOKUP($A241,'SurveyRpt_20150223 (1)'!$A$34:$AN$735,18,FALSE)</f>
        <v>Yes</v>
      </c>
      <c r="N241" s="16" t="str">
        <f>VLOOKUP($A241,'SurveyRpt_20150223 (1)'!$A$34:$AN$735,20,FALSE)</f>
        <v>No</v>
      </c>
      <c r="O241" s="16" t="str">
        <f>VLOOKUP($A241,'SurveyRpt_20150223 (1)'!$A$34:$AN$735,22,FALSE)</f>
        <v>Yes</v>
      </c>
      <c r="P241" s="16" t="str">
        <f>VLOOKUP($A241,'SurveyRpt_20150223 (1)'!$A$34:$AN$735,24,FALSE)</f>
        <v>Yes</v>
      </c>
      <c r="Q241" s="16" t="str">
        <f>VLOOKUP($A241,'SurveyRpt_20150223 (1)'!$A$34:$AN$735,26,FALSE)</f>
        <v>Yes</v>
      </c>
      <c r="R241" s="16" t="str">
        <f>VLOOKUP($A241,'SurveyRpt_20150223 (1)'!$A$34:$AN$735,28,FALSE)</f>
        <v>Yes</v>
      </c>
      <c r="S241" s="16" t="str">
        <f>VLOOKUP($A241,'SurveyRpt_20150223 (1)'!$A$34:$AN$735,30,FALSE)</f>
        <v>Yes</v>
      </c>
      <c r="T241" s="16" t="str">
        <f>VLOOKUP($A241,'SurveyRpt_20150223 (1)'!$A$34:$AN$735,32,FALSE)</f>
        <v>Yes</v>
      </c>
      <c r="U241" s="16" t="str">
        <f>VLOOKUP($A241,'SurveyRpt_20150223 (1)'!$A$34:$AN$735,34,FALSE)</f>
        <v>Yes</v>
      </c>
      <c r="V241" s="16" t="str">
        <f>VLOOKUP($A241,'SurveyRpt_20150223 (1)'!$A$34:$AN$735,36,FALSE)</f>
        <v>Yes</v>
      </c>
      <c r="W241" s="16" t="str">
        <f>VLOOKUP($A241,'SurveyRpt_20150223 (1)'!$A$34:$AN$735,38,FALSE)</f>
        <v>Yes</v>
      </c>
    </row>
    <row r="242" spans="1:23" ht="13.5" customHeight="1" x14ac:dyDescent="0.25">
      <c r="A242" s="19" t="s">
        <v>335</v>
      </c>
      <c r="B242" s="19" t="str">
        <f t="shared" si="3"/>
        <v>MSHARMA68</v>
      </c>
      <c r="C242" s="16" t="str">
        <f>VLOOKUP(B242,'Compiled Agents'!A:H,2,FALSE)</f>
        <v>Workplace</v>
      </c>
      <c r="D242" s="16" t="str">
        <f>VLOOKUP(B242,'Compiled Agents'!A:H,4,FALSE)</f>
        <v>Noida</v>
      </c>
      <c r="E242" s="16" t="str">
        <f>VLOOKUP(B242,'Compiled Agents'!A:H,5,FALSE)</f>
        <v>Wave2</v>
      </c>
      <c r="F242" s="16" t="str">
        <f>VLOOKUP(B242,'Compiled Agents'!A:H,6,FALSE)</f>
        <v>Orange</v>
      </c>
      <c r="G242" s="16">
        <f>VLOOKUP($A242,'SurveyRpt_20150223 (1)'!$A$34:$AN$735,6,FALSE)</f>
        <v>16</v>
      </c>
      <c r="H242" s="16" t="str">
        <f>VLOOKUP($A242,'SurveyRpt_20150223 (1)'!$A$34:$AN$735,8,FALSE)</f>
        <v>Yes</v>
      </c>
      <c r="I242" s="16" t="str">
        <f>VLOOKUP($A242,'SurveyRpt_20150223 (1)'!$A$34:$AN$735,10,FALSE)</f>
        <v>Yes</v>
      </c>
      <c r="J242" s="16" t="str">
        <f>VLOOKUP($A242,'SurveyRpt_20150223 (1)'!$A$34:$AN$735,12,FALSE)</f>
        <v>Yes</v>
      </c>
      <c r="K242" s="16" t="str">
        <f>VLOOKUP($A242,'SurveyRpt_20150223 (1)'!$A$34:$AN$735,14,FALSE)</f>
        <v>Yes</v>
      </c>
      <c r="L242" s="16" t="str">
        <f>VLOOKUP($A242,'SurveyRpt_20150223 (1)'!$A$34:$AN$735,16,FALSE)</f>
        <v>Yes</v>
      </c>
      <c r="M242" s="16" t="str">
        <f>VLOOKUP($A242,'SurveyRpt_20150223 (1)'!$A$34:$AN$735,18,FALSE)</f>
        <v>Yes</v>
      </c>
      <c r="N242" s="16" t="str">
        <f>VLOOKUP($A242,'SurveyRpt_20150223 (1)'!$A$34:$AN$735,20,FALSE)</f>
        <v>Yes</v>
      </c>
      <c r="O242" s="16" t="str">
        <f>VLOOKUP($A242,'SurveyRpt_20150223 (1)'!$A$34:$AN$735,22,FALSE)</f>
        <v>Yes</v>
      </c>
      <c r="P242" s="16" t="str">
        <f>VLOOKUP($A242,'SurveyRpt_20150223 (1)'!$A$34:$AN$735,24,FALSE)</f>
        <v>Yes</v>
      </c>
      <c r="Q242" s="16" t="str">
        <f>VLOOKUP($A242,'SurveyRpt_20150223 (1)'!$A$34:$AN$735,26,FALSE)</f>
        <v>Yes</v>
      </c>
      <c r="R242" s="16" t="str">
        <f>VLOOKUP($A242,'SurveyRpt_20150223 (1)'!$A$34:$AN$735,28,FALSE)</f>
        <v>Yes</v>
      </c>
      <c r="S242" s="16" t="str">
        <f>VLOOKUP($A242,'SurveyRpt_20150223 (1)'!$A$34:$AN$735,30,FALSE)</f>
        <v>Yes</v>
      </c>
      <c r="T242" s="16" t="str">
        <f>VLOOKUP($A242,'SurveyRpt_20150223 (1)'!$A$34:$AN$735,32,FALSE)</f>
        <v>Yes</v>
      </c>
      <c r="U242" s="16" t="str">
        <f>VLOOKUP($A242,'SurveyRpt_20150223 (1)'!$A$34:$AN$735,34,FALSE)</f>
        <v>Yes</v>
      </c>
      <c r="V242" s="16" t="str">
        <f>VLOOKUP($A242,'SurveyRpt_20150223 (1)'!$A$34:$AN$735,36,FALSE)</f>
        <v>Yes</v>
      </c>
      <c r="W242" s="16" t="str">
        <f>VLOOKUP($A242,'SurveyRpt_20150223 (1)'!$A$34:$AN$735,38,FALSE)</f>
        <v>Yes</v>
      </c>
    </row>
    <row r="243" spans="1:23" ht="13.5" customHeight="1" x14ac:dyDescent="0.25">
      <c r="A243" s="19" t="s">
        <v>336</v>
      </c>
      <c r="B243" s="19" t="str">
        <f t="shared" si="3"/>
        <v>sblancodiaz</v>
      </c>
      <c r="C243" s="16" t="str">
        <f>VLOOKUP(B243,'Compiled Agents'!A:H,2,FALSE)</f>
        <v>Platform</v>
      </c>
      <c r="D243" s="16" t="str">
        <f>VLOOKUP(B243,'Compiled Agents'!A:H,4,FALSE)</f>
        <v>Spain</v>
      </c>
      <c r="E243" s="16" t="str">
        <f>VLOOKUP(B243,'Compiled Agents'!A:H,5,FALSE)</f>
        <v>Wave1</v>
      </c>
      <c r="F243" s="16" t="str">
        <f>VLOOKUP(B243,'Compiled Agents'!A:H,6,FALSE)</f>
        <v>Orange</v>
      </c>
      <c r="G243" s="16">
        <f>VLOOKUP($A243,'SurveyRpt_20150223 (1)'!$A$34:$AN$735,6,FALSE)</f>
        <v>13</v>
      </c>
      <c r="H243" s="16" t="str">
        <f>VLOOKUP($A243,'SurveyRpt_20150223 (1)'!$A$34:$AN$735,8,FALSE)</f>
        <v>Yes</v>
      </c>
      <c r="I243" s="16" t="str">
        <f>VLOOKUP($A243,'SurveyRpt_20150223 (1)'!$A$34:$AN$735,10,FALSE)</f>
        <v>No</v>
      </c>
      <c r="J243" s="16" t="str">
        <f>VLOOKUP($A243,'SurveyRpt_20150223 (1)'!$A$34:$AN$735,12,FALSE)</f>
        <v>Yes</v>
      </c>
      <c r="K243" s="16" t="str">
        <f>VLOOKUP($A243,'SurveyRpt_20150223 (1)'!$A$34:$AN$735,14,FALSE)</f>
        <v>No</v>
      </c>
      <c r="L243" s="16" t="str">
        <f>VLOOKUP($A243,'SurveyRpt_20150223 (1)'!$A$34:$AN$735,16,FALSE)</f>
        <v>Yes</v>
      </c>
      <c r="M243" s="16" t="str">
        <f>VLOOKUP($A243,'SurveyRpt_20150223 (1)'!$A$34:$AN$735,18,FALSE)</f>
        <v>Yes</v>
      </c>
      <c r="N243" s="16" t="str">
        <f>VLOOKUP($A243,'SurveyRpt_20150223 (1)'!$A$34:$AN$735,20,FALSE)</f>
        <v>Yes</v>
      </c>
      <c r="O243" s="16" t="str">
        <f>VLOOKUP($A243,'SurveyRpt_20150223 (1)'!$A$34:$AN$735,22,FALSE)</f>
        <v>Yes</v>
      </c>
      <c r="P243" s="16" t="str">
        <f>VLOOKUP($A243,'SurveyRpt_20150223 (1)'!$A$34:$AN$735,24,FALSE)</f>
        <v>Yes</v>
      </c>
      <c r="Q243" s="16" t="str">
        <f>VLOOKUP($A243,'SurveyRpt_20150223 (1)'!$A$34:$AN$735,26,FALSE)</f>
        <v>Yes</v>
      </c>
      <c r="R243" s="16" t="str">
        <f>VLOOKUP($A243,'SurveyRpt_20150223 (1)'!$A$34:$AN$735,28,FALSE)</f>
        <v>Yes</v>
      </c>
      <c r="S243" s="16" t="str">
        <f>VLOOKUP($A243,'SurveyRpt_20150223 (1)'!$A$34:$AN$735,30,FALSE)</f>
        <v>Yes</v>
      </c>
      <c r="T243" s="16" t="str">
        <f>VLOOKUP($A243,'SurveyRpt_20150223 (1)'!$A$34:$AN$735,32,FALSE)</f>
        <v>No</v>
      </c>
      <c r="U243" s="16" t="str">
        <f>VLOOKUP($A243,'SurveyRpt_20150223 (1)'!$A$34:$AN$735,34,FALSE)</f>
        <v>Yes</v>
      </c>
      <c r="V243" s="16" t="str">
        <f>VLOOKUP($A243,'SurveyRpt_20150223 (1)'!$A$34:$AN$735,36,FALSE)</f>
        <v>Yes</v>
      </c>
      <c r="W243" s="16" t="str">
        <f>VLOOKUP($A243,'SurveyRpt_20150223 (1)'!$A$34:$AN$735,38,FALSE)</f>
        <v>Yes</v>
      </c>
    </row>
    <row r="244" spans="1:23" ht="13.5" customHeight="1" x14ac:dyDescent="0.25">
      <c r="A244" s="19" t="s">
        <v>337</v>
      </c>
      <c r="B244" s="19" t="str">
        <f t="shared" si="3"/>
        <v>MSAHU5</v>
      </c>
      <c r="C244" s="16" t="str">
        <f>VLOOKUP(B244,'Compiled Agents'!A:H,2,FALSE)</f>
        <v>Workplace</v>
      </c>
      <c r="D244" s="16" t="str">
        <f>VLOOKUP(B244,'Compiled Agents'!A:H,4,FALSE)</f>
        <v>Hyderabad</v>
      </c>
      <c r="E244" s="16" t="str">
        <f>VLOOKUP(B244,'Compiled Agents'!A:H,5,FALSE)</f>
        <v>Wave2</v>
      </c>
      <c r="F244" s="16" t="str">
        <f>VLOOKUP(B244,'Compiled Agents'!A:H,6,FALSE)</f>
        <v>Blue</v>
      </c>
      <c r="G244" s="16">
        <f>VLOOKUP($A244,'SurveyRpt_20150223 (1)'!$A$34:$AN$735,6,FALSE)</f>
        <v>9</v>
      </c>
      <c r="H244" s="16" t="str">
        <f>VLOOKUP($A244,'SurveyRpt_20150223 (1)'!$A$34:$AN$735,8,FALSE)</f>
        <v>Yes</v>
      </c>
      <c r="I244" s="16" t="str">
        <f>VLOOKUP($A244,'SurveyRpt_20150223 (1)'!$A$34:$AN$735,10,FALSE)</f>
        <v>Yes</v>
      </c>
      <c r="J244" s="16" t="str">
        <f>VLOOKUP($A244,'SurveyRpt_20150223 (1)'!$A$34:$AN$735,12,FALSE)</f>
        <v>Yes</v>
      </c>
      <c r="K244" s="16" t="str">
        <f>VLOOKUP($A244,'SurveyRpt_20150223 (1)'!$A$34:$AN$735,14,FALSE)</f>
        <v>Yes</v>
      </c>
      <c r="L244" s="16" t="str">
        <f>VLOOKUP($A244,'SurveyRpt_20150223 (1)'!$A$34:$AN$735,16,FALSE)</f>
        <v>No</v>
      </c>
      <c r="M244" s="16" t="str">
        <f>VLOOKUP($A244,'SurveyRpt_20150223 (1)'!$A$34:$AN$735,18,FALSE)</f>
        <v>No</v>
      </c>
      <c r="N244" s="16" t="str">
        <f>VLOOKUP($A244,'SurveyRpt_20150223 (1)'!$A$34:$AN$735,20,FALSE)</f>
        <v>No</v>
      </c>
      <c r="O244" s="16" t="str">
        <f>VLOOKUP($A244,'SurveyRpt_20150223 (1)'!$A$34:$AN$735,22,FALSE)</f>
        <v>No</v>
      </c>
      <c r="P244" s="16" t="str">
        <f>VLOOKUP($A244,'SurveyRpt_20150223 (1)'!$A$34:$AN$735,24,FALSE)</f>
        <v>Yes</v>
      </c>
      <c r="Q244" s="16" t="str">
        <f>VLOOKUP($A244,'SurveyRpt_20150223 (1)'!$A$34:$AN$735,26,FALSE)</f>
        <v>Yes</v>
      </c>
      <c r="R244" s="16" t="str">
        <f>VLOOKUP($A244,'SurveyRpt_20150223 (1)'!$A$34:$AN$735,28,FALSE)</f>
        <v>Yes</v>
      </c>
      <c r="S244" s="16" t="str">
        <f>VLOOKUP($A244,'SurveyRpt_20150223 (1)'!$A$34:$AN$735,30,FALSE)</f>
        <v>Yes</v>
      </c>
      <c r="T244" s="16" t="str">
        <f>VLOOKUP($A244,'SurveyRpt_20150223 (1)'!$A$34:$AN$735,32,FALSE)</f>
        <v>No</v>
      </c>
      <c r="U244" s="16" t="str">
        <f>VLOOKUP($A244,'SurveyRpt_20150223 (1)'!$A$34:$AN$735,34,FALSE)</f>
        <v>No</v>
      </c>
      <c r="V244" s="16" t="str">
        <f>VLOOKUP($A244,'SurveyRpt_20150223 (1)'!$A$34:$AN$735,36,FALSE)</f>
        <v>No</v>
      </c>
      <c r="W244" s="16" t="str">
        <f>VLOOKUP($A244,'SurveyRpt_20150223 (1)'!$A$34:$AN$735,38,FALSE)</f>
        <v>Yes</v>
      </c>
    </row>
    <row r="245" spans="1:23" ht="13.5" customHeight="1" x14ac:dyDescent="0.25">
      <c r="A245" s="19" t="s">
        <v>338</v>
      </c>
      <c r="B245" s="19" t="str">
        <f t="shared" si="3"/>
        <v>VNAYAR</v>
      </c>
      <c r="C245" s="16" t="str">
        <f>VLOOKUP(B245,'Compiled Agents'!A:H,2,FALSE)</f>
        <v>Workplace</v>
      </c>
      <c r="D245" s="16" t="str">
        <f>VLOOKUP(B245,'Compiled Agents'!A:H,4,FALSE)</f>
        <v>Noida</v>
      </c>
      <c r="E245" s="16" t="str">
        <f>VLOOKUP(B245,'Compiled Agents'!A:H,5,FALSE)</f>
        <v>Wave1</v>
      </c>
      <c r="F245" s="16" t="str">
        <f>VLOOKUP(B245,'Compiled Agents'!A:H,6,FALSE)</f>
        <v>Orange</v>
      </c>
      <c r="G245" s="16">
        <f>VLOOKUP($A245,'SurveyRpt_20150223 (1)'!$A$34:$AN$735,6,FALSE)</f>
        <v>15</v>
      </c>
      <c r="H245" s="16" t="str">
        <f>VLOOKUP($A245,'SurveyRpt_20150223 (1)'!$A$34:$AN$735,8,FALSE)</f>
        <v>Yes</v>
      </c>
      <c r="I245" s="16" t="str">
        <f>VLOOKUP($A245,'SurveyRpt_20150223 (1)'!$A$34:$AN$735,10,FALSE)</f>
        <v>Yes</v>
      </c>
      <c r="J245" s="16" t="str">
        <f>VLOOKUP($A245,'SurveyRpt_20150223 (1)'!$A$34:$AN$735,12,FALSE)</f>
        <v>Yes</v>
      </c>
      <c r="K245" s="16" t="str">
        <f>VLOOKUP($A245,'SurveyRpt_20150223 (1)'!$A$34:$AN$735,14,FALSE)</f>
        <v>Yes</v>
      </c>
      <c r="L245" s="16" t="str">
        <f>VLOOKUP($A245,'SurveyRpt_20150223 (1)'!$A$34:$AN$735,16,FALSE)</f>
        <v>Yes</v>
      </c>
      <c r="M245" s="16" t="str">
        <f>VLOOKUP($A245,'SurveyRpt_20150223 (1)'!$A$34:$AN$735,18,FALSE)</f>
        <v>Yes</v>
      </c>
      <c r="N245" s="16" t="str">
        <f>VLOOKUP($A245,'SurveyRpt_20150223 (1)'!$A$34:$AN$735,20,FALSE)</f>
        <v>Yes</v>
      </c>
      <c r="O245" s="16" t="str">
        <f>VLOOKUP($A245,'SurveyRpt_20150223 (1)'!$A$34:$AN$735,22,FALSE)</f>
        <v>Yes</v>
      </c>
      <c r="P245" s="16" t="str">
        <f>VLOOKUP($A245,'SurveyRpt_20150223 (1)'!$A$34:$AN$735,24,FALSE)</f>
        <v>No</v>
      </c>
      <c r="Q245" s="16" t="str">
        <f>VLOOKUP($A245,'SurveyRpt_20150223 (1)'!$A$34:$AN$735,26,FALSE)</f>
        <v>Yes</v>
      </c>
      <c r="R245" s="16" t="str">
        <f>VLOOKUP($A245,'SurveyRpt_20150223 (1)'!$A$34:$AN$735,28,FALSE)</f>
        <v>Yes</v>
      </c>
      <c r="S245" s="16" t="str">
        <f>VLOOKUP($A245,'SurveyRpt_20150223 (1)'!$A$34:$AN$735,30,FALSE)</f>
        <v>Yes</v>
      </c>
      <c r="T245" s="16" t="str">
        <f>VLOOKUP($A245,'SurveyRpt_20150223 (1)'!$A$34:$AN$735,32,FALSE)</f>
        <v>Yes</v>
      </c>
      <c r="U245" s="16" t="str">
        <f>VLOOKUP($A245,'SurveyRpt_20150223 (1)'!$A$34:$AN$735,34,FALSE)</f>
        <v>Yes</v>
      </c>
      <c r="V245" s="16" t="str">
        <f>VLOOKUP($A245,'SurveyRpt_20150223 (1)'!$A$34:$AN$735,36,FALSE)</f>
        <v>Yes</v>
      </c>
      <c r="W245" s="16" t="str">
        <f>VLOOKUP($A245,'SurveyRpt_20150223 (1)'!$A$34:$AN$735,38,FALSE)</f>
        <v>Yes</v>
      </c>
    </row>
    <row r="246" spans="1:23" ht="13.5" customHeight="1" x14ac:dyDescent="0.25">
      <c r="A246" s="19" t="s">
        <v>339</v>
      </c>
      <c r="B246" s="19" t="str">
        <f t="shared" si="3"/>
        <v>SPABBICHETTY</v>
      </c>
      <c r="C246" s="16" t="str">
        <f>VLOOKUP(B246,'Compiled Agents'!A:H,2,FALSE)</f>
        <v>Workplace</v>
      </c>
      <c r="D246" s="16" t="str">
        <f>VLOOKUP(B246,'Compiled Agents'!A:H,4,FALSE)</f>
        <v>Hyderabad</v>
      </c>
      <c r="E246" s="16" t="str">
        <f>VLOOKUP(B246,'Compiled Agents'!A:H,5,FALSE)</f>
        <v>Wave2</v>
      </c>
      <c r="F246" s="16" t="str">
        <f>VLOOKUP(B246,'Compiled Agents'!A:H,6,FALSE)</f>
        <v>Blue</v>
      </c>
      <c r="G246" s="16">
        <f>VLOOKUP($A246,'SurveyRpt_20150223 (1)'!$A$34:$AN$735,6,FALSE)</f>
        <v>10</v>
      </c>
      <c r="H246" s="16" t="str">
        <f>VLOOKUP($A246,'SurveyRpt_20150223 (1)'!$A$34:$AN$735,8,FALSE)</f>
        <v>Yes</v>
      </c>
      <c r="I246" s="16" t="str">
        <f>VLOOKUP($A246,'SurveyRpt_20150223 (1)'!$A$34:$AN$735,10,FALSE)</f>
        <v>Yes</v>
      </c>
      <c r="J246" s="16" t="str">
        <f>VLOOKUP($A246,'SurveyRpt_20150223 (1)'!$A$34:$AN$735,12,FALSE)</f>
        <v>Yes</v>
      </c>
      <c r="K246" s="16" t="str">
        <f>VLOOKUP($A246,'SurveyRpt_20150223 (1)'!$A$34:$AN$735,14,FALSE)</f>
        <v>Yes</v>
      </c>
      <c r="L246" s="16" t="str">
        <f>VLOOKUP($A246,'SurveyRpt_20150223 (1)'!$A$34:$AN$735,16,FALSE)</f>
        <v>Yes</v>
      </c>
      <c r="M246" s="16" t="str">
        <f>VLOOKUP($A246,'SurveyRpt_20150223 (1)'!$A$34:$AN$735,18,FALSE)</f>
        <v>Yes</v>
      </c>
      <c r="N246" s="16" t="str">
        <f>VLOOKUP($A246,'SurveyRpt_20150223 (1)'!$A$34:$AN$735,20,FALSE)</f>
        <v>No</v>
      </c>
      <c r="O246" s="16" t="str">
        <f>VLOOKUP($A246,'SurveyRpt_20150223 (1)'!$A$34:$AN$735,22,FALSE)</f>
        <v>No</v>
      </c>
      <c r="P246" s="16" t="str">
        <f>VLOOKUP($A246,'SurveyRpt_20150223 (1)'!$A$34:$AN$735,24,FALSE)</f>
        <v>Yes</v>
      </c>
      <c r="Q246" s="16" t="str">
        <f>VLOOKUP($A246,'SurveyRpt_20150223 (1)'!$A$34:$AN$735,26,FALSE)</f>
        <v>Yes</v>
      </c>
      <c r="R246" s="16" t="str">
        <f>VLOOKUP($A246,'SurveyRpt_20150223 (1)'!$A$34:$AN$735,28,FALSE)</f>
        <v>Yes</v>
      </c>
      <c r="S246" s="16" t="str">
        <f>VLOOKUP($A246,'SurveyRpt_20150223 (1)'!$A$34:$AN$735,30,FALSE)</f>
        <v>Yes</v>
      </c>
      <c r="T246" s="16" t="str">
        <f>VLOOKUP($A246,'SurveyRpt_20150223 (1)'!$A$34:$AN$735,32,FALSE)</f>
        <v>No</v>
      </c>
      <c r="U246" s="16" t="str">
        <f>VLOOKUP($A246,'SurveyRpt_20150223 (1)'!$A$34:$AN$735,34,FALSE)</f>
        <v>No</v>
      </c>
      <c r="V246" s="16" t="str">
        <f>VLOOKUP($A246,'SurveyRpt_20150223 (1)'!$A$34:$AN$735,36,FALSE)</f>
        <v>No</v>
      </c>
      <c r="W246" s="16" t="str">
        <f>VLOOKUP($A246,'SurveyRpt_20150223 (1)'!$A$34:$AN$735,38,FALSE)</f>
        <v>No</v>
      </c>
    </row>
    <row r="247" spans="1:23" ht="13.5" customHeight="1" x14ac:dyDescent="0.25">
      <c r="A247" s="19" t="s">
        <v>340</v>
      </c>
      <c r="B247" s="19" t="str">
        <f t="shared" si="3"/>
        <v>VDOGRA2</v>
      </c>
      <c r="C247" s="16" t="str">
        <f>VLOOKUP(B247,'Compiled Agents'!A:H,2,FALSE)</f>
        <v>Platform</v>
      </c>
      <c r="D247" s="16" t="str">
        <f>VLOOKUP(B247,'Compiled Agents'!A:H,4,FALSE)</f>
        <v>Noida</v>
      </c>
      <c r="E247" s="16" t="str">
        <f>VLOOKUP(B247,'Compiled Agents'!A:H,5,FALSE)</f>
        <v>Wave2</v>
      </c>
      <c r="F247" s="16" t="str">
        <f>VLOOKUP(B247,'Compiled Agents'!A:H,6,FALSE)</f>
        <v>Purple</v>
      </c>
      <c r="G247" s="16">
        <f>VLOOKUP($A247,'SurveyRpt_20150223 (1)'!$A$34:$AN$735,6,FALSE)</f>
        <v>16</v>
      </c>
      <c r="H247" s="16" t="str">
        <f>VLOOKUP($A247,'SurveyRpt_20150223 (1)'!$A$34:$AN$735,8,FALSE)</f>
        <v>Yes</v>
      </c>
      <c r="I247" s="16" t="str">
        <f>VLOOKUP($A247,'SurveyRpt_20150223 (1)'!$A$34:$AN$735,10,FALSE)</f>
        <v>Yes</v>
      </c>
      <c r="J247" s="16" t="str">
        <f>VLOOKUP($A247,'SurveyRpt_20150223 (1)'!$A$34:$AN$735,12,FALSE)</f>
        <v>Yes</v>
      </c>
      <c r="K247" s="16" t="str">
        <f>VLOOKUP($A247,'SurveyRpt_20150223 (1)'!$A$34:$AN$735,14,FALSE)</f>
        <v>Yes</v>
      </c>
      <c r="L247" s="16" t="str">
        <f>VLOOKUP($A247,'SurveyRpt_20150223 (1)'!$A$34:$AN$735,16,FALSE)</f>
        <v>Yes</v>
      </c>
      <c r="M247" s="16" t="str">
        <f>VLOOKUP($A247,'SurveyRpt_20150223 (1)'!$A$34:$AN$735,18,FALSE)</f>
        <v>Yes</v>
      </c>
      <c r="N247" s="16" t="str">
        <f>VLOOKUP($A247,'SurveyRpt_20150223 (1)'!$A$34:$AN$735,20,FALSE)</f>
        <v>Yes</v>
      </c>
      <c r="O247" s="16" t="str">
        <f>VLOOKUP($A247,'SurveyRpt_20150223 (1)'!$A$34:$AN$735,22,FALSE)</f>
        <v>Yes</v>
      </c>
      <c r="P247" s="16" t="str">
        <f>VLOOKUP($A247,'SurveyRpt_20150223 (1)'!$A$34:$AN$735,24,FALSE)</f>
        <v>Yes</v>
      </c>
      <c r="Q247" s="16" t="str">
        <f>VLOOKUP($A247,'SurveyRpt_20150223 (1)'!$A$34:$AN$735,26,FALSE)</f>
        <v>Yes</v>
      </c>
      <c r="R247" s="16" t="str">
        <f>VLOOKUP($A247,'SurveyRpt_20150223 (1)'!$A$34:$AN$735,28,FALSE)</f>
        <v>Yes</v>
      </c>
      <c r="S247" s="16" t="str">
        <f>VLOOKUP($A247,'SurveyRpt_20150223 (1)'!$A$34:$AN$735,30,FALSE)</f>
        <v>Yes</v>
      </c>
      <c r="T247" s="16" t="str">
        <f>VLOOKUP($A247,'SurveyRpt_20150223 (1)'!$A$34:$AN$735,32,FALSE)</f>
        <v>Yes</v>
      </c>
      <c r="U247" s="16" t="str">
        <f>VLOOKUP($A247,'SurveyRpt_20150223 (1)'!$A$34:$AN$735,34,FALSE)</f>
        <v>Yes</v>
      </c>
      <c r="V247" s="16" t="str">
        <f>VLOOKUP($A247,'SurveyRpt_20150223 (1)'!$A$34:$AN$735,36,FALSE)</f>
        <v>Yes</v>
      </c>
      <c r="W247" s="16" t="str">
        <f>VLOOKUP($A247,'SurveyRpt_20150223 (1)'!$A$34:$AN$735,38,FALSE)</f>
        <v>Yes</v>
      </c>
    </row>
    <row r="248" spans="1:23" ht="13.5" customHeight="1" x14ac:dyDescent="0.25">
      <c r="A248" s="19" t="s">
        <v>341</v>
      </c>
      <c r="B248" s="19" t="str">
        <f t="shared" si="3"/>
        <v>SJAYARAMANSE</v>
      </c>
      <c r="C248" s="16" t="str">
        <f>VLOOKUP(B248,'Compiled Agents'!A:H,2,FALSE)</f>
        <v>Platform</v>
      </c>
      <c r="D248" s="16" t="str">
        <f>VLOOKUP(B248,'Compiled Agents'!A:H,4,FALSE)</f>
        <v>Noida</v>
      </c>
      <c r="E248" s="16" t="str">
        <f>VLOOKUP(B248,'Compiled Agents'!A:H,5,FALSE)</f>
        <v>Wave2</v>
      </c>
      <c r="F248" s="16" t="str">
        <f>VLOOKUP(B248,'Compiled Agents'!A:H,6,FALSE)</f>
        <v>Orange</v>
      </c>
      <c r="G248" s="16">
        <f>VLOOKUP($A248,'SurveyRpt_20150223 (1)'!$A$34:$AN$735,6,FALSE)</f>
        <v>16</v>
      </c>
      <c r="H248" s="16" t="str">
        <f>VLOOKUP($A248,'SurveyRpt_20150223 (1)'!$A$34:$AN$735,8,FALSE)</f>
        <v>Yes</v>
      </c>
      <c r="I248" s="16" t="str">
        <f>VLOOKUP($A248,'SurveyRpt_20150223 (1)'!$A$34:$AN$735,10,FALSE)</f>
        <v>Yes</v>
      </c>
      <c r="J248" s="16" t="str">
        <f>VLOOKUP($A248,'SurveyRpt_20150223 (1)'!$A$34:$AN$735,12,FALSE)</f>
        <v>Yes</v>
      </c>
      <c r="K248" s="16" t="str">
        <f>VLOOKUP($A248,'SurveyRpt_20150223 (1)'!$A$34:$AN$735,14,FALSE)</f>
        <v>Yes</v>
      </c>
      <c r="L248" s="16" t="str">
        <f>VLOOKUP($A248,'SurveyRpt_20150223 (1)'!$A$34:$AN$735,16,FALSE)</f>
        <v>Yes</v>
      </c>
      <c r="M248" s="16" t="str">
        <f>VLOOKUP($A248,'SurveyRpt_20150223 (1)'!$A$34:$AN$735,18,FALSE)</f>
        <v>Yes</v>
      </c>
      <c r="N248" s="16" t="str">
        <f>VLOOKUP($A248,'SurveyRpt_20150223 (1)'!$A$34:$AN$735,20,FALSE)</f>
        <v>Yes</v>
      </c>
      <c r="O248" s="16" t="str">
        <f>VLOOKUP($A248,'SurveyRpt_20150223 (1)'!$A$34:$AN$735,22,FALSE)</f>
        <v>Yes</v>
      </c>
      <c r="P248" s="16" t="str">
        <f>VLOOKUP($A248,'SurveyRpt_20150223 (1)'!$A$34:$AN$735,24,FALSE)</f>
        <v>Yes</v>
      </c>
      <c r="Q248" s="16" t="str">
        <f>VLOOKUP($A248,'SurveyRpt_20150223 (1)'!$A$34:$AN$735,26,FALSE)</f>
        <v>Yes</v>
      </c>
      <c r="R248" s="16" t="str">
        <f>VLOOKUP($A248,'SurveyRpt_20150223 (1)'!$A$34:$AN$735,28,FALSE)</f>
        <v>Yes</v>
      </c>
      <c r="S248" s="16" t="str">
        <f>VLOOKUP($A248,'SurveyRpt_20150223 (1)'!$A$34:$AN$735,30,FALSE)</f>
        <v>Yes</v>
      </c>
      <c r="T248" s="16" t="str">
        <f>VLOOKUP($A248,'SurveyRpt_20150223 (1)'!$A$34:$AN$735,32,FALSE)</f>
        <v>Yes</v>
      </c>
      <c r="U248" s="16" t="str">
        <f>VLOOKUP($A248,'SurveyRpt_20150223 (1)'!$A$34:$AN$735,34,FALSE)</f>
        <v>Yes</v>
      </c>
      <c r="V248" s="16" t="str">
        <f>VLOOKUP($A248,'SurveyRpt_20150223 (1)'!$A$34:$AN$735,36,FALSE)</f>
        <v>Yes</v>
      </c>
      <c r="W248" s="16" t="str">
        <f>VLOOKUP($A248,'SurveyRpt_20150223 (1)'!$A$34:$AN$735,38,FALSE)</f>
        <v>Yes</v>
      </c>
    </row>
    <row r="249" spans="1:23" ht="13.5" customHeight="1" x14ac:dyDescent="0.25">
      <c r="A249" s="19" t="s">
        <v>342</v>
      </c>
      <c r="B249" s="19" t="str">
        <f t="shared" si="3"/>
        <v>RKESHETTY</v>
      </c>
      <c r="C249" s="16" t="str">
        <f>VLOOKUP(B249,'Compiled Agents'!A:H,2,FALSE)</f>
        <v>Platform</v>
      </c>
      <c r="D249" s="16" t="str">
        <f>VLOOKUP(B249,'Compiled Agents'!A:H,4,FALSE)</f>
        <v>Noida</v>
      </c>
      <c r="E249" s="16" t="str">
        <f>VLOOKUP(B249,'Compiled Agents'!A:H,5,FALSE)</f>
        <v>Wave2</v>
      </c>
      <c r="F249" s="16" t="str">
        <f>VLOOKUP(B249,'Compiled Agents'!A:H,6,FALSE)</f>
        <v>Orange</v>
      </c>
      <c r="G249" s="16">
        <f>VLOOKUP($A249,'SurveyRpt_20150223 (1)'!$A$34:$AN$735,6,FALSE)</f>
        <v>16</v>
      </c>
      <c r="H249" s="16" t="str">
        <f>VLOOKUP($A249,'SurveyRpt_20150223 (1)'!$A$34:$AN$735,8,FALSE)</f>
        <v>Yes</v>
      </c>
      <c r="I249" s="16" t="str">
        <f>VLOOKUP($A249,'SurveyRpt_20150223 (1)'!$A$34:$AN$735,10,FALSE)</f>
        <v>Yes</v>
      </c>
      <c r="J249" s="16" t="str">
        <f>VLOOKUP($A249,'SurveyRpt_20150223 (1)'!$A$34:$AN$735,12,FALSE)</f>
        <v>Yes</v>
      </c>
      <c r="K249" s="16" t="str">
        <f>VLOOKUP($A249,'SurveyRpt_20150223 (1)'!$A$34:$AN$735,14,FALSE)</f>
        <v>Yes</v>
      </c>
      <c r="L249" s="16" t="str">
        <f>VLOOKUP($A249,'SurveyRpt_20150223 (1)'!$A$34:$AN$735,16,FALSE)</f>
        <v>Yes</v>
      </c>
      <c r="M249" s="16" t="str">
        <f>VLOOKUP($A249,'SurveyRpt_20150223 (1)'!$A$34:$AN$735,18,FALSE)</f>
        <v>Yes</v>
      </c>
      <c r="N249" s="16" t="str">
        <f>VLOOKUP($A249,'SurveyRpt_20150223 (1)'!$A$34:$AN$735,20,FALSE)</f>
        <v>Yes</v>
      </c>
      <c r="O249" s="16" t="str">
        <f>VLOOKUP($A249,'SurveyRpt_20150223 (1)'!$A$34:$AN$735,22,FALSE)</f>
        <v>Yes</v>
      </c>
      <c r="P249" s="16" t="str">
        <f>VLOOKUP($A249,'SurveyRpt_20150223 (1)'!$A$34:$AN$735,24,FALSE)</f>
        <v>Yes</v>
      </c>
      <c r="Q249" s="16" t="str">
        <f>VLOOKUP($A249,'SurveyRpt_20150223 (1)'!$A$34:$AN$735,26,FALSE)</f>
        <v>Yes</v>
      </c>
      <c r="R249" s="16" t="str">
        <f>VLOOKUP($A249,'SurveyRpt_20150223 (1)'!$A$34:$AN$735,28,FALSE)</f>
        <v>Yes</v>
      </c>
      <c r="S249" s="16" t="str">
        <f>VLOOKUP($A249,'SurveyRpt_20150223 (1)'!$A$34:$AN$735,30,FALSE)</f>
        <v>Yes</v>
      </c>
      <c r="T249" s="16" t="str">
        <f>VLOOKUP($A249,'SurveyRpt_20150223 (1)'!$A$34:$AN$735,32,FALSE)</f>
        <v>Yes</v>
      </c>
      <c r="U249" s="16" t="str">
        <f>VLOOKUP($A249,'SurveyRpt_20150223 (1)'!$A$34:$AN$735,34,FALSE)</f>
        <v>Yes</v>
      </c>
      <c r="V249" s="16" t="str">
        <f>VLOOKUP($A249,'SurveyRpt_20150223 (1)'!$A$34:$AN$735,36,FALSE)</f>
        <v>Yes</v>
      </c>
      <c r="W249" s="16" t="str">
        <f>VLOOKUP($A249,'SurveyRpt_20150223 (1)'!$A$34:$AN$735,38,FALSE)</f>
        <v>Yes</v>
      </c>
    </row>
    <row r="250" spans="1:23" ht="13.5" customHeight="1" x14ac:dyDescent="0.25">
      <c r="A250" s="19" t="s">
        <v>343</v>
      </c>
      <c r="B250" s="19" t="str">
        <f t="shared" si="3"/>
        <v>VGERA4</v>
      </c>
      <c r="C250" s="16" t="str">
        <f>VLOOKUP(B250,'Compiled Agents'!A:H,2,FALSE)</f>
        <v>Platform</v>
      </c>
      <c r="D250" s="16" t="str">
        <f>VLOOKUP(B250,'Compiled Agents'!A:H,4,FALSE)</f>
        <v>Noida</v>
      </c>
      <c r="E250" s="16" t="str">
        <f>VLOOKUP(B250,'Compiled Agents'!A:H,5,FALSE)</f>
        <v>Wave2</v>
      </c>
      <c r="F250" s="16" t="str">
        <f>VLOOKUP(B250,'Compiled Agents'!A:H,6,FALSE)</f>
        <v>Purple</v>
      </c>
      <c r="G250" s="16">
        <f>VLOOKUP($A250,'SurveyRpt_20150223 (1)'!$A$34:$AN$735,6,FALSE)</f>
        <v>16</v>
      </c>
      <c r="H250" s="16" t="str">
        <f>VLOOKUP($A250,'SurveyRpt_20150223 (1)'!$A$34:$AN$735,8,FALSE)</f>
        <v>Yes</v>
      </c>
      <c r="I250" s="16" t="str">
        <f>VLOOKUP($A250,'SurveyRpt_20150223 (1)'!$A$34:$AN$735,10,FALSE)</f>
        <v>Yes</v>
      </c>
      <c r="J250" s="16" t="str">
        <f>VLOOKUP($A250,'SurveyRpt_20150223 (1)'!$A$34:$AN$735,12,FALSE)</f>
        <v>Yes</v>
      </c>
      <c r="K250" s="16" t="str">
        <f>VLOOKUP($A250,'SurveyRpt_20150223 (1)'!$A$34:$AN$735,14,FALSE)</f>
        <v>Yes</v>
      </c>
      <c r="L250" s="16" t="str">
        <f>VLOOKUP($A250,'SurveyRpt_20150223 (1)'!$A$34:$AN$735,16,FALSE)</f>
        <v>Yes</v>
      </c>
      <c r="M250" s="16" t="str">
        <f>VLOOKUP($A250,'SurveyRpt_20150223 (1)'!$A$34:$AN$735,18,FALSE)</f>
        <v>Yes</v>
      </c>
      <c r="N250" s="16" t="str">
        <f>VLOOKUP($A250,'SurveyRpt_20150223 (1)'!$A$34:$AN$735,20,FALSE)</f>
        <v>Yes</v>
      </c>
      <c r="O250" s="16" t="str">
        <f>VLOOKUP($A250,'SurveyRpt_20150223 (1)'!$A$34:$AN$735,22,FALSE)</f>
        <v>Yes</v>
      </c>
      <c r="P250" s="16" t="str">
        <f>VLOOKUP($A250,'SurveyRpt_20150223 (1)'!$A$34:$AN$735,24,FALSE)</f>
        <v>Yes</v>
      </c>
      <c r="Q250" s="16" t="str">
        <f>VLOOKUP($A250,'SurveyRpt_20150223 (1)'!$A$34:$AN$735,26,FALSE)</f>
        <v>Yes</v>
      </c>
      <c r="R250" s="16" t="str">
        <f>VLOOKUP($A250,'SurveyRpt_20150223 (1)'!$A$34:$AN$735,28,FALSE)</f>
        <v>Yes</v>
      </c>
      <c r="S250" s="16" t="str">
        <f>VLOOKUP($A250,'SurveyRpt_20150223 (1)'!$A$34:$AN$735,30,FALSE)</f>
        <v>Yes</v>
      </c>
      <c r="T250" s="16" t="str">
        <f>VLOOKUP($A250,'SurveyRpt_20150223 (1)'!$A$34:$AN$735,32,FALSE)</f>
        <v>Yes</v>
      </c>
      <c r="U250" s="16" t="str">
        <f>VLOOKUP($A250,'SurveyRpt_20150223 (1)'!$A$34:$AN$735,34,FALSE)</f>
        <v>Yes</v>
      </c>
      <c r="V250" s="16" t="str">
        <f>VLOOKUP($A250,'SurveyRpt_20150223 (1)'!$A$34:$AN$735,36,FALSE)</f>
        <v>Yes</v>
      </c>
      <c r="W250" s="16" t="str">
        <f>VLOOKUP($A250,'SurveyRpt_20150223 (1)'!$A$34:$AN$735,38,FALSE)</f>
        <v>Yes</v>
      </c>
    </row>
    <row r="251" spans="1:23" ht="13.5" customHeight="1" x14ac:dyDescent="0.25">
      <c r="A251" s="19" t="s">
        <v>344</v>
      </c>
      <c r="B251" s="19" t="str">
        <f t="shared" si="3"/>
        <v>VPOTHARAJU</v>
      </c>
      <c r="C251" s="16" t="str">
        <f>VLOOKUP(B251,'Compiled Agents'!A:H,2,FALSE)</f>
        <v>Platform</v>
      </c>
      <c r="D251" s="16" t="str">
        <f>VLOOKUP(B251,'Compiled Agents'!A:H,4,FALSE)</f>
        <v>Noida</v>
      </c>
      <c r="E251" s="16" t="str">
        <f>VLOOKUP(B251,'Compiled Agents'!A:H,5,FALSE)</f>
        <v>Wave2</v>
      </c>
      <c r="F251" s="16" t="str">
        <f>VLOOKUP(B251,'Compiled Agents'!A:H,6,FALSE)</f>
        <v>Purple</v>
      </c>
      <c r="G251" s="16">
        <f>VLOOKUP($A251,'SurveyRpt_20150223 (1)'!$A$34:$AN$735,6,FALSE)</f>
        <v>6</v>
      </c>
      <c r="H251" s="16" t="str">
        <f>VLOOKUP($A251,'SurveyRpt_20150223 (1)'!$A$34:$AN$735,8,FALSE)</f>
        <v>No</v>
      </c>
      <c r="I251" s="16" t="str">
        <f>VLOOKUP($A251,'SurveyRpt_20150223 (1)'!$A$34:$AN$735,10,FALSE)</f>
        <v>Yes</v>
      </c>
      <c r="J251" s="16" t="str">
        <f>VLOOKUP($A251,'SurveyRpt_20150223 (1)'!$A$34:$AN$735,12,FALSE)</f>
        <v>No</v>
      </c>
      <c r="K251" s="16" t="str">
        <f>VLOOKUP($A251,'SurveyRpt_20150223 (1)'!$A$34:$AN$735,14,FALSE)</f>
        <v>No</v>
      </c>
      <c r="L251" s="16" t="str">
        <f>VLOOKUP($A251,'SurveyRpt_20150223 (1)'!$A$34:$AN$735,16,FALSE)</f>
        <v>No</v>
      </c>
      <c r="M251" s="16" t="str">
        <f>VLOOKUP($A251,'SurveyRpt_20150223 (1)'!$A$34:$AN$735,18,FALSE)</f>
        <v>Yes</v>
      </c>
      <c r="N251" s="16" t="str">
        <f>VLOOKUP($A251,'SurveyRpt_20150223 (1)'!$A$34:$AN$735,20,FALSE)</f>
        <v>No</v>
      </c>
      <c r="O251" s="16" t="str">
        <f>VLOOKUP($A251,'SurveyRpt_20150223 (1)'!$A$34:$AN$735,22,FALSE)</f>
        <v>No</v>
      </c>
      <c r="P251" s="16" t="str">
        <f>VLOOKUP($A251,'SurveyRpt_20150223 (1)'!$A$34:$AN$735,24,FALSE)</f>
        <v>No</v>
      </c>
      <c r="Q251" s="16" t="str">
        <f>VLOOKUP($A251,'SurveyRpt_20150223 (1)'!$A$34:$AN$735,26,FALSE)</f>
        <v>Yes</v>
      </c>
      <c r="R251" s="16" t="str">
        <f>VLOOKUP($A251,'SurveyRpt_20150223 (1)'!$A$34:$AN$735,28,FALSE)</f>
        <v>Yes</v>
      </c>
      <c r="S251" s="16" t="str">
        <f>VLOOKUP($A251,'SurveyRpt_20150223 (1)'!$A$34:$AN$735,30,FALSE)</f>
        <v>Yes</v>
      </c>
      <c r="T251" s="16" t="str">
        <f>VLOOKUP($A251,'SurveyRpt_20150223 (1)'!$A$34:$AN$735,32,FALSE)</f>
        <v>Yes</v>
      </c>
      <c r="U251" s="16" t="str">
        <f>VLOOKUP($A251,'SurveyRpt_20150223 (1)'!$A$34:$AN$735,34,FALSE)</f>
        <v>No</v>
      </c>
      <c r="V251" s="16" t="str">
        <f>VLOOKUP($A251,'SurveyRpt_20150223 (1)'!$A$34:$AN$735,36,FALSE)</f>
        <v>No</v>
      </c>
      <c r="W251" s="16" t="str">
        <f>VLOOKUP($A251,'SurveyRpt_20150223 (1)'!$A$34:$AN$735,38,FALSE)</f>
        <v>No</v>
      </c>
    </row>
    <row r="252" spans="1:23" ht="13.5" customHeight="1" x14ac:dyDescent="0.25">
      <c r="A252" s="19" t="s">
        <v>345</v>
      </c>
      <c r="B252" s="19" t="str">
        <f t="shared" si="3"/>
        <v>NRAWAT3</v>
      </c>
      <c r="C252" s="16" t="str">
        <f>VLOOKUP(B252,'Compiled Agents'!A:H,2,FALSE)</f>
        <v>Workplace</v>
      </c>
      <c r="D252" s="16" t="str">
        <f>VLOOKUP(B252,'Compiled Agents'!A:H,4,FALSE)</f>
        <v>Noida</v>
      </c>
      <c r="E252" s="16" t="str">
        <f>VLOOKUP(B252,'Compiled Agents'!A:H,5,FALSE)</f>
        <v>Wave1</v>
      </c>
      <c r="F252" s="16" t="str">
        <f>VLOOKUP(B252,'Compiled Agents'!A:H,6,FALSE)</f>
        <v>Yellow</v>
      </c>
      <c r="G252" s="16">
        <f>VLOOKUP($A252,'SurveyRpt_20150223 (1)'!$A$34:$AN$735,6,FALSE)</f>
        <v>16</v>
      </c>
      <c r="H252" s="16" t="str">
        <f>VLOOKUP($A252,'SurveyRpt_20150223 (1)'!$A$34:$AN$735,8,FALSE)</f>
        <v>Yes</v>
      </c>
      <c r="I252" s="16" t="str">
        <f>VLOOKUP($A252,'SurveyRpt_20150223 (1)'!$A$34:$AN$735,10,FALSE)</f>
        <v>Yes</v>
      </c>
      <c r="J252" s="16" t="str">
        <f>VLOOKUP($A252,'SurveyRpt_20150223 (1)'!$A$34:$AN$735,12,FALSE)</f>
        <v>Yes</v>
      </c>
      <c r="K252" s="16" t="str">
        <f>VLOOKUP($A252,'SurveyRpt_20150223 (1)'!$A$34:$AN$735,14,FALSE)</f>
        <v>Yes</v>
      </c>
      <c r="L252" s="16" t="str">
        <f>VLOOKUP($A252,'SurveyRpt_20150223 (1)'!$A$34:$AN$735,16,FALSE)</f>
        <v>Yes</v>
      </c>
      <c r="M252" s="16" t="str">
        <f>VLOOKUP($A252,'SurveyRpt_20150223 (1)'!$A$34:$AN$735,18,FALSE)</f>
        <v>Yes</v>
      </c>
      <c r="N252" s="16" t="str">
        <f>VLOOKUP($A252,'SurveyRpt_20150223 (1)'!$A$34:$AN$735,20,FALSE)</f>
        <v>Yes</v>
      </c>
      <c r="O252" s="16" t="str">
        <f>VLOOKUP($A252,'SurveyRpt_20150223 (1)'!$A$34:$AN$735,22,FALSE)</f>
        <v>Yes</v>
      </c>
      <c r="P252" s="16" t="str">
        <f>VLOOKUP($A252,'SurveyRpt_20150223 (1)'!$A$34:$AN$735,24,FALSE)</f>
        <v>Yes</v>
      </c>
      <c r="Q252" s="16" t="str">
        <f>VLOOKUP($A252,'SurveyRpt_20150223 (1)'!$A$34:$AN$735,26,FALSE)</f>
        <v>Yes</v>
      </c>
      <c r="R252" s="16" t="str">
        <f>VLOOKUP($A252,'SurveyRpt_20150223 (1)'!$A$34:$AN$735,28,FALSE)</f>
        <v>Yes</v>
      </c>
      <c r="S252" s="16" t="str">
        <f>VLOOKUP($A252,'SurveyRpt_20150223 (1)'!$A$34:$AN$735,30,FALSE)</f>
        <v>Yes</v>
      </c>
      <c r="T252" s="16" t="str">
        <f>VLOOKUP($A252,'SurveyRpt_20150223 (1)'!$A$34:$AN$735,32,FALSE)</f>
        <v>Yes</v>
      </c>
      <c r="U252" s="16" t="str">
        <f>VLOOKUP($A252,'SurveyRpt_20150223 (1)'!$A$34:$AN$735,34,FALSE)</f>
        <v>Yes</v>
      </c>
      <c r="V252" s="16" t="str">
        <f>VLOOKUP($A252,'SurveyRpt_20150223 (1)'!$A$34:$AN$735,36,FALSE)</f>
        <v>Yes</v>
      </c>
      <c r="W252" s="16" t="str">
        <f>VLOOKUP($A252,'SurveyRpt_20150223 (1)'!$A$34:$AN$735,38,FALSE)</f>
        <v>Yes</v>
      </c>
    </row>
    <row r="253" spans="1:23" ht="13.5" customHeight="1" x14ac:dyDescent="0.25">
      <c r="A253" s="19" t="s">
        <v>346</v>
      </c>
      <c r="B253" s="19" t="str">
        <f t="shared" si="3"/>
        <v>pnirmal</v>
      </c>
      <c r="C253" s="16" t="str">
        <f>VLOOKUP(B253,'Compiled Agents'!A:H,2,FALSE)</f>
        <v>Platform</v>
      </c>
      <c r="D253" s="16" t="str">
        <f>VLOOKUP(B253,'Compiled Agents'!A:H,4,FALSE)</f>
        <v>Noida</v>
      </c>
      <c r="E253" s="16" t="str">
        <f>VLOOKUP(B253,'Compiled Agents'!A:H,5,FALSE)</f>
        <v>Wave2</v>
      </c>
      <c r="F253" s="16" t="str">
        <f>VLOOKUP(B253,'Compiled Agents'!A:H,6,FALSE)</f>
        <v>Brown</v>
      </c>
      <c r="G253" s="16">
        <f>VLOOKUP($A253,'SurveyRpt_20150223 (1)'!$A$34:$AN$735,6,FALSE)</f>
        <v>16</v>
      </c>
      <c r="H253" s="16" t="str">
        <f>VLOOKUP($A253,'SurveyRpt_20150223 (1)'!$A$34:$AN$735,8,FALSE)</f>
        <v>Yes</v>
      </c>
      <c r="I253" s="16" t="str">
        <f>VLOOKUP($A253,'SurveyRpt_20150223 (1)'!$A$34:$AN$735,10,FALSE)</f>
        <v>Yes</v>
      </c>
      <c r="J253" s="16" t="str">
        <f>VLOOKUP($A253,'SurveyRpt_20150223 (1)'!$A$34:$AN$735,12,FALSE)</f>
        <v>Yes</v>
      </c>
      <c r="K253" s="16" t="str">
        <f>VLOOKUP($A253,'SurveyRpt_20150223 (1)'!$A$34:$AN$735,14,FALSE)</f>
        <v>Yes</v>
      </c>
      <c r="L253" s="16" t="str">
        <f>VLOOKUP($A253,'SurveyRpt_20150223 (1)'!$A$34:$AN$735,16,FALSE)</f>
        <v>Yes</v>
      </c>
      <c r="M253" s="16" t="str">
        <f>VLOOKUP($A253,'SurveyRpt_20150223 (1)'!$A$34:$AN$735,18,FALSE)</f>
        <v>Yes</v>
      </c>
      <c r="N253" s="16" t="str">
        <f>VLOOKUP($A253,'SurveyRpt_20150223 (1)'!$A$34:$AN$735,20,FALSE)</f>
        <v>Yes</v>
      </c>
      <c r="O253" s="16" t="str">
        <f>VLOOKUP($A253,'SurveyRpt_20150223 (1)'!$A$34:$AN$735,22,FALSE)</f>
        <v>Yes</v>
      </c>
      <c r="P253" s="16" t="str">
        <f>VLOOKUP($A253,'SurveyRpt_20150223 (1)'!$A$34:$AN$735,24,FALSE)</f>
        <v>Yes</v>
      </c>
      <c r="Q253" s="16" t="str">
        <f>VLOOKUP($A253,'SurveyRpt_20150223 (1)'!$A$34:$AN$735,26,FALSE)</f>
        <v>Yes</v>
      </c>
      <c r="R253" s="16" t="str">
        <f>VLOOKUP($A253,'SurveyRpt_20150223 (1)'!$A$34:$AN$735,28,FALSE)</f>
        <v>Yes</v>
      </c>
      <c r="S253" s="16" t="str">
        <f>VLOOKUP($A253,'SurveyRpt_20150223 (1)'!$A$34:$AN$735,30,FALSE)</f>
        <v>Yes</v>
      </c>
      <c r="T253" s="16" t="str">
        <f>VLOOKUP($A253,'SurveyRpt_20150223 (1)'!$A$34:$AN$735,32,FALSE)</f>
        <v>Yes</v>
      </c>
      <c r="U253" s="16" t="str">
        <f>VLOOKUP($A253,'SurveyRpt_20150223 (1)'!$A$34:$AN$735,34,FALSE)</f>
        <v>Yes</v>
      </c>
      <c r="V253" s="16" t="str">
        <f>VLOOKUP($A253,'SurveyRpt_20150223 (1)'!$A$34:$AN$735,36,FALSE)</f>
        <v>Yes</v>
      </c>
      <c r="W253" s="16" t="str">
        <f>VLOOKUP($A253,'SurveyRpt_20150223 (1)'!$A$34:$AN$735,38,FALSE)</f>
        <v>Yes</v>
      </c>
    </row>
    <row r="254" spans="1:23" ht="13.5" customHeight="1" x14ac:dyDescent="0.25">
      <c r="A254" s="19" t="s">
        <v>347</v>
      </c>
      <c r="B254" s="19" t="str">
        <f t="shared" si="3"/>
        <v>RBADAM</v>
      </c>
      <c r="C254" s="16" t="str">
        <f>VLOOKUP(B254,'Compiled Agents'!A:H,2,FALSE)</f>
        <v>Platform</v>
      </c>
      <c r="D254" s="16" t="str">
        <f>VLOOKUP(B254,'Compiled Agents'!A:H,4,FALSE)</f>
        <v>Hyderabad</v>
      </c>
      <c r="E254" s="16" t="str">
        <f>VLOOKUP(B254,'Compiled Agents'!A:H,5,FALSE)</f>
        <v>Wave1</v>
      </c>
      <c r="F254" s="16" t="str">
        <f>VLOOKUP(B254,'Compiled Agents'!A:H,6,FALSE)</f>
        <v>Purple</v>
      </c>
      <c r="G254" s="16">
        <f>VLOOKUP($A254,'SurveyRpt_20150223 (1)'!$A$34:$AN$735,6,FALSE)</f>
        <v>16</v>
      </c>
      <c r="H254" s="16" t="str">
        <f>VLOOKUP($A254,'SurveyRpt_20150223 (1)'!$A$34:$AN$735,8,FALSE)</f>
        <v>Yes</v>
      </c>
      <c r="I254" s="16" t="str">
        <f>VLOOKUP($A254,'SurveyRpt_20150223 (1)'!$A$34:$AN$735,10,FALSE)</f>
        <v>Yes</v>
      </c>
      <c r="J254" s="16" t="str">
        <f>VLOOKUP($A254,'SurveyRpt_20150223 (1)'!$A$34:$AN$735,12,FALSE)</f>
        <v>Yes</v>
      </c>
      <c r="K254" s="16" t="str">
        <f>VLOOKUP($A254,'SurveyRpt_20150223 (1)'!$A$34:$AN$735,14,FALSE)</f>
        <v>Yes</v>
      </c>
      <c r="L254" s="16" t="str">
        <f>VLOOKUP($A254,'SurveyRpt_20150223 (1)'!$A$34:$AN$735,16,FALSE)</f>
        <v>Yes</v>
      </c>
      <c r="M254" s="16" t="str">
        <f>VLOOKUP($A254,'SurveyRpt_20150223 (1)'!$A$34:$AN$735,18,FALSE)</f>
        <v>Yes</v>
      </c>
      <c r="N254" s="16" t="str">
        <f>VLOOKUP($A254,'SurveyRpt_20150223 (1)'!$A$34:$AN$735,20,FALSE)</f>
        <v>Yes</v>
      </c>
      <c r="O254" s="16" t="str">
        <f>VLOOKUP($A254,'SurveyRpt_20150223 (1)'!$A$34:$AN$735,22,FALSE)</f>
        <v>Yes</v>
      </c>
      <c r="P254" s="16" t="str">
        <f>VLOOKUP($A254,'SurveyRpt_20150223 (1)'!$A$34:$AN$735,24,FALSE)</f>
        <v>Yes</v>
      </c>
      <c r="Q254" s="16" t="str">
        <f>VLOOKUP($A254,'SurveyRpt_20150223 (1)'!$A$34:$AN$735,26,FALSE)</f>
        <v>Yes</v>
      </c>
      <c r="R254" s="16" t="str">
        <f>VLOOKUP($A254,'SurveyRpt_20150223 (1)'!$A$34:$AN$735,28,FALSE)</f>
        <v>Yes</v>
      </c>
      <c r="S254" s="16" t="str">
        <f>VLOOKUP($A254,'SurveyRpt_20150223 (1)'!$A$34:$AN$735,30,FALSE)</f>
        <v>Yes</v>
      </c>
      <c r="T254" s="16" t="str">
        <f>VLOOKUP($A254,'SurveyRpt_20150223 (1)'!$A$34:$AN$735,32,FALSE)</f>
        <v>Yes</v>
      </c>
      <c r="U254" s="16" t="str">
        <f>VLOOKUP($A254,'SurveyRpt_20150223 (1)'!$A$34:$AN$735,34,FALSE)</f>
        <v>Yes</v>
      </c>
      <c r="V254" s="16" t="str">
        <f>VLOOKUP($A254,'SurveyRpt_20150223 (1)'!$A$34:$AN$735,36,FALSE)</f>
        <v>Yes</v>
      </c>
      <c r="W254" s="16" t="str">
        <f>VLOOKUP($A254,'SurveyRpt_20150223 (1)'!$A$34:$AN$735,38,FALSE)</f>
        <v>Yes</v>
      </c>
    </row>
    <row r="255" spans="1:23" ht="13.5" customHeight="1" x14ac:dyDescent="0.25">
      <c r="A255" s="19" t="s">
        <v>348</v>
      </c>
      <c r="B255" s="19" t="str">
        <f t="shared" si="3"/>
        <v>ptentu</v>
      </c>
      <c r="C255" s="16" t="str">
        <f>VLOOKUP(B255,'Compiled Agents'!A:H,2,FALSE)</f>
        <v>Platform</v>
      </c>
      <c r="D255" s="16" t="str">
        <f>VLOOKUP(B255,'Compiled Agents'!A:H,4,FALSE)</f>
        <v>Noida</v>
      </c>
      <c r="E255" s="16" t="str">
        <f>VLOOKUP(B255,'Compiled Agents'!A:H,5,FALSE)</f>
        <v>Wave1</v>
      </c>
      <c r="F255" s="16" t="str">
        <f>VLOOKUP(B255,'Compiled Agents'!A:H,6,FALSE)</f>
        <v>Purple</v>
      </c>
      <c r="G255" s="16">
        <f>VLOOKUP($A255,'SurveyRpt_20150223 (1)'!$A$34:$AN$735,6,FALSE)</f>
        <v>16</v>
      </c>
      <c r="H255" s="16" t="str">
        <f>VLOOKUP($A255,'SurveyRpt_20150223 (1)'!$A$34:$AN$735,8,FALSE)</f>
        <v>Yes</v>
      </c>
      <c r="I255" s="16" t="str">
        <f>VLOOKUP($A255,'SurveyRpt_20150223 (1)'!$A$34:$AN$735,10,FALSE)</f>
        <v>Yes</v>
      </c>
      <c r="J255" s="16" t="str">
        <f>VLOOKUP($A255,'SurveyRpt_20150223 (1)'!$A$34:$AN$735,12,FALSE)</f>
        <v>Yes</v>
      </c>
      <c r="K255" s="16" t="str">
        <f>VLOOKUP($A255,'SurveyRpt_20150223 (1)'!$A$34:$AN$735,14,FALSE)</f>
        <v>Yes</v>
      </c>
      <c r="L255" s="16" t="str">
        <f>VLOOKUP($A255,'SurveyRpt_20150223 (1)'!$A$34:$AN$735,16,FALSE)</f>
        <v>Yes</v>
      </c>
      <c r="M255" s="16" t="str">
        <f>VLOOKUP($A255,'SurveyRpt_20150223 (1)'!$A$34:$AN$735,18,FALSE)</f>
        <v>Yes</v>
      </c>
      <c r="N255" s="16" t="str">
        <f>VLOOKUP($A255,'SurveyRpt_20150223 (1)'!$A$34:$AN$735,20,FALSE)</f>
        <v>Yes</v>
      </c>
      <c r="O255" s="16" t="str">
        <f>VLOOKUP($A255,'SurveyRpt_20150223 (1)'!$A$34:$AN$735,22,FALSE)</f>
        <v>Yes</v>
      </c>
      <c r="P255" s="16" t="str">
        <f>VLOOKUP($A255,'SurveyRpt_20150223 (1)'!$A$34:$AN$735,24,FALSE)</f>
        <v>Yes</v>
      </c>
      <c r="Q255" s="16" t="str">
        <f>VLOOKUP($A255,'SurveyRpt_20150223 (1)'!$A$34:$AN$735,26,FALSE)</f>
        <v>Yes</v>
      </c>
      <c r="R255" s="16" t="str">
        <f>VLOOKUP($A255,'SurveyRpt_20150223 (1)'!$A$34:$AN$735,28,FALSE)</f>
        <v>Yes</v>
      </c>
      <c r="S255" s="16" t="str">
        <f>VLOOKUP($A255,'SurveyRpt_20150223 (1)'!$A$34:$AN$735,30,FALSE)</f>
        <v>Yes</v>
      </c>
      <c r="T255" s="16" t="str">
        <f>VLOOKUP($A255,'SurveyRpt_20150223 (1)'!$A$34:$AN$735,32,FALSE)</f>
        <v>Yes</v>
      </c>
      <c r="U255" s="16" t="str">
        <f>VLOOKUP($A255,'SurveyRpt_20150223 (1)'!$A$34:$AN$735,34,FALSE)</f>
        <v>Yes</v>
      </c>
      <c r="V255" s="16" t="str">
        <f>VLOOKUP($A255,'SurveyRpt_20150223 (1)'!$A$34:$AN$735,36,FALSE)</f>
        <v>Yes</v>
      </c>
      <c r="W255" s="16" t="str">
        <f>VLOOKUP($A255,'SurveyRpt_20150223 (1)'!$A$34:$AN$735,38,FALSE)</f>
        <v>Yes</v>
      </c>
    </row>
    <row r="256" spans="1:23" ht="13.5" customHeight="1" x14ac:dyDescent="0.25">
      <c r="A256" s="19" t="s">
        <v>349</v>
      </c>
      <c r="B256" s="19" t="str">
        <f t="shared" si="3"/>
        <v>SGOLI6</v>
      </c>
      <c r="C256" s="16" t="str">
        <f>VLOOKUP(B256,'Compiled Agents'!A:H,2,FALSE)</f>
        <v>Workplace</v>
      </c>
      <c r="D256" s="16" t="str">
        <f>VLOOKUP(B256,'Compiled Agents'!A:H,4,FALSE)</f>
        <v>Noida</v>
      </c>
      <c r="E256" s="16" t="str">
        <f>VLOOKUP(B256,'Compiled Agents'!A:H,5,FALSE)</f>
        <v>Wave2</v>
      </c>
      <c r="F256" s="16" t="str">
        <f>VLOOKUP(B256,'Compiled Agents'!A:H,6,FALSE)</f>
        <v>Purple</v>
      </c>
      <c r="G256" s="16">
        <f>VLOOKUP($A256,'SurveyRpt_20150223 (1)'!$A$34:$AN$735,6,FALSE)</f>
        <v>16</v>
      </c>
      <c r="H256" s="16" t="str">
        <f>VLOOKUP($A256,'SurveyRpt_20150223 (1)'!$A$34:$AN$735,8,FALSE)</f>
        <v>Yes</v>
      </c>
      <c r="I256" s="16" t="str">
        <f>VLOOKUP($A256,'SurveyRpt_20150223 (1)'!$A$34:$AN$735,10,FALSE)</f>
        <v>Yes</v>
      </c>
      <c r="J256" s="16" t="str">
        <f>VLOOKUP($A256,'SurveyRpt_20150223 (1)'!$A$34:$AN$735,12,FALSE)</f>
        <v>Yes</v>
      </c>
      <c r="K256" s="16" t="str">
        <f>VLOOKUP($A256,'SurveyRpt_20150223 (1)'!$A$34:$AN$735,14,FALSE)</f>
        <v>Yes</v>
      </c>
      <c r="L256" s="16" t="str">
        <f>VLOOKUP($A256,'SurveyRpt_20150223 (1)'!$A$34:$AN$735,16,FALSE)</f>
        <v>Yes</v>
      </c>
      <c r="M256" s="16" t="str">
        <f>VLOOKUP($A256,'SurveyRpt_20150223 (1)'!$A$34:$AN$735,18,FALSE)</f>
        <v>Yes</v>
      </c>
      <c r="N256" s="16" t="str">
        <f>VLOOKUP($A256,'SurveyRpt_20150223 (1)'!$A$34:$AN$735,20,FALSE)</f>
        <v>Yes</v>
      </c>
      <c r="O256" s="16" t="str">
        <f>VLOOKUP($A256,'SurveyRpt_20150223 (1)'!$A$34:$AN$735,22,FALSE)</f>
        <v>Yes</v>
      </c>
      <c r="P256" s="16" t="str">
        <f>VLOOKUP($A256,'SurveyRpt_20150223 (1)'!$A$34:$AN$735,24,FALSE)</f>
        <v>Yes</v>
      </c>
      <c r="Q256" s="16" t="str">
        <f>VLOOKUP($A256,'SurveyRpt_20150223 (1)'!$A$34:$AN$735,26,FALSE)</f>
        <v>Yes</v>
      </c>
      <c r="R256" s="16" t="str">
        <f>VLOOKUP($A256,'SurveyRpt_20150223 (1)'!$A$34:$AN$735,28,FALSE)</f>
        <v>Yes</v>
      </c>
      <c r="S256" s="16" t="str">
        <f>VLOOKUP($A256,'SurveyRpt_20150223 (1)'!$A$34:$AN$735,30,FALSE)</f>
        <v>Yes</v>
      </c>
      <c r="T256" s="16" t="str">
        <f>VLOOKUP($A256,'SurveyRpt_20150223 (1)'!$A$34:$AN$735,32,FALSE)</f>
        <v>Yes</v>
      </c>
      <c r="U256" s="16" t="str">
        <f>VLOOKUP($A256,'SurveyRpt_20150223 (1)'!$A$34:$AN$735,34,FALSE)</f>
        <v>Yes</v>
      </c>
      <c r="V256" s="16" t="str">
        <f>VLOOKUP($A256,'SurveyRpt_20150223 (1)'!$A$34:$AN$735,36,FALSE)</f>
        <v>Yes</v>
      </c>
      <c r="W256" s="16" t="str">
        <f>VLOOKUP($A256,'SurveyRpt_20150223 (1)'!$A$34:$AN$735,38,FALSE)</f>
        <v>Yes</v>
      </c>
    </row>
    <row r="257" spans="1:23" ht="13.5" customHeight="1" x14ac:dyDescent="0.25">
      <c r="A257" s="19" t="s">
        <v>350</v>
      </c>
      <c r="B257" s="19" t="str">
        <f t="shared" si="3"/>
        <v>SCHHABRA6</v>
      </c>
      <c r="C257" s="16" t="str">
        <f>VLOOKUP(B257,'Compiled Agents'!A:H,2,FALSE)</f>
        <v>Workplace</v>
      </c>
      <c r="D257" s="16" t="str">
        <f>VLOOKUP(B257,'Compiled Agents'!A:H,4,FALSE)</f>
        <v>Noida</v>
      </c>
      <c r="E257" s="16" t="str">
        <f>VLOOKUP(B257,'Compiled Agents'!A:H,5,FALSE)</f>
        <v>Wave1</v>
      </c>
      <c r="F257" s="16" t="str">
        <f>VLOOKUP(B257,'Compiled Agents'!A:H,6,FALSE)</f>
        <v>Purple</v>
      </c>
      <c r="G257" s="16">
        <f>VLOOKUP($A257,'SurveyRpt_20150223 (1)'!$A$34:$AN$735,6,FALSE)</f>
        <v>8</v>
      </c>
      <c r="H257" s="16" t="str">
        <f>VLOOKUP($A257,'SurveyRpt_20150223 (1)'!$A$34:$AN$735,8,FALSE)</f>
        <v>Yes</v>
      </c>
      <c r="I257" s="16" t="str">
        <f>VLOOKUP($A257,'SurveyRpt_20150223 (1)'!$A$34:$AN$735,10,FALSE)</f>
        <v>No</v>
      </c>
      <c r="J257" s="16" t="str">
        <f>VLOOKUP($A257,'SurveyRpt_20150223 (1)'!$A$34:$AN$735,12,FALSE)</f>
        <v>No</v>
      </c>
      <c r="K257" s="16" t="str">
        <f>VLOOKUP($A257,'SurveyRpt_20150223 (1)'!$A$34:$AN$735,14,FALSE)</f>
        <v>No</v>
      </c>
      <c r="L257" s="16" t="str">
        <f>VLOOKUP($A257,'SurveyRpt_20150223 (1)'!$A$34:$AN$735,16,FALSE)</f>
        <v>Yes</v>
      </c>
      <c r="M257" s="16" t="str">
        <f>VLOOKUP($A257,'SurveyRpt_20150223 (1)'!$A$34:$AN$735,18,FALSE)</f>
        <v>Yes</v>
      </c>
      <c r="N257" s="16" t="str">
        <f>VLOOKUP($A257,'SurveyRpt_20150223 (1)'!$A$34:$AN$735,20,FALSE)</f>
        <v>Yes</v>
      </c>
      <c r="O257" s="16" t="str">
        <f>VLOOKUP($A257,'SurveyRpt_20150223 (1)'!$A$34:$AN$735,22,FALSE)</f>
        <v>Yes</v>
      </c>
      <c r="P257" s="16" t="str">
        <f>VLOOKUP($A257,'SurveyRpt_20150223 (1)'!$A$34:$AN$735,24,FALSE)</f>
        <v>No</v>
      </c>
      <c r="Q257" s="16" t="str">
        <f>VLOOKUP($A257,'SurveyRpt_20150223 (1)'!$A$34:$AN$735,26,FALSE)</f>
        <v>No</v>
      </c>
      <c r="R257" s="16" t="str">
        <f>VLOOKUP($A257,'SurveyRpt_20150223 (1)'!$A$34:$AN$735,28,FALSE)</f>
        <v>No</v>
      </c>
      <c r="S257" s="16" t="str">
        <f>VLOOKUP($A257,'SurveyRpt_20150223 (1)'!$A$34:$AN$735,30,FALSE)</f>
        <v>Yes</v>
      </c>
      <c r="T257" s="16" t="str">
        <f>VLOOKUP($A257,'SurveyRpt_20150223 (1)'!$A$34:$AN$735,32,FALSE)</f>
        <v>Yes</v>
      </c>
      <c r="U257" s="16" t="str">
        <f>VLOOKUP($A257,'SurveyRpt_20150223 (1)'!$A$34:$AN$735,34,FALSE)</f>
        <v>Yes</v>
      </c>
      <c r="V257" s="16" t="str">
        <f>VLOOKUP($A257,'SurveyRpt_20150223 (1)'!$A$34:$AN$735,36,FALSE)</f>
        <v>No</v>
      </c>
      <c r="W257" s="16" t="str">
        <f>VLOOKUP($A257,'SurveyRpt_20150223 (1)'!$A$34:$AN$735,38,FALSE)</f>
        <v>No</v>
      </c>
    </row>
    <row r="258" spans="1:23" ht="13.5" customHeight="1" x14ac:dyDescent="0.25">
      <c r="A258" s="19" t="s">
        <v>351</v>
      </c>
      <c r="B258" s="19" t="str">
        <f t="shared" si="3"/>
        <v>SHEMASKUMAR</v>
      </c>
      <c r="C258" s="16" t="str">
        <f>VLOOKUP(B258,'Compiled Agents'!A:H,2,FALSE)</f>
        <v>Platform</v>
      </c>
      <c r="D258" s="16" t="str">
        <f>VLOOKUP(B258,'Compiled Agents'!A:H,4,FALSE)</f>
        <v>Hyderabad</v>
      </c>
      <c r="E258" s="16" t="str">
        <f>VLOOKUP(B258,'Compiled Agents'!A:H,5,FALSE)</f>
        <v>Wave1</v>
      </c>
      <c r="F258" s="16" t="str">
        <f>VLOOKUP(B258,'Compiled Agents'!A:H,6,FALSE)</f>
        <v>Orange</v>
      </c>
      <c r="G258" s="16">
        <f>VLOOKUP($A258,'SurveyRpt_20150223 (1)'!$A$34:$AN$735,6,FALSE)</f>
        <v>16</v>
      </c>
      <c r="H258" s="16" t="str">
        <f>VLOOKUP($A258,'SurveyRpt_20150223 (1)'!$A$34:$AN$735,8,FALSE)</f>
        <v>Yes</v>
      </c>
      <c r="I258" s="16" t="str">
        <f>VLOOKUP($A258,'SurveyRpt_20150223 (1)'!$A$34:$AN$735,10,FALSE)</f>
        <v>Yes</v>
      </c>
      <c r="J258" s="16" t="str">
        <f>VLOOKUP($A258,'SurveyRpt_20150223 (1)'!$A$34:$AN$735,12,FALSE)</f>
        <v>Yes</v>
      </c>
      <c r="K258" s="16" t="str">
        <f>VLOOKUP($A258,'SurveyRpt_20150223 (1)'!$A$34:$AN$735,14,FALSE)</f>
        <v>Yes</v>
      </c>
      <c r="L258" s="16" t="str">
        <f>VLOOKUP($A258,'SurveyRpt_20150223 (1)'!$A$34:$AN$735,16,FALSE)</f>
        <v>Yes</v>
      </c>
      <c r="M258" s="16" t="str">
        <f>VLOOKUP($A258,'SurveyRpt_20150223 (1)'!$A$34:$AN$735,18,FALSE)</f>
        <v>Yes</v>
      </c>
      <c r="N258" s="16" t="str">
        <f>VLOOKUP($A258,'SurveyRpt_20150223 (1)'!$A$34:$AN$735,20,FALSE)</f>
        <v>Yes</v>
      </c>
      <c r="O258" s="16" t="str">
        <f>VLOOKUP($A258,'SurveyRpt_20150223 (1)'!$A$34:$AN$735,22,FALSE)</f>
        <v>Yes</v>
      </c>
      <c r="P258" s="16" t="str">
        <f>VLOOKUP($A258,'SurveyRpt_20150223 (1)'!$A$34:$AN$735,24,FALSE)</f>
        <v>Yes</v>
      </c>
      <c r="Q258" s="16" t="str">
        <f>VLOOKUP($A258,'SurveyRpt_20150223 (1)'!$A$34:$AN$735,26,FALSE)</f>
        <v>Yes</v>
      </c>
      <c r="R258" s="16" t="str">
        <f>VLOOKUP($A258,'SurveyRpt_20150223 (1)'!$A$34:$AN$735,28,FALSE)</f>
        <v>Yes</v>
      </c>
      <c r="S258" s="16" t="str">
        <f>VLOOKUP($A258,'SurveyRpt_20150223 (1)'!$A$34:$AN$735,30,FALSE)</f>
        <v>Yes</v>
      </c>
      <c r="T258" s="16" t="str">
        <f>VLOOKUP($A258,'SurveyRpt_20150223 (1)'!$A$34:$AN$735,32,FALSE)</f>
        <v>Yes</v>
      </c>
      <c r="U258" s="16" t="str">
        <f>VLOOKUP($A258,'SurveyRpt_20150223 (1)'!$A$34:$AN$735,34,FALSE)</f>
        <v>Yes</v>
      </c>
      <c r="V258" s="16" t="str">
        <f>VLOOKUP($A258,'SurveyRpt_20150223 (1)'!$A$34:$AN$735,36,FALSE)</f>
        <v>Yes</v>
      </c>
      <c r="W258" s="16" t="str">
        <f>VLOOKUP($A258,'SurveyRpt_20150223 (1)'!$A$34:$AN$735,38,FALSE)</f>
        <v>Yes</v>
      </c>
    </row>
    <row r="259" spans="1:23" ht="13.5" customHeight="1" x14ac:dyDescent="0.25">
      <c r="A259" s="19" t="s">
        <v>352</v>
      </c>
      <c r="B259" s="19" t="str">
        <f t="shared" ref="B259:B322" si="4">TRIM(LEFT(A259,FIND("@",A259)-1))</f>
        <v>KDUTTA2</v>
      </c>
      <c r="C259" s="16" t="str">
        <f>VLOOKUP(B259,'Compiled Agents'!A:H,2,FALSE)</f>
        <v>Workplace</v>
      </c>
      <c r="D259" s="16" t="str">
        <f>VLOOKUP(B259,'Compiled Agents'!A:H,4,FALSE)</f>
        <v>Noida</v>
      </c>
      <c r="E259" s="16" t="str">
        <f>VLOOKUP(B259,'Compiled Agents'!A:H,5,FALSE)</f>
        <v>Wave1</v>
      </c>
      <c r="F259" s="16" t="str">
        <f>VLOOKUP(B259,'Compiled Agents'!A:H,6,FALSE)</f>
        <v>Purple</v>
      </c>
      <c r="G259" s="16">
        <f>VLOOKUP($A259,'SurveyRpt_20150223 (1)'!$A$34:$AN$735,6,FALSE)</f>
        <v>5</v>
      </c>
      <c r="H259" s="16" t="str">
        <f>VLOOKUP($A259,'SurveyRpt_20150223 (1)'!$A$34:$AN$735,8,FALSE)</f>
        <v>No</v>
      </c>
      <c r="I259" s="16" t="str">
        <f>VLOOKUP($A259,'SurveyRpt_20150223 (1)'!$A$34:$AN$735,10,FALSE)</f>
        <v>No</v>
      </c>
      <c r="J259" s="16" t="str">
        <f>VLOOKUP($A259,'SurveyRpt_20150223 (1)'!$A$34:$AN$735,12,FALSE)</f>
        <v>Yes</v>
      </c>
      <c r="K259" s="16" t="str">
        <f>VLOOKUP($A259,'SurveyRpt_20150223 (1)'!$A$34:$AN$735,14,FALSE)</f>
        <v>No</v>
      </c>
      <c r="L259" s="16" t="str">
        <f>VLOOKUP($A259,'SurveyRpt_20150223 (1)'!$A$34:$AN$735,16,FALSE)</f>
        <v>No</v>
      </c>
      <c r="M259" s="16" t="str">
        <f>VLOOKUP($A259,'SurveyRpt_20150223 (1)'!$A$34:$AN$735,18,FALSE)</f>
        <v>Yes</v>
      </c>
      <c r="N259" s="16" t="str">
        <f>VLOOKUP($A259,'SurveyRpt_20150223 (1)'!$A$34:$AN$735,20,FALSE)</f>
        <v>No</v>
      </c>
      <c r="O259" s="16" t="str">
        <f>VLOOKUP($A259,'SurveyRpt_20150223 (1)'!$A$34:$AN$735,22,FALSE)</f>
        <v>No</v>
      </c>
      <c r="P259" s="16" t="str">
        <f>VLOOKUP($A259,'SurveyRpt_20150223 (1)'!$A$34:$AN$735,24,FALSE)</f>
        <v>Yes</v>
      </c>
      <c r="Q259" s="16" t="str">
        <f>VLOOKUP($A259,'SurveyRpt_20150223 (1)'!$A$34:$AN$735,26,FALSE)</f>
        <v>Yes</v>
      </c>
      <c r="R259" s="16" t="str">
        <f>VLOOKUP($A259,'SurveyRpt_20150223 (1)'!$A$34:$AN$735,28,FALSE)</f>
        <v>Yes</v>
      </c>
      <c r="S259" s="16" t="str">
        <f>VLOOKUP($A259,'SurveyRpt_20150223 (1)'!$A$34:$AN$735,30,FALSE)</f>
        <v>No</v>
      </c>
      <c r="T259" s="16" t="str">
        <f>VLOOKUP($A259,'SurveyRpt_20150223 (1)'!$A$34:$AN$735,32,FALSE)</f>
        <v>No</v>
      </c>
      <c r="U259" s="16" t="str">
        <f>VLOOKUP($A259,'SurveyRpt_20150223 (1)'!$A$34:$AN$735,34,FALSE)</f>
        <v>No</v>
      </c>
      <c r="V259" s="16" t="str">
        <f>VLOOKUP($A259,'SurveyRpt_20150223 (1)'!$A$34:$AN$735,36,FALSE)</f>
        <v>No</v>
      </c>
      <c r="W259" s="16" t="str">
        <f>VLOOKUP($A259,'SurveyRpt_20150223 (1)'!$A$34:$AN$735,38,FALSE)</f>
        <v>No</v>
      </c>
    </row>
    <row r="260" spans="1:23" ht="13.5" customHeight="1" x14ac:dyDescent="0.25">
      <c r="A260" s="19" t="s">
        <v>353</v>
      </c>
      <c r="B260" s="19" t="str">
        <f t="shared" si="4"/>
        <v>thiltmann</v>
      </c>
      <c r="C260" s="16" t="str">
        <f>VLOOKUP(B260,'Compiled Agents'!A:H,2,FALSE)</f>
        <v>Platform</v>
      </c>
      <c r="D260" s="16" t="str">
        <f>VLOOKUP(B260,'Compiled Agents'!A:H,4,FALSE)</f>
        <v>Spain</v>
      </c>
      <c r="E260" s="16" t="str">
        <f>VLOOKUP(B260,'Compiled Agents'!A:H,5,FALSE)</f>
        <v>Wave1</v>
      </c>
      <c r="F260" s="16" t="str">
        <f>VLOOKUP(B260,'Compiled Agents'!A:H,6,FALSE)</f>
        <v>Blue</v>
      </c>
      <c r="G260" s="16">
        <f>VLOOKUP($A260,'SurveyRpt_20150223 (1)'!$A$34:$AN$735,6,FALSE)</f>
        <v>8</v>
      </c>
      <c r="H260" s="16" t="str">
        <f>VLOOKUP($A260,'SurveyRpt_20150223 (1)'!$A$34:$AN$735,8,FALSE)</f>
        <v>Yes</v>
      </c>
      <c r="I260" s="16" t="str">
        <f>VLOOKUP($A260,'SurveyRpt_20150223 (1)'!$A$34:$AN$735,10,FALSE)</f>
        <v>Yes</v>
      </c>
      <c r="J260" s="16" t="str">
        <f>VLOOKUP($A260,'SurveyRpt_20150223 (1)'!$A$34:$AN$735,12,FALSE)</f>
        <v>No</v>
      </c>
      <c r="K260" s="16" t="str">
        <f>VLOOKUP($A260,'SurveyRpt_20150223 (1)'!$A$34:$AN$735,14,FALSE)</f>
        <v>No</v>
      </c>
      <c r="L260" s="16" t="str">
        <f>VLOOKUP($A260,'SurveyRpt_20150223 (1)'!$A$34:$AN$735,16,FALSE)</f>
        <v>No</v>
      </c>
      <c r="M260" s="16" t="str">
        <f>VLOOKUP($A260,'SurveyRpt_20150223 (1)'!$A$34:$AN$735,18,FALSE)</f>
        <v>Yes</v>
      </c>
      <c r="N260" s="16" t="str">
        <f>VLOOKUP($A260,'SurveyRpt_20150223 (1)'!$A$34:$AN$735,20,FALSE)</f>
        <v>Yes</v>
      </c>
      <c r="O260" s="16" t="str">
        <f>VLOOKUP($A260,'SurveyRpt_20150223 (1)'!$A$34:$AN$735,22,FALSE)</f>
        <v>Yes</v>
      </c>
      <c r="P260" s="16" t="str">
        <f>VLOOKUP($A260,'SurveyRpt_20150223 (1)'!$A$34:$AN$735,24,FALSE)</f>
        <v>No</v>
      </c>
      <c r="Q260" s="16" t="str">
        <f>VLOOKUP($A260,'SurveyRpt_20150223 (1)'!$A$34:$AN$735,26,FALSE)</f>
        <v>Yes</v>
      </c>
      <c r="R260" s="16" t="str">
        <f>VLOOKUP($A260,'SurveyRpt_20150223 (1)'!$A$34:$AN$735,28,FALSE)</f>
        <v>Yes</v>
      </c>
      <c r="S260" s="16" t="str">
        <f>VLOOKUP($A260,'SurveyRpt_20150223 (1)'!$A$34:$AN$735,30,FALSE)</f>
        <v>Yes</v>
      </c>
      <c r="T260" s="16" t="str">
        <f>VLOOKUP($A260,'SurveyRpt_20150223 (1)'!$A$34:$AN$735,32,FALSE)</f>
        <v>No</v>
      </c>
      <c r="U260" s="16" t="str">
        <f>VLOOKUP($A260,'SurveyRpt_20150223 (1)'!$A$34:$AN$735,34,FALSE)</f>
        <v>No</v>
      </c>
      <c r="V260" s="16" t="str">
        <f>VLOOKUP($A260,'SurveyRpt_20150223 (1)'!$A$34:$AN$735,36,FALSE)</f>
        <v>No</v>
      </c>
      <c r="W260" s="16" t="str">
        <f>VLOOKUP($A260,'SurveyRpt_20150223 (1)'!$A$34:$AN$735,38,FALSE)</f>
        <v>No</v>
      </c>
    </row>
    <row r="261" spans="1:23" ht="13.5" customHeight="1" x14ac:dyDescent="0.25">
      <c r="A261" s="19" t="s">
        <v>354</v>
      </c>
      <c r="B261" s="19" t="str">
        <f t="shared" si="4"/>
        <v>alaamccrory</v>
      </c>
      <c r="C261" s="16" t="str">
        <f>VLOOKUP(B261,'Compiled Agents'!A:H,2,FALSE)</f>
        <v>Platform</v>
      </c>
      <c r="D261" s="16" t="str">
        <f>VLOOKUP(B261,'Compiled Agents'!A:H,4,FALSE)</f>
        <v>Spain</v>
      </c>
      <c r="E261" s="16" t="str">
        <f>VLOOKUP(B261,'Compiled Agents'!A:H,5,FALSE)</f>
        <v>Wave1</v>
      </c>
      <c r="F261" s="16" t="str">
        <f>VLOOKUP(B261,'Compiled Agents'!A:H,6,FALSE)</f>
        <v>Purple</v>
      </c>
      <c r="G261" s="16">
        <f>VLOOKUP($A261,'SurveyRpt_20150223 (1)'!$A$34:$AN$735,6,FALSE)</f>
        <v>12</v>
      </c>
      <c r="H261" s="16" t="str">
        <f>VLOOKUP($A261,'SurveyRpt_20150223 (1)'!$A$34:$AN$735,8,FALSE)</f>
        <v>Yes</v>
      </c>
      <c r="I261" s="16" t="str">
        <f>VLOOKUP($A261,'SurveyRpt_20150223 (1)'!$A$34:$AN$735,10,FALSE)</f>
        <v>Yes</v>
      </c>
      <c r="J261" s="16" t="str">
        <f>VLOOKUP($A261,'SurveyRpt_20150223 (1)'!$A$34:$AN$735,12,FALSE)</f>
        <v>Yes</v>
      </c>
      <c r="K261" s="16" t="str">
        <f>VLOOKUP($A261,'SurveyRpt_20150223 (1)'!$A$34:$AN$735,14,FALSE)</f>
        <v>No</v>
      </c>
      <c r="L261" s="16" t="str">
        <f>VLOOKUP($A261,'SurveyRpt_20150223 (1)'!$A$34:$AN$735,16,FALSE)</f>
        <v>Yes</v>
      </c>
      <c r="M261" s="16" t="str">
        <f>VLOOKUP($A261,'SurveyRpt_20150223 (1)'!$A$34:$AN$735,18,FALSE)</f>
        <v>Yes</v>
      </c>
      <c r="N261" s="16" t="str">
        <f>VLOOKUP($A261,'SurveyRpt_20150223 (1)'!$A$34:$AN$735,20,FALSE)</f>
        <v>Yes</v>
      </c>
      <c r="O261" s="16" t="str">
        <f>VLOOKUP($A261,'SurveyRpt_20150223 (1)'!$A$34:$AN$735,22,FALSE)</f>
        <v>Yes</v>
      </c>
      <c r="P261" s="16" t="str">
        <f>VLOOKUP($A261,'SurveyRpt_20150223 (1)'!$A$34:$AN$735,24,FALSE)</f>
        <v>No</v>
      </c>
      <c r="Q261" s="16" t="str">
        <f>VLOOKUP($A261,'SurveyRpt_20150223 (1)'!$A$34:$AN$735,26,FALSE)</f>
        <v>Yes</v>
      </c>
      <c r="R261" s="16" t="str">
        <f>VLOOKUP($A261,'SurveyRpt_20150223 (1)'!$A$34:$AN$735,28,FALSE)</f>
        <v>Yes</v>
      </c>
      <c r="S261" s="16" t="str">
        <f>VLOOKUP($A261,'SurveyRpt_20150223 (1)'!$A$34:$AN$735,30,FALSE)</f>
        <v>Yes</v>
      </c>
      <c r="T261" s="16" t="str">
        <f>VLOOKUP($A261,'SurveyRpt_20150223 (1)'!$A$34:$AN$735,32,FALSE)</f>
        <v>No</v>
      </c>
      <c r="U261" s="16" t="str">
        <f>VLOOKUP($A261,'SurveyRpt_20150223 (1)'!$A$34:$AN$735,34,FALSE)</f>
        <v>Yes</v>
      </c>
      <c r="V261" s="16" t="str">
        <f>VLOOKUP($A261,'SurveyRpt_20150223 (1)'!$A$34:$AN$735,36,FALSE)</f>
        <v>Yes</v>
      </c>
      <c r="W261" s="16" t="str">
        <f>VLOOKUP($A261,'SurveyRpt_20150223 (1)'!$A$34:$AN$735,38,FALSE)</f>
        <v>No</v>
      </c>
    </row>
    <row r="262" spans="1:23" ht="13.5" customHeight="1" x14ac:dyDescent="0.25">
      <c r="A262" s="19" t="s">
        <v>355</v>
      </c>
      <c r="B262" s="19" t="str">
        <f t="shared" si="4"/>
        <v>SCHIPPADA2</v>
      </c>
      <c r="C262" s="16" t="str">
        <f>VLOOKUP(B262,'Compiled Agents'!A:H,2,FALSE)</f>
        <v>Platform</v>
      </c>
      <c r="D262" s="16" t="str">
        <f>VLOOKUP(B262,'Compiled Agents'!A:H,4,FALSE)</f>
        <v>Noida</v>
      </c>
      <c r="E262" s="16" t="str">
        <f>VLOOKUP(B262,'Compiled Agents'!A:H,5,FALSE)</f>
        <v>Wave1</v>
      </c>
      <c r="F262" s="16" t="str">
        <f>VLOOKUP(B262,'Compiled Agents'!A:H,6,FALSE)</f>
        <v>Yellow</v>
      </c>
      <c r="G262" s="16">
        <f>VLOOKUP($A262,'SurveyRpt_20150223 (1)'!$A$34:$AN$735,6,FALSE)</f>
        <v>16</v>
      </c>
      <c r="H262" s="16" t="str">
        <f>VLOOKUP($A262,'SurveyRpt_20150223 (1)'!$A$34:$AN$735,8,FALSE)</f>
        <v>Yes</v>
      </c>
      <c r="I262" s="16" t="str">
        <f>VLOOKUP($A262,'SurveyRpt_20150223 (1)'!$A$34:$AN$735,10,FALSE)</f>
        <v>Yes</v>
      </c>
      <c r="J262" s="16" t="str">
        <f>VLOOKUP($A262,'SurveyRpt_20150223 (1)'!$A$34:$AN$735,12,FALSE)</f>
        <v>Yes</v>
      </c>
      <c r="K262" s="16" t="str">
        <f>VLOOKUP($A262,'SurveyRpt_20150223 (1)'!$A$34:$AN$735,14,FALSE)</f>
        <v>Yes</v>
      </c>
      <c r="L262" s="16" t="str">
        <f>VLOOKUP($A262,'SurveyRpt_20150223 (1)'!$A$34:$AN$735,16,FALSE)</f>
        <v>Yes</v>
      </c>
      <c r="M262" s="16" t="str">
        <f>VLOOKUP($A262,'SurveyRpt_20150223 (1)'!$A$34:$AN$735,18,FALSE)</f>
        <v>Yes</v>
      </c>
      <c r="N262" s="16" t="str">
        <f>VLOOKUP($A262,'SurveyRpt_20150223 (1)'!$A$34:$AN$735,20,FALSE)</f>
        <v>Yes</v>
      </c>
      <c r="O262" s="16" t="str">
        <f>VLOOKUP($A262,'SurveyRpt_20150223 (1)'!$A$34:$AN$735,22,FALSE)</f>
        <v>Yes</v>
      </c>
      <c r="P262" s="16" t="str">
        <f>VLOOKUP($A262,'SurveyRpt_20150223 (1)'!$A$34:$AN$735,24,FALSE)</f>
        <v>Yes</v>
      </c>
      <c r="Q262" s="16" t="str">
        <f>VLOOKUP($A262,'SurveyRpt_20150223 (1)'!$A$34:$AN$735,26,FALSE)</f>
        <v>Yes</v>
      </c>
      <c r="R262" s="16" t="str">
        <f>VLOOKUP($A262,'SurveyRpt_20150223 (1)'!$A$34:$AN$735,28,FALSE)</f>
        <v>Yes</v>
      </c>
      <c r="S262" s="16" t="str">
        <f>VLOOKUP($A262,'SurveyRpt_20150223 (1)'!$A$34:$AN$735,30,FALSE)</f>
        <v>Yes</v>
      </c>
      <c r="T262" s="16" t="str">
        <f>VLOOKUP($A262,'SurveyRpt_20150223 (1)'!$A$34:$AN$735,32,FALSE)</f>
        <v>Yes</v>
      </c>
      <c r="U262" s="16" t="str">
        <f>VLOOKUP($A262,'SurveyRpt_20150223 (1)'!$A$34:$AN$735,34,FALSE)</f>
        <v>Yes</v>
      </c>
      <c r="V262" s="16" t="str">
        <f>VLOOKUP($A262,'SurveyRpt_20150223 (1)'!$A$34:$AN$735,36,FALSE)</f>
        <v>Yes</v>
      </c>
      <c r="W262" s="16" t="str">
        <f>VLOOKUP($A262,'SurveyRpt_20150223 (1)'!$A$34:$AN$735,38,FALSE)</f>
        <v>Yes</v>
      </c>
    </row>
    <row r="263" spans="1:23" ht="13.5" customHeight="1" x14ac:dyDescent="0.25">
      <c r="A263" s="19" t="s">
        <v>356</v>
      </c>
      <c r="B263" s="19" t="str">
        <f t="shared" si="4"/>
        <v>SBHOWMICK</v>
      </c>
      <c r="C263" s="16" t="str">
        <f>VLOOKUP(B263,'Compiled Agents'!A:H,2,FALSE)</f>
        <v>Platform</v>
      </c>
      <c r="D263" s="16" t="str">
        <f>VLOOKUP(B263,'Compiled Agents'!A:H,4,FALSE)</f>
        <v>Noida</v>
      </c>
      <c r="E263" s="16" t="str">
        <f>VLOOKUP(B263,'Compiled Agents'!A:H,5,FALSE)</f>
        <v>Wave2</v>
      </c>
      <c r="F263" s="16" t="str">
        <f>VLOOKUP(B263,'Compiled Agents'!A:H,6,FALSE)</f>
        <v>Orange</v>
      </c>
      <c r="G263" s="16">
        <f>VLOOKUP($A263,'SurveyRpt_20150223 (1)'!$A$34:$AN$735,6,FALSE)</f>
        <v>12</v>
      </c>
      <c r="H263" s="16" t="str">
        <f>VLOOKUP($A263,'SurveyRpt_20150223 (1)'!$A$34:$AN$735,8,FALSE)</f>
        <v>Yes</v>
      </c>
      <c r="I263" s="16" t="str">
        <f>VLOOKUP($A263,'SurveyRpt_20150223 (1)'!$A$34:$AN$735,10,FALSE)</f>
        <v>No</v>
      </c>
      <c r="J263" s="16" t="str">
        <f>VLOOKUP($A263,'SurveyRpt_20150223 (1)'!$A$34:$AN$735,12,FALSE)</f>
        <v>Yes</v>
      </c>
      <c r="K263" s="16" t="str">
        <f>VLOOKUP($A263,'SurveyRpt_20150223 (1)'!$A$34:$AN$735,14,FALSE)</f>
        <v>Yes</v>
      </c>
      <c r="L263" s="16" t="str">
        <f>VLOOKUP($A263,'SurveyRpt_20150223 (1)'!$A$34:$AN$735,16,FALSE)</f>
        <v>No</v>
      </c>
      <c r="M263" s="16" t="str">
        <f>VLOOKUP($A263,'SurveyRpt_20150223 (1)'!$A$34:$AN$735,18,FALSE)</f>
        <v>Yes</v>
      </c>
      <c r="N263" s="16" t="str">
        <f>VLOOKUP($A263,'SurveyRpt_20150223 (1)'!$A$34:$AN$735,20,FALSE)</f>
        <v>No</v>
      </c>
      <c r="O263" s="16" t="str">
        <f>VLOOKUP($A263,'SurveyRpt_20150223 (1)'!$A$34:$AN$735,22,FALSE)</f>
        <v>Yes</v>
      </c>
      <c r="P263" s="16" t="str">
        <f>VLOOKUP($A263,'SurveyRpt_20150223 (1)'!$A$34:$AN$735,24,FALSE)</f>
        <v>Yes</v>
      </c>
      <c r="Q263" s="16" t="str">
        <f>VLOOKUP($A263,'SurveyRpt_20150223 (1)'!$A$34:$AN$735,26,FALSE)</f>
        <v>Yes</v>
      </c>
      <c r="R263" s="16" t="str">
        <f>VLOOKUP($A263,'SurveyRpt_20150223 (1)'!$A$34:$AN$735,28,FALSE)</f>
        <v>Yes</v>
      </c>
      <c r="S263" s="16" t="str">
        <f>VLOOKUP($A263,'SurveyRpt_20150223 (1)'!$A$34:$AN$735,30,FALSE)</f>
        <v>Yes</v>
      </c>
      <c r="T263" s="16" t="str">
        <f>VLOOKUP($A263,'SurveyRpt_20150223 (1)'!$A$34:$AN$735,32,FALSE)</f>
        <v>Yes</v>
      </c>
      <c r="U263" s="16" t="str">
        <f>VLOOKUP($A263,'SurveyRpt_20150223 (1)'!$A$34:$AN$735,34,FALSE)</f>
        <v>Yes</v>
      </c>
      <c r="V263" s="16" t="str">
        <f>VLOOKUP($A263,'SurveyRpt_20150223 (1)'!$A$34:$AN$735,36,FALSE)</f>
        <v>Yes</v>
      </c>
      <c r="W263" s="16" t="str">
        <f>VLOOKUP($A263,'SurveyRpt_20150223 (1)'!$A$34:$AN$735,38,FALSE)</f>
        <v>No</v>
      </c>
    </row>
    <row r="264" spans="1:23" ht="13.5" customHeight="1" x14ac:dyDescent="0.25">
      <c r="A264" s="19" t="s">
        <v>357</v>
      </c>
      <c r="B264" s="19" t="str">
        <f t="shared" si="4"/>
        <v>FKHAN7</v>
      </c>
      <c r="C264" s="16" t="str">
        <f>VLOOKUP(B264,'Compiled Agents'!A:H,2,FALSE)</f>
        <v>Workplace</v>
      </c>
      <c r="D264" s="16" t="str">
        <f>VLOOKUP(B264,'Compiled Agents'!A:H,4,FALSE)</f>
        <v>Noida</v>
      </c>
      <c r="E264" s="16" t="str">
        <f>VLOOKUP(B264,'Compiled Agents'!A:H,5,FALSE)</f>
        <v>Wave1</v>
      </c>
      <c r="F264" s="16" t="str">
        <f>VLOOKUP(B264,'Compiled Agents'!A:H,6,FALSE)</f>
        <v>Purple</v>
      </c>
      <c r="G264" s="16">
        <f>VLOOKUP($A264,'SurveyRpt_20150223 (1)'!$A$34:$AN$735,6,FALSE)</f>
        <v>9</v>
      </c>
      <c r="H264" s="16" t="str">
        <f>VLOOKUP($A264,'SurveyRpt_20150223 (1)'!$A$34:$AN$735,8,FALSE)</f>
        <v>Yes</v>
      </c>
      <c r="I264" s="16" t="str">
        <f>VLOOKUP($A264,'SurveyRpt_20150223 (1)'!$A$34:$AN$735,10,FALSE)</f>
        <v>Yes</v>
      </c>
      <c r="J264" s="16" t="str">
        <f>VLOOKUP($A264,'SurveyRpt_20150223 (1)'!$A$34:$AN$735,12,FALSE)</f>
        <v>Yes</v>
      </c>
      <c r="K264" s="16" t="str">
        <f>VLOOKUP($A264,'SurveyRpt_20150223 (1)'!$A$34:$AN$735,14,FALSE)</f>
        <v>No</v>
      </c>
      <c r="L264" s="16" t="str">
        <f>VLOOKUP($A264,'SurveyRpt_20150223 (1)'!$A$34:$AN$735,16,FALSE)</f>
        <v>No</v>
      </c>
      <c r="M264" s="16" t="str">
        <f>VLOOKUP($A264,'SurveyRpt_20150223 (1)'!$A$34:$AN$735,18,FALSE)</f>
        <v>Yes</v>
      </c>
      <c r="N264" s="16" t="str">
        <f>VLOOKUP($A264,'SurveyRpt_20150223 (1)'!$A$34:$AN$735,20,FALSE)</f>
        <v>No</v>
      </c>
      <c r="O264" s="16" t="str">
        <f>VLOOKUP($A264,'SurveyRpt_20150223 (1)'!$A$34:$AN$735,22,FALSE)</f>
        <v>No</v>
      </c>
      <c r="P264" s="16" t="str">
        <f>VLOOKUP($A264,'SurveyRpt_20150223 (1)'!$A$34:$AN$735,24,FALSE)</f>
        <v>Yes</v>
      </c>
      <c r="Q264" s="16" t="str">
        <f>VLOOKUP($A264,'SurveyRpt_20150223 (1)'!$A$34:$AN$735,26,FALSE)</f>
        <v>Yes</v>
      </c>
      <c r="R264" s="16" t="str">
        <f>VLOOKUP($A264,'SurveyRpt_20150223 (1)'!$A$34:$AN$735,28,FALSE)</f>
        <v>Yes</v>
      </c>
      <c r="S264" s="16" t="str">
        <f>VLOOKUP($A264,'SurveyRpt_20150223 (1)'!$A$34:$AN$735,30,FALSE)</f>
        <v>Yes</v>
      </c>
      <c r="T264" s="16" t="str">
        <f>VLOOKUP($A264,'SurveyRpt_20150223 (1)'!$A$34:$AN$735,32,FALSE)</f>
        <v>Yes</v>
      </c>
      <c r="U264" s="16" t="str">
        <f>VLOOKUP($A264,'SurveyRpt_20150223 (1)'!$A$34:$AN$735,34,FALSE)</f>
        <v>No</v>
      </c>
      <c r="V264" s="16" t="str">
        <f>VLOOKUP($A264,'SurveyRpt_20150223 (1)'!$A$34:$AN$735,36,FALSE)</f>
        <v>No</v>
      </c>
      <c r="W264" s="16" t="str">
        <f>VLOOKUP($A264,'SurveyRpt_20150223 (1)'!$A$34:$AN$735,38,FALSE)</f>
        <v>No</v>
      </c>
    </row>
    <row r="265" spans="1:23" ht="13.5" customHeight="1" x14ac:dyDescent="0.25">
      <c r="A265" s="19" t="s">
        <v>358</v>
      </c>
      <c r="B265" s="19" t="str">
        <f t="shared" si="4"/>
        <v>AMEHTA3</v>
      </c>
      <c r="C265" s="16" t="str">
        <f>VLOOKUP(B265,'Compiled Agents'!A:H,2,FALSE)</f>
        <v>Workplace</v>
      </c>
      <c r="D265" s="16" t="str">
        <f>VLOOKUP(B265,'Compiled Agents'!A:H,4,FALSE)</f>
        <v>Hyderabad</v>
      </c>
      <c r="E265" s="16" t="str">
        <f>VLOOKUP(B265,'Compiled Agents'!A:H,5,FALSE)</f>
        <v>Wave2</v>
      </c>
      <c r="F265" s="16" t="str">
        <f>VLOOKUP(B265,'Compiled Agents'!A:H,6,FALSE)</f>
        <v>Yellow</v>
      </c>
      <c r="G265" s="16">
        <f>VLOOKUP($A265,'SurveyRpt_20150223 (1)'!$A$34:$AN$735,6,FALSE)</f>
        <v>16</v>
      </c>
      <c r="H265" s="16" t="str">
        <f>VLOOKUP($A265,'SurveyRpt_20150223 (1)'!$A$34:$AN$735,8,FALSE)</f>
        <v>Yes</v>
      </c>
      <c r="I265" s="16" t="str">
        <f>VLOOKUP($A265,'SurveyRpt_20150223 (1)'!$A$34:$AN$735,10,FALSE)</f>
        <v>Yes</v>
      </c>
      <c r="J265" s="16" t="str">
        <f>VLOOKUP($A265,'SurveyRpt_20150223 (1)'!$A$34:$AN$735,12,FALSE)</f>
        <v>Yes</v>
      </c>
      <c r="K265" s="16" t="str">
        <f>VLOOKUP($A265,'SurveyRpt_20150223 (1)'!$A$34:$AN$735,14,FALSE)</f>
        <v>Yes</v>
      </c>
      <c r="L265" s="16" t="str">
        <f>VLOOKUP($A265,'SurveyRpt_20150223 (1)'!$A$34:$AN$735,16,FALSE)</f>
        <v>Yes</v>
      </c>
      <c r="M265" s="16" t="str">
        <f>VLOOKUP($A265,'SurveyRpt_20150223 (1)'!$A$34:$AN$735,18,FALSE)</f>
        <v>Yes</v>
      </c>
      <c r="N265" s="16" t="str">
        <f>VLOOKUP($A265,'SurveyRpt_20150223 (1)'!$A$34:$AN$735,20,FALSE)</f>
        <v>Yes</v>
      </c>
      <c r="O265" s="16" t="str">
        <f>VLOOKUP($A265,'SurveyRpt_20150223 (1)'!$A$34:$AN$735,22,FALSE)</f>
        <v>Yes</v>
      </c>
      <c r="P265" s="16" t="str">
        <f>VLOOKUP($A265,'SurveyRpt_20150223 (1)'!$A$34:$AN$735,24,FALSE)</f>
        <v>Yes</v>
      </c>
      <c r="Q265" s="16" t="str">
        <f>VLOOKUP($A265,'SurveyRpt_20150223 (1)'!$A$34:$AN$735,26,FALSE)</f>
        <v>Yes</v>
      </c>
      <c r="R265" s="16" t="str">
        <f>VLOOKUP($A265,'SurveyRpt_20150223 (1)'!$A$34:$AN$735,28,FALSE)</f>
        <v>Yes</v>
      </c>
      <c r="S265" s="16" t="str">
        <f>VLOOKUP($A265,'SurveyRpt_20150223 (1)'!$A$34:$AN$735,30,FALSE)</f>
        <v>Yes</v>
      </c>
      <c r="T265" s="16" t="str">
        <f>VLOOKUP($A265,'SurveyRpt_20150223 (1)'!$A$34:$AN$735,32,FALSE)</f>
        <v>Yes</v>
      </c>
      <c r="U265" s="16" t="str">
        <f>VLOOKUP($A265,'SurveyRpt_20150223 (1)'!$A$34:$AN$735,34,FALSE)</f>
        <v>Yes</v>
      </c>
      <c r="V265" s="16" t="str">
        <f>VLOOKUP($A265,'SurveyRpt_20150223 (1)'!$A$34:$AN$735,36,FALSE)</f>
        <v>Yes</v>
      </c>
      <c r="W265" s="16" t="str">
        <f>VLOOKUP($A265,'SurveyRpt_20150223 (1)'!$A$34:$AN$735,38,FALSE)</f>
        <v>Yes</v>
      </c>
    </row>
    <row r="266" spans="1:23" ht="13.5" customHeight="1" x14ac:dyDescent="0.25">
      <c r="A266" s="19" t="s">
        <v>359</v>
      </c>
      <c r="B266" s="19" t="str">
        <f t="shared" si="4"/>
        <v>mtoussaint</v>
      </c>
      <c r="C266" s="16" t="str">
        <f>VLOOKUP(B266,'Compiled Agents'!A:H,2,FALSE)</f>
        <v>Workplace</v>
      </c>
      <c r="D266" s="16" t="str">
        <f>VLOOKUP(B266,'Compiled Agents'!A:H,4,FALSE)</f>
        <v>Spain</v>
      </c>
      <c r="E266" s="16" t="str">
        <f>VLOOKUP(B266,'Compiled Agents'!A:H,5,FALSE)</f>
        <v>Wave1</v>
      </c>
      <c r="F266" s="16" t="str">
        <f>VLOOKUP(B266,'Compiled Agents'!A:H,6,FALSE)</f>
        <v>Blue</v>
      </c>
      <c r="G266" s="16">
        <f>VLOOKUP($A266,'SurveyRpt_20150223 (1)'!$A$34:$AN$735,6,FALSE)</f>
        <v>4</v>
      </c>
      <c r="H266" s="16" t="str">
        <f>VLOOKUP($A266,'SurveyRpt_20150223 (1)'!$A$34:$AN$735,8,FALSE)</f>
        <v>No</v>
      </c>
      <c r="I266" s="16" t="str">
        <f>VLOOKUP($A266,'SurveyRpt_20150223 (1)'!$A$34:$AN$735,10,FALSE)</f>
        <v>No</v>
      </c>
      <c r="J266" s="16" t="str">
        <f>VLOOKUP($A266,'SurveyRpt_20150223 (1)'!$A$34:$AN$735,12,FALSE)</f>
        <v>Yes</v>
      </c>
      <c r="K266" s="16" t="str">
        <f>VLOOKUP($A266,'SurveyRpt_20150223 (1)'!$A$34:$AN$735,14,FALSE)</f>
        <v>No</v>
      </c>
      <c r="L266" s="16" t="str">
        <f>VLOOKUP($A266,'SurveyRpt_20150223 (1)'!$A$34:$AN$735,16,FALSE)</f>
        <v>No</v>
      </c>
      <c r="M266" s="16" t="str">
        <f>VLOOKUP($A266,'SurveyRpt_20150223 (1)'!$A$34:$AN$735,18,FALSE)</f>
        <v>Yes</v>
      </c>
      <c r="N266" s="16" t="str">
        <f>VLOOKUP($A266,'SurveyRpt_20150223 (1)'!$A$34:$AN$735,20,FALSE)</f>
        <v>No</v>
      </c>
      <c r="O266" s="16" t="str">
        <f>VLOOKUP($A266,'SurveyRpt_20150223 (1)'!$A$34:$AN$735,22,FALSE)</f>
        <v>No</v>
      </c>
      <c r="P266" s="16" t="str">
        <f>VLOOKUP($A266,'SurveyRpt_20150223 (1)'!$A$34:$AN$735,24,FALSE)</f>
        <v>No</v>
      </c>
      <c r="Q266" s="16" t="str">
        <f>VLOOKUP($A266,'SurveyRpt_20150223 (1)'!$A$34:$AN$735,26,FALSE)</f>
        <v>No</v>
      </c>
      <c r="R266" s="16" t="str">
        <f>VLOOKUP($A266,'SurveyRpt_20150223 (1)'!$A$34:$AN$735,28,FALSE)</f>
        <v>No</v>
      </c>
      <c r="S266" s="16" t="str">
        <f>VLOOKUP($A266,'SurveyRpt_20150223 (1)'!$A$34:$AN$735,30,FALSE)</f>
        <v>Yes</v>
      </c>
      <c r="T266" s="16" t="str">
        <f>VLOOKUP($A266,'SurveyRpt_20150223 (1)'!$A$34:$AN$735,32,FALSE)</f>
        <v>No</v>
      </c>
      <c r="U266" s="16" t="str">
        <f>VLOOKUP($A266,'SurveyRpt_20150223 (1)'!$A$34:$AN$735,34,FALSE)</f>
        <v>No</v>
      </c>
      <c r="V266" s="16" t="str">
        <f>VLOOKUP($A266,'SurveyRpt_20150223 (1)'!$A$34:$AN$735,36,FALSE)</f>
        <v>Yes</v>
      </c>
      <c r="W266" s="16" t="str">
        <f>VLOOKUP($A266,'SurveyRpt_20150223 (1)'!$A$34:$AN$735,38,FALSE)</f>
        <v>No</v>
      </c>
    </row>
    <row r="267" spans="1:23" ht="13.5" customHeight="1" x14ac:dyDescent="0.25">
      <c r="A267" s="19" t="s">
        <v>360</v>
      </c>
      <c r="B267" s="19" t="str">
        <f t="shared" si="4"/>
        <v>ssilvamiguel</v>
      </c>
      <c r="C267" s="16" t="str">
        <f>VLOOKUP(B267,'Compiled Agents'!A:H,2,FALSE)</f>
        <v>Workplace</v>
      </c>
      <c r="D267" s="16" t="str">
        <f>VLOOKUP(B267,'Compiled Agents'!A:H,4,FALSE)</f>
        <v>Spain</v>
      </c>
      <c r="E267" s="16" t="str">
        <f>VLOOKUP(B267,'Compiled Agents'!A:H,5,FALSE)</f>
        <v>Wave1</v>
      </c>
      <c r="F267" s="16" t="str">
        <f>VLOOKUP(B267,'Compiled Agents'!A:H,6,FALSE)</f>
        <v>Blue</v>
      </c>
      <c r="G267" s="16">
        <f>VLOOKUP($A267,'SurveyRpt_20150223 (1)'!$A$34:$AN$735,6,FALSE)</f>
        <v>9</v>
      </c>
      <c r="H267" s="16" t="str">
        <f>VLOOKUP($A267,'SurveyRpt_20150223 (1)'!$A$34:$AN$735,8,FALSE)</f>
        <v>Yes</v>
      </c>
      <c r="I267" s="16" t="str">
        <f>VLOOKUP($A267,'SurveyRpt_20150223 (1)'!$A$34:$AN$735,10,FALSE)</f>
        <v>Yes</v>
      </c>
      <c r="J267" s="16" t="str">
        <f>VLOOKUP($A267,'SurveyRpt_20150223 (1)'!$A$34:$AN$735,12,FALSE)</f>
        <v>Yes</v>
      </c>
      <c r="K267" s="16" t="str">
        <f>VLOOKUP($A267,'SurveyRpt_20150223 (1)'!$A$34:$AN$735,14,FALSE)</f>
        <v>Yes</v>
      </c>
      <c r="L267" s="16" t="str">
        <f>VLOOKUP($A267,'SurveyRpt_20150223 (1)'!$A$34:$AN$735,16,FALSE)</f>
        <v>Yes</v>
      </c>
      <c r="M267" s="16" t="str">
        <f>VLOOKUP($A267,'SurveyRpt_20150223 (1)'!$A$34:$AN$735,18,FALSE)</f>
        <v>Yes</v>
      </c>
      <c r="N267" s="16" t="str">
        <f>VLOOKUP($A267,'SurveyRpt_20150223 (1)'!$A$34:$AN$735,20,FALSE)</f>
        <v>No</v>
      </c>
      <c r="O267" s="16" t="str">
        <f>VLOOKUP($A267,'SurveyRpt_20150223 (1)'!$A$34:$AN$735,22,FALSE)</f>
        <v>Yes</v>
      </c>
      <c r="P267" s="16" t="str">
        <f>VLOOKUP($A267,'SurveyRpt_20150223 (1)'!$A$34:$AN$735,24,FALSE)</f>
        <v>No</v>
      </c>
      <c r="Q267" s="16" t="str">
        <f>VLOOKUP($A267,'SurveyRpt_20150223 (1)'!$A$34:$AN$735,26,FALSE)</f>
        <v>No</v>
      </c>
      <c r="R267" s="16" t="str">
        <f>VLOOKUP($A267,'SurveyRpt_20150223 (1)'!$A$34:$AN$735,28,FALSE)</f>
        <v>Yes</v>
      </c>
      <c r="S267" s="16" t="str">
        <f>VLOOKUP($A267,'SurveyRpt_20150223 (1)'!$A$34:$AN$735,30,FALSE)</f>
        <v>No</v>
      </c>
      <c r="T267" s="16" t="str">
        <f>VLOOKUP($A267,'SurveyRpt_20150223 (1)'!$A$34:$AN$735,32,FALSE)</f>
        <v>No</v>
      </c>
      <c r="U267" s="16" t="str">
        <f>VLOOKUP($A267,'SurveyRpt_20150223 (1)'!$A$34:$AN$735,34,FALSE)</f>
        <v>No</v>
      </c>
      <c r="V267" s="16" t="str">
        <f>VLOOKUP($A267,'SurveyRpt_20150223 (1)'!$A$34:$AN$735,36,FALSE)</f>
        <v>Yes</v>
      </c>
      <c r="W267" s="16" t="str">
        <f>VLOOKUP($A267,'SurveyRpt_20150223 (1)'!$A$34:$AN$735,38,FALSE)</f>
        <v>No</v>
      </c>
    </row>
    <row r="268" spans="1:23" ht="13.5" customHeight="1" x14ac:dyDescent="0.25">
      <c r="A268" s="19" t="s">
        <v>361</v>
      </c>
      <c r="B268" s="19" t="str">
        <f t="shared" si="4"/>
        <v>SMANTHA</v>
      </c>
      <c r="C268" s="16" t="str">
        <f>VLOOKUP(B268,'Compiled Agents'!A:H,2,FALSE)</f>
        <v>Platform</v>
      </c>
      <c r="D268" s="16" t="str">
        <f>VLOOKUP(B268,'Compiled Agents'!A:H,4,FALSE)</f>
        <v>Hyderabad</v>
      </c>
      <c r="E268" s="16" t="str">
        <f>VLOOKUP(B268,'Compiled Agents'!A:H,5,FALSE)</f>
        <v>Wave1</v>
      </c>
      <c r="F268" s="16" t="str">
        <f>VLOOKUP(B268,'Compiled Agents'!A:H,6,FALSE)</f>
        <v>Purple</v>
      </c>
      <c r="G268" s="16">
        <f>VLOOKUP($A268,'SurveyRpt_20150223 (1)'!$A$34:$AN$735,6,FALSE)</f>
        <v>15</v>
      </c>
      <c r="H268" s="16" t="str">
        <f>VLOOKUP($A268,'SurveyRpt_20150223 (1)'!$A$34:$AN$735,8,FALSE)</f>
        <v>Yes</v>
      </c>
      <c r="I268" s="16" t="str">
        <f>VLOOKUP($A268,'SurveyRpt_20150223 (1)'!$A$34:$AN$735,10,FALSE)</f>
        <v>Yes</v>
      </c>
      <c r="J268" s="16" t="str">
        <f>VLOOKUP($A268,'SurveyRpt_20150223 (1)'!$A$34:$AN$735,12,FALSE)</f>
        <v>Yes</v>
      </c>
      <c r="K268" s="16" t="str">
        <f>VLOOKUP($A268,'SurveyRpt_20150223 (1)'!$A$34:$AN$735,14,FALSE)</f>
        <v>Yes</v>
      </c>
      <c r="L268" s="16" t="str">
        <f>VLOOKUP($A268,'SurveyRpt_20150223 (1)'!$A$34:$AN$735,16,FALSE)</f>
        <v>Yes</v>
      </c>
      <c r="M268" s="16" t="str">
        <f>VLOOKUP($A268,'SurveyRpt_20150223 (1)'!$A$34:$AN$735,18,FALSE)</f>
        <v>Yes</v>
      </c>
      <c r="N268" s="16" t="str">
        <f>VLOOKUP($A268,'SurveyRpt_20150223 (1)'!$A$34:$AN$735,20,FALSE)</f>
        <v>Yes</v>
      </c>
      <c r="O268" s="16" t="str">
        <f>VLOOKUP($A268,'SurveyRpt_20150223 (1)'!$A$34:$AN$735,22,FALSE)</f>
        <v>Yes</v>
      </c>
      <c r="P268" s="16" t="str">
        <f>VLOOKUP($A268,'SurveyRpt_20150223 (1)'!$A$34:$AN$735,24,FALSE)</f>
        <v>Yes</v>
      </c>
      <c r="Q268" s="16" t="str">
        <f>VLOOKUP($A268,'SurveyRpt_20150223 (1)'!$A$34:$AN$735,26,FALSE)</f>
        <v>Yes</v>
      </c>
      <c r="R268" s="16" t="str">
        <f>VLOOKUP($A268,'SurveyRpt_20150223 (1)'!$A$34:$AN$735,28,FALSE)</f>
        <v>Yes</v>
      </c>
      <c r="S268" s="16" t="str">
        <f>VLOOKUP($A268,'SurveyRpt_20150223 (1)'!$A$34:$AN$735,30,FALSE)</f>
        <v>Yes</v>
      </c>
      <c r="T268" s="16" t="str">
        <f>VLOOKUP($A268,'SurveyRpt_20150223 (1)'!$A$34:$AN$735,32,FALSE)</f>
        <v>Yes</v>
      </c>
      <c r="U268" s="16" t="str">
        <f>VLOOKUP($A268,'SurveyRpt_20150223 (1)'!$A$34:$AN$735,34,FALSE)</f>
        <v>Yes</v>
      </c>
      <c r="V268" s="16" t="str">
        <f>VLOOKUP($A268,'SurveyRpt_20150223 (1)'!$A$34:$AN$735,36,FALSE)</f>
        <v>Yes</v>
      </c>
      <c r="W268" s="16" t="str">
        <f>VLOOKUP($A268,'SurveyRpt_20150223 (1)'!$A$34:$AN$735,38,FALSE)</f>
        <v>No</v>
      </c>
    </row>
    <row r="269" spans="1:23" ht="13.5" customHeight="1" x14ac:dyDescent="0.25">
      <c r="A269" s="19" t="s">
        <v>362</v>
      </c>
      <c r="B269" s="19" t="str">
        <f t="shared" si="4"/>
        <v>kmohammed4</v>
      </c>
      <c r="C269" s="16" t="str">
        <f>VLOOKUP(B269,'Compiled Agents'!A:H,2,FALSE)</f>
        <v>Platform</v>
      </c>
      <c r="D269" s="16" t="str">
        <f>VLOOKUP(B269,'Compiled Agents'!A:H,4,FALSE)</f>
        <v>Noida</v>
      </c>
      <c r="E269" s="16" t="str">
        <f>VLOOKUP(B269,'Compiled Agents'!A:H,5,FALSE)</f>
        <v>Wave2</v>
      </c>
      <c r="F269" s="16" t="str">
        <f>VLOOKUP(B269,'Compiled Agents'!A:H,6,FALSE)</f>
        <v>Brown</v>
      </c>
      <c r="G269" s="16">
        <f>VLOOKUP($A269,'SurveyRpt_20150223 (1)'!$A$34:$AN$735,6,FALSE)</f>
        <v>16</v>
      </c>
      <c r="H269" s="16" t="str">
        <f>VLOOKUP($A269,'SurveyRpt_20150223 (1)'!$A$34:$AN$735,8,FALSE)</f>
        <v>Yes</v>
      </c>
      <c r="I269" s="16" t="str">
        <f>VLOOKUP($A269,'SurveyRpt_20150223 (1)'!$A$34:$AN$735,10,FALSE)</f>
        <v>Yes</v>
      </c>
      <c r="J269" s="16" t="str">
        <f>VLOOKUP($A269,'SurveyRpt_20150223 (1)'!$A$34:$AN$735,12,FALSE)</f>
        <v>Yes</v>
      </c>
      <c r="K269" s="16" t="str">
        <f>VLOOKUP($A269,'SurveyRpt_20150223 (1)'!$A$34:$AN$735,14,FALSE)</f>
        <v>Yes</v>
      </c>
      <c r="L269" s="16" t="str">
        <f>VLOOKUP($A269,'SurveyRpt_20150223 (1)'!$A$34:$AN$735,16,FALSE)</f>
        <v>Yes</v>
      </c>
      <c r="M269" s="16" t="str">
        <f>VLOOKUP($A269,'SurveyRpt_20150223 (1)'!$A$34:$AN$735,18,FALSE)</f>
        <v>Yes</v>
      </c>
      <c r="N269" s="16" t="str">
        <f>VLOOKUP($A269,'SurveyRpt_20150223 (1)'!$A$34:$AN$735,20,FALSE)</f>
        <v>Yes</v>
      </c>
      <c r="O269" s="16" t="str">
        <f>VLOOKUP($A269,'SurveyRpt_20150223 (1)'!$A$34:$AN$735,22,FALSE)</f>
        <v>Yes</v>
      </c>
      <c r="P269" s="16" t="str">
        <f>VLOOKUP($A269,'SurveyRpt_20150223 (1)'!$A$34:$AN$735,24,FALSE)</f>
        <v>Yes</v>
      </c>
      <c r="Q269" s="16" t="str">
        <f>VLOOKUP($A269,'SurveyRpt_20150223 (1)'!$A$34:$AN$735,26,FALSE)</f>
        <v>Yes</v>
      </c>
      <c r="R269" s="16" t="str">
        <f>VLOOKUP($A269,'SurveyRpt_20150223 (1)'!$A$34:$AN$735,28,FALSE)</f>
        <v>Yes</v>
      </c>
      <c r="S269" s="16" t="str">
        <f>VLOOKUP($A269,'SurveyRpt_20150223 (1)'!$A$34:$AN$735,30,FALSE)</f>
        <v>Yes</v>
      </c>
      <c r="T269" s="16" t="str">
        <f>VLOOKUP($A269,'SurveyRpt_20150223 (1)'!$A$34:$AN$735,32,FALSE)</f>
        <v>Yes</v>
      </c>
      <c r="U269" s="16" t="str">
        <f>VLOOKUP($A269,'SurveyRpt_20150223 (1)'!$A$34:$AN$735,34,FALSE)</f>
        <v>Yes</v>
      </c>
      <c r="V269" s="16" t="str">
        <f>VLOOKUP($A269,'SurveyRpt_20150223 (1)'!$A$34:$AN$735,36,FALSE)</f>
        <v>Yes</v>
      </c>
      <c r="W269" s="16" t="str">
        <f>VLOOKUP($A269,'SurveyRpt_20150223 (1)'!$A$34:$AN$735,38,FALSE)</f>
        <v>Yes</v>
      </c>
    </row>
    <row r="270" spans="1:23" ht="13.5" customHeight="1" x14ac:dyDescent="0.25">
      <c r="A270" s="19" t="s">
        <v>363</v>
      </c>
      <c r="B270" s="19" t="str">
        <f t="shared" si="4"/>
        <v>NJAISWAL8</v>
      </c>
      <c r="C270" s="16" t="str">
        <f>VLOOKUP(B270,'Compiled Agents'!A:H,2,FALSE)</f>
        <v>Workplace</v>
      </c>
      <c r="D270" s="16" t="str">
        <f>VLOOKUP(B270,'Compiled Agents'!A:H,4,FALSE)</f>
        <v>Hyderabad</v>
      </c>
      <c r="E270" s="16" t="str">
        <f>VLOOKUP(B270,'Compiled Agents'!A:H,5,FALSE)</f>
        <v>Wave2</v>
      </c>
      <c r="F270" s="16" t="str">
        <f>VLOOKUP(B270,'Compiled Agents'!A:H,6,FALSE)</f>
        <v>Purple</v>
      </c>
      <c r="G270" s="16">
        <f>VLOOKUP($A270,'SurveyRpt_20150223 (1)'!$A$34:$AN$735,6,FALSE)</f>
        <v>16</v>
      </c>
      <c r="H270" s="16" t="str">
        <f>VLOOKUP($A270,'SurveyRpt_20150223 (1)'!$A$34:$AN$735,8,FALSE)</f>
        <v>Yes</v>
      </c>
      <c r="I270" s="16" t="str">
        <f>VLOOKUP($A270,'SurveyRpt_20150223 (1)'!$A$34:$AN$735,10,FALSE)</f>
        <v>Yes</v>
      </c>
      <c r="J270" s="16" t="str">
        <f>VLOOKUP($A270,'SurveyRpt_20150223 (1)'!$A$34:$AN$735,12,FALSE)</f>
        <v>Yes</v>
      </c>
      <c r="K270" s="16" t="str">
        <f>VLOOKUP($A270,'SurveyRpt_20150223 (1)'!$A$34:$AN$735,14,FALSE)</f>
        <v>Yes</v>
      </c>
      <c r="L270" s="16" t="str">
        <f>VLOOKUP($A270,'SurveyRpt_20150223 (1)'!$A$34:$AN$735,16,FALSE)</f>
        <v>Yes</v>
      </c>
      <c r="M270" s="16" t="str">
        <f>VLOOKUP($A270,'SurveyRpt_20150223 (1)'!$A$34:$AN$735,18,FALSE)</f>
        <v>Yes</v>
      </c>
      <c r="N270" s="16" t="str">
        <f>VLOOKUP($A270,'SurveyRpt_20150223 (1)'!$A$34:$AN$735,20,FALSE)</f>
        <v>Yes</v>
      </c>
      <c r="O270" s="16" t="str">
        <f>VLOOKUP($A270,'SurveyRpt_20150223 (1)'!$A$34:$AN$735,22,FALSE)</f>
        <v>Yes</v>
      </c>
      <c r="P270" s="16" t="str">
        <f>VLOOKUP($A270,'SurveyRpt_20150223 (1)'!$A$34:$AN$735,24,FALSE)</f>
        <v>Yes</v>
      </c>
      <c r="Q270" s="16" t="str">
        <f>VLOOKUP($A270,'SurveyRpt_20150223 (1)'!$A$34:$AN$735,26,FALSE)</f>
        <v>Yes</v>
      </c>
      <c r="R270" s="16" t="str">
        <f>VLOOKUP($A270,'SurveyRpt_20150223 (1)'!$A$34:$AN$735,28,FALSE)</f>
        <v>Yes</v>
      </c>
      <c r="S270" s="16" t="str">
        <f>VLOOKUP($A270,'SurveyRpt_20150223 (1)'!$A$34:$AN$735,30,FALSE)</f>
        <v>Yes</v>
      </c>
      <c r="T270" s="16" t="str">
        <f>VLOOKUP($A270,'SurveyRpt_20150223 (1)'!$A$34:$AN$735,32,FALSE)</f>
        <v>Yes</v>
      </c>
      <c r="U270" s="16" t="str">
        <f>VLOOKUP($A270,'SurveyRpt_20150223 (1)'!$A$34:$AN$735,34,FALSE)</f>
        <v>Yes</v>
      </c>
      <c r="V270" s="16" t="str">
        <f>VLOOKUP($A270,'SurveyRpt_20150223 (1)'!$A$34:$AN$735,36,FALSE)</f>
        <v>Yes</v>
      </c>
      <c r="W270" s="16" t="str">
        <f>VLOOKUP($A270,'SurveyRpt_20150223 (1)'!$A$34:$AN$735,38,FALSE)</f>
        <v>Yes</v>
      </c>
    </row>
    <row r="271" spans="1:23" ht="13.5" customHeight="1" x14ac:dyDescent="0.25">
      <c r="A271" s="19" t="s">
        <v>364</v>
      </c>
      <c r="B271" s="19" t="str">
        <f t="shared" si="4"/>
        <v>AJAIN245</v>
      </c>
      <c r="C271" s="16" t="str">
        <f>VLOOKUP(B271,'Compiled Agents'!A:H,2,FALSE)</f>
        <v>Workplace</v>
      </c>
      <c r="D271" s="16" t="str">
        <f>VLOOKUP(B271,'Compiled Agents'!A:H,4,FALSE)</f>
        <v>Hyderabad</v>
      </c>
      <c r="E271" s="16" t="str">
        <f>VLOOKUP(B271,'Compiled Agents'!A:H,5,FALSE)</f>
        <v>Wave2</v>
      </c>
      <c r="F271" s="16" t="str">
        <f>VLOOKUP(B271,'Compiled Agents'!A:H,6,FALSE)</f>
        <v>Purple</v>
      </c>
      <c r="G271" s="16">
        <f>VLOOKUP($A271,'SurveyRpt_20150223 (1)'!$A$34:$AN$735,6,FALSE)</f>
        <v>5</v>
      </c>
      <c r="H271" s="16" t="str">
        <f>VLOOKUP($A271,'SurveyRpt_20150223 (1)'!$A$34:$AN$735,8,FALSE)</f>
        <v>No</v>
      </c>
      <c r="I271" s="16" t="str">
        <f>VLOOKUP($A271,'SurveyRpt_20150223 (1)'!$A$34:$AN$735,10,FALSE)</f>
        <v>No</v>
      </c>
      <c r="J271" s="16" t="str">
        <f>VLOOKUP($A271,'SurveyRpt_20150223 (1)'!$A$34:$AN$735,12,FALSE)</f>
        <v>No</v>
      </c>
      <c r="K271" s="16" t="str">
        <f>VLOOKUP($A271,'SurveyRpt_20150223 (1)'!$A$34:$AN$735,14,FALSE)</f>
        <v>No</v>
      </c>
      <c r="L271" s="16" t="str">
        <f>VLOOKUP($A271,'SurveyRpt_20150223 (1)'!$A$34:$AN$735,16,FALSE)</f>
        <v>Yes</v>
      </c>
      <c r="M271" s="16" t="str">
        <f>VLOOKUP($A271,'SurveyRpt_20150223 (1)'!$A$34:$AN$735,18,FALSE)</f>
        <v>Yes</v>
      </c>
      <c r="N271" s="16" t="str">
        <f>VLOOKUP($A271,'SurveyRpt_20150223 (1)'!$A$34:$AN$735,20,FALSE)</f>
        <v>No</v>
      </c>
      <c r="O271" s="16" t="str">
        <f>VLOOKUP($A271,'SurveyRpt_20150223 (1)'!$A$34:$AN$735,22,FALSE)</f>
        <v>Yes</v>
      </c>
      <c r="P271" s="16" t="str">
        <f>VLOOKUP($A271,'SurveyRpt_20150223 (1)'!$A$34:$AN$735,24,FALSE)</f>
        <v>No</v>
      </c>
      <c r="Q271" s="16" t="str">
        <f>VLOOKUP($A271,'SurveyRpt_20150223 (1)'!$A$34:$AN$735,26,FALSE)</f>
        <v>No</v>
      </c>
      <c r="R271" s="16" t="str">
        <f>VLOOKUP($A271,'SurveyRpt_20150223 (1)'!$A$34:$AN$735,28,FALSE)</f>
        <v>No</v>
      </c>
      <c r="S271" s="16" t="str">
        <f>VLOOKUP($A271,'SurveyRpt_20150223 (1)'!$A$34:$AN$735,30,FALSE)</f>
        <v>Yes</v>
      </c>
      <c r="T271" s="16" t="str">
        <f>VLOOKUP($A271,'SurveyRpt_20150223 (1)'!$A$34:$AN$735,32,FALSE)</f>
        <v>Yes</v>
      </c>
      <c r="U271" s="16" t="str">
        <f>VLOOKUP($A271,'SurveyRpt_20150223 (1)'!$A$34:$AN$735,34,FALSE)</f>
        <v>No</v>
      </c>
      <c r="V271" s="16" t="str">
        <f>VLOOKUP($A271,'SurveyRpt_20150223 (1)'!$A$34:$AN$735,36,FALSE)</f>
        <v>No</v>
      </c>
      <c r="W271" s="16" t="str">
        <f>VLOOKUP($A271,'SurveyRpt_20150223 (1)'!$A$34:$AN$735,38,FALSE)</f>
        <v>No</v>
      </c>
    </row>
    <row r="272" spans="1:23" ht="13.5" customHeight="1" x14ac:dyDescent="0.25">
      <c r="A272" s="19" t="s">
        <v>365</v>
      </c>
      <c r="B272" s="19" t="str">
        <f t="shared" si="4"/>
        <v>SRAO32</v>
      </c>
      <c r="C272" s="16" t="str">
        <f>VLOOKUP(B272,'Compiled Agents'!A:H,2,FALSE)</f>
        <v>Platform</v>
      </c>
      <c r="D272" s="16" t="str">
        <f>VLOOKUP(B272,'Compiled Agents'!A:H,4,FALSE)</f>
        <v>Hyderabad</v>
      </c>
      <c r="E272" s="16" t="str">
        <f>VLOOKUP(B272,'Compiled Agents'!A:H,5,FALSE)</f>
        <v>Wave1</v>
      </c>
      <c r="F272" s="16" t="str">
        <f>VLOOKUP(B272,'Compiled Agents'!A:H,6,FALSE)</f>
        <v>Purple</v>
      </c>
      <c r="G272" s="16">
        <f>VLOOKUP($A272,'SurveyRpt_20150223 (1)'!$A$34:$AN$735,6,FALSE)</f>
        <v>6</v>
      </c>
      <c r="H272" s="16" t="str">
        <f>VLOOKUP($A272,'SurveyRpt_20150223 (1)'!$A$34:$AN$735,8,FALSE)</f>
        <v>No</v>
      </c>
      <c r="I272" s="16" t="str">
        <f>VLOOKUP($A272,'SurveyRpt_20150223 (1)'!$A$34:$AN$735,10,FALSE)</f>
        <v>No</v>
      </c>
      <c r="J272" s="16" t="str">
        <f>VLOOKUP($A272,'SurveyRpt_20150223 (1)'!$A$34:$AN$735,12,FALSE)</f>
        <v>No</v>
      </c>
      <c r="K272" s="16" t="str">
        <f>VLOOKUP($A272,'SurveyRpt_20150223 (1)'!$A$34:$AN$735,14,FALSE)</f>
        <v>No</v>
      </c>
      <c r="L272" s="16" t="str">
        <f>VLOOKUP($A272,'SurveyRpt_20150223 (1)'!$A$34:$AN$735,16,FALSE)</f>
        <v>Yes</v>
      </c>
      <c r="M272" s="16" t="str">
        <f>VLOOKUP($A272,'SurveyRpt_20150223 (1)'!$A$34:$AN$735,18,FALSE)</f>
        <v>No</v>
      </c>
      <c r="N272" s="16" t="str">
        <f>VLOOKUP($A272,'SurveyRpt_20150223 (1)'!$A$34:$AN$735,20,FALSE)</f>
        <v>No</v>
      </c>
      <c r="O272" s="16" t="str">
        <f>VLOOKUP($A272,'SurveyRpt_20150223 (1)'!$A$34:$AN$735,22,FALSE)</f>
        <v>Yes</v>
      </c>
      <c r="P272" s="16" t="str">
        <f>VLOOKUP($A272,'SurveyRpt_20150223 (1)'!$A$34:$AN$735,24,FALSE)</f>
        <v>Yes</v>
      </c>
      <c r="Q272" s="16" t="str">
        <f>VLOOKUP($A272,'SurveyRpt_20150223 (1)'!$A$34:$AN$735,26,FALSE)</f>
        <v>Yes</v>
      </c>
      <c r="R272" s="16" t="str">
        <f>VLOOKUP($A272,'SurveyRpt_20150223 (1)'!$A$34:$AN$735,28,FALSE)</f>
        <v>Yes</v>
      </c>
      <c r="S272" s="16" t="str">
        <f>VLOOKUP($A272,'SurveyRpt_20150223 (1)'!$A$34:$AN$735,30,FALSE)</f>
        <v>Yes</v>
      </c>
      <c r="T272" s="16" t="str">
        <f>VLOOKUP($A272,'SurveyRpt_20150223 (1)'!$A$34:$AN$735,32,FALSE)</f>
        <v>No</v>
      </c>
      <c r="U272" s="16" t="str">
        <f>VLOOKUP($A272,'SurveyRpt_20150223 (1)'!$A$34:$AN$735,34,FALSE)</f>
        <v>No</v>
      </c>
      <c r="V272" s="16" t="str">
        <f>VLOOKUP($A272,'SurveyRpt_20150223 (1)'!$A$34:$AN$735,36,FALSE)</f>
        <v>No</v>
      </c>
      <c r="W272" s="16" t="str">
        <f>VLOOKUP($A272,'SurveyRpt_20150223 (1)'!$A$34:$AN$735,38,FALSE)</f>
        <v>No</v>
      </c>
    </row>
    <row r="273" spans="1:23" ht="13.5" customHeight="1" x14ac:dyDescent="0.25">
      <c r="A273" s="19" t="s">
        <v>366</v>
      </c>
      <c r="B273" s="19" t="str">
        <f t="shared" si="4"/>
        <v>VKUMAR80</v>
      </c>
      <c r="C273" s="16" t="str">
        <f>VLOOKUP(B273,'Compiled Agents'!A:H,2,FALSE)</f>
        <v>Platform</v>
      </c>
      <c r="D273" s="16" t="str">
        <f>VLOOKUP(B273,'Compiled Agents'!A:H,4,FALSE)</f>
        <v>Noida</v>
      </c>
      <c r="E273" s="16" t="str">
        <f>VLOOKUP(B273,'Compiled Agents'!A:H,5,FALSE)</f>
        <v>Wave1</v>
      </c>
      <c r="F273" s="16" t="str">
        <f>VLOOKUP(B273,'Compiled Agents'!A:H,6,FALSE)</f>
        <v>Purple</v>
      </c>
      <c r="G273" s="16">
        <f>VLOOKUP($A273,'SurveyRpt_20150223 (1)'!$A$34:$AN$735,6,FALSE)</f>
        <v>3</v>
      </c>
      <c r="H273" s="16" t="str">
        <f>VLOOKUP($A273,'SurveyRpt_20150223 (1)'!$A$34:$AN$735,8,FALSE)</f>
        <v>No</v>
      </c>
      <c r="I273" s="16" t="str">
        <f>VLOOKUP($A273,'SurveyRpt_20150223 (1)'!$A$34:$AN$735,10,FALSE)</f>
        <v>No</v>
      </c>
      <c r="J273" s="16" t="str">
        <f>VLOOKUP($A273,'SurveyRpt_20150223 (1)'!$A$34:$AN$735,12,FALSE)</f>
        <v>No</v>
      </c>
      <c r="K273" s="16" t="str">
        <f>VLOOKUP($A273,'SurveyRpt_20150223 (1)'!$A$34:$AN$735,14,FALSE)</f>
        <v>No</v>
      </c>
      <c r="L273" s="16" t="str">
        <f>VLOOKUP($A273,'SurveyRpt_20150223 (1)'!$A$34:$AN$735,16,FALSE)</f>
        <v>Yes</v>
      </c>
      <c r="M273" s="16" t="str">
        <f>VLOOKUP($A273,'SurveyRpt_20150223 (1)'!$A$34:$AN$735,18,FALSE)</f>
        <v>Yes</v>
      </c>
      <c r="N273" s="16" t="str">
        <f>VLOOKUP($A273,'SurveyRpt_20150223 (1)'!$A$34:$AN$735,20,FALSE)</f>
        <v>No</v>
      </c>
      <c r="O273" s="16" t="str">
        <f>VLOOKUP($A273,'SurveyRpt_20150223 (1)'!$A$34:$AN$735,22,FALSE)</f>
        <v>No</v>
      </c>
      <c r="P273" s="16" t="str">
        <f>VLOOKUP($A273,'SurveyRpt_20150223 (1)'!$A$34:$AN$735,24,FALSE)</f>
        <v>No</v>
      </c>
      <c r="Q273" s="16" t="str">
        <f>VLOOKUP($A273,'SurveyRpt_20150223 (1)'!$A$34:$AN$735,26,FALSE)</f>
        <v>No</v>
      </c>
      <c r="R273" s="16" t="str">
        <f>VLOOKUP($A273,'SurveyRpt_20150223 (1)'!$A$34:$AN$735,28,FALSE)</f>
        <v>No</v>
      </c>
      <c r="S273" s="16" t="str">
        <f>VLOOKUP($A273,'SurveyRpt_20150223 (1)'!$A$34:$AN$735,30,FALSE)</f>
        <v>Yes</v>
      </c>
      <c r="T273" s="16" t="str">
        <f>VLOOKUP($A273,'SurveyRpt_20150223 (1)'!$A$34:$AN$735,32,FALSE)</f>
        <v>No</v>
      </c>
      <c r="U273" s="16" t="str">
        <f>VLOOKUP($A273,'SurveyRpt_20150223 (1)'!$A$34:$AN$735,34,FALSE)</f>
        <v>No</v>
      </c>
      <c r="V273" s="16" t="str">
        <f>VLOOKUP($A273,'SurveyRpt_20150223 (1)'!$A$34:$AN$735,36,FALSE)</f>
        <v>No</v>
      </c>
      <c r="W273" s="16" t="str">
        <f>VLOOKUP($A273,'SurveyRpt_20150223 (1)'!$A$34:$AN$735,38,FALSE)</f>
        <v>No</v>
      </c>
    </row>
    <row r="274" spans="1:23" ht="13.5" customHeight="1" x14ac:dyDescent="0.25">
      <c r="A274" s="19" t="s">
        <v>367</v>
      </c>
      <c r="B274" s="19" t="str">
        <f t="shared" si="4"/>
        <v>NSAKTHI</v>
      </c>
      <c r="C274" s="16" t="str">
        <f>VLOOKUP(B274,'Compiled Agents'!A:H,2,FALSE)</f>
        <v>Workplace</v>
      </c>
      <c r="D274" s="16" t="str">
        <f>VLOOKUP(B274,'Compiled Agents'!A:H,4,FALSE)</f>
        <v>Hyderabad</v>
      </c>
      <c r="E274" s="16" t="str">
        <f>VLOOKUP(B274,'Compiled Agents'!A:H,5,FALSE)</f>
        <v>Wave2</v>
      </c>
      <c r="F274" s="16" t="str">
        <f>VLOOKUP(B274,'Compiled Agents'!A:H,6,FALSE)</f>
        <v>Blue</v>
      </c>
      <c r="G274" s="16">
        <f>VLOOKUP($A274,'SurveyRpt_20150223 (1)'!$A$34:$AN$735,6,FALSE)</f>
        <v>16</v>
      </c>
      <c r="H274" s="16" t="str">
        <f>VLOOKUP($A274,'SurveyRpt_20150223 (1)'!$A$34:$AN$735,8,FALSE)</f>
        <v>Yes</v>
      </c>
      <c r="I274" s="16" t="str">
        <f>VLOOKUP($A274,'SurveyRpt_20150223 (1)'!$A$34:$AN$735,10,FALSE)</f>
        <v>Yes</v>
      </c>
      <c r="J274" s="16" t="str">
        <f>VLOOKUP($A274,'SurveyRpt_20150223 (1)'!$A$34:$AN$735,12,FALSE)</f>
        <v>Yes</v>
      </c>
      <c r="K274" s="16" t="str">
        <f>VLOOKUP($A274,'SurveyRpt_20150223 (1)'!$A$34:$AN$735,14,FALSE)</f>
        <v>Yes</v>
      </c>
      <c r="L274" s="16" t="str">
        <f>VLOOKUP($A274,'SurveyRpt_20150223 (1)'!$A$34:$AN$735,16,FALSE)</f>
        <v>Yes</v>
      </c>
      <c r="M274" s="16" t="str">
        <f>VLOOKUP($A274,'SurveyRpt_20150223 (1)'!$A$34:$AN$735,18,FALSE)</f>
        <v>Yes</v>
      </c>
      <c r="N274" s="16" t="str">
        <f>VLOOKUP($A274,'SurveyRpt_20150223 (1)'!$A$34:$AN$735,20,FALSE)</f>
        <v>Yes</v>
      </c>
      <c r="O274" s="16" t="str">
        <f>VLOOKUP($A274,'SurveyRpt_20150223 (1)'!$A$34:$AN$735,22,FALSE)</f>
        <v>Yes</v>
      </c>
      <c r="P274" s="16" t="str">
        <f>VLOOKUP($A274,'SurveyRpt_20150223 (1)'!$A$34:$AN$735,24,FALSE)</f>
        <v>Yes</v>
      </c>
      <c r="Q274" s="16" t="str">
        <f>VLOOKUP($A274,'SurveyRpt_20150223 (1)'!$A$34:$AN$735,26,FALSE)</f>
        <v>Yes</v>
      </c>
      <c r="R274" s="16" t="str">
        <f>VLOOKUP($A274,'SurveyRpt_20150223 (1)'!$A$34:$AN$735,28,FALSE)</f>
        <v>Yes</v>
      </c>
      <c r="S274" s="16" t="str">
        <f>VLOOKUP($A274,'SurveyRpt_20150223 (1)'!$A$34:$AN$735,30,FALSE)</f>
        <v>Yes</v>
      </c>
      <c r="T274" s="16" t="str">
        <f>VLOOKUP($A274,'SurveyRpt_20150223 (1)'!$A$34:$AN$735,32,FALSE)</f>
        <v>Yes</v>
      </c>
      <c r="U274" s="16" t="str">
        <f>VLOOKUP($A274,'SurveyRpt_20150223 (1)'!$A$34:$AN$735,34,FALSE)</f>
        <v>Yes</v>
      </c>
      <c r="V274" s="16" t="str">
        <f>VLOOKUP($A274,'SurveyRpt_20150223 (1)'!$A$34:$AN$735,36,FALSE)</f>
        <v>Yes</v>
      </c>
      <c r="W274" s="16" t="str">
        <f>VLOOKUP($A274,'SurveyRpt_20150223 (1)'!$A$34:$AN$735,38,FALSE)</f>
        <v>Yes</v>
      </c>
    </row>
    <row r="275" spans="1:23" ht="13.5" customHeight="1" x14ac:dyDescent="0.25">
      <c r="A275" s="19" t="s">
        <v>368</v>
      </c>
      <c r="B275" s="19" t="str">
        <f t="shared" si="4"/>
        <v>AKHAN91</v>
      </c>
      <c r="C275" s="16" t="str">
        <f>VLOOKUP(B275,'Compiled Agents'!A:H,2,FALSE)</f>
        <v>Workplace</v>
      </c>
      <c r="D275" s="16" t="str">
        <f>VLOOKUP(B275,'Compiled Agents'!A:H,4,FALSE)</f>
        <v>Noida</v>
      </c>
      <c r="E275" s="16" t="str">
        <f>VLOOKUP(B275,'Compiled Agents'!A:H,5,FALSE)</f>
        <v>Wave1</v>
      </c>
      <c r="F275" s="16" t="str">
        <f>VLOOKUP(B275,'Compiled Agents'!A:H,6,FALSE)</f>
        <v>Purple</v>
      </c>
      <c r="G275" s="16">
        <f>VLOOKUP($A275,'SurveyRpt_20150223 (1)'!$A$34:$AN$735,6,FALSE)</f>
        <v>15</v>
      </c>
      <c r="H275" s="16" t="str">
        <f>VLOOKUP($A275,'SurveyRpt_20150223 (1)'!$A$34:$AN$735,8,FALSE)</f>
        <v>Yes</v>
      </c>
      <c r="I275" s="16" t="str">
        <f>VLOOKUP($A275,'SurveyRpt_20150223 (1)'!$A$34:$AN$735,10,FALSE)</f>
        <v>Yes</v>
      </c>
      <c r="J275" s="16" t="str">
        <f>VLOOKUP($A275,'SurveyRpt_20150223 (1)'!$A$34:$AN$735,12,FALSE)</f>
        <v>Yes</v>
      </c>
      <c r="K275" s="16" t="str">
        <f>VLOOKUP($A275,'SurveyRpt_20150223 (1)'!$A$34:$AN$735,14,FALSE)</f>
        <v>Yes</v>
      </c>
      <c r="L275" s="16" t="str">
        <f>VLOOKUP($A275,'SurveyRpt_20150223 (1)'!$A$34:$AN$735,16,FALSE)</f>
        <v>Yes</v>
      </c>
      <c r="M275" s="16" t="str">
        <f>VLOOKUP($A275,'SurveyRpt_20150223 (1)'!$A$34:$AN$735,18,FALSE)</f>
        <v>Yes</v>
      </c>
      <c r="N275" s="16" t="str">
        <f>VLOOKUP($A275,'SurveyRpt_20150223 (1)'!$A$34:$AN$735,20,FALSE)</f>
        <v>Yes</v>
      </c>
      <c r="O275" s="16" t="str">
        <f>VLOOKUP($A275,'SurveyRpt_20150223 (1)'!$A$34:$AN$735,22,FALSE)</f>
        <v>Yes</v>
      </c>
      <c r="P275" s="16" t="str">
        <f>VLOOKUP($A275,'SurveyRpt_20150223 (1)'!$A$34:$AN$735,24,FALSE)</f>
        <v>Yes</v>
      </c>
      <c r="Q275" s="16" t="str">
        <f>VLOOKUP($A275,'SurveyRpt_20150223 (1)'!$A$34:$AN$735,26,FALSE)</f>
        <v>Yes</v>
      </c>
      <c r="R275" s="16" t="str">
        <f>VLOOKUP($A275,'SurveyRpt_20150223 (1)'!$A$34:$AN$735,28,FALSE)</f>
        <v>Yes</v>
      </c>
      <c r="S275" s="16" t="str">
        <f>VLOOKUP($A275,'SurveyRpt_20150223 (1)'!$A$34:$AN$735,30,FALSE)</f>
        <v>Yes</v>
      </c>
      <c r="T275" s="16" t="str">
        <f>VLOOKUP($A275,'SurveyRpt_20150223 (1)'!$A$34:$AN$735,32,FALSE)</f>
        <v>Yes</v>
      </c>
      <c r="U275" s="16" t="str">
        <f>VLOOKUP($A275,'SurveyRpt_20150223 (1)'!$A$34:$AN$735,34,FALSE)</f>
        <v>Yes</v>
      </c>
      <c r="V275" s="16" t="str">
        <f>VLOOKUP($A275,'SurveyRpt_20150223 (1)'!$A$34:$AN$735,36,FALSE)</f>
        <v>Yes</v>
      </c>
      <c r="W275" s="16" t="str">
        <f>VLOOKUP($A275,'SurveyRpt_20150223 (1)'!$A$34:$AN$735,38,FALSE)</f>
        <v>No</v>
      </c>
    </row>
    <row r="276" spans="1:23" ht="13.5" customHeight="1" x14ac:dyDescent="0.25">
      <c r="A276" s="19" t="s">
        <v>369</v>
      </c>
      <c r="B276" s="19" t="str">
        <f t="shared" si="4"/>
        <v>PSREEYADRI</v>
      </c>
      <c r="C276" s="16" t="str">
        <f>VLOOKUP(B276,'Compiled Agents'!A:H,2,FALSE)</f>
        <v>Platform</v>
      </c>
      <c r="D276" s="16" t="str">
        <f>VLOOKUP(B276,'Compiled Agents'!A:H,4,FALSE)</f>
        <v>Hyderabad</v>
      </c>
      <c r="E276" s="16" t="str">
        <f>VLOOKUP(B276,'Compiled Agents'!A:H,5,FALSE)</f>
        <v>Wave1</v>
      </c>
      <c r="F276" s="16" t="str">
        <f>VLOOKUP(B276,'Compiled Agents'!A:H,6,FALSE)</f>
        <v>Orange</v>
      </c>
      <c r="G276" s="16">
        <f>VLOOKUP($A276,'SurveyRpt_20150223 (1)'!$A$34:$AN$735,6,FALSE)</f>
        <v>14</v>
      </c>
      <c r="H276" s="16" t="str">
        <f>VLOOKUP($A276,'SurveyRpt_20150223 (1)'!$A$34:$AN$735,8,FALSE)</f>
        <v>Yes</v>
      </c>
      <c r="I276" s="16" t="str">
        <f>VLOOKUP($A276,'SurveyRpt_20150223 (1)'!$A$34:$AN$735,10,FALSE)</f>
        <v>Yes</v>
      </c>
      <c r="J276" s="16" t="str">
        <f>VLOOKUP($A276,'SurveyRpt_20150223 (1)'!$A$34:$AN$735,12,FALSE)</f>
        <v>Yes</v>
      </c>
      <c r="K276" s="16" t="str">
        <f>VLOOKUP($A276,'SurveyRpt_20150223 (1)'!$A$34:$AN$735,14,FALSE)</f>
        <v>Yes</v>
      </c>
      <c r="L276" s="16" t="str">
        <f>VLOOKUP($A276,'SurveyRpt_20150223 (1)'!$A$34:$AN$735,16,FALSE)</f>
        <v>Yes</v>
      </c>
      <c r="M276" s="16" t="str">
        <f>VLOOKUP($A276,'SurveyRpt_20150223 (1)'!$A$34:$AN$735,18,FALSE)</f>
        <v>Yes</v>
      </c>
      <c r="N276" s="16" t="str">
        <f>VLOOKUP($A276,'SurveyRpt_20150223 (1)'!$A$34:$AN$735,20,FALSE)</f>
        <v>No</v>
      </c>
      <c r="O276" s="16" t="str">
        <f>VLOOKUP($A276,'SurveyRpt_20150223 (1)'!$A$34:$AN$735,22,FALSE)</f>
        <v>No</v>
      </c>
      <c r="P276" s="16" t="str">
        <f>VLOOKUP($A276,'SurveyRpt_20150223 (1)'!$A$34:$AN$735,24,FALSE)</f>
        <v>Yes</v>
      </c>
      <c r="Q276" s="16" t="str">
        <f>VLOOKUP($A276,'SurveyRpt_20150223 (1)'!$A$34:$AN$735,26,FALSE)</f>
        <v>Yes</v>
      </c>
      <c r="R276" s="16" t="str">
        <f>VLOOKUP($A276,'SurveyRpt_20150223 (1)'!$A$34:$AN$735,28,FALSE)</f>
        <v>Yes</v>
      </c>
      <c r="S276" s="16" t="str">
        <f>VLOOKUP($A276,'SurveyRpt_20150223 (1)'!$A$34:$AN$735,30,FALSE)</f>
        <v>Yes</v>
      </c>
      <c r="T276" s="16" t="str">
        <f>VLOOKUP($A276,'SurveyRpt_20150223 (1)'!$A$34:$AN$735,32,FALSE)</f>
        <v>Yes</v>
      </c>
      <c r="U276" s="16" t="str">
        <f>VLOOKUP($A276,'SurveyRpt_20150223 (1)'!$A$34:$AN$735,34,FALSE)</f>
        <v>Yes</v>
      </c>
      <c r="V276" s="16" t="str">
        <f>VLOOKUP($A276,'SurveyRpt_20150223 (1)'!$A$34:$AN$735,36,FALSE)</f>
        <v>Yes</v>
      </c>
      <c r="W276" s="16" t="str">
        <f>VLOOKUP($A276,'SurveyRpt_20150223 (1)'!$A$34:$AN$735,38,FALSE)</f>
        <v>Yes</v>
      </c>
    </row>
    <row r="277" spans="1:23" ht="13.5" customHeight="1" x14ac:dyDescent="0.25">
      <c r="A277" s="19" t="s">
        <v>370</v>
      </c>
      <c r="B277" s="19" t="str">
        <f t="shared" si="4"/>
        <v>UCHANDRAN2</v>
      </c>
      <c r="C277" s="16" t="str">
        <f>VLOOKUP(B277,'Compiled Agents'!A:H,2,FALSE)</f>
        <v>Platform</v>
      </c>
      <c r="D277" s="16" t="str">
        <f>VLOOKUP(B277,'Compiled Agents'!A:H,4,FALSE)</f>
        <v>Hyderabad</v>
      </c>
      <c r="E277" s="16" t="str">
        <f>VLOOKUP(B277,'Compiled Agents'!A:H,5,FALSE)</f>
        <v>Wave1</v>
      </c>
      <c r="F277" s="16" t="str">
        <f>VLOOKUP(B277,'Compiled Agents'!A:H,6,FALSE)</f>
        <v>Purple</v>
      </c>
      <c r="G277" s="16">
        <f>VLOOKUP($A277,'SurveyRpt_20150223 (1)'!$A$34:$AN$735,6,FALSE)</f>
        <v>16</v>
      </c>
      <c r="H277" s="16" t="str">
        <f>VLOOKUP($A277,'SurveyRpt_20150223 (1)'!$A$34:$AN$735,8,FALSE)</f>
        <v>Yes</v>
      </c>
      <c r="I277" s="16" t="str">
        <f>VLOOKUP($A277,'SurveyRpt_20150223 (1)'!$A$34:$AN$735,10,FALSE)</f>
        <v>Yes</v>
      </c>
      <c r="J277" s="16" t="str">
        <f>VLOOKUP($A277,'SurveyRpt_20150223 (1)'!$A$34:$AN$735,12,FALSE)</f>
        <v>Yes</v>
      </c>
      <c r="K277" s="16" t="str">
        <f>VLOOKUP($A277,'SurveyRpt_20150223 (1)'!$A$34:$AN$735,14,FALSE)</f>
        <v>Yes</v>
      </c>
      <c r="L277" s="16" t="str">
        <f>VLOOKUP($A277,'SurveyRpt_20150223 (1)'!$A$34:$AN$735,16,FALSE)</f>
        <v>Yes</v>
      </c>
      <c r="M277" s="16" t="str">
        <f>VLOOKUP($A277,'SurveyRpt_20150223 (1)'!$A$34:$AN$735,18,FALSE)</f>
        <v>Yes</v>
      </c>
      <c r="N277" s="16" t="str">
        <f>VLOOKUP($A277,'SurveyRpt_20150223 (1)'!$A$34:$AN$735,20,FALSE)</f>
        <v>Yes</v>
      </c>
      <c r="O277" s="16" t="str">
        <f>VLOOKUP($A277,'SurveyRpt_20150223 (1)'!$A$34:$AN$735,22,FALSE)</f>
        <v>Yes</v>
      </c>
      <c r="P277" s="16" t="str">
        <f>VLOOKUP($A277,'SurveyRpt_20150223 (1)'!$A$34:$AN$735,24,FALSE)</f>
        <v>Yes</v>
      </c>
      <c r="Q277" s="16" t="str">
        <f>VLOOKUP($A277,'SurveyRpt_20150223 (1)'!$A$34:$AN$735,26,FALSE)</f>
        <v>Yes</v>
      </c>
      <c r="R277" s="16" t="str">
        <f>VLOOKUP($A277,'SurveyRpt_20150223 (1)'!$A$34:$AN$735,28,FALSE)</f>
        <v>Yes</v>
      </c>
      <c r="S277" s="16" t="str">
        <f>VLOOKUP($A277,'SurveyRpt_20150223 (1)'!$A$34:$AN$735,30,FALSE)</f>
        <v>Yes</v>
      </c>
      <c r="T277" s="16" t="str">
        <f>VLOOKUP($A277,'SurveyRpt_20150223 (1)'!$A$34:$AN$735,32,FALSE)</f>
        <v>Yes</v>
      </c>
      <c r="U277" s="16" t="str">
        <f>VLOOKUP($A277,'SurveyRpt_20150223 (1)'!$A$34:$AN$735,34,FALSE)</f>
        <v>Yes</v>
      </c>
      <c r="V277" s="16" t="str">
        <f>VLOOKUP($A277,'SurveyRpt_20150223 (1)'!$A$34:$AN$735,36,FALSE)</f>
        <v>Yes</v>
      </c>
      <c r="W277" s="16" t="str">
        <f>VLOOKUP($A277,'SurveyRpt_20150223 (1)'!$A$34:$AN$735,38,FALSE)</f>
        <v>Yes</v>
      </c>
    </row>
    <row r="278" spans="1:23" ht="13.5" customHeight="1" x14ac:dyDescent="0.25">
      <c r="A278" s="19" t="s">
        <v>371</v>
      </c>
      <c r="B278" s="19" t="str">
        <f t="shared" si="4"/>
        <v>TAHMED7</v>
      </c>
      <c r="C278" s="16" t="str">
        <f>VLOOKUP(B278,'Compiled Agents'!A:H,2,FALSE)</f>
        <v>Platform</v>
      </c>
      <c r="D278" s="16" t="str">
        <f>VLOOKUP(B278,'Compiled Agents'!A:H,4,FALSE)</f>
        <v>Noida</v>
      </c>
      <c r="E278" s="16" t="str">
        <f>VLOOKUP(B278,'Compiled Agents'!A:H,5,FALSE)</f>
        <v>Wave2</v>
      </c>
      <c r="F278" s="16" t="str">
        <f>VLOOKUP(B278,'Compiled Agents'!A:H,6,FALSE)</f>
        <v>Purple</v>
      </c>
      <c r="G278" s="16">
        <f>VLOOKUP($A278,'SurveyRpt_20150223 (1)'!$A$34:$AN$735,6,FALSE)</f>
        <v>12</v>
      </c>
      <c r="H278" s="16" t="str">
        <f>VLOOKUP($A278,'SurveyRpt_20150223 (1)'!$A$34:$AN$735,8,FALSE)</f>
        <v>Yes</v>
      </c>
      <c r="I278" s="16" t="str">
        <f>VLOOKUP($A278,'SurveyRpt_20150223 (1)'!$A$34:$AN$735,10,FALSE)</f>
        <v>Yes</v>
      </c>
      <c r="J278" s="16" t="str">
        <f>VLOOKUP($A278,'SurveyRpt_20150223 (1)'!$A$34:$AN$735,12,FALSE)</f>
        <v>Yes</v>
      </c>
      <c r="K278" s="16" t="str">
        <f>VLOOKUP($A278,'SurveyRpt_20150223 (1)'!$A$34:$AN$735,14,FALSE)</f>
        <v>Yes</v>
      </c>
      <c r="L278" s="16" t="str">
        <f>VLOOKUP($A278,'SurveyRpt_20150223 (1)'!$A$34:$AN$735,16,FALSE)</f>
        <v>Yes</v>
      </c>
      <c r="M278" s="16" t="str">
        <f>VLOOKUP($A278,'SurveyRpt_20150223 (1)'!$A$34:$AN$735,18,FALSE)</f>
        <v>Yes</v>
      </c>
      <c r="N278" s="16" t="str">
        <f>VLOOKUP($A278,'SurveyRpt_20150223 (1)'!$A$34:$AN$735,20,FALSE)</f>
        <v>No</v>
      </c>
      <c r="O278" s="16" t="str">
        <f>VLOOKUP($A278,'SurveyRpt_20150223 (1)'!$A$34:$AN$735,22,FALSE)</f>
        <v>Yes</v>
      </c>
      <c r="P278" s="16" t="str">
        <f>VLOOKUP($A278,'SurveyRpt_20150223 (1)'!$A$34:$AN$735,24,FALSE)</f>
        <v>Yes</v>
      </c>
      <c r="Q278" s="16" t="str">
        <f>VLOOKUP($A278,'SurveyRpt_20150223 (1)'!$A$34:$AN$735,26,FALSE)</f>
        <v>No</v>
      </c>
      <c r="R278" s="16" t="str">
        <f>VLOOKUP($A278,'SurveyRpt_20150223 (1)'!$A$34:$AN$735,28,FALSE)</f>
        <v>Yes</v>
      </c>
      <c r="S278" s="16" t="str">
        <f>VLOOKUP($A278,'SurveyRpt_20150223 (1)'!$A$34:$AN$735,30,FALSE)</f>
        <v>Yes</v>
      </c>
      <c r="T278" s="16" t="str">
        <f>VLOOKUP($A278,'SurveyRpt_20150223 (1)'!$A$34:$AN$735,32,FALSE)</f>
        <v>Yes</v>
      </c>
      <c r="U278" s="16" t="str">
        <f>VLOOKUP($A278,'SurveyRpt_20150223 (1)'!$A$34:$AN$735,34,FALSE)</f>
        <v>Yes</v>
      </c>
      <c r="V278" s="16" t="str">
        <f>VLOOKUP($A278,'SurveyRpt_20150223 (1)'!$A$34:$AN$735,36,FALSE)</f>
        <v>No</v>
      </c>
      <c r="W278" s="16" t="str">
        <f>VLOOKUP($A278,'SurveyRpt_20150223 (1)'!$A$34:$AN$735,38,FALSE)</f>
        <v>No</v>
      </c>
    </row>
    <row r="279" spans="1:23" ht="13.5" customHeight="1" x14ac:dyDescent="0.25">
      <c r="A279" s="19" t="s">
        <v>372</v>
      </c>
      <c r="B279" s="19" t="str">
        <f t="shared" si="4"/>
        <v>JRAI8</v>
      </c>
      <c r="C279" s="16" t="str">
        <f>VLOOKUP(B279,'Compiled Agents'!A:H,2,FALSE)</f>
        <v>Platform</v>
      </c>
      <c r="D279" s="16" t="str">
        <f>VLOOKUP(B279,'Compiled Agents'!A:H,4,FALSE)</f>
        <v>Hyderabad</v>
      </c>
      <c r="E279" s="16" t="str">
        <f>VLOOKUP(B279,'Compiled Agents'!A:H,5,FALSE)</f>
        <v>Wave1</v>
      </c>
      <c r="F279" s="16" t="str">
        <f>VLOOKUP(B279,'Compiled Agents'!A:H,6,FALSE)</f>
        <v>Blue</v>
      </c>
      <c r="G279" s="16">
        <f>VLOOKUP($A279,'SurveyRpt_20150223 (1)'!$A$34:$AN$735,6,FALSE)</f>
        <v>15</v>
      </c>
      <c r="H279" s="16" t="str">
        <f>VLOOKUP($A279,'SurveyRpt_20150223 (1)'!$A$34:$AN$735,8,FALSE)</f>
        <v>Yes</v>
      </c>
      <c r="I279" s="16" t="str">
        <f>VLOOKUP($A279,'SurveyRpt_20150223 (1)'!$A$34:$AN$735,10,FALSE)</f>
        <v>Yes</v>
      </c>
      <c r="J279" s="16" t="str">
        <f>VLOOKUP($A279,'SurveyRpt_20150223 (1)'!$A$34:$AN$735,12,FALSE)</f>
        <v>Yes</v>
      </c>
      <c r="K279" s="16" t="str">
        <f>VLOOKUP($A279,'SurveyRpt_20150223 (1)'!$A$34:$AN$735,14,FALSE)</f>
        <v>Yes</v>
      </c>
      <c r="L279" s="16" t="str">
        <f>VLOOKUP($A279,'SurveyRpt_20150223 (1)'!$A$34:$AN$735,16,FALSE)</f>
        <v>Yes</v>
      </c>
      <c r="M279" s="16" t="str">
        <f>VLOOKUP($A279,'SurveyRpt_20150223 (1)'!$A$34:$AN$735,18,FALSE)</f>
        <v>Yes</v>
      </c>
      <c r="N279" s="16" t="str">
        <f>VLOOKUP($A279,'SurveyRpt_20150223 (1)'!$A$34:$AN$735,20,FALSE)</f>
        <v>Yes</v>
      </c>
      <c r="O279" s="16" t="str">
        <f>VLOOKUP($A279,'SurveyRpt_20150223 (1)'!$A$34:$AN$735,22,FALSE)</f>
        <v>Yes</v>
      </c>
      <c r="P279" s="16" t="str">
        <f>VLOOKUP($A279,'SurveyRpt_20150223 (1)'!$A$34:$AN$735,24,FALSE)</f>
        <v>Yes</v>
      </c>
      <c r="Q279" s="16" t="str">
        <f>VLOOKUP($A279,'SurveyRpt_20150223 (1)'!$A$34:$AN$735,26,FALSE)</f>
        <v>Yes</v>
      </c>
      <c r="R279" s="16" t="str">
        <f>VLOOKUP($A279,'SurveyRpt_20150223 (1)'!$A$34:$AN$735,28,FALSE)</f>
        <v>Yes</v>
      </c>
      <c r="S279" s="16" t="str">
        <f>VLOOKUP($A279,'SurveyRpt_20150223 (1)'!$A$34:$AN$735,30,FALSE)</f>
        <v>Yes</v>
      </c>
      <c r="T279" s="16" t="str">
        <f>VLOOKUP($A279,'SurveyRpt_20150223 (1)'!$A$34:$AN$735,32,FALSE)</f>
        <v>No</v>
      </c>
      <c r="U279" s="16" t="str">
        <f>VLOOKUP($A279,'SurveyRpt_20150223 (1)'!$A$34:$AN$735,34,FALSE)</f>
        <v>Yes</v>
      </c>
      <c r="V279" s="16" t="str">
        <f>VLOOKUP($A279,'SurveyRpt_20150223 (1)'!$A$34:$AN$735,36,FALSE)</f>
        <v>Yes</v>
      </c>
      <c r="W279" s="16" t="str">
        <f>VLOOKUP($A279,'SurveyRpt_20150223 (1)'!$A$34:$AN$735,38,FALSE)</f>
        <v>Yes</v>
      </c>
    </row>
    <row r="280" spans="1:23" ht="13.5" customHeight="1" x14ac:dyDescent="0.25">
      <c r="A280" s="19" t="s">
        <v>373</v>
      </c>
      <c r="B280" s="19" t="str">
        <f t="shared" si="4"/>
        <v>ONIMMALA</v>
      </c>
      <c r="C280" s="16" t="str">
        <f>VLOOKUP(B280,'Compiled Agents'!A:H,2,FALSE)</f>
        <v>Platform</v>
      </c>
      <c r="D280" s="16" t="str">
        <f>VLOOKUP(B280,'Compiled Agents'!A:H,4,FALSE)</f>
        <v>Hyderabad</v>
      </c>
      <c r="E280" s="16" t="str">
        <f>VLOOKUP(B280,'Compiled Agents'!A:H,5,FALSE)</f>
        <v>Wave1</v>
      </c>
      <c r="F280" s="16" t="str">
        <f>VLOOKUP(B280,'Compiled Agents'!A:H,6,FALSE)</f>
        <v>Orange</v>
      </c>
      <c r="G280" s="16">
        <f>VLOOKUP($A280,'SurveyRpt_20150223 (1)'!$A$34:$AN$735,6,FALSE)</f>
        <v>10</v>
      </c>
      <c r="H280" s="16" t="str">
        <f>VLOOKUP($A280,'SurveyRpt_20150223 (1)'!$A$34:$AN$735,8,FALSE)</f>
        <v>Yes</v>
      </c>
      <c r="I280" s="16" t="str">
        <f>VLOOKUP($A280,'SurveyRpt_20150223 (1)'!$A$34:$AN$735,10,FALSE)</f>
        <v>Yes</v>
      </c>
      <c r="J280" s="16" t="str">
        <f>VLOOKUP($A280,'SurveyRpt_20150223 (1)'!$A$34:$AN$735,12,FALSE)</f>
        <v>No</v>
      </c>
      <c r="K280" s="16" t="str">
        <f>VLOOKUP($A280,'SurveyRpt_20150223 (1)'!$A$34:$AN$735,14,FALSE)</f>
        <v>No</v>
      </c>
      <c r="L280" s="16" t="str">
        <f>VLOOKUP($A280,'SurveyRpt_20150223 (1)'!$A$34:$AN$735,16,FALSE)</f>
        <v>No</v>
      </c>
      <c r="M280" s="16" t="str">
        <f>VLOOKUP($A280,'SurveyRpt_20150223 (1)'!$A$34:$AN$735,18,FALSE)</f>
        <v>Yes</v>
      </c>
      <c r="N280" s="16" t="str">
        <f>VLOOKUP($A280,'SurveyRpt_20150223 (1)'!$A$34:$AN$735,20,FALSE)</f>
        <v>No</v>
      </c>
      <c r="O280" s="16" t="str">
        <f>VLOOKUP($A280,'SurveyRpt_20150223 (1)'!$A$34:$AN$735,22,FALSE)</f>
        <v>Yes</v>
      </c>
      <c r="P280" s="16" t="str">
        <f>VLOOKUP($A280,'SurveyRpt_20150223 (1)'!$A$34:$AN$735,24,FALSE)</f>
        <v>Yes</v>
      </c>
      <c r="Q280" s="16" t="str">
        <f>VLOOKUP($A280,'SurveyRpt_20150223 (1)'!$A$34:$AN$735,26,FALSE)</f>
        <v>Yes</v>
      </c>
      <c r="R280" s="16" t="str">
        <f>VLOOKUP($A280,'SurveyRpt_20150223 (1)'!$A$34:$AN$735,28,FALSE)</f>
        <v>Yes</v>
      </c>
      <c r="S280" s="16" t="str">
        <f>VLOOKUP($A280,'SurveyRpt_20150223 (1)'!$A$34:$AN$735,30,FALSE)</f>
        <v>Yes</v>
      </c>
      <c r="T280" s="16" t="str">
        <f>VLOOKUP($A280,'SurveyRpt_20150223 (1)'!$A$34:$AN$735,32,FALSE)</f>
        <v>No</v>
      </c>
      <c r="U280" s="16" t="str">
        <f>VLOOKUP($A280,'SurveyRpt_20150223 (1)'!$A$34:$AN$735,34,FALSE)</f>
        <v>No</v>
      </c>
      <c r="V280" s="16" t="str">
        <f>VLOOKUP($A280,'SurveyRpt_20150223 (1)'!$A$34:$AN$735,36,FALSE)</f>
        <v>Yes</v>
      </c>
      <c r="W280" s="16" t="str">
        <f>VLOOKUP($A280,'SurveyRpt_20150223 (1)'!$A$34:$AN$735,38,FALSE)</f>
        <v>Yes</v>
      </c>
    </row>
    <row r="281" spans="1:23" ht="13.5" customHeight="1" x14ac:dyDescent="0.25">
      <c r="A281" s="19" t="s">
        <v>374</v>
      </c>
      <c r="B281" s="19" t="str">
        <f t="shared" si="4"/>
        <v>SKARTHICK</v>
      </c>
      <c r="C281" s="16" t="str">
        <f>VLOOKUP(B281,'Compiled Agents'!A:H,2,FALSE)</f>
        <v>Platform</v>
      </c>
      <c r="D281" s="16" t="str">
        <f>VLOOKUP(B281,'Compiled Agents'!A:H,4,FALSE)</f>
        <v>Noida</v>
      </c>
      <c r="E281" s="16" t="str">
        <f>VLOOKUP(B281,'Compiled Agents'!A:H,5,FALSE)</f>
        <v>Wave2</v>
      </c>
      <c r="F281" s="16" t="str">
        <f>VLOOKUP(B281,'Compiled Agents'!A:H,6,FALSE)</f>
        <v>Purple</v>
      </c>
      <c r="G281" s="16">
        <f>VLOOKUP($A281,'SurveyRpt_20150223 (1)'!$A$34:$AN$735,6,FALSE)</f>
        <v>14</v>
      </c>
      <c r="H281" s="16" t="str">
        <f>VLOOKUP($A281,'SurveyRpt_20150223 (1)'!$A$34:$AN$735,8,FALSE)</f>
        <v>Yes</v>
      </c>
      <c r="I281" s="16" t="str">
        <f>VLOOKUP($A281,'SurveyRpt_20150223 (1)'!$A$34:$AN$735,10,FALSE)</f>
        <v>Yes</v>
      </c>
      <c r="J281" s="16" t="str">
        <f>VLOOKUP($A281,'SurveyRpt_20150223 (1)'!$A$34:$AN$735,12,FALSE)</f>
        <v>Yes</v>
      </c>
      <c r="K281" s="16" t="str">
        <f>VLOOKUP($A281,'SurveyRpt_20150223 (1)'!$A$34:$AN$735,14,FALSE)</f>
        <v>No</v>
      </c>
      <c r="L281" s="16" t="str">
        <f>VLOOKUP($A281,'SurveyRpt_20150223 (1)'!$A$34:$AN$735,16,FALSE)</f>
        <v>Yes</v>
      </c>
      <c r="M281" s="16" t="str">
        <f>VLOOKUP($A281,'SurveyRpt_20150223 (1)'!$A$34:$AN$735,18,FALSE)</f>
        <v>Yes</v>
      </c>
      <c r="N281" s="16" t="str">
        <f>VLOOKUP($A281,'SurveyRpt_20150223 (1)'!$A$34:$AN$735,20,FALSE)</f>
        <v>No</v>
      </c>
      <c r="O281" s="16" t="str">
        <f>VLOOKUP($A281,'SurveyRpt_20150223 (1)'!$A$34:$AN$735,22,FALSE)</f>
        <v>Yes</v>
      </c>
      <c r="P281" s="16" t="str">
        <f>VLOOKUP($A281,'SurveyRpt_20150223 (1)'!$A$34:$AN$735,24,FALSE)</f>
        <v>Yes</v>
      </c>
      <c r="Q281" s="16" t="str">
        <f>VLOOKUP($A281,'SurveyRpt_20150223 (1)'!$A$34:$AN$735,26,FALSE)</f>
        <v>Yes</v>
      </c>
      <c r="R281" s="16" t="str">
        <f>VLOOKUP($A281,'SurveyRpt_20150223 (1)'!$A$34:$AN$735,28,FALSE)</f>
        <v>Yes</v>
      </c>
      <c r="S281" s="16" t="str">
        <f>VLOOKUP($A281,'SurveyRpt_20150223 (1)'!$A$34:$AN$735,30,FALSE)</f>
        <v>Yes</v>
      </c>
      <c r="T281" s="16" t="str">
        <f>VLOOKUP($A281,'SurveyRpt_20150223 (1)'!$A$34:$AN$735,32,FALSE)</f>
        <v>Yes</v>
      </c>
      <c r="U281" s="16" t="str">
        <f>VLOOKUP($A281,'SurveyRpt_20150223 (1)'!$A$34:$AN$735,34,FALSE)</f>
        <v>Yes</v>
      </c>
      <c r="V281" s="16" t="str">
        <f>VLOOKUP($A281,'SurveyRpt_20150223 (1)'!$A$34:$AN$735,36,FALSE)</f>
        <v>Yes</v>
      </c>
      <c r="W281" s="16" t="str">
        <f>VLOOKUP($A281,'SurveyRpt_20150223 (1)'!$A$34:$AN$735,38,FALSE)</f>
        <v>Yes</v>
      </c>
    </row>
    <row r="282" spans="1:23" ht="13.5" customHeight="1" x14ac:dyDescent="0.25">
      <c r="A282" s="19" t="s">
        <v>375</v>
      </c>
      <c r="B282" s="19" t="str">
        <f t="shared" si="4"/>
        <v>BVARGHESE5</v>
      </c>
      <c r="C282" s="16" t="str">
        <f>VLOOKUP(B282,'Compiled Agents'!A:H,2,FALSE)</f>
        <v>Platform</v>
      </c>
      <c r="D282" s="16" t="str">
        <f>VLOOKUP(B282,'Compiled Agents'!A:H,4,FALSE)</f>
        <v>Noida</v>
      </c>
      <c r="E282" s="16" t="str">
        <f>VLOOKUP(B282,'Compiled Agents'!A:H,5,FALSE)</f>
        <v>Wave1</v>
      </c>
      <c r="F282" s="16" t="str">
        <f>VLOOKUP(B282,'Compiled Agents'!A:H,6,FALSE)</f>
        <v>Purple</v>
      </c>
      <c r="G282" s="16">
        <f>VLOOKUP($A282,'SurveyRpt_20150223 (1)'!$A$34:$AN$735,6,FALSE)</f>
        <v>16</v>
      </c>
      <c r="H282" s="16" t="str">
        <f>VLOOKUP($A282,'SurveyRpt_20150223 (1)'!$A$34:$AN$735,8,FALSE)</f>
        <v>Yes</v>
      </c>
      <c r="I282" s="16" t="str">
        <f>VLOOKUP($A282,'SurveyRpt_20150223 (1)'!$A$34:$AN$735,10,FALSE)</f>
        <v>Yes</v>
      </c>
      <c r="J282" s="16" t="str">
        <f>VLOOKUP($A282,'SurveyRpt_20150223 (1)'!$A$34:$AN$735,12,FALSE)</f>
        <v>Yes</v>
      </c>
      <c r="K282" s="16" t="str">
        <f>VLOOKUP($A282,'SurveyRpt_20150223 (1)'!$A$34:$AN$735,14,FALSE)</f>
        <v>Yes</v>
      </c>
      <c r="L282" s="16" t="str">
        <f>VLOOKUP($A282,'SurveyRpt_20150223 (1)'!$A$34:$AN$735,16,FALSE)</f>
        <v>Yes</v>
      </c>
      <c r="M282" s="16" t="str">
        <f>VLOOKUP($A282,'SurveyRpt_20150223 (1)'!$A$34:$AN$735,18,FALSE)</f>
        <v>Yes</v>
      </c>
      <c r="N282" s="16" t="str">
        <f>VLOOKUP($A282,'SurveyRpt_20150223 (1)'!$A$34:$AN$735,20,FALSE)</f>
        <v>Yes</v>
      </c>
      <c r="O282" s="16" t="str">
        <f>VLOOKUP($A282,'SurveyRpt_20150223 (1)'!$A$34:$AN$735,22,FALSE)</f>
        <v>Yes</v>
      </c>
      <c r="P282" s="16" t="str">
        <f>VLOOKUP($A282,'SurveyRpt_20150223 (1)'!$A$34:$AN$735,24,FALSE)</f>
        <v>Yes</v>
      </c>
      <c r="Q282" s="16" t="str">
        <f>VLOOKUP($A282,'SurveyRpt_20150223 (1)'!$A$34:$AN$735,26,FALSE)</f>
        <v>Yes</v>
      </c>
      <c r="R282" s="16" t="str">
        <f>VLOOKUP($A282,'SurveyRpt_20150223 (1)'!$A$34:$AN$735,28,FALSE)</f>
        <v>Yes</v>
      </c>
      <c r="S282" s="16" t="str">
        <f>VLOOKUP($A282,'SurveyRpt_20150223 (1)'!$A$34:$AN$735,30,FALSE)</f>
        <v>Yes</v>
      </c>
      <c r="T282" s="16" t="str">
        <f>VLOOKUP($A282,'SurveyRpt_20150223 (1)'!$A$34:$AN$735,32,FALSE)</f>
        <v>Yes</v>
      </c>
      <c r="U282" s="16" t="str">
        <f>VLOOKUP($A282,'SurveyRpt_20150223 (1)'!$A$34:$AN$735,34,FALSE)</f>
        <v>Yes</v>
      </c>
      <c r="V282" s="16" t="str">
        <f>VLOOKUP($A282,'SurveyRpt_20150223 (1)'!$A$34:$AN$735,36,FALSE)</f>
        <v>Yes</v>
      </c>
      <c r="W282" s="16" t="str">
        <f>VLOOKUP($A282,'SurveyRpt_20150223 (1)'!$A$34:$AN$735,38,FALSE)</f>
        <v>Yes</v>
      </c>
    </row>
    <row r="283" spans="1:23" ht="13.5" customHeight="1" x14ac:dyDescent="0.25">
      <c r="A283" s="19" t="s">
        <v>376</v>
      </c>
      <c r="B283" s="19" t="str">
        <f t="shared" si="4"/>
        <v>MUDDIN5</v>
      </c>
      <c r="C283" s="16" t="str">
        <f>VLOOKUP(B283,'Compiled Agents'!A:H,2,FALSE)</f>
        <v>Workplace</v>
      </c>
      <c r="D283" s="16" t="str">
        <f>VLOOKUP(B283,'Compiled Agents'!A:H,4,FALSE)</f>
        <v>Hyderabad</v>
      </c>
      <c r="E283" s="16" t="str">
        <f>VLOOKUP(B283,'Compiled Agents'!A:H,5,FALSE)</f>
        <v>Wave2</v>
      </c>
      <c r="F283" s="16" t="str">
        <f>VLOOKUP(B283,'Compiled Agents'!A:H,6,FALSE)</f>
        <v>Yellow</v>
      </c>
      <c r="G283" s="16">
        <f>VLOOKUP($A283,'SurveyRpt_20150223 (1)'!$A$34:$AN$735,6,FALSE)</f>
        <v>12</v>
      </c>
      <c r="H283" s="16" t="str">
        <f>VLOOKUP($A283,'SurveyRpt_20150223 (1)'!$A$34:$AN$735,8,FALSE)</f>
        <v>Yes</v>
      </c>
      <c r="I283" s="16" t="str">
        <f>VLOOKUP($A283,'SurveyRpt_20150223 (1)'!$A$34:$AN$735,10,FALSE)</f>
        <v>No</v>
      </c>
      <c r="J283" s="16" t="str">
        <f>VLOOKUP($A283,'SurveyRpt_20150223 (1)'!$A$34:$AN$735,12,FALSE)</f>
        <v>No</v>
      </c>
      <c r="K283" s="16" t="str">
        <f>VLOOKUP($A283,'SurveyRpt_20150223 (1)'!$A$34:$AN$735,14,FALSE)</f>
        <v>Yes</v>
      </c>
      <c r="L283" s="16" t="str">
        <f>VLOOKUP($A283,'SurveyRpt_20150223 (1)'!$A$34:$AN$735,16,FALSE)</f>
        <v>Yes</v>
      </c>
      <c r="M283" s="16" t="str">
        <f>VLOOKUP($A283,'SurveyRpt_20150223 (1)'!$A$34:$AN$735,18,FALSE)</f>
        <v>Yes</v>
      </c>
      <c r="N283" s="16" t="str">
        <f>VLOOKUP($A283,'SurveyRpt_20150223 (1)'!$A$34:$AN$735,20,FALSE)</f>
        <v>Yes</v>
      </c>
      <c r="O283" s="16" t="str">
        <f>VLOOKUP($A283,'SurveyRpt_20150223 (1)'!$A$34:$AN$735,22,FALSE)</f>
        <v>Yes</v>
      </c>
      <c r="P283" s="16" t="str">
        <f>VLOOKUP($A283,'SurveyRpt_20150223 (1)'!$A$34:$AN$735,24,FALSE)</f>
        <v>No</v>
      </c>
      <c r="Q283" s="16" t="str">
        <f>VLOOKUP($A283,'SurveyRpt_20150223 (1)'!$A$34:$AN$735,26,FALSE)</f>
        <v>No</v>
      </c>
      <c r="R283" s="16" t="str">
        <f>VLOOKUP($A283,'SurveyRpt_20150223 (1)'!$A$34:$AN$735,28,FALSE)</f>
        <v>Yes</v>
      </c>
      <c r="S283" s="16" t="str">
        <f>VLOOKUP($A283,'SurveyRpt_20150223 (1)'!$A$34:$AN$735,30,FALSE)</f>
        <v>Yes</v>
      </c>
      <c r="T283" s="16" t="str">
        <f>VLOOKUP($A283,'SurveyRpt_20150223 (1)'!$A$34:$AN$735,32,FALSE)</f>
        <v>Yes</v>
      </c>
      <c r="U283" s="16" t="str">
        <f>VLOOKUP($A283,'SurveyRpt_20150223 (1)'!$A$34:$AN$735,34,FALSE)</f>
        <v>Yes</v>
      </c>
      <c r="V283" s="16" t="str">
        <f>VLOOKUP($A283,'SurveyRpt_20150223 (1)'!$A$34:$AN$735,36,FALSE)</f>
        <v>Yes</v>
      </c>
      <c r="W283" s="16" t="str">
        <f>VLOOKUP($A283,'SurveyRpt_20150223 (1)'!$A$34:$AN$735,38,FALSE)</f>
        <v>Yes</v>
      </c>
    </row>
    <row r="284" spans="1:23" ht="13.5" customHeight="1" x14ac:dyDescent="0.25">
      <c r="A284" s="19" t="s">
        <v>377</v>
      </c>
      <c r="B284" s="19" t="str">
        <f t="shared" si="4"/>
        <v>ASURINDERKU2</v>
      </c>
      <c r="C284" s="16" t="str">
        <f>VLOOKUP(B284,'Compiled Agents'!A:H,2,FALSE)</f>
        <v>Workplace</v>
      </c>
      <c r="D284" s="16" t="str">
        <f>VLOOKUP(B284,'Compiled Agents'!A:H,4,FALSE)</f>
        <v>Noida</v>
      </c>
      <c r="E284" s="16" t="str">
        <f>VLOOKUP(B284,'Compiled Agents'!A:H,5,FALSE)</f>
        <v>Wave1</v>
      </c>
      <c r="F284" s="16" t="str">
        <f>VLOOKUP(B284,'Compiled Agents'!A:H,6,FALSE)</f>
        <v>Purple</v>
      </c>
      <c r="G284" s="16">
        <f>VLOOKUP($A284,'SurveyRpt_20150223 (1)'!$A$34:$AN$735,6,FALSE)</f>
        <v>16</v>
      </c>
      <c r="H284" s="16" t="str">
        <f>VLOOKUP($A284,'SurveyRpt_20150223 (1)'!$A$34:$AN$735,8,FALSE)</f>
        <v>Yes</v>
      </c>
      <c r="I284" s="16" t="str">
        <f>VLOOKUP($A284,'SurveyRpt_20150223 (1)'!$A$34:$AN$735,10,FALSE)</f>
        <v>Yes</v>
      </c>
      <c r="J284" s="16" t="str">
        <f>VLOOKUP($A284,'SurveyRpt_20150223 (1)'!$A$34:$AN$735,12,FALSE)</f>
        <v>Yes</v>
      </c>
      <c r="K284" s="16" t="str">
        <f>VLOOKUP($A284,'SurveyRpt_20150223 (1)'!$A$34:$AN$735,14,FALSE)</f>
        <v>Yes</v>
      </c>
      <c r="L284" s="16" t="str">
        <f>VLOOKUP($A284,'SurveyRpt_20150223 (1)'!$A$34:$AN$735,16,FALSE)</f>
        <v>Yes</v>
      </c>
      <c r="M284" s="16" t="str">
        <f>VLOOKUP($A284,'SurveyRpt_20150223 (1)'!$A$34:$AN$735,18,FALSE)</f>
        <v>Yes</v>
      </c>
      <c r="N284" s="16" t="str">
        <f>VLOOKUP($A284,'SurveyRpt_20150223 (1)'!$A$34:$AN$735,20,FALSE)</f>
        <v>Yes</v>
      </c>
      <c r="O284" s="16" t="str">
        <f>VLOOKUP($A284,'SurveyRpt_20150223 (1)'!$A$34:$AN$735,22,FALSE)</f>
        <v>Yes</v>
      </c>
      <c r="P284" s="16" t="str">
        <f>VLOOKUP($A284,'SurveyRpt_20150223 (1)'!$A$34:$AN$735,24,FALSE)</f>
        <v>Yes</v>
      </c>
      <c r="Q284" s="16" t="str">
        <f>VLOOKUP($A284,'SurveyRpt_20150223 (1)'!$A$34:$AN$735,26,FALSE)</f>
        <v>Yes</v>
      </c>
      <c r="R284" s="16" t="str">
        <f>VLOOKUP($A284,'SurveyRpt_20150223 (1)'!$A$34:$AN$735,28,FALSE)</f>
        <v>Yes</v>
      </c>
      <c r="S284" s="16" t="str">
        <f>VLOOKUP($A284,'SurveyRpt_20150223 (1)'!$A$34:$AN$735,30,FALSE)</f>
        <v>Yes</v>
      </c>
      <c r="T284" s="16" t="str">
        <f>VLOOKUP($A284,'SurveyRpt_20150223 (1)'!$A$34:$AN$735,32,FALSE)</f>
        <v>Yes</v>
      </c>
      <c r="U284" s="16" t="str">
        <f>VLOOKUP($A284,'SurveyRpt_20150223 (1)'!$A$34:$AN$735,34,FALSE)</f>
        <v>Yes</v>
      </c>
      <c r="V284" s="16" t="str">
        <f>VLOOKUP($A284,'SurveyRpt_20150223 (1)'!$A$34:$AN$735,36,FALSE)</f>
        <v>Yes</v>
      </c>
      <c r="W284" s="16" t="str">
        <f>VLOOKUP($A284,'SurveyRpt_20150223 (1)'!$A$34:$AN$735,38,FALSE)</f>
        <v>Yes</v>
      </c>
    </row>
    <row r="285" spans="1:23" ht="13.5" customHeight="1" x14ac:dyDescent="0.25">
      <c r="A285" s="19" t="s">
        <v>378</v>
      </c>
      <c r="B285" s="19" t="str">
        <f t="shared" si="4"/>
        <v>TNEAL2</v>
      </c>
      <c r="C285" s="16" t="str">
        <f>VLOOKUP(B285,'Compiled Agents'!A:H,2,FALSE)</f>
        <v>Workplace</v>
      </c>
      <c r="D285" s="16" t="str">
        <f>VLOOKUP(B285,'Compiled Agents'!A:H,4,FALSE)</f>
        <v>MBC US</v>
      </c>
      <c r="E285" s="16" t="str">
        <f>VLOOKUP(B285,'Compiled Agents'!A:H,5,FALSE)</f>
        <v>Wave2</v>
      </c>
      <c r="F285" s="16" t="str">
        <f>VLOOKUP(B285,'Compiled Agents'!A:H,6,FALSE)</f>
        <v>Orange</v>
      </c>
      <c r="G285" s="16">
        <f>VLOOKUP($A285,'SurveyRpt_20150223 (1)'!$A$34:$AN$735,6,FALSE)</f>
        <v>3</v>
      </c>
      <c r="H285" s="16" t="str">
        <f>VLOOKUP($A285,'SurveyRpt_20150223 (1)'!$A$34:$AN$735,8,FALSE)</f>
        <v>No</v>
      </c>
      <c r="I285" s="16" t="str">
        <f>VLOOKUP($A285,'SurveyRpt_20150223 (1)'!$A$34:$AN$735,10,FALSE)</f>
        <v>No</v>
      </c>
      <c r="J285" s="16" t="str">
        <f>VLOOKUP($A285,'SurveyRpt_20150223 (1)'!$A$34:$AN$735,12,FALSE)</f>
        <v>No</v>
      </c>
      <c r="K285" s="16" t="str">
        <f>VLOOKUP($A285,'SurveyRpt_20150223 (1)'!$A$34:$AN$735,14,FALSE)</f>
        <v>No</v>
      </c>
      <c r="L285" s="16" t="str">
        <f>VLOOKUP($A285,'SurveyRpt_20150223 (1)'!$A$34:$AN$735,16,FALSE)</f>
        <v>Yes</v>
      </c>
      <c r="M285" s="16" t="str">
        <f>VLOOKUP($A285,'SurveyRpt_20150223 (1)'!$A$34:$AN$735,18,FALSE)</f>
        <v>No</v>
      </c>
      <c r="N285" s="16" t="str">
        <f>VLOOKUP($A285,'SurveyRpt_20150223 (1)'!$A$34:$AN$735,20,FALSE)</f>
        <v>No</v>
      </c>
      <c r="O285" s="16" t="str">
        <f>VLOOKUP($A285,'SurveyRpt_20150223 (1)'!$A$34:$AN$735,22,FALSE)</f>
        <v>No</v>
      </c>
      <c r="P285" s="16" t="str">
        <f>VLOOKUP($A285,'SurveyRpt_20150223 (1)'!$A$34:$AN$735,24,FALSE)</f>
        <v>No</v>
      </c>
      <c r="Q285" s="16" t="str">
        <f>VLOOKUP($A285,'SurveyRpt_20150223 (1)'!$A$34:$AN$735,26,FALSE)</f>
        <v>No</v>
      </c>
      <c r="R285" s="16" t="str">
        <f>VLOOKUP($A285,'SurveyRpt_20150223 (1)'!$A$34:$AN$735,28,FALSE)</f>
        <v>No</v>
      </c>
      <c r="S285" s="16" t="str">
        <f>VLOOKUP($A285,'SurveyRpt_20150223 (1)'!$A$34:$AN$735,30,FALSE)</f>
        <v>Yes</v>
      </c>
      <c r="T285" s="16" t="str">
        <f>VLOOKUP($A285,'SurveyRpt_20150223 (1)'!$A$34:$AN$735,32,FALSE)</f>
        <v>No</v>
      </c>
      <c r="U285" s="16" t="str">
        <f>VLOOKUP($A285,'SurveyRpt_20150223 (1)'!$A$34:$AN$735,34,FALSE)</f>
        <v>No</v>
      </c>
      <c r="V285" s="16" t="str">
        <f>VLOOKUP($A285,'SurveyRpt_20150223 (1)'!$A$34:$AN$735,36,FALSE)</f>
        <v>Yes</v>
      </c>
      <c r="W285" s="16" t="str">
        <f>VLOOKUP($A285,'SurveyRpt_20150223 (1)'!$A$34:$AN$735,38,FALSE)</f>
        <v>No</v>
      </c>
    </row>
    <row r="286" spans="1:23" ht="13.5" customHeight="1" x14ac:dyDescent="0.25">
      <c r="A286" s="19" t="s">
        <v>379</v>
      </c>
      <c r="B286" s="19" t="str">
        <f t="shared" si="4"/>
        <v>mgonzalez30</v>
      </c>
      <c r="C286" s="16" t="str">
        <f>VLOOKUP(B286,'Compiled Agents'!A:H,2,FALSE)</f>
        <v>Workplace</v>
      </c>
      <c r="D286" s="16" t="str">
        <f>VLOOKUP(B286,'Compiled Agents'!A:H,4,FALSE)</f>
        <v>MBC US</v>
      </c>
      <c r="E286" s="16" t="str">
        <f>VLOOKUP(B286,'Compiled Agents'!A:H,5,FALSE)</f>
        <v>Wave2</v>
      </c>
      <c r="F286" s="16" t="str">
        <f>VLOOKUP(B286,'Compiled Agents'!A:H,6,FALSE)</f>
        <v>Yellow</v>
      </c>
      <c r="G286" s="16">
        <f>VLOOKUP($A286,'SurveyRpt_20150223 (1)'!$A$34:$AN$735,6,FALSE)</f>
        <v>7</v>
      </c>
      <c r="H286" s="16" t="str">
        <f>VLOOKUP($A286,'SurveyRpt_20150223 (1)'!$A$34:$AN$735,8,FALSE)</f>
        <v>No</v>
      </c>
      <c r="I286" s="16" t="str">
        <f>VLOOKUP($A286,'SurveyRpt_20150223 (1)'!$A$34:$AN$735,10,FALSE)</f>
        <v>No</v>
      </c>
      <c r="J286" s="16" t="str">
        <f>VLOOKUP($A286,'SurveyRpt_20150223 (1)'!$A$34:$AN$735,12,FALSE)</f>
        <v>No</v>
      </c>
      <c r="K286" s="16" t="str">
        <f>VLOOKUP($A286,'SurveyRpt_20150223 (1)'!$A$34:$AN$735,14,FALSE)</f>
        <v>Yes</v>
      </c>
      <c r="L286" s="16" t="str">
        <f>VLOOKUP($A286,'SurveyRpt_20150223 (1)'!$A$34:$AN$735,16,FALSE)</f>
        <v>No</v>
      </c>
      <c r="M286" s="16" t="str">
        <f>VLOOKUP($A286,'SurveyRpt_20150223 (1)'!$A$34:$AN$735,18,FALSE)</f>
        <v>Yes</v>
      </c>
      <c r="N286" s="16" t="str">
        <f>VLOOKUP($A286,'SurveyRpt_20150223 (1)'!$A$34:$AN$735,20,FALSE)</f>
        <v>No</v>
      </c>
      <c r="O286" s="16" t="str">
        <f>VLOOKUP($A286,'SurveyRpt_20150223 (1)'!$A$34:$AN$735,22,FALSE)</f>
        <v>Yes</v>
      </c>
      <c r="P286" s="16" t="str">
        <f>VLOOKUP($A286,'SurveyRpt_20150223 (1)'!$A$34:$AN$735,24,FALSE)</f>
        <v>Yes</v>
      </c>
      <c r="Q286" s="16" t="str">
        <f>VLOOKUP($A286,'SurveyRpt_20150223 (1)'!$A$34:$AN$735,26,FALSE)</f>
        <v>Yes</v>
      </c>
      <c r="R286" s="16" t="str">
        <f>VLOOKUP($A286,'SurveyRpt_20150223 (1)'!$A$34:$AN$735,28,FALSE)</f>
        <v>Yes</v>
      </c>
      <c r="S286" s="16" t="str">
        <f>VLOOKUP($A286,'SurveyRpt_20150223 (1)'!$A$34:$AN$735,30,FALSE)</f>
        <v>No</v>
      </c>
      <c r="T286" s="16" t="str">
        <f>VLOOKUP($A286,'SurveyRpt_20150223 (1)'!$A$34:$AN$735,32,FALSE)</f>
        <v>No</v>
      </c>
      <c r="U286" s="16" t="str">
        <f>VLOOKUP($A286,'SurveyRpt_20150223 (1)'!$A$34:$AN$735,34,FALSE)</f>
        <v>Yes</v>
      </c>
      <c r="V286" s="16" t="str">
        <f>VLOOKUP($A286,'SurveyRpt_20150223 (1)'!$A$34:$AN$735,36,FALSE)</f>
        <v>No</v>
      </c>
      <c r="W286" s="16" t="str">
        <f>VLOOKUP($A286,'SurveyRpt_20150223 (1)'!$A$34:$AN$735,38,FALSE)</f>
        <v>No</v>
      </c>
    </row>
    <row r="287" spans="1:23" ht="13.5" customHeight="1" x14ac:dyDescent="0.25">
      <c r="A287" s="19" t="s">
        <v>380</v>
      </c>
      <c r="B287" s="19" t="str">
        <f t="shared" si="4"/>
        <v>rnys</v>
      </c>
      <c r="C287" s="16" t="str">
        <f>VLOOKUP(B287,'Compiled Agents'!A:H,2,FALSE)</f>
        <v>Platform</v>
      </c>
      <c r="D287" s="16" t="str">
        <f>VLOOKUP(B287,'Compiled Agents'!A:H,4,FALSE)</f>
        <v>MBC US</v>
      </c>
      <c r="E287" s="16" t="str">
        <f>VLOOKUP(B287,'Compiled Agents'!A:H,5,FALSE)</f>
        <v>Wave2</v>
      </c>
      <c r="F287" s="16" t="str">
        <f>VLOOKUP(B287,'Compiled Agents'!A:H,6,FALSE)</f>
        <v>Blue</v>
      </c>
      <c r="G287" s="16">
        <f>VLOOKUP($A287,'SurveyRpt_20150223 (1)'!$A$34:$AN$735,6,FALSE)</f>
        <v>9</v>
      </c>
      <c r="H287" s="16" t="str">
        <f>VLOOKUP($A287,'SurveyRpt_20150223 (1)'!$A$34:$AN$735,8,FALSE)</f>
        <v>No</v>
      </c>
      <c r="I287" s="16" t="str">
        <f>VLOOKUP($A287,'SurveyRpt_20150223 (1)'!$A$34:$AN$735,10,FALSE)</f>
        <v>No</v>
      </c>
      <c r="J287" s="16" t="str">
        <f>VLOOKUP($A287,'SurveyRpt_20150223 (1)'!$A$34:$AN$735,12,FALSE)</f>
        <v>No</v>
      </c>
      <c r="K287" s="16" t="str">
        <f>VLOOKUP($A287,'SurveyRpt_20150223 (1)'!$A$34:$AN$735,14,FALSE)</f>
        <v>No</v>
      </c>
      <c r="L287" s="16" t="str">
        <f>VLOOKUP($A287,'SurveyRpt_20150223 (1)'!$A$34:$AN$735,16,FALSE)</f>
        <v>Yes</v>
      </c>
      <c r="M287" s="16" t="str">
        <f>VLOOKUP($A287,'SurveyRpt_20150223 (1)'!$A$34:$AN$735,18,FALSE)</f>
        <v>Yes</v>
      </c>
      <c r="N287" s="16" t="str">
        <f>VLOOKUP($A287,'SurveyRpt_20150223 (1)'!$A$34:$AN$735,20,FALSE)</f>
        <v>Yes</v>
      </c>
      <c r="O287" s="16" t="str">
        <f>VLOOKUP($A287,'SurveyRpt_20150223 (1)'!$A$34:$AN$735,22,FALSE)</f>
        <v>Yes</v>
      </c>
      <c r="P287" s="16" t="str">
        <f>VLOOKUP($A287,'SurveyRpt_20150223 (1)'!$A$34:$AN$735,24,FALSE)</f>
        <v>No</v>
      </c>
      <c r="Q287" s="16" t="str">
        <f>VLOOKUP($A287,'SurveyRpt_20150223 (1)'!$A$34:$AN$735,26,FALSE)</f>
        <v>No</v>
      </c>
      <c r="R287" s="16" t="str">
        <f>VLOOKUP($A287,'SurveyRpt_20150223 (1)'!$A$34:$AN$735,28,FALSE)</f>
        <v>Yes</v>
      </c>
      <c r="S287" s="16" t="str">
        <f>VLOOKUP($A287,'SurveyRpt_20150223 (1)'!$A$34:$AN$735,30,FALSE)</f>
        <v>Yes</v>
      </c>
      <c r="T287" s="16" t="str">
        <f>VLOOKUP($A287,'SurveyRpt_20150223 (1)'!$A$34:$AN$735,32,FALSE)</f>
        <v>Yes</v>
      </c>
      <c r="U287" s="16" t="str">
        <f>VLOOKUP($A287,'SurveyRpt_20150223 (1)'!$A$34:$AN$735,34,FALSE)</f>
        <v>Yes</v>
      </c>
      <c r="V287" s="16" t="str">
        <f>VLOOKUP($A287,'SurveyRpt_20150223 (1)'!$A$34:$AN$735,36,FALSE)</f>
        <v>Yes</v>
      </c>
      <c r="W287" s="16" t="str">
        <f>VLOOKUP($A287,'SurveyRpt_20150223 (1)'!$A$34:$AN$735,38,FALSE)</f>
        <v>No</v>
      </c>
    </row>
    <row r="288" spans="1:23" ht="13.5" customHeight="1" x14ac:dyDescent="0.25">
      <c r="A288" s="19" t="s">
        <v>381</v>
      </c>
      <c r="B288" s="19" t="str">
        <f t="shared" si="4"/>
        <v>CVERMA3</v>
      </c>
      <c r="C288" s="16" t="str">
        <f>VLOOKUP(B288,'Compiled Agents'!A:H,2,FALSE)</f>
        <v>Workplace</v>
      </c>
      <c r="D288" s="16" t="str">
        <f>VLOOKUP(B288,'Compiled Agents'!A:H,4,FALSE)</f>
        <v>Noida</v>
      </c>
      <c r="E288" s="16" t="str">
        <f>VLOOKUP(B288,'Compiled Agents'!A:H,5,FALSE)</f>
        <v>Wave2</v>
      </c>
      <c r="F288" s="16" t="str">
        <f>VLOOKUP(B288,'Compiled Agents'!A:H,6,FALSE)</f>
        <v>Yellow</v>
      </c>
      <c r="G288" s="16">
        <f>VLOOKUP($A288,'SurveyRpt_20150223 (1)'!$A$34:$AN$735,6,FALSE)</f>
        <v>16</v>
      </c>
      <c r="H288" s="16" t="str">
        <f>VLOOKUP($A288,'SurveyRpt_20150223 (1)'!$A$34:$AN$735,8,FALSE)</f>
        <v>Yes</v>
      </c>
      <c r="I288" s="16" t="str">
        <f>VLOOKUP($A288,'SurveyRpt_20150223 (1)'!$A$34:$AN$735,10,FALSE)</f>
        <v>Yes</v>
      </c>
      <c r="J288" s="16" t="str">
        <f>VLOOKUP($A288,'SurveyRpt_20150223 (1)'!$A$34:$AN$735,12,FALSE)</f>
        <v>Yes</v>
      </c>
      <c r="K288" s="16" t="str">
        <f>VLOOKUP($A288,'SurveyRpt_20150223 (1)'!$A$34:$AN$735,14,FALSE)</f>
        <v>Yes</v>
      </c>
      <c r="L288" s="16" t="str">
        <f>VLOOKUP($A288,'SurveyRpt_20150223 (1)'!$A$34:$AN$735,16,FALSE)</f>
        <v>Yes</v>
      </c>
      <c r="M288" s="16" t="str">
        <f>VLOOKUP($A288,'SurveyRpt_20150223 (1)'!$A$34:$AN$735,18,FALSE)</f>
        <v>Yes</v>
      </c>
      <c r="N288" s="16" t="str">
        <f>VLOOKUP($A288,'SurveyRpt_20150223 (1)'!$A$34:$AN$735,20,FALSE)</f>
        <v>Yes</v>
      </c>
      <c r="O288" s="16" t="str">
        <f>VLOOKUP($A288,'SurveyRpt_20150223 (1)'!$A$34:$AN$735,22,FALSE)</f>
        <v>Yes</v>
      </c>
      <c r="P288" s="16" t="str">
        <f>VLOOKUP($A288,'SurveyRpt_20150223 (1)'!$A$34:$AN$735,24,FALSE)</f>
        <v>Yes</v>
      </c>
      <c r="Q288" s="16" t="str">
        <f>VLOOKUP($A288,'SurveyRpt_20150223 (1)'!$A$34:$AN$735,26,FALSE)</f>
        <v>Yes</v>
      </c>
      <c r="R288" s="16" t="str">
        <f>VLOOKUP($A288,'SurveyRpt_20150223 (1)'!$A$34:$AN$735,28,FALSE)</f>
        <v>Yes</v>
      </c>
      <c r="S288" s="16" t="str">
        <f>VLOOKUP($A288,'SurveyRpt_20150223 (1)'!$A$34:$AN$735,30,FALSE)</f>
        <v>Yes</v>
      </c>
      <c r="T288" s="16" t="str">
        <f>VLOOKUP($A288,'SurveyRpt_20150223 (1)'!$A$34:$AN$735,32,FALSE)</f>
        <v>Yes</v>
      </c>
      <c r="U288" s="16" t="str">
        <f>VLOOKUP($A288,'SurveyRpt_20150223 (1)'!$A$34:$AN$735,34,FALSE)</f>
        <v>Yes</v>
      </c>
      <c r="V288" s="16" t="str">
        <f>VLOOKUP($A288,'SurveyRpt_20150223 (1)'!$A$34:$AN$735,36,FALSE)</f>
        <v>Yes</v>
      </c>
      <c r="W288" s="16" t="str">
        <f>VLOOKUP($A288,'SurveyRpt_20150223 (1)'!$A$34:$AN$735,38,FALSE)</f>
        <v>Yes</v>
      </c>
    </row>
    <row r="289" spans="1:23" ht="13.5" customHeight="1" x14ac:dyDescent="0.25">
      <c r="A289" s="19" t="s">
        <v>382</v>
      </c>
      <c r="B289" s="19" t="str">
        <f t="shared" si="4"/>
        <v>arodriguezsa</v>
      </c>
      <c r="C289" s="16" t="str">
        <f>VLOOKUP(B289,'Compiled Agents'!A:H,2,FALSE)</f>
        <v>Platform</v>
      </c>
      <c r="D289" s="16" t="str">
        <f>VLOOKUP(B289,'Compiled Agents'!A:H,4,FALSE)</f>
        <v>Spain</v>
      </c>
      <c r="E289" s="16" t="str">
        <f>VLOOKUP(B289,'Compiled Agents'!A:H,5,FALSE)</f>
        <v>Wave1</v>
      </c>
      <c r="F289" s="16" t="str">
        <f>VLOOKUP(B289,'Compiled Agents'!A:H,6,FALSE)</f>
        <v>Yellow</v>
      </c>
      <c r="G289" s="16">
        <f>VLOOKUP($A289,'SurveyRpt_20150223 (1)'!$A$34:$AN$735,6,FALSE)</f>
        <v>14</v>
      </c>
      <c r="H289" s="16" t="str">
        <f>VLOOKUP($A289,'SurveyRpt_20150223 (1)'!$A$34:$AN$735,8,FALSE)</f>
        <v>Yes</v>
      </c>
      <c r="I289" s="16" t="str">
        <f>VLOOKUP($A289,'SurveyRpt_20150223 (1)'!$A$34:$AN$735,10,FALSE)</f>
        <v>Yes</v>
      </c>
      <c r="J289" s="16" t="str">
        <f>VLOOKUP($A289,'SurveyRpt_20150223 (1)'!$A$34:$AN$735,12,FALSE)</f>
        <v>Yes</v>
      </c>
      <c r="K289" s="16" t="str">
        <f>VLOOKUP($A289,'SurveyRpt_20150223 (1)'!$A$34:$AN$735,14,FALSE)</f>
        <v>Yes</v>
      </c>
      <c r="L289" s="16" t="str">
        <f>VLOOKUP($A289,'SurveyRpt_20150223 (1)'!$A$34:$AN$735,16,FALSE)</f>
        <v>Yes</v>
      </c>
      <c r="M289" s="16" t="str">
        <f>VLOOKUP($A289,'SurveyRpt_20150223 (1)'!$A$34:$AN$735,18,FALSE)</f>
        <v>No</v>
      </c>
      <c r="N289" s="16" t="str">
        <f>VLOOKUP($A289,'SurveyRpt_20150223 (1)'!$A$34:$AN$735,20,FALSE)</f>
        <v>Yes</v>
      </c>
      <c r="O289" s="16" t="str">
        <f>VLOOKUP($A289,'SurveyRpt_20150223 (1)'!$A$34:$AN$735,22,FALSE)</f>
        <v>Yes</v>
      </c>
      <c r="P289" s="16" t="str">
        <f>VLOOKUP($A289,'SurveyRpt_20150223 (1)'!$A$34:$AN$735,24,FALSE)</f>
        <v>Yes</v>
      </c>
      <c r="Q289" s="16" t="str">
        <f>VLOOKUP($A289,'SurveyRpt_20150223 (1)'!$A$34:$AN$735,26,FALSE)</f>
        <v>Yes</v>
      </c>
      <c r="R289" s="16" t="str">
        <f>VLOOKUP($A289,'SurveyRpt_20150223 (1)'!$A$34:$AN$735,28,FALSE)</f>
        <v>Yes</v>
      </c>
      <c r="S289" s="16" t="str">
        <f>VLOOKUP($A289,'SurveyRpt_20150223 (1)'!$A$34:$AN$735,30,FALSE)</f>
        <v>Yes</v>
      </c>
      <c r="T289" s="16" t="str">
        <f>VLOOKUP($A289,'SurveyRpt_20150223 (1)'!$A$34:$AN$735,32,FALSE)</f>
        <v>Yes</v>
      </c>
      <c r="U289" s="16" t="str">
        <f>VLOOKUP($A289,'SurveyRpt_20150223 (1)'!$A$34:$AN$735,34,FALSE)</f>
        <v>Yes</v>
      </c>
      <c r="V289" s="16" t="str">
        <f>VLOOKUP($A289,'SurveyRpt_20150223 (1)'!$A$34:$AN$735,36,FALSE)</f>
        <v>Yes</v>
      </c>
      <c r="W289" s="16" t="str">
        <f>VLOOKUP($A289,'SurveyRpt_20150223 (1)'!$A$34:$AN$735,38,FALSE)</f>
        <v>No</v>
      </c>
    </row>
    <row r="290" spans="1:23" ht="13.5" customHeight="1" x14ac:dyDescent="0.25">
      <c r="A290" s="19" t="s">
        <v>383</v>
      </c>
      <c r="B290" s="19" t="str">
        <f t="shared" si="4"/>
        <v>rkumar262</v>
      </c>
      <c r="C290" s="16" t="str">
        <f>VLOOKUP(B290,'Compiled Agents'!A:H,2,FALSE)</f>
        <v>Workplace</v>
      </c>
      <c r="D290" s="16" t="str">
        <f>VLOOKUP(B290,'Compiled Agents'!A:H,4,FALSE)</f>
        <v>Noida</v>
      </c>
      <c r="E290" s="16" t="str">
        <f>VLOOKUP(B290,'Compiled Agents'!A:H,5,FALSE)</f>
        <v>Wave1</v>
      </c>
      <c r="F290" s="16" t="str">
        <f>VLOOKUP(B290,'Compiled Agents'!A:H,6,FALSE)</f>
        <v>Orange</v>
      </c>
      <c r="G290" s="16">
        <f>VLOOKUP($A290,'SurveyRpt_20150223 (1)'!$A$34:$AN$735,6,FALSE)</f>
        <v>11</v>
      </c>
      <c r="H290" s="16" t="str">
        <f>VLOOKUP($A290,'SurveyRpt_20150223 (1)'!$A$34:$AN$735,8,FALSE)</f>
        <v>Yes</v>
      </c>
      <c r="I290" s="16" t="str">
        <f>VLOOKUP($A290,'SurveyRpt_20150223 (1)'!$A$34:$AN$735,10,FALSE)</f>
        <v>Yes</v>
      </c>
      <c r="J290" s="16" t="str">
        <f>VLOOKUP($A290,'SurveyRpt_20150223 (1)'!$A$34:$AN$735,12,FALSE)</f>
        <v>Yes</v>
      </c>
      <c r="K290" s="16" t="str">
        <f>VLOOKUP($A290,'SurveyRpt_20150223 (1)'!$A$34:$AN$735,14,FALSE)</f>
        <v>No</v>
      </c>
      <c r="L290" s="16" t="str">
        <f>VLOOKUP($A290,'SurveyRpt_20150223 (1)'!$A$34:$AN$735,16,FALSE)</f>
        <v>Yes</v>
      </c>
      <c r="M290" s="16" t="str">
        <f>VLOOKUP($A290,'SurveyRpt_20150223 (1)'!$A$34:$AN$735,18,FALSE)</f>
        <v>Yes</v>
      </c>
      <c r="N290" s="16" t="str">
        <f>VLOOKUP($A290,'SurveyRpt_20150223 (1)'!$A$34:$AN$735,20,FALSE)</f>
        <v>Yes</v>
      </c>
      <c r="O290" s="16" t="str">
        <f>VLOOKUP($A290,'SurveyRpt_20150223 (1)'!$A$34:$AN$735,22,FALSE)</f>
        <v>No</v>
      </c>
      <c r="P290" s="16" t="str">
        <f>VLOOKUP($A290,'SurveyRpt_20150223 (1)'!$A$34:$AN$735,24,FALSE)</f>
        <v>No</v>
      </c>
      <c r="Q290" s="16" t="str">
        <f>VLOOKUP($A290,'SurveyRpt_20150223 (1)'!$A$34:$AN$735,26,FALSE)</f>
        <v>No</v>
      </c>
      <c r="R290" s="16" t="str">
        <f>VLOOKUP($A290,'SurveyRpt_20150223 (1)'!$A$34:$AN$735,28,FALSE)</f>
        <v>No</v>
      </c>
      <c r="S290" s="16" t="str">
        <f>VLOOKUP($A290,'SurveyRpt_20150223 (1)'!$A$34:$AN$735,30,FALSE)</f>
        <v>Yes</v>
      </c>
      <c r="T290" s="16" t="str">
        <f>VLOOKUP($A290,'SurveyRpt_20150223 (1)'!$A$34:$AN$735,32,FALSE)</f>
        <v>Yes</v>
      </c>
      <c r="U290" s="16" t="str">
        <f>VLOOKUP($A290,'SurveyRpt_20150223 (1)'!$A$34:$AN$735,34,FALSE)</f>
        <v>Yes</v>
      </c>
      <c r="V290" s="16" t="str">
        <f>VLOOKUP($A290,'SurveyRpt_20150223 (1)'!$A$34:$AN$735,36,FALSE)</f>
        <v>Yes</v>
      </c>
      <c r="W290" s="16" t="str">
        <f>VLOOKUP($A290,'SurveyRpt_20150223 (1)'!$A$34:$AN$735,38,FALSE)</f>
        <v>Yes</v>
      </c>
    </row>
    <row r="291" spans="1:23" ht="13.5" customHeight="1" x14ac:dyDescent="0.25">
      <c r="A291" s="19" t="s">
        <v>384</v>
      </c>
      <c r="B291" s="19" t="str">
        <f t="shared" si="4"/>
        <v>APANJWANI2</v>
      </c>
      <c r="C291" s="16" t="str">
        <f>VLOOKUP(B291,'Compiled Agents'!A:H,2,FALSE)</f>
        <v>Workplace</v>
      </c>
      <c r="D291" s="16" t="str">
        <f>VLOOKUP(B291,'Compiled Agents'!A:H,4,FALSE)</f>
        <v>Noida</v>
      </c>
      <c r="E291" s="16" t="str">
        <f>VLOOKUP(B291,'Compiled Agents'!A:H,5,FALSE)</f>
        <v>Wave1</v>
      </c>
      <c r="F291" s="16" t="str">
        <f>VLOOKUP(B291,'Compiled Agents'!A:H,6,FALSE)</f>
        <v>Purple</v>
      </c>
      <c r="G291" s="16">
        <f>VLOOKUP($A291,'SurveyRpt_20150223 (1)'!$A$34:$AN$735,6,FALSE)</f>
        <v>16</v>
      </c>
      <c r="H291" s="16" t="str">
        <f>VLOOKUP($A291,'SurveyRpt_20150223 (1)'!$A$34:$AN$735,8,FALSE)</f>
        <v>Yes</v>
      </c>
      <c r="I291" s="16" t="str">
        <f>VLOOKUP($A291,'SurveyRpt_20150223 (1)'!$A$34:$AN$735,10,FALSE)</f>
        <v>Yes</v>
      </c>
      <c r="J291" s="16" t="str">
        <f>VLOOKUP($A291,'SurveyRpt_20150223 (1)'!$A$34:$AN$735,12,FALSE)</f>
        <v>Yes</v>
      </c>
      <c r="K291" s="16" t="str">
        <f>VLOOKUP($A291,'SurveyRpt_20150223 (1)'!$A$34:$AN$735,14,FALSE)</f>
        <v>Yes</v>
      </c>
      <c r="L291" s="16" t="str">
        <f>VLOOKUP($A291,'SurveyRpt_20150223 (1)'!$A$34:$AN$735,16,FALSE)</f>
        <v>Yes</v>
      </c>
      <c r="M291" s="16" t="str">
        <f>VLOOKUP($A291,'SurveyRpt_20150223 (1)'!$A$34:$AN$735,18,FALSE)</f>
        <v>Yes</v>
      </c>
      <c r="N291" s="16" t="str">
        <f>VLOOKUP($A291,'SurveyRpt_20150223 (1)'!$A$34:$AN$735,20,FALSE)</f>
        <v>Yes</v>
      </c>
      <c r="O291" s="16" t="str">
        <f>VLOOKUP($A291,'SurveyRpt_20150223 (1)'!$A$34:$AN$735,22,FALSE)</f>
        <v>Yes</v>
      </c>
      <c r="P291" s="16" t="str">
        <f>VLOOKUP($A291,'SurveyRpt_20150223 (1)'!$A$34:$AN$735,24,FALSE)</f>
        <v>Yes</v>
      </c>
      <c r="Q291" s="16" t="str">
        <f>VLOOKUP($A291,'SurveyRpt_20150223 (1)'!$A$34:$AN$735,26,FALSE)</f>
        <v>Yes</v>
      </c>
      <c r="R291" s="16" t="str">
        <f>VLOOKUP($A291,'SurveyRpt_20150223 (1)'!$A$34:$AN$735,28,FALSE)</f>
        <v>Yes</v>
      </c>
      <c r="S291" s="16" t="str">
        <f>VLOOKUP($A291,'SurveyRpt_20150223 (1)'!$A$34:$AN$735,30,FALSE)</f>
        <v>Yes</v>
      </c>
      <c r="T291" s="16" t="str">
        <f>VLOOKUP($A291,'SurveyRpt_20150223 (1)'!$A$34:$AN$735,32,FALSE)</f>
        <v>Yes</v>
      </c>
      <c r="U291" s="16" t="str">
        <f>VLOOKUP($A291,'SurveyRpt_20150223 (1)'!$A$34:$AN$735,34,FALSE)</f>
        <v>Yes</v>
      </c>
      <c r="V291" s="16" t="str">
        <f>VLOOKUP($A291,'SurveyRpt_20150223 (1)'!$A$34:$AN$735,36,FALSE)</f>
        <v>Yes</v>
      </c>
      <c r="W291" s="16" t="str">
        <f>VLOOKUP($A291,'SurveyRpt_20150223 (1)'!$A$34:$AN$735,38,FALSE)</f>
        <v>Yes</v>
      </c>
    </row>
    <row r="292" spans="1:23" ht="13.5" customHeight="1" x14ac:dyDescent="0.25">
      <c r="A292" s="19" t="s">
        <v>385</v>
      </c>
      <c r="B292" s="19" t="str">
        <f t="shared" si="4"/>
        <v>skankipati</v>
      </c>
      <c r="C292" s="16" t="str">
        <f>VLOOKUP(B292,'Compiled Agents'!A:H,2,FALSE)</f>
        <v>Platform</v>
      </c>
      <c r="D292" s="16" t="str">
        <f>VLOOKUP(B292,'Compiled Agents'!A:H,4,FALSE)</f>
        <v>Hyderabad</v>
      </c>
      <c r="E292" s="16" t="str">
        <f>VLOOKUP(B292,'Compiled Agents'!A:H,5,FALSE)</f>
        <v>Wave1</v>
      </c>
      <c r="F292" s="16" t="str">
        <f>VLOOKUP(B292,'Compiled Agents'!A:H,6,FALSE)</f>
        <v>Blue</v>
      </c>
      <c r="G292" s="16">
        <f>VLOOKUP($A292,'SurveyRpt_20150223 (1)'!$A$34:$AN$735,6,FALSE)</f>
        <v>15</v>
      </c>
      <c r="H292" s="16" t="str">
        <f>VLOOKUP($A292,'SurveyRpt_20150223 (1)'!$A$34:$AN$735,8,FALSE)</f>
        <v>Yes</v>
      </c>
      <c r="I292" s="16" t="str">
        <f>VLOOKUP($A292,'SurveyRpt_20150223 (1)'!$A$34:$AN$735,10,FALSE)</f>
        <v>Yes</v>
      </c>
      <c r="J292" s="16" t="str">
        <f>VLOOKUP($A292,'SurveyRpt_20150223 (1)'!$A$34:$AN$735,12,FALSE)</f>
        <v>Yes</v>
      </c>
      <c r="K292" s="16" t="str">
        <f>VLOOKUP($A292,'SurveyRpt_20150223 (1)'!$A$34:$AN$735,14,FALSE)</f>
        <v>Yes</v>
      </c>
      <c r="L292" s="16" t="str">
        <f>VLOOKUP($A292,'SurveyRpt_20150223 (1)'!$A$34:$AN$735,16,FALSE)</f>
        <v>Yes</v>
      </c>
      <c r="M292" s="16" t="str">
        <f>VLOOKUP($A292,'SurveyRpt_20150223 (1)'!$A$34:$AN$735,18,FALSE)</f>
        <v>Yes</v>
      </c>
      <c r="N292" s="16" t="str">
        <f>VLOOKUP($A292,'SurveyRpt_20150223 (1)'!$A$34:$AN$735,20,FALSE)</f>
        <v>No</v>
      </c>
      <c r="O292" s="16" t="str">
        <f>VLOOKUP($A292,'SurveyRpt_20150223 (1)'!$A$34:$AN$735,22,FALSE)</f>
        <v>Yes</v>
      </c>
      <c r="P292" s="16" t="str">
        <f>VLOOKUP($A292,'SurveyRpt_20150223 (1)'!$A$34:$AN$735,24,FALSE)</f>
        <v>Yes</v>
      </c>
      <c r="Q292" s="16" t="str">
        <f>VLOOKUP($A292,'SurveyRpt_20150223 (1)'!$A$34:$AN$735,26,FALSE)</f>
        <v>Yes</v>
      </c>
      <c r="R292" s="16" t="str">
        <f>VLOOKUP($A292,'SurveyRpt_20150223 (1)'!$A$34:$AN$735,28,FALSE)</f>
        <v>Yes</v>
      </c>
      <c r="S292" s="16" t="str">
        <f>VLOOKUP($A292,'SurveyRpt_20150223 (1)'!$A$34:$AN$735,30,FALSE)</f>
        <v>Yes</v>
      </c>
      <c r="T292" s="16" t="str">
        <f>VLOOKUP($A292,'SurveyRpt_20150223 (1)'!$A$34:$AN$735,32,FALSE)</f>
        <v>Yes</v>
      </c>
      <c r="U292" s="16" t="str">
        <f>VLOOKUP($A292,'SurveyRpt_20150223 (1)'!$A$34:$AN$735,34,FALSE)</f>
        <v>Yes</v>
      </c>
      <c r="V292" s="16" t="str">
        <f>VLOOKUP($A292,'SurveyRpt_20150223 (1)'!$A$34:$AN$735,36,FALSE)</f>
        <v>Yes</v>
      </c>
      <c r="W292" s="16" t="str">
        <f>VLOOKUP($A292,'SurveyRpt_20150223 (1)'!$A$34:$AN$735,38,FALSE)</f>
        <v>Yes</v>
      </c>
    </row>
    <row r="293" spans="1:23" ht="13.5" customHeight="1" x14ac:dyDescent="0.25">
      <c r="A293" s="19" t="s">
        <v>386</v>
      </c>
      <c r="B293" s="19" t="str">
        <f t="shared" si="4"/>
        <v>SNALLA2</v>
      </c>
      <c r="C293" s="16" t="str">
        <f>VLOOKUP(B293,'Compiled Agents'!A:H,2,FALSE)</f>
        <v>Platform</v>
      </c>
      <c r="D293" s="16" t="str">
        <f>VLOOKUP(B293,'Compiled Agents'!A:H,4,FALSE)</f>
        <v>Hyderabad</v>
      </c>
      <c r="E293" s="16" t="str">
        <f>VLOOKUP(B293,'Compiled Agents'!A:H,5,FALSE)</f>
        <v>Wave1</v>
      </c>
      <c r="F293" s="16" t="str">
        <f>VLOOKUP(B293,'Compiled Agents'!A:H,6,FALSE)</f>
        <v>Yellow</v>
      </c>
      <c r="G293" s="16">
        <f>VLOOKUP($A293,'SurveyRpt_20150223 (1)'!$A$34:$AN$735,6,FALSE)</f>
        <v>15</v>
      </c>
      <c r="H293" s="16" t="str">
        <f>VLOOKUP($A293,'SurveyRpt_20150223 (1)'!$A$34:$AN$735,8,FALSE)</f>
        <v>Yes</v>
      </c>
      <c r="I293" s="16" t="str">
        <f>VLOOKUP($A293,'SurveyRpt_20150223 (1)'!$A$34:$AN$735,10,FALSE)</f>
        <v>Yes</v>
      </c>
      <c r="J293" s="16" t="str">
        <f>VLOOKUP($A293,'SurveyRpt_20150223 (1)'!$A$34:$AN$735,12,FALSE)</f>
        <v>Yes</v>
      </c>
      <c r="K293" s="16" t="str">
        <f>VLOOKUP($A293,'SurveyRpt_20150223 (1)'!$A$34:$AN$735,14,FALSE)</f>
        <v>Yes</v>
      </c>
      <c r="L293" s="16" t="str">
        <f>VLOOKUP($A293,'SurveyRpt_20150223 (1)'!$A$34:$AN$735,16,FALSE)</f>
        <v>Yes</v>
      </c>
      <c r="M293" s="16" t="str">
        <f>VLOOKUP($A293,'SurveyRpt_20150223 (1)'!$A$34:$AN$735,18,FALSE)</f>
        <v>Yes</v>
      </c>
      <c r="N293" s="16" t="str">
        <f>VLOOKUP($A293,'SurveyRpt_20150223 (1)'!$A$34:$AN$735,20,FALSE)</f>
        <v>No</v>
      </c>
      <c r="O293" s="16" t="str">
        <f>VLOOKUP($A293,'SurveyRpt_20150223 (1)'!$A$34:$AN$735,22,FALSE)</f>
        <v>Yes</v>
      </c>
      <c r="P293" s="16" t="str">
        <f>VLOOKUP($A293,'SurveyRpt_20150223 (1)'!$A$34:$AN$735,24,FALSE)</f>
        <v>Yes</v>
      </c>
      <c r="Q293" s="16" t="str">
        <f>VLOOKUP($A293,'SurveyRpt_20150223 (1)'!$A$34:$AN$735,26,FALSE)</f>
        <v>Yes</v>
      </c>
      <c r="R293" s="16" t="str">
        <f>VLOOKUP($A293,'SurveyRpt_20150223 (1)'!$A$34:$AN$735,28,FALSE)</f>
        <v>Yes</v>
      </c>
      <c r="S293" s="16" t="str">
        <f>VLOOKUP($A293,'SurveyRpt_20150223 (1)'!$A$34:$AN$735,30,FALSE)</f>
        <v>Yes</v>
      </c>
      <c r="T293" s="16" t="str">
        <f>VLOOKUP($A293,'SurveyRpt_20150223 (1)'!$A$34:$AN$735,32,FALSE)</f>
        <v>Yes</v>
      </c>
      <c r="U293" s="16" t="str">
        <f>VLOOKUP($A293,'SurveyRpt_20150223 (1)'!$A$34:$AN$735,34,FALSE)</f>
        <v>Yes</v>
      </c>
      <c r="V293" s="16" t="str">
        <f>VLOOKUP($A293,'SurveyRpt_20150223 (1)'!$A$34:$AN$735,36,FALSE)</f>
        <v>Yes</v>
      </c>
      <c r="W293" s="16" t="str">
        <f>VLOOKUP($A293,'SurveyRpt_20150223 (1)'!$A$34:$AN$735,38,FALSE)</f>
        <v>Yes</v>
      </c>
    </row>
    <row r="294" spans="1:23" ht="13.5" customHeight="1" x14ac:dyDescent="0.25">
      <c r="A294" s="19" t="s">
        <v>387</v>
      </c>
      <c r="B294" s="19" t="str">
        <f t="shared" si="4"/>
        <v>SGANGIREDDY4</v>
      </c>
      <c r="C294" s="16" t="str">
        <f>VLOOKUP(B294,'Compiled Agents'!A:H,2,FALSE)</f>
        <v>Platform</v>
      </c>
      <c r="D294" s="16" t="str">
        <f>VLOOKUP(B294,'Compiled Agents'!A:H,4,FALSE)</f>
        <v>Noida</v>
      </c>
      <c r="E294" s="16" t="str">
        <f>VLOOKUP(B294,'Compiled Agents'!A:H,5,FALSE)</f>
        <v>Wave1</v>
      </c>
      <c r="F294" s="16" t="str">
        <f>VLOOKUP(B294,'Compiled Agents'!A:H,6,FALSE)</f>
        <v>Purple</v>
      </c>
      <c r="G294" s="16">
        <f>VLOOKUP($A294,'SurveyRpt_20150223 (1)'!$A$34:$AN$735,6,FALSE)</f>
        <v>16</v>
      </c>
      <c r="H294" s="16" t="str">
        <f>VLOOKUP($A294,'SurveyRpt_20150223 (1)'!$A$34:$AN$735,8,FALSE)</f>
        <v>Yes</v>
      </c>
      <c r="I294" s="16" t="str">
        <f>VLOOKUP($A294,'SurveyRpt_20150223 (1)'!$A$34:$AN$735,10,FALSE)</f>
        <v>Yes</v>
      </c>
      <c r="J294" s="16" t="str">
        <f>VLOOKUP($A294,'SurveyRpt_20150223 (1)'!$A$34:$AN$735,12,FALSE)</f>
        <v>Yes</v>
      </c>
      <c r="K294" s="16" t="str">
        <f>VLOOKUP($A294,'SurveyRpt_20150223 (1)'!$A$34:$AN$735,14,FALSE)</f>
        <v>Yes</v>
      </c>
      <c r="L294" s="16" t="str">
        <f>VLOOKUP($A294,'SurveyRpt_20150223 (1)'!$A$34:$AN$735,16,FALSE)</f>
        <v>Yes</v>
      </c>
      <c r="M294" s="16" t="str">
        <f>VLOOKUP($A294,'SurveyRpt_20150223 (1)'!$A$34:$AN$735,18,FALSE)</f>
        <v>Yes</v>
      </c>
      <c r="N294" s="16" t="str">
        <f>VLOOKUP($A294,'SurveyRpt_20150223 (1)'!$A$34:$AN$735,20,FALSE)</f>
        <v>Yes</v>
      </c>
      <c r="O294" s="16" t="str">
        <f>VLOOKUP($A294,'SurveyRpt_20150223 (1)'!$A$34:$AN$735,22,FALSE)</f>
        <v>Yes</v>
      </c>
      <c r="P294" s="16" t="str">
        <f>VLOOKUP($A294,'SurveyRpt_20150223 (1)'!$A$34:$AN$735,24,FALSE)</f>
        <v>Yes</v>
      </c>
      <c r="Q294" s="16" t="str">
        <f>VLOOKUP($A294,'SurveyRpt_20150223 (1)'!$A$34:$AN$735,26,FALSE)</f>
        <v>Yes</v>
      </c>
      <c r="R294" s="16" t="str">
        <f>VLOOKUP($A294,'SurveyRpt_20150223 (1)'!$A$34:$AN$735,28,FALSE)</f>
        <v>Yes</v>
      </c>
      <c r="S294" s="16" t="str">
        <f>VLOOKUP($A294,'SurveyRpt_20150223 (1)'!$A$34:$AN$735,30,FALSE)</f>
        <v>Yes</v>
      </c>
      <c r="T294" s="16" t="str">
        <f>VLOOKUP($A294,'SurveyRpt_20150223 (1)'!$A$34:$AN$735,32,FALSE)</f>
        <v>Yes</v>
      </c>
      <c r="U294" s="16" t="str">
        <f>VLOOKUP($A294,'SurveyRpt_20150223 (1)'!$A$34:$AN$735,34,FALSE)</f>
        <v>Yes</v>
      </c>
      <c r="V294" s="16" t="str">
        <f>VLOOKUP($A294,'SurveyRpt_20150223 (1)'!$A$34:$AN$735,36,FALSE)</f>
        <v>Yes</v>
      </c>
      <c r="W294" s="16" t="str">
        <f>VLOOKUP($A294,'SurveyRpt_20150223 (1)'!$A$34:$AN$735,38,FALSE)</f>
        <v>Yes</v>
      </c>
    </row>
    <row r="295" spans="1:23" ht="13.5" customHeight="1" x14ac:dyDescent="0.25">
      <c r="A295" s="19" t="s">
        <v>388</v>
      </c>
      <c r="B295" s="19" t="str">
        <f t="shared" si="4"/>
        <v>MIQBAL9</v>
      </c>
      <c r="C295" s="16" t="str">
        <f>VLOOKUP(B295,'Compiled Agents'!A:H,2,FALSE)</f>
        <v>Workplace</v>
      </c>
      <c r="D295" s="16" t="str">
        <f>VLOOKUP(B295,'Compiled Agents'!A:H,4,FALSE)</f>
        <v>Hyderabad</v>
      </c>
      <c r="E295" s="16" t="str">
        <f>VLOOKUP(B295,'Compiled Agents'!A:H,5,FALSE)</f>
        <v>Wave2</v>
      </c>
      <c r="F295" s="16" t="str">
        <f>VLOOKUP(B295,'Compiled Agents'!A:H,6,FALSE)</f>
        <v>Yellow</v>
      </c>
      <c r="G295" s="16">
        <f>VLOOKUP($A295,'SurveyRpt_20150223 (1)'!$A$34:$AN$735,6,FALSE)</f>
        <v>16</v>
      </c>
      <c r="H295" s="16" t="str">
        <f>VLOOKUP($A295,'SurveyRpt_20150223 (1)'!$A$34:$AN$735,8,FALSE)</f>
        <v>Yes</v>
      </c>
      <c r="I295" s="16" t="str">
        <f>VLOOKUP($A295,'SurveyRpt_20150223 (1)'!$A$34:$AN$735,10,FALSE)</f>
        <v>Yes</v>
      </c>
      <c r="J295" s="16" t="str">
        <f>VLOOKUP($A295,'SurveyRpt_20150223 (1)'!$A$34:$AN$735,12,FALSE)</f>
        <v>Yes</v>
      </c>
      <c r="K295" s="16" t="str">
        <f>VLOOKUP($A295,'SurveyRpt_20150223 (1)'!$A$34:$AN$735,14,FALSE)</f>
        <v>Yes</v>
      </c>
      <c r="L295" s="16" t="str">
        <f>VLOOKUP($A295,'SurveyRpt_20150223 (1)'!$A$34:$AN$735,16,FALSE)</f>
        <v>Yes</v>
      </c>
      <c r="M295" s="16" t="str">
        <f>VLOOKUP($A295,'SurveyRpt_20150223 (1)'!$A$34:$AN$735,18,FALSE)</f>
        <v>Yes</v>
      </c>
      <c r="N295" s="16" t="str">
        <f>VLOOKUP($A295,'SurveyRpt_20150223 (1)'!$A$34:$AN$735,20,FALSE)</f>
        <v>Yes</v>
      </c>
      <c r="O295" s="16" t="str">
        <f>VLOOKUP($A295,'SurveyRpt_20150223 (1)'!$A$34:$AN$735,22,FALSE)</f>
        <v>Yes</v>
      </c>
      <c r="P295" s="16" t="str">
        <f>VLOOKUP($A295,'SurveyRpt_20150223 (1)'!$A$34:$AN$735,24,FALSE)</f>
        <v>Yes</v>
      </c>
      <c r="Q295" s="16" t="str">
        <f>VLOOKUP($A295,'SurveyRpt_20150223 (1)'!$A$34:$AN$735,26,FALSE)</f>
        <v>Yes</v>
      </c>
      <c r="R295" s="16" t="str">
        <f>VLOOKUP($A295,'SurveyRpt_20150223 (1)'!$A$34:$AN$735,28,FALSE)</f>
        <v>Yes</v>
      </c>
      <c r="S295" s="16" t="str">
        <f>VLOOKUP($A295,'SurveyRpt_20150223 (1)'!$A$34:$AN$735,30,FALSE)</f>
        <v>Yes</v>
      </c>
      <c r="T295" s="16" t="str">
        <f>VLOOKUP($A295,'SurveyRpt_20150223 (1)'!$A$34:$AN$735,32,FALSE)</f>
        <v>Yes</v>
      </c>
      <c r="U295" s="16" t="str">
        <f>VLOOKUP($A295,'SurveyRpt_20150223 (1)'!$A$34:$AN$735,34,FALSE)</f>
        <v>Yes</v>
      </c>
      <c r="V295" s="16" t="str">
        <f>VLOOKUP($A295,'SurveyRpt_20150223 (1)'!$A$34:$AN$735,36,FALSE)</f>
        <v>Yes</v>
      </c>
      <c r="W295" s="16" t="str">
        <f>VLOOKUP($A295,'SurveyRpt_20150223 (1)'!$A$34:$AN$735,38,FALSE)</f>
        <v>Yes</v>
      </c>
    </row>
    <row r="296" spans="1:23" ht="13.5" customHeight="1" x14ac:dyDescent="0.25">
      <c r="A296" s="19" t="s">
        <v>389</v>
      </c>
      <c r="B296" s="19" t="str">
        <f t="shared" si="4"/>
        <v>twalden3</v>
      </c>
      <c r="C296" s="16" t="str">
        <f>VLOOKUP(B296,'Compiled Agents'!A:H,2,FALSE)</f>
        <v>Platform</v>
      </c>
      <c r="D296" s="16" t="str">
        <f>VLOOKUP(B296,'Compiled Agents'!A:H,4,FALSE)</f>
        <v>MBC US</v>
      </c>
      <c r="E296" s="16" t="str">
        <f>VLOOKUP(B296,'Compiled Agents'!A:H,5,FALSE)</f>
        <v>Wave2</v>
      </c>
      <c r="F296" s="16" t="str">
        <f>VLOOKUP(B296,'Compiled Agents'!A:H,6,FALSE)</f>
        <v>Orange</v>
      </c>
      <c r="G296" s="16">
        <f>VLOOKUP($A296,'SurveyRpt_20150223 (1)'!$A$34:$AN$735,6,FALSE)</f>
        <v>5</v>
      </c>
      <c r="H296" s="16" t="str">
        <f>VLOOKUP($A296,'SurveyRpt_20150223 (1)'!$A$34:$AN$735,8,FALSE)</f>
        <v>No</v>
      </c>
      <c r="I296" s="16" t="str">
        <f>VLOOKUP($A296,'SurveyRpt_20150223 (1)'!$A$34:$AN$735,10,FALSE)</f>
        <v>No</v>
      </c>
      <c r="J296" s="16" t="str">
        <f>VLOOKUP($A296,'SurveyRpt_20150223 (1)'!$A$34:$AN$735,12,FALSE)</f>
        <v>No</v>
      </c>
      <c r="K296" s="16" t="str">
        <f>VLOOKUP($A296,'SurveyRpt_20150223 (1)'!$A$34:$AN$735,14,FALSE)</f>
        <v>No</v>
      </c>
      <c r="L296" s="16" t="str">
        <f>VLOOKUP($A296,'SurveyRpt_20150223 (1)'!$A$34:$AN$735,16,FALSE)</f>
        <v>Yes</v>
      </c>
      <c r="M296" s="16" t="str">
        <f>VLOOKUP($A296,'SurveyRpt_20150223 (1)'!$A$34:$AN$735,18,FALSE)</f>
        <v>Yes</v>
      </c>
      <c r="N296" s="16" t="str">
        <f>VLOOKUP($A296,'SurveyRpt_20150223 (1)'!$A$34:$AN$735,20,FALSE)</f>
        <v>No</v>
      </c>
      <c r="O296" s="16" t="str">
        <f>VLOOKUP($A296,'SurveyRpt_20150223 (1)'!$A$34:$AN$735,22,FALSE)</f>
        <v>Yes</v>
      </c>
      <c r="P296" s="16" t="str">
        <f>VLOOKUP($A296,'SurveyRpt_20150223 (1)'!$A$34:$AN$735,24,FALSE)</f>
        <v>No</v>
      </c>
      <c r="Q296" s="16" t="str">
        <f>VLOOKUP($A296,'SurveyRpt_20150223 (1)'!$A$34:$AN$735,26,FALSE)</f>
        <v>No</v>
      </c>
      <c r="R296" s="16" t="str">
        <f>VLOOKUP($A296,'SurveyRpt_20150223 (1)'!$A$34:$AN$735,28,FALSE)</f>
        <v>Yes</v>
      </c>
      <c r="S296" s="16" t="str">
        <f>VLOOKUP($A296,'SurveyRpt_20150223 (1)'!$A$34:$AN$735,30,FALSE)</f>
        <v>Yes</v>
      </c>
      <c r="T296" s="16" t="str">
        <f>VLOOKUP($A296,'SurveyRpt_20150223 (1)'!$A$34:$AN$735,32,FALSE)</f>
        <v>No</v>
      </c>
      <c r="U296" s="16" t="str">
        <f>VLOOKUP($A296,'SurveyRpt_20150223 (1)'!$A$34:$AN$735,34,FALSE)</f>
        <v>No</v>
      </c>
      <c r="V296" s="16" t="str">
        <f>VLOOKUP($A296,'SurveyRpt_20150223 (1)'!$A$34:$AN$735,36,FALSE)</f>
        <v>No</v>
      </c>
      <c r="W296" s="16" t="str">
        <f>VLOOKUP($A296,'SurveyRpt_20150223 (1)'!$A$34:$AN$735,38,FALSE)</f>
        <v>No</v>
      </c>
    </row>
    <row r="297" spans="1:23" ht="13.5" customHeight="1" x14ac:dyDescent="0.25">
      <c r="A297" s="19" t="s">
        <v>390</v>
      </c>
      <c r="B297" s="19" t="str">
        <f t="shared" si="4"/>
        <v>PGOLI2</v>
      </c>
      <c r="C297" s="16" t="str">
        <f>VLOOKUP(B297,'Compiled Agents'!A:H,2,FALSE)</f>
        <v>Platform</v>
      </c>
      <c r="D297" s="16" t="str">
        <f>VLOOKUP(B297,'Compiled Agents'!A:H,4,FALSE)</f>
        <v>Noida</v>
      </c>
      <c r="E297" s="16" t="str">
        <f>VLOOKUP(B297,'Compiled Agents'!A:H,5,FALSE)</f>
        <v>Wave2</v>
      </c>
      <c r="F297" s="16" t="str">
        <f>VLOOKUP(B297,'Compiled Agents'!A:H,6,FALSE)</f>
        <v>Yellow</v>
      </c>
      <c r="G297" s="16">
        <f>VLOOKUP($A297,'SurveyRpt_20150223 (1)'!$A$34:$AN$735,6,FALSE)</f>
        <v>16</v>
      </c>
      <c r="H297" s="16" t="str">
        <f>VLOOKUP($A297,'SurveyRpt_20150223 (1)'!$A$34:$AN$735,8,FALSE)</f>
        <v>Yes</v>
      </c>
      <c r="I297" s="16" t="str">
        <f>VLOOKUP($A297,'SurveyRpt_20150223 (1)'!$A$34:$AN$735,10,FALSE)</f>
        <v>Yes</v>
      </c>
      <c r="J297" s="16" t="str">
        <f>VLOOKUP($A297,'SurveyRpt_20150223 (1)'!$A$34:$AN$735,12,FALSE)</f>
        <v>Yes</v>
      </c>
      <c r="K297" s="16" t="str">
        <f>VLOOKUP($A297,'SurveyRpt_20150223 (1)'!$A$34:$AN$735,14,FALSE)</f>
        <v>Yes</v>
      </c>
      <c r="L297" s="16" t="str">
        <f>VLOOKUP($A297,'SurveyRpt_20150223 (1)'!$A$34:$AN$735,16,FALSE)</f>
        <v>Yes</v>
      </c>
      <c r="M297" s="16" t="str">
        <f>VLOOKUP($A297,'SurveyRpt_20150223 (1)'!$A$34:$AN$735,18,FALSE)</f>
        <v>Yes</v>
      </c>
      <c r="N297" s="16" t="str">
        <f>VLOOKUP($A297,'SurveyRpt_20150223 (1)'!$A$34:$AN$735,20,FALSE)</f>
        <v>Yes</v>
      </c>
      <c r="O297" s="16" t="str">
        <f>VLOOKUP($A297,'SurveyRpt_20150223 (1)'!$A$34:$AN$735,22,FALSE)</f>
        <v>Yes</v>
      </c>
      <c r="P297" s="16" t="str">
        <f>VLOOKUP($A297,'SurveyRpt_20150223 (1)'!$A$34:$AN$735,24,FALSE)</f>
        <v>Yes</v>
      </c>
      <c r="Q297" s="16" t="str">
        <f>VLOOKUP($A297,'SurveyRpt_20150223 (1)'!$A$34:$AN$735,26,FALSE)</f>
        <v>Yes</v>
      </c>
      <c r="R297" s="16" t="str">
        <f>VLOOKUP($A297,'SurveyRpt_20150223 (1)'!$A$34:$AN$735,28,FALSE)</f>
        <v>Yes</v>
      </c>
      <c r="S297" s="16" t="str">
        <f>VLOOKUP($A297,'SurveyRpt_20150223 (1)'!$A$34:$AN$735,30,FALSE)</f>
        <v>Yes</v>
      </c>
      <c r="T297" s="16" t="str">
        <f>VLOOKUP($A297,'SurveyRpt_20150223 (1)'!$A$34:$AN$735,32,FALSE)</f>
        <v>Yes</v>
      </c>
      <c r="U297" s="16" t="str">
        <f>VLOOKUP($A297,'SurveyRpt_20150223 (1)'!$A$34:$AN$735,34,FALSE)</f>
        <v>Yes</v>
      </c>
      <c r="V297" s="16" t="str">
        <f>VLOOKUP($A297,'SurveyRpt_20150223 (1)'!$A$34:$AN$735,36,FALSE)</f>
        <v>Yes</v>
      </c>
      <c r="W297" s="16" t="str">
        <f>VLOOKUP($A297,'SurveyRpt_20150223 (1)'!$A$34:$AN$735,38,FALSE)</f>
        <v>Yes</v>
      </c>
    </row>
    <row r="298" spans="1:23" ht="13.5" customHeight="1" x14ac:dyDescent="0.25">
      <c r="A298" s="19" t="s">
        <v>391</v>
      </c>
      <c r="B298" s="19" t="str">
        <f t="shared" si="4"/>
        <v>alimqueco</v>
      </c>
      <c r="C298" s="16" t="str">
        <f>VLOOKUP(B298,'Compiled Agents'!A:H,2,FALSE)</f>
        <v>Workplace</v>
      </c>
      <c r="D298" s="16" t="str">
        <f>VLOOKUP(B298,'Compiled Agents'!A:H,4,FALSE)</f>
        <v>Spain</v>
      </c>
      <c r="E298" s="16" t="str">
        <f>VLOOKUP(B298,'Compiled Agents'!A:H,5,FALSE)</f>
        <v>Wave1</v>
      </c>
      <c r="F298" s="16" t="str">
        <f>VLOOKUP(B298,'Compiled Agents'!A:H,6,FALSE)</f>
        <v>Blue</v>
      </c>
      <c r="G298" s="16">
        <f>VLOOKUP($A298,'SurveyRpt_20150223 (1)'!$A$34:$AN$735,6,FALSE)</f>
        <v>16</v>
      </c>
      <c r="H298" s="16" t="str">
        <f>VLOOKUP($A298,'SurveyRpt_20150223 (1)'!$A$34:$AN$735,8,FALSE)</f>
        <v>Yes</v>
      </c>
      <c r="I298" s="16" t="str">
        <f>VLOOKUP($A298,'SurveyRpt_20150223 (1)'!$A$34:$AN$735,10,FALSE)</f>
        <v>Yes</v>
      </c>
      <c r="J298" s="16" t="str">
        <f>VLOOKUP($A298,'SurveyRpt_20150223 (1)'!$A$34:$AN$735,12,FALSE)</f>
        <v>Yes</v>
      </c>
      <c r="K298" s="16" t="str">
        <f>VLOOKUP($A298,'SurveyRpt_20150223 (1)'!$A$34:$AN$735,14,FALSE)</f>
        <v>Yes</v>
      </c>
      <c r="L298" s="16" t="str">
        <f>VLOOKUP($A298,'SurveyRpt_20150223 (1)'!$A$34:$AN$735,16,FALSE)</f>
        <v>Yes</v>
      </c>
      <c r="M298" s="16" t="str">
        <f>VLOOKUP($A298,'SurveyRpt_20150223 (1)'!$A$34:$AN$735,18,FALSE)</f>
        <v>Yes</v>
      </c>
      <c r="N298" s="16" t="str">
        <f>VLOOKUP($A298,'SurveyRpt_20150223 (1)'!$A$34:$AN$735,20,FALSE)</f>
        <v>Yes</v>
      </c>
      <c r="O298" s="16" t="str">
        <f>VLOOKUP($A298,'SurveyRpt_20150223 (1)'!$A$34:$AN$735,22,FALSE)</f>
        <v>Yes</v>
      </c>
      <c r="P298" s="16" t="str">
        <f>VLOOKUP($A298,'SurveyRpt_20150223 (1)'!$A$34:$AN$735,24,FALSE)</f>
        <v>Yes</v>
      </c>
      <c r="Q298" s="16" t="str">
        <f>VLOOKUP($A298,'SurveyRpt_20150223 (1)'!$A$34:$AN$735,26,FALSE)</f>
        <v>Yes</v>
      </c>
      <c r="R298" s="16" t="str">
        <f>VLOOKUP($A298,'SurveyRpt_20150223 (1)'!$A$34:$AN$735,28,FALSE)</f>
        <v>Yes</v>
      </c>
      <c r="S298" s="16" t="str">
        <f>VLOOKUP($A298,'SurveyRpt_20150223 (1)'!$A$34:$AN$735,30,FALSE)</f>
        <v>Yes</v>
      </c>
      <c r="T298" s="16" t="str">
        <f>VLOOKUP($A298,'SurveyRpt_20150223 (1)'!$A$34:$AN$735,32,FALSE)</f>
        <v>Yes</v>
      </c>
      <c r="U298" s="16" t="str">
        <f>VLOOKUP($A298,'SurveyRpt_20150223 (1)'!$A$34:$AN$735,34,FALSE)</f>
        <v>Yes</v>
      </c>
      <c r="V298" s="16" t="str">
        <f>VLOOKUP($A298,'SurveyRpt_20150223 (1)'!$A$34:$AN$735,36,FALSE)</f>
        <v>Yes</v>
      </c>
      <c r="W298" s="16" t="str">
        <f>VLOOKUP($A298,'SurveyRpt_20150223 (1)'!$A$34:$AN$735,38,FALSE)</f>
        <v>Yes</v>
      </c>
    </row>
    <row r="299" spans="1:23" ht="13.5" customHeight="1" x14ac:dyDescent="0.25">
      <c r="A299" s="19" t="s">
        <v>392</v>
      </c>
      <c r="B299" s="19" t="str">
        <f t="shared" si="4"/>
        <v>emilews2</v>
      </c>
      <c r="C299" s="16" t="str">
        <f>VLOOKUP(B299,'Compiled Agents'!A:H,2,FALSE)</f>
        <v>Platform</v>
      </c>
      <c r="D299" s="16" t="str">
        <f>VLOOKUP(B299,'Compiled Agents'!A:H,4,FALSE)</f>
        <v>MBC US</v>
      </c>
      <c r="E299" s="16" t="str">
        <f>VLOOKUP(B299,'Compiled Agents'!A:H,5,FALSE)</f>
        <v>Wave2</v>
      </c>
      <c r="F299" s="16" t="str">
        <f>VLOOKUP(B299,'Compiled Agents'!A:H,6,FALSE)</f>
        <v>Brown</v>
      </c>
      <c r="G299" s="16">
        <f>VLOOKUP($A299,'SurveyRpt_20150223 (1)'!$A$34:$AN$735,6,FALSE)</f>
        <v>5</v>
      </c>
      <c r="H299" s="16" t="str">
        <f>VLOOKUP($A299,'SurveyRpt_20150223 (1)'!$A$34:$AN$735,8,FALSE)</f>
        <v>No</v>
      </c>
      <c r="I299" s="16" t="str">
        <f>VLOOKUP($A299,'SurveyRpt_20150223 (1)'!$A$34:$AN$735,10,FALSE)</f>
        <v>No</v>
      </c>
      <c r="J299" s="16" t="str">
        <f>VLOOKUP($A299,'SurveyRpt_20150223 (1)'!$A$34:$AN$735,12,FALSE)</f>
        <v>No</v>
      </c>
      <c r="K299" s="16" t="str">
        <f>VLOOKUP($A299,'SurveyRpt_20150223 (1)'!$A$34:$AN$735,14,FALSE)</f>
        <v>No</v>
      </c>
      <c r="L299" s="16" t="str">
        <f>VLOOKUP($A299,'SurveyRpt_20150223 (1)'!$A$34:$AN$735,16,FALSE)</f>
        <v>No</v>
      </c>
      <c r="M299" s="16" t="str">
        <f>VLOOKUP($A299,'SurveyRpt_20150223 (1)'!$A$34:$AN$735,18,FALSE)</f>
        <v>No</v>
      </c>
      <c r="N299" s="16" t="str">
        <f>VLOOKUP($A299,'SurveyRpt_20150223 (1)'!$A$34:$AN$735,20,FALSE)</f>
        <v>No</v>
      </c>
      <c r="O299" s="16" t="str">
        <f>VLOOKUP($A299,'SurveyRpt_20150223 (1)'!$A$34:$AN$735,22,FALSE)</f>
        <v>No</v>
      </c>
      <c r="P299" s="16" t="str">
        <f>VLOOKUP($A299,'SurveyRpt_20150223 (1)'!$A$34:$AN$735,24,FALSE)</f>
        <v>No</v>
      </c>
      <c r="Q299" s="16" t="str">
        <f>VLOOKUP($A299,'SurveyRpt_20150223 (1)'!$A$34:$AN$735,26,FALSE)</f>
        <v>Yes</v>
      </c>
      <c r="R299" s="16" t="str">
        <f>VLOOKUP($A299,'SurveyRpt_20150223 (1)'!$A$34:$AN$735,28,FALSE)</f>
        <v>Yes</v>
      </c>
      <c r="S299" s="16" t="str">
        <f>VLOOKUP($A299,'SurveyRpt_20150223 (1)'!$A$34:$AN$735,30,FALSE)</f>
        <v>Yes</v>
      </c>
      <c r="T299" s="16" t="str">
        <f>VLOOKUP($A299,'SurveyRpt_20150223 (1)'!$A$34:$AN$735,32,FALSE)</f>
        <v>Yes</v>
      </c>
      <c r="U299" s="16" t="str">
        <f>VLOOKUP($A299,'SurveyRpt_20150223 (1)'!$A$34:$AN$735,34,FALSE)</f>
        <v>No</v>
      </c>
      <c r="V299" s="16" t="str">
        <f>VLOOKUP($A299,'SurveyRpt_20150223 (1)'!$A$34:$AN$735,36,FALSE)</f>
        <v>Yes</v>
      </c>
      <c r="W299" s="16" t="str">
        <f>VLOOKUP($A299,'SurveyRpt_20150223 (1)'!$A$34:$AN$735,38,FALSE)</f>
        <v>No</v>
      </c>
    </row>
    <row r="300" spans="1:23" ht="13.5" customHeight="1" x14ac:dyDescent="0.25">
      <c r="A300" s="19" t="s">
        <v>393</v>
      </c>
      <c r="B300" s="19" t="str">
        <f t="shared" si="4"/>
        <v>rsanzperez</v>
      </c>
      <c r="C300" s="16" t="str">
        <f>VLOOKUP(B300,'Compiled Agents'!A:H,2,FALSE)</f>
        <v>Platform</v>
      </c>
      <c r="D300" s="16" t="str">
        <f>VLOOKUP(B300,'Compiled Agents'!A:H,4,FALSE)</f>
        <v>Spain</v>
      </c>
      <c r="E300" s="16" t="str">
        <f>VLOOKUP(B300,'Compiled Agents'!A:H,5,FALSE)</f>
        <v>Wave1</v>
      </c>
      <c r="F300" s="16" t="str">
        <f>VLOOKUP(B300,'Compiled Agents'!A:H,6,FALSE)</f>
        <v>Purple</v>
      </c>
      <c r="G300" s="16">
        <f>VLOOKUP($A300,'SurveyRpt_20150223 (1)'!$A$34:$AN$735,6,FALSE)</f>
        <v>8</v>
      </c>
      <c r="H300" s="16" t="str">
        <f>VLOOKUP($A300,'SurveyRpt_20150223 (1)'!$A$34:$AN$735,8,FALSE)</f>
        <v>No</v>
      </c>
      <c r="I300" s="16" t="str">
        <f>VLOOKUP($A300,'SurveyRpt_20150223 (1)'!$A$34:$AN$735,10,FALSE)</f>
        <v>No</v>
      </c>
      <c r="J300" s="16" t="str">
        <f>VLOOKUP($A300,'SurveyRpt_20150223 (1)'!$A$34:$AN$735,12,FALSE)</f>
        <v>No</v>
      </c>
      <c r="K300" s="16" t="str">
        <f>VLOOKUP($A300,'SurveyRpt_20150223 (1)'!$A$34:$AN$735,14,FALSE)</f>
        <v>No</v>
      </c>
      <c r="L300" s="16" t="str">
        <f>VLOOKUP($A300,'SurveyRpt_20150223 (1)'!$A$34:$AN$735,16,FALSE)</f>
        <v>Yes</v>
      </c>
      <c r="M300" s="16" t="str">
        <f>VLOOKUP($A300,'SurveyRpt_20150223 (1)'!$A$34:$AN$735,18,FALSE)</f>
        <v>Yes</v>
      </c>
      <c r="N300" s="16" t="str">
        <f>VLOOKUP($A300,'SurveyRpt_20150223 (1)'!$A$34:$AN$735,20,FALSE)</f>
        <v>Yes</v>
      </c>
      <c r="O300" s="16" t="str">
        <f>VLOOKUP($A300,'SurveyRpt_20150223 (1)'!$A$34:$AN$735,22,FALSE)</f>
        <v>Yes</v>
      </c>
      <c r="P300" s="16" t="str">
        <f>VLOOKUP($A300,'SurveyRpt_20150223 (1)'!$A$34:$AN$735,24,FALSE)</f>
        <v>No</v>
      </c>
      <c r="Q300" s="16" t="str">
        <f>VLOOKUP($A300,'SurveyRpt_20150223 (1)'!$A$34:$AN$735,26,FALSE)</f>
        <v>No</v>
      </c>
      <c r="R300" s="16" t="str">
        <f>VLOOKUP($A300,'SurveyRpt_20150223 (1)'!$A$34:$AN$735,28,FALSE)</f>
        <v>No</v>
      </c>
      <c r="S300" s="16" t="str">
        <f>VLOOKUP($A300,'SurveyRpt_20150223 (1)'!$A$34:$AN$735,30,FALSE)</f>
        <v>Yes</v>
      </c>
      <c r="T300" s="16" t="str">
        <f>VLOOKUP($A300,'SurveyRpt_20150223 (1)'!$A$34:$AN$735,32,FALSE)</f>
        <v>Yes</v>
      </c>
      <c r="U300" s="16" t="str">
        <f>VLOOKUP($A300,'SurveyRpt_20150223 (1)'!$A$34:$AN$735,34,FALSE)</f>
        <v>Yes</v>
      </c>
      <c r="V300" s="16" t="str">
        <f>VLOOKUP($A300,'SurveyRpt_20150223 (1)'!$A$34:$AN$735,36,FALSE)</f>
        <v>Yes</v>
      </c>
      <c r="W300" s="16" t="str">
        <f>VLOOKUP($A300,'SurveyRpt_20150223 (1)'!$A$34:$AN$735,38,FALSE)</f>
        <v>No</v>
      </c>
    </row>
    <row r="301" spans="1:23" ht="13.5" customHeight="1" x14ac:dyDescent="0.25">
      <c r="A301" s="19" t="s">
        <v>394</v>
      </c>
      <c r="B301" s="19" t="str">
        <f t="shared" si="4"/>
        <v>SNATESAN5</v>
      </c>
      <c r="C301" s="16" t="str">
        <f>VLOOKUP(B301,'Compiled Agents'!A:H,2,FALSE)</f>
        <v>Platform</v>
      </c>
      <c r="D301" s="16" t="str">
        <f>VLOOKUP(B301,'Compiled Agents'!A:H,4,FALSE)</f>
        <v>Hyderabad</v>
      </c>
      <c r="E301" s="16" t="str">
        <f>VLOOKUP(B301,'Compiled Agents'!A:H,5,FALSE)</f>
        <v>Wave1</v>
      </c>
      <c r="F301" s="16" t="str">
        <f>VLOOKUP(B301,'Compiled Agents'!A:H,6,FALSE)</f>
        <v>Orange</v>
      </c>
      <c r="G301" s="16">
        <f>VLOOKUP($A301,'SurveyRpt_20150223 (1)'!$A$34:$AN$735,6,FALSE)</f>
        <v>16</v>
      </c>
      <c r="H301" s="16" t="str">
        <f>VLOOKUP($A301,'SurveyRpt_20150223 (1)'!$A$34:$AN$735,8,FALSE)</f>
        <v>Yes</v>
      </c>
      <c r="I301" s="16" t="str">
        <f>VLOOKUP($A301,'SurveyRpt_20150223 (1)'!$A$34:$AN$735,10,FALSE)</f>
        <v>Yes</v>
      </c>
      <c r="J301" s="16" t="str">
        <f>VLOOKUP($A301,'SurveyRpt_20150223 (1)'!$A$34:$AN$735,12,FALSE)</f>
        <v>Yes</v>
      </c>
      <c r="K301" s="16" t="str">
        <f>VLOOKUP($A301,'SurveyRpt_20150223 (1)'!$A$34:$AN$735,14,FALSE)</f>
        <v>Yes</v>
      </c>
      <c r="L301" s="16" t="str">
        <f>VLOOKUP($A301,'SurveyRpt_20150223 (1)'!$A$34:$AN$735,16,FALSE)</f>
        <v>Yes</v>
      </c>
      <c r="M301" s="16" t="str">
        <f>VLOOKUP($A301,'SurveyRpt_20150223 (1)'!$A$34:$AN$735,18,FALSE)</f>
        <v>Yes</v>
      </c>
      <c r="N301" s="16" t="str">
        <f>VLOOKUP($A301,'SurveyRpt_20150223 (1)'!$A$34:$AN$735,20,FALSE)</f>
        <v>Yes</v>
      </c>
      <c r="O301" s="16" t="str">
        <f>VLOOKUP($A301,'SurveyRpt_20150223 (1)'!$A$34:$AN$735,22,FALSE)</f>
        <v>Yes</v>
      </c>
      <c r="P301" s="16" t="str">
        <f>VLOOKUP($A301,'SurveyRpt_20150223 (1)'!$A$34:$AN$735,24,FALSE)</f>
        <v>Yes</v>
      </c>
      <c r="Q301" s="16" t="str">
        <f>VLOOKUP($A301,'SurveyRpt_20150223 (1)'!$A$34:$AN$735,26,FALSE)</f>
        <v>Yes</v>
      </c>
      <c r="R301" s="16" t="str">
        <f>VLOOKUP($A301,'SurveyRpt_20150223 (1)'!$A$34:$AN$735,28,FALSE)</f>
        <v>Yes</v>
      </c>
      <c r="S301" s="16" t="str">
        <f>VLOOKUP($A301,'SurveyRpt_20150223 (1)'!$A$34:$AN$735,30,FALSE)</f>
        <v>Yes</v>
      </c>
      <c r="T301" s="16" t="str">
        <f>VLOOKUP($A301,'SurveyRpt_20150223 (1)'!$A$34:$AN$735,32,FALSE)</f>
        <v>Yes</v>
      </c>
      <c r="U301" s="16" t="str">
        <f>VLOOKUP($A301,'SurveyRpt_20150223 (1)'!$A$34:$AN$735,34,FALSE)</f>
        <v>Yes</v>
      </c>
      <c r="V301" s="16" t="str">
        <f>VLOOKUP($A301,'SurveyRpt_20150223 (1)'!$A$34:$AN$735,36,FALSE)</f>
        <v>Yes</v>
      </c>
      <c r="W301" s="16" t="str">
        <f>VLOOKUP($A301,'SurveyRpt_20150223 (1)'!$A$34:$AN$735,38,FALSE)</f>
        <v>Yes</v>
      </c>
    </row>
    <row r="302" spans="1:23" ht="13.5" customHeight="1" x14ac:dyDescent="0.25">
      <c r="A302" s="19" t="s">
        <v>395</v>
      </c>
      <c r="B302" s="19" t="str">
        <f t="shared" si="4"/>
        <v>mopitz</v>
      </c>
      <c r="C302" s="16" t="str">
        <f>VLOOKUP(B302,'Compiled Agents'!A:H,2,FALSE)</f>
        <v>Platform</v>
      </c>
      <c r="D302" s="16" t="str">
        <f>VLOOKUP(B302,'Compiled Agents'!A:H,4,FALSE)</f>
        <v>MBC US</v>
      </c>
      <c r="E302" s="16" t="str">
        <f>VLOOKUP(B302,'Compiled Agents'!A:H,5,FALSE)</f>
        <v>Wave2</v>
      </c>
      <c r="F302" s="16" t="str">
        <f>VLOOKUP(B302,'Compiled Agents'!A:H,6,FALSE)</f>
        <v>Orange</v>
      </c>
      <c r="G302" s="16">
        <f>VLOOKUP($A302,'SurveyRpt_20150223 (1)'!$A$34:$AN$735,6,FALSE)</f>
        <v>2</v>
      </c>
      <c r="H302" s="16" t="str">
        <f>VLOOKUP($A302,'SurveyRpt_20150223 (1)'!$A$34:$AN$735,8,FALSE)</f>
        <v>No</v>
      </c>
      <c r="I302" s="16" t="str">
        <f>VLOOKUP($A302,'SurveyRpt_20150223 (1)'!$A$34:$AN$735,10,FALSE)</f>
        <v>No</v>
      </c>
      <c r="J302" s="16" t="str">
        <f>VLOOKUP($A302,'SurveyRpt_20150223 (1)'!$A$34:$AN$735,12,FALSE)</f>
        <v>Yes</v>
      </c>
      <c r="K302" s="16" t="str">
        <f>VLOOKUP($A302,'SurveyRpt_20150223 (1)'!$A$34:$AN$735,14,FALSE)</f>
        <v>No</v>
      </c>
      <c r="L302" s="16" t="str">
        <f>VLOOKUP($A302,'SurveyRpt_20150223 (1)'!$A$34:$AN$735,16,FALSE)</f>
        <v>No</v>
      </c>
      <c r="M302" s="16" t="str">
        <f>VLOOKUP($A302,'SurveyRpt_20150223 (1)'!$A$34:$AN$735,18,FALSE)</f>
        <v>No</v>
      </c>
      <c r="N302" s="16" t="str">
        <f>VLOOKUP($A302,'SurveyRpt_20150223 (1)'!$A$34:$AN$735,20,FALSE)</f>
        <v>No</v>
      </c>
      <c r="O302" s="16" t="str">
        <f>VLOOKUP($A302,'SurveyRpt_20150223 (1)'!$A$34:$AN$735,22,FALSE)</f>
        <v>Yes</v>
      </c>
      <c r="P302" s="16" t="str">
        <f>VLOOKUP($A302,'SurveyRpt_20150223 (1)'!$A$34:$AN$735,24,FALSE)</f>
        <v>No</v>
      </c>
      <c r="Q302" s="16" t="str">
        <f>VLOOKUP($A302,'SurveyRpt_20150223 (1)'!$A$34:$AN$735,26,FALSE)</f>
        <v>No</v>
      </c>
      <c r="R302" s="16" t="str">
        <f>VLOOKUP($A302,'SurveyRpt_20150223 (1)'!$A$34:$AN$735,28,FALSE)</f>
        <v>No</v>
      </c>
      <c r="S302" s="16" t="str">
        <f>VLOOKUP($A302,'SurveyRpt_20150223 (1)'!$A$34:$AN$735,30,FALSE)</f>
        <v>No</v>
      </c>
      <c r="T302" s="16" t="str">
        <f>VLOOKUP($A302,'SurveyRpt_20150223 (1)'!$A$34:$AN$735,32,FALSE)</f>
        <v>No</v>
      </c>
      <c r="U302" s="16" t="str">
        <f>VLOOKUP($A302,'SurveyRpt_20150223 (1)'!$A$34:$AN$735,34,FALSE)</f>
        <v>No</v>
      </c>
      <c r="V302" s="16" t="str">
        <f>VLOOKUP($A302,'SurveyRpt_20150223 (1)'!$A$34:$AN$735,36,FALSE)</f>
        <v>No</v>
      </c>
      <c r="W302" s="16" t="str">
        <f>VLOOKUP($A302,'SurveyRpt_20150223 (1)'!$A$34:$AN$735,38,FALSE)</f>
        <v>No</v>
      </c>
    </row>
    <row r="303" spans="1:23" ht="13.5" customHeight="1" x14ac:dyDescent="0.25">
      <c r="A303" s="19" t="s">
        <v>396</v>
      </c>
      <c r="B303" s="19" t="str">
        <f t="shared" si="4"/>
        <v>gmichaud</v>
      </c>
      <c r="C303" s="16" t="str">
        <f>VLOOKUP(B303,'Compiled Agents'!A:H,2,FALSE)</f>
        <v>Workplace</v>
      </c>
      <c r="D303" s="16" t="str">
        <f>VLOOKUP(B303,'Compiled Agents'!A:H,4,FALSE)</f>
        <v>MBC US</v>
      </c>
      <c r="E303" s="16" t="str">
        <f>VLOOKUP(B303,'Compiled Agents'!A:H,5,FALSE)</f>
        <v>Wave2</v>
      </c>
      <c r="F303" s="16" t="str">
        <f>VLOOKUP(B303,'Compiled Agents'!A:H,6,FALSE)</f>
        <v>Blue</v>
      </c>
      <c r="G303" s="16">
        <f>VLOOKUP($A303,'SurveyRpt_20150223 (1)'!$A$34:$AN$735,6,FALSE)</f>
        <v>11</v>
      </c>
      <c r="H303" s="16" t="str">
        <f>VLOOKUP($A303,'SurveyRpt_20150223 (1)'!$A$34:$AN$735,8,FALSE)</f>
        <v>Yes</v>
      </c>
      <c r="I303" s="16" t="str">
        <f>VLOOKUP($A303,'SurveyRpt_20150223 (1)'!$A$34:$AN$735,10,FALSE)</f>
        <v>No</v>
      </c>
      <c r="J303" s="16" t="str">
        <f>VLOOKUP($A303,'SurveyRpt_20150223 (1)'!$A$34:$AN$735,12,FALSE)</f>
        <v>Yes</v>
      </c>
      <c r="K303" s="16" t="str">
        <f>VLOOKUP($A303,'SurveyRpt_20150223 (1)'!$A$34:$AN$735,14,FALSE)</f>
        <v>No</v>
      </c>
      <c r="L303" s="16" t="str">
        <f>VLOOKUP($A303,'SurveyRpt_20150223 (1)'!$A$34:$AN$735,16,FALSE)</f>
        <v>Yes</v>
      </c>
      <c r="M303" s="16" t="str">
        <f>VLOOKUP($A303,'SurveyRpt_20150223 (1)'!$A$34:$AN$735,18,FALSE)</f>
        <v>Yes</v>
      </c>
      <c r="N303" s="16" t="str">
        <f>VLOOKUP($A303,'SurveyRpt_20150223 (1)'!$A$34:$AN$735,20,FALSE)</f>
        <v>No</v>
      </c>
      <c r="O303" s="16" t="str">
        <f>VLOOKUP($A303,'SurveyRpt_20150223 (1)'!$A$34:$AN$735,22,FALSE)</f>
        <v>Yes</v>
      </c>
      <c r="P303" s="16" t="str">
        <f>VLOOKUP($A303,'SurveyRpt_20150223 (1)'!$A$34:$AN$735,24,FALSE)</f>
        <v>Yes</v>
      </c>
      <c r="Q303" s="16" t="str">
        <f>VLOOKUP($A303,'SurveyRpt_20150223 (1)'!$A$34:$AN$735,26,FALSE)</f>
        <v>Yes</v>
      </c>
      <c r="R303" s="16" t="str">
        <f>VLOOKUP($A303,'SurveyRpt_20150223 (1)'!$A$34:$AN$735,28,FALSE)</f>
        <v>Yes</v>
      </c>
      <c r="S303" s="16" t="str">
        <f>VLOOKUP($A303,'SurveyRpt_20150223 (1)'!$A$34:$AN$735,30,FALSE)</f>
        <v>Yes</v>
      </c>
      <c r="T303" s="16" t="str">
        <f>VLOOKUP($A303,'SurveyRpt_20150223 (1)'!$A$34:$AN$735,32,FALSE)</f>
        <v>Yes</v>
      </c>
      <c r="U303" s="16" t="str">
        <f>VLOOKUP($A303,'SurveyRpt_20150223 (1)'!$A$34:$AN$735,34,FALSE)</f>
        <v>No</v>
      </c>
      <c r="V303" s="16" t="str">
        <f>VLOOKUP($A303,'SurveyRpt_20150223 (1)'!$A$34:$AN$735,36,FALSE)</f>
        <v>Yes</v>
      </c>
      <c r="W303" s="16" t="str">
        <f>VLOOKUP($A303,'SurveyRpt_20150223 (1)'!$A$34:$AN$735,38,FALSE)</f>
        <v>No</v>
      </c>
    </row>
    <row r="304" spans="1:23" ht="13.5" customHeight="1" x14ac:dyDescent="0.25">
      <c r="A304" s="19" t="s">
        <v>397</v>
      </c>
      <c r="B304" s="19" t="str">
        <f t="shared" si="4"/>
        <v>dmasot</v>
      </c>
      <c r="C304" s="16" t="str">
        <f>VLOOKUP(B304,'Compiled Agents'!A:H,2,FALSE)</f>
        <v>Platform</v>
      </c>
      <c r="D304" s="16" t="str">
        <f>VLOOKUP(B304,'Compiled Agents'!A:H,4,FALSE)</f>
        <v>MBC US</v>
      </c>
      <c r="E304" s="16" t="str">
        <f>VLOOKUP(B304,'Compiled Agents'!A:H,5,FALSE)</f>
        <v>Wave2</v>
      </c>
      <c r="F304" s="16" t="str">
        <f>VLOOKUP(B304,'Compiled Agents'!A:H,6,FALSE)</f>
        <v>Orange</v>
      </c>
      <c r="G304" s="16">
        <f>VLOOKUP($A304,'SurveyRpt_20150223 (1)'!$A$34:$AN$735,6,FALSE)</f>
        <v>5</v>
      </c>
      <c r="H304" s="16" t="str">
        <f>VLOOKUP($A304,'SurveyRpt_20150223 (1)'!$A$34:$AN$735,8,FALSE)</f>
        <v>No</v>
      </c>
      <c r="I304" s="16" t="str">
        <f>VLOOKUP($A304,'SurveyRpt_20150223 (1)'!$A$34:$AN$735,10,FALSE)</f>
        <v>No</v>
      </c>
      <c r="J304" s="16" t="str">
        <f>VLOOKUP($A304,'SurveyRpt_20150223 (1)'!$A$34:$AN$735,12,FALSE)</f>
        <v>Yes</v>
      </c>
      <c r="K304" s="16" t="str">
        <f>VLOOKUP($A304,'SurveyRpt_20150223 (1)'!$A$34:$AN$735,14,FALSE)</f>
        <v>No</v>
      </c>
      <c r="L304" s="16" t="str">
        <f>VLOOKUP($A304,'SurveyRpt_20150223 (1)'!$A$34:$AN$735,16,FALSE)</f>
        <v>Yes</v>
      </c>
      <c r="M304" s="16" t="str">
        <f>VLOOKUP($A304,'SurveyRpt_20150223 (1)'!$A$34:$AN$735,18,FALSE)</f>
        <v>No</v>
      </c>
      <c r="N304" s="16" t="str">
        <f>VLOOKUP($A304,'SurveyRpt_20150223 (1)'!$A$34:$AN$735,20,FALSE)</f>
        <v>No</v>
      </c>
      <c r="O304" s="16" t="str">
        <f>VLOOKUP($A304,'SurveyRpt_20150223 (1)'!$A$34:$AN$735,22,FALSE)</f>
        <v>No</v>
      </c>
      <c r="P304" s="16" t="str">
        <f>VLOOKUP($A304,'SurveyRpt_20150223 (1)'!$A$34:$AN$735,24,FALSE)</f>
        <v>No</v>
      </c>
      <c r="Q304" s="16" t="str">
        <f>VLOOKUP($A304,'SurveyRpt_20150223 (1)'!$A$34:$AN$735,26,FALSE)</f>
        <v>No</v>
      </c>
      <c r="R304" s="16" t="str">
        <f>VLOOKUP($A304,'SurveyRpt_20150223 (1)'!$A$34:$AN$735,28,FALSE)</f>
        <v>No</v>
      </c>
      <c r="S304" s="16" t="str">
        <f>VLOOKUP($A304,'SurveyRpt_20150223 (1)'!$A$34:$AN$735,30,FALSE)</f>
        <v>Yes</v>
      </c>
      <c r="T304" s="16" t="str">
        <f>VLOOKUP($A304,'SurveyRpt_20150223 (1)'!$A$34:$AN$735,32,FALSE)</f>
        <v>No</v>
      </c>
      <c r="U304" s="16" t="str">
        <f>VLOOKUP($A304,'SurveyRpt_20150223 (1)'!$A$34:$AN$735,34,FALSE)</f>
        <v>No</v>
      </c>
      <c r="V304" s="16" t="str">
        <f>VLOOKUP($A304,'SurveyRpt_20150223 (1)'!$A$34:$AN$735,36,FALSE)</f>
        <v>Yes</v>
      </c>
      <c r="W304" s="16" t="str">
        <f>VLOOKUP($A304,'SurveyRpt_20150223 (1)'!$A$34:$AN$735,38,FALSE)</f>
        <v>Yes</v>
      </c>
    </row>
    <row r="305" spans="1:23" ht="13.5" customHeight="1" x14ac:dyDescent="0.25">
      <c r="A305" s="19" t="s">
        <v>398</v>
      </c>
      <c r="B305" s="19" t="str">
        <f t="shared" si="4"/>
        <v>KRANA5</v>
      </c>
      <c r="C305" s="16" t="str">
        <f>VLOOKUP(B305,'Compiled Agents'!A:H,2,FALSE)</f>
        <v>Platform</v>
      </c>
      <c r="D305" s="16" t="str">
        <f>VLOOKUP(B305,'Compiled Agents'!A:H,4,FALSE)</f>
        <v>Noida</v>
      </c>
      <c r="E305" s="16" t="str">
        <f>VLOOKUP(B305,'Compiled Agents'!A:H,5,FALSE)</f>
        <v>Wave2</v>
      </c>
      <c r="F305" s="16" t="str">
        <f>VLOOKUP(B305,'Compiled Agents'!A:H,6,FALSE)</f>
        <v>Purple</v>
      </c>
      <c r="G305" s="16">
        <f>VLOOKUP($A305,'SurveyRpt_20150223 (1)'!$A$34:$AN$735,6,FALSE)</f>
        <v>12</v>
      </c>
      <c r="H305" s="16" t="str">
        <f>VLOOKUP($A305,'SurveyRpt_20150223 (1)'!$A$34:$AN$735,8,FALSE)</f>
        <v>Yes</v>
      </c>
      <c r="I305" s="16" t="str">
        <f>VLOOKUP($A305,'SurveyRpt_20150223 (1)'!$A$34:$AN$735,10,FALSE)</f>
        <v>Yes</v>
      </c>
      <c r="J305" s="16" t="str">
        <f>VLOOKUP($A305,'SurveyRpt_20150223 (1)'!$A$34:$AN$735,12,FALSE)</f>
        <v>Yes</v>
      </c>
      <c r="K305" s="16" t="str">
        <f>VLOOKUP($A305,'SurveyRpt_20150223 (1)'!$A$34:$AN$735,14,FALSE)</f>
        <v>Yes</v>
      </c>
      <c r="L305" s="16" t="str">
        <f>VLOOKUP($A305,'SurveyRpt_20150223 (1)'!$A$34:$AN$735,16,FALSE)</f>
        <v>Yes</v>
      </c>
      <c r="M305" s="16" t="str">
        <f>VLOOKUP($A305,'SurveyRpt_20150223 (1)'!$A$34:$AN$735,18,FALSE)</f>
        <v>No</v>
      </c>
      <c r="N305" s="16" t="str">
        <f>VLOOKUP($A305,'SurveyRpt_20150223 (1)'!$A$34:$AN$735,20,FALSE)</f>
        <v>No</v>
      </c>
      <c r="O305" s="16" t="str">
        <f>VLOOKUP($A305,'SurveyRpt_20150223 (1)'!$A$34:$AN$735,22,FALSE)</f>
        <v>Yes</v>
      </c>
      <c r="P305" s="16" t="str">
        <f>VLOOKUP($A305,'SurveyRpt_20150223 (1)'!$A$34:$AN$735,24,FALSE)</f>
        <v>Yes</v>
      </c>
      <c r="Q305" s="16" t="str">
        <f>VLOOKUP($A305,'SurveyRpt_20150223 (1)'!$A$34:$AN$735,26,FALSE)</f>
        <v>Yes</v>
      </c>
      <c r="R305" s="16" t="str">
        <f>VLOOKUP($A305,'SurveyRpt_20150223 (1)'!$A$34:$AN$735,28,FALSE)</f>
        <v>Yes</v>
      </c>
      <c r="S305" s="16" t="str">
        <f>VLOOKUP($A305,'SurveyRpt_20150223 (1)'!$A$34:$AN$735,30,FALSE)</f>
        <v>Yes</v>
      </c>
      <c r="T305" s="16" t="str">
        <f>VLOOKUP($A305,'SurveyRpt_20150223 (1)'!$A$34:$AN$735,32,FALSE)</f>
        <v>No</v>
      </c>
      <c r="U305" s="16" t="str">
        <f>VLOOKUP($A305,'SurveyRpt_20150223 (1)'!$A$34:$AN$735,34,FALSE)</f>
        <v>Yes</v>
      </c>
      <c r="V305" s="16" t="str">
        <f>VLOOKUP($A305,'SurveyRpt_20150223 (1)'!$A$34:$AN$735,36,FALSE)</f>
        <v>Yes</v>
      </c>
      <c r="W305" s="16" t="str">
        <f>VLOOKUP($A305,'SurveyRpt_20150223 (1)'!$A$34:$AN$735,38,FALSE)</f>
        <v>No</v>
      </c>
    </row>
    <row r="306" spans="1:23" ht="13.5" customHeight="1" x14ac:dyDescent="0.25">
      <c r="A306" s="19" t="s">
        <v>399</v>
      </c>
      <c r="B306" s="19" t="str">
        <f t="shared" si="4"/>
        <v>kjohnson78</v>
      </c>
      <c r="C306" s="16" t="str">
        <f>VLOOKUP(B306,'Compiled Agents'!A:H,2,FALSE)</f>
        <v>Platform</v>
      </c>
      <c r="D306" s="16" t="str">
        <f>VLOOKUP(B306,'Compiled Agents'!A:H,4,FALSE)</f>
        <v>MBC US</v>
      </c>
      <c r="E306" s="16" t="str">
        <f>VLOOKUP(B306,'Compiled Agents'!A:H,5,FALSE)</f>
        <v>Wave2</v>
      </c>
      <c r="F306" s="16" t="str">
        <f>VLOOKUP(B306,'Compiled Agents'!A:H,6,FALSE)</f>
        <v>Orange</v>
      </c>
      <c r="G306" s="16">
        <f>VLOOKUP($A306,'SurveyRpt_20150223 (1)'!$A$34:$AN$735,6,FALSE)</f>
        <v>0</v>
      </c>
      <c r="H306" s="16" t="str">
        <f>VLOOKUP($A306,'SurveyRpt_20150223 (1)'!$A$34:$AN$735,8,FALSE)</f>
        <v>No</v>
      </c>
      <c r="I306" s="16" t="str">
        <f>VLOOKUP($A306,'SurveyRpt_20150223 (1)'!$A$34:$AN$735,10,FALSE)</f>
        <v>No</v>
      </c>
      <c r="J306" s="16" t="str">
        <f>VLOOKUP($A306,'SurveyRpt_20150223 (1)'!$A$34:$AN$735,12,FALSE)</f>
        <v>No</v>
      </c>
      <c r="K306" s="16" t="str">
        <f>VLOOKUP($A306,'SurveyRpt_20150223 (1)'!$A$34:$AN$735,14,FALSE)</f>
        <v>No</v>
      </c>
      <c r="L306" s="16" t="str">
        <f>VLOOKUP($A306,'SurveyRpt_20150223 (1)'!$A$34:$AN$735,16,FALSE)</f>
        <v>No</v>
      </c>
      <c r="M306" s="16" t="str">
        <f>VLOOKUP($A306,'SurveyRpt_20150223 (1)'!$A$34:$AN$735,18,FALSE)</f>
        <v>No</v>
      </c>
      <c r="N306" s="16" t="str">
        <f>VLOOKUP($A306,'SurveyRpt_20150223 (1)'!$A$34:$AN$735,20,FALSE)</f>
        <v>No</v>
      </c>
      <c r="O306" s="16" t="str">
        <f>VLOOKUP($A306,'SurveyRpt_20150223 (1)'!$A$34:$AN$735,22,FALSE)</f>
        <v>No</v>
      </c>
      <c r="P306" s="16" t="str">
        <f>VLOOKUP($A306,'SurveyRpt_20150223 (1)'!$A$34:$AN$735,24,FALSE)</f>
        <v>No</v>
      </c>
      <c r="Q306" s="16" t="str">
        <f>VLOOKUP($A306,'SurveyRpt_20150223 (1)'!$A$34:$AN$735,26,FALSE)</f>
        <v>No</v>
      </c>
      <c r="R306" s="16" t="str">
        <f>VLOOKUP($A306,'SurveyRpt_20150223 (1)'!$A$34:$AN$735,28,FALSE)</f>
        <v>No</v>
      </c>
      <c r="S306" s="16" t="str">
        <f>VLOOKUP($A306,'SurveyRpt_20150223 (1)'!$A$34:$AN$735,30,FALSE)</f>
        <v>No</v>
      </c>
      <c r="T306" s="16" t="str">
        <f>VLOOKUP($A306,'SurveyRpt_20150223 (1)'!$A$34:$AN$735,32,FALSE)</f>
        <v>No</v>
      </c>
      <c r="U306" s="16" t="str">
        <f>VLOOKUP($A306,'SurveyRpt_20150223 (1)'!$A$34:$AN$735,34,FALSE)</f>
        <v>No</v>
      </c>
      <c r="V306" s="16" t="str">
        <f>VLOOKUP($A306,'SurveyRpt_20150223 (1)'!$A$34:$AN$735,36,FALSE)</f>
        <v>No</v>
      </c>
      <c r="W306" s="16" t="str">
        <f>VLOOKUP($A306,'SurveyRpt_20150223 (1)'!$A$34:$AN$735,38,FALSE)</f>
        <v>No</v>
      </c>
    </row>
    <row r="307" spans="1:23" ht="13.5" customHeight="1" x14ac:dyDescent="0.25">
      <c r="A307" s="19" t="s">
        <v>400</v>
      </c>
      <c r="B307" s="19" t="str">
        <f t="shared" si="4"/>
        <v>SDASARI23</v>
      </c>
      <c r="C307" s="16" t="str">
        <f>VLOOKUP(B307,'Compiled Agents'!A:H,2,FALSE)</f>
        <v>Platform</v>
      </c>
      <c r="D307" s="16" t="str">
        <f>VLOOKUP(B307,'Compiled Agents'!A:H,4,FALSE)</f>
        <v>Hyderabad</v>
      </c>
      <c r="E307" s="16" t="str">
        <f>VLOOKUP(B307,'Compiled Agents'!A:H,5,FALSE)</f>
        <v>Wave1</v>
      </c>
      <c r="F307" s="16" t="str">
        <f>VLOOKUP(B307,'Compiled Agents'!A:H,6,FALSE)</f>
        <v>Yellow</v>
      </c>
      <c r="G307" s="16">
        <f>VLOOKUP($A307,'SurveyRpt_20150223 (1)'!$A$34:$AN$735,6,FALSE)</f>
        <v>15</v>
      </c>
      <c r="H307" s="16" t="str">
        <f>VLOOKUP($A307,'SurveyRpt_20150223 (1)'!$A$34:$AN$735,8,FALSE)</f>
        <v>Yes</v>
      </c>
      <c r="I307" s="16" t="str">
        <f>VLOOKUP($A307,'SurveyRpt_20150223 (1)'!$A$34:$AN$735,10,FALSE)</f>
        <v>Yes</v>
      </c>
      <c r="J307" s="16" t="str">
        <f>VLOOKUP($A307,'SurveyRpt_20150223 (1)'!$A$34:$AN$735,12,FALSE)</f>
        <v>Yes</v>
      </c>
      <c r="K307" s="16" t="str">
        <f>VLOOKUP($A307,'SurveyRpt_20150223 (1)'!$A$34:$AN$735,14,FALSE)</f>
        <v>Yes</v>
      </c>
      <c r="L307" s="16" t="str">
        <f>VLOOKUP($A307,'SurveyRpt_20150223 (1)'!$A$34:$AN$735,16,FALSE)</f>
        <v>Yes</v>
      </c>
      <c r="M307" s="16" t="str">
        <f>VLOOKUP($A307,'SurveyRpt_20150223 (1)'!$A$34:$AN$735,18,FALSE)</f>
        <v>Yes</v>
      </c>
      <c r="N307" s="16" t="str">
        <f>VLOOKUP($A307,'SurveyRpt_20150223 (1)'!$A$34:$AN$735,20,FALSE)</f>
        <v>Yes</v>
      </c>
      <c r="O307" s="16" t="str">
        <f>VLOOKUP($A307,'SurveyRpt_20150223 (1)'!$A$34:$AN$735,22,FALSE)</f>
        <v>Yes</v>
      </c>
      <c r="P307" s="16" t="str">
        <f>VLOOKUP($A307,'SurveyRpt_20150223 (1)'!$A$34:$AN$735,24,FALSE)</f>
        <v>Yes</v>
      </c>
      <c r="Q307" s="16" t="str">
        <f>VLOOKUP($A307,'SurveyRpt_20150223 (1)'!$A$34:$AN$735,26,FALSE)</f>
        <v>Yes</v>
      </c>
      <c r="R307" s="16" t="str">
        <f>VLOOKUP($A307,'SurveyRpt_20150223 (1)'!$A$34:$AN$735,28,FALSE)</f>
        <v>Yes</v>
      </c>
      <c r="S307" s="16" t="str">
        <f>VLOOKUP($A307,'SurveyRpt_20150223 (1)'!$A$34:$AN$735,30,FALSE)</f>
        <v>Yes</v>
      </c>
      <c r="T307" s="16" t="str">
        <f>VLOOKUP($A307,'SurveyRpt_20150223 (1)'!$A$34:$AN$735,32,FALSE)</f>
        <v>Yes</v>
      </c>
      <c r="U307" s="16" t="str">
        <f>VLOOKUP($A307,'SurveyRpt_20150223 (1)'!$A$34:$AN$735,34,FALSE)</f>
        <v>Yes</v>
      </c>
      <c r="V307" s="16" t="str">
        <f>VLOOKUP($A307,'SurveyRpt_20150223 (1)'!$A$34:$AN$735,36,FALSE)</f>
        <v>Yes</v>
      </c>
      <c r="W307" s="16" t="str">
        <f>VLOOKUP($A307,'SurveyRpt_20150223 (1)'!$A$34:$AN$735,38,FALSE)</f>
        <v>No</v>
      </c>
    </row>
    <row r="308" spans="1:23" ht="13.5" customHeight="1" x14ac:dyDescent="0.25">
      <c r="A308" s="19" t="s">
        <v>401</v>
      </c>
      <c r="B308" s="19" t="str">
        <f t="shared" si="4"/>
        <v>rpepin</v>
      </c>
      <c r="C308" s="16" t="str">
        <f>VLOOKUP(B308,'Compiled Agents'!A:H,2,FALSE)</f>
        <v>Platform</v>
      </c>
      <c r="D308" s="16" t="str">
        <f>VLOOKUP(B308,'Compiled Agents'!A:H,4,FALSE)</f>
        <v>MBC US</v>
      </c>
      <c r="E308" s="16" t="str">
        <f>VLOOKUP(B308,'Compiled Agents'!A:H,5,FALSE)</f>
        <v>Wave2</v>
      </c>
      <c r="F308" s="16" t="str">
        <f>VLOOKUP(B308,'Compiled Agents'!A:H,6,FALSE)</f>
        <v>Orange</v>
      </c>
      <c r="G308" s="16">
        <f>VLOOKUP($A308,'SurveyRpt_20150223 (1)'!$A$34:$AN$735,6,FALSE)</f>
        <v>11</v>
      </c>
      <c r="H308" s="16" t="str">
        <f>VLOOKUP($A308,'SurveyRpt_20150223 (1)'!$A$34:$AN$735,8,FALSE)</f>
        <v>Yes</v>
      </c>
      <c r="I308" s="16" t="str">
        <f>VLOOKUP($A308,'SurveyRpt_20150223 (1)'!$A$34:$AN$735,10,FALSE)</f>
        <v>Yes</v>
      </c>
      <c r="J308" s="16" t="str">
        <f>VLOOKUP($A308,'SurveyRpt_20150223 (1)'!$A$34:$AN$735,12,FALSE)</f>
        <v>Yes</v>
      </c>
      <c r="K308" s="16" t="str">
        <f>VLOOKUP($A308,'SurveyRpt_20150223 (1)'!$A$34:$AN$735,14,FALSE)</f>
        <v>Yes</v>
      </c>
      <c r="L308" s="16" t="str">
        <f>VLOOKUP($A308,'SurveyRpt_20150223 (1)'!$A$34:$AN$735,16,FALSE)</f>
        <v>Yes</v>
      </c>
      <c r="M308" s="16" t="str">
        <f>VLOOKUP($A308,'SurveyRpt_20150223 (1)'!$A$34:$AN$735,18,FALSE)</f>
        <v>No</v>
      </c>
      <c r="N308" s="16" t="str">
        <f>VLOOKUP($A308,'SurveyRpt_20150223 (1)'!$A$34:$AN$735,20,FALSE)</f>
        <v>No</v>
      </c>
      <c r="O308" s="16" t="str">
        <f>VLOOKUP($A308,'SurveyRpt_20150223 (1)'!$A$34:$AN$735,22,FALSE)</f>
        <v>Yes</v>
      </c>
      <c r="P308" s="16" t="str">
        <f>VLOOKUP($A308,'SurveyRpt_20150223 (1)'!$A$34:$AN$735,24,FALSE)</f>
        <v>Yes</v>
      </c>
      <c r="Q308" s="16" t="str">
        <f>VLOOKUP($A308,'SurveyRpt_20150223 (1)'!$A$34:$AN$735,26,FALSE)</f>
        <v>Yes</v>
      </c>
      <c r="R308" s="16" t="str">
        <f>VLOOKUP($A308,'SurveyRpt_20150223 (1)'!$A$34:$AN$735,28,FALSE)</f>
        <v>Yes</v>
      </c>
      <c r="S308" s="16" t="str">
        <f>VLOOKUP($A308,'SurveyRpt_20150223 (1)'!$A$34:$AN$735,30,FALSE)</f>
        <v>No</v>
      </c>
      <c r="T308" s="16" t="str">
        <f>VLOOKUP($A308,'SurveyRpt_20150223 (1)'!$A$34:$AN$735,32,FALSE)</f>
        <v>Yes</v>
      </c>
      <c r="U308" s="16" t="str">
        <f>VLOOKUP($A308,'SurveyRpt_20150223 (1)'!$A$34:$AN$735,34,FALSE)</f>
        <v>No</v>
      </c>
      <c r="V308" s="16" t="str">
        <f>VLOOKUP($A308,'SurveyRpt_20150223 (1)'!$A$34:$AN$735,36,FALSE)</f>
        <v>No</v>
      </c>
      <c r="W308" s="16" t="str">
        <f>VLOOKUP($A308,'SurveyRpt_20150223 (1)'!$A$34:$AN$735,38,FALSE)</f>
        <v>Yes</v>
      </c>
    </row>
    <row r="309" spans="1:23" ht="13.5" customHeight="1" x14ac:dyDescent="0.25">
      <c r="A309" s="19" t="s">
        <v>402</v>
      </c>
      <c r="B309" s="19" t="str">
        <f t="shared" si="4"/>
        <v>akhare4</v>
      </c>
      <c r="C309" s="16" t="str">
        <f>VLOOKUP(B309,'Compiled Agents'!A:H,2,FALSE)</f>
        <v>Workplace</v>
      </c>
      <c r="D309" s="16" t="str">
        <f>VLOOKUP(B309,'Compiled Agents'!A:H,4,FALSE)</f>
        <v>Noida</v>
      </c>
      <c r="E309" s="16" t="str">
        <f>VLOOKUP(B309,'Compiled Agents'!A:H,5,FALSE)</f>
        <v>Wave2</v>
      </c>
      <c r="F309" s="16" t="str">
        <f>VLOOKUP(B309,'Compiled Agents'!A:H,6,FALSE)</f>
        <v>Yellow</v>
      </c>
      <c r="G309" s="16">
        <f>VLOOKUP($A309,'SurveyRpt_20150223 (1)'!$A$34:$AN$735,6,FALSE)</f>
        <v>16</v>
      </c>
      <c r="H309" s="16" t="str">
        <f>VLOOKUP($A309,'SurveyRpt_20150223 (1)'!$A$34:$AN$735,8,FALSE)</f>
        <v>Yes</v>
      </c>
      <c r="I309" s="16" t="str">
        <f>VLOOKUP($A309,'SurveyRpt_20150223 (1)'!$A$34:$AN$735,10,FALSE)</f>
        <v>Yes</v>
      </c>
      <c r="J309" s="16" t="str">
        <f>VLOOKUP($A309,'SurveyRpt_20150223 (1)'!$A$34:$AN$735,12,FALSE)</f>
        <v>Yes</v>
      </c>
      <c r="K309" s="16" t="str">
        <f>VLOOKUP($A309,'SurveyRpt_20150223 (1)'!$A$34:$AN$735,14,FALSE)</f>
        <v>Yes</v>
      </c>
      <c r="L309" s="16" t="str">
        <f>VLOOKUP($A309,'SurveyRpt_20150223 (1)'!$A$34:$AN$735,16,FALSE)</f>
        <v>Yes</v>
      </c>
      <c r="M309" s="16" t="str">
        <f>VLOOKUP($A309,'SurveyRpt_20150223 (1)'!$A$34:$AN$735,18,FALSE)</f>
        <v>Yes</v>
      </c>
      <c r="N309" s="16" t="str">
        <f>VLOOKUP($A309,'SurveyRpt_20150223 (1)'!$A$34:$AN$735,20,FALSE)</f>
        <v>Yes</v>
      </c>
      <c r="O309" s="16" t="str">
        <f>VLOOKUP($A309,'SurveyRpt_20150223 (1)'!$A$34:$AN$735,22,FALSE)</f>
        <v>Yes</v>
      </c>
      <c r="P309" s="16" t="str">
        <f>VLOOKUP($A309,'SurveyRpt_20150223 (1)'!$A$34:$AN$735,24,FALSE)</f>
        <v>Yes</v>
      </c>
      <c r="Q309" s="16" t="str">
        <f>VLOOKUP($A309,'SurveyRpt_20150223 (1)'!$A$34:$AN$735,26,FALSE)</f>
        <v>Yes</v>
      </c>
      <c r="R309" s="16" t="str">
        <f>VLOOKUP($A309,'SurveyRpt_20150223 (1)'!$A$34:$AN$735,28,FALSE)</f>
        <v>Yes</v>
      </c>
      <c r="S309" s="16" t="str">
        <f>VLOOKUP($A309,'SurveyRpt_20150223 (1)'!$A$34:$AN$735,30,FALSE)</f>
        <v>Yes</v>
      </c>
      <c r="T309" s="16" t="str">
        <f>VLOOKUP($A309,'SurveyRpt_20150223 (1)'!$A$34:$AN$735,32,FALSE)</f>
        <v>Yes</v>
      </c>
      <c r="U309" s="16" t="str">
        <f>VLOOKUP($A309,'SurveyRpt_20150223 (1)'!$A$34:$AN$735,34,FALSE)</f>
        <v>Yes</v>
      </c>
      <c r="V309" s="16" t="str">
        <f>VLOOKUP($A309,'SurveyRpt_20150223 (1)'!$A$34:$AN$735,36,FALSE)</f>
        <v>Yes</v>
      </c>
      <c r="W309" s="16" t="str">
        <f>VLOOKUP($A309,'SurveyRpt_20150223 (1)'!$A$34:$AN$735,38,FALSE)</f>
        <v>Yes</v>
      </c>
    </row>
    <row r="310" spans="1:23" ht="13.5" customHeight="1" x14ac:dyDescent="0.25">
      <c r="A310" s="19" t="s">
        <v>403</v>
      </c>
      <c r="B310" s="19" t="str">
        <f t="shared" si="4"/>
        <v>YDASARI</v>
      </c>
      <c r="C310" s="16" t="str">
        <f>VLOOKUP(B310,'Compiled Agents'!A:H,2,FALSE)</f>
        <v>Platform</v>
      </c>
      <c r="D310" s="16" t="str">
        <f>VLOOKUP(B310,'Compiled Agents'!A:H,4,FALSE)</f>
        <v>Hyderabad</v>
      </c>
      <c r="E310" s="16" t="str">
        <f>VLOOKUP(B310,'Compiled Agents'!A:H,5,FALSE)</f>
        <v>Wave1</v>
      </c>
      <c r="F310" s="16" t="str">
        <f>VLOOKUP(B310,'Compiled Agents'!A:H,6,FALSE)</f>
        <v>Purple</v>
      </c>
      <c r="G310" s="16">
        <f>VLOOKUP($A310,'SurveyRpt_20150223 (1)'!$A$34:$AN$735,6,FALSE)</f>
        <v>8</v>
      </c>
      <c r="H310" s="16" t="str">
        <f>VLOOKUP($A310,'SurveyRpt_20150223 (1)'!$A$34:$AN$735,8,FALSE)</f>
        <v>Yes</v>
      </c>
      <c r="I310" s="16" t="str">
        <f>VLOOKUP($A310,'SurveyRpt_20150223 (1)'!$A$34:$AN$735,10,FALSE)</f>
        <v>Yes</v>
      </c>
      <c r="J310" s="16" t="str">
        <f>VLOOKUP($A310,'SurveyRpt_20150223 (1)'!$A$34:$AN$735,12,FALSE)</f>
        <v>No</v>
      </c>
      <c r="K310" s="16" t="str">
        <f>VLOOKUP($A310,'SurveyRpt_20150223 (1)'!$A$34:$AN$735,14,FALSE)</f>
        <v>Yes</v>
      </c>
      <c r="L310" s="16" t="str">
        <f>VLOOKUP($A310,'SurveyRpt_20150223 (1)'!$A$34:$AN$735,16,FALSE)</f>
        <v>No</v>
      </c>
      <c r="M310" s="16" t="str">
        <f>VLOOKUP($A310,'SurveyRpt_20150223 (1)'!$A$34:$AN$735,18,FALSE)</f>
        <v>No</v>
      </c>
      <c r="N310" s="16" t="str">
        <f>VLOOKUP($A310,'SurveyRpt_20150223 (1)'!$A$34:$AN$735,20,FALSE)</f>
        <v>No</v>
      </c>
      <c r="O310" s="16" t="str">
        <f>VLOOKUP($A310,'SurveyRpt_20150223 (1)'!$A$34:$AN$735,22,FALSE)</f>
        <v>Yes</v>
      </c>
      <c r="P310" s="16" t="str">
        <f>VLOOKUP($A310,'SurveyRpt_20150223 (1)'!$A$34:$AN$735,24,FALSE)</f>
        <v>No</v>
      </c>
      <c r="Q310" s="16" t="str">
        <f>VLOOKUP($A310,'SurveyRpt_20150223 (1)'!$A$34:$AN$735,26,FALSE)</f>
        <v>Yes</v>
      </c>
      <c r="R310" s="16" t="str">
        <f>VLOOKUP($A310,'SurveyRpt_20150223 (1)'!$A$34:$AN$735,28,FALSE)</f>
        <v>Yes</v>
      </c>
      <c r="S310" s="16" t="str">
        <f>VLOOKUP($A310,'SurveyRpt_20150223 (1)'!$A$34:$AN$735,30,FALSE)</f>
        <v>Yes</v>
      </c>
      <c r="T310" s="16" t="str">
        <f>VLOOKUP($A310,'SurveyRpt_20150223 (1)'!$A$34:$AN$735,32,FALSE)</f>
        <v>No</v>
      </c>
      <c r="U310" s="16" t="str">
        <f>VLOOKUP($A310,'SurveyRpt_20150223 (1)'!$A$34:$AN$735,34,FALSE)</f>
        <v>No</v>
      </c>
      <c r="V310" s="16" t="str">
        <f>VLOOKUP($A310,'SurveyRpt_20150223 (1)'!$A$34:$AN$735,36,FALSE)</f>
        <v>Yes</v>
      </c>
      <c r="W310" s="16" t="str">
        <f>VLOOKUP($A310,'SurveyRpt_20150223 (1)'!$A$34:$AN$735,38,FALSE)</f>
        <v>No</v>
      </c>
    </row>
    <row r="311" spans="1:23" ht="13.5" customHeight="1" x14ac:dyDescent="0.25">
      <c r="A311" s="19" t="s">
        <v>404</v>
      </c>
      <c r="B311" s="19" t="str">
        <f t="shared" si="4"/>
        <v>KPATNAIK3</v>
      </c>
      <c r="C311" s="16" t="str">
        <f>VLOOKUP(B311,'Compiled Agents'!A:H,2,FALSE)</f>
        <v>Workplace</v>
      </c>
      <c r="D311" s="16" t="str">
        <f>VLOOKUP(B311,'Compiled Agents'!A:H,4,FALSE)</f>
        <v>Hyderabad</v>
      </c>
      <c r="E311" s="16" t="str">
        <f>VLOOKUP(B311,'Compiled Agents'!A:H,5,FALSE)</f>
        <v>Wave2</v>
      </c>
      <c r="F311" s="16" t="str">
        <f>VLOOKUP(B311,'Compiled Agents'!A:H,6,FALSE)</f>
        <v>Purple</v>
      </c>
      <c r="G311" s="16">
        <f>VLOOKUP($A311,'SurveyRpt_20150223 (1)'!$A$34:$AN$735,6,FALSE)</f>
        <v>16</v>
      </c>
      <c r="H311" s="16" t="str">
        <f>VLOOKUP($A311,'SurveyRpt_20150223 (1)'!$A$34:$AN$735,8,FALSE)</f>
        <v>Yes</v>
      </c>
      <c r="I311" s="16" t="str">
        <f>VLOOKUP($A311,'SurveyRpt_20150223 (1)'!$A$34:$AN$735,10,FALSE)</f>
        <v>Yes</v>
      </c>
      <c r="J311" s="16" t="str">
        <f>VLOOKUP($A311,'SurveyRpt_20150223 (1)'!$A$34:$AN$735,12,FALSE)</f>
        <v>Yes</v>
      </c>
      <c r="K311" s="16" t="str">
        <f>VLOOKUP($A311,'SurveyRpt_20150223 (1)'!$A$34:$AN$735,14,FALSE)</f>
        <v>Yes</v>
      </c>
      <c r="L311" s="16" t="str">
        <f>VLOOKUP($A311,'SurveyRpt_20150223 (1)'!$A$34:$AN$735,16,FALSE)</f>
        <v>Yes</v>
      </c>
      <c r="M311" s="16" t="str">
        <f>VLOOKUP($A311,'SurveyRpt_20150223 (1)'!$A$34:$AN$735,18,FALSE)</f>
        <v>Yes</v>
      </c>
      <c r="N311" s="16" t="str">
        <f>VLOOKUP($A311,'SurveyRpt_20150223 (1)'!$A$34:$AN$735,20,FALSE)</f>
        <v>Yes</v>
      </c>
      <c r="O311" s="16" t="str">
        <f>VLOOKUP($A311,'SurveyRpt_20150223 (1)'!$A$34:$AN$735,22,FALSE)</f>
        <v>Yes</v>
      </c>
      <c r="P311" s="16" t="str">
        <f>VLOOKUP($A311,'SurveyRpt_20150223 (1)'!$A$34:$AN$735,24,FALSE)</f>
        <v>Yes</v>
      </c>
      <c r="Q311" s="16" t="str">
        <f>VLOOKUP($A311,'SurveyRpt_20150223 (1)'!$A$34:$AN$735,26,FALSE)</f>
        <v>Yes</v>
      </c>
      <c r="R311" s="16" t="str">
        <f>VLOOKUP($A311,'SurveyRpt_20150223 (1)'!$A$34:$AN$735,28,FALSE)</f>
        <v>Yes</v>
      </c>
      <c r="S311" s="16" t="str">
        <f>VLOOKUP($A311,'SurveyRpt_20150223 (1)'!$A$34:$AN$735,30,FALSE)</f>
        <v>Yes</v>
      </c>
      <c r="T311" s="16" t="str">
        <f>VLOOKUP($A311,'SurveyRpt_20150223 (1)'!$A$34:$AN$735,32,FALSE)</f>
        <v>Yes</v>
      </c>
      <c r="U311" s="16" t="str">
        <f>VLOOKUP($A311,'SurveyRpt_20150223 (1)'!$A$34:$AN$735,34,FALSE)</f>
        <v>Yes</v>
      </c>
      <c r="V311" s="16" t="str">
        <f>VLOOKUP($A311,'SurveyRpt_20150223 (1)'!$A$34:$AN$735,36,FALSE)</f>
        <v>Yes</v>
      </c>
      <c r="W311" s="16" t="str">
        <f>VLOOKUP($A311,'SurveyRpt_20150223 (1)'!$A$34:$AN$735,38,FALSE)</f>
        <v>Yes</v>
      </c>
    </row>
    <row r="312" spans="1:23" ht="13.5" customHeight="1" x14ac:dyDescent="0.25">
      <c r="A312" s="19" t="s">
        <v>405</v>
      </c>
      <c r="B312" s="19" t="str">
        <f t="shared" si="4"/>
        <v>SQAIRUDDIN</v>
      </c>
      <c r="C312" s="16" t="str">
        <f>VLOOKUP(B312,'Compiled Agents'!A:H,2,FALSE)</f>
        <v>Platform</v>
      </c>
      <c r="D312" s="16" t="str">
        <f>VLOOKUP(B312,'Compiled Agents'!A:H,4,FALSE)</f>
        <v>Hyderabad</v>
      </c>
      <c r="E312" s="16" t="str">
        <f>VLOOKUP(B312,'Compiled Agents'!A:H,5,FALSE)</f>
        <v>Wave1</v>
      </c>
      <c r="F312" s="16" t="str">
        <f>VLOOKUP(B312,'Compiled Agents'!A:H,6,FALSE)</f>
        <v>Purple</v>
      </c>
      <c r="G312" s="16">
        <f>VLOOKUP($A312,'SurveyRpt_20150223 (1)'!$A$34:$AN$735,6,FALSE)</f>
        <v>16</v>
      </c>
      <c r="H312" s="16" t="str">
        <f>VLOOKUP($A312,'SurveyRpt_20150223 (1)'!$A$34:$AN$735,8,FALSE)</f>
        <v>Yes</v>
      </c>
      <c r="I312" s="16" t="str">
        <f>VLOOKUP($A312,'SurveyRpt_20150223 (1)'!$A$34:$AN$735,10,FALSE)</f>
        <v>Yes</v>
      </c>
      <c r="J312" s="16" t="str">
        <f>VLOOKUP($A312,'SurveyRpt_20150223 (1)'!$A$34:$AN$735,12,FALSE)</f>
        <v>Yes</v>
      </c>
      <c r="K312" s="16" t="str">
        <f>VLOOKUP($A312,'SurveyRpt_20150223 (1)'!$A$34:$AN$735,14,FALSE)</f>
        <v>Yes</v>
      </c>
      <c r="L312" s="16" t="str">
        <f>VLOOKUP($A312,'SurveyRpt_20150223 (1)'!$A$34:$AN$735,16,FALSE)</f>
        <v>Yes</v>
      </c>
      <c r="M312" s="16" t="str">
        <f>VLOOKUP($A312,'SurveyRpt_20150223 (1)'!$A$34:$AN$735,18,FALSE)</f>
        <v>Yes</v>
      </c>
      <c r="N312" s="16" t="str">
        <f>VLOOKUP($A312,'SurveyRpt_20150223 (1)'!$A$34:$AN$735,20,FALSE)</f>
        <v>Yes</v>
      </c>
      <c r="O312" s="16" t="str">
        <f>VLOOKUP($A312,'SurveyRpt_20150223 (1)'!$A$34:$AN$735,22,FALSE)</f>
        <v>Yes</v>
      </c>
      <c r="P312" s="16" t="str">
        <f>VLOOKUP($A312,'SurveyRpt_20150223 (1)'!$A$34:$AN$735,24,FALSE)</f>
        <v>Yes</v>
      </c>
      <c r="Q312" s="16" t="str">
        <f>VLOOKUP($A312,'SurveyRpt_20150223 (1)'!$A$34:$AN$735,26,FALSE)</f>
        <v>Yes</v>
      </c>
      <c r="R312" s="16" t="str">
        <f>VLOOKUP($A312,'SurveyRpt_20150223 (1)'!$A$34:$AN$735,28,FALSE)</f>
        <v>Yes</v>
      </c>
      <c r="S312" s="16" t="str">
        <f>VLOOKUP($A312,'SurveyRpt_20150223 (1)'!$A$34:$AN$735,30,FALSE)</f>
        <v>Yes</v>
      </c>
      <c r="T312" s="16" t="str">
        <f>VLOOKUP($A312,'SurveyRpt_20150223 (1)'!$A$34:$AN$735,32,FALSE)</f>
        <v>Yes</v>
      </c>
      <c r="U312" s="16" t="str">
        <f>VLOOKUP($A312,'SurveyRpt_20150223 (1)'!$A$34:$AN$735,34,FALSE)</f>
        <v>Yes</v>
      </c>
      <c r="V312" s="16" t="str">
        <f>VLOOKUP($A312,'SurveyRpt_20150223 (1)'!$A$34:$AN$735,36,FALSE)</f>
        <v>Yes</v>
      </c>
      <c r="W312" s="16" t="str">
        <f>VLOOKUP($A312,'SurveyRpt_20150223 (1)'!$A$34:$AN$735,38,FALSE)</f>
        <v>Yes</v>
      </c>
    </row>
    <row r="313" spans="1:23" ht="13.5" customHeight="1" x14ac:dyDescent="0.25">
      <c r="A313" s="19" t="s">
        <v>406</v>
      </c>
      <c r="B313" s="19" t="str">
        <f t="shared" si="4"/>
        <v>ASMITH222</v>
      </c>
      <c r="C313" s="16" t="str">
        <f>VLOOKUP(B313,'Compiled Agents'!A:H,2,FALSE)</f>
        <v>Platform</v>
      </c>
      <c r="D313" s="16" t="str">
        <f>VLOOKUP(B313,'Compiled Agents'!A:H,4,FALSE)</f>
        <v>MBC US</v>
      </c>
      <c r="E313" s="16" t="str">
        <f>VLOOKUP(B313,'Compiled Agents'!A:H,5,FALSE)</f>
        <v>Wave2</v>
      </c>
      <c r="F313" s="16" t="str">
        <f>VLOOKUP(B313,'Compiled Agents'!A:H,6,FALSE)</f>
        <v>Orange</v>
      </c>
      <c r="G313" s="16">
        <f>VLOOKUP($A313,'SurveyRpt_20150223 (1)'!$A$34:$AN$735,6,FALSE)</f>
        <v>1</v>
      </c>
      <c r="H313" s="16" t="str">
        <f>VLOOKUP($A313,'SurveyRpt_20150223 (1)'!$A$34:$AN$735,8,FALSE)</f>
        <v>No</v>
      </c>
      <c r="I313" s="16" t="str">
        <f>VLOOKUP($A313,'SurveyRpt_20150223 (1)'!$A$34:$AN$735,10,FALSE)</f>
        <v>No</v>
      </c>
      <c r="J313" s="16" t="str">
        <f>VLOOKUP($A313,'SurveyRpt_20150223 (1)'!$A$34:$AN$735,12,FALSE)</f>
        <v>No</v>
      </c>
      <c r="K313" s="16" t="str">
        <f>VLOOKUP($A313,'SurveyRpt_20150223 (1)'!$A$34:$AN$735,14,FALSE)</f>
        <v>No</v>
      </c>
      <c r="L313" s="16" t="str">
        <f>VLOOKUP($A313,'SurveyRpt_20150223 (1)'!$A$34:$AN$735,16,FALSE)</f>
        <v>No</v>
      </c>
      <c r="M313" s="16" t="str">
        <f>VLOOKUP($A313,'SurveyRpt_20150223 (1)'!$A$34:$AN$735,18,FALSE)</f>
        <v>No</v>
      </c>
      <c r="N313" s="16" t="str">
        <f>VLOOKUP($A313,'SurveyRpt_20150223 (1)'!$A$34:$AN$735,20,FALSE)</f>
        <v>No</v>
      </c>
      <c r="O313" s="16" t="str">
        <f>VLOOKUP($A313,'SurveyRpt_20150223 (1)'!$A$34:$AN$735,22,FALSE)</f>
        <v>No</v>
      </c>
      <c r="P313" s="16" t="str">
        <f>VLOOKUP($A313,'SurveyRpt_20150223 (1)'!$A$34:$AN$735,24,FALSE)</f>
        <v>No</v>
      </c>
      <c r="Q313" s="16" t="str">
        <f>VLOOKUP($A313,'SurveyRpt_20150223 (1)'!$A$34:$AN$735,26,FALSE)</f>
        <v>No</v>
      </c>
      <c r="R313" s="16" t="str">
        <f>VLOOKUP($A313,'SurveyRpt_20150223 (1)'!$A$34:$AN$735,28,FALSE)</f>
        <v>No</v>
      </c>
      <c r="S313" s="16" t="str">
        <f>VLOOKUP($A313,'SurveyRpt_20150223 (1)'!$A$34:$AN$735,30,FALSE)</f>
        <v>Yes</v>
      </c>
      <c r="T313" s="16" t="str">
        <f>VLOOKUP($A313,'SurveyRpt_20150223 (1)'!$A$34:$AN$735,32,FALSE)</f>
        <v>No</v>
      </c>
      <c r="U313" s="16" t="str">
        <f>VLOOKUP($A313,'SurveyRpt_20150223 (1)'!$A$34:$AN$735,34,FALSE)</f>
        <v>No</v>
      </c>
      <c r="V313" s="16" t="str">
        <f>VLOOKUP($A313,'SurveyRpt_20150223 (1)'!$A$34:$AN$735,36,FALSE)</f>
        <v>No</v>
      </c>
      <c r="W313" s="16" t="str">
        <f>VLOOKUP($A313,'SurveyRpt_20150223 (1)'!$A$34:$AN$735,38,FALSE)</f>
        <v>No</v>
      </c>
    </row>
    <row r="314" spans="1:23" ht="13.5" customHeight="1" x14ac:dyDescent="0.25">
      <c r="A314" s="19" t="s">
        <v>407</v>
      </c>
      <c r="B314" s="19" t="str">
        <f t="shared" si="4"/>
        <v>SBHIMAVARAPU</v>
      </c>
      <c r="C314" s="16" t="str">
        <f>VLOOKUP(B314,'Compiled Agents'!A:H,2,FALSE)</f>
        <v>Platform</v>
      </c>
      <c r="D314" s="16" t="str">
        <f>VLOOKUP(B314,'Compiled Agents'!A:H,4,FALSE)</f>
        <v>Hyderabad</v>
      </c>
      <c r="E314" s="16" t="str">
        <f>VLOOKUP(B314,'Compiled Agents'!A:H,5,FALSE)</f>
        <v>Wave1</v>
      </c>
      <c r="F314" s="16" t="str">
        <f>VLOOKUP(B314,'Compiled Agents'!A:H,6,FALSE)</f>
        <v>Orange</v>
      </c>
      <c r="G314" s="16">
        <f>VLOOKUP($A314,'SurveyRpt_20150223 (1)'!$A$34:$AN$735,6,FALSE)</f>
        <v>16</v>
      </c>
      <c r="H314" s="16" t="str">
        <f>VLOOKUP($A314,'SurveyRpt_20150223 (1)'!$A$34:$AN$735,8,FALSE)</f>
        <v>Yes</v>
      </c>
      <c r="I314" s="16" t="str">
        <f>VLOOKUP($A314,'SurveyRpt_20150223 (1)'!$A$34:$AN$735,10,FALSE)</f>
        <v>Yes</v>
      </c>
      <c r="J314" s="16" t="str">
        <f>VLOOKUP($A314,'SurveyRpt_20150223 (1)'!$A$34:$AN$735,12,FALSE)</f>
        <v>Yes</v>
      </c>
      <c r="K314" s="16" t="str">
        <f>VLOOKUP($A314,'SurveyRpt_20150223 (1)'!$A$34:$AN$735,14,FALSE)</f>
        <v>Yes</v>
      </c>
      <c r="L314" s="16" t="str">
        <f>VLOOKUP($A314,'SurveyRpt_20150223 (1)'!$A$34:$AN$735,16,FALSE)</f>
        <v>Yes</v>
      </c>
      <c r="M314" s="16" t="str">
        <f>VLOOKUP($A314,'SurveyRpt_20150223 (1)'!$A$34:$AN$735,18,FALSE)</f>
        <v>Yes</v>
      </c>
      <c r="N314" s="16" t="str">
        <f>VLOOKUP($A314,'SurveyRpt_20150223 (1)'!$A$34:$AN$735,20,FALSE)</f>
        <v>Yes</v>
      </c>
      <c r="O314" s="16" t="str">
        <f>VLOOKUP($A314,'SurveyRpt_20150223 (1)'!$A$34:$AN$735,22,FALSE)</f>
        <v>Yes</v>
      </c>
      <c r="P314" s="16" t="str">
        <f>VLOOKUP($A314,'SurveyRpt_20150223 (1)'!$A$34:$AN$735,24,FALSE)</f>
        <v>Yes</v>
      </c>
      <c r="Q314" s="16" t="str">
        <f>VLOOKUP($A314,'SurveyRpt_20150223 (1)'!$A$34:$AN$735,26,FALSE)</f>
        <v>Yes</v>
      </c>
      <c r="R314" s="16" t="str">
        <f>VLOOKUP($A314,'SurveyRpt_20150223 (1)'!$A$34:$AN$735,28,FALSE)</f>
        <v>Yes</v>
      </c>
      <c r="S314" s="16" t="str">
        <f>VLOOKUP($A314,'SurveyRpt_20150223 (1)'!$A$34:$AN$735,30,FALSE)</f>
        <v>Yes</v>
      </c>
      <c r="T314" s="16" t="str">
        <f>VLOOKUP($A314,'SurveyRpt_20150223 (1)'!$A$34:$AN$735,32,FALSE)</f>
        <v>Yes</v>
      </c>
      <c r="U314" s="16" t="str">
        <f>VLOOKUP($A314,'SurveyRpt_20150223 (1)'!$A$34:$AN$735,34,FALSE)</f>
        <v>Yes</v>
      </c>
      <c r="V314" s="16" t="str">
        <f>VLOOKUP($A314,'SurveyRpt_20150223 (1)'!$A$34:$AN$735,36,FALSE)</f>
        <v>Yes</v>
      </c>
      <c r="W314" s="16" t="str">
        <f>VLOOKUP($A314,'SurveyRpt_20150223 (1)'!$A$34:$AN$735,38,FALSE)</f>
        <v>Yes</v>
      </c>
    </row>
    <row r="315" spans="1:23" ht="13.5" customHeight="1" x14ac:dyDescent="0.25">
      <c r="A315" s="19" t="s">
        <v>408</v>
      </c>
      <c r="B315" s="19" t="str">
        <f t="shared" si="4"/>
        <v>smarsh7</v>
      </c>
      <c r="C315" s="16" t="str">
        <f>VLOOKUP(B315,'Compiled Agents'!A:H,2,FALSE)</f>
        <v>Platform</v>
      </c>
      <c r="D315" s="16" t="str">
        <f>VLOOKUP(B315,'Compiled Agents'!A:H,4,FALSE)</f>
        <v>MBC US</v>
      </c>
      <c r="E315" s="16" t="str">
        <f>VLOOKUP(B315,'Compiled Agents'!A:H,5,FALSE)</f>
        <v>Wave2</v>
      </c>
      <c r="F315" s="16" t="str">
        <f>VLOOKUP(B315,'Compiled Agents'!A:H,6,FALSE)</f>
        <v>Orange</v>
      </c>
      <c r="G315" s="16">
        <f>VLOOKUP($A315,'SurveyRpt_20150223 (1)'!$A$34:$AN$735,6,FALSE)</f>
        <v>16</v>
      </c>
      <c r="H315" s="16" t="str">
        <f>VLOOKUP($A315,'SurveyRpt_20150223 (1)'!$A$34:$AN$735,8,FALSE)</f>
        <v>Yes</v>
      </c>
      <c r="I315" s="16" t="str">
        <f>VLOOKUP($A315,'SurveyRpt_20150223 (1)'!$A$34:$AN$735,10,FALSE)</f>
        <v>Yes</v>
      </c>
      <c r="J315" s="16" t="str">
        <f>VLOOKUP($A315,'SurveyRpt_20150223 (1)'!$A$34:$AN$735,12,FALSE)</f>
        <v>Yes</v>
      </c>
      <c r="K315" s="16" t="str">
        <f>VLOOKUP($A315,'SurveyRpt_20150223 (1)'!$A$34:$AN$735,14,FALSE)</f>
        <v>Yes</v>
      </c>
      <c r="L315" s="16" t="str">
        <f>VLOOKUP($A315,'SurveyRpt_20150223 (1)'!$A$34:$AN$735,16,FALSE)</f>
        <v>Yes</v>
      </c>
      <c r="M315" s="16" t="str">
        <f>VLOOKUP($A315,'SurveyRpt_20150223 (1)'!$A$34:$AN$735,18,FALSE)</f>
        <v>Yes</v>
      </c>
      <c r="N315" s="16" t="str">
        <f>VLOOKUP($A315,'SurveyRpt_20150223 (1)'!$A$34:$AN$735,20,FALSE)</f>
        <v>Yes</v>
      </c>
      <c r="O315" s="16" t="str">
        <f>VLOOKUP($A315,'SurveyRpt_20150223 (1)'!$A$34:$AN$735,22,FALSE)</f>
        <v>Yes</v>
      </c>
      <c r="P315" s="16" t="str">
        <f>VLOOKUP($A315,'SurveyRpt_20150223 (1)'!$A$34:$AN$735,24,FALSE)</f>
        <v>Yes</v>
      </c>
      <c r="Q315" s="16" t="str">
        <f>VLOOKUP($A315,'SurveyRpt_20150223 (1)'!$A$34:$AN$735,26,FALSE)</f>
        <v>Yes</v>
      </c>
      <c r="R315" s="16" t="str">
        <f>VLOOKUP($A315,'SurveyRpt_20150223 (1)'!$A$34:$AN$735,28,FALSE)</f>
        <v>Yes</v>
      </c>
      <c r="S315" s="16" t="str">
        <f>VLOOKUP($A315,'SurveyRpt_20150223 (1)'!$A$34:$AN$735,30,FALSE)</f>
        <v>Yes</v>
      </c>
      <c r="T315" s="16" t="str">
        <f>VLOOKUP($A315,'SurveyRpt_20150223 (1)'!$A$34:$AN$735,32,FALSE)</f>
        <v>Yes</v>
      </c>
      <c r="U315" s="16" t="str">
        <f>VLOOKUP($A315,'SurveyRpt_20150223 (1)'!$A$34:$AN$735,34,FALSE)</f>
        <v>Yes</v>
      </c>
      <c r="V315" s="16" t="str">
        <f>VLOOKUP($A315,'SurveyRpt_20150223 (1)'!$A$34:$AN$735,36,FALSE)</f>
        <v>Yes</v>
      </c>
      <c r="W315" s="16" t="str">
        <f>VLOOKUP($A315,'SurveyRpt_20150223 (1)'!$A$34:$AN$735,38,FALSE)</f>
        <v>Yes</v>
      </c>
    </row>
    <row r="316" spans="1:23" ht="13.5" customHeight="1" x14ac:dyDescent="0.25">
      <c r="A316" s="19" t="s">
        <v>409</v>
      </c>
      <c r="B316" s="19" t="str">
        <f t="shared" si="4"/>
        <v>rthomas48</v>
      </c>
      <c r="C316" s="16" t="str">
        <f>VLOOKUP(B316,'Compiled Agents'!A:H,2,FALSE)</f>
        <v>Workplace</v>
      </c>
      <c r="D316" s="16" t="str">
        <f>VLOOKUP(B316,'Compiled Agents'!A:H,4,FALSE)</f>
        <v>MBC US</v>
      </c>
      <c r="E316" s="16" t="str">
        <f>VLOOKUP(B316,'Compiled Agents'!A:H,5,FALSE)</f>
        <v>Wave2</v>
      </c>
      <c r="F316" s="16" t="str">
        <f>VLOOKUP(B316,'Compiled Agents'!A:H,6,FALSE)</f>
        <v>Orange</v>
      </c>
      <c r="G316" s="16">
        <f>VLOOKUP($A316,'SurveyRpt_20150223 (1)'!$A$34:$AN$735,6,FALSE)</f>
        <v>3</v>
      </c>
      <c r="H316" s="16" t="str">
        <f>VLOOKUP($A316,'SurveyRpt_20150223 (1)'!$A$34:$AN$735,8,FALSE)</f>
        <v>No</v>
      </c>
      <c r="I316" s="16" t="str">
        <f>VLOOKUP($A316,'SurveyRpt_20150223 (1)'!$A$34:$AN$735,10,FALSE)</f>
        <v>No</v>
      </c>
      <c r="J316" s="16" t="str">
        <f>VLOOKUP($A316,'SurveyRpt_20150223 (1)'!$A$34:$AN$735,12,FALSE)</f>
        <v>No</v>
      </c>
      <c r="K316" s="16" t="str">
        <f>VLOOKUP($A316,'SurveyRpt_20150223 (1)'!$A$34:$AN$735,14,FALSE)</f>
        <v>No</v>
      </c>
      <c r="L316" s="16" t="str">
        <f>VLOOKUP($A316,'SurveyRpt_20150223 (1)'!$A$34:$AN$735,16,FALSE)</f>
        <v>Yes</v>
      </c>
      <c r="M316" s="16" t="str">
        <f>VLOOKUP($A316,'SurveyRpt_20150223 (1)'!$A$34:$AN$735,18,FALSE)</f>
        <v>No</v>
      </c>
      <c r="N316" s="16" t="str">
        <f>VLOOKUP($A316,'SurveyRpt_20150223 (1)'!$A$34:$AN$735,20,FALSE)</f>
        <v>No</v>
      </c>
      <c r="O316" s="16" t="str">
        <f>VLOOKUP($A316,'SurveyRpt_20150223 (1)'!$A$34:$AN$735,22,FALSE)</f>
        <v>Yes</v>
      </c>
      <c r="P316" s="16" t="str">
        <f>VLOOKUP($A316,'SurveyRpt_20150223 (1)'!$A$34:$AN$735,24,FALSE)</f>
        <v>No</v>
      </c>
      <c r="Q316" s="16" t="str">
        <f>VLOOKUP($A316,'SurveyRpt_20150223 (1)'!$A$34:$AN$735,26,FALSE)</f>
        <v>No</v>
      </c>
      <c r="R316" s="16" t="str">
        <f>VLOOKUP($A316,'SurveyRpt_20150223 (1)'!$A$34:$AN$735,28,FALSE)</f>
        <v>No</v>
      </c>
      <c r="S316" s="16" t="str">
        <f>VLOOKUP($A316,'SurveyRpt_20150223 (1)'!$A$34:$AN$735,30,FALSE)</f>
        <v>No</v>
      </c>
      <c r="T316" s="16" t="str">
        <f>VLOOKUP($A316,'SurveyRpt_20150223 (1)'!$A$34:$AN$735,32,FALSE)</f>
        <v>No</v>
      </c>
      <c r="U316" s="16" t="str">
        <f>VLOOKUP($A316,'SurveyRpt_20150223 (1)'!$A$34:$AN$735,34,FALSE)</f>
        <v>Yes</v>
      </c>
      <c r="V316" s="16" t="str">
        <f>VLOOKUP($A316,'SurveyRpt_20150223 (1)'!$A$34:$AN$735,36,FALSE)</f>
        <v>No</v>
      </c>
      <c r="W316" s="16" t="str">
        <f>VLOOKUP($A316,'SurveyRpt_20150223 (1)'!$A$34:$AN$735,38,FALSE)</f>
        <v>No</v>
      </c>
    </row>
    <row r="317" spans="1:23" ht="13.5" customHeight="1" x14ac:dyDescent="0.25">
      <c r="A317" s="19" t="s">
        <v>410</v>
      </c>
      <c r="B317" s="19" t="str">
        <f t="shared" si="4"/>
        <v>TABDALI</v>
      </c>
      <c r="C317" s="16" t="str">
        <f>VLOOKUP(B317,'Compiled Agents'!A:H,2,FALSE)</f>
        <v>Workplace</v>
      </c>
      <c r="D317" s="16" t="str">
        <f>VLOOKUP(B317,'Compiled Agents'!A:H,4,FALSE)</f>
        <v>Noida</v>
      </c>
      <c r="E317" s="16" t="str">
        <f>VLOOKUP(B317,'Compiled Agents'!A:H,5,FALSE)</f>
        <v>Wave2</v>
      </c>
      <c r="F317" s="16" t="str">
        <f>VLOOKUP(B317,'Compiled Agents'!A:H,6,FALSE)</f>
        <v>Purple</v>
      </c>
      <c r="G317" s="16">
        <f>VLOOKUP($A317,'SurveyRpt_20150223 (1)'!$A$34:$AN$735,6,FALSE)</f>
        <v>11</v>
      </c>
      <c r="H317" s="16" t="str">
        <f>VLOOKUP($A317,'SurveyRpt_20150223 (1)'!$A$34:$AN$735,8,FALSE)</f>
        <v>No</v>
      </c>
      <c r="I317" s="16" t="str">
        <f>VLOOKUP($A317,'SurveyRpt_20150223 (1)'!$A$34:$AN$735,10,FALSE)</f>
        <v>No</v>
      </c>
      <c r="J317" s="16" t="str">
        <f>VLOOKUP($A317,'SurveyRpt_20150223 (1)'!$A$34:$AN$735,12,FALSE)</f>
        <v>No</v>
      </c>
      <c r="K317" s="16" t="str">
        <f>VLOOKUP($A317,'SurveyRpt_20150223 (1)'!$A$34:$AN$735,14,FALSE)</f>
        <v>No</v>
      </c>
      <c r="L317" s="16" t="str">
        <f>VLOOKUP($A317,'SurveyRpt_20150223 (1)'!$A$34:$AN$735,16,FALSE)</f>
        <v>Yes</v>
      </c>
      <c r="M317" s="16" t="str">
        <f>VLOOKUP($A317,'SurveyRpt_20150223 (1)'!$A$34:$AN$735,18,FALSE)</f>
        <v>Yes</v>
      </c>
      <c r="N317" s="16" t="str">
        <f>VLOOKUP($A317,'SurveyRpt_20150223 (1)'!$A$34:$AN$735,20,FALSE)</f>
        <v>Yes</v>
      </c>
      <c r="O317" s="16" t="str">
        <f>VLOOKUP($A317,'SurveyRpt_20150223 (1)'!$A$34:$AN$735,22,FALSE)</f>
        <v>Yes</v>
      </c>
      <c r="P317" s="16" t="str">
        <f>VLOOKUP($A317,'SurveyRpt_20150223 (1)'!$A$34:$AN$735,24,FALSE)</f>
        <v>Yes</v>
      </c>
      <c r="Q317" s="16" t="str">
        <f>VLOOKUP($A317,'SurveyRpt_20150223 (1)'!$A$34:$AN$735,26,FALSE)</f>
        <v>Yes</v>
      </c>
      <c r="R317" s="16" t="str">
        <f>VLOOKUP($A317,'SurveyRpt_20150223 (1)'!$A$34:$AN$735,28,FALSE)</f>
        <v>Yes</v>
      </c>
      <c r="S317" s="16" t="str">
        <f>VLOOKUP($A317,'SurveyRpt_20150223 (1)'!$A$34:$AN$735,30,FALSE)</f>
        <v>Yes</v>
      </c>
      <c r="T317" s="16" t="str">
        <f>VLOOKUP($A317,'SurveyRpt_20150223 (1)'!$A$34:$AN$735,32,FALSE)</f>
        <v>No</v>
      </c>
      <c r="U317" s="16" t="str">
        <f>VLOOKUP($A317,'SurveyRpt_20150223 (1)'!$A$34:$AN$735,34,FALSE)</f>
        <v>Yes</v>
      </c>
      <c r="V317" s="16" t="str">
        <f>VLOOKUP($A317,'SurveyRpt_20150223 (1)'!$A$34:$AN$735,36,FALSE)</f>
        <v>Yes</v>
      </c>
      <c r="W317" s="16" t="str">
        <f>VLOOKUP($A317,'SurveyRpt_20150223 (1)'!$A$34:$AN$735,38,FALSE)</f>
        <v>Yes</v>
      </c>
    </row>
    <row r="318" spans="1:23" ht="13.5" customHeight="1" x14ac:dyDescent="0.25">
      <c r="A318" s="19" t="s">
        <v>411</v>
      </c>
      <c r="B318" s="19" t="str">
        <f t="shared" si="4"/>
        <v>ARANGALA</v>
      </c>
      <c r="C318" s="16" t="str">
        <f>VLOOKUP(B318,'Compiled Agents'!A:H,2,FALSE)</f>
        <v>Workplace</v>
      </c>
      <c r="D318" s="16" t="str">
        <f>VLOOKUP(B318,'Compiled Agents'!A:H,4,FALSE)</f>
        <v>Noida</v>
      </c>
      <c r="E318" s="16" t="str">
        <f>VLOOKUP(B318,'Compiled Agents'!A:H,5,FALSE)</f>
        <v>Wave2</v>
      </c>
      <c r="F318" s="16" t="str">
        <f>VLOOKUP(B318,'Compiled Agents'!A:H,6,FALSE)</f>
        <v>Purple</v>
      </c>
      <c r="G318" s="16">
        <f>VLOOKUP($A318,'SurveyRpt_20150223 (1)'!$A$34:$AN$735,6,FALSE)</f>
        <v>13</v>
      </c>
      <c r="H318" s="16" t="str">
        <f>VLOOKUP($A318,'SurveyRpt_20150223 (1)'!$A$34:$AN$735,8,FALSE)</f>
        <v>Yes</v>
      </c>
      <c r="I318" s="16" t="str">
        <f>VLOOKUP($A318,'SurveyRpt_20150223 (1)'!$A$34:$AN$735,10,FALSE)</f>
        <v>Yes</v>
      </c>
      <c r="J318" s="16" t="str">
        <f>VLOOKUP($A318,'SurveyRpt_20150223 (1)'!$A$34:$AN$735,12,FALSE)</f>
        <v>Yes</v>
      </c>
      <c r="K318" s="16" t="str">
        <f>VLOOKUP($A318,'SurveyRpt_20150223 (1)'!$A$34:$AN$735,14,FALSE)</f>
        <v>No</v>
      </c>
      <c r="L318" s="16" t="str">
        <f>VLOOKUP($A318,'SurveyRpt_20150223 (1)'!$A$34:$AN$735,16,FALSE)</f>
        <v>No</v>
      </c>
      <c r="M318" s="16" t="str">
        <f>VLOOKUP($A318,'SurveyRpt_20150223 (1)'!$A$34:$AN$735,18,FALSE)</f>
        <v>No</v>
      </c>
      <c r="N318" s="16" t="str">
        <f>VLOOKUP($A318,'SurveyRpt_20150223 (1)'!$A$34:$AN$735,20,FALSE)</f>
        <v>Yes</v>
      </c>
      <c r="O318" s="16" t="str">
        <f>VLOOKUP($A318,'SurveyRpt_20150223 (1)'!$A$34:$AN$735,22,FALSE)</f>
        <v>Yes</v>
      </c>
      <c r="P318" s="16" t="str">
        <f>VLOOKUP($A318,'SurveyRpt_20150223 (1)'!$A$34:$AN$735,24,FALSE)</f>
        <v>Yes</v>
      </c>
      <c r="Q318" s="16" t="str">
        <f>VLOOKUP($A318,'SurveyRpt_20150223 (1)'!$A$34:$AN$735,26,FALSE)</f>
        <v>Yes</v>
      </c>
      <c r="R318" s="16" t="str">
        <f>VLOOKUP($A318,'SurveyRpt_20150223 (1)'!$A$34:$AN$735,28,FALSE)</f>
        <v>Yes</v>
      </c>
      <c r="S318" s="16" t="str">
        <f>VLOOKUP($A318,'SurveyRpt_20150223 (1)'!$A$34:$AN$735,30,FALSE)</f>
        <v>Yes</v>
      </c>
      <c r="T318" s="16" t="str">
        <f>VLOOKUP($A318,'SurveyRpt_20150223 (1)'!$A$34:$AN$735,32,FALSE)</f>
        <v>Yes</v>
      </c>
      <c r="U318" s="16" t="str">
        <f>VLOOKUP($A318,'SurveyRpt_20150223 (1)'!$A$34:$AN$735,34,FALSE)</f>
        <v>Yes</v>
      </c>
      <c r="V318" s="16" t="str">
        <f>VLOOKUP($A318,'SurveyRpt_20150223 (1)'!$A$34:$AN$735,36,FALSE)</f>
        <v>Yes</v>
      </c>
      <c r="W318" s="16" t="str">
        <f>VLOOKUP($A318,'SurveyRpt_20150223 (1)'!$A$34:$AN$735,38,FALSE)</f>
        <v>Yes</v>
      </c>
    </row>
    <row r="319" spans="1:23" ht="13.5" customHeight="1" x14ac:dyDescent="0.25">
      <c r="A319" s="19" t="s">
        <v>412</v>
      </c>
      <c r="B319" s="19" t="str">
        <f t="shared" si="4"/>
        <v>GMITTAL6</v>
      </c>
      <c r="C319" s="16" t="str">
        <f>VLOOKUP(B319,'Compiled Agents'!A:H,2,FALSE)</f>
        <v>Workplace</v>
      </c>
      <c r="D319" s="16" t="str">
        <f>VLOOKUP(B319,'Compiled Agents'!A:H,4,FALSE)</f>
        <v>Noida</v>
      </c>
      <c r="E319" s="16" t="str">
        <f>VLOOKUP(B319,'Compiled Agents'!A:H,5,FALSE)</f>
        <v>Wave1</v>
      </c>
      <c r="F319" s="16" t="str">
        <f>VLOOKUP(B319,'Compiled Agents'!A:H,6,FALSE)</f>
        <v>Yellow</v>
      </c>
      <c r="G319" s="16">
        <f>VLOOKUP($A319,'SurveyRpt_20150223 (1)'!$A$34:$AN$735,6,FALSE)</f>
        <v>15</v>
      </c>
      <c r="H319" s="16" t="str">
        <f>VLOOKUP($A319,'SurveyRpt_20150223 (1)'!$A$34:$AN$735,8,FALSE)</f>
        <v>Yes</v>
      </c>
      <c r="I319" s="16" t="str">
        <f>VLOOKUP($A319,'SurveyRpt_20150223 (1)'!$A$34:$AN$735,10,FALSE)</f>
        <v>Yes</v>
      </c>
      <c r="J319" s="16" t="str">
        <f>VLOOKUP($A319,'SurveyRpt_20150223 (1)'!$A$34:$AN$735,12,FALSE)</f>
        <v>Yes</v>
      </c>
      <c r="K319" s="16" t="str">
        <f>VLOOKUP($A319,'SurveyRpt_20150223 (1)'!$A$34:$AN$735,14,FALSE)</f>
        <v>Yes</v>
      </c>
      <c r="L319" s="16" t="str">
        <f>VLOOKUP($A319,'SurveyRpt_20150223 (1)'!$A$34:$AN$735,16,FALSE)</f>
        <v>Yes</v>
      </c>
      <c r="M319" s="16" t="str">
        <f>VLOOKUP($A319,'SurveyRpt_20150223 (1)'!$A$34:$AN$735,18,FALSE)</f>
        <v>Yes</v>
      </c>
      <c r="N319" s="16" t="str">
        <f>VLOOKUP($A319,'SurveyRpt_20150223 (1)'!$A$34:$AN$735,20,FALSE)</f>
        <v>Yes</v>
      </c>
      <c r="O319" s="16" t="str">
        <f>VLOOKUP($A319,'SurveyRpt_20150223 (1)'!$A$34:$AN$735,22,FALSE)</f>
        <v>Yes</v>
      </c>
      <c r="P319" s="16" t="str">
        <f>VLOOKUP($A319,'SurveyRpt_20150223 (1)'!$A$34:$AN$735,24,FALSE)</f>
        <v>Yes</v>
      </c>
      <c r="Q319" s="16" t="str">
        <f>VLOOKUP($A319,'SurveyRpt_20150223 (1)'!$A$34:$AN$735,26,FALSE)</f>
        <v>Yes</v>
      </c>
      <c r="R319" s="16" t="str">
        <f>VLOOKUP($A319,'SurveyRpt_20150223 (1)'!$A$34:$AN$735,28,FALSE)</f>
        <v>Yes</v>
      </c>
      <c r="S319" s="16" t="str">
        <f>VLOOKUP($A319,'SurveyRpt_20150223 (1)'!$A$34:$AN$735,30,FALSE)</f>
        <v>Yes</v>
      </c>
      <c r="T319" s="16" t="str">
        <f>VLOOKUP($A319,'SurveyRpt_20150223 (1)'!$A$34:$AN$735,32,FALSE)</f>
        <v>Yes</v>
      </c>
      <c r="U319" s="16" t="str">
        <f>VLOOKUP($A319,'SurveyRpt_20150223 (1)'!$A$34:$AN$735,34,FALSE)</f>
        <v>Yes</v>
      </c>
      <c r="V319" s="16" t="str">
        <f>VLOOKUP($A319,'SurveyRpt_20150223 (1)'!$A$34:$AN$735,36,FALSE)</f>
        <v>No</v>
      </c>
      <c r="W319" s="16" t="str">
        <f>VLOOKUP($A319,'SurveyRpt_20150223 (1)'!$A$34:$AN$735,38,FALSE)</f>
        <v>Yes</v>
      </c>
    </row>
    <row r="320" spans="1:23" ht="13.5" customHeight="1" x14ac:dyDescent="0.25">
      <c r="A320" s="19" t="s">
        <v>413</v>
      </c>
      <c r="B320" s="19" t="str">
        <f t="shared" si="4"/>
        <v>RGATTU3</v>
      </c>
      <c r="C320" s="16" t="str">
        <f>VLOOKUP(B320,'Compiled Agents'!A:H,2,FALSE)</f>
        <v>Platform</v>
      </c>
      <c r="D320" s="16" t="str">
        <f>VLOOKUP(B320,'Compiled Agents'!A:H,4,FALSE)</f>
        <v>Hyderabad</v>
      </c>
      <c r="E320" s="16" t="str">
        <f>VLOOKUP(B320,'Compiled Agents'!A:H,5,FALSE)</f>
        <v>Wave1</v>
      </c>
      <c r="F320" s="16" t="str">
        <f>VLOOKUP(B320,'Compiled Agents'!A:H,6,FALSE)</f>
        <v>Orange</v>
      </c>
      <c r="G320" s="16">
        <f>VLOOKUP($A320,'SurveyRpt_20150223 (1)'!$A$34:$AN$735,6,FALSE)</f>
        <v>14</v>
      </c>
      <c r="H320" s="16" t="str">
        <f>VLOOKUP($A320,'SurveyRpt_20150223 (1)'!$A$34:$AN$735,8,FALSE)</f>
        <v>Yes</v>
      </c>
      <c r="I320" s="16" t="str">
        <f>VLOOKUP($A320,'SurveyRpt_20150223 (1)'!$A$34:$AN$735,10,FALSE)</f>
        <v>No</v>
      </c>
      <c r="J320" s="16" t="str">
        <f>VLOOKUP($A320,'SurveyRpt_20150223 (1)'!$A$34:$AN$735,12,FALSE)</f>
        <v>Yes</v>
      </c>
      <c r="K320" s="16" t="str">
        <f>VLOOKUP($A320,'SurveyRpt_20150223 (1)'!$A$34:$AN$735,14,FALSE)</f>
        <v>Yes</v>
      </c>
      <c r="L320" s="16" t="str">
        <f>VLOOKUP($A320,'SurveyRpt_20150223 (1)'!$A$34:$AN$735,16,FALSE)</f>
        <v>Yes</v>
      </c>
      <c r="M320" s="16" t="str">
        <f>VLOOKUP($A320,'SurveyRpt_20150223 (1)'!$A$34:$AN$735,18,FALSE)</f>
        <v>No</v>
      </c>
      <c r="N320" s="16" t="str">
        <f>VLOOKUP($A320,'SurveyRpt_20150223 (1)'!$A$34:$AN$735,20,FALSE)</f>
        <v>Yes</v>
      </c>
      <c r="O320" s="16" t="str">
        <f>VLOOKUP($A320,'SurveyRpt_20150223 (1)'!$A$34:$AN$735,22,FALSE)</f>
        <v>Yes</v>
      </c>
      <c r="P320" s="16" t="str">
        <f>VLOOKUP($A320,'SurveyRpt_20150223 (1)'!$A$34:$AN$735,24,FALSE)</f>
        <v>Yes</v>
      </c>
      <c r="Q320" s="16" t="str">
        <f>VLOOKUP($A320,'SurveyRpt_20150223 (1)'!$A$34:$AN$735,26,FALSE)</f>
        <v>Yes</v>
      </c>
      <c r="R320" s="16" t="str">
        <f>VLOOKUP($A320,'SurveyRpt_20150223 (1)'!$A$34:$AN$735,28,FALSE)</f>
        <v>Yes</v>
      </c>
      <c r="S320" s="16" t="str">
        <f>VLOOKUP($A320,'SurveyRpt_20150223 (1)'!$A$34:$AN$735,30,FALSE)</f>
        <v>Yes</v>
      </c>
      <c r="T320" s="16" t="str">
        <f>VLOOKUP($A320,'SurveyRpt_20150223 (1)'!$A$34:$AN$735,32,FALSE)</f>
        <v>Yes</v>
      </c>
      <c r="U320" s="16" t="str">
        <f>VLOOKUP($A320,'SurveyRpt_20150223 (1)'!$A$34:$AN$735,34,FALSE)</f>
        <v>Yes</v>
      </c>
      <c r="V320" s="16" t="str">
        <f>VLOOKUP($A320,'SurveyRpt_20150223 (1)'!$A$34:$AN$735,36,FALSE)</f>
        <v>Yes</v>
      </c>
      <c r="W320" s="16" t="str">
        <f>VLOOKUP($A320,'SurveyRpt_20150223 (1)'!$A$34:$AN$735,38,FALSE)</f>
        <v>Yes</v>
      </c>
    </row>
    <row r="321" spans="1:23" ht="13.5" customHeight="1" x14ac:dyDescent="0.25">
      <c r="A321" s="19" t="s">
        <v>414</v>
      </c>
      <c r="B321" s="19" t="str">
        <f t="shared" si="4"/>
        <v>dsmit229</v>
      </c>
      <c r="C321" s="16" t="str">
        <f>VLOOKUP(B321,'Compiled Agents'!A:H,2,FALSE)</f>
        <v>Platform</v>
      </c>
      <c r="D321" s="16" t="str">
        <f>VLOOKUP(B321,'Compiled Agents'!A:H,4,FALSE)</f>
        <v>MBC US</v>
      </c>
      <c r="E321" s="16" t="str">
        <f>VLOOKUP(B321,'Compiled Agents'!A:H,5,FALSE)</f>
        <v>Wave2</v>
      </c>
      <c r="F321" s="16" t="str">
        <f>VLOOKUP(B321,'Compiled Agents'!A:H,6,FALSE)</f>
        <v>Blue</v>
      </c>
      <c r="G321" s="16">
        <f>VLOOKUP($A321,'SurveyRpt_20150223 (1)'!$A$34:$AN$735,6,FALSE)</f>
        <v>5</v>
      </c>
      <c r="H321" s="16" t="str">
        <f>VLOOKUP($A321,'SurveyRpt_20150223 (1)'!$A$34:$AN$735,8,FALSE)</f>
        <v>No</v>
      </c>
      <c r="I321" s="16" t="str">
        <f>VLOOKUP($A321,'SurveyRpt_20150223 (1)'!$A$34:$AN$735,10,FALSE)</f>
        <v>No</v>
      </c>
      <c r="J321" s="16" t="str">
        <f>VLOOKUP($A321,'SurveyRpt_20150223 (1)'!$A$34:$AN$735,12,FALSE)</f>
        <v>No</v>
      </c>
      <c r="K321" s="16" t="str">
        <f>VLOOKUP($A321,'SurveyRpt_20150223 (1)'!$A$34:$AN$735,14,FALSE)</f>
        <v>No</v>
      </c>
      <c r="L321" s="16" t="str">
        <f>VLOOKUP($A321,'SurveyRpt_20150223 (1)'!$A$34:$AN$735,16,FALSE)</f>
        <v>Yes</v>
      </c>
      <c r="M321" s="16" t="str">
        <f>VLOOKUP($A321,'SurveyRpt_20150223 (1)'!$A$34:$AN$735,18,FALSE)</f>
        <v>Yes</v>
      </c>
      <c r="N321" s="16" t="str">
        <f>VLOOKUP($A321,'SurveyRpt_20150223 (1)'!$A$34:$AN$735,20,FALSE)</f>
        <v>No</v>
      </c>
      <c r="O321" s="16" t="str">
        <f>VLOOKUP($A321,'SurveyRpt_20150223 (1)'!$A$34:$AN$735,22,FALSE)</f>
        <v>Yes</v>
      </c>
      <c r="P321" s="16" t="str">
        <f>VLOOKUP($A321,'SurveyRpt_20150223 (1)'!$A$34:$AN$735,24,FALSE)</f>
        <v>No</v>
      </c>
      <c r="Q321" s="16" t="str">
        <f>VLOOKUP($A321,'SurveyRpt_20150223 (1)'!$A$34:$AN$735,26,FALSE)</f>
        <v>No</v>
      </c>
      <c r="R321" s="16" t="str">
        <f>VLOOKUP($A321,'SurveyRpt_20150223 (1)'!$A$34:$AN$735,28,FALSE)</f>
        <v>No</v>
      </c>
      <c r="S321" s="16" t="str">
        <f>VLOOKUP($A321,'SurveyRpt_20150223 (1)'!$A$34:$AN$735,30,FALSE)</f>
        <v>Yes</v>
      </c>
      <c r="T321" s="16" t="str">
        <f>VLOOKUP($A321,'SurveyRpt_20150223 (1)'!$A$34:$AN$735,32,FALSE)</f>
        <v>No</v>
      </c>
      <c r="U321" s="16" t="str">
        <f>VLOOKUP($A321,'SurveyRpt_20150223 (1)'!$A$34:$AN$735,34,FALSE)</f>
        <v>No</v>
      </c>
      <c r="V321" s="16" t="str">
        <f>VLOOKUP($A321,'SurveyRpt_20150223 (1)'!$A$34:$AN$735,36,FALSE)</f>
        <v>Yes</v>
      </c>
      <c r="W321" s="16" t="str">
        <f>VLOOKUP($A321,'SurveyRpt_20150223 (1)'!$A$34:$AN$735,38,FALSE)</f>
        <v>No</v>
      </c>
    </row>
    <row r="322" spans="1:23" ht="13.5" customHeight="1" x14ac:dyDescent="0.25">
      <c r="A322" s="19" t="s">
        <v>415</v>
      </c>
      <c r="B322" s="19" t="str">
        <f t="shared" si="4"/>
        <v>BGOSWAMI4</v>
      </c>
      <c r="C322" s="16" t="str">
        <f>VLOOKUP(B322,'Compiled Agents'!A:H,2,FALSE)</f>
        <v>Platform</v>
      </c>
      <c r="D322" s="16" t="str">
        <f>VLOOKUP(B322,'Compiled Agents'!A:H,4,FALSE)</f>
        <v>Hyderabad</v>
      </c>
      <c r="E322" s="16" t="str">
        <f>VLOOKUP(B322,'Compiled Agents'!A:H,5,FALSE)</f>
        <v>Wave1</v>
      </c>
      <c r="F322" s="16" t="str">
        <f>VLOOKUP(B322,'Compiled Agents'!A:H,6,FALSE)</f>
        <v>Blue</v>
      </c>
      <c r="G322" s="16">
        <f>VLOOKUP($A322,'SurveyRpt_20150223 (1)'!$A$34:$AN$735,6,FALSE)</f>
        <v>11</v>
      </c>
      <c r="H322" s="16" t="str">
        <f>VLOOKUP($A322,'SurveyRpt_20150223 (1)'!$A$34:$AN$735,8,FALSE)</f>
        <v>Yes</v>
      </c>
      <c r="I322" s="16" t="str">
        <f>VLOOKUP($A322,'SurveyRpt_20150223 (1)'!$A$34:$AN$735,10,FALSE)</f>
        <v>Yes</v>
      </c>
      <c r="J322" s="16" t="str">
        <f>VLOOKUP($A322,'SurveyRpt_20150223 (1)'!$A$34:$AN$735,12,FALSE)</f>
        <v>Yes</v>
      </c>
      <c r="K322" s="16" t="str">
        <f>VLOOKUP($A322,'SurveyRpt_20150223 (1)'!$A$34:$AN$735,14,FALSE)</f>
        <v>Yes</v>
      </c>
      <c r="L322" s="16" t="str">
        <f>VLOOKUP($A322,'SurveyRpt_20150223 (1)'!$A$34:$AN$735,16,FALSE)</f>
        <v>No</v>
      </c>
      <c r="M322" s="16" t="str">
        <f>VLOOKUP($A322,'SurveyRpt_20150223 (1)'!$A$34:$AN$735,18,FALSE)</f>
        <v>No</v>
      </c>
      <c r="N322" s="16" t="str">
        <f>VLOOKUP($A322,'SurveyRpt_20150223 (1)'!$A$34:$AN$735,20,FALSE)</f>
        <v>No</v>
      </c>
      <c r="O322" s="16" t="str">
        <f>VLOOKUP($A322,'SurveyRpt_20150223 (1)'!$A$34:$AN$735,22,FALSE)</f>
        <v>Yes</v>
      </c>
      <c r="P322" s="16" t="str">
        <f>VLOOKUP($A322,'SurveyRpt_20150223 (1)'!$A$34:$AN$735,24,FALSE)</f>
        <v>Yes</v>
      </c>
      <c r="Q322" s="16" t="str">
        <f>VLOOKUP($A322,'SurveyRpt_20150223 (1)'!$A$34:$AN$735,26,FALSE)</f>
        <v>Yes</v>
      </c>
      <c r="R322" s="16" t="str">
        <f>VLOOKUP($A322,'SurveyRpt_20150223 (1)'!$A$34:$AN$735,28,FALSE)</f>
        <v>Yes</v>
      </c>
      <c r="S322" s="16" t="str">
        <f>VLOOKUP($A322,'SurveyRpt_20150223 (1)'!$A$34:$AN$735,30,FALSE)</f>
        <v>Yes</v>
      </c>
      <c r="T322" s="16" t="str">
        <f>VLOOKUP($A322,'SurveyRpt_20150223 (1)'!$A$34:$AN$735,32,FALSE)</f>
        <v>Yes</v>
      </c>
      <c r="U322" s="16" t="str">
        <f>VLOOKUP($A322,'SurveyRpt_20150223 (1)'!$A$34:$AN$735,34,FALSE)</f>
        <v>No</v>
      </c>
      <c r="V322" s="16" t="str">
        <f>VLOOKUP($A322,'SurveyRpt_20150223 (1)'!$A$34:$AN$735,36,FALSE)</f>
        <v>Yes</v>
      </c>
      <c r="W322" s="16" t="str">
        <f>VLOOKUP($A322,'SurveyRpt_20150223 (1)'!$A$34:$AN$735,38,FALSE)</f>
        <v>No</v>
      </c>
    </row>
    <row r="323" spans="1:23" ht="13.5" customHeight="1" x14ac:dyDescent="0.25">
      <c r="A323" s="19" t="s">
        <v>416</v>
      </c>
      <c r="B323" s="19" t="str">
        <f t="shared" ref="B323:B386" si="5">TRIM(LEFT(A323,FIND("@",A323)-1))</f>
        <v>lmarzean</v>
      </c>
      <c r="C323" s="16" t="str">
        <f>VLOOKUP(B323,'Compiled Agents'!A:H,2,FALSE)</f>
        <v>Workplace</v>
      </c>
      <c r="D323" s="16" t="str">
        <f>VLOOKUP(B323,'Compiled Agents'!A:H,4,FALSE)</f>
        <v>MBC US</v>
      </c>
      <c r="E323" s="16" t="str">
        <f>VLOOKUP(B323,'Compiled Agents'!A:H,5,FALSE)</f>
        <v>Wave2</v>
      </c>
      <c r="F323" s="16" t="str">
        <f>VLOOKUP(B323,'Compiled Agents'!A:H,6,FALSE)</f>
        <v>Yellow</v>
      </c>
      <c r="G323" s="16">
        <f>VLOOKUP($A323,'SurveyRpt_20150223 (1)'!$A$34:$AN$735,6,FALSE)</f>
        <v>14</v>
      </c>
      <c r="H323" s="16" t="str">
        <f>VLOOKUP($A323,'SurveyRpt_20150223 (1)'!$A$34:$AN$735,8,FALSE)</f>
        <v>Yes</v>
      </c>
      <c r="I323" s="16" t="str">
        <f>VLOOKUP($A323,'SurveyRpt_20150223 (1)'!$A$34:$AN$735,10,FALSE)</f>
        <v>Yes</v>
      </c>
      <c r="J323" s="16" t="str">
        <f>VLOOKUP($A323,'SurveyRpt_20150223 (1)'!$A$34:$AN$735,12,FALSE)</f>
        <v>Yes</v>
      </c>
      <c r="K323" s="16" t="str">
        <f>VLOOKUP($A323,'SurveyRpt_20150223 (1)'!$A$34:$AN$735,14,FALSE)</f>
        <v>Yes</v>
      </c>
      <c r="L323" s="16" t="str">
        <f>VLOOKUP($A323,'SurveyRpt_20150223 (1)'!$A$34:$AN$735,16,FALSE)</f>
        <v>Yes</v>
      </c>
      <c r="M323" s="16" t="str">
        <f>VLOOKUP($A323,'SurveyRpt_20150223 (1)'!$A$34:$AN$735,18,FALSE)</f>
        <v>Yes</v>
      </c>
      <c r="N323" s="16" t="str">
        <f>VLOOKUP($A323,'SurveyRpt_20150223 (1)'!$A$34:$AN$735,20,FALSE)</f>
        <v>Yes</v>
      </c>
      <c r="O323" s="16" t="str">
        <f>VLOOKUP($A323,'SurveyRpt_20150223 (1)'!$A$34:$AN$735,22,FALSE)</f>
        <v>Yes</v>
      </c>
      <c r="P323" s="16" t="str">
        <f>VLOOKUP($A323,'SurveyRpt_20150223 (1)'!$A$34:$AN$735,24,FALSE)</f>
        <v>Yes</v>
      </c>
      <c r="Q323" s="16" t="str">
        <f>VLOOKUP($A323,'SurveyRpt_20150223 (1)'!$A$34:$AN$735,26,FALSE)</f>
        <v>Yes</v>
      </c>
      <c r="R323" s="16" t="str">
        <f>VLOOKUP($A323,'SurveyRpt_20150223 (1)'!$A$34:$AN$735,28,FALSE)</f>
        <v>Yes</v>
      </c>
      <c r="S323" s="16" t="str">
        <f>VLOOKUP($A323,'SurveyRpt_20150223 (1)'!$A$34:$AN$735,30,FALSE)</f>
        <v>Yes</v>
      </c>
      <c r="T323" s="16" t="str">
        <f>VLOOKUP($A323,'SurveyRpt_20150223 (1)'!$A$34:$AN$735,32,FALSE)</f>
        <v>Yes</v>
      </c>
      <c r="U323" s="16" t="str">
        <f>VLOOKUP($A323,'SurveyRpt_20150223 (1)'!$A$34:$AN$735,34,FALSE)</f>
        <v>No</v>
      </c>
      <c r="V323" s="16" t="str">
        <f>VLOOKUP($A323,'SurveyRpt_20150223 (1)'!$A$34:$AN$735,36,FALSE)</f>
        <v>No</v>
      </c>
      <c r="W323" s="16" t="str">
        <f>VLOOKUP($A323,'SurveyRpt_20150223 (1)'!$A$34:$AN$735,38,FALSE)</f>
        <v>Yes</v>
      </c>
    </row>
    <row r="324" spans="1:23" ht="13.5" customHeight="1" x14ac:dyDescent="0.25">
      <c r="A324" s="19" t="s">
        <v>417</v>
      </c>
      <c r="B324" s="19" t="str">
        <f t="shared" si="5"/>
        <v>VVEERANNA</v>
      </c>
      <c r="C324" s="16" t="str">
        <f>VLOOKUP(B324,'Compiled Agents'!A:H,2,FALSE)</f>
        <v>Workplace</v>
      </c>
      <c r="D324" s="16" t="str">
        <f>VLOOKUP(B324,'Compiled Agents'!A:H,4,FALSE)</f>
        <v>MBC US</v>
      </c>
      <c r="E324" s="16" t="str">
        <f>VLOOKUP(B324,'Compiled Agents'!A:H,5,FALSE)</f>
        <v>Wave2</v>
      </c>
      <c r="F324" s="16" t="str">
        <f>VLOOKUP(B324,'Compiled Agents'!A:H,6,FALSE)</f>
        <v>Yellow</v>
      </c>
      <c r="G324" s="16">
        <f>VLOOKUP($A324,'SurveyRpt_20150223 (1)'!$A$34:$AN$735,6,FALSE)</f>
        <v>16</v>
      </c>
      <c r="H324" s="16" t="str">
        <f>VLOOKUP($A324,'SurveyRpt_20150223 (1)'!$A$34:$AN$735,8,FALSE)</f>
        <v>Yes</v>
      </c>
      <c r="I324" s="16" t="str">
        <f>VLOOKUP($A324,'SurveyRpt_20150223 (1)'!$A$34:$AN$735,10,FALSE)</f>
        <v>Yes</v>
      </c>
      <c r="J324" s="16" t="str">
        <f>VLOOKUP($A324,'SurveyRpt_20150223 (1)'!$A$34:$AN$735,12,FALSE)</f>
        <v>Yes</v>
      </c>
      <c r="K324" s="16" t="str">
        <f>VLOOKUP($A324,'SurveyRpt_20150223 (1)'!$A$34:$AN$735,14,FALSE)</f>
        <v>Yes</v>
      </c>
      <c r="L324" s="16" t="str">
        <f>VLOOKUP($A324,'SurveyRpt_20150223 (1)'!$A$34:$AN$735,16,FALSE)</f>
        <v>Yes</v>
      </c>
      <c r="M324" s="16" t="str">
        <f>VLOOKUP($A324,'SurveyRpt_20150223 (1)'!$A$34:$AN$735,18,FALSE)</f>
        <v>Yes</v>
      </c>
      <c r="N324" s="16" t="str">
        <f>VLOOKUP($A324,'SurveyRpt_20150223 (1)'!$A$34:$AN$735,20,FALSE)</f>
        <v>Yes</v>
      </c>
      <c r="O324" s="16" t="str">
        <f>VLOOKUP($A324,'SurveyRpt_20150223 (1)'!$A$34:$AN$735,22,FALSE)</f>
        <v>Yes</v>
      </c>
      <c r="P324" s="16" t="str">
        <f>VLOOKUP($A324,'SurveyRpt_20150223 (1)'!$A$34:$AN$735,24,FALSE)</f>
        <v>Yes</v>
      </c>
      <c r="Q324" s="16" t="str">
        <f>VLOOKUP($A324,'SurveyRpt_20150223 (1)'!$A$34:$AN$735,26,FALSE)</f>
        <v>Yes</v>
      </c>
      <c r="R324" s="16" t="str">
        <f>VLOOKUP($A324,'SurveyRpt_20150223 (1)'!$A$34:$AN$735,28,FALSE)</f>
        <v>Yes</v>
      </c>
      <c r="S324" s="16" t="str">
        <f>VLOOKUP($A324,'SurveyRpt_20150223 (1)'!$A$34:$AN$735,30,FALSE)</f>
        <v>Yes</v>
      </c>
      <c r="T324" s="16" t="str">
        <f>VLOOKUP($A324,'SurveyRpt_20150223 (1)'!$A$34:$AN$735,32,FALSE)</f>
        <v>Yes</v>
      </c>
      <c r="U324" s="16" t="str">
        <f>VLOOKUP($A324,'SurveyRpt_20150223 (1)'!$A$34:$AN$735,34,FALSE)</f>
        <v>Yes</v>
      </c>
      <c r="V324" s="16" t="str">
        <f>VLOOKUP($A324,'SurveyRpt_20150223 (1)'!$A$34:$AN$735,36,FALSE)</f>
        <v>Yes</v>
      </c>
      <c r="W324" s="16" t="str">
        <f>VLOOKUP($A324,'SurveyRpt_20150223 (1)'!$A$34:$AN$735,38,FALSE)</f>
        <v>Yes</v>
      </c>
    </row>
    <row r="325" spans="1:23" ht="13.5" customHeight="1" x14ac:dyDescent="0.25">
      <c r="A325" s="19" t="s">
        <v>418</v>
      </c>
      <c r="B325" s="19" t="str">
        <f t="shared" si="5"/>
        <v>VRAJU4</v>
      </c>
      <c r="C325" s="16" t="str">
        <f>VLOOKUP(B325,'Compiled Agents'!A:H,2,FALSE)</f>
        <v>Platform</v>
      </c>
      <c r="D325" s="16" t="str">
        <f>VLOOKUP(B325,'Compiled Agents'!A:H,4,FALSE)</f>
        <v>Hyderabad</v>
      </c>
      <c r="E325" s="16" t="str">
        <f>VLOOKUP(B325,'Compiled Agents'!A:H,5,FALSE)</f>
        <v>Wave1</v>
      </c>
      <c r="F325" s="16" t="str">
        <f>VLOOKUP(B325,'Compiled Agents'!A:H,6,FALSE)</f>
        <v>Blue</v>
      </c>
      <c r="G325" s="16">
        <f>VLOOKUP($A325,'SurveyRpt_20150223 (1)'!$A$34:$AN$735,6,FALSE)</f>
        <v>16</v>
      </c>
      <c r="H325" s="16" t="str">
        <f>VLOOKUP($A325,'SurveyRpt_20150223 (1)'!$A$34:$AN$735,8,FALSE)</f>
        <v>Yes</v>
      </c>
      <c r="I325" s="16" t="str">
        <f>VLOOKUP($A325,'SurveyRpt_20150223 (1)'!$A$34:$AN$735,10,FALSE)</f>
        <v>Yes</v>
      </c>
      <c r="J325" s="16" t="str">
        <f>VLOOKUP($A325,'SurveyRpt_20150223 (1)'!$A$34:$AN$735,12,FALSE)</f>
        <v>Yes</v>
      </c>
      <c r="K325" s="16" t="str">
        <f>VLOOKUP($A325,'SurveyRpt_20150223 (1)'!$A$34:$AN$735,14,FALSE)</f>
        <v>Yes</v>
      </c>
      <c r="L325" s="16" t="str">
        <f>VLOOKUP($A325,'SurveyRpt_20150223 (1)'!$A$34:$AN$735,16,FALSE)</f>
        <v>Yes</v>
      </c>
      <c r="M325" s="16" t="str">
        <f>VLOOKUP($A325,'SurveyRpt_20150223 (1)'!$A$34:$AN$735,18,FALSE)</f>
        <v>Yes</v>
      </c>
      <c r="N325" s="16" t="str">
        <f>VLOOKUP($A325,'SurveyRpt_20150223 (1)'!$A$34:$AN$735,20,FALSE)</f>
        <v>Yes</v>
      </c>
      <c r="O325" s="16" t="str">
        <f>VLOOKUP($A325,'SurveyRpt_20150223 (1)'!$A$34:$AN$735,22,FALSE)</f>
        <v>Yes</v>
      </c>
      <c r="P325" s="16" t="str">
        <f>VLOOKUP($A325,'SurveyRpt_20150223 (1)'!$A$34:$AN$735,24,FALSE)</f>
        <v>Yes</v>
      </c>
      <c r="Q325" s="16" t="str">
        <f>VLOOKUP($A325,'SurveyRpt_20150223 (1)'!$A$34:$AN$735,26,FALSE)</f>
        <v>Yes</v>
      </c>
      <c r="R325" s="16" t="str">
        <f>VLOOKUP($A325,'SurveyRpt_20150223 (1)'!$A$34:$AN$735,28,FALSE)</f>
        <v>Yes</v>
      </c>
      <c r="S325" s="16" t="str">
        <f>VLOOKUP($A325,'SurveyRpt_20150223 (1)'!$A$34:$AN$735,30,FALSE)</f>
        <v>Yes</v>
      </c>
      <c r="T325" s="16" t="str">
        <f>VLOOKUP($A325,'SurveyRpt_20150223 (1)'!$A$34:$AN$735,32,FALSE)</f>
        <v>Yes</v>
      </c>
      <c r="U325" s="16" t="str">
        <f>VLOOKUP($A325,'SurveyRpt_20150223 (1)'!$A$34:$AN$735,34,FALSE)</f>
        <v>Yes</v>
      </c>
      <c r="V325" s="16" t="str">
        <f>VLOOKUP($A325,'SurveyRpt_20150223 (1)'!$A$34:$AN$735,36,FALSE)</f>
        <v>Yes</v>
      </c>
      <c r="W325" s="16" t="str">
        <f>VLOOKUP($A325,'SurveyRpt_20150223 (1)'!$A$34:$AN$735,38,FALSE)</f>
        <v>Yes</v>
      </c>
    </row>
    <row r="326" spans="1:23" ht="13.5" customHeight="1" x14ac:dyDescent="0.25">
      <c r="A326" s="19" t="s">
        <v>419</v>
      </c>
      <c r="B326" s="19" t="str">
        <f t="shared" si="5"/>
        <v>ARANA7</v>
      </c>
      <c r="C326" s="16" t="str">
        <f>VLOOKUP(B326,'Compiled Agents'!A:H,2,FALSE)</f>
        <v>Platform</v>
      </c>
      <c r="D326" s="16" t="str">
        <f>VLOOKUP(B326,'Compiled Agents'!A:H,4,FALSE)</f>
        <v>Noida</v>
      </c>
      <c r="E326" s="16" t="str">
        <f>VLOOKUP(B326,'Compiled Agents'!A:H,5,FALSE)</f>
        <v>Wave1</v>
      </c>
      <c r="F326" s="16" t="str">
        <f>VLOOKUP(B326,'Compiled Agents'!A:H,6,FALSE)</f>
        <v>Purple</v>
      </c>
      <c r="G326" s="16">
        <f>VLOOKUP($A326,'SurveyRpt_20150223 (1)'!$A$34:$AN$735,6,FALSE)</f>
        <v>16</v>
      </c>
      <c r="H326" s="16" t="str">
        <f>VLOOKUP($A326,'SurveyRpt_20150223 (1)'!$A$34:$AN$735,8,FALSE)</f>
        <v>Yes</v>
      </c>
      <c r="I326" s="16" t="str">
        <f>VLOOKUP($A326,'SurveyRpt_20150223 (1)'!$A$34:$AN$735,10,FALSE)</f>
        <v>Yes</v>
      </c>
      <c r="J326" s="16" t="str">
        <f>VLOOKUP($A326,'SurveyRpt_20150223 (1)'!$A$34:$AN$735,12,FALSE)</f>
        <v>Yes</v>
      </c>
      <c r="K326" s="16" t="str">
        <f>VLOOKUP($A326,'SurveyRpt_20150223 (1)'!$A$34:$AN$735,14,FALSE)</f>
        <v>Yes</v>
      </c>
      <c r="L326" s="16" t="str">
        <f>VLOOKUP($A326,'SurveyRpt_20150223 (1)'!$A$34:$AN$735,16,FALSE)</f>
        <v>Yes</v>
      </c>
      <c r="M326" s="16" t="str">
        <f>VLOOKUP($A326,'SurveyRpt_20150223 (1)'!$A$34:$AN$735,18,FALSE)</f>
        <v>Yes</v>
      </c>
      <c r="N326" s="16" t="str">
        <f>VLOOKUP($A326,'SurveyRpt_20150223 (1)'!$A$34:$AN$735,20,FALSE)</f>
        <v>Yes</v>
      </c>
      <c r="O326" s="16" t="str">
        <f>VLOOKUP($A326,'SurveyRpt_20150223 (1)'!$A$34:$AN$735,22,FALSE)</f>
        <v>Yes</v>
      </c>
      <c r="P326" s="16" t="str">
        <f>VLOOKUP($A326,'SurveyRpt_20150223 (1)'!$A$34:$AN$735,24,FALSE)</f>
        <v>Yes</v>
      </c>
      <c r="Q326" s="16" t="str">
        <f>VLOOKUP($A326,'SurveyRpt_20150223 (1)'!$A$34:$AN$735,26,FALSE)</f>
        <v>Yes</v>
      </c>
      <c r="R326" s="16" t="str">
        <f>VLOOKUP($A326,'SurveyRpt_20150223 (1)'!$A$34:$AN$735,28,FALSE)</f>
        <v>Yes</v>
      </c>
      <c r="S326" s="16" t="str">
        <f>VLOOKUP($A326,'SurveyRpt_20150223 (1)'!$A$34:$AN$735,30,FALSE)</f>
        <v>Yes</v>
      </c>
      <c r="T326" s="16" t="str">
        <f>VLOOKUP($A326,'SurveyRpt_20150223 (1)'!$A$34:$AN$735,32,FALSE)</f>
        <v>Yes</v>
      </c>
      <c r="U326" s="16" t="str">
        <f>VLOOKUP($A326,'SurveyRpt_20150223 (1)'!$A$34:$AN$735,34,FALSE)</f>
        <v>Yes</v>
      </c>
      <c r="V326" s="16" t="str">
        <f>VLOOKUP($A326,'SurveyRpt_20150223 (1)'!$A$34:$AN$735,36,FALSE)</f>
        <v>Yes</v>
      </c>
      <c r="W326" s="16" t="str">
        <f>VLOOKUP($A326,'SurveyRpt_20150223 (1)'!$A$34:$AN$735,38,FALSE)</f>
        <v>Yes</v>
      </c>
    </row>
    <row r="327" spans="1:23" ht="13.5" customHeight="1" x14ac:dyDescent="0.25">
      <c r="A327" s="19" t="s">
        <v>420</v>
      </c>
      <c r="B327" s="19" t="str">
        <f t="shared" si="5"/>
        <v>scarle</v>
      </c>
      <c r="C327" s="16" t="str">
        <f>VLOOKUP(B327,'Compiled Agents'!A:H,2,FALSE)</f>
        <v>Workplace</v>
      </c>
      <c r="D327" s="16" t="str">
        <f>VLOOKUP(B327,'Compiled Agents'!A:H,4,FALSE)</f>
        <v>MBC US</v>
      </c>
      <c r="E327" s="16" t="str">
        <f>VLOOKUP(B327,'Compiled Agents'!A:H,5,FALSE)</f>
        <v>Wave2</v>
      </c>
      <c r="F327" s="16" t="str">
        <f>VLOOKUP(B327,'Compiled Agents'!A:H,6,FALSE)</f>
        <v>Yellow</v>
      </c>
      <c r="G327" s="16">
        <f>VLOOKUP($A327,'SurveyRpt_20150223 (1)'!$A$34:$AN$735,6,FALSE)</f>
        <v>10</v>
      </c>
      <c r="H327" s="16" t="str">
        <f>VLOOKUP($A327,'SurveyRpt_20150223 (1)'!$A$34:$AN$735,8,FALSE)</f>
        <v>Yes</v>
      </c>
      <c r="I327" s="16" t="str">
        <f>VLOOKUP($A327,'SurveyRpt_20150223 (1)'!$A$34:$AN$735,10,FALSE)</f>
        <v>No</v>
      </c>
      <c r="J327" s="16" t="str">
        <f>VLOOKUP($A327,'SurveyRpt_20150223 (1)'!$A$34:$AN$735,12,FALSE)</f>
        <v>No</v>
      </c>
      <c r="K327" s="16" t="str">
        <f>VLOOKUP($A327,'SurveyRpt_20150223 (1)'!$A$34:$AN$735,14,FALSE)</f>
        <v>No</v>
      </c>
      <c r="L327" s="16" t="str">
        <f>VLOOKUP($A327,'SurveyRpt_20150223 (1)'!$A$34:$AN$735,16,FALSE)</f>
        <v>Yes</v>
      </c>
      <c r="M327" s="16" t="str">
        <f>VLOOKUP($A327,'SurveyRpt_20150223 (1)'!$A$34:$AN$735,18,FALSE)</f>
        <v>Yes</v>
      </c>
      <c r="N327" s="16" t="str">
        <f>VLOOKUP($A327,'SurveyRpt_20150223 (1)'!$A$34:$AN$735,20,FALSE)</f>
        <v>Yes</v>
      </c>
      <c r="O327" s="16" t="str">
        <f>VLOOKUP($A327,'SurveyRpt_20150223 (1)'!$A$34:$AN$735,22,FALSE)</f>
        <v>Yes</v>
      </c>
      <c r="P327" s="16" t="str">
        <f>VLOOKUP($A327,'SurveyRpt_20150223 (1)'!$A$34:$AN$735,24,FALSE)</f>
        <v>No</v>
      </c>
      <c r="Q327" s="16" t="str">
        <f>VLOOKUP($A327,'SurveyRpt_20150223 (1)'!$A$34:$AN$735,26,FALSE)</f>
        <v>Yes</v>
      </c>
      <c r="R327" s="16" t="str">
        <f>VLOOKUP($A327,'SurveyRpt_20150223 (1)'!$A$34:$AN$735,28,FALSE)</f>
        <v>Yes</v>
      </c>
      <c r="S327" s="16" t="str">
        <f>VLOOKUP($A327,'SurveyRpt_20150223 (1)'!$A$34:$AN$735,30,FALSE)</f>
        <v>Yes</v>
      </c>
      <c r="T327" s="16" t="str">
        <f>VLOOKUP($A327,'SurveyRpt_20150223 (1)'!$A$34:$AN$735,32,FALSE)</f>
        <v>No</v>
      </c>
      <c r="U327" s="16" t="str">
        <f>VLOOKUP($A327,'SurveyRpt_20150223 (1)'!$A$34:$AN$735,34,FALSE)</f>
        <v>No</v>
      </c>
      <c r="V327" s="16" t="str">
        <f>VLOOKUP($A327,'SurveyRpt_20150223 (1)'!$A$34:$AN$735,36,FALSE)</f>
        <v>Yes</v>
      </c>
      <c r="W327" s="16" t="str">
        <f>VLOOKUP($A327,'SurveyRpt_20150223 (1)'!$A$34:$AN$735,38,FALSE)</f>
        <v>Yes</v>
      </c>
    </row>
    <row r="328" spans="1:23" ht="13.5" customHeight="1" x14ac:dyDescent="0.25">
      <c r="A328" s="19" t="s">
        <v>421</v>
      </c>
      <c r="B328" s="19" t="str">
        <f t="shared" si="5"/>
        <v>CSEELAM</v>
      </c>
      <c r="C328" s="16" t="str">
        <f>VLOOKUP(B328,'Compiled Agents'!A:H,2,FALSE)</f>
        <v>Platform</v>
      </c>
      <c r="D328" s="16" t="str">
        <f>VLOOKUP(B328,'Compiled Agents'!A:H,4,FALSE)</f>
        <v>Hyderabad</v>
      </c>
      <c r="E328" s="16" t="str">
        <f>VLOOKUP(B328,'Compiled Agents'!A:H,5,FALSE)</f>
        <v>Wave1</v>
      </c>
      <c r="F328" s="16" t="str">
        <f>VLOOKUP(B328,'Compiled Agents'!A:H,6,FALSE)</f>
        <v>Orange</v>
      </c>
      <c r="G328" s="16">
        <f>VLOOKUP($A328,'SurveyRpt_20150223 (1)'!$A$34:$AN$735,6,FALSE)</f>
        <v>16</v>
      </c>
      <c r="H328" s="16" t="str">
        <f>VLOOKUP($A328,'SurveyRpt_20150223 (1)'!$A$34:$AN$735,8,FALSE)</f>
        <v>Yes</v>
      </c>
      <c r="I328" s="16" t="str">
        <f>VLOOKUP($A328,'SurveyRpt_20150223 (1)'!$A$34:$AN$735,10,FALSE)</f>
        <v>Yes</v>
      </c>
      <c r="J328" s="16" t="str">
        <f>VLOOKUP($A328,'SurveyRpt_20150223 (1)'!$A$34:$AN$735,12,FALSE)</f>
        <v>Yes</v>
      </c>
      <c r="K328" s="16" t="str">
        <f>VLOOKUP($A328,'SurveyRpt_20150223 (1)'!$A$34:$AN$735,14,FALSE)</f>
        <v>Yes</v>
      </c>
      <c r="L328" s="16" t="str">
        <f>VLOOKUP($A328,'SurveyRpt_20150223 (1)'!$A$34:$AN$735,16,FALSE)</f>
        <v>Yes</v>
      </c>
      <c r="M328" s="16" t="str">
        <f>VLOOKUP($A328,'SurveyRpt_20150223 (1)'!$A$34:$AN$735,18,FALSE)</f>
        <v>Yes</v>
      </c>
      <c r="N328" s="16" t="str">
        <f>VLOOKUP($A328,'SurveyRpt_20150223 (1)'!$A$34:$AN$735,20,FALSE)</f>
        <v>Yes</v>
      </c>
      <c r="O328" s="16" t="str">
        <f>VLOOKUP($A328,'SurveyRpt_20150223 (1)'!$A$34:$AN$735,22,FALSE)</f>
        <v>Yes</v>
      </c>
      <c r="P328" s="16" t="str">
        <f>VLOOKUP($A328,'SurveyRpt_20150223 (1)'!$A$34:$AN$735,24,FALSE)</f>
        <v>Yes</v>
      </c>
      <c r="Q328" s="16" t="str">
        <f>VLOOKUP($A328,'SurveyRpt_20150223 (1)'!$A$34:$AN$735,26,FALSE)</f>
        <v>Yes</v>
      </c>
      <c r="R328" s="16" t="str">
        <f>VLOOKUP($A328,'SurveyRpt_20150223 (1)'!$A$34:$AN$735,28,FALSE)</f>
        <v>Yes</v>
      </c>
      <c r="S328" s="16" t="str">
        <f>VLOOKUP($A328,'SurveyRpt_20150223 (1)'!$A$34:$AN$735,30,FALSE)</f>
        <v>Yes</v>
      </c>
      <c r="T328" s="16" t="str">
        <f>VLOOKUP($A328,'SurveyRpt_20150223 (1)'!$A$34:$AN$735,32,FALSE)</f>
        <v>Yes</v>
      </c>
      <c r="U328" s="16" t="str">
        <f>VLOOKUP($A328,'SurveyRpt_20150223 (1)'!$A$34:$AN$735,34,FALSE)</f>
        <v>Yes</v>
      </c>
      <c r="V328" s="16" t="str">
        <f>VLOOKUP($A328,'SurveyRpt_20150223 (1)'!$A$34:$AN$735,36,FALSE)</f>
        <v>Yes</v>
      </c>
      <c r="W328" s="16" t="str">
        <f>VLOOKUP($A328,'SurveyRpt_20150223 (1)'!$A$34:$AN$735,38,FALSE)</f>
        <v>Yes</v>
      </c>
    </row>
    <row r="329" spans="1:23" ht="13.5" customHeight="1" x14ac:dyDescent="0.25">
      <c r="A329" s="19" t="s">
        <v>422</v>
      </c>
      <c r="B329" s="19" t="str">
        <f t="shared" si="5"/>
        <v>RENOS3</v>
      </c>
      <c r="C329" s="16" t="str">
        <f>VLOOKUP(B329,'Compiled Agents'!A:H,2,FALSE)</f>
        <v>Platform</v>
      </c>
      <c r="D329" s="16" t="str">
        <f>VLOOKUP(B329,'Compiled Agents'!A:H,4,FALSE)</f>
        <v>MBC US</v>
      </c>
      <c r="E329" s="16" t="str">
        <f>VLOOKUP(B329,'Compiled Agents'!A:H,5,FALSE)</f>
        <v>Wave2</v>
      </c>
      <c r="F329" s="16" t="str">
        <f>VLOOKUP(B329,'Compiled Agents'!A:H,6,FALSE)</f>
        <v>Yellow</v>
      </c>
      <c r="G329" s="16">
        <f>VLOOKUP($A329,'SurveyRpt_20150223 (1)'!$A$34:$AN$735,6,FALSE)</f>
        <v>12</v>
      </c>
      <c r="H329" s="16" t="str">
        <f>VLOOKUP($A329,'SurveyRpt_20150223 (1)'!$A$34:$AN$735,8,FALSE)</f>
        <v>No</v>
      </c>
      <c r="I329" s="16" t="str">
        <f>VLOOKUP($A329,'SurveyRpt_20150223 (1)'!$A$34:$AN$735,10,FALSE)</f>
        <v>Yes</v>
      </c>
      <c r="J329" s="16" t="str">
        <f>VLOOKUP($A329,'SurveyRpt_20150223 (1)'!$A$34:$AN$735,12,FALSE)</f>
        <v>Yes</v>
      </c>
      <c r="K329" s="16" t="str">
        <f>VLOOKUP($A329,'SurveyRpt_20150223 (1)'!$A$34:$AN$735,14,FALSE)</f>
        <v>Yes</v>
      </c>
      <c r="L329" s="16" t="str">
        <f>VLOOKUP($A329,'SurveyRpt_20150223 (1)'!$A$34:$AN$735,16,FALSE)</f>
        <v>Yes</v>
      </c>
      <c r="M329" s="16" t="str">
        <f>VLOOKUP($A329,'SurveyRpt_20150223 (1)'!$A$34:$AN$735,18,FALSE)</f>
        <v>No</v>
      </c>
      <c r="N329" s="16" t="str">
        <f>VLOOKUP($A329,'SurveyRpt_20150223 (1)'!$A$34:$AN$735,20,FALSE)</f>
        <v>No</v>
      </c>
      <c r="O329" s="16" t="str">
        <f>VLOOKUP($A329,'SurveyRpt_20150223 (1)'!$A$34:$AN$735,22,FALSE)</f>
        <v>Yes</v>
      </c>
      <c r="P329" s="16" t="str">
        <f>VLOOKUP($A329,'SurveyRpt_20150223 (1)'!$A$34:$AN$735,24,FALSE)</f>
        <v>Yes</v>
      </c>
      <c r="Q329" s="16" t="str">
        <f>VLOOKUP($A329,'SurveyRpt_20150223 (1)'!$A$34:$AN$735,26,FALSE)</f>
        <v>Yes</v>
      </c>
      <c r="R329" s="16" t="str">
        <f>VLOOKUP($A329,'SurveyRpt_20150223 (1)'!$A$34:$AN$735,28,FALSE)</f>
        <v>Yes</v>
      </c>
      <c r="S329" s="16" t="str">
        <f>VLOOKUP($A329,'SurveyRpt_20150223 (1)'!$A$34:$AN$735,30,FALSE)</f>
        <v>Yes</v>
      </c>
      <c r="T329" s="16" t="str">
        <f>VLOOKUP($A329,'SurveyRpt_20150223 (1)'!$A$34:$AN$735,32,FALSE)</f>
        <v>Yes</v>
      </c>
      <c r="U329" s="16" t="str">
        <f>VLOOKUP($A329,'SurveyRpt_20150223 (1)'!$A$34:$AN$735,34,FALSE)</f>
        <v>Yes</v>
      </c>
      <c r="V329" s="16" t="str">
        <f>VLOOKUP($A329,'SurveyRpt_20150223 (1)'!$A$34:$AN$735,36,FALSE)</f>
        <v>Yes</v>
      </c>
      <c r="W329" s="16" t="str">
        <f>VLOOKUP($A329,'SurveyRpt_20150223 (1)'!$A$34:$AN$735,38,FALSE)</f>
        <v>No</v>
      </c>
    </row>
    <row r="330" spans="1:23" ht="13.5" customHeight="1" x14ac:dyDescent="0.25">
      <c r="A330" s="19" t="s">
        <v>423</v>
      </c>
      <c r="B330" s="19" t="str">
        <f t="shared" si="5"/>
        <v>VPRADHAN2</v>
      </c>
      <c r="C330" s="16" t="str">
        <f>VLOOKUP(B330,'Compiled Agents'!A:H,2,FALSE)</f>
        <v>Workplace</v>
      </c>
      <c r="D330" s="16" t="str">
        <f>VLOOKUP(B330,'Compiled Agents'!A:H,4,FALSE)</f>
        <v>Noida</v>
      </c>
      <c r="E330" s="16" t="str">
        <f>VLOOKUP(B330,'Compiled Agents'!A:H,5,FALSE)</f>
        <v>Wave1</v>
      </c>
      <c r="F330" s="16" t="str">
        <f>VLOOKUP(B330,'Compiled Agents'!A:H,6,FALSE)</f>
        <v>Yellow</v>
      </c>
      <c r="G330" s="16">
        <f>VLOOKUP($A330,'SurveyRpt_20150223 (1)'!$A$34:$AN$735,6,FALSE)</f>
        <v>16</v>
      </c>
      <c r="H330" s="16" t="str">
        <f>VLOOKUP($A330,'SurveyRpt_20150223 (1)'!$A$34:$AN$735,8,FALSE)</f>
        <v>Yes</v>
      </c>
      <c r="I330" s="16" t="str">
        <f>VLOOKUP($A330,'SurveyRpt_20150223 (1)'!$A$34:$AN$735,10,FALSE)</f>
        <v>Yes</v>
      </c>
      <c r="J330" s="16" t="str">
        <f>VLOOKUP($A330,'SurveyRpt_20150223 (1)'!$A$34:$AN$735,12,FALSE)</f>
        <v>Yes</v>
      </c>
      <c r="K330" s="16" t="str">
        <f>VLOOKUP($A330,'SurveyRpt_20150223 (1)'!$A$34:$AN$735,14,FALSE)</f>
        <v>Yes</v>
      </c>
      <c r="L330" s="16" t="str">
        <f>VLOOKUP($A330,'SurveyRpt_20150223 (1)'!$A$34:$AN$735,16,FALSE)</f>
        <v>Yes</v>
      </c>
      <c r="M330" s="16" t="str">
        <f>VLOOKUP($A330,'SurveyRpt_20150223 (1)'!$A$34:$AN$735,18,FALSE)</f>
        <v>Yes</v>
      </c>
      <c r="N330" s="16" t="str">
        <f>VLOOKUP($A330,'SurveyRpt_20150223 (1)'!$A$34:$AN$735,20,FALSE)</f>
        <v>Yes</v>
      </c>
      <c r="O330" s="16" t="str">
        <f>VLOOKUP($A330,'SurveyRpt_20150223 (1)'!$A$34:$AN$735,22,FALSE)</f>
        <v>Yes</v>
      </c>
      <c r="P330" s="16" t="str">
        <f>VLOOKUP($A330,'SurveyRpt_20150223 (1)'!$A$34:$AN$735,24,FALSE)</f>
        <v>Yes</v>
      </c>
      <c r="Q330" s="16" t="str">
        <f>VLOOKUP($A330,'SurveyRpt_20150223 (1)'!$A$34:$AN$735,26,FALSE)</f>
        <v>Yes</v>
      </c>
      <c r="R330" s="16" t="str">
        <f>VLOOKUP($A330,'SurveyRpt_20150223 (1)'!$A$34:$AN$735,28,FALSE)</f>
        <v>Yes</v>
      </c>
      <c r="S330" s="16" t="str">
        <f>VLOOKUP($A330,'SurveyRpt_20150223 (1)'!$A$34:$AN$735,30,FALSE)</f>
        <v>Yes</v>
      </c>
      <c r="T330" s="16" t="str">
        <f>VLOOKUP($A330,'SurveyRpt_20150223 (1)'!$A$34:$AN$735,32,FALSE)</f>
        <v>Yes</v>
      </c>
      <c r="U330" s="16" t="str">
        <f>VLOOKUP($A330,'SurveyRpt_20150223 (1)'!$A$34:$AN$735,34,FALSE)</f>
        <v>Yes</v>
      </c>
      <c r="V330" s="16" t="str">
        <f>VLOOKUP($A330,'SurveyRpt_20150223 (1)'!$A$34:$AN$735,36,FALSE)</f>
        <v>Yes</v>
      </c>
      <c r="W330" s="16" t="str">
        <f>VLOOKUP($A330,'SurveyRpt_20150223 (1)'!$A$34:$AN$735,38,FALSE)</f>
        <v>Yes</v>
      </c>
    </row>
    <row r="331" spans="1:23" ht="13.5" customHeight="1" x14ac:dyDescent="0.25">
      <c r="A331" s="19" t="s">
        <v>424</v>
      </c>
      <c r="B331" s="19" t="str">
        <f t="shared" si="5"/>
        <v>SKONDAVETI</v>
      </c>
      <c r="C331" s="16" t="str">
        <f>VLOOKUP(B331,'Compiled Agents'!A:H,2,FALSE)</f>
        <v>Platform</v>
      </c>
      <c r="D331" s="16" t="str">
        <f>VLOOKUP(B331,'Compiled Agents'!A:H,4,FALSE)</f>
        <v>Noida</v>
      </c>
      <c r="E331" s="16" t="str">
        <f>VLOOKUP(B331,'Compiled Agents'!A:H,5,FALSE)</f>
        <v>Wave1</v>
      </c>
      <c r="F331" s="16" t="str">
        <f>VLOOKUP(B331,'Compiled Agents'!A:H,6,FALSE)</f>
        <v>Purple</v>
      </c>
      <c r="G331" s="16">
        <f>VLOOKUP($A331,'SurveyRpt_20150223 (1)'!$A$34:$AN$735,6,FALSE)</f>
        <v>16</v>
      </c>
      <c r="H331" s="16" t="str">
        <f>VLOOKUP($A331,'SurveyRpt_20150223 (1)'!$A$34:$AN$735,8,FALSE)</f>
        <v>Yes</v>
      </c>
      <c r="I331" s="16" t="str">
        <f>VLOOKUP($A331,'SurveyRpt_20150223 (1)'!$A$34:$AN$735,10,FALSE)</f>
        <v>Yes</v>
      </c>
      <c r="J331" s="16" t="str">
        <f>VLOOKUP($A331,'SurveyRpt_20150223 (1)'!$A$34:$AN$735,12,FALSE)</f>
        <v>Yes</v>
      </c>
      <c r="K331" s="16" t="str">
        <f>VLOOKUP($A331,'SurveyRpt_20150223 (1)'!$A$34:$AN$735,14,FALSE)</f>
        <v>Yes</v>
      </c>
      <c r="L331" s="16" t="str">
        <f>VLOOKUP($A331,'SurveyRpt_20150223 (1)'!$A$34:$AN$735,16,FALSE)</f>
        <v>Yes</v>
      </c>
      <c r="M331" s="16" t="str">
        <f>VLOOKUP($A331,'SurveyRpt_20150223 (1)'!$A$34:$AN$735,18,FALSE)</f>
        <v>Yes</v>
      </c>
      <c r="N331" s="16" t="str">
        <f>VLOOKUP($A331,'SurveyRpt_20150223 (1)'!$A$34:$AN$735,20,FALSE)</f>
        <v>Yes</v>
      </c>
      <c r="O331" s="16" t="str">
        <f>VLOOKUP($A331,'SurveyRpt_20150223 (1)'!$A$34:$AN$735,22,FALSE)</f>
        <v>Yes</v>
      </c>
      <c r="P331" s="16" t="str">
        <f>VLOOKUP($A331,'SurveyRpt_20150223 (1)'!$A$34:$AN$735,24,FALSE)</f>
        <v>Yes</v>
      </c>
      <c r="Q331" s="16" t="str">
        <f>VLOOKUP($A331,'SurveyRpt_20150223 (1)'!$A$34:$AN$735,26,FALSE)</f>
        <v>Yes</v>
      </c>
      <c r="R331" s="16" t="str">
        <f>VLOOKUP($A331,'SurveyRpt_20150223 (1)'!$A$34:$AN$735,28,FALSE)</f>
        <v>Yes</v>
      </c>
      <c r="S331" s="16" t="str">
        <f>VLOOKUP($A331,'SurveyRpt_20150223 (1)'!$A$34:$AN$735,30,FALSE)</f>
        <v>Yes</v>
      </c>
      <c r="T331" s="16" t="str">
        <f>VLOOKUP($A331,'SurveyRpt_20150223 (1)'!$A$34:$AN$735,32,FALSE)</f>
        <v>Yes</v>
      </c>
      <c r="U331" s="16" t="str">
        <f>VLOOKUP($A331,'SurveyRpt_20150223 (1)'!$A$34:$AN$735,34,FALSE)</f>
        <v>Yes</v>
      </c>
      <c r="V331" s="16" t="str">
        <f>VLOOKUP($A331,'SurveyRpt_20150223 (1)'!$A$34:$AN$735,36,FALSE)</f>
        <v>Yes</v>
      </c>
      <c r="W331" s="16" t="str">
        <f>VLOOKUP($A331,'SurveyRpt_20150223 (1)'!$A$34:$AN$735,38,FALSE)</f>
        <v>Yes</v>
      </c>
    </row>
    <row r="332" spans="1:23" ht="13.5" customHeight="1" x14ac:dyDescent="0.25">
      <c r="A332" s="19" t="s">
        <v>425</v>
      </c>
      <c r="B332" s="19" t="str">
        <f t="shared" si="5"/>
        <v>GVAIRAVELU</v>
      </c>
      <c r="C332" s="16" t="str">
        <f>VLOOKUP(B332,'Compiled Agents'!A:H,2,FALSE)</f>
        <v>Platform</v>
      </c>
      <c r="D332" s="16" t="str">
        <f>VLOOKUP(B332,'Compiled Agents'!A:H,4,FALSE)</f>
        <v>Hyderabad</v>
      </c>
      <c r="E332" s="16" t="str">
        <f>VLOOKUP(B332,'Compiled Agents'!A:H,5,FALSE)</f>
        <v>Wave1</v>
      </c>
      <c r="F332" s="16" t="str">
        <f>VLOOKUP(B332,'Compiled Agents'!A:H,6,FALSE)</f>
        <v>Purple</v>
      </c>
      <c r="G332" s="16">
        <f>VLOOKUP($A332,'SurveyRpt_20150223 (1)'!$A$34:$AN$735,6,FALSE)</f>
        <v>16</v>
      </c>
      <c r="H332" s="16" t="str">
        <f>VLOOKUP($A332,'SurveyRpt_20150223 (1)'!$A$34:$AN$735,8,FALSE)</f>
        <v>Yes</v>
      </c>
      <c r="I332" s="16" t="str">
        <f>VLOOKUP($A332,'SurveyRpt_20150223 (1)'!$A$34:$AN$735,10,FALSE)</f>
        <v>Yes</v>
      </c>
      <c r="J332" s="16" t="str">
        <f>VLOOKUP($A332,'SurveyRpt_20150223 (1)'!$A$34:$AN$735,12,FALSE)</f>
        <v>Yes</v>
      </c>
      <c r="K332" s="16" t="str">
        <f>VLOOKUP($A332,'SurveyRpt_20150223 (1)'!$A$34:$AN$735,14,FALSE)</f>
        <v>Yes</v>
      </c>
      <c r="L332" s="16" t="str">
        <f>VLOOKUP($A332,'SurveyRpt_20150223 (1)'!$A$34:$AN$735,16,FALSE)</f>
        <v>Yes</v>
      </c>
      <c r="M332" s="16" t="str">
        <f>VLOOKUP($A332,'SurveyRpt_20150223 (1)'!$A$34:$AN$735,18,FALSE)</f>
        <v>Yes</v>
      </c>
      <c r="N332" s="16" t="str">
        <f>VLOOKUP($A332,'SurveyRpt_20150223 (1)'!$A$34:$AN$735,20,FALSE)</f>
        <v>Yes</v>
      </c>
      <c r="O332" s="16" t="str">
        <f>VLOOKUP($A332,'SurveyRpt_20150223 (1)'!$A$34:$AN$735,22,FALSE)</f>
        <v>Yes</v>
      </c>
      <c r="P332" s="16" t="str">
        <f>VLOOKUP($A332,'SurveyRpt_20150223 (1)'!$A$34:$AN$735,24,FALSE)</f>
        <v>Yes</v>
      </c>
      <c r="Q332" s="16" t="str">
        <f>VLOOKUP($A332,'SurveyRpt_20150223 (1)'!$A$34:$AN$735,26,FALSE)</f>
        <v>Yes</v>
      </c>
      <c r="R332" s="16" t="str">
        <f>VLOOKUP($A332,'SurveyRpt_20150223 (1)'!$A$34:$AN$735,28,FALSE)</f>
        <v>Yes</v>
      </c>
      <c r="S332" s="16" t="str">
        <f>VLOOKUP($A332,'SurveyRpt_20150223 (1)'!$A$34:$AN$735,30,FALSE)</f>
        <v>Yes</v>
      </c>
      <c r="T332" s="16" t="str">
        <f>VLOOKUP($A332,'SurveyRpt_20150223 (1)'!$A$34:$AN$735,32,FALSE)</f>
        <v>Yes</v>
      </c>
      <c r="U332" s="16" t="str">
        <f>VLOOKUP($A332,'SurveyRpt_20150223 (1)'!$A$34:$AN$735,34,FALSE)</f>
        <v>Yes</v>
      </c>
      <c r="V332" s="16" t="str">
        <f>VLOOKUP($A332,'SurveyRpt_20150223 (1)'!$A$34:$AN$735,36,FALSE)</f>
        <v>Yes</v>
      </c>
      <c r="W332" s="16" t="str">
        <f>VLOOKUP($A332,'SurveyRpt_20150223 (1)'!$A$34:$AN$735,38,FALSE)</f>
        <v>Yes</v>
      </c>
    </row>
    <row r="333" spans="1:23" ht="13.5" customHeight="1" x14ac:dyDescent="0.25">
      <c r="A333" s="19" t="s">
        <v>426</v>
      </c>
      <c r="B333" s="19" t="str">
        <f t="shared" si="5"/>
        <v>NMUNNANGI</v>
      </c>
      <c r="C333" s="16" t="str">
        <f>VLOOKUP(B333,'Compiled Agents'!A:H,2,FALSE)</f>
        <v>Platform</v>
      </c>
      <c r="D333" s="16" t="str">
        <f>VLOOKUP(B333,'Compiled Agents'!A:H,4,FALSE)</f>
        <v>Noida</v>
      </c>
      <c r="E333" s="16" t="str">
        <f>VLOOKUP(B333,'Compiled Agents'!A:H,5,FALSE)</f>
        <v>Wave1</v>
      </c>
      <c r="F333" s="16" t="str">
        <f>VLOOKUP(B333,'Compiled Agents'!A:H,6,FALSE)</f>
        <v>Yellow</v>
      </c>
      <c r="G333" s="16">
        <f>VLOOKUP($A333,'SurveyRpt_20150223 (1)'!$A$34:$AN$735,6,FALSE)</f>
        <v>9</v>
      </c>
      <c r="H333" s="16" t="str">
        <f>VLOOKUP($A333,'SurveyRpt_20150223 (1)'!$A$34:$AN$735,8,FALSE)</f>
        <v>Yes</v>
      </c>
      <c r="I333" s="16" t="str">
        <f>VLOOKUP($A333,'SurveyRpt_20150223 (1)'!$A$34:$AN$735,10,FALSE)</f>
        <v>Yes</v>
      </c>
      <c r="J333" s="16" t="str">
        <f>VLOOKUP($A333,'SurveyRpt_20150223 (1)'!$A$34:$AN$735,12,FALSE)</f>
        <v>No</v>
      </c>
      <c r="K333" s="16" t="str">
        <f>VLOOKUP($A333,'SurveyRpt_20150223 (1)'!$A$34:$AN$735,14,FALSE)</f>
        <v>No</v>
      </c>
      <c r="L333" s="16" t="str">
        <f>VLOOKUP($A333,'SurveyRpt_20150223 (1)'!$A$34:$AN$735,16,FALSE)</f>
        <v>Yes</v>
      </c>
      <c r="M333" s="16" t="str">
        <f>VLOOKUP($A333,'SurveyRpt_20150223 (1)'!$A$34:$AN$735,18,FALSE)</f>
        <v>Yes</v>
      </c>
      <c r="N333" s="16" t="str">
        <f>VLOOKUP($A333,'SurveyRpt_20150223 (1)'!$A$34:$AN$735,20,FALSE)</f>
        <v>Yes</v>
      </c>
      <c r="O333" s="16" t="str">
        <f>VLOOKUP($A333,'SurveyRpt_20150223 (1)'!$A$34:$AN$735,22,FALSE)</f>
        <v>No</v>
      </c>
      <c r="P333" s="16" t="str">
        <f>VLOOKUP($A333,'SurveyRpt_20150223 (1)'!$A$34:$AN$735,24,FALSE)</f>
        <v>Yes</v>
      </c>
      <c r="Q333" s="16" t="str">
        <f>VLOOKUP($A333,'SurveyRpt_20150223 (1)'!$A$34:$AN$735,26,FALSE)</f>
        <v>Yes</v>
      </c>
      <c r="R333" s="16" t="str">
        <f>VLOOKUP($A333,'SurveyRpt_20150223 (1)'!$A$34:$AN$735,28,FALSE)</f>
        <v>Yes</v>
      </c>
      <c r="S333" s="16" t="str">
        <f>VLOOKUP($A333,'SurveyRpt_20150223 (1)'!$A$34:$AN$735,30,FALSE)</f>
        <v>Yes</v>
      </c>
      <c r="T333" s="16" t="str">
        <f>VLOOKUP($A333,'SurveyRpt_20150223 (1)'!$A$34:$AN$735,32,FALSE)</f>
        <v>No</v>
      </c>
      <c r="U333" s="16" t="str">
        <f>VLOOKUP($A333,'SurveyRpt_20150223 (1)'!$A$34:$AN$735,34,FALSE)</f>
        <v>No</v>
      </c>
      <c r="V333" s="16" t="str">
        <f>VLOOKUP($A333,'SurveyRpt_20150223 (1)'!$A$34:$AN$735,36,FALSE)</f>
        <v>No</v>
      </c>
      <c r="W333" s="16" t="str">
        <f>VLOOKUP($A333,'SurveyRpt_20150223 (1)'!$A$34:$AN$735,38,FALSE)</f>
        <v>No</v>
      </c>
    </row>
    <row r="334" spans="1:23" ht="13.5" customHeight="1" x14ac:dyDescent="0.25">
      <c r="A334" s="19" t="s">
        <v>427</v>
      </c>
      <c r="B334" s="19" t="str">
        <f t="shared" si="5"/>
        <v>tbyers</v>
      </c>
      <c r="C334" s="16" t="str">
        <f>VLOOKUP(B334,'Compiled Agents'!A:H,2,FALSE)</f>
        <v>Workplace</v>
      </c>
      <c r="D334" s="16" t="str">
        <f>VLOOKUP(B334,'Compiled Agents'!A:H,4,FALSE)</f>
        <v>MBC US</v>
      </c>
      <c r="E334" s="16" t="str">
        <f>VLOOKUP(B334,'Compiled Agents'!A:H,5,FALSE)</f>
        <v>Wave2</v>
      </c>
      <c r="F334" s="16" t="str">
        <f>VLOOKUP(B334,'Compiled Agents'!A:H,6,FALSE)</f>
        <v>Orange</v>
      </c>
      <c r="G334" s="16">
        <f>VLOOKUP($A334,'SurveyRpt_20150223 (1)'!$A$34:$AN$735,6,FALSE)</f>
        <v>14</v>
      </c>
      <c r="H334" s="16" t="str">
        <f>VLOOKUP($A334,'SurveyRpt_20150223 (1)'!$A$34:$AN$735,8,FALSE)</f>
        <v>Yes</v>
      </c>
      <c r="I334" s="16" t="str">
        <f>VLOOKUP($A334,'SurveyRpt_20150223 (1)'!$A$34:$AN$735,10,FALSE)</f>
        <v>Yes</v>
      </c>
      <c r="J334" s="16" t="str">
        <f>VLOOKUP($A334,'SurveyRpt_20150223 (1)'!$A$34:$AN$735,12,FALSE)</f>
        <v>Yes</v>
      </c>
      <c r="K334" s="16" t="str">
        <f>VLOOKUP($A334,'SurveyRpt_20150223 (1)'!$A$34:$AN$735,14,FALSE)</f>
        <v>Yes</v>
      </c>
      <c r="L334" s="16" t="str">
        <f>VLOOKUP($A334,'SurveyRpt_20150223 (1)'!$A$34:$AN$735,16,FALSE)</f>
        <v>Yes</v>
      </c>
      <c r="M334" s="16" t="str">
        <f>VLOOKUP($A334,'SurveyRpt_20150223 (1)'!$A$34:$AN$735,18,FALSE)</f>
        <v>Yes</v>
      </c>
      <c r="N334" s="16" t="str">
        <f>VLOOKUP($A334,'SurveyRpt_20150223 (1)'!$A$34:$AN$735,20,FALSE)</f>
        <v>Yes</v>
      </c>
      <c r="O334" s="16" t="str">
        <f>VLOOKUP($A334,'SurveyRpt_20150223 (1)'!$A$34:$AN$735,22,FALSE)</f>
        <v>Yes</v>
      </c>
      <c r="P334" s="16" t="str">
        <f>VLOOKUP($A334,'SurveyRpt_20150223 (1)'!$A$34:$AN$735,24,FALSE)</f>
        <v>Yes</v>
      </c>
      <c r="Q334" s="16" t="str">
        <f>VLOOKUP($A334,'SurveyRpt_20150223 (1)'!$A$34:$AN$735,26,FALSE)</f>
        <v>Yes</v>
      </c>
      <c r="R334" s="16" t="str">
        <f>VLOOKUP($A334,'SurveyRpt_20150223 (1)'!$A$34:$AN$735,28,FALSE)</f>
        <v>Yes</v>
      </c>
      <c r="S334" s="16" t="str">
        <f>VLOOKUP($A334,'SurveyRpt_20150223 (1)'!$A$34:$AN$735,30,FALSE)</f>
        <v>Yes</v>
      </c>
      <c r="T334" s="16" t="str">
        <f>VLOOKUP($A334,'SurveyRpt_20150223 (1)'!$A$34:$AN$735,32,FALSE)</f>
        <v>Yes</v>
      </c>
      <c r="U334" s="16" t="str">
        <f>VLOOKUP($A334,'SurveyRpt_20150223 (1)'!$A$34:$AN$735,34,FALSE)</f>
        <v>No</v>
      </c>
      <c r="V334" s="16" t="str">
        <f>VLOOKUP($A334,'SurveyRpt_20150223 (1)'!$A$34:$AN$735,36,FALSE)</f>
        <v>Yes</v>
      </c>
      <c r="W334" s="16" t="str">
        <f>VLOOKUP($A334,'SurveyRpt_20150223 (1)'!$A$34:$AN$735,38,FALSE)</f>
        <v>No</v>
      </c>
    </row>
    <row r="335" spans="1:23" ht="13.5" customHeight="1" x14ac:dyDescent="0.25">
      <c r="A335" s="19" t="s">
        <v>428</v>
      </c>
      <c r="B335" s="19" t="str">
        <f t="shared" si="5"/>
        <v>TSINGH51</v>
      </c>
      <c r="C335" s="16" t="str">
        <f>VLOOKUP(B335,'Compiled Agents'!A:H,2,FALSE)</f>
        <v>Platform</v>
      </c>
      <c r="D335" s="16" t="str">
        <f>VLOOKUP(B335,'Compiled Agents'!A:H,4,FALSE)</f>
        <v>Noida</v>
      </c>
      <c r="E335" s="16" t="str">
        <f>VLOOKUP(B335,'Compiled Agents'!A:H,5,FALSE)</f>
        <v>Wave2</v>
      </c>
      <c r="F335" s="16" t="str">
        <f>VLOOKUP(B335,'Compiled Agents'!A:H,6,FALSE)</f>
        <v>Yellow</v>
      </c>
      <c r="G335" s="16">
        <f>VLOOKUP($A335,'SurveyRpt_20150223 (1)'!$A$34:$AN$735,6,FALSE)</f>
        <v>9</v>
      </c>
      <c r="H335" s="16" t="str">
        <f>VLOOKUP($A335,'SurveyRpt_20150223 (1)'!$A$34:$AN$735,8,FALSE)</f>
        <v>Yes</v>
      </c>
      <c r="I335" s="16" t="str">
        <f>VLOOKUP($A335,'SurveyRpt_20150223 (1)'!$A$34:$AN$735,10,FALSE)</f>
        <v>Yes</v>
      </c>
      <c r="J335" s="16" t="str">
        <f>VLOOKUP($A335,'SurveyRpt_20150223 (1)'!$A$34:$AN$735,12,FALSE)</f>
        <v>No</v>
      </c>
      <c r="K335" s="16" t="str">
        <f>VLOOKUP($A335,'SurveyRpt_20150223 (1)'!$A$34:$AN$735,14,FALSE)</f>
        <v>No</v>
      </c>
      <c r="L335" s="16" t="str">
        <f>VLOOKUP($A335,'SurveyRpt_20150223 (1)'!$A$34:$AN$735,16,FALSE)</f>
        <v>Yes</v>
      </c>
      <c r="M335" s="16" t="str">
        <f>VLOOKUP($A335,'SurveyRpt_20150223 (1)'!$A$34:$AN$735,18,FALSE)</f>
        <v>Yes</v>
      </c>
      <c r="N335" s="16" t="str">
        <f>VLOOKUP($A335,'SurveyRpt_20150223 (1)'!$A$34:$AN$735,20,FALSE)</f>
        <v>No</v>
      </c>
      <c r="O335" s="16" t="str">
        <f>VLOOKUP($A335,'SurveyRpt_20150223 (1)'!$A$34:$AN$735,22,FALSE)</f>
        <v>Yes</v>
      </c>
      <c r="P335" s="16" t="str">
        <f>VLOOKUP($A335,'SurveyRpt_20150223 (1)'!$A$34:$AN$735,24,FALSE)</f>
        <v>Yes</v>
      </c>
      <c r="Q335" s="16" t="str">
        <f>VLOOKUP($A335,'SurveyRpt_20150223 (1)'!$A$34:$AN$735,26,FALSE)</f>
        <v>No</v>
      </c>
      <c r="R335" s="16" t="str">
        <f>VLOOKUP($A335,'SurveyRpt_20150223 (1)'!$A$34:$AN$735,28,FALSE)</f>
        <v>Yes</v>
      </c>
      <c r="S335" s="16" t="str">
        <f>VLOOKUP($A335,'SurveyRpt_20150223 (1)'!$A$34:$AN$735,30,FALSE)</f>
        <v>No</v>
      </c>
      <c r="T335" s="16" t="str">
        <f>VLOOKUP($A335,'SurveyRpt_20150223 (1)'!$A$34:$AN$735,32,FALSE)</f>
        <v>Yes</v>
      </c>
      <c r="U335" s="16" t="str">
        <f>VLOOKUP($A335,'SurveyRpt_20150223 (1)'!$A$34:$AN$735,34,FALSE)</f>
        <v>No</v>
      </c>
      <c r="V335" s="16" t="str">
        <f>VLOOKUP($A335,'SurveyRpt_20150223 (1)'!$A$34:$AN$735,36,FALSE)</f>
        <v>No</v>
      </c>
      <c r="W335" s="16" t="str">
        <f>VLOOKUP($A335,'SurveyRpt_20150223 (1)'!$A$34:$AN$735,38,FALSE)</f>
        <v>Yes</v>
      </c>
    </row>
    <row r="336" spans="1:23" ht="13.5" customHeight="1" x14ac:dyDescent="0.25">
      <c r="A336" s="19" t="s">
        <v>429</v>
      </c>
      <c r="B336" s="19" t="str">
        <f t="shared" si="5"/>
        <v>LBANGWAL</v>
      </c>
      <c r="C336" s="16" t="str">
        <f>VLOOKUP(B336,'Compiled Agents'!A:H,2,FALSE)</f>
        <v>Platform</v>
      </c>
      <c r="D336" s="16" t="str">
        <f>VLOOKUP(B336,'Compiled Agents'!A:H,4,FALSE)</f>
        <v>Noida</v>
      </c>
      <c r="E336" s="16" t="str">
        <f>VLOOKUP(B336,'Compiled Agents'!A:H,5,FALSE)</f>
        <v>Wave2</v>
      </c>
      <c r="F336" s="16" t="str">
        <f>VLOOKUP(B336,'Compiled Agents'!A:H,6,FALSE)</f>
        <v>Yellow</v>
      </c>
      <c r="G336" s="16">
        <f>VLOOKUP($A336,'SurveyRpt_20150223 (1)'!$A$34:$AN$735,6,FALSE)</f>
        <v>0</v>
      </c>
      <c r="H336" s="16" t="str">
        <f>VLOOKUP($A336,'SurveyRpt_20150223 (1)'!$A$34:$AN$735,8,FALSE)</f>
        <v>No</v>
      </c>
      <c r="I336" s="16" t="str">
        <f>VLOOKUP($A336,'SurveyRpt_20150223 (1)'!$A$34:$AN$735,10,FALSE)</f>
        <v>No</v>
      </c>
      <c r="J336" s="16" t="str">
        <f>VLOOKUP($A336,'SurveyRpt_20150223 (1)'!$A$34:$AN$735,12,FALSE)</f>
        <v>No</v>
      </c>
      <c r="K336" s="16" t="str">
        <f>VLOOKUP($A336,'SurveyRpt_20150223 (1)'!$A$34:$AN$735,14,FALSE)</f>
        <v>No</v>
      </c>
      <c r="L336" s="16" t="str">
        <f>VLOOKUP($A336,'SurveyRpt_20150223 (1)'!$A$34:$AN$735,16,FALSE)</f>
        <v>No</v>
      </c>
      <c r="M336" s="16" t="str">
        <f>VLOOKUP($A336,'SurveyRpt_20150223 (1)'!$A$34:$AN$735,18,FALSE)</f>
        <v>No</v>
      </c>
      <c r="N336" s="16" t="str">
        <f>VLOOKUP($A336,'SurveyRpt_20150223 (1)'!$A$34:$AN$735,20,FALSE)</f>
        <v>No</v>
      </c>
      <c r="O336" s="16" t="str">
        <f>VLOOKUP($A336,'SurveyRpt_20150223 (1)'!$A$34:$AN$735,22,FALSE)</f>
        <v>No</v>
      </c>
      <c r="P336" s="16" t="str">
        <f>VLOOKUP($A336,'SurveyRpt_20150223 (1)'!$A$34:$AN$735,24,FALSE)</f>
        <v>No</v>
      </c>
      <c r="Q336" s="16" t="str">
        <f>VLOOKUP($A336,'SurveyRpt_20150223 (1)'!$A$34:$AN$735,26,FALSE)</f>
        <v>No</v>
      </c>
      <c r="R336" s="16" t="str">
        <f>VLOOKUP($A336,'SurveyRpt_20150223 (1)'!$A$34:$AN$735,28,FALSE)</f>
        <v>No</v>
      </c>
      <c r="S336" s="16" t="str">
        <f>VLOOKUP($A336,'SurveyRpt_20150223 (1)'!$A$34:$AN$735,30,FALSE)</f>
        <v>No</v>
      </c>
      <c r="T336" s="16" t="str">
        <f>VLOOKUP($A336,'SurveyRpt_20150223 (1)'!$A$34:$AN$735,32,FALSE)</f>
        <v>No</v>
      </c>
      <c r="U336" s="16" t="str">
        <f>VLOOKUP($A336,'SurveyRpt_20150223 (1)'!$A$34:$AN$735,34,FALSE)</f>
        <v>No</v>
      </c>
      <c r="V336" s="16" t="str">
        <f>VLOOKUP($A336,'SurveyRpt_20150223 (1)'!$A$34:$AN$735,36,FALSE)</f>
        <v>No</v>
      </c>
      <c r="W336" s="16" t="str">
        <f>VLOOKUP($A336,'SurveyRpt_20150223 (1)'!$A$34:$AN$735,38,FALSE)</f>
        <v>No</v>
      </c>
    </row>
    <row r="337" spans="1:23" ht="13.5" customHeight="1" x14ac:dyDescent="0.25">
      <c r="A337" s="19" t="s">
        <v>430</v>
      </c>
      <c r="B337" s="19" t="str">
        <f t="shared" si="5"/>
        <v>SBAGEL</v>
      </c>
      <c r="C337" s="16" t="str">
        <f>VLOOKUP(B337,'Compiled Agents'!A:H,2,FALSE)</f>
        <v>Platform</v>
      </c>
      <c r="D337" s="16" t="str">
        <f>VLOOKUP(B337,'Compiled Agents'!A:H,4,FALSE)</f>
        <v>Noida</v>
      </c>
      <c r="E337" s="16" t="str">
        <f>VLOOKUP(B337,'Compiled Agents'!A:H,5,FALSE)</f>
        <v>Wave1</v>
      </c>
      <c r="F337" s="16" t="str">
        <f>VLOOKUP(B337,'Compiled Agents'!A:H,6,FALSE)</f>
        <v>Yellow</v>
      </c>
      <c r="G337" s="16">
        <f>VLOOKUP($A337,'SurveyRpt_20150223 (1)'!$A$34:$AN$735,6,FALSE)</f>
        <v>16</v>
      </c>
      <c r="H337" s="16" t="str">
        <f>VLOOKUP($A337,'SurveyRpt_20150223 (1)'!$A$34:$AN$735,8,FALSE)</f>
        <v>Yes</v>
      </c>
      <c r="I337" s="16" t="str">
        <f>VLOOKUP($A337,'SurveyRpt_20150223 (1)'!$A$34:$AN$735,10,FALSE)</f>
        <v>Yes</v>
      </c>
      <c r="J337" s="16" t="str">
        <f>VLOOKUP($A337,'SurveyRpt_20150223 (1)'!$A$34:$AN$735,12,FALSE)</f>
        <v>Yes</v>
      </c>
      <c r="K337" s="16" t="str">
        <f>VLOOKUP($A337,'SurveyRpt_20150223 (1)'!$A$34:$AN$735,14,FALSE)</f>
        <v>Yes</v>
      </c>
      <c r="L337" s="16" t="str">
        <f>VLOOKUP($A337,'SurveyRpt_20150223 (1)'!$A$34:$AN$735,16,FALSE)</f>
        <v>Yes</v>
      </c>
      <c r="M337" s="16" t="str">
        <f>VLOOKUP($A337,'SurveyRpt_20150223 (1)'!$A$34:$AN$735,18,FALSE)</f>
        <v>Yes</v>
      </c>
      <c r="N337" s="16" t="str">
        <f>VLOOKUP($A337,'SurveyRpt_20150223 (1)'!$A$34:$AN$735,20,FALSE)</f>
        <v>Yes</v>
      </c>
      <c r="O337" s="16" t="str">
        <f>VLOOKUP($A337,'SurveyRpt_20150223 (1)'!$A$34:$AN$735,22,FALSE)</f>
        <v>Yes</v>
      </c>
      <c r="P337" s="16" t="str">
        <f>VLOOKUP($A337,'SurveyRpt_20150223 (1)'!$A$34:$AN$735,24,FALSE)</f>
        <v>Yes</v>
      </c>
      <c r="Q337" s="16" t="str">
        <f>VLOOKUP($A337,'SurveyRpt_20150223 (1)'!$A$34:$AN$735,26,FALSE)</f>
        <v>Yes</v>
      </c>
      <c r="R337" s="16" t="str">
        <f>VLOOKUP($A337,'SurveyRpt_20150223 (1)'!$A$34:$AN$735,28,FALSE)</f>
        <v>Yes</v>
      </c>
      <c r="S337" s="16" t="str">
        <f>VLOOKUP($A337,'SurveyRpt_20150223 (1)'!$A$34:$AN$735,30,FALSE)</f>
        <v>Yes</v>
      </c>
      <c r="T337" s="16" t="str">
        <f>VLOOKUP($A337,'SurveyRpt_20150223 (1)'!$A$34:$AN$735,32,FALSE)</f>
        <v>Yes</v>
      </c>
      <c r="U337" s="16" t="str">
        <f>VLOOKUP($A337,'SurveyRpt_20150223 (1)'!$A$34:$AN$735,34,FALSE)</f>
        <v>Yes</v>
      </c>
      <c r="V337" s="16" t="str">
        <f>VLOOKUP($A337,'SurveyRpt_20150223 (1)'!$A$34:$AN$735,36,FALSE)</f>
        <v>Yes</v>
      </c>
      <c r="W337" s="16" t="str">
        <f>VLOOKUP($A337,'SurveyRpt_20150223 (1)'!$A$34:$AN$735,38,FALSE)</f>
        <v>Yes</v>
      </c>
    </row>
    <row r="338" spans="1:23" ht="13.5" customHeight="1" x14ac:dyDescent="0.25">
      <c r="A338" s="19" t="s">
        <v>431</v>
      </c>
      <c r="B338" s="19" t="str">
        <f t="shared" si="5"/>
        <v>JAGGARWAL</v>
      </c>
      <c r="C338" s="16" t="str">
        <f>VLOOKUP(B338,'Compiled Agents'!A:H,2,FALSE)</f>
        <v>Workplace</v>
      </c>
      <c r="D338" s="16" t="str">
        <f>VLOOKUP(B338,'Compiled Agents'!A:H,4,FALSE)</f>
        <v>Hyderabad</v>
      </c>
      <c r="E338" s="16" t="str">
        <f>VLOOKUP(B338,'Compiled Agents'!A:H,5,FALSE)</f>
        <v>Wave2</v>
      </c>
      <c r="F338" s="16" t="str">
        <f>VLOOKUP(B338,'Compiled Agents'!A:H,6,FALSE)</f>
        <v>Orange</v>
      </c>
      <c r="G338" s="16">
        <f>VLOOKUP($A338,'SurveyRpt_20150223 (1)'!$A$34:$AN$735,6,FALSE)</f>
        <v>7</v>
      </c>
      <c r="H338" s="16" t="str">
        <f>VLOOKUP($A338,'SurveyRpt_20150223 (1)'!$A$34:$AN$735,8,FALSE)</f>
        <v>Yes</v>
      </c>
      <c r="I338" s="16" t="str">
        <f>VLOOKUP($A338,'SurveyRpt_20150223 (1)'!$A$34:$AN$735,10,FALSE)</f>
        <v>No</v>
      </c>
      <c r="J338" s="16" t="str">
        <f>VLOOKUP($A338,'SurveyRpt_20150223 (1)'!$A$34:$AN$735,12,FALSE)</f>
        <v>No</v>
      </c>
      <c r="K338" s="16" t="str">
        <f>VLOOKUP($A338,'SurveyRpt_20150223 (1)'!$A$34:$AN$735,14,FALSE)</f>
        <v>No</v>
      </c>
      <c r="L338" s="16" t="str">
        <f>VLOOKUP($A338,'SurveyRpt_20150223 (1)'!$A$34:$AN$735,16,FALSE)</f>
        <v>No</v>
      </c>
      <c r="M338" s="16" t="str">
        <f>VLOOKUP($A338,'SurveyRpt_20150223 (1)'!$A$34:$AN$735,18,FALSE)</f>
        <v>No</v>
      </c>
      <c r="N338" s="16" t="str">
        <f>VLOOKUP($A338,'SurveyRpt_20150223 (1)'!$A$34:$AN$735,20,FALSE)</f>
        <v>Yes</v>
      </c>
      <c r="O338" s="16" t="str">
        <f>VLOOKUP($A338,'SurveyRpt_20150223 (1)'!$A$34:$AN$735,22,FALSE)</f>
        <v>No</v>
      </c>
      <c r="P338" s="16" t="str">
        <f>VLOOKUP($A338,'SurveyRpt_20150223 (1)'!$A$34:$AN$735,24,FALSE)</f>
        <v>Yes</v>
      </c>
      <c r="Q338" s="16" t="str">
        <f>VLOOKUP($A338,'SurveyRpt_20150223 (1)'!$A$34:$AN$735,26,FALSE)</f>
        <v>Yes</v>
      </c>
      <c r="R338" s="16" t="str">
        <f>VLOOKUP($A338,'SurveyRpt_20150223 (1)'!$A$34:$AN$735,28,FALSE)</f>
        <v>No</v>
      </c>
      <c r="S338" s="16" t="str">
        <f>VLOOKUP($A338,'SurveyRpt_20150223 (1)'!$A$34:$AN$735,30,FALSE)</f>
        <v>Yes</v>
      </c>
      <c r="T338" s="16" t="str">
        <f>VLOOKUP($A338,'SurveyRpt_20150223 (1)'!$A$34:$AN$735,32,FALSE)</f>
        <v>Yes</v>
      </c>
      <c r="U338" s="16" t="str">
        <f>VLOOKUP($A338,'SurveyRpt_20150223 (1)'!$A$34:$AN$735,34,FALSE)</f>
        <v>No</v>
      </c>
      <c r="V338" s="16" t="str">
        <f>VLOOKUP($A338,'SurveyRpt_20150223 (1)'!$A$34:$AN$735,36,FALSE)</f>
        <v>No</v>
      </c>
      <c r="W338" s="16" t="str">
        <f>VLOOKUP($A338,'SurveyRpt_20150223 (1)'!$A$34:$AN$735,38,FALSE)</f>
        <v>Yes</v>
      </c>
    </row>
    <row r="339" spans="1:23" ht="13.5" customHeight="1" x14ac:dyDescent="0.25">
      <c r="A339" s="19" t="s">
        <v>432</v>
      </c>
      <c r="B339" s="19" t="str">
        <f t="shared" si="5"/>
        <v>GKAPOOR7</v>
      </c>
      <c r="C339" s="16" t="str">
        <f>VLOOKUP(B339,'Compiled Agents'!A:H,2,FALSE)</f>
        <v>Workplace</v>
      </c>
      <c r="D339" s="16" t="str">
        <f>VLOOKUP(B339,'Compiled Agents'!A:H,4,FALSE)</f>
        <v>Noida</v>
      </c>
      <c r="E339" s="16" t="str">
        <f>VLOOKUP(B339,'Compiled Agents'!A:H,5,FALSE)</f>
        <v>Wave1</v>
      </c>
      <c r="F339" s="16" t="str">
        <f>VLOOKUP(B339,'Compiled Agents'!A:H,6,FALSE)</f>
        <v>Purple</v>
      </c>
      <c r="G339" s="16">
        <f>VLOOKUP($A339,'SurveyRpt_20150223 (1)'!$A$34:$AN$735,6,FALSE)</f>
        <v>7</v>
      </c>
      <c r="H339" s="16" t="str">
        <f>VLOOKUP($A339,'SurveyRpt_20150223 (1)'!$A$34:$AN$735,8,FALSE)</f>
        <v>Yes</v>
      </c>
      <c r="I339" s="16" t="str">
        <f>VLOOKUP($A339,'SurveyRpt_20150223 (1)'!$A$34:$AN$735,10,FALSE)</f>
        <v>Yes</v>
      </c>
      <c r="J339" s="16" t="str">
        <f>VLOOKUP($A339,'SurveyRpt_20150223 (1)'!$A$34:$AN$735,12,FALSE)</f>
        <v>No</v>
      </c>
      <c r="K339" s="16" t="str">
        <f>VLOOKUP($A339,'SurveyRpt_20150223 (1)'!$A$34:$AN$735,14,FALSE)</f>
        <v>No</v>
      </c>
      <c r="L339" s="16" t="str">
        <f>VLOOKUP($A339,'SurveyRpt_20150223 (1)'!$A$34:$AN$735,16,FALSE)</f>
        <v>Yes</v>
      </c>
      <c r="M339" s="16" t="str">
        <f>VLOOKUP($A339,'SurveyRpt_20150223 (1)'!$A$34:$AN$735,18,FALSE)</f>
        <v>Yes</v>
      </c>
      <c r="N339" s="16" t="str">
        <f>VLOOKUP($A339,'SurveyRpt_20150223 (1)'!$A$34:$AN$735,20,FALSE)</f>
        <v>No</v>
      </c>
      <c r="O339" s="16" t="str">
        <f>VLOOKUP($A339,'SurveyRpt_20150223 (1)'!$A$34:$AN$735,22,FALSE)</f>
        <v>No</v>
      </c>
      <c r="P339" s="16" t="str">
        <f>VLOOKUP($A339,'SurveyRpt_20150223 (1)'!$A$34:$AN$735,24,FALSE)</f>
        <v>No</v>
      </c>
      <c r="Q339" s="16" t="str">
        <f>VLOOKUP($A339,'SurveyRpt_20150223 (1)'!$A$34:$AN$735,26,FALSE)</f>
        <v>No</v>
      </c>
      <c r="R339" s="16" t="str">
        <f>VLOOKUP($A339,'SurveyRpt_20150223 (1)'!$A$34:$AN$735,28,FALSE)</f>
        <v>Yes</v>
      </c>
      <c r="S339" s="16" t="str">
        <f>VLOOKUP($A339,'SurveyRpt_20150223 (1)'!$A$34:$AN$735,30,FALSE)</f>
        <v>Yes</v>
      </c>
      <c r="T339" s="16" t="str">
        <f>VLOOKUP($A339,'SurveyRpt_20150223 (1)'!$A$34:$AN$735,32,FALSE)</f>
        <v>No</v>
      </c>
      <c r="U339" s="16" t="str">
        <f>VLOOKUP($A339,'SurveyRpt_20150223 (1)'!$A$34:$AN$735,34,FALSE)</f>
        <v>No</v>
      </c>
      <c r="V339" s="16" t="str">
        <f>VLOOKUP($A339,'SurveyRpt_20150223 (1)'!$A$34:$AN$735,36,FALSE)</f>
        <v>Yes</v>
      </c>
      <c r="W339" s="16" t="str">
        <f>VLOOKUP($A339,'SurveyRpt_20150223 (1)'!$A$34:$AN$735,38,FALSE)</f>
        <v>No</v>
      </c>
    </row>
    <row r="340" spans="1:23" ht="13.5" customHeight="1" x14ac:dyDescent="0.25">
      <c r="A340" s="19" t="s">
        <v>433</v>
      </c>
      <c r="B340" s="19" t="str">
        <f t="shared" si="5"/>
        <v>AVEMULAPALL2</v>
      </c>
      <c r="C340" s="16" t="str">
        <f>VLOOKUP(B340,'Compiled Agents'!A:H,2,FALSE)</f>
        <v>Platform</v>
      </c>
      <c r="D340" s="16" t="str">
        <f>VLOOKUP(B340,'Compiled Agents'!A:H,4,FALSE)</f>
        <v>Hyderabad</v>
      </c>
      <c r="E340" s="16" t="str">
        <f>VLOOKUP(B340,'Compiled Agents'!A:H,5,FALSE)</f>
        <v>Wave1</v>
      </c>
      <c r="F340" s="16" t="str">
        <f>VLOOKUP(B340,'Compiled Agents'!A:H,6,FALSE)</f>
        <v>Purple</v>
      </c>
      <c r="G340" s="16">
        <f>VLOOKUP($A340,'SurveyRpt_20150223 (1)'!$A$34:$AN$735,6,FALSE)</f>
        <v>16</v>
      </c>
      <c r="H340" s="16" t="str">
        <f>VLOOKUP($A340,'SurveyRpt_20150223 (1)'!$A$34:$AN$735,8,FALSE)</f>
        <v>Yes</v>
      </c>
      <c r="I340" s="16" t="str">
        <f>VLOOKUP($A340,'SurveyRpt_20150223 (1)'!$A$34:$AN$735,10,FALSE)</f>
        <v>Yes</v>
      </c>
      <c r="J340" s="16" t="str">
        <f>VLOOKUP($A340,'SurveyRpt_20150223 (1)'!$A$34:$AN$735,12,FALSE)</f>
        <v>Yes</v>
      </c>
      <c r="K340" s="16" t="str">
        <f>VLOOKUP($A340,'SurveyRpt_20150223 (1)'!$A$34:$AN$735,14,FALSE)</f>
        <v>Yes</v>
      </c>
      <c r="L340" s="16" t="str">
        <f>VLOOKUP($A340,'SurveyRpt_20150223 (1)'!$A$34:$AN$735,16,FALSE)</f>
        <v>Yes</v>
      </c>
      <c r="M340" s="16" t="str">
        <f>VLOOKUP($A340,'SurveyRpt_20150223 (1)'!$A$34:$AN$735,18,FALSE)</f>
        <v>Yes</v>
      </c>
      <c r="N340" s="16" t="str">
        <f>VLOOKUP($A340,'SurveyRpt_20150223 (1)'!$A$34:$AN$735,20,FALSE)</f>
        <v>Yes</v>
      </c>
      <c r="O340" s="16" t="str">
        <f>VLOOKUP($A340,'SurveyRpt_20150223 (1)'!$A$34:$AN$735,22,FALSE)</f>
        <v>Yes</v>
      </c>
      <c r="P340" s="16" t="str">
        <f>VLOOKUP($A340,'SurveyRpt_20150223 (1)'!$A$34:$AN$735,24,FALSE)</f>
        <v>Yes</v>
      </c>
      <c r="Q340" s="16" t="str">
        <f>VLOOKUP($A340,'SurveyRpt_20150223 (1)'!$A$34:$AN$735,26,FALSE)</f>
        <v>Yes</v>
      </c>
      <c r="R340" s="16" t="str">
        <f>VLOOKUP($A340,'SurveyRpt_20150223 (1)'!$A$34:$AN$735,28,FALSE)</f>
        <v>Yes</v>
      </c>
      <c r="S340" s="16" t="str">
        <f>VLOOKUP($A340,'SurveyRpt_20150223 (1)'!$A$34:$AN$735,30,FALSE)</f>
        <v>Yes</v>
      </c>
      <c r="T340" s="16" t="str">
        <f>VLOOKUP($A340,'SurveyRpt_20150223 (1)'!$A$34:$AN$735,32,FALSE)</f>
        <v>Yes</v>
      </c>
      <c r="U340" s="16" t="str">
        <f>VLOOKUP($A340,'SurveyRpt_20150223 (1)'!$A$34:$AN$735,34,FALSE)</f>
        <v>Yes</v>
      </c>
      <c r="V340" s="16" t="str">
        <f>VLOOKUP($A340,'SurveyRpt_20150223 (1)'!$A$34:$AN$735,36,FALSE)</f>
        <v>Yes</v>
      </c>
      <c r="W340" s="16" t="str">
        <f>VLOOKUP($A340,'SurveyRpt_20150223 (1)'!$A$34:$AN$735,38,FALSE)</f>
        <v>Yes</v>
      </c>
    </row>
    <row r="341" spans="1:23" ht="13.5" customHeight="1" x14ac:dyDescent="0.25">
      <c r="A341" s="19" t="s">
        <v>434</v>
      </c>
      <c r="B341" s="19" t="str">
        <f t="shared" si="5"/>
        <v>NLALITHA</v>
      </c>
      <c r="C341" s="16" t="str">
        <f>VLOOKUP(B341,'Compiled Agents'!A:H,2,FALSE)</f>
        <v>Platform</v>
      </c>
      <c r="D341" s="16" t="str">
        <f>VLOOKUP(B341,'Compiled Agents'!A:H,4,FALSE)</f>
        <v>Noida</v>
      </c>
      <c r="E341" s="16" t="str">
        <f>VLOOKUP(B341,'Compiled Agents'!A:H,5,FALSE)</f>
        <v>Wave2</v>
      </c>
      <c r="F341" s="16" t="str">
        <f>VLOOKUP(B341,'Compiled Agents'!A:H,6,FALSE)</f>
        <v>Yellow</v>
      </c>
      <c r="G341" s="16">
        <f>VLOOKUP($A341,'SurveyRpt_20150223 (1)'!$A$34:$AN$735,6,FALSE)</f>
        <v>16</v>
      </c>
      <c r="H341" s="16" t="str">
        <f>VLOOKUP($A341,'SurveyRpt_20150223 (1)'!$A$34:$AN$735,8,FALSE)</f>
        <v>Yes</v>
      </c>
      <c r="I341" s="16" t="str">
        <f>VLOOKUP($A341,'SurveyRpt_20150223 (1)'!$A$34:$AN$735,10,FALSE)</f>
        <v>Yes</v>
      </c>
      <c r="J341" s="16" t="str">
        <f>VLOOKUP($A341,'SurveyRpt_20150223 (1)'!$A$34:$AN$735,12,FALSE)</f>
        <v>Yes</v>
      </c>
      <c r="K341" s="16" t="str">
        <f>VLOOKUP($A341,'SurveyRpt_20150223 (1)'!$A$34:$AN$735,14,FALSE)</f>
        <v>Yes</v>
      </c>
      <c r="L341" s="16" t="str">
        <f>VLOOKUP($A341,'SurveyRpt_20150223 (1)'!$A$34:$AN$735,16,FALSE)</f>
        <v>Yes</v>
      </c>
      <c r="M341" s="16" t="str">
        <f>VLOOKUP($A341,'SurveyRpt_20150223 (1)'!$A$34:$AN$735,18,FALSE)</f>
        <v>Yes</v>
      </c>
      <c r="N341" s="16" t="str">
        <f>VLOOKUP($A341,'SurveyRpt_20150223 (1)'!$A$34:$AN$735,20,FALSE)</f>
        <v>Yes</v>
      </c>
      <c r="O341" s="16" t="str">
        <f>VLOOKUP($A341,'SurveyRpt_20150223 (1)'!$A$34:$AN$735,22,FALSE)</f>
        <v>Yes</v>
      </c>
      <c r="P341" s="16" t="str">
        <f>VLOOKUP($A341,'SurveyRpt_20150223 (1)'!$A$34:$AN$735,24,FALSE)</f>
        <v>Yes</v>
      </c>
      <c r="Q341" s="16" t="str">
        <f>VLOOKUP($A341,'SurveyRpt_20150223 (1)'!$A$34:$AN$735,26,FALSE)</f>
        <v>Yes</v>
      </c>
      <c r="R341" s="16" t="str">
        <f>VLOOKUP($A341,'SurveyRpt_20150223 (1)'!$A$34:$AN$735,28,FALSE)</f>
        <v>Yes</v>
      </c>
      <c r="S341" s="16" t="str">
        <f>VLOOKUP($A341,'SurveyRpt_20150223 (1)'!$A$34:$AN$735,30,FALSE)</f>
        <v>Yes</v>
      </c>
      <c r="T341" s="16" t="str">
        <f>VLOOKUP($A341,'SurveyRpt_20150223 (1)'!$A$34:$AN$735,32,FALSE)</f>
        <v>Yes</v>
      </c>
      <c r="U341" s="16" t="str">
        <f>VLOOKUP($A341,'SurveyRpt_20150223 (1)'!$A$34:$AN$735,34,FALSE)</f>
        <v>Yes</v>
      </c>
      <c r="V341" s="16" t="str">
        <f>VLOOKUP($A341,'SurveyRpt_20150223 (1)'!$A$34:$AN$735,36,FALSE)</f>
        <v>Yes</v>
      </c>
      <c r="W341" s="16" t="str">
        <f>VLOOKUP($A341,'SurveyRpt_20150223 (1)'!$A$34:$AN$735,38,FALSE)</f>
        <v>Yes</v>
      </c>
    </row>
    <row r="342" spans="1:23" ht="13.5" customHeight="1" x14ac:dyDescent="0.25">
      <c r="A342" s="19" t="s">
        <v>435</v>
      </c>
      <c r="B342" s="19" t="str">
        <f t="shared" si="5"/>
        <v>PMISHRA36</v>
      </c>
      <c r="C342" s="16" t="str">
        <f>VLOOKUP(B342,'Compiled Agents'!A:H,2,FALSE)</f>
        <v>Platform</v>
      </c>
      <c r="D342" s="16" t="str">
        <f>VLOOKUP(B342,'Compiled Agents'!A:H,4,FALSE)</f>
        <v>Noida</v>
      </c>
      <c r="E342" s="16" t="str">
        <f>VLOOKUP(B342,'Compiled Agents'!A:H,5,FALSE)</f>
        <v>Wave2</v>
      </c>
      <c r="F342" s="16" t="str">
        <f>VLOOKUP(B342,'Compiled Agents'!A:H,6,FALSE)</f>
        <v>Yellow</v>
      </c>
      <c r="G342" s="16">
        <f>VLOOKUP($A342,'SurveyRpt_20150223 (1)'!$A$34:$AN$735,6,FALSE)</f>
        <v>16</v>
      </c>
      <c r="H342" s="16" t="str">
        <f>VLOOKUP($A342,'SurveyRpt_20150223 (1)'!$A$34:$AN$735,8,FALSE)</f>
        <v>Yes</v>
      </c>
      <c r="I342" s="16" t="str">
        <f>VLOOKUP($A342,'SurveyRpt_20150223 (1)'!$A$34:$AN$735,10,FALSE)</f>
        <v>Yes</v>
      </c>
      <c r="J342" s="16" t="str">
        <f>VLOOKUP($A342,'SurveyRpt_20150223 (1)'!$A$34:$AN$735,12,FALSE)</f>
        <v>Yes</v>
      </c>
      <c r="K342" s="16" t="str">
        <f>VLOOKUP($A342,'SurveyRpt_20150223 (1)'!$A$34:$AN$735,14,FALSE)</f>
        <v>Yes</v>
      </c>
      <c r="L342" s="16" t="str">
        <f>VLOOKUP($A342,'SurveyRpt_20150223 (1)'!$A$34:$AN$735,16,FALSE)</f>
        <v>Yes</v>
      </c>
      <c r="M342" s="16" t="str">
        <f>VLOOKUP($A342,'SurveyRpt_20150223 (1)'!$A$34:$AN$735,18,FALSE)</f>
        <v>Yes</v>
      </c>
      <c r="N342" s="16" t="str">
        <f>VLOOKUP($A342,'SurveyRpt_20150223 (1)'!$A$34:$AN$735,20,FALSE)</f>
        <v>Yes</v>
      </c>
      <c r="O342" s="16" t="str">
        <f>VLOOKUP($A342,'SurveyRpt_20150223 (1)'!$A$34:$AN$735,22,FALSE)</f>
        <v>Yes</v>
      </c>
      <c r="P342" s="16" t="str">
        <f>VLOOKUP($A342,'SurveyRpt_20150223 (1)'!$A$34:$AN$735,24,FALSE)</f>
        <v>Yes</v>
      </c>
      <c r="Q342" s="16" t="str">
        <f>VLOOKUP($A342,'SurveyRpt_20150223 (1)'!$A$34:$AN$735,26,FALSE)</f>
        <v>Yes</v>
      </c>
      <c r="R342" s="16" t="str">
        <f>VLOOKUP($A342,'SurveyRpt_20150223 (1)'!$A$34:$AN$735,28,FALSE)</f>
        <v>Yes</v>
      </c>
      <c r="S342" s="16" t="str">
        <f>VLOOKUP($A342,'SurveyRpt_20150223 (1)'!$A$34:$AN$735,30,FALSE)</f>
        <v>Yes</v>
      </c>
      <c r="T342" s="16" t="str">
        <f>VLOOKUP($A342,'SurveyRpt_20150223 (1)'!$A$34:$AN$735,32,FALSE)</f>
        <v>Yes</v>
      </c>
      <c r="U342" s="16" t="str">
        <f>VLOOKUP($A342,'SurveyRpt_20150223 (1)'!$A$34:$AN$735,34,FALSE)</f>
        <v>Yes</v>
      </c>
      <c r="V342" s="16" t="str">
        <f>VLOOKUP($A342,'SurveyRpt_20150223 (1)'!$A$34:$AN$735,36,FALSE)</f>
        <v>Yes</v>
      </c>
      <c r="W342" s="16" t="str">
        <f>VLOOKUP($A342,'SurveyRpt_20150223 (1)'!$A$34:$AN$735,38,FALSE)</f>
        <v>Yes</v>
      </c>
    </row>
    <row r="343" spans="1:23" ht="13.5" customHeight="1" x14ac:dyDescent="0.25">
      <c r="A343" s="19" t="s">
        <v>436</v>
      </c>
      <c r="B343" s="19" t="str">
        <f t="shared" si="5"/>
        <v>sverma52</v>
      </c>
      <c r="C343" s="16" t="str">
        <f>VLOOKUP(B343,'Compiled Agents'!A:H,2,FALSE)</f>
        <v>Platform</v>
      </c>
      <c r="D343" s="16" t="str">
        <f>VLOOKUP(B343,'Compiled Agents'!A:H,4,FALSE)</f>
        <v>Noida</v>
      </c>
      <c r="E343" s="16" t="str">
        <f>VLOOKUP(B343,'Compiled Agents'!A:H,5,FALSE)</f>
        <v>Wave2</v>
      </c>
      <c r="F343" s="16" t="str">
        <f>VLOOKUP(B343,'Compiled Agents'!A:H,6,FALSE)</f>
        <v>Blue</v>
      </c>
      <c r="G343" s="16">
        <f>VLOOKUP($A343,'SurveyRpt_20150223 (1)'!$A$34:$AN$735,6,FALSE)</f>
        <v>16</v>
      </c>
      <c r="H343" s="16" t="str">
        <f>VLOOKUP($A343,'SurveyRpt_20150223 (1)'!$A$34:$AN$735,8,FALSE)</f>
        <v>Yes</v>
      </c>
      <c r="I343" s="16" t="str">
        <f>VLOOKUP($A343,'SurveyRpt_20150223 (1)'!$A$34:$AN$735,10,FALSE)</f>
        <v>Yes</v>
      </c>
      <c r="J343" s="16" t="str">
        <f>VLOOKUP($A343,'SurveyRpt_20150223 (1)'!$A$34:$AN$735,12,FALSE)</f>
        <v>Yes</v>
      </c>
      <c r="K343" s="16" t="str">
        <f>VLOOKUP($A343,'SurveyRpt_20150223 (1)'!$A$34:$AN$735,14,FALSE)</f>
        <v>Yes</v>
      </c>
      <c r="L343" s="16" t="str">
        <f>VLOOKUP($A343,'SurveyRpt_20150223 (1)'!$A$34:$AN$735,16,FALSE)</f>
        <v>Yes</v>
      </c>
      <c r="M343" s="16" t="str">
        <f>VLOOKUP($A343,'SurveyRpt_20150223 (1)'!$A$34:$AN$735,18,FALSE)</f>
        <v>Yes</v>
      </c>
      <c r="N343" s="16" t="str">
        <f>VLOOKUP($A343,'SurveyRpt_20150223 (1)'!$A$34:$AN$735,20,FALSE)</f>
        <v>Yes</v>
      </c>
      <c r="O343" s="16" t="str">
        <f>VLOOKUP($A343,'SurveyRpt_20150223 (1)'!$A$34:$AN$735,22,FALSE)</f>
        <v>Yes</v>
      </c>
      <c r="P343" s="16" t="str">
        <f>VLOOKUP($A343,'SurveyRpt_20150223 (1)'!$A$34:$AN$735,24,FALSE)</f>
        <v>Yes</v>
      </c>
      <c r="Q343" s="16" t="str">
        <f>VLOOKUP($A343,'SurveyRpt_20150223 (1)'!$A$34:$AN$735,26,FALSE)</f>
        <v>Yes</v>
      </c>
      <c r="R343" s="16" t="str">
        <f>VLOOKUP($A343,'SurveyRpt_20150223 (1)'!$A$34:$AN$735,28,FALSE)</f>
        <v>Yes</v>
      </c>
      <c r="S343" s="16" t="str">
        <f>VLOOKUP($A343,'SurveyRpt_20150223 (1)'!$A$34:$AN$735,30,FALSE)</f>
        <v>Yes</v>
      </c>
      <c r="T343" s="16" t="str">
        <f>VLOOKUP($A343,'SurveyRpt_20150223 (1)'!$A$34:$AN$735,32,FALSE)</f>
        <v>Yes</v>
      </c>
      <c r="U343" s="16" t="str">
        <f>VLOOKUP($A343,'SurveyRpt_20150223 (1)'!$A$34:$AN$735,34,FALSE)</f>
        <v>Yes</v>
      </c>
      <c r="V343" s="16" t="str">
        <f>VLOOKUP($A343,'SurveyRpt_20150223 (1)'!$A$34:$AN$735,36,FALSE)</f>
        <v>Yes</v>
      </c>
      <c r="W343" s="16" t="str">
        <f>VLOOKUP($A343,'SurveyRpt_20150223 (1)'!$A$34:$AN$735,38,FALSE)</f>
        <v>Yes</v>
      </c>
    </row>
    <row r="344" spans="1:23" ht="13.5" customHeight="1" x14ac:dyDescent="0.25">
      <c r="A344" s="19" t="s">
        <v>437</v>
      </c>
      <c r="B344" s="19" t="str">
        <f t="shared" si="5"/>
        <v>RKUBENDRAN</v>
      </c>
      <c r="C344" s="16" t="str">
        <f>VLOOKUP(B344,'Compiled Agents'!A:H,2,FALSE)</f>
        <v>Platform</v>
      </c>
      <c r="D344" s="16" t="str">
        <f>VLOOKUP(B344,'Compiled Agents'!A:H,4,FALSE)</f>
        <v>Noida</v>
      </c>
      <c r="E344" s="16" t="str">
        <f>VLOOKUP(B344,'Compiled Agents'!A:H,5,FALSE)</f>
        <v>Wave2</v>
      </c>
      <c r="F344" s="16" t="str">
        <f>VLOOKUP(B344,'Compiled Agents'!A:H,6,FALSE)</f>
        <v>Blue</v>
      </c>
      <c r="G344" s="16">
        <f>VLOOKUP($A344,'SurveyRpt_20150223 (1)'!$A$34:$AN$735,6,FALSE)</f>
        <v>1</v>
      </c>
      <c r="H344" s="16" t="str">
        <f>VLOOKUP($A344,'SurveyRpt_20150223 (1)'!$A$34:$AN$735,8,FALSE)</f>
        <v>No</v>
      </c>
      <c r="I344" s="16" t="str">
        <f>VLOOKUP($A344,'SurveyRpt_20150223 (1)'!$A$34:$AN$735,10,FALSE)</f>
        <v>No</v>
      </c>
      <c r="J344" s="16" t="str">
        <f>VLOOKUP($A344,'SurveyRpt_20150223 (1)'!$A$34:$AN$735,12,FALSE)</f>
        <v>No</v>
      </c>
      <c r="K344" s="16" t="str">
        <f>VLOOKUP($A344,'SurveyRpt_20150223 (1)'!$A$34:$AN$735,14,FALSE)</f>
        <v>No</v>
      </c>
      <c r="L344" s="16" t="str">
        <f>VLOOKUP($A344,'SurveyRpt_20150223 (1)'!$A$34:$AN$735,16,FALSE)</f>
        <v>No</v>
      </c>
      <c r="M344" s="16" t="str">
        <f>VLOOKUP($A344,'SurveyRpt_20150223 (1)'!$A$34:$AN$735,18,FALSE)</f>
        <v>No</v>
      </c>
      <c r="N344" s="16" t="str">
        <f>VLOOKUP($A344,'SurveyRpt_20150223 (1)'!$A$34:$AN$735,20,FALSE)</f>
        <v>No</v>
      </c>
      <c r="O344" s="16" t="str">
        <f>VLOOKUP($A344,'SurveyRpt_20150223 (1)'!$A$34:$AN$735,22,FALSE)</f>
        <v>No</v>
      </c>
      <c r="P344" s="16" t="str">
        <f>VLOOKUP($A344,'SurveyRpt_20150223 (1)'!$A$34:$AN$735,24,FALSE)</f>
        <v>No</v>
      </c>
      <c r="Q344" s="16" t="str">
        <f>VLOOKUP($A344,'SurveyRpt_20150223 (1)'!$A$34:$AN$735,26,FALSE)</f>
        <v>No</v>
      </c>
      <c r="R344" s="16" t="str">
        <f>VLOOKUP($A344,'SurveyRpt_20150223 (1)'!$A$34:$AN$735,28,FALSE)</f>
        <v>No</v>
      </c>
      <c r="S344" s="16" t="str">
        <f>VLOOKUP($A344,'SurveyRpt_20150223 (1)'!$A$34:$AN$735,30,FALSE)</f>
        <v>Yes</v>
      </c>
      <c r="T344" s="16" t="str">
        <f>VLOOKUP($A344,'SurveyRpt_20150223 (1)'!$A$34:$AN$735,32,FALSE)</f>
        <v>No</v>
      </c>
      <c r="U344" s="16" t="str">
        <f>VLOOKUP($A344,'SurveyRpt_20150223 (1)'!$A$34:$AN$735,34,FALSE)</f>
        <v>No</v>
      </c>
      <c r="V344" s="16" t="str">
        <f>VLOOKUP($A344,'SurveyRpt_20150223 (1)'!$A$34:$AN$735,36,FALSE)</f>
        <v>No</v>
      </c>
      <c r="W344" s="16" t="str">
        <f>VLOOKUP($A344,'SurveyRpt_20150223 (1)'!$A$34:$AN$735,38,FALSE)</f>
        <v>No</v>
      </c>
    </row>
    <row r="345" spans="1:23" ht="13.5" customHeight="1" x14ac:dyDescent="0.25">
      <c r="A345" s="19" t="s">
        <v>438</v>
      </c>
      <c r="B345" s="19" t="str">
        <f t="shared" si="5"/>
        <v>HMALHOTRA5</v>
      </c>
      <c r="C345" s="16" t="str">
        <f>VLOOKUP(B345,'Compiled Agents'!A:H,2,FALSE)</f>
        <v>Platform</v>
      </c>
      <c r="D345" s="16" t="str">
        <f>VLOOKUP(B345,'Compiled Agents'!A:H,4,FALSE)</f>
        <v>Noida</v>
      </c>
      <c r="E345" s="16" t="str">
        <f>VLOOKUP(B345,'Compiled Agents'!A:H,5,FALSE)</f>
        <v>Wave2</v>
      </c>
      <c r="F345" s="16" t="str">
        <f>VLOOKUP(B345,'Compiled Agents'!A:H,6,FALSE)</f>
        <v>Yellow</v>
      </c>
      <c r="G345" s="16">
        <f>VLOOKUP($A345,'SurveyRpt_20150223 (1)'!$A$34:$AN$735,6,FALSE)</f>
        <v>16</v>
      </c>
      <c r="H345" s="16" t="str">
        <f>VLOOKUP($A345,'SurveyRpt_20150223 (1)'!$A$34:$AN$735,8,FALSE)</f>
        <v>Yes</v>
      </c>
      <c r="I345" s="16" t="str">
        <f>VLOOKUP($A345,'SurveyRpt_20150223 (1)'!$A$34:$AN$735,10,FALSE)</f>
        <v>Yes</v>
      </c>
      <c r="J345" s="16" t="str">
        <f>VLOOKUP($A345,'SurveyRpt_20150223 (1)'!$A$34:$AN$735,12,FALSE)</f>
        <v>Yes</v>
      </c>
      <c r="K345" s="16" t="str">
        <f>VLOOKUP($A345,'SurveyRpt_20150223 (1)'!$A$34:$AN$735,14,FALSE)</f>
        <v>Yes</v>
      </c>
      <c r="L345" s="16" t="str">
        <f>VLOOKUP($A345,'SurveyRpt_20150223 (1)'!$A$34:$AN$735,16,FALSE)</f>
        <v>Yes</v>
      </c>
      <c r="M345" s="16" t="str">
        <f>VLOOKUP($A345,'SurveyRpt_20150223 (1)'!$A$34:$AN$735,18,FALSE)</f>
        <v>Yes</v>
      </c>
      <c r="N345" s="16" t="str">
        <f>VLOOKUP($A345,'SurveyRpt_20150223 (1)'!$A$34:$AN$735,20,FALSE)</f>
        <v>Yes</v>
      </c>
      <c r="O345" s="16" t="str">
        <f>VLOOKUP($A345,'SurveyRpt_20150223 (1)'!$A$34:$AN$735,22,FALSE)</f>
        <v>Yes</v>
      </c>
      <c r="P345" s="16" t="str">
        <f>VLOOKUP($A345,'SurveyRpt_20150223 (1)'!$A$34:$AN$735,24,FALSE)</f>
        <v>Yes</v>
      </c>
      <c r="Q345" s="16" t="str">
        <f>VLOOKUP($A345,'SurveyRpt_20150223 (1)'!$A$34:$AN$735,26,FALSE)</f>
        <v>Yes</v>
      </c>
      <c r="R345" s="16" t="str">
        <f>VLOOKUP($A345,'SurveyRpt_20150223 (1)'!$A$34:$AN$735,28,FALSE)</f>
        <v>Yes</v>
      </c>
      <c r="S345" s="16" t="str">
        <f>VLOOKUP($A345,'SurveyRpt_20150223 (1)'!$A$34:$AN$735,30,FALSE)</f>
        <v>Yes</v>
      </c>
      <c r="T345" s="16" t="str">
        <f>VLOOKUP($A345,'SurveyRpt_20150223 (1)'!$A$34:$AN$735,32,FALSE)</f>
        <v>Yes</v>
      </c>
      <c r="U345" s="16" t="str">
        <f>VLOOKUP($A345,'SurveyRpt_20150223 (1)'!$A$34:$AN$735,34,FALSE)</f>
        <v>Yes</v>
      </c>
      <c r="V345" s="16" t="str">
        <f>VLOOKUP($A345,'SurveyRpt_20150223 (1)'!$A$34:$AN$735,36,FALSE)</f>
        <v>Yes</v>
      </c>
      <c r="W345" s="16" t="str">
        <f>VLOOKUP($A345,'SurveyRpt_20150223 (1)'!$A$34:$AN$735,38,FALSE)</f>
        <v>Yes</v>
      </c>
    </row>
    <row r="346" spans="1:23" ht="13.5" customHeight="1" x14ac:dyDescent="0.25">
      <c r="A346" s="19" t="s">
        <v>439</v>
      </c>
      <c r="B346" s="19" t="str">
        <f t="shared" si="5"/>
        <v>BCHAUHAN5</v>
      </c>
      <c r="C346" s="16" t="str">
        <f>VLOOKUP(B346,'Compiled Agents'!A:H,2,FALSE)</f>
        <v>Workplace</v>
      </c>
      <c r="D346" s="16" t="str">
        <f>VLOOKUP(B346,'Compiled Agents'!A:H,4,FALSE)</f>
        <v>Noida</v>
      </c>
      <c r="E346" s="16" t="str">
        <f>VLOOKUP(B346,'Compiled Agents'!A:H,5,FALSE)</f>
        <v>Wave2</v>
      </c>
      <c r="F346" s="16" t="str">
        <f>VLOOKUP(B346,'Compiled Agents'!A:H,6,FALSE)</f>
        <v>Purple</v>
      </c>
      <c r="G346" s="16">
        <f>VLOOKUP($A346,'SurveyRpt_20150223 (1)'!$A$34:$AN$735,6,FALSE)</f>
        <v>16</v>
      </c>
      <c r="H346" s="16" t="str">
        <f>VLOOKUP($A346,'SurveyRpt_20150223 (1)'!$A$34:$AN$735,8,FALSE)</f>
        <v>Yes</v>
      </c>
      <c r="I346" s="16" t="str">
        <f>VLOOKUP($A346,'SurveyRpt_20150223 (1)'!$A$34:$AN$735,10,FALSE)</f>
        <v>Yes</v>
      </c>
      <c r="J346" s="16" t="str">
        <f>VLOOKUP($A346,'SurveyRpt_20150223 (1)'!$A$34:$AN$735,12,FALSE)</f>
        <v>Yes</v>
      </c>
      <c r="K346" s="16" t="str">
        <f>VLOOKUP($A346,'SurveyRpt_20150223 (1)'!$A$34:$AN$735,14,FALSE)</f>
        <v>Yes</v>
      </c>
      <c r="L346" s="16" t="str">
        <f>VLOOKUP($A346,'SurveyRpt_20150223 (1)'!$A$34:$AN$735,16,FALSE)</f>
        <v>Yes</v>
      </c>
      <c r="M346" s="16" t="str">
        <f>VLOOKUP($A346,'SurveyRpt_20150223 (1)'!$A$34:$AN$735,18,FALSE)</f>
        <v>Yes</v>
      </c>
      <c r="N346" s="16" t="str">
        <f>VLOOKUP($A346,'SurveyRpt_20150223 (1)'!$A$34:$AN$735,20,FALSE)</f>
        <v>Yes</v>
      </c>
      <c r="O346" s="16" t="str">
        <f>VLOOKUP($A346,'SurveyRpt_20150223 (1)'!$A$34:$AN$735,22,FALSE)</f>
        <v>Yes</v>
      </c>
      <c r="P346" s="16" t="str">
        <f>VLOOKUP($A346,'SurveyRpt_20150223 (1)'!$A$34:$AN$735,24,FALSE)</f>
        <v>Yes</v>
      </c>
      <c r="Q346" s="16" t="str">
        <f>VLOOKUP($A346,'SurveyRpt_20150223 (1)'!$A$34:$AN$735,26,FALSE)</f>
        <v>Yes</v>
      </c>
      <c r="R346" s="16" t="str">
        <f>VLOOKUP($A346,'SurveyRpt_20150223 (1)'!$A$34:$AN$735,28,FALSE)</f>
        <v>Yes</v>
      </c>
      <c r="S346" s="16" t="str">
        <f>VLOOKUP($A346,'SurveyRpt_20150223 (1)'!$A$34:$AN$735,30,FALSE)</f>
        <v>Yes</v>
      </c>
      <c r="T346" s="16" t="str">
        <f>VLOOKUP($A346,'SurveyRpt_20150223 (1)'!$A$34:$AN$735,32,FALSE)</f>
        <v>Yes</v>
      </c>
      <c r="U346" s="16" t="str">
        <f>VLOOKUP($A346,'SurveyRpt_20150223 (1)'!$A$34:$AN$735,34,FALSE)</f>
        <v>Yes</v>
      </c>
      <c r="V346" s="16" t="str">
        <f>VLOOKUP($A346,'SurveyRpt_20150223 (1)'!$A$34:$AN$735,36,FALSE)</f>
        <v>Yes</v>
      </c>
      <c r="W346" s="16" t="str">
        <f>VLOOKUP($A346,'SurveyRpt_20150223 (1)'!$A$34:$AN$735,38,FALSE)</f>
        <v>Yes</v>
      </c>
    </row>
    <row r="347" spans="1:23" ht="13.5" customHeight="1" x14ac:dyDescent="0.25">
      <c r="A347" s="19" t="s">
        <v>440</v>
      </c>
      <c r="B347" s="19" t="str">
        <f t="shared" si="5"/>
        <v>LMOHAN2</v>
      </c>
      <c r="C347" s="16" t="str">
        <f>VLOOKUP(B347,'Compiled Agents'!A:H,2,FALSE)</f>
        <v>Platform</v>
      </c>
      <c r="D347" s="16" t="str">
        <f>VLOOKUP(B347,'Compiled Agents'!A:H,4,FALSE)</f>
        <v>Noida</v>
      </c>
      <c r="E347" s="16" t="str">
        <f>VLOOKUP(B347,'Compiled Agents'!A:H,5,FALSE)</f>
        <v>Wave2</v>
      </c>
      <c r="F347" s="16" t="str">
        <f>VLOOKUP(B347,'Compiled Agents'!A:H,6,FALSE)</f>
        <v>Yellow</v>
      </c>
      <c r="G347" s="16">
        <f>VLOOKUP($A347,'SurveyRpt_20150223 (1)'!$A$34:$AN$735,6,FALSE)</f>
        <v>16</v>
      </c>
      <c r="H347" s="16" t="str">
        <f>VLOOKUP($A347,'SurveyRpt_20150223 (1)'!$A$34:$AN$735,8,FALSE)</f>
        <v>Yes</v>
      </c>
      <c r="I347" s="16" t="str">
        <f>VLOOKUP($A347,'SurveyRpt_20150223 (1)'!$A$34:$AN$735,10,FALSE)</f>
        <v>Yes</v>
      </c>
      <c r="J347" s="16" t="str">
        <f>VLOOKUP($A347,'SurveyRpt_20150223 (1)'!$A$34:$AN$735,12,FALSE)</f>
        <v>Yes</v>
      </c>
      <c r="K347" s="16" t="str">
        <f>VLOOKUP($A347,'SurveyRpt_20150223 (1)'!$A$34:$AN$735,14,FALSE)</f>
        <v>Yes</v>
      </c>
      <c r="L347" s="16" t="str">
        <f>VLOOKUP($A347,'SurveyRpt_20150223 (1)'!$A$34:$AN$735,16,FALSE)</f>
        <v>Yes</v>
      </c>
      <c r="M347" s="16" t="str">
        <f>VLOOKUP($A347,'SurveyRpt_20150223 (1)'!$A$34:$AN$735,18,FALSE)</f>
        <v>Yes</v>
      </c>
      <c r="N347" s="16" t="str">
        <f>VLOOKUP($A347,'SurveyRpt_20150223 (1)'!$A$34:$AN$735,20,FALSE)</f>
        <v>Yes</v>
      </c>
      <c r="O347" s="16" t="str">
        <f>VLOOKUP($A347,'SurveyRpt_20150223 (1)'!$A$34:$AN$735,22,FALSE)</f>
        <v>Yes</v>
      </c>
      <c r="P347" s="16" t="str">
        <f>VLOOKUP($A347,'SurveyRpt_20150223 (1)'!$A$34:$AN$735,24,FALSE)</f>
        <v>Yes</v>
      </c>
      <c r="Q347" s="16" t="str">
        <f>VLOOKUP($A347,'SurveyRpt_20150223 (1)'!$A$34:$AN$735,26,FALSE)</f>
        <v>Yes</v>
      </c>
      <c r="R347" s="16" t="str">
        <f>VLOOKUP($A347,'SurveyRpt_20150223 (1)'!$A$34:$AN$735,28,FALSE)</f>
        <v>Yes</v>
      </c>
      <c r="S347" s="16" t="str">
        <f>VLOOKUP($A347,'SurveyRpt_20150223 (1)'!$A$34:$AN$735,30,FALSE)</f>
        <v>Yes</v>
      </c>
      <c r="T347" s="16" t="str">
        <f>VLOOKUP($A347,'SurveyRpt_20150223 (1)'!$A$34:$AN$735,32,FALSE)</f>
        <v>Yes</v>
      </c>
      <c r="U347" s="16" t="str">
        <f>VLOOKUP($A347,'SurveyRpt_20150223 (1)'!$A$34:$AN$735,34,FALSE)</f>
        <v>Yes</v>
      </c>
      <c r="V347" s="16" t="str">
        <f>VLOOKUP($A347,'SurveyRpt_20150223 (1)'!$A$34:$AN$735,36,FALSE)</f>
        <v>Yes</v>
      </c>
      <c r="W347" s="16" t="str">
        <f>VLOOKUP($A347,'SurveyRpt_20150223 (1)'!$A$34:$AN$735,38,FALSE)</f>
        <v>Yes</v>
      </c>
    </row>
    <row r="348" spans="1:23" ht="13.5" customHeight="1" x14ac:dyDescent="0.25">
      <c r="A348" s="19" t="s">
        <v>441</v>
      </c>
      <c r="B348" s="19" t="str">
        <f t="shared" si="5"/>
        <v>RBABY2</v>
      </c>
      <c r="C348" s="16" t="str">
        <f>VLOOKUP(B348,'Compiled Agents'!A:H,2,FALSE)</f>
        <v>Platform</v>
      </c>
      <c r="D348" s="16" t="str">
        <f>VLOOKUP(B348,'Compiled Agents'!A:H,4,FALSE)</f>
        <v>Noida</v>
      </c>
      <c r="E348" s="16" t="str">
        <f>VLOOKUP(B348,'Compiled Agents'!A:H,5,FALSE)</f>
        <v>Wave2</v>
      </c>
      <c r="F348" s="16" t="str">
        <f>VLOOKUP(B348,'Compiled Agents'!A:H,6,FALSE)</f>
        <v>Orange</v>
      </c>
      <c r="G348" s="16">
        <f>VLOOKUP($A348,'SurveyRpt_20150223 (1)'!$A$34:$AN$735,6,FALSE)</f>
        <v>12</v>
      </c>
      <c r="H348" s="16" t="str">
        <f>VLOOKUP($A348,'SurveyRpt_20150223 (1)'!$A$34:$AN$735,8,FALSE)</f>
        <v>Yes</v>
      </c>
      <c r="I348" s="16" t="str">
        <f>VLOOKUP($A348,'SurveyRpt_20150223 (1)'!$A$34:$AN$735,10,FALSE)</f>
        <v>Yes</v>
      </c>
      <c r="J348" s="16" t="str">
        <f>VLOOKUP($A348,'SurveyRpt_20150223 (1)'!$A$34:$AN$735,12,FALSE)</f>
        <v>No</v>
      </c>
      <c r="K348" s="16" t="str">
        <f>VLOOKUP($A348,'SurveyRpt_20150223 (1)'!$A$34:$AN$735,14,FALSE)</f>
        <v>Yes</v>
      </c>
      <c r="L348" s="16" t="str">
        <f>VLOOKUP($A348,'SurveyRpt_20150223 (1)'!$A$34:$AN$735,16,FALSE)</f>
        <v>No</v>
      </c>
      <c r="M348" s="16" t="str">
        <f>VLOOKUP($A348,'SurveyRpt_20150223 (1)'!$A$34:$AN$735,18,FALSE)</f>
        <v>Yes</v>
      </c>
      <c r="N348" s="16" t="str">
        <f>VLOOKUP($A348,'SurveyRpt_20150223 (1)'!$A$34:$AN$735,20,FALSE)</f>
        <v>Yes</v>
      </c>
      <c r="O348" s="16" t="str">
        <f>VLOOKUP($A348,'SurveyRpt_20150223 (1)'!$A$34:$AN$735,22,FALSE)</f>
        <v>No</v>
      </c>
      <c r="P348" s="16" t="str">
        <f>VLOOKUP($A348,'SurveyRpt_20150223 (1)'!$A$34:$AN$735,24,FALSE)</f>
        <v>Yes</v>
      </c>
      <c r="Q348" s="16" t="str">
        <f>VLOOKUP($A348,'SurveyRpt_20150223 (1)'!$A$34:$AN$735,26,FALSE)</f>
        <v>No</v>
      </c>
      <c r="R348" s="16" t="str">
        <f>VLOOKUP($A348,'SurveyRpt_20150223 (1)'!$A$34:$AN$735,28,FALSE)</f>
        <v>Yes</v>
      </c>
      <c r="S348" s="16" t="str">
        <f>VLOOKUP($A348,'SurveyRpt_20150223 (1)'!$A$34:$AN$735,30,FALSE)</f>
        <v>Yes</v>
      </c>
      <c r="T348" s="16" t="str">
        <f>VLOOKUP($A348,'SurveyRpt_20150223 (1)'!$A$34:$AN$735,32,FALSE)</f>
        <v>Yes</v>
      </c>
      <c r="U348" s="16" t="str">
        <f>VLOOKUP($A348,'SurveyRpt_20150223 (1)'!$A$34:$AN$735,34,FALSE)</f>
        <v>Yes</v>
      </c>
      <c r="V348" s="16" t="str">
        <f>VLOOKUP($A348,'SurveyRpt_20150223 (1)'!$A$34:$AN$735,36,FALSE)</f>
        <v>Yes</v>
      </c>
      <c r="W348" s="16" t="str">
        <f>VLOOKUP($A348,'SurveyRpt_20150223 (1)'!$A$34:$AN$735,38,FALSE)</f>
        <v>Yes</v>
      </c>
    </row>
    <row r="349" spans="1:23" ht="13.5" customHeight="1" x14ac:dyDescent="0.25">
      <c r="A349" s="19" t="s">
        <v>442</v>
      </c>
      <c r="B349" s="19" t="str">
        <f t="shared" si="5"/>
        <v>RGAUTAM4</v>
      </c>
      <c r="C349" s="16" t="str">
        <f>VLOOKUP(B349,'Compiled Agents'!A:H,2,FALSE)</f>
        <v>Workplace</v>
      </c>
      <c r="D349" s="16" t="str">
        <f>VLOOKUP(B349,'Compiled Agents'!A:H,4,FALSE)</f>
        <v>Noida</v>
      </c>
      <c r="E349" s="16" t="str">
        <f>VLOOKUP(B349,'Compiled Agents'!A:H,5,FALSE)</f>
        <v>Wave2</v>
      </c>
      <c r="F349" s="16" t="str">
        <f>VLOOKUP(B349,'Compiled Agents'!A:H,6,FALSE)</f>
        <v>Orange</v>
      </c>
      <c r="G349" s="16">
        <f>VLOOKUP($A349,'SurveyRpt_20150223 (1)'!$A$34:$AN$735,6,FALSE)</f>
        <v>13</v>
      </c>
      <c r="H349" s="16" t="str">
        <f>VLOOKUP($A349,'SurveyRpt_20150223 (1)'!$A$34:$AN$735,8,FALSE)</f>
        <v>Yes</v>
      </c>
      <c r="I349" s="16" t="str">
        <f>VLOOKUP($A349,'SurveyRpt_20150223 (1)'!$A$34:$AN$735,10,FALSE)</f>
        <v>Yes</v>
      </c>
      <c r="J349" s="16" t="str">
        <f>VLOOKUP($A349,'SurveyRpt_20150223 (1)'!$A$34:$AN$735,12,FALSE)</f>
        <v>No</v>
      </c>
      <c r="K349" s="16" t="str">
        <f>VLOOKUP($A349,'SurveyRpt_20150223 (1)'!$A$34:$AN$735,14,FALSE)</f>
        <v>Yes</v>
      </c>
      <c r="L349" s="16" t="str">
        <f>VLOOKUP($A349,'SurveyRpt_20150223 (1)'!$A$34:$AN$735,16,FALSE)</f>
        <v>Yes</v>
      </c>
      <c r="M349" s="16" t="str">
        <f>VLOOKUP($A349,'SurveyRpt_20150223 (1)'!$A$34:$AN$735,18,FALSE)</f>
        <v>Yes</v>
      </c>
      <c r="N349" s="16" t="str">
        <f>VLOOKUP($A349,'SurveyRpt_20150223 (1)'!$A$34:$AN$735,20,FALSE)</f>
        <v>No</v>
      </c>
      <c r="O349" s="16" t="str">
        <f>VLOOKUP($A349,'SurveyRpt_20150223 (1)'!$A$34:$AN$735,22,FALSE)</f>
        <v>No</v>
      </c>
      <c r="P349" s="16" t="str">
        <f>VLOOKUP($A349,'SurveyRpt_20150223 (1)'!$A$34:$AN$735,24,FALSE)</f>
        <v>Yes</v>
      </c>
      <c r="Q349" s="16" t="str">
        <f>VLOOKUP($A349,'SurveyRpt_20150223 (1)'!$A$34:$AN$735,26,FALSE)</f>
        <v>Yes</v>
      </c>
      <c r="R349" s="16" t="str">
        <f>VLOOKUP($A349,'SurveyRpt_20150223 (1)'!$A$34:$AN$735,28,FALSE)</f>
        <v>Yes</v>
      </c>
      <c r="S349" s="16" t="str">
        <f>VLOOKUP($A349,'SurveyRpt_20150223 (1)'!$A$34:$AN$735,30,FALSE)</f>
        <v>Yes</v>
      </c>
      <c r="T349" s="16" t="str">
        <f>VLOOKUP($A349,'SurveyRpt_20150223 (1)'!$A$34:$AN$735,32,FALSE)</f>
        <v>Yes</v>
      </c>
      <c r="U349" s="16" t="str">
        <f>VLOOKUP($A349,'SurveyRpt_20150223 (1)'!$A$34:$AN$735,34,FALSE)</f>
        <v>Yes</v>
      </c>
      <c r="V349" s="16" t="str">
        <f>VLOOKUP($A349,'SurveyRpt_20150223 (1)'!$A$34:$AN$735,36,FALSE)</f>
        <v>Yes</v>
      </c>
      <c r="W349" s="16" t="str">
        <f>VLOOKUP($A349,'SurveyRpt_20150223 (1)'!$A$34:$AN$735,38,FALSE)</f>
        <v>Yes</v>
      </c>
    </row>
    <row r="350" spans="1:23" ht="13.5" customHeight="1" x14ac:dyDescent="0.25">
      <c r="A350" s="19" t="s">
        <v>443</v>
      </c>
      <c r="B350" s="19" t="str">
        <f t="shared" si="5"/>
        <v>VKUMAR69</v>
      </c>
      <c r="C350" s="16" t="str">
        <f>VLOOKUP(B350,'Compiled Agents'!A:H,2,FALSE)</f>
        <v>Platform</v>
      </c>
      <c r="D350" s="16" t="str">
        <f>VLOOKUP(B350,'Compiled Agents'!A:H,4,FALSE)</f>
        <v>Hyderabad</v>
      </c>
      <c r="E350" s="16" t="str">
        <f>VLOOKUP(B350,'Compiled Agents'!A:H,5,FALSE)</f>
        <v>Wave1</v>
      </c>
      <c r="F350" s="16" t="str">
        <f>VLOOKUP(B350,'Compiled Agents'!A:H,6,FALSE)</f>
        <v>Purple</v>
      </c>
      <c r="G350" s="16">
        <f>VLOOKUP($A350,'SurveyRpt_20150223 (1)'!$A$34:$AN$735,6,FALSE)</f>
        <v>16</v>
      </c>
      <c r="H350" s="16" t="str">
        <f>VLOOKUP($A350,'SurveyRpt_20150223 (1)'!$A$34:$AN$735,8,FALSE)</f>
        <v>Yes</v>
      </c>
      <c r="I350" s="16" t="str">
        <f>VLOOKUP($A350,'SurveyRpt_20150223 (1)'!$A$34:$AN$735,10,FALSE)</f>
        <v>Yes</v>
      </c>
      <c r="J350" s="16" t="str">
        <f>VLOOKUP($A350,'SurveyRpt_20150223 (1)'!$A$34:$AN$735,12,FALSE)</f>
        <v>Yes</v>
      </c>
      <c r="K350" s="16" t="str">
        <f>VLOOKUP($A350,'SurveyRpt_20150223 (1)'!$A$34:$AN$735,14,FALSE)</f>
        <v>Yes</v>
      </c>
      <c r="L350" s="16" t="str">
        <f>VLOOKUP($A350,'SurveyRpt_20150223 (1)'!$A$34:$AN$735,16,FALSE)</f>
        <v>Yes</v>
      </c>
      <c r="M350" s="16" t="str">
        <f>VLOOKUP($A350,'SurveyRpt_20150223 (1)'!$A$34:$AN$735,18,FALSE)</f>
        <v>Yes</v>
      </c>
      <c r="N350" s="16" t="str">
        <f>VLOOKUP($A350,'SurveyRpt_20150223 (1)'!$A$34:$AN$735,20,FALSE)</f>
        <v>Yes</v>
      </c>
      <c r="O350" s="16" t="str">
        <f>VLOOKUP($A350,'SurveyRpt_20150223 (1)'!$A$34:$AN$735,22,FALSE)</f>
        <v>Yes</v>
      </c>
      <c r="P350" s="16" t="str">
        <f>VLOOKUP($A350,'SurveyRpt_20150223 (1)'!$A$34:$AN$735,24,FALSE)</f>
        <v>Yes</v>
      </c>
      <c r="Q350" s="16" t="str">
        <f>VLOOKUP($A350,'SurveyRpt_20150223 (1)'!$A$34:$AN$735,26,FALSE)</f>
        <v>Yes</v>
      </c>
      <c r="R350" s="16" t="str">
        <f>VLOOKUP($A350,'SurveyRpt_20150223 (1)'!$A$34:$AN$735,28,FALSE)</f>
        <v>Yes</v>
      </c>
      <c r="S350" s="16" t="str">
        <f>VLOOKUP($A350,'SurveyRpt_20150223 (1)'!$A$34:$AN$735,30,FALSE)</f>
        <v>Yes</v>
      </c>
      <c r="T350" s="16" t="str">
        <f>VLOOKUP($A350,'SurveyRpt_20150223 (1)'!$A$34:$AN$735,32,FALSE)</f>
        <v>Yes</v>
      </c>
      <c r="U350" s="16" t="str">
        <f>VLOOKUP($A350,'SurveyRpt_20150223 (1)'!$A$34:$AN$735,34,FALSE)</f>
        <v>Yes</v>
      </c>
      <c r="V350" s="16" t="str">
        <f>VLOOKUP($A350,'SurveyRpt_20150223 (1)'!$A$34:$AN$735,36,FALSE)</f>
        <v>Yes</v>
      </c>
      <c r="W350" s="16" t="str">
        <f>VLOOKUP($A350,'SurveyRpt_20150223 (1)'!$A$34:$AN$735,38,FALSE)</f>
        <v>Yes</v>
      </c>
    </row>
    <row r="351" spans="1:23" ht="13.5" customHeight="1" x14ac:dyDescent="0.25">
      <c r="A351" s="19" t="s">
        <v>444</v>
      </c>
      <c r="B351" s="19" t="str">
        <f t="shared" si="5"/>
        <v>akumar81</v>
      </c>
      <c r="C351" s="16" t="str">
        <f>VLOOKUP(B351,'Compiled Agents'!A:H,2,FALSE)</f>
        <v>Workplace</v>
      </c>
      <c r="D351" s="16" t="str">
        <f>VLOOKUP(B351,'Compiled Agents'!A:H,4,FALSE)</f>
        <v>Noida</v>
      </c>
      <c r="E351" s="16" t="str">
        <f>VLOOKUP(B351,'Compiled Agents'!A:H,5,FALSE)</f>
        <v>Wave2</v>
      </c>
      <c r="F351" s="16" t="str">
        <f>VLOOKUP(B351,'Compiled Agents'!A:H,6,FALSE)</f>
        <v>Blue</v>
      </c>
      <c r="G351" s="16">
        <f>VLOOKUP($A351,'SurveyRpt_20150223 (1)'!$A$34:$AN$735,6,FALSE)</f>
        <v>15</v>
      </c>
      <c r="H351" s="16" t="str">
        <f>VLOOKUP($A351,'SurveyRpt_20150223 (1)'!$A$34:$AN$735,8,FALSE)</f>
        <v>Yes</v>
      </c>
      <c r="I351" s="16" t="str">
        <f>VLOOKUP($A351,'SurveyRpt_20150223 (1)'!$A$34:$AN$735,10,FALSE)</f>
        <v>Yes</v>
      </c>
      <c r="J351" s="16" t="str">
        <f>VLOOKUP($A351,'SurveyRpt_20150223 (1)'!$A$34:$AN$735,12,FALSE)</f>
        <v>Yes</v>
      </c>
      <c r="K351" s="16" t="str">
        <f>VLOOKUP($A351,'SurveyRpt_20150223 (1)'!$A$34:$AN$735,14,FALSE)</f>
        <v>Yes</v>
      </c>
      <c r="L351" s="16" t="str">
        <f>VLOOKUP($A351,'SurveyRpt_20150223 (1)'!$A$34:$AN$735,16,FALSE)</f>
        <v>Yes</v>
      </c>
      <c r="M351" s="16" t="str">
        <f>VLOOKUP($A351,'SurveyRpt_20150223 (1)'!$A$34:$AN$735,18,FALSE)</f>
        <v>Yes</v>
      </c>
      <c r="N351" s="16" t="str">
        <f>VLOOKUP($A351,'SurveyRpt_20150223 (1)'!$A$34:$AN$735,20,FALSE)</f>
        <v>Yes</v>
      </c>
      <c r="O351" s="16" t="str">
        <f>VLOOKUP($A351,'SurveyRpt_20150223 (1)'!$A$34:$AN$735,22,FALSE)</f>
        <v>Yes</v>
      </c>
      <c r="P351" s="16" t="str">
        <f>VLOOKUP($A351,'SurveyRpt_20150223 (1)'!$A$34:$AN$735,24,FALSE)</f>
        <v>Yes</v>
      </c>
      <c r="Q351" s="16" t="str">
        <f>VLOOKUP($A351,'SurveyRpt_20150223 (1)'!$A$34:$AN$735,26,FALSE)</f>
        <v>Yes</v>
      </c>
      <c r="R351" s="16" t="str">
        <f>VLOOKUP($A351,'SurveyRpt_20150223 (1)'!$A$34:$AN$735,28,FALSE)</f>
        <v>Yes</v>
      </c>
      <c r="S351" s="16" t="str">
        <f>VLOOKUP($A351,'SurveyRpt_20150223 (1)'!$A$34:$AN$735,30,FALSE)</f>
        <v>Yes</v>
      </c>
      <c r="T351" s="16" t="str">
        <f>VLOOKUP($A351,'SurveyRpt_20150223 (1)'!$A$34:$AN$735,32,FALSE)</f>
        <v>Yes</v>
      </c>
      <c r="U351" s="16" t="str">
        <f>VLOOKUP($A351,'SurveyRpt_20150223 (1)'!$A$34:$AN$735,34,FALSE)</f>
        <v>No</v>
      </c>
      <c r="V351" s="16" t="str">
        <f>VLOOKUP($A351,'SurveyRpt_20150223 (1)'!$A$34:$AN$735,36,FALSE)</f>
        <v>Yes</v>
      </c>
      <c r="W351" s="16" t="str">
        <f>VLOOKUP($A351,'SurveyRpt_20150223 (1)'!$A$34:$AN$735,38,FALSE)</f>
        <v>Yes</v>
      </c>
    </row>
    <row r="352" spans="1:23" ht="13.5" customHeight="1" x14ac:dyDescent="0.25">
      <c r="A352" s="19" t="s">
        <v>445</v>
      </c>
      <c r="B352" s="19" t="str">
        <f t="shared" si="5"/>
        <v>PMEHTA6</v>
      </c>
      <c r="C352" s="16" t="str">
        <f>VLOOKUP(B352,'Compiled Agents'!A:H,2,FALSE)</f>
        <v>Workplace</v>
      </c>
      <c r="D352" s="16" t="str">
        <f>VLOOKUP(B352,'Compiled Agents'!A:H,4,FALSE)</f>
        <v>Hyderabad</v>
      </c>
      <c r="E352" s="16" t="str">
        <f>VLOOKUP(B352,'Compiled Agents'!A:H,5,FALSE)</f>
        <v>Wave2</v>
      </c>
      <c r="F352" s="16" t="str">
        <f>VLOOKUP(B352,'Compiled Agents'!A:H,6,FALSE)</f>
        <v>Purple</v>
      </c>
      <c r="G352" s="16">
        <f>VLOOKUP($A352,'SurveyRpt_20150223 (1)'!$A$34:$AN$735,6,FALSE)</f>
        <v>1</v>
      </c>
      <c r="H352" s="16" t="str">
        <f>VLOOKUP($A352,'SurveyRpt_20150223 (1)'!$A$34:$AN$735,8,FALSE)</f>
        <v>No</v>
      </c>
      <c r="I352" s="16" t="str">
        <f>VLOOKUP($A352,'SurveyRpt_20150223 (1)'!$A$34:$AN$735,10,FALSE)</f>
        <v>No</v>
      </c>
      <c r="J352" s="16" t="str">
        <f>VLOOKUP($A352,'SurveyRpt_20150223 (1)'!$A$34:$AN$735,12,FALSE)</f>
        <v>No</v>
      </c>
      <c r="K352" s="16" t="str">
        <f>VLOOKUP($A352,'SurveyRpt_20150223 (1)'!$A$34:$AN$735,14,FALSE)</f>
        <v>No</v>
      </c>
      <c r="L352" s="16" t="str">
        <f>VLOOKUP($A352,'SurveyRpt_20150223 (1)'!$A$34:$AN$735,16,FALSE)</f>
        <v>No</v>
      </c>
      <c r="M352" s="16" t="str">
        <f>VLOOKUP($A352,'SurveyRpt_20150223 (1)'!$A$34:$AN$735,18,FALSE)</f>
        <v>No</v>
      </c>
      <c r="N352" s="16" t="str">
        <f>VLOOKUP($A352,'SurveyRpt_20150223 (1)'!$A$34:$AN$735,20,FALSE)</f>
        <v>No</v>
      </c>
      <c r="O352" s="16" t="str">
        <f>VLOOKUP($A352,'SurveyRpt_20150223 (1)'!$A$34:$AN$735,22,FALSE)</f>
        <v>No</v>
      </c>
      <c r="P352" s="16" t="str">
        <f>VLOOKUP($A352,'SurveyRpt_20150223 (1)'!$A$34:$AN$735,24,FALSE)</f>
        <v>No</v>
      </c>
      <c r="Q352" s="16" t="str">
        <f>VLOOKUP($A352,'SurveyRpt_20150223 (1)'!$A$34:$AN$735,26,FALSE)</f>
        <v>No</v>
      </c>
      <c r="R352" s="16" t="str">
        <f>VLOOKUP($A352,'SurveyRpt_20150223 (1)'!$A$34:$AN$735,28,FALSE)</f>
        <v>No</v>
      </c>
      <c r="S352" s="16" t="str">
        <f>VLOOKUP($A352,'SurveyRpt_20150223 (1)'!$A$34:$AN$735,30,FALSE)</f>
        <v>Yes</v>
      </c>
      <c r="T352" s="16" t="str">
        <f>VLOOKUP($A352,'SurveyRpt_20150223 (1)'!$A$34:$AN$735,32,FALSE)</f>
        <v>No</v>
      </c>
      <c r="U352" s="16" t="str">
        <f>VLOOKUP($A352,'SurveyRpt_20150223 (1)'!$A$34:$AN$735,34,FALSE)</f>
        <v>No</v>
      </c>
      <c r="V352" s="16" t="str">
        <f>VLOOKUP($A352,'SurveyRpt_20150223 (1)'!$A$34:$AN$735,36,FALSE)</f>
        <v>No</v>
      </c>
      <c r="W352" s="16" t="str">
        <f>VLOOKUP($A352,'SurveyRpt_20150223 (1)'!$A$34:$AN$735,38,FALSE)</f>
        <v>No</v>
      </c>
    </row>
    <row r="353" spans="1:23" ht="13.5" customHeight="1" x14ac:dyDescent="0.25">
      <c r="A353" s="19" t="s">
        <v>446</v>
      </c>
      <c r="B353" s="19" t="str">
        <f t="shared" si="5"/>
        <v>NDAMERA</v>
      </c>
      <c r="C353" s="16" t="str">
        <f>VLOOKUP(B353,'Compiled Agents'!A:H,2,FALSE)</f>
        <v>Workplace</v>
      </c>
      <c r="D353" s="16" t="str">
        <f>VLOOKUP(B353,'Compiled Agents'!A:H,4,FALSE)</f>
        <v>Noida</v>
      </c>
      <c r="E353" s="16" t="str">
        <f>VLOOKUP(B353,'Compiled Agents'!A:H,5,FALSE)</f>
        <v>Wave2</v>
      </c>
      <c r="F353" s="16" t="str">
        <f>VLOOKUP(B353,'Compiled Agents'!A:H,6,FALSE)</f>
        <v>Purple</v>
      </c>
      <c r="G353" s="16">
        <f>VLOOKUP($A353,'SurveyRpt_20150223 (1)'!$A$34:$AN$735,6,FALSE)</f>
        <v>16</v>
      </c>
      <c r="H353" s="16" t="str">
        <f>VLOOKUP($A353,'SurveyRpt_20150223 (1)'!$A$34:$AN$735,8,FALSE)</f>
        <v>Yes</v>
      </c>
      <c r="I353" s="16" t="str">
        <f>VLOOKUP($A353,'SurveyRpt_20150223 (1)'!$A$34:$AN$735,10,FALSE)</f>
        <v>Yes</v>
      </c>
      <c r="J353" s="16" t="str">
        <f>VLOOKUP($A353,'SurveyRpt_20150223 (1)'!$A$34:$AN$735,12,FALSE)</f>
        <v>Yes</v>
      </c>
      <c r="K353" s="16" t="str">
        <f>VLOOKUP($A353,'SurveyRpt_20150223 (1)'!$A$34:$AN$735,14,FALSE)</f>
        <v>Yes</v>
      </c>
      <c r="L353" s="16" t="str">
        <f>VLOOKUP($A353,'SurveyRpt_20150223 (1)'!$A$34:$AN$735,16,FALSE)</f>
        <v>Yes</v>
      </c>
      <c r="M353" s="16" t="str">
        <f>VLOOKUP($A353,'SurveyRpt_20150223 (1)'!$A$34:$AN$735,18,FALSE)</f>
        <v>Yes</v>
      </c>
      <c r="N353" s="16" t="str">
        <f>VLOOKUP($A353,'SurveyRpt_20150223 (1)'!$A$34:$AN$735,20,FALSE)</f>
        <v>Yes</v>
      </c>
      <c r="O353" s="16" t="str">
        <f>VLOOKUP($A353,'SurveyRpt_20150223 (1)'!$A$34:$AN$735,22,FALSE)</f>
        <v>Yes</v>
      </c>
      <c r="P353" s="16" t="str">
        <f>VLOOKUP($A353,'SurveyRpt_20150223 (1)'!$A$34:$AN$735,24,FALSE)</f>
        <v>Yes</v>
      </c>
      <c r="Q353" s="16" t="str">
        <f>VLOOKUP($A353,'SurveyRpt_20150223 (1)'!$A$34:$AN$735,26,FALSE)</f>
        <v>Yes</v>
      </c>
      <c r="R353" s="16" t="str">
        <f>VLOOKUP($A353,'SurveyRpt_20150223 (1)'!$A$34:$AN$735,28,FALSE)</f>
        <v>Yes</v>
      </c>
      <c r="S353" s="16" t="str">
        <f>VLOOKUP($A353,'SurveyRpt_20150223 (1)'!$A$34:$AN$735,30,FALSE)</f>
        <v>Yes</v>
      </c>
      <c r="T353" s="16" t="str">
        <f>VLOOKUP($A353,'SurveyRpt_20150223 (1)'!$A$34:$AN$735,32,FALSE)</f>
        <v>Yes</v>
      </c>
      <c r="U353" s="16" t="str">
        <f>VLOOKUP($A353,'SurveyRpt_20150223 (1)'!$A$34:$AN$735,34,FALSE)</f>
        <v>Yes</v>
      </c>
      <c r="V353" s="16" t="str">
        <f>VLOOKUP($A353,'SurveyRpt_20150223 (1)'!$A$34:$AN$735,36,FALSE)</f>
        <v>Yes</v>
      </c>
      <c r="W353" s="16" t="str">
        <f>VLOOKUP($A353,'SurveyRpt_20150223 (1)'!$A$34:$AN$735,38,FALSE)</f>
        <v>Yes</v>
      </c>
    </row>
    <row r="354" spans="1:23" ht="13.5" customHeight="1" x14ac:dyDescent="0.25">
      <c r="A354" s="19" t="s">
        <v>447</v>
      </c>
      <c r="B354" s="19" t="str">
        <f t="shared" si="5"/>
        <v>bphatan</v>
      </c>
      <c r="C354" s="16" t="str">
        <f>VLOOKUP(B354,'Compiled Agents'!A:H,2,FALSE)</f>
        <v>Platform</v>
      </c>
      <c r="D354" s="16" t="str">
        <f>VLOOKUP(B354,'Compiled Agents'!A:H,4,FALSE)</f>
        <v>Noida</v>
      </c>
      <c r="E354" s="16" t="str">
        <f>VLOOKUP(B354,'Compiled Agents'!A:H,5,FALSE)</f>
        <v>Wave2</v>
      </c>
      <c r="F354" s="16" t="str">
        <f>VLOOKUP(B354,'Compiled Agents'!A:H,6,FALSE)</f>
        <v>Purple</v>
      </c>
      <c r="G354" s="16">
        <f>VLOOKUP($A354,'SurveyRpt_20150223 (1)'!$A$34:$AN$735,6,FALSE)</f>
        <v>16</v>
      </c>
      <c r="H354" s="16" t="str">
        <f>VLOOKUP($A354,'SurveyRpt_20150223 (1)'!$A$34:$AN$735,8,FALSE)</f>
        <v>Yes</v>
      </c>
      <c r="I354" s="16" t="str">
        <f>VLOOKUP($A354,'SurveyRpt_20150223 (1)'!$A$34:$AN$735,10,FALSE)</f>
        <v>Yes</v>
      </c>
      <c r="J354" s="16" t="str">
        <f>VLOOKUP($A354,'SurveyRpt_20150223 (1)'!$A$34:$AN$735,12,FALSE)</f>
        <v>Yes</v>
      </c>
      <c r="K354" s="16" t="str">
        <f>VLOOKUP($A354,'SurveyRpt_20150223 (1)'!$A$34:$AN$735,14,FALSE)</f>
        <v>Yes</v>
      </c>
      <c r="L354" s="16" t="str">
        <f>VLOOKUP($A354,'SurveyRpt_20150223 (1)'!$A$34:$AN$735,16,FALSE)</f>
        <v>Yes</v>
      </c>
      <c r="M354" s="16" t="str">
        <f>VLOOKUP($A354,'SurveyRpt_20150223 (1)'!$A$34:$AN$735,18,FALSE)</f>
        <v>Yes</v>
      </c>
      <c r="N354" s="16" t="str">
        <f>VLOOKUP($A354,'SurveyRpt_20150223 (1)'!$A$34:$AN$735,20,FALSE)</f>
        <v>Yes</v>
      </c>
      <c r="O354" s="16" t="str">
        <f>VLOOKUP($A354,'SurveyRpt_20150223 (1)'!$A$34:$AN$735,22,FALSE)</f>
        <v>Yes</v>
      </c>
      <c r="P354" s="16" t="str">
        <f>VLOOKUP($A354,'SurveyRpt_20150223 (1)'!$A$34:$AN$735,24,FALSE)</f>
        <v>Yes</v>
      </c>
      <c r="Q354" s="16" t="str">
        <f>VLOOKUP($A354,'SurveyRpt_20150223 (1)'!$A$34:$AN$735,26,FALSE)</f>
        <v>Yes</v>
      </c>
      <c r="R354" s="16" t="str">
        <f>VLOOKUP($A354,'SurveyRpt_20150223 (1)'!$A$34:$AN$735,28,FALSE)</f>
        <v>Yes</v>
      </c>
      <c r="S354" s="16" t="str">
        <f>VLOOKUP($A354,'SurveyRpt_20150223 (1)'!$A$34:$AN$735,30,FALSE)</f>
        <v>Yes</v>
      </c>
      <c r="T354" s="16" t="str">
        <f>VLOOKUP($A354,'SurveyRpt_20150223 (1)'!$A$34:$AN$735,32,FALSE)</f>
        <v>Yes</v>
      </c>
      <c r="U354" s="16" t="str">
        <f>VLOOKUP($A354,'SurveyRpt_20150223 (1)'!$A$34:$AN$735,34,FALSE)</f>
        <v>Yes</v>
      </c>
      <c r="V354" s="16" t="str">
        <f>VLOOKUP($A354,'SurveyRpt_20150223 (1)'!$A$34:$AN$735,36,FALSE)</f>
        <v>Yes</v>
      </c>
      <c r="W354" s="16" t="str">
        <f>VLOOKUP($A354,'SurveyRpt_20150223 (1)'!$A$34:$AN$735,38,FALSE)</f>
        <v>Yes</v>
      </c>
    </row>
    <row r="355" spans="1:23" ht="13.5" customHeight="1" x14ac:dyDescent="0.25">
      <c r="A355" s="19" t="s">
        <v>448</v>
      </c>
      <c r="B355" s="19" t="str">
        <f t="shared" si="5"/>
        <v>BSOUNDARAPAN</v>
      </c>
      <c r="C355" s="16" t="str">
        <f>VLOOKUP(B355,'Compiled Agents'!A:H,2,FALSE)</f>
        <v>Platform</v>
      </c>
      <c r="D355" s="16" t="str">
        <f>VLOOKUP(B355,'Compiled Agents'!A:H,4,FALSE)</f>
        <v>Noida</v>
      </c>
      <c r="E355" s="16" t="str">
        <f>VLOOKUP(B355,'Compiled Agents'!A:H,5,FALSE)</f>
        <v>Wave1</v>
      </c>
      <c r="F355" s="16" t="str">
        <f>VLOOKUP(B355,'Compiled Agents'!A:H,6,FALSE)</f>
        <v>Blue</v>
      </c>
      <c r="G355" s="16">
        <f>VLOOKUP($A355,'SurveyRpt_20150223 (1)'!$A$34:$AN$735,6,FALSE)</f>
        <v>16</v>
      </c>
      <c r="H355" s="16" t="str">
        <f>VLOOKUP($A355,'SurveyRpt_20150223 (1)'!$A$34:$AN$735,8,FALSE)</f>
        <v>Yes</v>
      </c>
      <c r="I355" s="16" t="str">
        <f>VLOOKUP($A355,'SurveyRpt_20150223 (1)'!$A$34:$AN$735,10,FALSE)</f>
        <v>Yes</v>
      </c>
      <c r="J355" s="16" t="str">
        <f>VLOOKUP($A355,'SurveyRpt_20150223 (1)'!$A$34:$AN$735,12,FALSE)</f>
        <v>Yes</v>
      </c>
      <c r="K355" s="16" t="str">
        <f>VLOOKUP($A355,'SurveyRpt_20150223 (1)'!$A$34:$AN$735,14,FALSE)</f>
        <v>Yes</v>
      </c>
      <c r="L355" s="16" t="str">
        <f>VLOOKUP($A355,'SurveyRpt_20150223 (1)'!$A$34:$AN$735,16,FALSE)</f>
        <v>Yes</v>
      </c>
      <c r="M355" s="16" t="str">
        <f>VLOOKUP($A355,'SurveyRpt_20150223 (1)'!$A$34:$AN$735,18,FALSE)</f>
        <v>Yes</v>
      </c>
      <c r="N355" s="16" t="str">
        <f>VLOOKUP($A355,'SurveyRpt_20150223 (1)'!$A$34:$AN$735,20,FALSE)</f>
        <v>Yes</v>
      </c>
      <c r="O355" s="16" t="str">
        <f>VLOOKUP($A355,'SurveyRpt_20150223 (1)'!$A$34:$AN$735,22,FALSE)</f>
        <v>Yes</v>
      </c>
      <c r="P355" s="16" t="str">
        <f>VLOOKUP($A355,'SurveyRpt_20150223 (1)'!$A$34:$AN$735,24,FALSE)</f>
        <v>Yes</v>
      </c>
      <c r="Q355" s="16" t="str">
        <f>VLOOKUP($A355,'SurveyRpt_20150223 (1)'!$A$34:$AN$735,26,FALSE)</f>
        <v>Yes</v>
      </c>
      <c r="R355" s="16" t="str">
        <f>VLOOKUP($A355,'SurveyRpt_20150223 (1)'!$A$34:$AN$735,28,FALSE)</f>
        <v>Yes</v>
      </c>
      <c r="S355" s="16" t="str">
        <f>VLOOKUP($A355,'SurveyRpt_20150223 (1)'!$A$34:$AN$735,30,FALSE)</f>
        <v>Yes</v>
      </c>
      <c r="T355" s="16" t="str">
        <f>VLOOKUP($A355,'SurveyRpt_20150223 (1)'!$A$34:$AN$735,32,FALSE)</f>
        <v>Yes</v>
      </c>
      <c r="U355" s="16" t="str">
        <f>VLOOKUP($A355,'SurveyRpt_20150223 (1)'!$A$34:$AN$735,34,FALSE)</f>
        <v>Yes</v>
      </c>
      <c r="V355" s="16" t="str">
        <f>VLOOKUP($A355,'SurveyRpt_20150223 (1)'!$A$34:$AN$735,36,FALSE)</f>
        <v>Yes</v>
      </c>
      <c r="W355" s="16" t="str">
        <f>VLOOKUP($A355,'SurveyRpt_20150223 (1)'!$A$34:$AN$735,38,FALSE)</f>
        <v>Yes</v>
      </c>
    </row>
    <row r="356" spans="1:23" ht="13.5" customHeight="1" x14ac:dyDescent="0.25">
      <c r="A356" s="19" t="s">
        <v>449</v>
      </c>
      <c r="B356" s="19" t="str">
        <f t="shared" si="5"/>
        <v>NARAVAPALLI</v>
      </c>
      <c r="C356" s="16" t="str">
        <f>VLOOKUP(B356,'Compiled Agents'!A:H,2,FALSE)</f>
        <v>Platform</v>
      </c>
      <c r="D356" s="16" t="str">
        <f>VLOOKUP(B356,'Compiled Agents'!A:H,4,FALSE)</f>
        <v>Hyderabad</v>
      </c>
      <c r="E356" s="16" t="str">
        <f>VLOOKUP(B356,'Compiled Agents'!A:H,5,FALSE)</f>
        <v>Wave1</v>
      </c>
      <c r="F356" s="16" t="str">
        <f>VLOOKUP(B356,'Compiled Agents'!A:H,6,FALSE)</f>
        <v>Orange</v>
      </c>
      <c r="G356" s="16">
        <f>VLOOKUP($A356,'SurveyRpt_20150223 (1)'!$A$34:$AN$735,6,FALSE)</f>
        <v>16</v>
      </c>
      <c r="H356" s="16" t="str">
        <f>VLOOKUP($A356,'SurveyRpt_20150223 (1)'!$A$34:$AN$735,8,FALSE)</f>
        <v>Yes</v>
      </c>
      <c r="I356" s="16" t="str">
        <f>VLOOKUP($A356,'SurveyRpt_20150223 (1)'!$A$34:$AN$735,10,FALSE)</f>
        <v>Yes</v>
      </c>
      <c r="J356" s="16" t="str">
        <f>VLOOKUP($A356,'SurveyRpt_20150223 (1)'!$A$34:$AN$735,12,FALSE)</f>
        <v>Yes</v>
      </c>
      <c r="K356" s="16" t="str">
        <f>VLOOKUP($A356,'SurveyRpt_20150223 (1)'!$A$34:$AN$735,14,FALSE)</f>
        <v>Yes</v>
      </c>
      <c r="L356" s="16" t="str">
        <f>VLOOKUP($A356,'SurveyRpt_20150223 (1)'!$A$34:$AN$735,16,FALSE)</f>
        <v>Yes</v>
      </c>
      <c r="M356" s="16" t="str">
        <f>VLOOKUP($A356,'SurveyRpt_20150223 (1)'!$A$34:$AN$735,18,FALSE)</f>
        <v>Yes</v>
      </c>
      <c r="N356" s="16" t="str">
        <f>VLOOKUP($A356,'SurveyRpt_20150223 (1)'!$A$34:$AN$735,20,FALSE)</f>
        <v>Yes</v>
      </c>
      <c r="O356" s="16" t="str">
        <f>VLOOKUP($A356,'SurveyRpt_20150223 (1)'!$A$34:$AN$735,22,FALSE)</f>
        <v>Yes</v>
      </c>
      <c r="P356" s="16" t="str">
        <f>VLOOKUP($A356,'SurveyRpt_20150223 (1)'!$A$34:$AN$735,24,FALSE)</f>
        <v>Yes</v>
      </c>
      <c r="Q356" s="16" t="str">
        <f>VLOOKUP($A356,'SurveyRpt_20150223 (1)'!$A$34:$AN$735,26,FALSE)</f>
        <v>Yes</v>
      </c>
      <c r="R356" s="16" t="str">
        <f>VLOOKUP($A356,'SurveyRpt_20150223 (1)'!$A$34:$AN$735,28,FALSE)</f>
        <v>Yes</v>
      </c>
      <c r="S356" s="16" t="str">
        <f>VLOOKUP($A356,'SurveyRpt_20150223 (1)'!$A$34:$AN$735,30,FALSE)</f>
        <v>Yes</v>
      </c>
      <c r="T356" s="16" t="str">
        <f>VLOOKUP($A356,'SurveyRpt_20150223 (1)'!$A$34:$AN$735,32,FALSE)</f>
        <v>Yes</v>
      </c>
      <c r="U356" s="16" t="str">
        <f>VLOOKUP($A356,'SurveyRpt_20150223 (1)'!$A$34:$AN$735,34,FALSE)</f>
        <v>Yes</v>
      </c>
      <c r="V356" s="16" t="str">
        <f>VLOOKUP($A356,'SurveyRpt_20150223 (1)'!$A$34:$AN$735,36,FALSE)</f>
        <v>Yes</v>
      </c>
      <c r="W356" s="16" t="str">
        <f>VLOOKUP($A356,'SurveyRpt_20150223 (1)'!$A$34:$AN$735,38,FALSE)</f>
        <v>Yes</v>
      </c>
    </row>
    <row r="357" spans="1:23" ht="13.5" customHeight="1" x14ac:dyDescent="0.25">
      <c r="A357" s="19" t="s">
        <v>450</v>
      </c>
      <c r="B357" s="19" t="str">
        <f t="shared" si="5"/>
        <v>SVENKATRAM24</v>
      </c>
      <c r="C357" s="16" t="str">
        <f>VLOOKUP(B357,'Compiled Agents'!A:H,2,FALSE)</f>
        <v>Workplace</v>
      </c>
      <c r="D357" s="16" t="str">
        <f>VLOOKUP(B357,'Compiled Agents'!A:H,4,FALSE)</f>
        <v>Hyderabad</v>
      </c>
      <c r="E357" s="16" t="str">
        <f>VLOOKUP(B357,'Compiled Agents'!A:H,5,FALSE)</f>
        <v>Wave2</v>
      </c>
      <c r="F357" s="16" t="str">
        <f>VLOOKUP(B357,'Compiled Agents'!A:H,6,FALSE)</f>
        <v>Blue</v>
      </c>
      <c r="G357" s="16">
        <f>VLOOKUP($A357,'SurveyRpt_20150223 (1)'!$A$34:$AN$735,6,FALSE)</f>
        <v>15</v>
      </c>
      <c r="H357" s="16" t="str">
        <f>VLOOKUP($A357,'SurveyRpt_20150223 (1)'!$A$34:$AN$735,8,FALSE)</f>
        <v>Yes</v>
      </c>
      <c r="I357" s="16" t="str">
        <f>VLOOKUP($A357,'SurveyRpt_20150223 (1)'!$A$34:$AN$735,10,FALSE)</f>
        <v>Yes</v>
      </c>
      <c r="J357" s="16" t="str">
        <f>VLOOKUP($A357,'SurveyRpt_20150223 (1)'!$A$34:$AN$735,12,FALSE)</f>
        <v>Yes</v>
      </c>
      <c r="K357" s="16" t="str">
        <f>VLOOKUP($A357,'SurveyRpt_20150223 (1)'!$A$34:$AN$735,14,FALSE)</f>
        <v>Yes</v>
      </c>
      <c r="L357" s="16" t="str">
        <f>VLOOKUP($A357,'SurveyRpt_20150223 (1)'!$A$34:$AN$735,16,FALSE)</f>
        <v>Yes</v>
      </c>
      <c r="M357" s="16" t="str">
        <f>VLOOKUP($A357,'SurveyRpt_20150223 (1)'!$A$34:$AN$735,18,FALSE)</f>
        <v>No</v>
      </c>
      <c r="N357" s="16" t="str">
        <f>VLOOKUP($A357,'SurveyRpt_20150223 (1)'!$A$34:$AN$735,20,FALSE)</f>
        <v>Yes</v>
      </c>
      <c r="O357" s="16" t="str">
        <f>VLOOKUP($A357,'SurveyRpt_20150223 (1)'!$A$34:$AN$735,22,FALSE)</f>
        <v>Yes</v>
      </c>
      <c r="P357" s="16" t="str">
        <f>VLOOKUP($A357,'SurveyRpt_20150223 (1)'!$A$34:$AN$735,24,FALSE)</f>
        <v>Yes</v>
      </c>
      <c r="Q357" s="16" t="str">
        <f>VLOOKUP($A357,'SurveyRpt_20150223 (1)'!$A$34:$AN$735,26,FALSE)</f>
        <v>Yes</v>
      </c>
      <c r="R357" s="16" t="str">
        <f>VLOOKUP($A357,'SurveyRpt_20150223 (1)'!$A$34:$AN$735,28,FALSE)</f>
        <v>Yes</v>
      </c>
      <c r="S357" s="16" t="str">
        <f>VLOOKUP($A357,'SurveyRpt_20150223 (1)'!$A$34:$AN$735,30,FALSE)</f>
        <v>Yes</v>
      </c>
      <c r="T357" s="16" t="str">
        <f>VLOOKUP($A357,'SurveyRpt_20150223 (1)'!$A$34:$AN$735,32,FALSE)</f>
        <v>Yes</v>
      </c>
      <c r="U357" s="16" t="str">
        <f>VLOOKUP($A357,'SurveyRpt_20150223 (1)'!$A$34:$AN$735,34,FALSE)</f>
        <v>Yes</v>
      </c>
      <c r="V357" s="16" t="str">
        <f>VLOOKUP($A357,'SurveyRpt_20150223 (1)'!$A$34:$AN$735,36,FALSE)</f>
        <v>Yes</v>
      </c>
      <c r="W357" s="16" t="str">
        <f>VLOOKUP($A357,'SurveyRpt_20150223 (1)'!$A$34:$AN$735,38,FALSE)</f>
        <v>Yes</v>
      </c>
    </row>
    <row r="358" spans="1:23" ht="13.5" customHeight="1" x14ac:dyDescent="0.25">
      <c r="A358" s="19" t="s">
        <v>451</v>
      </c>
      <c r="B358" s="19" t="str">
        <f t="shared" si="5"/>
        <v>FFRINDO</v>
      </c>
      <c r="C358" s="16" t="str">
        <f>VLOOKUP(B358,'Compiled Agents'!A:H,2,FALSE)</f>
        <v>Workplace</v>
      </c>
      <c r="D358" s="16" t="str">
        <f>VLOOKUP(B358,'Compiled Agents'!A:H,4,FALSE)</f>
        <v>Noida</v>
      </c>
      <c r="E358" s="16" t="str">
        <f>VLOOKUP(B358,'Compiled Agents'!A:H,5,FALSE)</f>
        <v>Wave1</v>
      </c>
      <c r="F358" s="16" t="str">
        <f>VLOOKUP(B358,'Compiled Agents'!A:H,6,FALSE)</f>
        <v>Purple</v>
      </c>
      <c r="G358" s="16">
        <f>VLOOKUP($A358,'SurveyRpt_20150223 (1)'!$A$34:$AN$735,6,FALSE)</f>
        <v>15</v>
      </c>
      <c r="H358" s="16" t="str">
        <f>VLOOKUP($A358,'SurveyRpt_20150223 (1)'!$A$34:$AN$735,8,FALSE)</f>
        <v>No</v>
      </c>
      <c r="I358" s="16" t="str">
        <f>VLOOKUP($A358,'SurveyRpt_20150223 (1)'!$A$34:$AN$735,10,FALSE)</f>
        <v>Yes</v>
      </c>
      <c r="J358" s="16" t="str">
        <f>VLOOKUP($A358,'SurveyRpt_20150223 (1)'!$A$34:$AN$735,12,FALSE)</f>
        <v>Yes</v>
      </c>
      <c r="K358" s="16" t="str">
        <f>VLOOKUP($A358,'SurveyRpt_20150223 (1)'!$A$34:$AN$735,14,FALSE)</f>
        <v>Yes</v>
      </c>
      <c r="L358" s="16" t="str">
        <f>VLOOKUP($A358,'SurveyRpt_20150223 (1)'!$A$34:$AN$735,16,FALSE)</f>
        <v>Yes</v>
      </c>
      <c r="M358" s="16" t="str">
        <f>VLOOKUP($A358,'SurveyRpt_20150223 (1)'!$A$34:$AN$735,18,FALSE)</f>
        <v>Yes</v>
      </c>
      <c r="N358" s="16" t="str">
        <f>VLOOKUP($A358,'SurveyRpt_20150223 (1)'!$A$34:$AN$735,20,FALSE)</f>
        <v>Yes</v>
      </c>
      <c r="O358" s="16" t="str">
        <f>VLOOKUP($A358,'SurveyRpt_20150223 (1)'!$A$34:$AN$735,22,FALSE)</f>
        <v>Yes</v>
      </c>
      <c r="P358" s="16" t="str">
        <f>VLOOKUP($A358,'SurveyRpt_20150223 (1)'!$A$34:$AN$735,24,FALSE)</f>
        <v>Yes</v>
      </c>
      <c r="Q358" s="16" t="str">
        <f>VLOOKUP($A358,'SurveyRpt_20150223 (1)'!$A$34:$AN$735,26,FALSE)</f>
        <v>Yes</v>
      </c>
      <c r="R358" s="16" t="str">
        <f>VLOOKUP($A358,'SurveyRpt_20150223 (1)'!$A$34:$AN$735,28,FALSE)</f>
        <v>Yes</v>
      </c>
      <c r="S358" s="16" t="str">
        <f>VLOOKUP($A358,'SurveyRpt_20150223 (1)'!$A$34:$AN$735,30,FALSE)</f>
        <v>Yes</v>
      </c>
      <c r="T358" s="16" t="str">
        <f>VLOOKUP($A358,'SurveyRpt_20150223 (1)'!$A$34:$AN$735,32,FALSE)</f>
        <v>Yes</v>
      </c>
      <c r="U358" s="16" t="str">
        <f>VLOOKUP($A358,'SurveyRpt_20150223 (1)'!$A$34:$AN$735,34,FALSE)</f>
        <v>Yes</v>
      </c>
      <c r="V358" s="16" t="str">
        <f>VLOOKUP($A358,'SurveyRpt_20150223 (1)'!$A$34:$AN$735,36,FALSE)</f>
        <v>Yes</v>
      </c>
      <c r="W358" s="16" t="str">
        <f>VLOOKUP($A358,'SurveyRpt_20150223 (1)'!$A$34:$AN$735,38,FALSE)</f>
        <v>Yes</v>
      </c>
    </row>
    <row r="359" spans="1:23" ht="13.5" customHeight="1" x14ac:dyDescent="0.25">
      <c r="A359" s="19" t="s">
        <v>452</v>
      </c>
      <c r="B359" s="19" t="str">
        <f t="shared" si="5"/>
        <v>SARUNSHARMA</v>
      </c>
      <c r="C359" s="16" t="str">
        <f>VLOOKUP(B359,'Compiled Agents'!A:H,2,FALSE)</f>
        <v>Workplace</v>
      </c>
      <c r="D359" s="16" t="str">
        <f>VLOOKUP(B359,'Compiled Agents'!A:H,4,FALSE)</f>
        <v>Hyderabad</v>
      </c>
      <c r="E359" s="16" t="str">
        <f>VLOOKUP(B359,'Compiled Agents'!A:H,5,FALSE)</f>
        <v>Wave2</v>
      </c>
      <c r="F359" s="16" t="str">
        <f>VLOOKUP(B359,'Compiled Agents'!A:H,6,FALSE)</f>
        <v>Yellow</v>
      </c>
      <c r="G359" s="16">
        <f>VLOOKUP($A359,'SurveyRpt_20150223 (1)'!$A$34:$AN$735,6,FALSE)</f>
        <v>6</v>
      </c>
      <c r="H359" s="16" t="str">
        <f>VLOOKUP($A359,'SurveyRpt_20150223 (1)'!$A$34:$AN$735,8,FALSE)</f>
        <v>Yes</v>
      </c>
      <c r="I359" s="16" t="str">
        <f>VLOOKUP($A359,'SurveyRpt_20150223 (1)'!$A$34:$AN$735,10,FALSE)</f>
        <v>Yes</v>
      </c>
      <c r="J359" s="16" t="str">
        <f>VLOOKUP($A359,'SurveyRpt_20150223 (1)'!$A$34:$AN$735,12,FALSE)</f>
        <v>Yes</v>
      </c>
      <c r="K359" s="16" t="str">
        <f>VLOOKUP($A359,'SurveyRpt_20150223 (1)'!$A$34:$AN$735,14,FALSE)</f>
        <v>No</v>
      </c>
      <c r="L359" s="16" t="str">
        <f>VLOOKUP($A359,'SurveyRpt_20150223 (1)'!$A$34:$AN$735,16,FALSE)</f>
        <v>No</v>
      </c>
      <c r="M359" s="16" t="str">
        <f>VLOOKUP($A359,'SurveyRpt_20150223 (1)'!$A$34:$AN$735,18,FALSE)</f>
        <v>No</v>
      </c>
      <c r="N359" s="16" t="str">
        <f>VLOOKUP($A359,'SurveyRpt_20150223 (1)'!$A$34:$AN$735,20,FALSE)</f>
        <v>No</v>
      </c>
      <c r="O359" s="16" t="str">
        <f>VLOOKUP($A359,'SurveyRpt_20150223 (1)'!$A$34:$AN$735,22,FALSE)</f>
        <v>No</v>
      </c>
      <c r="P359" s="16" t="str">
        <f>VLOOKUP($A359,'SurveyRpt_20150223 (1)'!$A$34:$AN$735,24,FALSE)</f>
        <v>Yes</v>
      </c>
      <c r="Q359" s="16" t="str">
        <f>VLOOKUP($A359,'SurveyRpt_20150223 (1)'!$A$34:$AN$735,26,FALSE)</f>
        <v>No</v>
      </c>
      <c r="R359" s="16" t="str">
        <f>VLOOKUP($A359,'SurveyRpt_20150223 (1)'!$A$34:$AN$735,28,FALSE)</f>
        <v>No</v>
      </c>
      <c r="S359" s="16" t="str">
        <f>VLOOKUP($A359,'SurveyRpt_20150223 (1)'!$A$34:$AN$735,30,FALSE)</f>
        <v>Yes</v>
      </c>
      <c r="T359" s="16" t="str">
        <f>VLOOKUP($A359,'SurveyRpt_20150223 (1)'!$A$34:$AN$735,32,FALSE)</f>
        <v>No</v>
      </c>
      <c r="U359" s="16" t="str">
        <f>VLOOKUP($A359,'SurveyRpt_20150223 (1)'!$A$34:$AN$735,34,FALSE)</f>
        <v>No</v>
      </c>
      <c r="V359" s="16" t="str">
        <f>VLOOKUP($A359,'SurveyRpt_20150223 (1)'!$A$34:$AN$735,36,FALSE)</f>
        <v>Yes</v>
      </c>
      <c r="W359" s="16" t="str">
        <f>VLOOKUP($A359,'SurveyRpt_20150223 (1)'!$A$34:$AN$735,38,FALSE)</f>
        <v>No</v>
      </c>
    </row>
    <row r="360" spans="1:23" ht="13.5" customHeight="1" x14ac:dyDescent="0.25">
      <c r="A360" s="19" t="s">
        <v>453</v>
      </c>
      <c r="B360" s="19" t="str">
        <f t="shared" si="5"/>
        <v>SBEGUM9</v>
      </c>
      <c r="C360" s="16" t="str">
        <f>VLOOKUP(B360,'Compiled Agents'!A:H,2,FALSE)</f>
        <v>Platform</v>
      </c>
      <c r="D360" s="16" t="str">
        <f>VLOOKUP(B360,'Compiled Agents'!A:H,4,FALSE)</f>
        <v>Noida</v>
      </c>
      <c r="E360" s="16" t="str">
        <f>VLOOKUP(B360,'Compiled Agents'!A:H,5,FALSE)</f>
        <v>Wave1</v>
      </c>
      <c r="F360" s="16" t="str">
        <f>VLOOKUP(B360,'Compiled Agents'!A:H,6,FALSE)</f>
        <v>Yellow</v>
      </c>
      <c r="G360" s="16">
        <f>VLOOKUP($A360,'SurveyRpt_20150223 (1)'!$A$34:$AN$735,6,FALSE)</f>
        <v>13</v>
      </c>
      <c r="H360" s="16" t="str">
        <f>VLOOKUP($A360,'SurveyRpt_20150223 (1)'!$A$34:$AN$735,8,FALSE)</f>
        <v>Yes</v>
      </c>
      <c r="I360" s="16" t="str">
        <f>VLOOKUP($A360,'SurveyRpt_20150223 (1)'!$A$34:$AN$735,10,FALSE)</f>
        <v>Yes</v>
      </c>
      <c r="J360" s="16" t="str">
        <f>VLOOKUP($A360,'SurveyRpt_20150223 (1)'!$A$34:$AN$735,12,FALSE)</f>
        <v>No</v>
      </c>
      <c r="K360" s="16" t="str">
        <f>VLOOKUP($A360,'SurveyRpt_20150223 (1)'!$A$34:$AN$735,14,FALSE)</f>
        <v>Yes</v>
      </c>
      <c r="L360" s="16" t="str">
        <f>VLOOKUP($A360,'SurveyRpt_20150223 (1)'!$A$34:$AN$735,16,FALSE)</f>
        <v>No</v>
      </c>
      <c r="M360" s="16" t="str">
        <f>VLOOKUP($A360,'SurveyRpt_20150223 (1)'!$A$34:$AN$735,18,FALSE)</f>
        <v>Yes</v>
      </c>
      <c r="N360" s="16" t="str">
        <f>VLOOKUP($A360,'SurveyRpt_20150223 (1)'!$A$34:$AN$735,20,FALSE)</f>
        <v>No</v>
      </c>
      <c r="O360" s="16" t="str">
        <f>VLOOKUP($A360,'SurveyRpt_20150223 (1)'!$A$34:$AN$735,22,FALSE)</f>
        <v>Yes</v>
      </c>
      <c r="P360" s="16" t="str">
        <f>VLOOKUP($A360,'SurveyRpt_20150223 (1)'!$A$34:$AN$735,24,FALSE)</f>
        <v>Yes</v>
      </c>
      <c r="Q360" s="16" t="str">
        <f>VLOOKUP($A360,'SurveyRpt_20150223 (1)'!$A$34:$AN$735,26,FALSE)</f>
        <v>Yes</v>
      </c>
      <c r="R360" s="16" t="str">
        <f>VLOOKUP($A360,'SurveyRpt_20150223 (1)'!$A$34:$AN$735,28,FALSE)</f>
        <v>Yes</v>
      </c>
      <c r="S360" s="16" t="str">
        <f>VLOOKUP($A360,'SurveyRpt_20150223 (1)'!$A$34:$AN$735,30,FALSE)</f>
        <v>Yes</v>
      </c>
      <c r="T360" s="16" t="str">
        <f>VLOOKUP($A360,'SurveyRpt_20150223 (1)'!$A$34:$AN$735,32,FALSE)</f>
        <v>Yes</v>
      </c>
      <c r="U360" s="16" t="str">
        <f>VLOOKUP($A360,'SurveyRpt_20150223 (1)'!$A$34:$AN$735,34,FALSE)</f>
        <v>Yes</v>
      </c>
      <c r="V360" s="16" t="str">
        <f>VLOOKUP($A360,'SurveyRpt_20150223 (1)'!$A$34:$AN$735,36,FALSE)</f>
        <v>Yes</v>
      </c>
      <c r="W360" s="16" t="str">
        <f>VLOOKUP($A360,'SurveyRpt_20150223 (1)'!$A$34:$AN$735,38,FALSE)</f>
        <v>Yes</v>
      </c>
    </row>
    <row r="361" spans="1:23" ht="13.5" customHeight="1" x14ac:dyDescent="0.25">
      <c r="A361" s="19" t="s">
        <v>454</v>
      </c>
      <c r="B361" s="19" t="str">
        <f t="shared" si="5"/>
        <v>carmanalvare</v>
      </c>
      <c r="C361" s="16" t="str">
        <f>VLOOKUP(B361,'Compiled Agents'!A:H,2,FALSE)</f>
        <v>Platform</v>
      </c>
      <c r="D361" s="16" t="str">
        <f>VLOOKUP(B361,'Compiled Agents'!A:H,4,FALSE)</f>
        <v>Spain</v>
      </c>
      <c r="E361" s="16" t="str">
        <f>VLOOKUP(B361,'Compiled Agents'!A:H,5,FALSE)</f>
        <v>Wave1</v>
      </c>
      <c r="F361" s="16" t="str">
        <f>VLOOKUP(B361,'Compiled Agents'!A:H,6,FALSE)</f>
        <v>Orange</v>
      </c>
      <c r="G361" s="16">
        <f>VLOOKUP($A361,'SurveyRpt_20150223 (1)'!$A$34:$AN$735,6,FALSE)</f>
        <v>3</v>
      </c>
      <c r="H361" s="16" t="str">
        <f>VLOOKUP($A361,'SurveyRpt_20150223 (1)'!$A$34:$AN$735,8,FALSE)</f>
        <v>No</v>
      </c>
      <c r="I361" s="16" t="str">
        <f>VLOOKUP($A361,'SurveyRpt_20150223 (1)'!$A$34:$AN$735,10,FALSE)</f>
        <v>No</v>
      </c>
      <c r="J361" s="16" t="str">
        <f>VLOOKUP($A361,'SurveyRpt_20150223 (1)'!$A$34:$AN$735,12,FALSE)</f>
        <v>No</v>
      </c>
      <c r="K361" s="16" t="str">
        <f>VLOOKUP($A361,'SurveyRpt_20150223 (1)'!$A$34:$AN$735,14,FALSE)</f>
        <v>No</v>
      </c>
      <c r="L361" s="16" t="str">
        <f>VLOOKUP($A361,'SurveyRpt_20150223 (1)'!$A$34:$AN$735,16,FALSE)</f>
        <v>No</v>
      </c>
      <c r="M361" s="16" t="str">
        <f>VLOOKUP($A361,'SurveyRpt_20150223 (1)'!$A$34:$AN$735,18,FALSE)</f>
        <v>No</v>
      </c>
      <c r="N361" s="16" t="str">
        <f>VLOOKUP($A361,'SurveyRpt_20150223 (1)'!$A$34:$AN$735,20,FALSE)</f>
        <v>No</v>
      </c>
      <c r="O361" s="16" t="str">
        <f>VLOOKUP($A361,'SurveyRpt_20150223 (1)'!$A$34:$AN$735,22,FALSE)</f>
        <v>No</v>
      </c>
      <c r="P361" s="16" t="str">
        <f>VLOOKUP($A361,'SurveyRpt_20150223 (1)'!$A$34:$AN$735,24,FALSE)</f>
        <v>No</v>
      </c>
      <c r="Q361" s="16" t="str">
        <f>VLOOKUP($A361,'SurveyRpt_20150223 (1)'!$A$34:$AN$735,26,FALSE)</f>
        <v>Yes</v>
      </c>
      <c r="R361" s="16" t="str">
        <f>VLOOKUP($A361,'SurveyRpt_20150223 (1)'!$A$34:$AN$735,28,FALSE)</f>
        <v>No</v>
      </c>
      <c r="S361" s="16" t="str">
        <f>VLOOKUP($A361,'SurveyRpt_20150223 (1)'!$A$34:$AN$735,30,FALSE)</f>
        <v>Yes</v>
      </c>
      <c r="T361" s="16" t="str">
        <f>VLOOKUP($A361,'SurveyRpt_20150223 (1)'!$A$34:$AN$735,32,FALSE)</f>
        <v>No</v>
      </c>
      <c r="U361" s="16" t="str">
        <f>VLOOKUP($A361,'SurveyRpt_20150223 (1)'!$A$34:$AN$735,34,FALSE)</f>
        <v>No</v>
      </c>
      <c r="V361" s="16" t="str">
        <f>VLOOKUP($A361,'SurveyRpt_20150223 (1)'!$A$34:$AN$735,36,FALSE)</f>
        <v>Yes</v>
      </c>
      <c r="W361" s="16" t="str">
        <f>VLOOKUP($A361,'SurveyRpt_20150223 (1)'!$A$34:$AN$735,38,FALSE)</f>
        <v>No</v>
      </c>
    </row>
    <row r="362" spans="1:23" ht="13.5" customHeight="1" x14ac:dyDescent="0.25">
      <c r="A362" s="19" t="s">
        <v>455</v>
      </c>
      <c r="B362" s="19" t="str">
        <f t="shared" si="5"/>
        <v>JSINGH87</v>
      </c>
      <c r="C362" s="16" t="str">
        <f>VLOOKUP(B362,'Compiled Agents'!A:H,2,FALSE)</f>
        <v>Platform</v>
      </c>
      <c r="D362" s="16" t="str">
        <f>VLOOKUP(B362,'Compiled Agents'!A:H,4,FALSE)</f>
        <v>Noida</v>
      </c>
      <c r="E362" s="16" t="str">
        <f>VLOOKUP(B362,'Compiled Agents'!A:H,5,FALSE)</f>
        <v>Wave2</v>
      </c>
      <c r="F362" s="16" t="str">
        <f>VLOOKUP(B362,'Compiled Agents'!A:H,6,FALSE)</f>
        <v>Purple</v>
      </c>
      <c r="G362" s="16">
        <f>VLOOKUP($A362,'SurveyRpt_20150223 (1)'!$A$34:$AN$735,6,FALSE)</f>
        <v>16</v>
      </c>
      <c r="H362" s="16" t="str">
        <f>VLOOKUP($A362,'SurveyRpt_20150223 (1)'!$A$34:$AN$735,8,FALSE)</f>
        <v>Yes</v>
      </c>
      <c r="I362" s="16" t="str">
        <f>VLOOKUP($A362,'SurveyRpt_20150223 (1)'!$A$34:$AN$735,10,FALSE)</f>
        <v>Yes</v>
      </c>
      <c r="J362" s="16" t="str">
        <f>VLOOKUP($A362,'SurveyRpt_20150223 (1)'!$A$34:$AN$735,12,FALSE)</f>
        <v>Yes</v>
      </c>
      <c r="K362" s="16" t="str">
        <f>VLOOKUP($A362,'SurveyRpt_20150223 (1)'!$A$34:$AN$735,14,FALSE)</f>
        <v>Yes</v>
      </c>
      <c r="L362" s="16" t="str">
        <f>VLOOKUP($A362,'SurveyRpt_20150223 (1)'!$A$34:$AN$735,16,FALSE)</f>
        <v>Yes</v>
      </c>
      <c r="M362" s="16" t="str">
        <f>VLOOKUP($A362,'SurveyRpt_20150223 (1)'!$A$34:$AN$735,18,FALSE)</f>
        <v>Yes</v>
      </c>
      <c r="N362" s="16" t="str">
        <f>VLOOKUP($A362,'SurveyRpt_20150223 (1)'!$A$34:$AN$735,20,FALSE)</f>
        <v>Yes</v>
      </c>
      <c r="O362" s="16" t="str">
        <f>VLOOKUP($A362,'SurveyRpt_20150223 (1)'!$A$34:$AN$735,22,FALSE)</f>
        <v>Yes</v>
      </c>
      <c r="P362" s="16" t="str">
        <f>VLOOKUP($A362,'SurveyRpt_20150223 (1)'!$A$34:$AN$735,24,FALSE)</f>
        <v>Yes</v>
      </c>
      <c r="Q362" s="16" t="str">
        <f>VLOOKUP($A362,'SurveyRpt_20150223 (1)'!$A$34:$AN$735,26,FALSE)</f>
        <v>Yes</v>
      </c>
      <c r="R362" s="16" t="str">
        <f>VLOOKUP($A362,'SurveyRpt_20150223 (1)'!$A$34:$AN$735,28,FALSE)</f>
        <v>Yes</v>
      </c>
      <c r="S362" s="16" t="str">
        <f>VLOOKUP($A362,'SurveyRpt_20150223 (1)'!$A$34:$AN$735,30,FALSE)</f>
        <v>Yes</v>
      </c>
      <c r="T362" s="16" t="str">
        <f>VLOOKUP($A362,'SurveyRpt_20150223 (1)'!$A$34:$AN$735,32,FALSE)</f>
        <v>Yes</v>
      </c>
      <c r="U362" s="16" t="str">
        <f>VLOOKUP($A362,'SurveyRpt_20150223 (1)'!$A$34:$AN$735,34,FALSE)</f>
        <v>Yes</v>
      </c>
      <c r="V362" s="16" t="str">
        <f>VLOOKUP($A362,'SurveyRpt_20150223 (1)'!$A$34:$AN$735,36,FALSE)</f>
        <v>Yes</v>
      </c>
      <c r="W362" s="16" t="str">
        <f>VLOOKUP($A362,'SurveyRpt_20150223 (1)'!$A$34:$AN$735,38,FALSE)</f>
        <v>Yes</v>
      </c>
    </row>
    <row r="363" spans="1:23" ht="13.5" customHeight="1" x14ac:dyDescent="0.25">
      <c r="A363" s="19" t="s">
        <v>456</v>
      </c>
      <c r="B363" s="19" t="str">
        <f t="shared" si="5"/>
        <v>CPASUMARTHI</v>
      </c>
      <c r="C363" s="16" t="str">
        <f>VLOOKUP(B363,'Compiled Agents'!A:H,2,FALSE)</f>
        <v>Platform</v>
      </c>
      <c r="D363" s="16" t="str">
        <f>VLOOKUP(B363,'Compiled Agents'!A:H,4,FALSE)</f>
        <v>Hyderabad</v>
      </c>
      <c r="E363" s="16" t="str">
        <f>VLOOKUP(B363,'Compiled Agents'!A:H,5,FALSE)</f>
        <v>Wave1</v>
      </c>
      <c r="F363" s="16" t="str">
        <f>VLOOKUP(B363,'Compiled Agents'!A:H,6,FALSE)</f>
        <v>Purple</v>
      </c>
      <c r="G363" s="16">
        <f>VLOOKUP($A363,'SurveyRpt_20150223 (1)'!$A$34:$AN$735,6,FALSE)</f>
        <v>16</v>
      </c>
      <c r="H363" s="16" t="str">
        <f>VLOOKUP($A363,'SurveyRpt_20150223 (1)'!$A$34:$AN$735,8,FALSE)</f>
        <v>Yes</v>
      </c>
      <c r="I363" s="16" t="str">
        <f>VLOOKUP($A363,'SurveyRpt_20150223 (1)'!$A$34:$AN$735,10,FALSE)</f>
        <v>Yes</v>
      </c>
      <c r="J363" s="16" t="str">
        <f>VLOOKUP($A363,'SurveyRpt_20150223 (1)'!$A$34:$AN$735,12,FALSE)</f>
        <v>Yes</v>
      </c>
      <c r="K363" s="16" t="str">
        <f>VLOOKUP($A363,'SurveyRpt_20150223 (1)'!$A$34:$AN$735,14,FALSE)</f>
        <v>Yes</v>
      </c>
      <c r="L363" s="16" t="str">
        <f>VLOOKUP($A363,'SurveyRpt_20150223 (1)'!$A$34:$AN$735,16,FALSE)</f>
        <v>Yes</v>
      </c>
      <c r="M363" s="16" t="str">
        <f>VLOOKUP($A363,'SurveyRpt_20150223 (1)'!$A$34:$AN$735,18,FALSE)</f>
        <v>Yes</v>
      </c>
      <c r="N363" s="16" t="str">
        <f>VLOOKUP($A363,'SurveyRpt_20150223 (1)'!$A$34:$AN$735,20,FALSE)</f>
        <v>Yes</v>
      </c>
      <c r="O363" s="16" t="str">
        <f>VLOOKUP($A363,'SurveyRpt_20150223 (1)'!$A$34:$AN$735,22,FALSE)</f>
        <v>Yes</v>
      </c>
      <c r="P363" s="16" t="str">
        <f>VLOOKUP($A363,'SurveyRpt_20150223 (1)'!$A$34:$AN$735,24,FALSE)</f>
        <v>Yes</v>
      </c>
      <c r="Q363" s="16" t="str">
        <f>VLOOKUP($A363,'SurveyRpt_20150223 (1)'!$A$34:$AN$735,26,FALSE)</f>
        <v>Yes</v>
      </c>
      <c r="R363" s="16" t="str">
        <f>VLOOKUP($A363,'SurveyRpt_20150223 (1)'!$A$34:$AN$735,28,FALSE)</f>
        <v>Yes</v>
      </c>
      <c r="S363" s="16" t="str">
        <f>VLOOKUP($A363,'SurveyRpt_20150223 (1)'!$A$34:$AN$735,30,FALSE)</f>
        <v>Yes</v>
      </c>
      <c r="T363" s="16" t="str">
        <f>VLOOKUP($A363,'SurveyRpt_20150223 (1)'!$A$34:$AN$735,32,FALSE)</f>
        <v>Yes</v>
      </c>
      <c r="U363" s="16" t="str">
        <f>VLOOKUP($A363,'SurveyRpt_20150223 (1)'!$A$34:$AN$735,34,FALSE)</f>
        <v>Yes</v>
      </c>
      <c r="V363" s="16" t="str">
        <f>VLOOKUP($A363,'SurveyRpt_20150223 (1)'!$A$34:$AN$735,36,FALSE)</f>
        <v>Yes</v>
      </c>
      <c r="W363" s="16" t="str">
        <f>VLOOKUP($A363,'SurveyRpt_20150223 (1)'!$A$34:$AN$735,38,FALSE)</f>
        <v>Yes</v>
      </c>
    </row>
    <row r="364" spans="1:23" ht="13.5" customHeight="1" x14ac:dyDescent="0.25">
      <c r="A364" s="19" t="s">
        <v>457</v>
      </c>
      <c r="B364" s="19" t="str">
        <f t="shared" si="5"/>
        <v>MKHAN205</v>
      </c>
      <c r="C364" s="16" t="str">
        <f>VLOOKUP(B364,'Compiled Agents'!A:H,2,FALSE)</f>
        <v>Workplace</v>
      </c>
      <c r="D364" s="16" t="str">
        <f>VLOOKUP(B364,'Compiled Agents'!A:H,4,FALSE)</f>
        <v>Noida</v>
      </c>
      <c r="E364" s="16" t="str">
        <f>VLOOKUP(B364,'Compiled Agents'!A:H,5,FALSE)</f>
        <v>Wave1</v>
      </c>
      <c r="F364" s="16" t="str">
        <f>VLOOKUP(B364,'Compiled Agents'!A:H,6,FALSE)</f>
        <v>Purple</v>
      </c>
      <c r="G364" s="16">
        <f>VLOOKUP($A364,'SurveyRpt_20150223 (1)'!$A$34:$AN$735,6,FALSE)</f>
        <v>8</v>
      </c>
      <c r="H364" s="16" t="str">
        <f>VLOOKUP($A364,'SurveyRpt_20150223 (1)'!$A$34:$AN$735,8,FALSE)</f>
        <v>Yes</v>
      </c>
      <c r="I364" s="16" t="str">
        <f>VLOOKUP($A364,'SurveyRpt_20150223 (1)'!$A$34:$AN$735,10,FALSE)</f>
        <v>No</v>
      </c>
      <c r="J364" s="16" t="str">
        <f>VLOOKUP($A364,'SurveyRpt_20150223 (1)'!$A$34:$AN$735,12,FALSE)</f>
        <v>Yes</v>
      </c>
      <c r="K364" s="16" t="str">
        <f>VLOOKUP($A364,'SurveyRpt_20150223 (1)'!$A$34:$AN$735,14,FALSE)</f>
        <v>No</v>
      </c>
      <c r="L364" s="16" t="str">
        <f>VLOOKUP($A364,'SurveyRpt_20150223 (1)'!$A$34:$AN$735,16,FALSE)</f>
        <v>Yes</v>
      </c>
      <c r="M364" s="16" t="str">
        <f>VLOOKUP($A364,'SurveyRpt_20150223 (1)'!$A$34:$AN$735,18,FALSE)</f>
        <v>Yes</v>
      </c>
      <c r="N364" s="16" t="str">
        <f>VLOOKUP($A364,'SurveyRpt_20150223 (1)'!$A$34:$AN$735,20,FALSE)</f>
        <v>No</v>
      </c>
      <c r="O364" s="16" t="str">
        <f>VLOOKUP($A364,'SurveyRpt_20150223 (1)'!$A$34:$AN$735,22,FALSE)</f>
        <v>No</v>
      </c>
      <c r="P364" s="16" t="str">
        <f>VLOOKUP($A364,'SurveyRpt_20150223 (1)'!$A$34:$AN$735,24,FALSE)</f>
        <v>No</v>
      </c>
      <c r="Q364" s="16" t="str">
        <f>VLOOKUP($A364,'SurveyRpt_20150223 (1)'!$A$34:$AN$735,26,FALSE)</f>
        <v>Yes</v>
      </c>
      <c r="R364" s="16" t="str">
        <f>VLOOKUP($A364,'SurveyRpt_20150223 (1)'!$A$34:$AN$735,28,FALSE)</f>
        <v>Yes</v>
      </c>
      <c r="S364" s="16" t="str">
        <f>VLOOKUP($A364,'SurveyRpt_20150223 (1)'!$A$34:$AN$735,30,FALSE)</f>
        <v>Yes</v>
      </c>
      <c r="T364" s="16" t="str">
        <f>VLOOKUP($A364,'SurveyRpt_20150223 (1)'!$A$34:$AN$735,32,FALSE)</f>
        <v>No</v>
      </c>
      <c r="U364" s="16" t="str">
        <f>VLOOKUP($A364,'SurveyRpt_20150223 (1)'!$A$34:$AN$735,34,FALSE)</f>
        <v>No</v>
      </c>
      <c r="V364" s="16" t="str">
        <f>VLOOKUP($A364,'SurveyRpt_20150223 (1)'!$A$34:$AN$735,36,FALSE)</f>
        <v>Yes</v>
      </c>
      <c r="W364" s="16" t="str">
        <f>VLOOKUP($A364,'SurveyRpt_20150223 (1)'!$A$34:$AN$735,38,FALSE)</f>
        <v>No</v>
      </c>
    </row>
    <row r="365" spans="1:23" ht="13.5" customHeight="1" x14ac:dyDescent="0.25">
      <c r="A365" s="19" t="s">
        <v>458</v>
      </c>
      <c r="B365" s="19" t="str">
        <f t="shared" si="5"/>
        <v>schaudhary27</v>
      </c>
      <c r="C365" s="16" t="str">
        <f>VLOOKUP(B365,'Compiled Agents'!A:H,2,FALSE)</f>
        <v>Platform</v>
      </c>
      <c r="D365" s="16" t="str">
        <f>VLOOKUP(B365,'Compiled Agents'!A:H,4,FALSE)</f>
        <v>Noida</v>
      </c>
      <c r="E365" s="16" t="str">
        <f>VLOOKUP(B365,'Compiled Agents'!A:H,5,FALSE)</f>
        <v>Wave1</v>
      </c>
      <c r="F365" s="16" t="str">
        <f>VLOOKUP(B365,'Compiled Agents'!A:H,6,FALSE)</f>
        <v>Purple</v>
      </c>
      <c r="G365" s="16">
        <f>VLOOKUP($A365,'SurveyRpt_20150223 (1)'!$A$34:$AN$735,6,FALSE)</f>
        <v>16</v>
      </c>
      <c r="H365" s="16" t="str">
        <f>VLOOKUP($A365,'SurveyRpt_20150223 (1)'!$A$34:$AN$735,8,FALSE)</f>
        <v>Yes</v>
      </c>
      <c r="I365" s="16" t="str">
        <f>VLOOKUP($A365,'SurveyRpt_20150223 (1)'!$A$34:$AN$735,10,FALSE)</f>
        <v>Yes</v>
      </c>
      <c r="J365" s="16" t="str">
        <f>VLOOKUP($A365,'SurveyRpt_20150223 (1)'!$A$34:$AN$735,12,FALSE)</f>
        <v>Yes</v>
      </c>
      <c r="K365" s="16" t="str">
        <f>VLOOKUP($A365,'SurveyRpt_20150223 (1)'!$A$34:$AN$735,14,FALSE)</f>
        <v>Yes</v>
      </c>
      <c r="L365" s="16" t="str">
        <f>VLOOKUP($A365,'SurveyRpt_20150223 (1)'!$A$34:$AN$735,16,FALSE)</f>
        <v>Yes</v>
      </c>
      <c r="M365" s="16" t="str">
        <f>VLOOKUP($A365,'SurveyRpt_20150223 (1)'!$A$34:$AN$735,18,FALSE)</f>
        <v>Yes</v>
      </c>
      <c r="N365" s="16" t="str">
        <f>VLOOKUP($A365,'SurveyRpt_20150223 (1)'!$A$34:$AN$735,20,FALSE)</f>
        <v>Yes</v>
      </c>
      <c r="O365" s="16" t="str">
        <f>VLOOKUP($A365,'SurveyRpt_20150223 (1)'!$A$34:$AN$735,22,FALSE)</f>
        <v>Yes</v>
      </c>
      <c r="P365" s="16" t="str">
        <f>VLOOKUP($A365,'SurveyRpt_20150223 (1)'!$A$34:$AN$735,24,FALSE)</f>
        <v>Yes</v>
      </c>
      <c r="Q365" s="16" t="str">
        <f>VLOOKUP($A365,'SurveyRpt_20150223 (1)'!$A$34:$AN$735,26,FALSE)</f>
        <v>Yes</v>
      </c>
      <c r="R365" s="16" t="str">
        <f>VLOOKUP($A365,'SurveyRpt_20150223 (1)'!$A$34:$AN$735,28,FALSE)</f>
        <v>Yes</v>
      </c>
      <c r="S365" s="16" t="str">
        <f>VLOOKUP($A365,'SurveyRpt_20150223 (1)'!$A$34:$AN$735,30,FALSE)</f>
        <v>Yes</v>
      </c>
      <c r="T365" s="16" t="str">
        <f>VLOOKUP($A365,'SurveyRpt_20150223 (1)'!$A$34:$AN$735,32,FALSE)</f>
        <v>Yes</v>
      </c>
      <c r="U365" s="16" t="str">
        <f>VLOOKUP($A365,'SurveyRpt_20150223 (1)'!$A$34:$AN$735,34,FALSE)</f>
        <v>Yes</v>
      </c>
      <c r="V365" s="16" t="str">
        <f>VLOOKUP($A365,'SurveyRpt_20150223 (1)'!$A$34:$AN$735,36,FALSE)</f>
        <v>Yes</v>
      </c>
      <c r="W365" s="16" t="str">
        <f>VLOOKUP($A365,'SurveyRpt_20150223 (1)'!$A$34:$AN$735,38,FALSE)</f>
        <v>Yes</v>
      </c>
    </row>
    <row r="366" spans="1:23" ht="13.5" customHeight="1" x14ac:dyDescent="0.25">
      <c r="A366" s="19" t="s">
        <v>459</v>
      </c>
      <c r="B366" s="19" t="str">
        <f t="shared" si="5"/>
        <v>KJAYASHREE</v>
      </c>
      <c r="C366" s="16" t="str">
        <f>VLOOKUP(B366,'Compiled Agents'!A:H,2,FALSE)</f>
        <v>Workplace</v>
      </c>
      <c r="D366" s="16" t="str">
        <f>VLOOKUP(B366,'Compiled Agents'!A:H,4,FALSE)</f>
        <v>Noida</v>
      </c>
      <c r="E366" s="16" t="str">
        <f>VLOOKUP(B366,'Compiled Agents'!A:H,5,FALSE)</f>
        <v>Wave1</v>
      </c>
      <c r="F366" s="16" t="str">
        <f>VLOOKUP(B366,'Compiled Agents'!A:H,6,FALSE)</f>
        <v>Blue</v>
      </c>
      <c r="G366" s="16">
        <f>VLOOKUP($A366,'SurveyRpt_20150223 (1)'!$A$34:$AN$735,6,FALSE)</f>
        <v>16</v>
      </c>
      <c r="H366" s="16" t="str">
        <f>VLOOKUP($A366,'SurveyRpt_20150223 (1)'!$A$34:$AN$735,8,FALSE)</f>
        <v>Yes</v>
      </c>
      <c r="I366" s="16" t="str">
        <f>VLOOKUP($A366,'SurveyRpt_20150223 (1)'!$A$34:$AN$735,10,FALSE)</f>
        <v>Yes</v>
      </c>
      <c r="J366" s="16" t="str">
        <f>VLOOKUP($A366,'SurveyRpt_20150223 (1)'!$A$34:$AN$735,12,FALSE)</f>
        <v>Yes</v>
      </c>
      <c r="K366" s="16" t="str">
        <f>VLOOKUP($A366,'SurveyRpt_20150223 (1)'!$A$34:$AN$735,14,FALSE)</f>
        <v>Yes</v>
      </c>
      <c r="L366" s="16" t="str">
        <f>VLOOKUP($A366,'SurveyRpt_20150223 (1)'!$A$34:$AN$735,16,FALSE)</f>
        <v>Yes</v>
      </c>
      <c r="M366" s="16" t="str">
        <f>VLOOKUP($A366,'SurveyRpt_20150223 (1)'!$A$34:$AN$735,18,FALSE)</f>
        <v>Yes</v>
      </c>
      <c r="N366" s="16" t="str">
        <f>VLOOKUP($A366,'SurveyRpt_20150223 (1)'!$A$34:$AN$735,20,FALSE)</f>
        <v>Yes</v>
      </c>
      <c r="O366" s="16" t="str">
        <f>VLOOKUP($A366,'SurveyRpt_20150223 (1)'!$A$34:$AN$735,22,FALSE)</f>
        <v>Yes</v>
      </c>
      <c r="P366" s="16" t="str">
        <f>VLOOKUP($A366,'SurveyRpt_20150223 (1)'!$A$34:$AN$735,24,FALSE)</f>
        <v>Yes</v>
      </c>
      <c r="Q366" s="16" t="str">
        <f>VLOOKUP($A366,'SurveyRpt_20150223 (1)'!$A$34:$AN$735,26,FALSE)</f>
        <v>Yes</v>
      </c>
      <c r="R366" s="16" t="str">
        <f>VLOOKUP($A366,'SurveyRpt_20150223 (1)'!$A$34:$AN$735,28,FALSE)</f>
        <v>Yes</v>
      </c>
      <c r="S366" s="16" t="str">
        <f>VLOOKUP($A366,'SurveyRpt_20150223 (1)'!$A$34:$AN$735,30,FALSE)</f>
        <v>Yes</v>
      </c>
      <c r="T366" s="16" t="str">
        <f>VLOOKUP($A366,'SurveyRpt_20150223 (1)'!$A$34:$AN$735,32,FALSE)</f>
        <v>Yes</v>
      </c>
      <c r="U366" s="16" t="str">
        <f>VLOOKUP($A366,'SurveyRpt_20150223 (1)'!$A$34:$AN$735,34,FALSE)</f>
        <v>Yes</v>
      </c>
      <c r="V366" s="16" t="str">
        <f>VLOOKUP($A366,'SurveyRpt_20150223 (1)'!$A$34:$AN$735,36,FALSE)</f>
        <v>Yes</v>
      </c>
      <c r="W366" s="16" t="str">
        <f>VLOOKUP($A366,'SurveyRpt_20150223 (1)'!$A$34:$AN$735,38,FALSE)</f>
        <v>Yes</v>
      </c>
    </row>
    <row r="367" spans="1:23" ht="13.5" customHeight="1" x14ac:dyDescent="0.25">
      <c r="A367" s="19" t="s">
        <v>460</v>
      </c>
      <c r="B367" s="19" t="str">
        <f t="shared" si="5"/>
        <v>CIVATURI</v>
      </c>
      <c r="C367" s="16" t="str">
        <f>VLOOKUP(B367,'Compiled Agents'!A:H,2,FALSE)</f>
        <v>Workplace</v>
      </c>
      <c r="D367" s="16" t="str">
        <f>VLOOKUP(B367,'Compiled Agents'!A:H,4,FALSE)</f>
        <v>Hyderabad</v>
      </c>
      <c r="E367" s="16" t="str">
        <f>VLOOKUP(B367,'Compiled Agents'!A:H,5,FALSE)</f>
        <v>Wave2</v>
      </c>
      <c r="F367" s="16" t="str">
        <f>VLOOKUP(B367,'Compiled Agents'!A:H,6,FALSE)</f>
        <v>Purple</v>
      </c>
      <c r="G367" s="16">
        <f>VLOOKUP($A367,'SurveyRpt_20150223 (1)'!$A$34:$AN$735,6,FALSE)</f>
        <v>14</v>
      </c>
      <c r="H367" s="16" t="str">
        <f>VLOOKUP($A367,'SurveyRpt_20150223 (1)'!$A$34:$AN$735,8,FALSE)</f>
        <v>Yes</v>
      </c>
      <c r="I367" s="16" t="str">
        <f>VLOOKUP($A367,'SurveyRpt_20150223 (1)'!$A$34:$AN$735,10,FALSE)</f>
        <v>Yes</v>
      </c>
      <c r="J367" s="16" t="str">
        <f>VLOOKUP($A367,'SurveyRpt_20150223 (1)'!$A$34:$AN$735,12,FALSE)</f>
        <v>Yes</v>
      </c>
      <c r="K367" s="16" t="str">
        <f>VLOOKUP($A367,'SurveyRpt_20150223 (1)'!$A$34:$AN$735,14,FALSE)</f>
        <v>Yes</v>
      </c>
      <c r="L367" s="16" t="str">
        <f>VLOOKUP($A367,'SurveyRpt_20150223 (1)'!$A$34:$AN$735,16,FALSE)</f>
        <v>Yes</v>
      </c>
      <c r="M367" s="16" t="str">
        <f>VLOOKUP($A367,'SurveyRpt_20150223 (1)'!$A$34:$AN$735,18,FALSE)</f>
        <v>Yes</v>
      </c>
      <c r="N367" s="16" t="str">
        <f>VLOOKUP($A367,'SurveyRpt_20150223 (1)'!$A$34:$AN$735,20,FALSE)</f>
        <v>No</v>
      </c>
      <c r="O367" s="16" t="str">
        <f>VLOOKUP($A367,'SurveyRpt_20150223 (1)'!$A$34:$AN$735,22,FALSE)</f>
        <v>No</v>
      </c>
      <c r="P367" s="16" t="str">
        <f>VLOOKUP($A367,'SurveyRpt_20150223 (1)'!$A$34:$AN$735,24,FALSE)</f>
        <v>Yes</v>
      </c>
      <c r="Q367" s="16" t="str">
        <f>VLOOKUP($A367,'SurveyRpt_20150223 (1)'!$A$34:$AN$735,26,FALSE)</f>
        <v>Yes</v>
      </c>
      <c r="R367" s="16" t="str">
        <f>VLOOKUP($A367,'SurveyRpt_20150223 (1)'!$A$34:$AN$735,28,FALSE)</f>
        <v>Yes</v>
      </c>
      <c r="S367" s="16" t="str">
        <f>VLOOKUP($A367,'SurveyRpt_20150223 (1)'!$A$34:$AN$735,30,FALSE)</f>
        <v>Yes</v>
      </c>
      <c r="T367" s="16" t="str">
        <f>VLOOKUP($A367,'SurveyRpt_20150223 (1)'!$A$34:$AN$735,32,FALSE)</f>
        <v>Yes</v>
      </c>
      <c r="U367" s="16" t="str">
        <f>VLOOKUP($A367,'SurveyRpt_20150223 (1)'!$A$34:$AN$735,34,FALSE)</f>
        <v>Yes</v>
      </c>
      <c r="V367" s="16" t="str">
        <f>VLOOKUP($A367,'SurveyRpt_20150223 (1)'!$A$34:$AN$735,36,FALSE)</f>
        <v>Yes</v>
      </c>
      <c r="W367" s="16" t="str">
        <f>VLOOKUP($A367,'SurveyRpt_20150223 (1)'!$A$34:$AN$735,38,FALSE)</f>
        <v>Yes</v>
      </c>
    </row>
    <row r="368" spans="1:23" ht="13.5" customHeight="1" x14ac:dyDescent="0.25">
      <c r="A368" s="19" t="s">
        <v>461</v>
      </c>
      <c r="B368" s="19" t="str">
        <f t="shared" si="5"/>
        <v>SBOREDDY3</v>
      </c>
      <c r="C368" s="16" t="str">
        <f>VLOOKUP(B368,'Compiled Agents'!A:H,2,FALSE)</f>
        <v>Platform</v>
      </c>
      <c r="D368" s="16" t="str">
        <f>VLOOKUP(B368,'Compiled Agents'!A:H,4,FALSE)</f>
        <v>Noida</v>
      </c>
      <c r="E368" s="16" t="str">
        <f>VLOOKUP(B368,'Compiled Agents'!A:H,5,FALSE)</f>
        <v>Wave1</v>
      </c>
      <c r="F368" s="16" t="str">
        <f>VLOOKUP(B368,'Compiled Agents'!A:H,6,FALSE)</f>
        <v>Purple</v>
      </c>
      <c r="G368" s="16">
        <f>VLOOKUP($A368,'SurveyRpt_20150223 (1)'!$A$34:$AN$735,6,FALSE)</f>
        <v>16</v>
      </c>
      <c r="H368" s="16" t="str">
        <f>VLOOKUP($A368,'SurveyRpt_20150223 (1)'!$A$34:$AN$735,8,FALSE)</f>
        <v>Yes</v>
      </c>
      <c r="I368" s="16" t="str">
        <f>VLOOKUP($A368,'SurveyRpt_20150223 (1)'!$A$34:$AN$735,10,FALSE)</f>
        <v>Yes</v>
      </c>
      <c r="J368" s="16" t="str">
        <f>VLOOKUP($A368,'SurveyRpt_20150223 (1)'!$A$34:$AN$735,12,FALSE)</f>
        <v>Yes</v>
      </c>
      <c r="K368" s="16" t="str">
        <f>VLOOKUP($A368,'SurveyRpt_20150223 (1)'!$A$34:$AN$735,14,FALSE)</f>
        <v>Yes</v>
      </c>
      <c r="L368" s="16" t="str">
        <f>VLOOKUP($A368,'SurveyRpt_20150223 (1)'!$A$34:$AN$735,16,FALSE)</f>
        <v>Yes</v>
      </c>
      <c r="M368" s="16" t="str">
        <f>VLOOKUP($A368,'SurveyRpt_20150223 (1)'!$A$34:$AN$735,18,FALSE)</f>
        <v>Yes</v>
      </c>
      <c r="N368" s="16" t="str">
        <f>VLOOKUP($A368,'SurveyRpt_20150223 (1)'!$A$34:$AN$735,20,FALSE)</f>
        <v>Yes</v>
      </c>
      <c r="O368" s="16" t="str">
        <f>VLOOKUP($A368,'SurveyRpt_20150223 (1)'!$A$34:$AN$735,22,FALSE)</f>
        <v>Yes</v>
      </c>
      <c r="P368" s="16" t="str">
        <f>VLOOKUP($A368,'SurveyRpt_20150223 (1)'!$A$34:$AN$735,24,FALSE)</f>
        <v>Yes</v>
      </c>
      <c r="Q368" s="16" t="str">
        <f>VLOOKUP($A368,'SurveyRpt_20150223 (1)'!$A$34:$AN$735,26,FALSE)</f>
        <v>Yes</v>
      </c>
      <c r="R368" s="16" t="str">
        <f>VLOOKUP($A368,'SurveyRpt_20150223 (1)'!$A$34:$AN$735,28,FALSE)</f>
        <v>Yes</v>
      </c>
      <c r="S368" s="16" t="str">
        <f>VLOOKUP($A368,'SurveyRpt_20150223 (1)'!$A$34:$AN$735,30,FALSE)</f>
        <v>Yes</v>
      </c>
      <c r="T368" s="16" t="str">
        <f>VLOOKUP($A368,'SurveyRpt_20150223 (1)'!$A$34:$AN$735,32,FALSE)</f>
        <v>Yes</v>
      </c>
      <c r="U368" s="16" t="str">
        <f>VLOOKUP($A368,'SurveyRpt_20150223 (1)'!$A$34:$AN$735,34,FALSE)</f>
        <v>Yes</v>
      </c>
      <c r="V368" s="16" t="str">
        <f>VLOOKUP($A368,'SurveyRpt_20150223 (1)'!$A$34:$AN$735,36,FALSE)</f>
        <v>Yes</v>
      </c>
      <c r="W368" s="16" t="str">
        <f>VLOOKUP($A368,'SurveyRpt_20150223 (1)'!$A$34:$AN$735,38,FALSE)</f>
        <v>Yes</v>
      </c>
    </row>
    <row r="369" spans="1:23" ht="13.5" customHeight="1" x14ac:dyDescent="0.25">
      <c r="A369" s="19" t="s">
        <v>462</v>
      </c>
      <c r="B369" s="19" t="str">
        <f t="shared" si="5"/>
        <v>KKEYAN</v>
      </c>
      <c r="C369" s="16" t="str">
        <f>VLOOKUP(B369,'Compiled Agents'!A:H,2,FALSE)</f>
        <v>Workplace</v>
      </c>
      <c r="D369" s="16" t="str">
        <f>VLOOKUP(B369,'Compiled Agents'!A:H,4,FALSE)</f>
        <v>Noida</v>
      </c>
      <c r="E369" s="16" t="str">
        <f>VLOOKUP(B369,'Compiled Agents'!A:H,5,FALSE)</f>
        <v>Wave1</v>
      </c>
      <c r="F369" s="16" t="str">
        <f>VLOOKUP(B369,'Compiled Agents'!A:H,6,FALSE)</f>
        <v>Purple</v>
      </c>
      <c r="G369" s="16">
        <f>VLOOKUP($A369,'SurveyRpt_20150223 (1)'!$A$34:$AN$735,6,FALSE)</f>
        <v>7</v>
      </c>
      <c r="H369" s="16" t="str">
        <f>VLOOKUP($A369,'SurveyRpt_20150223 (1)'!$A$34:$AN$735,8,FALSE)</f>
        <v>No</v>
      </c>
      <c r="I369" s="16" t="str">
        <f>VLOOKUP($A369,'SurveyRpt_20150223 (1)'!$A$34:$AN$735,10,FALSE)</f>
        <v>Yes</v>
      </c>
      <c r="J369" s="16" t="str">
        <f>VLOOKUP($A369,'SurveyRpt_20150223 (1)'!$A$34:$AN$735,12,FALSE)</f>
        <v>Yes</v>
      </c>
      <c r="K369" s="16" t="str">
        <f>VLOOKUP($A369,'SurveyRpt_20150223 (1)'!$A$34:$AN$735,14,FALSE)</f>
        <v>No</v>
      </c>
      <c r="L369" s="16" t="str">
        <f>VLOOKUP($A369,'SurveyRpt_20150223 (1)'!$A$34:$AN$735,16,FALSE)</f>
        <v>No</v>
      </c>
      <c r="M369" s="16" t="str">
        <f>VLOOKUP($A369,'SurveyRpt_20150223 (1)'!$A$34:$AN$735,18,FALSE)</f>
        <v>No</v>
      </c>
      <c r="N369" s="16" t="str">
        <f>VLOOKUP($A369,'SurveyRpt_20150223 (1)'!$A$34:$AN$735,20,FALSE)</f>
        <v>No</v>
      </c>
      <c r="O369" s="16" t="str">
        <f>VLOOKUP($A369,'SurveyRpt_20150223 (1)'!$A$34:$AN$735,22,FALSE)</f>
        <v>No</v>
      </c>
      <c r="P369" s="16" t="str">
        <f>VLOOKUP($A369,'SurveyRpt_20150223 (1)'!$A$34:$AN$735,24,FALSE)</f>
        <v>Yes</v>
      </c>
      <c r="Q369" s="16" t="str">
        <f>VLOOKUP($A369,'SurveyRpt_20150223 (1)'!$A$34:$AN$735,26,FALSE)</f>
        <v>Yes</v>
      </c>
      <c r="R369" s="16" t="str">
        <f>VLOOKUP($A369,'SurveyRpt_20150223 (1)'!$A$34:$AN$735,28,FALSE)</f>
        <v>Yes</v>
      </c>
      <c r="S369" s="16" t="str">
        <f>VLOOKUP($A369,'SurveyRpt_20150223 (1)'!$A$34:$AN$735,30,FALSE)</f>
        <v>Yes</v>
      </c>
      <c r="T369" s="16" t="str">
        <f>VLOOKUP($A369,'SurveyRpt_20150223 (1)'!$A$34:$AN$735,32,FALSE)</f>
        <v>Yes</v>
      </c>
      <c r="U369" s="16" t="str">
        <f>VLOOKUP($A369,'SurveyRpt_20150223 (1)'!$A$34:$AN$735,34,FALSE)</f>
        <v>No</v>
      </c>
      <c r="V369" s="16" t="str">
        <f>VLOOKUP($A369,'SurveyRpt_20150223 (1)'!$A$34:$AN$735,36,FALSE)</f>
        <v>No</v>
      </c>
      <c r="W369" s="16" t="str">
        <f>VLOOKUP($A369,'SurveyRpt_20150223 (1)'!$A$34:$AN$735,38,FALSE)</f>
        <v>No</v>
      </c>
    </row>
    <row r="370" spans="1:23" ht="13.5" customHeight="1" x14ac:dyDescent="0.25">
      <c r="A370" s="19" t="s">
        <v>463</v>
      </c>
      <c r="B370" s="19" t="str">
        <f t="shared" si="5"/>
        <v>vthiagaraja3</v>
      </c>
      <c r="C370" s="16" t="str">
        <f>VLOOKUP(B370,'Compiled Agents'!A:H,2,FALSE)</f>
        <v>Workplace</v>
      </c>
      <c r="D370" s="16" t="str">
        <f>VLOOKUP(B370,'Compiled Agents'!A:H,4,FALSE)</f>
        <v>Noida</v>
      </c>
      <c r="E370" s="16" t="str">
        <f>VLOOKUP(B370,'Compiled Agents'!A:H,5,FALSE)</f>
        <v>Wave1</v>
      </c>
      <c r="F370" s="16" t="str">
        <f>VLOOKUP(B370,'Compiled Agents'!A:H,6,FALSE)</f>
        <v>Yellow</v>
      </c>
      <c r="G370" s="16">
        <f>VLOOKUP($A370,'SurveyRpt_20150223 (1)'!$A$34:$AN$735,6,FALSE)</f>
        <v>16</v>
      </c>
      <c r="H370" s="16" t="str">
        <f>VLOOKUP($A370,'SurveyRpt_20150223 (1)'!$A$34:$AN$735,8,FALSE)</f>
        <v>Yes</v>
      </c>
      <c r="I370" s="16" t="str">
        <f>VLOOKUP($A370,'SurveyRpt_20150223 (1)'!$A$34:$AN$735,10,FALSE)</f>
        <v>Yes</v>
      </c>
      <c r="J370" s="16" t="str">
        <f>VLOOKUP($A370,'SurveyRpt_20150223 (1)'!$A$34:$AN$735,12,FALSE)</f>
        <v>Yes</v>
      </c>
      <c r="K370" s="16" t="str">
        <f>VLOOKUP($A370,'SurveyRpt_20150223 (1)'!$A$34:$AN$735,14,FALSE)</f>
        <v>Yes</v>
      </c>
      <c r="L370" s="16" t="str">
        <f>VLOOKUP($A370,'SurveyRpt_20150223 (1)'!$A$34:$AN$735,16,FALSE)</f>
        <v>Yes</v>
      </c>
      <c r="M370" s="16" t="str">
        <f>VLOOKUP($A370,'SurveyRpt_20150223 (1)'!$A$34:$AN$735,18,FALSE)</f>
        <v>Yes</v>
      </c>
      <c r="N370" s="16" t="str">
        <f>VLOOKUP($A370,'SurveyRpt_20150223 (1)'!$A$34:$AN$735,20,FALSE)</f>
        <v>Yes</v>
      </c>
      <c r="O370" s="16" t="str">
        <f>VLOOKUP($A370,'SurveyRpt_20150223 (1)'!$A$34:$AN$735,22,FALSE)</f>
        <v>Yes</v>
      </c>
      <c r="P370" s="16" t="str">
        <f>VLOOKUP($A370,'SurveyRpt_20150223 (1)'!$A$34:$AN$735,24,FALSE)</f>
        <v>Yes</v>
      </c>
      <c r="Q370" s="16" t="str">
        <f>VLOOKUP($A370,'SurveyRpt_20150223 (1)'!$A$34:$AN$735,26,FALSE)</f>
        <v>Yes</v>
      </c>
      <c r="R370" s="16" t="str">
        <f>VLOOKUP($A370,'SurveyRpt_20150223 (1)'!$A$34:$AN$735,28,FALSE)</f>
        <v>Yes</v>
      </c>
      <c r="S370" s="16" t="str">
        <f>VLOOKUP($A370,'SurveyRpt_20150223 (1)'!$A$34:$AN$735,30,FALSE)</f>
        <v>Yes</v>
      </c>
      <c r="T370" s="16" t="str">
        <f>VLOOKUP($A370,'SurveyRpt_20150223 (1)'!$A$34:$AN$735,32,FALSE)</f>
        <v>Yes</v>
      </c>
      <c r="U370" s="16" t="str">
        <f>VLOOKUP($A370,'SurveyRpt_20150223 (1)'!$A$34:$AN$735,34,FALSE)</f>
        <v>Yes</v>
      </c>
      <c r="V370" s="16" t="str">
        <f>VLOOKUP($A370,'SurveyRpt_20150223 (1)'!$A$34:$AN$735,36,FALSE)</f>
        <v>Yes</v>
      </c>
      <c r="W370" s="16" t="str">
        <f>VLOOKUP($A370,'SurveyRpt_20150223 (1)'!$A$34:$AN$735,38,FALSE)</f>
        <v>Yes</v>
      </c>
    </row>
    <row r="371" spans="1:23" ht="13.5" customHeight="1" x14ac:dyDescent="0.25">
      <c r="A371" s="19" t="s">
        <v>464</v>
      </c>
      <c r="B371" s="19" t="str">
        <f t="shared" si="5"/>
        <v>rselvaraj22</v>
      </c>
      <c r="C371" s="16" t="str">
        <f>VLOOKUP(B371,'Compiled Agents'!A:H,2,FALSE)</f>
        <v>Platform</v>
      </c>
      <c r="D371" s="16" t="str">
        <f>VLOOKUP(B371,'Compiled Agents'!A:H,4,FALSE)</f>
        <v>Noida</v>
      </c>
      <c r="E371" s="16" t="str">
        <f>VLOOKUP(B371,'Compiled Agents'!A:H,5,FALSE)</f>
        <v>Wave1</v>
      </c>
      <c r="F371" s="16" t="str">
        <f>VLOOKUP(B371,'Compiled Agents'!A:H,6,FALSE)</f>
        <v>Yellow</v>
      </c>
      <c r="G371" s="16">
        <f>VLOOKUP($A371,'SurveyRpt_20150223 (1)'!$A$34:$AN$735,6,FALSE)</f>
        <v>16</v>
      </c>
      <c r="H371" s="16" t="str">
        <f>VLOOKUP($A371,'SurveyRpt_20150223 (1)'!$A$34:$AN$735,8,FALSE)</f>
        <v>Yes</v>
      </c>
      <c r="I371" s="16" t="str">
        <f>VLOOKUP($A371,'SurveyRpt_20150223 (1)'!$A$34:$AN$735,10,FALSE)</f>
        <v>Yes</v>
      </c>
      <c r="J371" s="16" t="str">
        <f>VLOOKUP($A371,'SurveyRpt_20150223 (1)'!$A$34:$AN$735,12,FALSE)</f>
        <v>Yes</v>
      </c>
      <c r="K371" s="16" t="str">
        <f>VLOOKUP($A371,'SurveyRpt_20150223 (1)'!$A$34:$AN$735,14,FALSE)</f>
        <v>Yes</v>
      </c>
      <c r="L371" s="16" t="str">
        <f>VLOOKUP($A371,'SurveyRpt_20150223 (1)'!$A$34:$AN$735,16,FALSE)</f>
        <v>Yes</v>
      </c>
      <c r="M371" s="16" t="str">
        <f>VLOOKUP($A371,'SurveyRpt_20150223 (1)'!$A$34:$AN$735,18,FALSE)</f>
        <v>Yes</v>
      </c>
      <c r="N371" s="16" t="str">
        <f>VLOOKUP($A371,'SurveyRpt_20150223 (1)'!$A$34:$AN$735,20,FALSE)</f>
        <v>Yes</v>
      </c>
      <c r="O371" s="16" t="str">
        <f>VLOOKUP($A371,'SurveyRpt_20150223 (1)'!$A$34:$AN$735,22,FALSE)</f>
        <v>Yes</v>
      </c>
      <c r="P371" s="16" t="str">
        <f>VLOOKUP($A371,'SurveyRpt_20150223 (1)'!$A$34:$AN$735,24,FALSE)</f>
        <v>Yes</v>
      </c>
      <c r="Q371" s="16" t="str">
        <f>VLOOKUP($A371,'SurveyRpt_20150223 (1)'!$A$34:$AN$735,26,FALSE)</f>
        <v>Yes</v>
      </c>
      <c r="R371" s="16" t="str">
        <f>VLOOKUP($A371,'SurveyRpt_20150223 (1)'!$A$34:$AN$735,28,FALSE)</f>
        <v>Yes</v>
      </c>
      <c r="S371" s="16" t="str">
        <f>VLOOKUP($A371,'SurveyRpt_20150223 (1)'!$A$34:$AN$735,30,FALSE)</f>
        <v>Yes</v>
      </c>
      <c r="T371" s="16" t="str">
        <f>VLOOKUP($A371,'SurveyRpt_20150223 (1)'!$A$34:$AN$735,32,FALSE)</f>
        <v>Yes</v>
      </c>
      <c r="U371" s="16" t="str">
        <f>VLOOKUP($A371,'SurveyRpt_20150223 (1)'!$A$34:$AN$735,34,FALSE)</f>
        <v>Yes</v>
      </c>
      <c r="V371" s="16" t="str">
        <f>VLOOKUP($A371,'SurveyRpt_20150223 (1)'!$A$34:$AN$735,36,FALSE)</f>
        <v>Yes</v>
      </c>
      <c r="W371" s="16" t="str">
        <f>VLOOKUP($A371,'SurveyRpt_20150223 (1)'!$A$34:$AN$735,38,FALSE)</f>
        <v>Yes</v>
      </c>
    </row>
    <row r="372" spans="1:23" ht="13.5" customHeight="1" x14ac:dyDescent="0.25">
      <c r="A372" s="19" t="s">
        <v>465</v>
      </c>
      <c r="B372" s="19" t="str">
        <f t="shared" si="5"/>
        <v>BKUCHIMANCHI</v>
      </c>
      <c r="C372" s="16" t="str">
        <f>VLOOKUP(B372,'Compiled Agents'!A:H,2,FALSE)</f>
        <v>Workplace</v>
      </c>
      <c r="D372" s="16" t="str">
        <f>VLOOKUP(B372,'Compiled Agents'!A:H,4,FALSE)</f>
        <v>Hyderabad</v>
      </c>
      <c r="E372" s="16" t="str">
        <f>VLOOKUP(B372,'Compiled Agents'!A:H,5,FALSE)</f>
        <v>Wave2</v>
      </c>
      <c r="F372" s="16" t="str">
        <f>VLOOKUP(B372,'Compiled Agents'!A:H,6,FALSE)</f>
        <v>Purple</v>
      </c>
      <c r="G372" s="16">
        <f>VLOOKUP($A372,'SurveyRpt_20150223 (1)'!$A$34:$AN$735,6,FALSE)</f>
        <v>10</v>
      </c>
      <c r="H372" s="16" t="str">
        <f>VLOOKUP($A372,'SurveyRpt_20150223 (1)'!$A$34:$AN$735,8,FALSE)</f>
        <v>Yes</v>
      </c>
      <c r="I372" s="16" t="str">
        <f>VLOOKUP($A372,'SurveyRpt_20150223 (1)'!$A$34:$AN$735,10,FALSE)</f>
        <v>No</v>
      </c>
      <c r="J372" s="16" t="str">
        <f>VLOOKUP($A372,'SurveyRpt_20150223 (1)'!$A$34:$AN$735,12,FALSE)</f>
        <v>No</v>
      </c>
      <c r="K372" s="16" t="str">
        <f>VLOOKUP($A372,'SurveyRpt_20150223 (1)'!$A$34:$AN$735,14,FALSE)</f>
        <v>Yes</v>
      </c>
      <c r="L372" s="16" t="str">
        <f>VLOOKUP($A372,'SurveyRpt_20150223 (1)'!$A$34:$AN$735,16,FALSE)</f>
        <v>Yes</v>
      </c>
      <c r="M372" s="16" t="str">
        <f>VLOOKUP($A372,'SurveyRpt_20150223 (1)'!$A$34:$AN$735,18,FALSE)</f>
        <v>Yes</v>
      </c>
      <c r="N372" s="16" t="str">
        <f>VLOOKUP($A372,'SurveyRpt_20150223 (1)'!$A$34:$AN$735,20,FALSE)</f>
        <v>Yes</v>
      </c>
      <c r="O372" s="16" t="str">
        <f>VLOOKUP($A372,'SurveyRpt_20150223 (1)'!$A$34:$AN$735,22,FALSE)</f>
        <v>Yes</v>
      </c>
      <c r="P372" s="16" t="str">
        <f>VLOOKUP($A372,'SurveyRpt_20150223 (1)'!$A$34:$AN$735,24,FALSE)</f>
        <v>No</v>
      </c>
      <c r="Q372" s="16" t="str">
        <f>VLOOKUP($A372,'SurveyRpt_20150223 (1)'!$A$34:$AN$735,26,FALSE)</f>
        <v>No</v>
      </c>
      <c r="R372" s="16" t="str">
        <f>VLOOKUP($A372,'SurveyRpt_20150223 (1)'!$A$34:$AN$735,28,FALSE)</f>
        <v>Yes</v>
      </c>
      <c r="S372" s="16" t="str">
        <f>VLOOKUP($A372,'SurveyRpt_20150223 (1)'!$A$34:$AN$735,30,FALSE)</f>
        <v>Yes</v>
      </c>
      <c r="T372" s="16" t="str">
        <f>VLOOKUP($A372,'SurveyRpt_20150223 (1)'!$A$34:$AN$735,32,FALSE)</f>
        <v>No</v>
      </c>
      <c r="U372" s="16" t="str">
        <f>VLOOKUP($A372,'SurveyRpt_20150223 (1)'!$A$34:$AN$735,34,FALSE)</f>
        <v>Yes</v>
      </c>
      <c r="V372" s="16" t="str">
        <f>VLOOKUP($A372,'SurveyRpt_20150223 (1)'!$A$34:$AN$735,36,FALSE)</f>
        <v>Yes</v>
      </c>
      <c r="W372" s="16" t="str">
        <f>VLOOKUP($A372,'SurveyRpt_20150223 (1)'!$A$34:$AN$735,38,FALSE)</f>
        <v>No</v>
      </c>
    </row>
    <row r="373" spans="1:23" ht="13.5" customHeight="1" x14ac:dyDescent="0.25">
      <c r="A373" s="19" t="s">
        <v>466</v>
      </c>
      <c r="B373" s="19" t="str">
        <f t="shared" si="5"/>
        <v>RKUMAR275</v>
      </c>
      <c r="C373" s="16" t="str">
        <f>VLOOKUP(B373,'Compiled Agents'!A:H,2,FALSE)</f>
        <v>Workplace</v>
      </c>
      <c r="D373" s="16" t="str">
        <f>VLOOKUP(B373,'Compiled Agents'!A:H,4,FALSE)</f>
        <v>Noida</v>
      </c>
      <c r="E373" s="16" t="str">
        <f>VLOOKUP(B373,'Compiled Agents'!A:H,5,FALSE)</f>
        <v>Wave1</v>
      </c>
      <c r="F373" s="16" t="str">
        <f>VLOOKUP(B373,'Compiled Agents'!A:H,6,FALSE)</f>
        <v>Yellow</v>
      </c>
      <c r="G373" s="16">
        <f>VLOOKUP($A373,'SurveyRpt_20150223 (1)'!$A$34:$AN$735,6,FALSE)</f>
        <v>12</v>
      </c>
      <c r="H373" s="16" t="str">
        <f>VLOOKUP($A373,'SurveyRpt_20150223 (1)'!$A$34:$AN$735,8,FALSE)</f>
        <v>No</v>
      </c>
      <c r="I373" s="16" t="str">
        <f>VLOOKUP($A373,'SurveyRpt_20150223 (1)'!$A$34:$AN$735,10,FALSE)</f>
        <v>Yes</v>
      </c>
      <c r="J373" s="16" t="str">
        <f>VLOOKUP($A373,'SurveyRpt_20150223 (1)'!$A$34:$AN$735,12,FALSE)</f>
        <v>Yes</v>
      </c>
      <c r="K373" s="16" t="str">
        <f>VLOOKUP($A373,'SurveyRpt_20150223 (1)'!$A$34:$AN$735,14,FALSE)</f>
        <v>Yes</v>
      </c>
      <c r="L373" s="16" t="str">
        <f>VLOOKUP($A373,'SurveyRpt_20150223 (1)'!$A$34:$AN$735,16,FALSE)</f>
        <v>No</v>
      </c>
      <c r="M373" s="16" t="str">
        <f>VLOOKUP($A373,'SurveyRpt_20150223 (1)'!$A$34:$AN$735,18,FALSE)</f>
        <v>Yes</v>
      </c>
      <c r="N373" s="16" t="str">
        <f>VLOOKUP($A373,'SurveyRpt_20150223 (1)'!$A$34:$AN$735,20,FALSE)</f>
        <v>No</v>
      </c>
      <c r="O373" s="16" t="str">
        <f>VLOOKUP($A373,'SurveyRpt_20150223 (1)'!$A$34:$AN$735,22,FALSE)</f>
        <v>Yes</v>
      </c>
      <c r="P373" s="16" t="str">
        <f>VLOOKUP($A373,'SurveyRpt_20150223 (1)'!$A$34:$AN$735,24,FALSE)</f>
        <v>Yes</v>
      </c>
      <c r="Q373" s="16" t="str">
        <f>VLOOKUP($A373,'SurveyRpt_20150223 (1)'!$A$34:$AN$735,26,FALSE)</f>
        <v>Yes</v>
      </c>
      <c r="R373" s="16" t="str">
        <f>VLOOKUP($A373,'SurveyRpt_20150223 (1)'!$A$34:$AN$735,28,FALSE)</f>
        <v>Yes</v>
      </c>
      <c r="S373" s="16" t="str">
        <f>VLOOKUP($A373,'SurveyRpt_20150223 (1)'!$A$34:$AN$735,30,FALSE)</f>
        <v>Yes</v>
      </c>
      <c r="T373" s="16" t="str">
        <f>VLOOKUP($A373,'SurveyRpt_20150223 (1)'!$A$34:$AN$735,32,FALSE)</f>
        <v>Yes</v>
      </c>
      <c r="U373" s="16" t="str">
        <f>VLOOKUP($A373,'SurveyRpt_20150223 (1)'!$A$34:$AN$735,34,FALSE)</f>
        <v>Yes</v>
      </c>
      <c r="V373" s="16" t="str">
        <f>VLOOKUP($A373,'SurveyRpt_20150223 (1)'!$A$34:$AN$735,36,FALSE)</f>
        <v>Yes</v>
      </c>
      <c r="W373" s="16" t="str">
        <f>VLOOKUP($A373,'SurveyRpt_20150223 (1)'!$A$34:$AN$735,38,FALSE)</f>
        <v>No</v>
      </c>
    </row>
    <row r="374" spans="1:23" ht="13.5" customHeight="1" x14ac:dyDescent="0.25">
      <c r="A374" s="19" t="s">
        <v>467</v>
      </c>
      <c r="B374" s="19" t="str">
        <f t="shared" si="5"/>
        <v>rpuri9</v>
      </c>
      <c r="C374" s="16" t="str">
        <f>VLOOKUP(B374,'Compiled Agents'!A:H,2,FALSE)</f>
        <v>Workplace</v>
      </c>
      <c r="D374" s="16" t="str">
        <f>VLOOKUP(B374,'Compiled Agents'!A:H,4,FALSE)</f>
        <v>Noida</v>
      </c>
      <c r="E374" s="16" t="str">
        <f>VLOOKUP(B374,'Compiled Agents'!A:H,5,FALSE)</f>
        <v>Wave1</v>
      </c>
      <c r="F374" s="16" t="str">
        <f>VLOOKUP(B374,'Compiled Agents'!A:H,6,FALSE)</f>
        <v>Yellow</v>
      </c>
      <c r="G374" s="16">
        <f>VLOOKUP($A374,'SurveyRpt_20150223 (1)'!$A$34:$AN$735,6,FALSE)</f>
        <v>12</v>
      </c>
      <c r="H374" s="16" t="str">
        <f>VLOOKUP($A374,'SurveyRpt_20150223 (1)'!$A$34:$AN$735,8,FALSE)</f>
        <v>Yes</v>
      </c>
      <c r="I374" s="16" t="str">
        <f>VLOOKUP($A374,'SurveyRpt_20150223 (1)'!$A$34:$AN$735,10,FALSE)</f>
        <v>Yes</v>
      </c>
      <c r="J374" s="16" t="str">
        <f>VLOOKUP($A374,'SurveyRpt_20150223 (1)'!$A$34:$AN$735,12,FALSE)</f>
        <v>No</v>
      </c>
      <c r="K374" s="16" t="str">
        <f>VLOOKUP($A374,'SurveyRpt_20150223 (1)'!$A$34:$AN$735,14,FALSE)</f>
        <v>No</v>
      </c>
      <c r="L374" s="16" t="str">
        <f>VLOOKUP($A374,'SurveyRpt_20150223 (1)'!$A$34:$AN$735,16,FALSE)</f>
        <v>Yes</v>
      </c>
      <c r="M374" s="16" t="str">
        <f>VLOOKUP($A374,'SurveyRpt_20150223 (1)'!$A$34:$AN$735,18,FALSE)</f>
        <v>Yes</v>
      </c>
      <c r="N374" s="16" t="str">
        <f>VLOOKUP($A374,'SurveyRpt_20150223 (1)'!$A$34:$AN$735,20,FALSE)</f>
        <v>Yes</v>
      </c>
      <c r="O374" s="16" t="str">
        <f>VLOOKUP($A374,'SurveyRpt_20150223 (1)'!$A$34:$AN$735,22,FALSE)</f>
        <v>Yes</v>
      </c>
      <c r="P374" s="16" t="str">
        <f>VLOOKUP($A374,'SurveyRpt_20150223 (1)'!$A$34:$AN$735,24,FALSE)</f>
        <v>Yes</v>
      </c>
      <c r="Q374" s="16" t="str">
        <f>VLOOKUP($A374,'SurveyRpt_20150223 (1)'!$A$34:$AN$735,26,FALSE)</f>
        <v>No</v>
      </c>
      <c r="R374" s="16" t="str">
        <f>VLOOKUP($A374,'SurveyRpt_20150223 (1)'!$A$34:$AN$735,28,FALSE)</f>
        <v>No</v>
      </c>
      <c r="S374" s="16" t="str">
        <f>VLOOKUP($A374,'SurveyRpt_20150223 (1)'!$A$34:$AN$735,30,FALSE)</f>
        <v>Yes</v>
      </c>
      <c r="T374" s="16" t="str">
        <f>VLOOKUP($A374,'SurveyRpt_20150223 (1)'!$A$34:$AN$735,32,FALSE)</f>
        <v>Yes</v>
      </c>
      <c r="U374" s="16" t="str">
        <f>VLOOKUP($A374,'SurveyRpt_20150223 (1)'!$A$34:$AN$735,34,FALSE)</f>
        <v>Yes</v>
      </c>
      <c r="V374" s="16" t="str">
        <f>VLOOKUP($A374,'SurveyRpt_20150223 (1)'!$A$34:$AN$735,36,FALSE)</f>
        <v>Yes</v>
      </c>
      <c r="W374" s="16" t="str">
        <f>VLOOKUP($A374,'SurveyRpt_20150223 (1)'!$A$34:$AN$735,38,FALSE)</f>
        <v>Yes</v>
      </c>
    </row>
    <row r="375" spans="1:23" ht="13.5" customHeight="1" x14ac:dyDescent="0.25">
      <c r="A375" s="19" t="s">
        <v>468</v>
      </c>
      <c r="B375" s="19" t="str">
        <f t="shared" si="5"/>
        <v>PMANJOORAN</v>
      </c>
      <c r="C375" s="16" t="str">
        <f>VLOOKUP(B375,'Compiled Agents'!A:H,2,FALSE)</f>
        <v>Platform</v>
      </c>
      <c r="D375" s="16" t="str">
        <f>VLOOKUP(B375,'Compiled Agents'!A:H,4,FALSE)</f>
        <v>Hyderabad</v>
      </c>
      <c r="E375" s="16" t="str">
        <f>VLOOKUP(B375,'Compiled Agents'!A:H,5,FALSE)</f>
        <v>Wave1</v>
      </c>
      <c r="F375" s="16" t="str">
        <f>VLOOKUP(B375,'Compiled Agents'!A:H,6,FALSE)</f>
        <v>Purple</v>
      </c>
      <c r="G375" s="16">
        <f>VLOOKUP($A375,'SurveyRpt_20150223 (1)'!$A$34:$AN$735,6,FALSE)</f>
        <v>9</v>
      </c>
      <c r="H375" s="16" t="str">
        <f>VLOOKUP($A375,'SurveyRpt_20150223 (1)'!$A$34:$AN$735,8,FALSE)</f>
        <v>Yes</v>
      </c>
      <c r="I375" s="16" t="str">
        <f>VLOOKUP($A375,'SurveyRpt_20150223 (1)'!$A$34:$AN$735,10,FALSE)</f>
        <v>Yes</v>
      </c>
      <c r="J375" s="16" t="str">
        <f>VLOOKUP($A375,'SurveyRpt_20150223 (1)'!$A$34:$AN$735,12,FALSE)</f>
        <v>Yes</v>
      </c>
      <c r="K375" s="16" t="str">
        <f>VLOOKUP($A375,'SurveyRpt_20150223 (1)'!$A$34:$AN$735,14,FALSE)</f>
        <v>No</v>
      </c>
      <c r="L375" s="16" t="str">
        <f>VLOOKUP($A375,'SurveyRpt_20150223 (1)'!$A$34:$AN$735,16,FALSE)</f>
        <v>No</v>
      </c>
      <c r="M375" s="16" t="str">
        <f>VLOOKUP($A375,'SurveyRpt_20150223 (1)'!$A$34:$AN$735,18,FALSE)</f>
        <v>No</v>
      </c>
      <c r="N375" s="16" t="str">
        <f>VLOOKUP($A375,'SurveyRpt_20150223 (1)'!$A$34:$AN$735,20,FALSE)</f>
        <v>Yes</v>
      </c>
      <c r="O375" s="16" t="str">
        <f>VLOOKUP($A375,'SurveyRpt_20150223 (1)'!$A$34:$AN$735,22,FALSE)</f>
        <v>No</v>
      </c>
      <c r="P375" s="16" t="str">
        <f>VLOOKUP($A375,'SurveyRpt_20150223 (1)'!$A$34:$AN$735,24,FALSE)</f>
        <v>Yes</v>
      </c>
      <c r="Q375" s="16" t="str">
        <f>VLOOKUP($A375,'SurveyRpt_20150223 (1)'!$A$34:$AN$735,26,FALSE)</f>
        <v>Yes</v>
      </c>
      <c r="R375" s="16" t="str">
        <f>VLOOKUP($A375,'SurveyRpt_20150223 (1)'!$A$34:$AN$735,28,FALSE)</f>
        <v>Yes</v>
      </c>
      <c r="S375" s="16" t="str">
        <f>VLOOKUP($A375,'SurveyRpt_20150223 (1)'!$A$34:$AN$735,30,FALSE)</f>
        <v>Yes</v>
      </c>
      <c r="T375" s="16" t="str">
        <f>VLOOKUP($A375,'SurveyRpt_20150223 (1)'!$A$34:$AN$735,32,FALSE)</f>
        <v>Yes</v>
      </c>
      <c r="U375" s="16" t="str">
        <f>VLOOKUP($A375,'SurveyRpt_20150223 (1)'!$A$34:$AN$735,34,FALSE)</f>
        <v>No</v>
      </c>
      <c r="V375" s="16" t="str">
        <f>VLOOKUP($A375,'SurveyRpt_20150223 (1)'!$A$34:$AN$735,36,FALSE)</f>
        <v>No</v>
      </c>
      <c r="W375" s="16" t="str">
        <f>VLOOKUP($A375,'SurveyRpt_20150223 (1)'!$A$34:$AN$735,38,FALSE)</f>
        <v>No</v>
      </c>
    </row>
    <row r="376" spans="1:23" ht="13.5" customHeight="1" x14ac:dyDescent="0.25">
      <c r="A376" s="19" t="s">
        <v>469</v>
      </c>
      <c r="B376" s="19" t="str">
        <f t="shared" si="5"/>
        <v>GANCHAL</v>
      </c>
      <c r="C376" s="16" t="str">
        <f>VLOOKUP(B376,'Compiled Agents'!A:H,2,FALSE)</f>
        <v>Workplace</v>
      </c>
      <c r="D376" s="16" t="str">
        <f>VLOOKUP(B376,'Compiled Agents'!A:H,4,FALSE)</f>
        <v>Noida</v>
      </c>
      <c r="E376" s="16" t="str">
        <f>VLOOKUP(B376,'Compiled Agents'!A:H,5,FALSE)</f>
        <v>Wave2</v>
      </c>
      <c r="F376" s="16" t="str">
        <f>VLOOKUP(B376,'Compiled Agents'!A:H,6,FALSE)</f>
        <v>Purple</v>
      </c>
      <c r="G376" s="16">
        <f>VLOOKUP($A376,'SurveyRpt_20150223 (1)'!$A$34:$AN$735,6,FALSE)</f>
        <v>0</v>
      </c>
      <c r="H376" s="16" t="str">
        <f>VLOOKUP($A376,'SurveyRpt_20150223 (1)'!$A$34:$AN$735,8,FALSE)</f>
        <v>No</v>
      </c>
      <c r="I376" s="16" t="str">
        <f>VLOOKUP($A376,'SurveyRpt_20150223 (1)'!$A$34:$AN$735,10,FALSE)</f>
        <v>No</v>
      </c>
      <c r="J376" s="16" t="str">
        <f>VLOOKUP($A376,'SurveyRpt_20150223 (1)'!$A$34:$AN$735,12,FALSE)</f>
        <v>No</v>
      </c>
      <c r="K376" s="16" t="str">
        <f>VLOOKUP($A376,'SurveyRpt_20150223 (1)'!$A$34:$AN$735,14,FALSE)</f>
        <v>No</v>
      </c>
      <c r="L376" s="16" t="str">
        <f>VLOOKUP($A376,'SurveyRpt_20150223 (1)'!$A$34:$AN$735,16,FALSE)</f>
        <v>No</v>
      </c>
      <c r="M376" s="16" t="str">
        <f>VLOOKUP($A376,'SurveyRpt_20150223 (1)'!$A$34:$AN$735,18,FALSE)</f>
        <v>No</v>
      </c>
      <c r="N376" s="16" t="str">
        <f>VLOOKUP($A376,'SurveyRpt_20150223 (1)'!$A$34:$AN$735,20,FALSE)</f>
        <v>No</v>
      </c>
      <c r="O376" s="16" t="str">
        <f>VLOOKUP($A376,'SurveyRpt_20150223 (1)'!$A$34:$AN$735,22,FALSE)</f>
        <v>No</v>
      </c>
      <c r="P376" s="16" t="str">
        <f>VLOOKUP($A376,'SurveyRpt_20150223 (1)'!$A$34:$AN$735,24,FALSE)</f>
        <v>No</v>
      </c>
      <c r="Q376" s="16" t="str">
        <f>VLOOKUP($A376,'SurveyRpt_20150223 (1)'!$A$34:$AN$735,26,FALSE)</f>
        <v>No</v>
      </c>
      <c r="R376" s="16" t="str">
        <f>VLOOKUP($A376,'SurveyRpt_20150223 (1)'!$A$34:$AN$735,28,FALSE)</f>
        <v>No</v>
      </c>
      <c r="S376" s="16" t="str">
        <f>VLOOKUP($A376,'SurveyRpt_20150223 (1)'!$A$34:$AN$735,30,FALSE)</f>
        <v>No</v>
      </c>
      <c r="T376" s="16" t="str">
        <f>VLOOKUP($A376,'SurveyRpt_20150223 (1)'!$A$34:$AN$735,32,FALSE)</f>
        <v>No</v>
      </c>
      <c r="U376" s="16" t="str">
        <f>VLOOKUP($A376,'SurveyRpt_20150223 (1)'!$A$34:$AN$735,34,FALSE)</f>
        <v>No</v>
      </c>
      <c r="V376" s="16" t="str">
        <f>VLOOKUP($A376,'SurveyRpt_20150223 (1)'!$A$34:$AN$735,36,FALSE)</f>
        <v>No</v>
      </c>
      <c r="W376" s="16" t="str">
        <f>VLOOKUP($A376,'SurveyRpt_20150223 (1)'!$A$34:$AN$735,38,FALSE)</f>
        <v>No</v>
      </c>
    </row>
    <row r="377" spans="1:23" ht="13.5" customHeight="1" x14ac:dyDescent="0.25">
      <c r="A377" s="19" t="s">
        <v>470</v>
      </c>
      <c r="B377" s="19" t="str">
        <f t="shared" si="5"/>
        <v>CSOOD</v>
      </c>
      <c r="C377" s="16" t="str">
        <f>VLOOKUP(B377,'Compiled Agents'!A:H,2,FALSE)</f>
        <v>Workplace</v>
      </c>
      <c r="D377" s="16" t="str">
        <f>VLOOKUP(B377,'Compiled Agents'!A:H,4,FALSE)</f>
        <v>Noida</v>
      </c>
      <c r="E377" s="16" t="str">
        <f>VLOOKUP(B377,'Compiled Agents'!A:H,5,FALSE)</f>
        <v>Wave1</v>
      </c>
      <c r="F377" s="16" t="str">
        <f>VLOOKUP(B377,'Compiled Agents'!A:H,6,FALSE)</f>
        <v>Yellow</v>
      </c>
      <c r="G377" s="16">
        <f>VLOOKUP($A377,'SurveyRpt_20150223 (1)'!$A$34:$AN$735,6,FALSE)</f>
        <v>11</v>
      </c>
      <c r="H377" s="16" t="str">
        <f>VLOOKUP($A377,'SurveyRpt_20150223 (1)'!$A$34:$AN$735,8,FALSE)</f>
        <v>Yes</v>
      </c>
      <c r="I377" s="16" t="str">
        <f>VLOOKUP($A377,'SurveyRpt_20150223 (1)'!$A$34:$AN$735,10,FALSE)</f>
        <v>Yes</v>
      </c>
      <c r="J377" s="16" t="str">
        <f>VLOOKUP($A377,'SurveyRpt_20150223 (1)'!$A$34:$AN$735,12,FALSE)</f>
        <v>No</v>
      </c>
      <c r="K377" s="16" t="str">
        <f>VLOOKUP($A377,'SurveyRpt_20150223 (1)'!$A$34:$AN$735,14,FALSE)</f>
        <v>Yes</v>
      </c>
      <c r="L377" s="16" t="str">
        <f>VLOOKUP($A377,'SurveyRpt_20150223 (1)'!$A$34:$AN$735,16,FALSE)</f>
        <v>Yes</v>
      </c>
      <c r="M377" s="16" t="str">
        <f>VLOOKUP($A377,'SurveyRpt_20150223 (1)'!$A$34:$AN$735,18,FALSE)</f>
        <v>Yes</v>
      </c>
      <c r="N377" s="16" t="str">
        <f>VLOOKUP($A377,'SurveyRpt_20150223 (1)'!$A$34:$AN$735,20,FALSE)</f>
        <v>Yes</v>
      </c>
      <c r="O377" s="16" t="str">
        <f>VLOOKUP($A377,'SurveyRpt_20150223 (1)'!$A$34:$AN$735,22,FALSE)</f>
        <v>No</v>
      </c>
      <c r="P377" s="16" t="str">
        <f>VLOOKUP($A377,'SurveyRpt_20150223 (1)'!$A$34:$AN$735,24,FALSE)</f>
        <v>Yes</v>
      </c>
      <c r="Q377" s="16" t="str">
        <f>VLOOKUP($A377,'SurveyRpt_20150223 (1)'!$A$34:$AN$735,26,FALSE)</f>
        <v>Yes</v>
      </c>
      <c r="R377" s="16" t="str">
        <f>VLOOKUP($A377,'SurveyRpt_20150223 (1)'!$A$34:$AN$735,28,FALSE)</f>
        <v>Yes</v>
      </c>
      <c r="S377" s="16" t="str">
        <f>VLOOKUP($A377,'SurveyRpt_20150223 (1)'!$A$34:$AN$735,30,FALSE)</f>
        <v>Yes</v>
      </c>
      <c r="T377" s="16" t="str">
        <f>VLOOKUP($A377,'SurveyRpt_20150223 (1)'!$A$34:$AN$735,32,FALSE)</f>
        <v>No</v>
      </c>
      <c r="U377" s="16" t="str">
        <f>VLOOKUP($A377,'SurveyRpt_20150223 (1)'!$A$34:$AN$735,34,FALSE)</f>
        <v>No</v>
      </c>
      <c r="V377" s="16" t="str">
        <f>VLOOKUP($A377,'SurveyRpt_20150223 (1)'!$A$34:$AN$735,36,FALSE)</f>
        <v>Yes</v>
      </c>
      <c r="W377" s="16" t="str">
        <f>VLOOKUP($A377,'SurveyRpt_20150223 (1)'!$A$34:$AN$735,38,FALSE)</f>
        <v>No</v>
      </c>
    </row>
    <row r="378" spans="1:23" ht="13.5" customHeight="1" x14ac:dyDescent="0.25">
      <c r="A378" s="19" t="s">
        <v>471</v>
      </c>
      <c r="B378" s="19" t="str">
        <f t="shared" si="5"/>
        <v>ssoni21</v>
      </c>
      <c r="C378" s="16" t="str">
        <f>VLOOKUP(B378,'Compiled Agents'!A:H,2,FALSE)</f>
        <v>Platform</v>
      </c>
      <c r="D378" s="16" t="str">
        <f>VLOOKUP(B378,'Compiled Agents'!A:H,4,FALSE)</f>
        <v>Noida</v>
      </c>
      <c r="E378" s="16" t="str">
        <f>VLOOKUP(B378,'Compiled Agents'!A:H,5,FALSE)</f>
        <v>Wave2</v>
      </c>
      <c r="F378" s="16" t="str">
        <f>VLOOKUP(B378,'Compiled Agents'!A:H,6,FALSE)</f>
        <v>Purple</v>
      </c>
      <c r="G378" s="16">
        <f>VLOOKUP($A378,'SurveyRpt_20150223 (1)'!$A$34:$AN$735,6,FALSE)</f>
        <v>16</v>
      </c>
      <c r="H378" s="16" t="str">
        <f>VLOOKUP($A378,'SurveyRpt_20150223 (1)'!$A$34:$AN$735,8,FALSE)</f>
        <v>Yes</v>
      </c>
      <c r="I378" s="16" t="str">
        <f>VLOOKUP($A378,'SurveyRpt_20150223 (1)'!$A$34:$AN$735,10,FALSE)</f>
        <v>Yes</v>
      </c>
      <c r="J378" s="16" t="str">
        <f>VLOOKUP($A378,'SurveyRpt_20150223 (1)'!$A$34:$AN$735,12,FALSE)</f>
        <v>Yes</v>
      </c>
      <c r="K378" s="16" t="str">
        <f>VLOOKUP($A378,'SurveyRpt_20150223 (1)'!$A$34:$AN$735,14,FALSE)</f>
        <v>Yes</v>
      </c>
      <c r="L378" s="16" t="str">
        <f>VLOOKUP($A378,'SurveyRpt_20150223 (1)'!$A$34:$AN$735,16,FALSE)</f>
        <v>Yes</v>
      </c>
      <c r="M378" s="16" t="str">
        <f>VLOOKUP($A378,'SurveyRpt_20150223 (1)'!$A$34:$AN$735,18,FALSE)</f>
        <v>Yes</v>
      </c>
      <c r="N378" s="16" t="str">
        <f>VLOOKUP($A378,'SurveyRpt_20150223 (1)'!$A$34:$AN$735,20,FALSE)</f>
        <v>Yes</v>
      </c>
      <c r="O378" s="16" t="str">
        <f>VLOOKUP($A378,'SurveyRpt_20150223 (1)'!$A$34:$AN$735,22,FALSE)</f>
        <v>Yes</v>
      </c>
      <c r="P378" s="16" t="str">
        <f>VLOOKUP($A378,'SurveyRpt_20150223 (1)'!$A$34:$AN$735,24,FALSE)</f>
        <v>Yes</v>
      </c>
      <c r="Q378" s="16" t="str">
        <f>VLOOKUP($A378,'SurveyRpt_20150223 (1)'!$A$34:$AN$735,26,FALSE)</f>
        <v>Yes</v>
      </c>
      <c r="R378" s="16" t="str">
        <f>VLOOKUP($A378,'SurveyRpt_20150223 (1)'!$A$34:$AN$735,28,FALSE)</f>
        <v>Yes</v>
      </c>
      <c r="S378" s="16" t="str">
        <f>VLOOKUP($A378,'SurveyRpt_20150223 (1)'!$A$34:$AN$735,30,FALSE)</f>
        <v>Yes</v>
      </c>
      <c r="T378" s="16" t="str">
        <f>VLOOKUP($A378,'SurveyRpt_20150223 (1)'!$A$34:$AN$735,32,FALSE)</f>
        <v>Yes</v>
      </c>
      <c r="U378" s="16" t="str">
        <f>VLOOKUP($A378,'SurveyRpt_20150223 (1)'!$A$34:$AN$735,34,FALSE)</f>
        <v>Yes</v>
      </c>
      <c r="V378" s="16" t="str">
        <f>VLOOKUP($A378,'SurveyRpt_20150223 (1)'!$A$34:$AN$735,36,FALSE)</f>
        <v>Yes</v>
      </c>
      <c r="W378" s="16" t="str">
        <f>VLOOKUP($A378,'SurveyRpt_20150223 (1)'!$A$34:$AN$735,38,FALSE)</f>
        <v>Yes</v>
      </c>
    </row>
    <row r="379" spans="1:23" ht="13.5" customHeight="1" x14ac:dyDescent="0.25">
      <c r="A379" s="19" t="s">
        <v>472</v>
      </c>
      <c r="B379" s="19" t="str">
        <f t="shared" si="5"/>
        <v>jrodrigueza2</v>
      </c>
      <c r="C379" s="16" t="str">
        <f>VLOOKUP(B379,'Compiled Agents'!A:H,2,FALSE)</f>
        <v>Platform</v>
      </c>
      <c r="D379" s="16" t="str">
        <f>VLOOKUP(B379,'Compiled Agents'!A:H,4,FALSE)</f>
        <v>Spain</v>
      </c>
      <c r="E379" s="16" t="str">
        <f>VLOOKUP(B379,'Compiled Agents'!A:H,5,FALSE)</f>
        <v>Wave1</v>
      </c>
      <c r="F379" s="16" t="str">
        <f>VLOOKUP(B379,'Compiled Agents'!A:H,6,FALSE)</f>
        <v>Blue</v>
      </c>
      <c r="G379" s="16">
        <f>VLOOKUP($A379,'SurveyRpt_20150223 (1)'!$A$34:$AN$735,6,FALSE)</f>
        <v>9</v>
      </c>
      <c r="H379" s="16" t="str">
        <f>VLOOKUP($A379,'SurveyRpt_20150223 (1)'!$A$34:$AN$735,8,FALSE)</f>
        <v>Yes</v>
      </c>
      <c r="I379" s="16" t="str">
        <f>VLOOKUP($A379,'SurveyRpt_20150223 (1)'!$A$34:$AN$735,10,FALSE)</f>
        <v>Yes</v>
      </c>
      <c r="J379" s="16" t="str">
        <f>VLOOKUP($A379,'SurveyRpt_20150223 (1)'!$A$34:$AN$735,12,FALSE)</f>
        <v>No</v>
      </c>
      <c r="K379" s="16" t="str">
        <f>VLOOKUP($A379,'SurveyRpt_20150223 (1)'!$A$34:$AN$735,14,FALSE)</f>
        <v>No</v>
      </c>
      <c r="L379" s="16" t="str">
        <f>VLOOKUP($A379,'SurveyRpt_20150223 (1)'!$A$34:$AN$735,16,FALSE)</f>
        <v>No</v>
      </c>
      <c r="M379" s="16" t="str">
        <f>VLOOKUP($A379,'SurveyRpt_20150223 (1)'!$A$34:$AN$735,18,FALSE)</f>
        <v>Yes</v>
      </c>
      <c r="N379" s="16" t="str">
        <f>VLOOKUP($A379,'SurveyRpt_20150223 (1)'!$A$34:$AN$735,20,FALSE)</f>
        <v>Yes</v>
      </c>
      <c r="O379" s="16" t="str">
        <f>VLOOKUP($A379,'SurveyRpt_20150223 (1)'!$A$34:$AN$735,22,FALSE)</f>
        <v>Yes</v>
      </c>
      <c r="P379" s="16" t="str">
        <f>VLOOKUP($A379,'SurveyRpt_20150223 (1)'!$A$34:$AN$735,24,FALSE)</f>
        <v>No</v>
      </c>
      <c r="Q379" s="16" t="str">
        <f>VLOOKUP($A379,'SurveyRpt_20150223 (1)'!$A$34:$AN$735,26,FALSE)</f>
        <v>Yes</v>
      </c>
      <c r="R379" s="16" t="str">
        <f>VLOOKUP($A379,'SurveyRpt_20150223 (1)'!$A$34:$AN$735,28,FALSE)</f>
        <v>Yes</v>
      </c>
      <c r="S379" s="16" t="str">
        <f>VLOOKUP($A379,'SurveyRpt_20150223 (1)'!$A$34:$AN$735,30,FALSE)</f>
        <v>Yes</v>
      </c>
      <c r="T379" s="16" t="str">
        <f>VLOOKUP($A379,'SurveyRpt_20150223 (1)'!$A$34:$AN$735,32,FALSE)</f>
        <v>No</v>
      </c>
      <c r="U379" s="16" t="str">
        <f>VLOOKUP($A379,'SurveyRpt_20150223 (1)'!$A$34:$AN$735,34,FALSE)</f>
        <v>No</v>
      </c>
      <c r="V379" s="16" t="str">
        <f>VLOOKUP($A379,'SurveyRpt_20150223 (1)'!$A$34:$AN$735,36,FALSE)</f>
        <v>Yes</v>
      </c>
      <c r="W379" s="16" t="str">
        <f>VLOOKUP($A379,'SurveyRpt_20150223 (1)'!$A$34:$AN$735,38,FALSE)</f>
        <v>No</v>
      </c>
    </row>
    <row r="380" spans="1:23" ht="13.5" customHeight="1" x14ac:dyDescent="0.25">
      <c r="A380" s="19" t="s">
        <v>473</v>
      </c>
      <c r="B380" s="19" t="str">
        <f t="shared" si="5"/>
        <v>DMARIAJOSEPH</v>
      </c>
      <c r="C380" s="16" t="str">
        <f>VLOOKUP(B380,'Compiled Agents'!A:H,2,FALSE)</f>
        <v>Workplace</v>
      </c>
      <c r="D380" s="16" t="str">
        <f>VLOOKUP(B380,'Compiled Agents'!A:H,4,FALSE)</f>
        <v>Noida</v>
      </c>
      <c r="E380" s="16" t="str">
        <f>VLOOKUP(B380,'Compiled Agents'!A:H,5,FALSE)</f>
        <v>Wave1</v>
      </c>
      <c r="F380" s="16" t="str">
        <f>VLOOKUP(B380,'Compiled Agents'!A:H,6,FALSE)</f>
        <v>Yellow</v>
      </c>
      <c r="G380" s="16">
        <f>VLOOKUP($A380,'SurveyRpt_20150223 (1)'!$A$34:$AN$735,6,FALSE)</f>
        <v>16</v>
      </c>
      <c r="H380" s="16" t="str">
        <f>VLOOKUP($A380,'SurveyRpt_20150223 (1)'!$A$34:$AN$735,8,FALSE)</f>
        <v>Yes</v>
      </c>
      <c r="I380" s="16" t="str">
        <f>VLOOKUP($A380,'SurveyRpt_20150223 (1)'!$A$34:$AN$735,10,FALSE)</f>
        <v>Yes</v>
      </c>
      <c r="J380" s="16" t="str">
        <f>VLOOKUP($A380,'SurveyRpt_20150223 (1)'!$A$34:$AN$735,12,FALSE)</f>
        <v>Yes</v>
      </c>
      <c r="K380" s="16" t="str">
        <f>VLOOKUP($A380,'SurveyRpt_20150223 (1)'!$A$34:$AN$735,14,FALSE)</f>
        <v>Yes</v>
      </c>
      <c r="L380" s="16" t="str">
        <f>VLOOKUP($A380,'SurveyRpt_20150223 (1)'!$A$34:$AN$735,16,FALSE)</f>
        <v>Yes</v>
      </c>
      <c r="M380" s="16" t="str">
        <f>VLOOKUP($A380,'SurveyRpt_20150223 (1)'!$A$34:$AN$735,18,FALSE)</f>
        <v>Yes</v>
      </c>
      <c r="N380" s="16" t="str">
        <f>VLOOKUP($A380,'SurveyRpt_20150223 (1)'!$A$34:$AN$735,20,FALSE)</f>
        <v>Yes</v>
      </c>
      <c r="O380" s="16" t="str">
        <f>VLOOKUP($A380,'SurveyRpt_20150223 (1)'!$A$34:$AN$735,22,FALSE)</f>
        <v>Yes</v>
      </c>
      <c r="P380" s="16" t="str">
        <f>VLOOKUP($A380,'SurveyRpt_20150223 (1)'!$A$34:$AN$735,24,FALSE)</f>
        <v>Yes</v>
      </c>
      <c r="Q380" s="16" t="str">
        <f>VLOOKUP($A380,'SurveyRpt_20150223 (1)'!$A$34:$AN$735,26,FALSE)</f>
        <v>Yes</v>
      </c>
      <c r="R380" s="16" t="str">
        <f>VLOOKUP($A380,'SurveyRpt_20150223 (1)'!$A$34:$AN$735,28,FALSE)</f>
        <v>Yes</v>
      </c>
      <c r="S380" s="16" t="str">
        <f>VLOOKUP($A380,'SurveyRpt_20150223 (1)'!$A$34:$AN$735,30,FALSE)</f>
        <v>Yes</v>
      </c>
      <c r="T380" s="16" t="str">
        <f>VLOOKUP($A380,'SurveyRpt_20150223 (1)'!$A$34:$AN$735,32,FALSE)</f>
        <v>Yes</v>
      </c>
      <c r="U380" s="16" t="str">
        <f>VLOOKUP($A380,'SurveyRpt_20150223 (1)'!$A$34:$AN$735,34,FALSE)</f>
        <v>Yes</v>
      </c>
      <c r="V380" s="16" t="str">
        <f>VLOOKUP($A380,'SurveyRpt_20150223 (1)'!$A$34:$AN$735,36,FALSE)</f>
        <v>Yes</v>
      </c>
      <c r="W380" s="16" t="str">
        <f>VLOOKUP($A380,'SurveyRpt_20150223 (1)'!$A$34:$AN$735,38,FALSE)</f>
        <v>Yes</v>
      </c>
    </row>
    <row r="381" spans="1:23" ht="13.5" customHeight="1" x14ac:dyDescent="0.25">
      <c r="A381" s="19" t="s">
        <v>474</v>
      </c>
      <c r="B381" s="19" t="str">
        <f t="shared" si="5"/>
        <v>RLOVELLJ</v>
      </c>
      <c r="C381" s="16" t="str">
        <f>VLOOKUP(B381,'Compiled Agents'!A:H,2,FALSE)</f>
        <v>Workplace</v>
      </c>
      <c r="D381" s="16" t="str">
        <f>VLOOKUP(B381,'Compiled Agents'!A:H,4,FALSE)</f>
        <v>MBC US</v>
      </c>
      <c r="E381" s="16" t="str">
        <f>VLOOKUP(B381,'Compiled Agents'!A:H,5,FALSE)</f>
        <v>Wave2</v>
      </c>
      <c r="F381" s="16" t="str">
        <f>VLOOKUP(B381,'Compiled Agents'!A:H,6,FALSE)</f>
        <v>Yellow</v>
      </c>
      <c r="G381" s="16">
        <f>VLOOKUP($A381,'SurveyRpt_20150223 (1)'!$A$34:$AN$735,6,FALSE)</f>
        <v>12</v>
      </c>
      <c r="H381" s="16" t="str">
        <f>VLOOKUP($A381,'SurveyRpt_20150223 (1)'!$A$34:$AN$735,8,FALSE)</f>
        <v>Yes</v>
      </c>
      <c r="I381" s="16" t="str">
        <f>VLOOKUP($A381,'SurveyRpt_20150223 (1)'!$A$34:$AN$735,10,FALSE)</f>
        <v>Yes</v>
      </c>
      <c r="J381" s="16" t="str">
        <f>VLOOKUP($A381,'SurveyRpt_20150223 (1)'!$A$34:$AN$735,12,FALSE)</f>
        <v>Yes</v>
      </c>
      <c r="K381" s="16" t="str">
        <f>VLOOKUP($A381,'SurveyRpt_20150223 (1)'!$A$34:$AN$735,14,FALSE)</f>
        <v>No</v>
      </c>
      <c r="L381" s="16" t="str">
        <f>VLOOKUP($A381,'SurveyRpt_20150223 (1)'!$A$34:$AN$735,16,FALSE)</f>
        <v>Yes</v>
      </c>
      <c r="M381" s="16" t="str">
        <f>VLOOKUP($A381,'SurveyRpt_20150223 (1)'!$A$34:$AN$735,18,FALSE)</f>
        <v>Yes</v>
      </c>
      <c r="N381" s="16" t="str">
        <f>VLOOKUP($A381,'SurveyRpt_20150223 (1)'!$A$34:$AN$735,20,FALSE)</f>
        <v>No</v>
      </c>
      <c r="O381" s="16" t="str">
        <f>VLOOKUP($A381,'SurveyRpt_20150223 (1)'!$A$34:$AN$735,22,FALSE)</f>
        <v>Yes</v>
      </c>
      <c r="P381" s="16" t="str">
        <f>VLOOKUP($A381,'SurveyRpt_20150223 (1)'!$A$34:$AN$735,24,FALSE)</f>
        <v>No</v>
      </c>
      <c r="Q381" s="16" t="str">
        <f>VLOOKUP($A381,'SurveyRpt_20150223 (1)'!$A$34:$AN$735,26,FALSE)</f>
        <v>Yes</v>
      </c>
      <c r="R381" s="16" t="str">
        <f>VLOOKUP($A381,'SurveyRpt_20150223 (1)'!$A$34:$AN$735,28,FALSE)</f>
        <v>Yes</v>
      </c>
      <c r="S381" s="16" t="str">
        <f>VLOOKUP($A381,'SurveyRpt_20150223 (1)'!$A$34:$AN$735,30,FALSE)</f>
        <v>No</v>
      </c>
      <c r="T381" s="16" t="str">
        <f>VLOOKUP($A381,'SurveyRpt_20150223 (1)'!$A$34:$AN$735,32,FALSE)</f>
        <v>Yes</v>
      </c>
      <c r="U381" s="16" t="str">
        <f>VLOOKUP($A381,'SurveyRpt_20150223 (1)'!$A$34:$AN$735,34,FALSE)</f>
        <v>Yes</v>
      </c>
      <c r="V381" s="16" t="str">
        <f>VLOOKUP($A381,'SurveyRpt_20150223 (1)'!$A$34:$AN$735,36,FALSE)</f>
        <v>Yes</v>
      </c>
      <c r="W381" s="16" t="str">
        <f>VLOOKUP($A381,'SurveyRpt_20150223 (1)'!$A$34:$AN$735,38,FALSE)</f>
        <v>Yes</v>
      </c>
    </row>
    <row r="382" spans="1:23" ht="13.5" customHeight="1" x14ac:dyDescent="0.25">
      <c r="A382" s="19" t="s">
        <v>475</v>
      </c>
      <c r="B382" s="19" t="str">
        <f t="shared" si="5"/>
        <v>ALAKHANPAL</v>
      </c>
      <c r="C382" s="16" t="str">
        <f>VLOOKUP(B382,'Compiled Agents'!A:H,2,FALSE)</f>
        <v>Platform</v>
      </c>
      <c r="D382" s="16" t="str">
        <f>VLOOKUP(B382,'Compiled Agents'!A:H,4,FALSE)</f>
        <v>Noida</v>
      </c>
      <c r="E382" s="16" t="str">
        <f>VLOOKUP(B382,'Compiled Agents'!A:H,5,FALSE)</f>
        <v>Wave1</v>
      </c>
      <c r="F382" s="16" t="str">
        <f>VLOOKUP(B382,'Compiled Agents'!A:H,6,FALSE)</f>
        <v>Blue</v>
      </c>
      <c r="G382" s="16">
        <f>VLOOKUP($A382,'SurveyRpt_20150223 (1)'!$A$34:$AN$735,6,FALSE)</f>
        <v>1</v>
      </c>
      <c r="H382" s="16" t="str">
        <f>VLOOKUP($A382,'SurveyRpt_20150223 (1)'!$A$34:$AN$735,8,FALSE)</f>
        <v>No</v>
      </c>
      <c r="I382" s="16" t="str">
        <f>VLOOKUP($A382,'SurveyRpt_20150223 (1)'!$A$34:$AN$735,10,FALSE)</f>
        <v>No</v>
      </c>
      <c r="J382" s="16" t="str">
        <f>VLOOKUP($A382,'SurveyRpt_20150223 (1)'!$A$34:$AN$735,12,FALSE)</f>
        <v>No</v>
      </c>
      <c r="K382" s="16" t="str">
        <f>VLOOKUP($A382,'SurveyRpt_20150223 (1)'!$A$34:$AN$735,14,FALSE)</f>
        <v>No</v>
      </c>
      <c r="L382" s="16" t="str">
        <f>VLOOKUP($A382,'SurveyRpt_20150223 (1)'!$A$34:$AN$735,16,FALSE)</f>
        <v>No</v>
      </c>
      <c r="M382" s="16" t="str">
        <f>VLOOKUP($A382,'SurveyRpt_20150223 (1)'!$A$34:$AN$735,18,FALSE)</f>
        <v>No</v>
      </c>
      <c r="N382" s="16" t="str">
        <f>VLOOKUP($A382,'SurveyRpt_20150223 (1)'!$A$34:$AN$735,20,FALSE)</f>
        <v>No</v>
      </c>
      <c r="O382" s="16" t="str">
        <f>VLOOKUP($A382,'SurveyRpt_20150223 (1)'!$A$34:$AN$735,22,FALSE)</f>
        <v>No</v>
      </c>
      <c r="P382" s="16" t="str">
        <f>VLOOKUP($A382,'SurveyRpt_20150223 (1)'!$A$34:$AN$735,24,FALSE)</f>
        <v>No</v>
      </c>
      <c r="Q382" s="16" t="str">
        <f>VLOOKUP($A382,'SurveyRpt_20150223 (1)'!$A$34:$AN$735,26,FALSE)</f>
        <v>No</v>
      </c>
      <c r="R382" s="16" t="str">
        <f>VLOOKUP($A382,'SurveyRpt_20150223 (1)'!$A$34:$AN$735,28,FALSE)</f>
        <v>No</v>
      </c>
      <c r="S382" s="16" t="str">
        <f>VLOOKUP($A382,'SurveyRpt_20150223 (1)'!$A$34:$AN$735,30,FALSE)</f>
        <v>Yes</v>
      </c>
      <c r="T382" s="16" t="str">
        <f>VLOOKUP($A382,'SurveyRpt_20150223 (1)'!$A$34:$AN$735,32,FALSE)</f>
        <v>No</v>
      </c>
      <c r="U382" s="16" t="str">
        <f>VLOOKUP($A382,'SurveyRpt_20150223 (1)'!$A$34:$AN$735,34,FALSE)</f>
        <v>No</v>
      </c>
      <c r="V382" s="16" t="str">
        <f>VLOOKUP($A382,'SurveyRpt_20150223 (1)'!$A$34:$AN$735,36,FALSE)</f>
        <v>No</v>
      </c>
      <c r="W382" s="16" t="str">
        <f>VLOOKUP($A382,'SurveyRpt_20150223 (1)'!$A$34:$AN$735,38,FALSE)</f>
        <v>No</v>
      </c>
    </row>
    <row r="383" spans="1:23" ht="13.5" customHeight="1" x14ac:dyDescent="0.25">
      <c r="A383" s="19" t="s">
        <v>476</v>
      </c>
      <c r="B383" s="19" t="str">
        <f t="shared" si="5"/>
        <v>pmenendezpel</v>
      </c>
      <c r="C383" s="16" t="str">
        <f>VLOOKUP(B383,'Compiled Agents'!A:H,2,FALSE)</f>
        <v>Platform</v>
      </c>
      <c r="D383" s="16" t="str">
        <f>VLOOKUP(B383,'Compiled Agents'!A:H,4,FALSE)</f>
        <v>Spain</v>
      </c>
      <c r="E383" s="16" t="str">
        <f>VLOOKUP(B383,'Compiled Agents'!A:H,5,FALSE)</f>
        <v>Wave1</v>
      </c>
      <c r="F383" s="16" t="str">
        <f>VLOOKUP(B383,'Compiled Agents'!A:H,6,FALSE)</f>
        <v>Yellow</v>
      </c>
      <c r="G383" s="16">
        <f>VLOOKUP($A383,'SurveyRpt_20150223 (1)'!$A$34:$AN$735,6,FALSE)</f>
        <v>10</v>
      </c>
      <c r="H383" s="16" t="str">
        <f>VLOOKUP($A383,'SurveyRpt_20150223 (1)'!$A$34:$AN$735,8,FALSE)</f>
        <v>Yes</v>
      </c>
      <c r="I383" s="16" t="str">
        <f>VLOOKUP($A383,'SurveyRpt_20150223 (1)'!$A$34:$AN$735,10,FALSE)</f>
        <v>Yes</v>
      </c>
      <c r="J383" s="16" t="str">
        <f>VLOOKUP($A383,'SurveyRpt_20150223 (1)'!$A$34:$AN$735,12,FALSE)</f>
        <v>No</v>
      </c>
      <c r="K383" s="16" t="str">
        <f>VLOOKUP($A383,'SurveyRpt_20150223 (1)'!$A$34:$AN$735,14,FALSE)</f>
        <v>No</v>
      </c>
      <c r="L383" s="16" t="str">
        <f>VLOOKUP($A383,'SurveyRpt_20150223 (1)'!$A$34:$AN$735,16,FALSE)</f>
        <v>Yes</v>
      </c>
      <c r="M383" s="16" t="str">
        <f>VLOOKUP($A383,'SurveyRpt_20150223 (1)'!$A$34:$AN$735,18,FALSE)</f>
        <v>Yes</v>
      </c>
      <c r="N383" s="16" t="str">
        <f>VLOOKUP($A383,'SurveyRpt_20150223 (1)'!$A$34:$AN$735,20,FALSE)</f>
        <v>Yes</v>
      </c>
      <c r="O383" s="16" t="str">
        <f>VLOOKUP($A383,'SurveyRpt_20150223 (1)'!$A$34:$AN$735,22,FALSE)</f>
        <v>No</v>
      </c>
      <c r="P383" s="16" t="str">
        <f>VLOOKUP($A383,'SurveyRpt_20150223 (1)'!$A$34:$AN$735,24,FALSE)</f>
        <v>Yes</v>
      </c>
      <c r="Q383" s="16" t="str">
        <f>VLOOKUP($A383,'SurveyRpt_20150223 (1)'!$A$34:$AN$735,26,FALSE)</f>
        <v>Yes</v>
      </c>
      <c r="R383" s="16" t="str">
        <f>VLOOKUP($A383,'SurveyRpt_20150223 (1)'!$A$34:$AN$735,28,FALSE)</f>
        <v>Yes</v>
      </c>
      <c r="S383" s="16" t="str">
        <f>VLOOKUP($A383,'SurveyRpt_20150223 (1)'!$A$34:$AN$735,30,FALSE)</f>
        <v>Yes</v>
      </c>
      <c r="T383" s="16" t="str">
        <f>VLOOKUP($A383,'SurveyRpt_20150223 (1)'!$A$34:$AN$735,32,FALSE)</f>
        <v>No</v>
      </c>
      <c r="U383" s="16" t="str">
        <f>VLOOKUP($A383,'SurveyRpt_20150223 (1)'!$A$34:$AN$735,34,FALSE)</f>
        <v>No</v>
      </c>
      <c r="V383" s="16" t="str">
        <f>VLOOKUP($A383,'SurveyRpt_20150223 (1)'!$A$34:$AN$735,36,FALSE)</f>
        <v>Yes</v>
      </c>
      <c r="W383" s="16" t="str">
        <f>VLOOKUP($A383,'SurveyRpt_20150223 (1)'!$A$34:$AN$735,38,FALSE)</f>
        <v>No</v>
      </c>
    </row>
    <row r="384" spans="1:23" ht="13.5" customHeight="1" x14ac:dyDescent="0.25">
      <c r="A384" s="19" t="s">
        <v>477</v>
      </c>
      <c r="B384" s="19" t="str">
        <f t="shared" si="5"/>
        <v>esanchezlage</v>
      </c>
      <c r="C384" s="16" t="str">
        <f>VLOOKUP(B384,'Compiled Agents'!A:H,2,FALSE)</f>
        <v>Workplace</v>
      </c>
      <c r="D384" s="16" t="str">
        <f>VLOOKUP(B384,'Compiled Agents'!A:H,4,FALSE)</f>
        <v>Spain</v>
      </c>
      <c r="E384" s="16" t="str">
        <f>VLOOKUP(B384,'Compiled Agents'!A:H,5,FALSE)</f>
        <v>Wave1</v>
      </c>
      <c r="F384" s="16" t="str">
        <f>VLOOKUP(B384,'Compiled Agents'!A:H,6,FALSE)</f>
        <v>Blue</v>
      </c>
      <c r="G384" s="16">
        <f>VLOOKUP($A384,'SurveyRpt_20150223 (1)'!$A$34:$AN$735,6,FALSE)</f>
        <v>13</v>
      </c>
      <c r="H384" s="16" t="str">
        <f>VLOOKUP($A384,'SurveyRpt_20150223 (1)'!$A$34:$AN$735,8,FALSE)</f>
        <v>Yes</v>
      </c>
      <c r="I384" s="16" t="str">
        <f>VLOOKUP($A384,'SurveyRpt_20150223 (1)'!$A$34:$AN$735,10,FALSE)</f>
        <v>Yes</v>
      </c>
      <c r="J384" s="16" t="str">
        <f>VLOOKUP($A384,'SurveyRpt_20150223 (1)'!$A$34:$AN$735,12,FALSE)</f>
        <v>No</v>
      </c>
      <c r="K384" s="16" t="str">
        <f>VLOOKUP($A384,'SurveyRpt_20150223 (1)'!$A$34:$AN$735,14,FALSE)</f>
        <v>Yes</v>
      </c>
      <c r="L384" s="16" t="str">
        <f>VLOOKUP($A384,'SurveyRpt_20150223 (1)'!$A$34:$AN$735,16,FALSE)</f>
        <v>Yes</v>
      </c>
      <c r="M384" s="16" t="str">
        <f>VLOOKUP($A384,'SurveyRpt_20150223 (1)'!$A$34:$AN$735,18,FALSE)</f>
        <v>Yes</v>
      </c>
      <c r="N384" s="16" t="str">
        <f>VLOOKUP($A384,'SurveyRpt_20150223 (1)'!$A$34:$AN$735,20,FALSE)</f>
        <v>Yes</v>
      </c>
      <c r="O384" s="16" t="str">
        <f>VLOOKUP($A384,'SurveyRpt_20150223 (1)'!$A$34:$AN$735,22,FALSE)</f>
        <v>Yes</v>
      </c>
      <c r="P384" s="16" t="str">
        <f>VLOOKUP($A384,'SurveyRpt_20150223 (1)'!$A$34:$AN$735,24,FALSE)</f>
        <v>No</v>
      </c>
      <c r="Q384" s="16" t="str">
        <f>VLOOKUP($A384,'SurveyRpt_20150223 (1)'!$A$34:$AN$735,26,FALSE)</f>
        <v>Yes</v>
      </c>
      <c r="R384" s="16" t="str">
        <f>VLOOKUP($A384,'SurveyRpt_20150223 (1)'!$A$34:$AN$735,28,FALSE)</f>
        <v>Yes</v>
      </c>
      <c r="S384" s="16" t="str">
        <f>VLOOKUP($A384,'SurveyRpt_20150223 (1)'!$A$34:$AN$735,30,FALSE)</f>
        <v>Yes</v>
      </c>
      <c r="T384" s="16" t="str">
        <f>VLOOKUP($A384,'SurveyRpt_20150223 (1)'!$A$34:$AN$735,32,FALSE)</f>
        <v>Yes</v>
      </c>
      <c r="U384" s="16" t="str">
        <f>VLOOKUP($A384,'SurveyRpt_20150223 (1)'!$A$34:$AN$735,34,FALSE)</f>
        <v>Yes</v>
      </c>
      <c r="V384" s="16" t="str">
        <f>VLOOKUP($A384,'SurveyRpt_20150223 (1)'!$A$34:$AN$735,36,FALSE)</f>
        <v>Yes</v>
      </c>
      <c r="W384" s="16" t="str">
        <f>VLOOKUP($A384,'SurveyRpt_20150223 (1)'!$A$34:$AN$735,38,FALSE)</f>
        <v>No</v>
      </c>
    </row>
    <row r="385" spans="1:23" ht="13.5" customHeight="1" x14ac:dyDescent="0.25">
      <c r="A385" s="19" t="s">
        <v>478</v>
      </c>
      <c r="B385" s="19" t="str">
        <f t="shared" si="5"/>
        <v>AGUNJUTE</v>
      </c>
      <c r="C385" s="16" t="str">
        <f>VLOOKUP(B385,'Compiled Agents'!A:H,2,FALSE)</f>
        <v>Platform</v>
      </c>
      <c r="D385" s="16" t="str">
        <f>VLOOKUP(B385,'Compiled Agents'!A:H,4,FALSE)</f>
        <v>Hyderabad</v>
      </c>
      <c r="E385" s="16" t="str">
        <f>VLOOKUP(B385,'Compiled Agents'!A:H,5,FALSE)</f>
        <v>Wave1</v>
      </c>
      <c r="F385" s="16" t="str">
        <f>VLOOKUP(B385,'Compiled Agents'!A:H,6,FALSE)</f>
        <v>Orange</v>
      </c>
      <c r="G385" s="16">
        <f>VLOOKUP($A385,'SurveyRpt_20150223 (1)'!$A$34:$AN$735,6,FALSE)</f>
        <v>16</v>
      </c>
      <c r="H385" s="16" t="str">
        <f>VLOOKUP($A385,'SurveyRpt_20150223 (1)'!$A$34:$AN$735,8,FALSE)</f>
        <v>Yes</v>
      </c>
      <c r="I385" s="16" t="str">
        <f>VLOOKUP($A385,'SurveyRpt_20150223 (1)'!$A$34:$AN$735,10,FALSE)</f>
        <v>Yes</v>
      </c>
      <c r="J385" s="16" t="str">
        <f>VLOOKUP($A385,'SurveyRpt_20150223 (1)'!$A$34:$AN$735,12,FALSE)</f>
        <v>Yes</v>
      </c>
      <c r="K385" s="16" t="str">
        <f>VLOOKUP($A385,'SurveyRpt_20150223 (1)'!$A$34:$AN$735,14,FALSE)</f>
        <v>Yes</v>
      </c>
      <c r="L385" s="16" t="str">
        <f>VLOOKUP($A385,'SurveyRpt_20150223 (1)'!$A$34:$AN$735,16,FALSE)</f>
        <v>Yes</v>
      </c>
      <c r="M385" s="16" t="str">
        <f>VLOOKUP($A385,'SurveyRpt_20150223 (1)'!$A$34:$AN$735,18,FALSE)</f>
        <v>Yes</v>
      </c>
      <c r="N385" s="16" t="str">
        <f>VLOOKUP($A385,'SurveyRpt_20150223 (1)'!$A$34:$AN$735,20,FALSE)</f>
        <v>Yes</v>
      </c>
      <c r="O385" s="16" t="str">
        <f>VLOOKUP($A385,'SurveyRpt_20150223 (1)'!$A$34:$AN$735,22,FALSE)</f>
        <v>Yes</v>
      </c>
      <c r="P385" s="16" t="str">
        <f>VLOOKUP($A385,'SurveyRpt_20150223 (1)'!$A$34:$AN$735,24,FALSE)</f>
        <v>Yes</v>
      </c>
      <c r="Q385" s="16" t="str">
        <f>VLOOKUP($A385,'SurveyRpt_20150223 (1)'!$A$34:$AN$735,26,FALSE)</f>
        <v>Yes</v>
      </c>
      <c r="R385" s="16" t="str">
        <f>VLOOKUP($A385,'SurveyRpt_20150223 (1)'!$A$34:$AN$735,28,FALSE)</f>
        <v>Yes</v>
      </c>
      <c r="S385" s="16" t="str">
        <f>VLOOKUP($A385,'SurveyRpt_20150223 (1)'!$A$34:$AN$735,30,FALSE)</f>
        <v>Yes</v>
      </c>
      <c r="T385" s="16" t="str">
        <f>VLOOKUP($A385,'SurveyRpt_20150223 (1)'!$A$34:$AN$735,32,FALSE)</f>
        <v>Yes</v>
      </c>
      <c r="U385" s="16" t="str">
        <f>VLOOKUP($A385,'SurveyRpt_20150223 (1)'!$A$34:$AN$735,34,FALSE)</f>
        <v>Yes</v>
      </c>
      <c r="V385" s="16" t="str">
        <f>VLOOKUP($A385,'SurveyRpt_20150223 (1)'!$A$34:$AN$735,36,FALSE)</f>
        <v>Yes</v>
      </c>
      <c r="W385" s="16" t="str">
        <f>VLOOKUP($A385,'SurveyRpt_20150223 (1)'!$A$34:$AN$735,38,FALSE)</f>
        <v>Yes</v>
      </c>
    </row>
    <row r="386" spans="1:23" ht="13.5" customHeight="1" x14ac:dyDescent="0.25">
      <c r="A386" s="19" t="s">
        <v>479</v>
      </c>
      <c r="B386" s="19" t="str">
        <f t="shared" si="5"/>
        <v>MCHILUKA</v>
      </c>
      <c r="C386" s="16" t="str">
        <f>VLOOKUP(B386,'Compiled Agents'!A:H,2,FALSE)</f>
        <v>Platform</v>
      </c>
      <c r="D386" s="16" t="str">
        <f>VLOOKUP(B386,'Compiled Agents'!A:H,4,FALSE)</f>
        <v>Noida</v>
      </c>
      <c r="E386" s="16" t="str">
        <f>VLOOKUP(B386,'Compiled Agents'!A:H,5,FALSE)</f>
        <v>Wave1</v>
      </c>
      <c r="F386" s="16" t="str">
        <f>VLOOKUP(B386,'Compiled Agents'!A:H,6,FALSE)</f>
        <v>Purple</v>
      </c>
      <c r="G386" s="16">
        <f>VLOOKUP($A386,'SurveyRpt_20150223 (1)'!$A$34:$AN$735,6,FALSE)</f>
        <v>16</v>
      </c>
      <c r="H386" s="16" t="str">
        <f>VLOOKUP($A386,'SurveyRpt_20150223 (1)'!$A$34:$AN$735,8,FALSE)</f>
        <v>Yes</v>
      </c>
      <c r="I386" s="16" t="str">
        <f>VLOOKUP($A386,'SurveyRpt_20150223 (1)'!$A$34:$AN$735,10,FALSE)</f>
        <v>Yes</v>
      </c>
      <c r="J386" s="16" t="str">
        <f>VLOOKUP($A386,'SurveyRpt_20150223 (1)'!$A$34:$AN$735,12,FALSE)</f>
        <v>Yes</v>
      </c>
      <c r="K386" s="16" t="str">
        <f>VLOOKUP($A386,'SurveyRpt_20150223 (1)'!$A$34:$AN$735,14,FALSE)</f>
        <v>Yes</v>
      </c>
      <c r="L386" s="16" t="str">
        <f>VLOOKUP($A386,'SurveyRpt_20150223 (1)'!$A$34:$AN$735,16,FALSE)</f>
        <v>Yes</v>
      </c>
      <c r="M386" s="16" t="str">
        <f>VLOOKUP($A386,'SurveyRpt_20150223 (1)'!$A$34:$AN$735,18,FALSE)</f>
        <v>Yes</v>
      </c>
      <c r="N386" s="16" t="str">
        <f>VLOOKUP($A386,'SurveyRpt_20150223 (1)'!$A$34:$AN$735,20,FALSE)</f>
        <v>Yes</v>
      </c>
      <c r="O386" s="16" t="str">
        <f>VLOOKUP($A386,'SurveyRpt_20150223 (1)'!$A$34:$AN$735,22,FALSE)</f>
        <v>Yes</v>
      </c>
      <c r="P386" s="16" t="str">
        <f>VLOOKUP($A386,'SurveyRpt_20150223 (1)'!$A$34:$AN$735,24,FALSE)</f>
        <v>Yes</v>
      </c>
      <c r="Q386" s="16" t="str">
        <f>VLOOKUP($A386,'SurveyRpt_20150223 (1)'!$A$34:$AN$735,26,FALSE)</f>
        <v>Yes</v>
      </c>
      <c r="R386" s="16" t="str">
        <f>VLOOKUP($A386,'SurveyRpt_20150223 (1)'!$A$34:$AN$735,28,FALSE)</f>
        <v>Yes</v>
      </c>
      <c r="S386" s="16" t="str">
        <f>VLOOKUP($A386,'SurveyRpt_20150223 (1)'!$A$34:$AN$735,30,FALSE)</f>
        <v>Yes</v>
      </c>
      <c r="T386" s="16" t="str">
        <f>VLOOKUP($A386,'SurveyRpt_20150223 (1)'!$A$34:$AN$735,32,FALSE)</f>
        <v>Yes</v>
      </c>
      <c r="U386" s="16" t="str">
        <f>VLOOKUP($A386,'SurveyRpt_20150223 (1)'!$A$34:$AN$735,34,FALSE)</f>
        <v>Yes</v>
      </c>
      <c r="V386" s="16" t="str">
        <f>VLOOKUP($A386,'SurveyRpt_20150223 (1)'!$A$34:$AN$735,36,FALSE)</f>
        <v>Yes</v>
      </c>
      <c r="W386" s="16" t="str">
        <f>VLOOKUP($A386,'SurveyRpt_20150223 (1)'!$A$34:$AN$735,38,FALSE)</f>
        <v>Yes</v>
      </c>
    </row>
    <row r="387" spans="1:23" ht="13.5" customHeight="1" x14ac:dyDescent="0.25">
      <c r="A387" s="19" t="s">
        <v>480</v>
      </c>
      <c r="B387" s="19" t="str">
        <f t="shared" ref="B387:B450" si="6">TRIM(LEFT(A387,FIND("@",A387)-1))</f>
        <v>GGADAMSETTY</v>
      </c>
      <c r="C387" s="16" t="str">
        <f>VLOOKUP(B387,'Compiled Agents'!A:H,2,FALSE)</f>
        <v>Platform</v>
      </c>
      <c r="D387" s="16" t="str">
        <f>VLOOKUP(B387,'Compiled Agents'!A:H,4,FALSE)</f>
        <v>Hyderabad</v>
      </c>
      <c r="E387" s="16" t="str">
        <f>VLOOKUP(B387,'Compiled Agents'!A:H,5,FALSE)</f>
        <v>Wave1</v>
      </c>
      <c r="F387" s="16" t="str">
        <f>VLOOKUP(B387,'Compiled Agents'!A:H,6,FALSE)</f>
        <v>Orange</v>
      </c>
      <c r="G387" s="16">
        <f>VLOOKUP($A387,'SurveyRpt_20150223 (1)'!$A$34:$AN$735,6,FALSE)</f>
        <v>15</v>
      </c>
      <c r="H387" s="16" t="str">
        <f>VLOOKUP($A387,'SurveyRpt_20150223 (1)'!$A$34:$AN$735,8,FALSE)</f>
        <v>Yes</v>
      </c>
      <c r="I387" s="16" t="str">
        <f>VLOOKUP($A387,'SurveyRpt_20150223 (1)'!$A$34:$AN$735,10,FALSE)</f>
        <v>Yes</v>
      </c>
      <c r="J387" s="16" t="str">
        <f>VLOOKUP($A387,'SurveyRpt_20150223 (1)'!$A$34:$AN$735,12,FALSE)</f>
        <v>No</v>
      </c>
      <c r="K387" s="16" t="str">
        <f>VLOOKUP($A387,'SurveyRpt_20150223 (1)'!$A$34:$AN$735,14,FALSE)</f>
        <v>Yes</v>
      </c>
      <c r="L387" s="16" t="str">
        <f>VLOOKUP($A387,'SurveyRpt_20150223 (1)'!$A$34:$AN$735,16,FALSE)</f>
        <v>Yes</v>
      </c>
      <c r="M387" s="16" t="str">
        <f>VLOOKUP($A387,'SurveyRpt_20150223 (1)'!$A$34:$AN$735,18,FALSE)</f>
        <v>Yes</v>
      </c>
      <c r="N387" s="16" t="str">
        <f>VLOOKUP($A387,'SurveyRpt_20150223 (1)'!$A$34:$AN$735,20,FALSE)</f>
        <v>Yes</v>
      </c>
      <c r="O387" s="16" t="str">
        <f>VLOOKUP($A387,'SurveyRpt_20150223 (1)'!$A$34:$AN$735,22,FALSE)</f>
        <v>Yes</v>
      </c>
      <c r="P387" s="16" t="str">
        <f>VLOOKUP($A387,'SurveyRpt_20150223 (1)'!$A$34:$AN$735,24,FALSE)</f>
        <v>Yes</v>
      </c>
      <c r="Q387" s="16" t="str">
        <f>VLOOKUP($A387,'SurveyRpt_20150223 (1)'!$A$34:$AN$735,26,FALSE)</f>
        <v>Yes</v>
      </c>
      <c r="R387" s="16" t="str">
        <f>VLOOKUP($A387,'SurveyRpt_20150223 (1)'!$A$34:$AN$735,28,FALSE)</f>
        <v>Yes</v>
      </c>
      <c r="S387" s="16" t="str">
        <f>VLOOKUP($A387,'SurveyRpt_20150223 (1)'!$A$34:$AN$735,30,FALSE)</f>
        <v>Yes</v>
      </c>
      <c r="T387" s="16" t="str">
        <f>VLOOKUP($A387,'SurveyRpt_20150223 (1)'!$A$34:$AN$735,32,FALSE)</f>
        <v>Yes</v>
      </c>
      <c r="U387" s="16" t="str">
        <f>VLOOKUP($A387,'SurveyRpt_20150223 (1)'!$A$34:$AN$735,34,FALSE)</f>
        <v>Yes</v>
      </c>
      <c r="V387" s="16" t="str">
        <f>VLOOKUP($A387,'SurveyRpt_20150223 (1)'!$A$34:$AN$735,36,FALSE)</f>
        <v>Yes</v>
      </c>
      <c r="W387" s="16" t="str">
        <f>VLOOKUP($A387,'SurveyRpt_20150223 (1)'!$A$34:$AN$735,38,FALSE)</f>
        <v>Yes</v>
      </c>
    </row>
    <row r="388" spans="1:23" ht="13.5" customHeight="1" x14ac:dyDescent="0.25">
      <c r="A388" s="19" t="s">
        <v>481</v>
      </c>
      <c r="B388" s="19" t="str">
        <f t="shared" si="6"/>
        <v>MRAO28</v>
      </c>
      <c r="C388" s="16" t="str">
        <f>VLOOKUP(B388,'Compiled Agents'!A:H,2,FALSE)</f>
        <v>Workplace</v>
      </c>
      <c r="D388" s="16" t="str">
        <f>VLOOKUP(B388,'Compiled Agents'!A:H,4,FALSE)</f>
        <v>Hyderabad</v>
      </c>
      <c r="E388" s="16" t="str">
        <f>VLOOKUP(B388,'Compiled Agents'!A:H,5,FALSE)</f>
        <v>Wave2</v>
      </c>
      <c r="F388" s="16" t="str">
        <f>VLOOKUP(B388,'Compiled Agents'!A:H,6,FALSE)</f>
        <v>Yellow</v>
      </c>
      <c r="G388" s="16">
        <f>VLOOKUP($A388,'SurveyRpt_20150223 (1)'!$A$34:$AN$735,6,FALSE)</f>
        <v>16</v>
      </c>
      <c r="H388" s="16" t="str">
        <f>VLOOKUP($A388,'SurveyRpt_20150223 (1)'!$A$34:$AN$735,8,FALSE)</f>
        <v>Yes</v>
      </c>
      <c r="I388" s="16" t="str">
        <f>VLOOKUP($A388,'SurveyRpt_20150223 (1)'!$A$34:$AN$735,10,FALSE)</f>
        <v>Yes</v>
      </c>
      <c r="J388" s="16" t="str">
        <f>VLOOKUP($A388,'SurveyRpt_20150223 (1)'!$A$34:$AN$735,12,FALSE)</f>
        <v>Yes</v>
      </c>
      <c r="K388" s="16" t="str">
        <f>VLOOKUP($A388,'SurveyRpt_20150223 (1)'!$A$34:$AN$735,14,FALSE)</f>
        <v>Yes</v>
      </c>
      <c r="L388" s="16" t="str">
        <f>VLOOKUP($A388,'SurveyRpt_20150223 (1)'!$A$34:$AN$735,16,FALSE)</f>
        <v>Yes</v>
      </c>
      <c r="M388" s="16" t="str">
        <f>VLOOKUP($A388,'SurveyRpt_20150223 (1)'!$A$34:$AN$735,18,FALSE)</f>
        <v>Yes</v>
      </c>
      <c r="N388" s="16" t="str">
        <f>VLOOKUP($A388,'SurveyRpt_20150223 (1)'!$A$34:$AN$735,20,FALSE)</f>
        <v>Yes</v>
      </c>
      <c r="O388" s="16" t="str">
        <f>VLOOKUP($A388,'SurveyRpt_20150223 (1)'!$A$34:$AN$735,22,FALSE)</f>
        <v>Yes</v>
      </c>
      <c r="P388" s="16" t="str">
        <f>VLOOKUP($A388,'SurveyRpt_20150223 (1)'!$A$34:$AN$735,24,FALSE)</f>
        <v>Yes</v>
      </c>
      <c r="Q388" s="16" t="str">
        <f>VLOOKUP($A388,'SurveyRpt_20150223 (1)'!$A$34:$AN$735,26,FALSE)</f>
        <v>Yes</v>
      </c>
      <c r="R388" s="16" t="str">
        <f>VLOOKUP($A388,'SurveyRpt_20150223 (1)'!$A$34:$AN$735,28,FALSE)</f>
        <v>Yes</v>
      </c>
      <c r="S388" s="16" t="str">
        <f>VLOOKUP($A388,'SurveyRpt_20150223 (1)'!$A$34:$AN$735,30,FALSE)</f>
        <v>Yes</v>
      </c>
      <c r="T388" s="16" t="str">
        <f>VLOOKUP($A388,'SurveyRpt_20150223 (1)'!$A$34:$AN$735,32,FALSE)</f>
        <v>Yes</v>
      </c>
      <c r="U388" s="16" t="str">
        <f>VLOOKUP($A388,'SurveyRpt_20150223 (1)'!$A$34:$AN$735,34,FALSE)</f>
        <v>Yes</v>
      </c>
      <c r="V388" s="16" t="str">
        <f>VLOOKUP($A388,'SurveyRpt_20150223 (1)'!$A$34:$AN$735,36,FALSE)</f>
        <v>Yes</v>
      </c>
      <c r="W388" s="16" t="str">
        <f>VLOOKUP($A388,'SurveyRpt_20150223 (1)'!$A$34:$AN$735,38,FALSE)</f>
        <v>Yes</v>
      </c>
    </row>
    <row r="389" spans="1:23" ht="13.5" customHeight="1" x14ac:dyDescent="0.25">
      <c r="A389" s="19" t="s">
        <v>482</v>
      </c>
      <c r="B389" s="19" t="str">
        <f t="shared" si="6"/>
        <v>VBOPPIDI</v>
      </c>
      <c r="C389" s="16" t="str">
        <f>VLOOKUP(B389,'Compiled Agents'!A:H,2,FALSE)</f>
        <v>Workplace</v>
      </c>
      <c r="D389" s="16" t="str">
        <f>VLOOKUP(B389,'Compiled Agents'!A:H,4,FALSE)</f>
        <v>Hyderabad</v>
      </c>
      <c r="E389" s="16" t="str">
        <f>VLOOKUP(B389,'Compiled Agents'!A:H,5,FALSE)</f>
        <v>Wave2</v>
      </c>
      <c r="F389" s="16" t="str">
        <f>VLOOKUP(B389,'Compiled Agents'!A:H,6,FALSE)</f>
        <v>Purple</v>
      </c>
      <c r="G389" s="16">
        <f>VLOOKUP($A389,'SurveyRpt_20150223 (1)'!$A$34:$AN$735,6,FALSE)</f>
        <v>16</v>
      </c>
      <c r="H389" s="16" t="str">
        <f>VLOOKUP($A389,'SurveyRpt_20150223 (1)'!$A$34:$AN$735,8,FALSE)</f>
        <v>Yes</v>
      </c>
      <c r="I389" s="16" t="str">
        <f>VLOOKUP($A389,'SurveyRpt_20150223 (1)'!$A$34:$AN$735,10,FALSE)</f>
        <v>Yes</v>
      </c>
      <c r="J389" s="16" t="str">
        <f>VLOOKUP($A389,'SurveyRpt_20150223 (1)'!$A$34:$AN$735,12,FALSE)</f>
        <v>Yes</v>
      </c>
      <c r="K389" s="16" t="str">
        <f>VLOOKUP($A389,'SurveyRpt_20150223 (1)'!$A$34:$AN$735,14,FALSE)</f>
        <v>Yes</v>
      </c>
      <c r="L389" s="16" t="str">
        <f>VLOOKUP($A389,'SurveyRpt_20150223 (1)'!$A$34:$AN$735,16,FALSE)</f>
        <v>Yes</v>
      </c>
      <c r="M389" s="16" t="str">
        <f>VLOOKUP($A389,'SurveyRpt_20150223 (1)'!$A$34:$AN$735,18,FALSE)</f>
        <v>Yes</v>
      </c>
      <c r="N389" s="16" t="str">
        <f>VLOOKUP($A389,'SurveyRpt_20150223 (1)'!$A$34:$AN$735,20,FALSE)</f>
        <v>Yes</v>
      </c>
      <c r="O389" s="16" t="str">
        <f>VLOOKUP($A389,'SurveyRpt_20150223 (1)'!$A$34:$AN$735,22,FALSE)</f>
        <v>Yes</v>
      </c>
      <c r="P389" s="16" t="str">
        <f>VLOOKUP($A389,'SurveyRpt_20150223 (1)'!$A$34:$AN$735,24,FALSE)</f>
        <v>Yes</v>
      </c>
      <c r="Q389" s="16" t="str">
        <f>VLOOKUP($A389,'SurveyRpt_20150223 (1)'!$A$34:$AN$735,26,FALSE)</f>
        <v>Yes</v>
      </c>
      <c r="R389" s="16" t="str">
        <f>VLOOKUP($A389,'SurveyRpt_20150223 (1)'!$A$34:$AN$735,28,FALSE)</f>
        <v>Yes</v>
      </c>
      <c r="S389" s="16" t="str">
        <f>VLOOKUP($A389,'SurveyRpt_20150223 (1)'!$A$34:$AN$735,30,FALSE)</f>
        <v>Yes</v>
      </c>
      <c r="T389" s="16" t="str">
        <f>VLOOKUP($A389,'SurveyRpt_20150223 (1)'!$A$34:$AN$735,32,FALSE)</f>
        <v>Yes</v>
      </c>
      <c r="U389" s="16" t="str">
        <f>VLOOKUP($A389,'SurveyRpt_20150223 (1)'!$A$34:$AN$735,34,FALSE)</f>
        <v>Yes</v>
      </c>
      <c r="V389" s="16" t="str">
        <f>VLOOKUP($A389,'SurveyRpt_20150223 (1)'!$A$34:$AN$735,36,FALSE)</f>
        <v>Yes</v>
      </c>
      <c r="W389" s="16" t="str">
        <f>VLOOKUP($A389,'SurveyRpt_20150223 (1)'!$A$34:$AN$735,38,FALSE)</f>
        <v>Yes</v>
      </c>
    </row>
    <row r="390" spans="1:23" ht="13.5" customHeight="1" x14ac:dyDescent="0.25">
      <c r="A390" s="19" t="s">
        <v>483</v>
      </c>
      <c r="B390" s="19" t="str">
        <f t="shared" si="6"/>
        <v>CSHEKAR2</v>
      </c>
      <c r="C390" s="16" t="str">
        <f>VLOOKUP(B390,'Compiled Agents'!A:H,2,FALSE)</f>
        <v>Workplace</v>
      </c>
      <c r="D390" s="16" t="str">
        <f>VLOOKUP(B390,'Compiled Agents'!A:H,4,FALSE)</f>
        <v>Hyderabad</v>
      </c>
      <c r="E390" s="16" t="str">
        <f>VLOOKUP(B390,'Compiled Agents'!A:H,5,FALSE)</f>
        <v>Wave2</v>
      </c>
      <c r="F390" s="16" t="str">
        <f>VLOOKUP(B390,'Compiled Agents'!A:H,6,FALSE)</f>
        <v>Purple</v>
      </c>
      <c r="G390" s="16">
        <f>VLOOKUP($A390,'SurveyRpt_20150223 (1)'!$A$34:$AN$735,6,FALSE)</f>
        <v>16</v>
      </c>
      <c r="H390" s="16" t="str">
        <f>VLOOKUP($A390,'SurveyRpt_20150223 (1)'!$A$34:$AN$735,8,FALSE)</f>
        <v>Yes</v>
      </c>
      <c r="I390" s="16" t="str">
        <f>VLOOKUP($A390,'SurveyRpt_20150223 (1)'!$A$34:$AN$735,10,FALSE)</f>
        <v>Yes</v>
      </c>
      <c r="J390" s="16" t="str">
        <f>VLOOKUP($A390,'SurveyRpt_20150223 (1)'!$A$34:$AN$735,12,FALSE)</f>
        <v>Yes</v>
      </c>
      <c r="K390" s="16" t="str">
        <f>VLOOKUP($A390,'SurveyRpt_20150223 (1)'!$A$34:$AN$735,14,FALSE)</f>
        <v>Yes</v>
      </c>
      <c r="L390" s="16" t="str">
        <f>VLOOKUP($A390,'SurveyRpt_20150223 (1)'!$A$34:$AN$735,16,FALSE)</f>
        <v>Yes</v>
      </c>
      <c r="M390" s="16" t="str">
        <f>VLOOKUP($A390,'SurveyRpt_20150223 (1)'!$A$34:$AN$735,18,FALSE)</f>
        <v>Yes</v>
      </c>
      <c r="N390" s="16" t="str">
        <f>VLOOKUP($A390,'SurveyRpt_20150223 (1)'!$A$34:$AN$735,20,FALSE)</f>
        <v>Yes</v>
      </c>
      <c r="O390" s="16" t="str">
        <f>VLOOKUP($A390,'SurveyRpt_20150223 (1)'!$A$34:$AN$735,22,FALSE)</f>
        <v>Yes</v>
      </c>
      <c r="P390" s="16" t="str">
        <f>VLOOKUP($A390,'SurveyRpt_20150223 (1)'!$A$34:$AN$735,24,FALSE)</f>
        <v>Yes</v>
      </c>
      <c r="Q390" s="16" t="str">
        <f>VLOOKUP($A390,'SurveyRpt_20150223 (1)'!$A$34:$AN$735,26,FALSE)</f>
        <v>Yes</v>
      </c>
      <c r="R390" s="16" t="str">
        <f>VLOOKUP($A390,'SurveyRpt_20150223 (1)'!$A$34:$AN$735,28,FALSE)</f>
        <v>Yes</v>
      </c>
      <c r="S390" s="16" t="str">
        <f>VLOOKUP($A390,'SurveyRpt_20150223 (1)'!$A$34:$AN$735,30,FALSE)</f>
        <v>Yes</v>
      </c>
      <c r="T390" s="16" t="str">
        <f>VLOOKUP($A390,'SurveyRpt_20150223 (1)'!$A$34:$AN$735,32,FALSE)</f>
        <v>Yes</v>
      </c>
      <c r="U390" s="16" t="str">
        <f>VLOOKUP($A390,'SurveyRpt_20150223 (1)'!$A$34:$AN$735,34,FALSE)</f>
        <v>Yes</v>
      </c>
      <c r="V390" s="16" t="str">
        <f>VLOOKUP($A390,'SurveyRpt_20150223 (1)'!$A$34:$AN$735,36,FALSE)</f>
        <v>Yes</v>
      </c>
      <c r="W390" s="16" t="str">
        <f>VLOOKUP($A390,'SurveyRpt_20150223 (1)'!$A$34:$AN$735,38,FALSE)</f>
        <v>Yes</v>
      </c>
    </row>
    <row r="391" spans="1:23" ht="13.5" customHeight="1" x14ac:dyDescent="0.25">
      <c r="A391" s="19" t="s">
        <v>484</v>
      </c>
      <c r="B391" s="19" t="str">
        <f t="shared" si="6"/>
        <v>tputnam2</v>
      </c>
      <c r="C391" s="16" t="str">
        <f>VLOOKUP(B391,'Compiled Agents'!A:H,2,FALSE)</f>
        <v>Platform</v>
      </c>
      <c r="D391" s="16" t="str">
        <f>VLOOKUP(B391,'Compiled Agents'!A:H,4,FALSE)</f>
        <v>MBC US</v>
      </c>
      <c r="E391" s="16" t="str">
        <f>VLOOKUP(B391,'Compiled Agents'!A:H,5,FALSE)</f>
        <v>Wave2</v>
      </c>
      <c r="F391" s="16" t="str">
        <f>VLOOKUP(B391,'Compiled Agents'!A:H,6,FALSE)</f>
        <v>Yellow</v>
      </c>
      <c r="G391" s="16">
        <f>VLOOKUP($A391,'SurveyRpt_20150223 (1)'!$A$34:$AN$735,6,FALSE)</f>
        <v>16</v>
      </c>
      <c r="H391" s="16" t="str">
        <f>VLOOKUP($A391,'SurveyRpt_20150223 (1)'!$A$34:$AN$735,8,FALSE)</f>
        <v>Yes</v>
      </c>
      <c r="I391" s="16" t="str">
        <f>VLOOKUP($A391,'SurveyRpt_20150223 (1)'!$A$34:$AN$735,10,FALSE)</f>
        <v>Yes</v>
      </c>
      <c r="J391" s="16" t="str">
        <f>VLOOKUP($A391,'SurveyRpt_20150223 (1)'!$A$34:$AN$735,12,FALSE)</f>
        <v>Yes</v>
      </c>
      <c r="K391" s="16" t="str">
        <f>VLOOKUP($A391,'SurveyRpt_20150223 (1)'!$A$34:$AN$735,14,FALSE)</f>
        <v>Yes</v>
      </c>
      <c r="L391" s="16" t="str">
        <f>VLOOKUP($A391,'SurveyRpt_20150223 (1)'!$A$34:$AN$735,16,FALSE)</f>
        <v>Yes</v>
      </c>
      <c r="M391" s="16" t="str">
        <f>VLOOKUP($A391,'SurveyRpt_20150223 (1)'!$A$34:$AN$735,18,FALSE)</f>
        <v>Yes</v>
      </c>
      <c r="N391" s="16" t="str">
        <f>VLOOKUP($A391,'SurveyRpt_20150223 (1)'!$A$34:$AN$735,20,FALSE)</f>
        <v>Yes</v>
      </c>
      <c r="O391" s="16" t="str">
        <f>VLOOKUP($A391,'SurveyRpt_20150223 (1)'!$A$34:$AN$735,22,FALSE)</f>
        <v>Yes</v>
      </c>
      <c r="P391" s="16" t="str">
        <f>VLOOKUP($A391,'SurveyRpt_20150223 (1)'!$A$34:$AN$735,24,FALSE)</f>
        <v>Yes</v>
      </c>
      <c r="Q391" s="16" t="str">
        <f>VLOOKUP($A391,'SurveyRpt_20150223 (1)'!$A$34:$AN$735,26,FALSE)</f>
        <v>Yes</v>
      </c>
      <c r="R391" s="16" t="str">
        <f>VLOOKUP($A391,'SurveyRpt_20150223 (1)'!$A$34:$AN$735,28,FALSE)</f>
        <v>Yes</v>
      </c>
      <c r="S391" s="16" t="str">
        <f>VLOOKUP($A391,'SurveyRpt_20150223 (1)'!$A$34:$AN$735,30,FALSE)</f>
        <v>Yes</v>
      </c>
      <c r="T391" s="16" t="str">
        <f>VLOOKUP($A391,'SurveyRpt_20150223 (1)'!$A$34:$AN$735,32,FALSE)</f>
        <v>Yes</v>
      </c>
      <c r="U391" s="16" t="str">
        <f>VLOOKUP($A391,'SurveyRpt_20150223 (1)'!$A$34:$AN$735,34,FALSE)</f>
        <v>Yes</v>
      </c>
      <c r="V391" s="16" t="str">
        <f>VLOOKUP($A391,'SurveyRpt_20150223 (1)'!$A$34:$AN$735,36,FALSE)</f>
        <v>Yes</v>
      </c>
      <c r="W391" s="16" t="str">
        <f>VLOOKUP($A391,'SurveyRpt_20150223 (1)'!$A$34:$AN$735,38,FALSE)</f>
        <v>Yes</v>
      </c>
    </row>
    <row r="392" spans="1:23" ht="13.5" customHeight="1" x14ac:dyDescent="0.25">
      <c r="A392" s="19" t="s">
        <v>485</v>
      </c>
      <c r="B392" s="19" t="str">
        <f t="shared" si="6"/>
        <v>HSAXENA2</v>
      </c>
      <c r="C392" s="16" t="str">
        <f>VLOOKUP(B392,'Compiled Agents'!A:H,2,FALSE)</f>
        <v>Platform</v>
      </c>
      <c r="D392" s="16" t="str">
        <f>VLOOKUP(B392,'Compiled Agents'!A:H,4,FALSE)</f>
        <v>Noida</v>
      </c>
      <c r="E392" s="16" t="str">
        <f>VLOOKUP(B392,'Compiled Agents'!A:H,5,FALSE)</f>
        <v>Wave2</v>
      </c>
      <c r="F392" s="16" t="str">
        <f>VLOOKUP(B392,'Compiled Agents'!A:H,6,FALSE)</f>
        <v>Purple</v>
      </c>
      <c r="G392" s="16">
        <f>VLOOKUP($A392,'SurveyRpt_20150223 (1)'!$A$34:$AN$735,6,FALSE)</f>
        <v>13</v>
      </c>
      <c r="H392" s="16" t="str">
        <f>VLOOKUP($A392,'SurveyRpt_20150223 (1)'!$A$34:$AN$735,8,FALSE)</f>
        <v>Yes</v>
      </c>
      <c r="I392" s="16" t="str">
        <f>VLOOKUP($A392,'SurveyRpt_20150223 (1)'!$A$34:$AN$735,10,FALSE)</f>
        <v>Yes</v>
      </c>
      <c r="J392" s="16" t="str">
        <f>VLOOKUP($A392,'SurveyRpt_20150223 (1)'!$A$34:$AN$735,12,FALSE)</f>
        <v>No</v>
      </c>
      <c r="K392" s="16" t="str">
        <f>VLOOKUP($A392,'SurveyRpt_20150223 (1)'!$A$34:$AN$735,14,FALSE)</f>
        <v>No</v>
      </c>
      <c r="L392" s="16" t="str">
        <f>VLOOKUP($A392,'SurveyRpt_20150223 (1)'!$A$34:$AN$735,16,FALSE)</f>
        <v>Yes</v>
      </c>
      <c r="M392" s="16" t="str">
        <f>VLOOKUP($A392,'SurveyRpt_20150223 (1)'!$A$34:$AN$735,18,FALSE)</f>
        <v>Yes</v>
      </c>
      <c r="N392" s="16" t="str">
        <f>VLOOKUP($A392,'SurveyRpt_20150223 (1)'!$A$34:$AN$735,20,FALSE)</f>
        <v>Yes</v>
      </c>
      <c r="O392" s="16" t="str">
        <f>VLOOKUP($A392,'SurveyRpt_20150223 (1)'!$A$34:$AN$735,22,FALSE)</f>
        <v>Yes</v>
      </c>
      <c r="P392" s="16" t="str">
        <f>VLOOKUP($A392,'SurveyRpt_20150223 (1)'!$A$34:$AN$735,24,FALSE)</f>
        <v>Yes</v>
      </c>
      <c r="Q392" s="16" t="str">
        <f>VLOOKUP($A392,'SurveyRpt_20150223 (1)'!$A$34:$AN$735,26,FALSE)</f>
        <v>Yes</v>
      </c>
      <c r="R392" s="16" t="str">
        <f>VLOOKUP($A392,'SurveyRpt_20150223 (1)'!$A$34:$AN$735,28,FALSE)</f>
        <v>Yes</v>
      </c>
      <c r="S392" s="16" t="str">
        <f>VLOOKUP($A392,'SurveyRpt_20150223 (1)'!$A$34:$AN$735,30,FALSE)</f>
        <v>Yes</v>
      </c>
      <c r="T392" s="16" t="str">
        <f>VLOOKUP($A392,'SurveyRpt_20150223 (1)'!$A$34:$AN$735,32,FALSE)</f>
        <v>No</v>
      </c>
      <c r="U392" s="16" t="str">
        <f>VLOOKUP($A392,'SurveyRpt_20150223 (1)'!$A$34:$AN$735,34,FALSE)</f>
        <v>Yes</v>
      </c>
      <c r="V392" s="16" t="str">
        <f>VLOOKUP($A392,'SurveyRpt_20150223 (1)'!$A$34:$AN$735,36,FALSE)</f>
        <v>Yes</v>
      </c>
      <c r="W392" s="16" t="str">
        <f>VLOOKUP($A392,'SurveyRpt_20150223 (1)'!$A$34:$AN$735,38,FALSE)</f>
        <v>Yes</v>
      </c>
    </row>
    <row r="393" spans="1:23" ht="13.5" customHeight="1" x14ac:dyDescent="0.25">
      <c r="A393" s="19" t="s">
        <v>486</v>
      </c>
      <c r="B393" s="19" t="str">
        <f t="shared" si="6"/>
        <v>ateixeira2</v>
      </c>
      <c r="C393" s="16" t="str">
        <f>VLOOKUP(B393,'Compiled Agents'!A:H,2,FALSE)</f>
        <v>Platform</v>
      </c>
      <c r="D393" s="16" t="str">
        <f>VLOOKUP(B393,'Compiled Agents'!A:H,4,FALSE)</f>
        <v>MBC US</v>
      </c>
      <c r="E393" s="16" t="str">
        <f>VLOOKUP(B393,'Compiled Agents'!A:H,5,FALSE)</f>
        <v>Wave2</v>
      </c>
      <c r="F393" s="16" t="str">
        <f>VLOOKUP(B393,'Compiled Agents'!A:H,6,FALSE)</f>
        <v>Yellow</v>
      </c>
      <c r="G393" s="16">
        <f>VLOOKUP($A393,'SurveyRpt_20150223 (1)'!$A$34:$AN$735,6,FALSE)</f>
        <v>14</v>
      </c>
      <c r="H393" s="16" t="str">
        <f>VLOOKUP($A393,'SurveyRpt_20150223 (1)'!$A$34:$AN$735,8,FALSE)</f>
        <v>Yes</v>
      </c>
      <c r="I393" s="16" t="str">
        <f>VLOOKUP($A393,'SurveyRpt_20150223 (1)'!$A$34:$AN$735,10,FALSE)</f>
        <v>Yes</v>
      </c>
      <c r="J393" s="16" t="str">
        <f>VLOOKUP($A393,'SurveyRpt_20150223 (1)'!$A$34:$AN$735,12,FALSE)</f>
        <v>Yes</v>
      </c>
      <c r="K393" s="16" t="str">
        <f>VLOOKUP($A393,'SurveyRpt_20150223 (1)'!$A$34:$AN$735,14,FALSE)</f>
        <v>Yes</v>
      </c>
      <c r="L393" s="16" t="str">
        <f>VLOOKUP($A393,'SurveyRpt_20150223 (1)'!$A$34:$AN$735,16,FALSE)</f>
        <v>Yes</v>
      </c>
      <c r="M393" s="16" t="str">
        <f>VLOOKUP($A393,'SurveyRpt_20150223 (1)'!$A$34:$AN$735,18,FALSE)</f>
        <v>Yes</v>
      </c>
      <c r="N393" s="16" t="str">
        <f>VLOOKUP($A393,'SurveyRpt_20150223 (1)'!$A$34:$AN$735,20,FALSE)</f>
        <v>Yes</v>
      </c>
      <c r="O393" s="16" t="str">
        <f>VLOOKUP($A393,'SurveyRpt_20150223 (1)'!$A$34:$AN$735,22,FALSE)</f>
        <v>Yes</v>
      </c>
      <c r="P393" s="16" t="str">
        <f>VLOOKUP($A393,'SurveyRpt_20150223 (1)'!$A$34:$AN$735,24,FALSE)</f>
        <v>Yes</v>
      </c>
      <c r="Q393" s="16" t="str">
        <f>VLOOKUP($A393,'SurveyRpt_20150223 (1)'!$A$34:$AN$735,26,FALSE)</f>
        <v>Yes</v>
      </c>
      <c r="R393" s="16" t="str">
        <f>VLOOKUP($A393,'SurveyRpt_20150223 (1)'!$A$34:$AN$735,28,FALSE)</f>
        <v>Yes</v>
      </c>
      <c r="S393" s="16" t="str">
        <f>VLOOKUP($A393,'SurveyRpt_20150223 (1)'!$A$34:$AN$735,30,FALSE)</f>
        <v>Yes</v>
      </c>
      <c r="T393" s="16" t="str">
        <f>VLOOKUP($A393,'SurveyRpt_20150223 (1)'!$A$34:$AN$735,32,FALSE)</f>
        <v>No</v>
      </c>
      <c r="U393" s="16" t="str">
        <f>VLOOKUP($A393,'SurveyRpt_20150223 (1)'!$A$34:$AN$735,34,FALSE)</f>
        <v>Yes</v>
      </c>
      <c r="V393" s="16" t="str">
        <f>VLOOKUP($A393,'SurveyRpt_20150223 (1)'!$A$34:$AN$735,36,FALSE)</f>
        <v>Yes</v>
      </c>
      <c r="W393" s="16" t="str">
        <f>VLOOKUP($A393,'SurveyRpt_20150223 (1)'!$A$34:$AN$735,38,FALSE)</f>
        <v>No</v>
      </c>
    </row>
    <row r="394" spans="1:23" ht="13.5" customHeight="1" x14ac:dyDescent="0.25">
      <c r="A394" s="19" t="s">
        <v>487</v>
      </c>
      <c r="B394" s="19" t="str">
        <f t="shared" si="6"/>
        <v>JKILROY2</v>
      </c>
      <c r="C394" s="16" t="str">
        <f>VLOOKUP(B394,'Compiled Agents'!A:H,2,FALSE)</f>
        <v>Platform</v>
      </c>
      <c r="D394" s="16" t="str">
        <f>VLOOKUP(B394,'Compiled Agents'!A:H,4,FALSE)</f>
        <v>MBC US</v>
      </c>
      <c r="E394" s="16" t="str">
        <f>VLOOKUP(B394,'Compiled Agents'!A:H,5,FALSE)</f>
        <v>Wave2</v>
      </c>
      <c r="F394" s="16" t="str">
        <f>VLOOKUP(B394,'Compiled Agents'!A:H,6,FALSE)</f>
        <v>Orange</v>
      </c>
      <c r="G394" s="16">
        <f>VLOOKUP($A394,'SurveyRpt_20150223 (1)'!$A$34:$AN$735,6,FALSE)</f>
        <v>16</v>
      </c>
      <c r="H394" s="16" t="str">
        <f>VLOOKUP($A394,'SurveyRpt_20150223 (1)'!$A$34:$AN$735,8,FALSE)</f>
        <v>Yes</v>
      </c>
      <c r="I394" s="16" t="str">
        <f>VLOOKUP($A394,'SurveyRpt_20150223 (1)'!$A$34:$AN$735,10,FALSE)</f>
        <v>Yes</v>
      </c>
      <c r="J394" s="16" t="str">
        <f>VLOOKUP($A394,'SurveyRpt_20150223 (1)'!$A$34:$AN$735,12,FALSE)</f>
        <v>Yes</v>
      </c>
      <c r="K394" s="16" t="str">
        <f>VLOOKUP($A394,'SurveyRpt_20150223 (1)'!$A$34:$AN$735,14,FALSE)</f>
        <v>Yes</v>
      </c>
      <c r="L394" s="16" t="str">
        <f>VLOOKUP($A394,'SurveyRpt_20150223 (1)'!$A$34:$AN$735,16,FALSE)</f>
        <v>Yes</v>
      </c>
      <c r="M394" s="16" t="str">
        <f>VLOOKUP($A394,'SurveyRpt_20150223 (1)'!$A$34:$AN$735,18,FALSE)</f>
        <v>Yes</v>
      </c>
      <c r="N394" s="16" t="str">
        <f>VLOOKUP($A394,'SurveyRpt_20150223 (1)'!$A$34:$AN$735,20,FALSE)</f>
        <v>Yes</v>
      </c>
      <c r="O394" s="16" t="str">
        <f>VLOOKUP($A394,'SurveyRpt_20150223 (1)'!$A$34:$AN$735,22,FALSE)</f>
        <v>Yes</v>
      </c>
      <c r="P394" s="16" t="str">
        <f>VLOOKUP($A394,'SurveyRpt_20150223 (1)'!$A$34:$AN$735,24,FALSE)</f>
        <v>Yes</v>
      </c>
      <c r="Q394" s="16" t="str">
        <f>VLOOKUP($A394,'SurveyRpt_20150223 (1)'!$A$34:$AN$735,26,FALSE)</f>
        <v>Yes</v>
      </c>
      <c r="R394" s="16" t="str">
        <f>VLOOKUP($A394,'SurveyRpt_20150223 (1)'!$A$34:$AN$735,28,FALSE)</f>
        <v>Yes</v>
      </c>
      <c r="S394" s="16" t="str">
        <f>VLOOKUP($A394,'SurveyRpt_20150223 (1)'!$A$34:$AN$735,30,FALSE)</f>
        <v>Yes</v>
      </c>
      <c r="T394" s="16" t="str">
        <f>VLOOKUP($A394,'SurveyRpt_20150223 (1)'!$A$34:$AN$735,32,FALSE)</f>
        <v>Yes</v>
      </c>
      <c r="U394" s="16" t="str">
        <f>VLOOKUP($A394,'SurveyRpt_20150223 (1)'!$A$34:$AN$735,34,FALSE)</f>
        <v>Yes</v>
      </c>
      <c r="V394" s="16" t="str">
        <f>VLOOKUP($A394,'SurveyRpt_20150223 (1)'!$A$34:$AN$735,36,FALSE)</f>
        <v>Yes</v>
      </c>
      <c r="W394" s="16" t="str">
        <f>VLOOKUP($A394,'SurveyRpt_20150223 (1)'!$A$34:$AN$735,38,FALSE)</f>
        <v>Yes</v>
      </c>
    </row>
    <row r="395" spans="1:23" ht="13.5" customHeight="1" x14ac:dyDescent="0.25">
      <c r="A395" s="19" t="s">
        <v>488</v>
      </c>
      <c r="B395" s="19" t="str">
        <f t="shared" si="6"/>
        <v>jbishopric</v>
      </c>
      <c r="C395" s="16" t="str">
        <f>VLOOKUP(B395,'Compiled Agents'!A:H,2,FALSE)</f>
        <v>Platform</v>
      </c>
      <c r="D395" s="16" t="str">
        <f>VLOOKUP(B395,'Compiled Agents'!A:H,4,FALSE)</f>
        <v>MBC US</v>
      </c>
      <c r="E395" s="16" t="str">
        <f>VLOOKUP(B395,'Compiled Agents'!A:H,5,FALSE)</f>
        <v>Wave2</v>
      </c>
      <c r="F395" s="16" t="str">
        <f>VLOOKUP(B395,'Compiled Agents'!A:H,6,FALSE)</f>
        <v>Yellow</v>
      </c>
      <c r="G395" s="16">
        <f>VLOOKUP($A395,'SurveyRpt_20150223 (1)'!$A$34:$AN$735,6,FALSE)</f>
        <v>15</v>
      </c>
      <c r="H395" s="16" t="str">
        <f>VLOOKUP($A395,'SurveyRpt_20150223 (1)'!$A$34:$AN$735,8,FALSE)</f>
        <v>Yes</v>
      </c>
      <c r="I395" s="16" t="str">
        <f>VLOOKUP($A395,'SurveyRpt_20150223 (1)'!$A$34:$AN$735,10,FALSE)</f>
        <v>Yes</v>
      </c>
      <c r="J395" s="16" t="str">
        <f>VLOOKUP($A395,'SurveyRpt_20150223 (1)'!$A$34:$AN$735,12,FALSE)</f>
        <v>Yes</v>
      </c>
      <c r="K395" s="16" t="str">
        <f>VLOOKUP($A395,'SurveyRpt_20150223 (1)'!$A$34:$AN$735,14,FALSE)</f>
        <v>Yes</v>
      </c>
      <c r="L395" s="16" t="str">
        <f>VLOOKUP($A395,'SurveyRpt_20150223 (1)'!$A$34:$AN$735,16,FALSE)</f>
        <v>Yes</v>
      </c>
      <c r="M395" s="16" t="str">
        <f>VLOOKUP($A395,'SurveyRpt_20150223 (1)'!$A$34:$AN$735,18,FALSE)</f>
        <v>Yes</v>
      </c>
      <c r="N395" s="16" t="str">
        <f>VLOOKUP($A395,'SurveyRpt_20150223 (1)'!$A$34:$AN$735,20,FALSE)</f>
        <v>Yes</v>
      </c>
      <c r="O395" s="16" t="str">
        <f>VLOOKUP($A395,'SurveyRpt_20150223 (1)'!$A$34:$AN$735,22,FALSE)</f>
        <v>Yes</v>
      </c>
      <c r="P395" s="16" t="str">
        <f>VLOOKUP($A395,'SurveyRpt_20150223 (1)'!$A$34:$AN$735,24,FALSE)</f>
        <v>Yes</v>
      </c>
      <c r="Q395" s="16" t="str">
        <f>VLOOKUP($A395,'SurveyRpt_20150223 (1)'!$A$34:$AN$735,26,FALSE)</f>
        <v>Yes</v>
      </c>
      <c r="R395" s="16" t="str">
        <f>VLOOKUP($A395,'SurveyRpt_20150223 (1)'!$A$34:$AN$735,28,FALSE)</f>
        <v>Yes</v>
      </c>
      <c r="S395" s="16" t="str">
        <f>VLOOKUP($A395,'SurveyRpt_20150223 (1)'!$A$34:$AN$735,30,FALSE)</f>
        <v>No</v>
      </c>
      <c r="T395" s="16" t="str">
        <f>VLOOKUP($A395,'SurveyRpt_20150223 (1)'!$A$34:$AN$735,32,FALSE)</f>
        <v>Yes</v>
      </c>
      <c r="U395" s="16" t="str">
        <f>VLOOKUP($A395,'SurveyRpt_20150223 (1)'!$A$34:$AN$735,34,FALSE)</f>
        <v>Yes</v>
      </c>
      <c r="V395" s="16" t="str">
        <f>VLOOKUP($A395,'SurveyRpt_20150223 (1)'!$A$34:$AN$735,36,FALSE)</f>
        <v>Yes</v>
      </c>
      <c r="W395" s="16" t="str">
        <f>VLOOKUP($A395,'SurveyRpt_20150223 (1)'!$A$34:$AN$735,38,FALSE)</f>
        <v>Yes</v>
      </c>
    </row>
    <row r="396" spans="1:23" ht="13.5" customHeight="1" x14ac:dyDescent="0.25">
      <c r="A396" s="19" t="s">
        <v>489</v>
      </c>
      <c r="B396" s="19" t="str">
        <f t="shared" si="6"/>
        <v>SSAGGAR</v>
      </c>
      <c r="C396" s="16" t="str">
        <f>VLOOKUP(B396,'Compiled Agents'!A:H,2,FALSE)</f>
        <v>Platform</v>
      </c>
      <c r="D396" s="16" t="str">
        <f>VLOOKUP(B396,'Compiled Agents'!A:H,4,FALSE)</f>
        <v>Noida</v>
      </c>
      <c r="E396" s="16" t="str">
        <f>VLOOKUP(B396,'Compiled Agents'!A:H,5,FALSE)</f>
        <v>Wave2</v>
      </c>
      <c r="F396" s="16" t="str">
        <f>VLOOKUP(B396,'Compiled Agents'!A:H,6,FALSE)</f>
        <v>Yellow</v>
      </c>
      <c r="G396" s="16">
        <f>VLOOKUP($A396,'SurveyRpt_20150223 (1)'!$A$34:$AN$735,6,FALSE)</f>
        <v>13</v>
      </c>
      <c r="H396" s="16" t="str">
        <f>VLOOKUP($A396,'SurveyRpt_20150223 (1)'!$A$34:$AN$735,8,FALSE)</f>
        <v>Yes</v>
      </c>
      <c r="I396" s="16" t="str">
        <f>VLOOKUP($A396,'SurveyRpt_20150223 (1)'!$A$34:$AN$735,10,FALSE)</f>
        <v>Yes</v>
      </c>
      <c r="J396" s="16" t="str">
        <f>VLOOKUP($A396,'SurveyRpt_20150223 (1)'!$A$34:$AN$735,12,FALSE)</f>
        <v>Yes</v>
      </c>
      <c r="K396" s="16" t="str">
        <f>VLOOKUP($A396,'SurveyRpt_20150223 (1)'!$A$34:$AN$735,14,FALSE)</f>
        <v>Yes</v>
      </c>
      <c r="L396" s="16" t="str">
        <f>VLOOKUP($A396,'SurveyRpt_20150223 (1)'!$A$34:$AN$735,16,FALSE)</f>
        <v>Yes</v>
      </c>
      <c r="M396" s="16" t="str">
        <f>VLOOKUP($A396,'SurveyRpt_20150223 (1)'!$A$34:$AN$735,18,FALSE)</f>
        <v>Yes</v>
      </c>
      <c r="N396" s="16" t="str">
        <f>VLOOKUP($A396,'SurveyRpt_20150223 (1)'!$A$34:$AN$735,20,FALSE)</f>
        <v>Yes</v>
      </c>
      <c r="O396" s="16" t="str">
        <f>VLOOKUP($A396,'SurveyRpt_20150223 (1)'!$A$34:$AN$735,22,FALSE)</f>
        <v>Yes</v>
      </c>
      <c r="P396" s="16" t="str">
        <f>VLOOKUP($A396,'SurveyRpt_20150223 (1)'!$A$34:$AN$735,24,FALSE)</f>
        <v>No</v>
      </c>
      <c r="Q396" s="16" t="str">
        <f>VLOOKUP($A396,'SurveyRpt_20150223 (1)'!$A$34:$AN$735,26,FALSE)</f>
        <v>No</v>
      </c>
      <c r="R396" s="16" t="str">
        <f>VLOOKUP($A396,'SurveyRpt_20150223 (1)'!$A$34:$AN$735,28,FALSE)</f>
        <v>No</v>
      </c>
      <c r="S396" s="16" t="str">
        <f>VLOOKUP($A396,'SurveyRpt_20150223 (1)'!$A$34:$AN$735,30,FALSE)</f>
        <v>Yes</v>
      </c>
      <c r="T396" s="16" t="str">
        <f>VLOOKUP($A396,'SurveyRpt_20150223 (1)'!$A$34:$AN$735,32,FALSE)</f>
        <v>Yes</v>
      </c>
      <c r="U396" s="16" t="str">
        <f>VLOOKUP($A396,'SurveyRpt_20150223 (1)'!$A$34:$AN$735,34,FALSE)</f>
        <v>Yes</v>
      </c>
      <c r="V396" s="16" t="str">
        <f>VLOOKUP($A396,'SurveyRpt_20150223 (1)'!$A$34:$AN$735,36,FALSE)</f>
        <v>Yes</v>
      </c>
      <c r="W396" s="16" t="str">
        <f>VLOOKUP($A396,'SurveyRpt_20150223 (1)'!$A$34:$AN$735,38,FALSE)</f>
        <v>Yes</v>
      </c>
    </row>
    <row r="397" spans="1:23" ht="13.5" customHeight="1" x14ac:dyDescent="0.25">
      <c r="A397" s="19" t="s">
        <v>490</v>
      </c>
      <c r="B397" s="19" t="str">
        <f t="shared" si="6"/>
        <v>bkrishnamoo6</v>
      </c>
      <c r="C397" s="16" t="str">
        <f>VLOOKUP(B397,'Compiled Agents'!A:H,2,FALSE)</f>
        <v>Workplace</v>
      </c>
      <c r="D397" s="16" t="str">
        <f>VLOOKUP(B397,'Compiled Agents'!A:H,4,FALSE)</f>
        <v>Noida</v>
      </c>
      <c r="E397" s="16" t="str">
        <f>VLOOKUP(B397,'Compiled Agents'!A:H,5,FALSE)</f>
        <v>Wave1</v>
      </c>
      <c r="F397" s="16" t="str">
        <f>VLOOKUP(B397,'Compiled Agents'!A:H,6,FALSE)</f>
        <v>Yellow</v>
      </c>
      <c r="G397" s="16">
        <f>VLOOKUP($A397,'SurveyRpt_20150223 (1)'!$A$34:$AN$735,6,FALSE)</f>
        <v>15</v>
      </c>
      <c r="H397" s="16" t="str">
        <f>VLOOKUP($A397,'SurveyRpt_20150223 (1)'!$A$34:$AN$735,8,FALSE)</f>
        <v>Yes</v>
      </c>
      <c r="I397" s="16" t="str">
        <f>VLOOKUP($A397,'SurveyRpt_20150223 (1)'!$A$34:$AN$735,10,FALSE)</f>
        <v>Yes</v>
      </c>
      <c r="J397" s="16" t="str">
        <f>VLOOKUP($A397,'SurveyRpt_20150223 (1)'!$A$34:$AN$735,12,FALSE)</f>
        <v>Yes</v>
      </c>
      <c r="K397" s="16" t="str">
        <f>VLOOKUP($A397,'SurveyRpt_20150223 (1)'!$A$34:$AN$735,14,FALSE)</f>
        <v>Yes</v>
      </c>
      <c r="L397" s="16" t="str">
        <f>VLOOKUP($A397,'SurveyRpt_20150223 (1)'!$A$34:$AN$735,16,FALSE)</f>
        <v>Yes</v>
      </c>
      <c r="M397" s="16" t="str">
        <f>VLOOKUP($A397,'SurveyRpt_20150223 (1)'!$A$34:$AN$735,18,FALSE)</f>
        <v>Yes</v>
      </c>
      <c r="N397" s="16" t="str">
        <f>VLOOKUP($A397,'SurveyRpt_20150223 (1)'!$A$34:$AN$735,20,FALSE)</f>
        <v>Yes</v>
      </c>
      <c r="O397" s="16" t="str">
        <f>VLOOKUP($A397,'SurveyRpt_20150223 (1)'!$A$34:$AN$735,22,FALSE)</f>
        <v>Yes</v>
      </c>
      <c r="P397" s="16" t="str">
        <f>VLOOKUP($A397,'SurveyRpt_20150223 (1)'!$A$34:$AN$735,24,FALSE)</f>
        <v>Yes</v>
      </c>
      <c r="Q397" s="16" t="str">
        <f>VLOOKUP($A397,'SurveyRpt_20150223 (1)'!$A$34:$AN$735,26,FALSE)</f>
        <v>Yes</v>
      </c>
      <c r="R397" s="16" t="str">
        <f>VLOOKUP($A397,'SurveyRpt_20150223 (1)'!$A$34:$AN$735,28,FALSE)</f>
        <v>Yes</v>
      </c>
      <c r="S397" s="16" t="str">
        <f>VLOOKUP($A397,'SurveyRpt_20150223 (1)'!$A$34:$AN$735,30,FALSE)</f>
        <v>Yes</v>
      </c>
      <c r="T397" s="16" t="str">
        <f>VLOOKUP($A397,'SurveyRpt_20150223 (1)'!$A$34:$AN$735,32,FALSE)</f>
        <v>Yes</v>
      </c>
      <c r="U397" s="16" t="str">
        <f>VLOOKUP($A397,'SurveyRpt_20150223 (1)'!$A$34:$AN$735,34,FALSE)</f>
        <v>Yes</v>
      </c>
      <c r="V397" s="16" t="str">
        <f>VLOOKUP($A397,'SurveyRpt_20150223 (1)'!$A$34:$AN$735,36,FALSE)</f>
        <v>Yes</v>
      </c>
      <c r="W397" s="16" t="str">
        <f>VLOOKUP($A397,'SurveyRpt_20150223 (1)'!$A$34:$AN$735,38,FALSE)</f>
        <v>No</v>
      </c>
    </row>
    <row r="398" spans="1:23" ht="13.5" customHeight="1" x14ac:dyDescent="0.25">
      <c r="A398" s="19" t="s">
        <v>491</v>
      </c>
      <c r="B398" s="19" t="str">
        <f t="shared" si="6"/>
        <v>USHARMA9</v>
      </c>
      <c r="C398" s="16" t="str">
        <f>VLOOKUP(B398,'Compiled Agents'!A:H,2,FALSE)</f>
        <v>Platform</v>
      </c>
      <c r="D398" s="16" t="str">
        <f>VLOOKUP(B398,'Compiled Agents'!A:H,4,FALSE)</f>
        <v>Noida</v>
      </c>
      <c r="E398" s="16" t="str">
        <f>VLOOKUP(B398,'Compiled Agents'!A:H,5,FALSE)</f>
        <v>Wave1</v>
      </c>
      <c r="F398" s="16" t="str">
        <f>VLOOKUP(B398,'Compiled Agents'!A:H,6,FALSE)</f>
        <v>Yellow</v>
      </c>
      <c r="G398" s="16">
        <f>VLOOKUP($A398,'SurveyRpt_20150223 (1)'!$A$34:$AN$735,6,FALSE)</f>
        <v>16</v>
      </c>
      <c r="H398" s="16" t="str">
        <f>VLOOKUP($A398,'SurveyRpt_20150223 (1)'!$A$34:$AN$735,8,FALSE)</f>
        <v>Yes</v>
      </c>
      <c r="I398" s="16" t="str">
        <f>VLOOKUP($A398,'SurveyRpt_20150223 (1)'!$A$34:$AN$735,10,FALSE)</f>
        <v>Yes</v>
      </c>
      <c r="J398" s="16" t="str">
        <f>VLOOKUP($A398,'SurveyRpt_20150223 (1)'!$A$34:$AN$735,12,FALSE)</f>
        <v>Yes</v>
      </c>
      <c r="K398" s="16" t="str">
        <f>VLOOKUP($A398,'SurveyRpt_20150223 (1)'!$A$34:$AN$735,14,FALSE)</f>
        <v>Yes</v>
      </c>
      <c r="L398" s="16" t="str">
        <f>VLOOKUP($A398,'SurveyRpt_20150223 (1)'!$A$34:$AN$735,16,FALSE)</f>
        <v>Yes</v>
      </c>
      <c r="M398" s="16" t="str">
        <f>VLOOKUP($A398,'SurveyRpt_20150223 (1)'!$A$34:$AN$735,18,FALSE)</f>
        <v>Yes</v>
      </c>
      <c r="N398" s="16" t="str">
        <f>VLOOKUP($A398,'SurveyRpt_20150223 (1)'!$A$34:$AN$735,20,FALSE)</f>
        <v>Yes</v>
      </c>
      <c r="O398" s="16" t="str">
        <f>VLOOKUP($A398,'SurveyRpt_20150223 (1)'!$A$34:$AN$735,22,FALSE)</f>
        <v>Yes</v>
      </c>
      <c r="P398" s="16" t="str">
        <f>VLOOKUP($A398,'SurveyRpt_20150223 (1)'!$A$34:$AN$735,24,FALSE)</f>
        <v>Yes</v>
      </c>
      <c r="Q398" s="16" t="str">
        <f>VLOOKUP($A398,'SurveyRpt_20150223 (1)'!$A$34:$AN$735,26,FALSE)</f>
        <v>Yes</v>
      </c>
      <c r="R398" s="16" t="str">
        <f>VLOOKUP($A398,'SurveyRpt_20150223 (1)'!$A$34:$AN$735,28,FALSE)</f>
        <v>Yes</v>
      </c>
      <c r="S398" s="16" t="str">
        <f>VLOOKUP($A398,'SurveyRpt_20150223 (1)'!$A$34:$AN$735,30,FALSE)</f>
        <v>Yes</v>
      </c>
      <c r="T398" s="16" t="str">
        <f>VLOOKUP($A398,'SurveyRpt_20150223 (1)'!$A$34:$AN$735,32,FALSE)</f>
        <v>Yes</v>
      </c>
      <c r="U398" s="16" t="str">
        <f>VLOOKUP($A398,'SurveyRpt_20150223 (1)'!$A$34:$AN$735,34,FALSE)</f>
        <v>Yes</v>
      </c>
      <c r="V398" s="16" t="str">
        <f>VLOOKUP($A398,'SurveyRpt_20150223 (1)'!$A$34:$AN$735,36,FALSE)</f>
        <v>Yes</v>
      </c>
      <c r="W398" s="16" t="str">
        <f>VLOOKUP($A398,'SurveyRpt_20150223 (1)'!$A$34:$AN$735,38,FALSE)</f>
        <v>Yes</v>
      </c>
    </row>
    <row r="399" spans="1:23" ht="13.5" customHeight="1" x14ac:dyDescent="0.25">
      <c r="A399" s="19" t="s">
        <v>492</v>
      </c>
      <c r="B399" s="19" t="str">
        <f t="shared" si="6"/>
        <v>Mcox47</v>
      </c>
      <c r="C399" s="16" t="str">
        <f>VLOOKUP(B399,'Compiled Agents'!A:H,2,FALSE)</f>
        <v>Platform</v>
      </c>
      <c r="D399" s="16" t="str">
        <f>VLOOKUP(B399,'Compiled Agents'!A:H,4,FALSE)</f>
        <v>MBC US</v>
      </c>
      <c r="E399" s="16" t="str">
        <f>VLOOKUP(B399,'Compiled Agents'!A:H,5,FALSE)</f>
        <v>Wave2</v>
      </c>
      <c r="F399" s="16" t="str">
        <f>VLOOKUP(B399,'Compiled Agents'!A:H,6,FALSE)</f>
        <v>Yellow</v>
      </c>
      <c r="G399" s="16">
        <f>VLOOKUP($A399,'SurveyRpt_20150223 (1)'!$A$34:$AN$735,6,FALSE)</f>
        <v>12</v>
      </c>
      <c r="H399" s="16" t="str">
        <f>VLOOKUP($A399,'SurveyRpt_20150223 (1)'!$A$34:$AN$735,8,FALSE)</f>
        <v>No</v>
      </c>
      <c r="I399" s="16" t="str">
        <f>VLOOKUP($A399,'SurveyRpt_20150223 (1)'!$A$34:$AN$735,10,FALSE)</f>
        <v>No</v>
      </c>
      <c r="J399" s="16" t="str">
        <f>VLOOKUP($A399,'SurveyRpt_20150223 (1)'!$A$34:$AN$735,12,FALSE)</f>
        <v>Yes</v>
      </c>
      <c r="K399" s="16" t="str">
        <f>VLOOKUP($A399,'SurveyRpt_20150223 (1)'!$A$34:$AN$735,14,FALSE)</f>
        <v>Yes</v>
      </c>
      <c r="L399" s="16" t="str">
        <f>VLOOKUP($A399,'SurveyRpt_20150223 (1)'!$A$34:$AN$735,16,FALSE)</f>
        <v>Yes</v>
      </c>
      <c r="M399" s="16" t="str">
        <f>VLOOKUP($A399,'SurveyRpt_20150223 (1)'!$A$34:$AN$735,18,FALSE)</f>
        <v>Yes</v>
      </c>
      <c r="N399" s="16" t="str">
        <f>VLOOKUP($A399,'SurveyRpt_20150223 (1)'!$A$34:$AN$735,20,FALSE)</f>
        <v>Yes</v>
      </c>
      <c r="O399" s="16" t="str">
        <f>VLOOKUP($A399,'SurveyRpt_20150223 (1)'!$A$34:$AN$735,22,FALSE)</f>
        <v>Yes</v>
      </c>
      <c r="P399" s="16" t="str">
        <f>VLOOKUP($A399,'SurveyRpt_20150223 (1)'!$A$34:$AN$735,24,FALSE)</f>
        <v>Yes</v>
      </c>
      <c r="Q399" s="16" t="str">
        <f>VLOOKUP($A399,'SurveyRpt_20150223 (1)'!$A$34:$AN$735,26,FALSE)</f>
        <v>Yes</v>
      </c>
      <c r="R399" s="16" t="str">
        <f>VLOOKUP($A399,'SurveyRpt_20150223 (1)'!$A$34:$AN$735,28,FALSE)</f>
        <v>Yes</v>
      </c>
      <c r="S399" s="16" t="str">
        <f>VLOOKUP($A399,'SurveyRpt_20150223 (1)'!$A$34:$AN$735,30,FALSE)</f>
        <v>Yes</v>
      </c>
      <c r="T399" s="16" t="str">
        <f>VLOOKUP($A399,'SurveyRpt_20150223 (1)'!$A$34:$AN$735,32,FALSE)</f>
        <v>No</v>
      </c>
      <c r="U399" s="16" t="str">
        <f>VLOOKUP($A399,'SurveyRpt_20150223 (1)'!$A$34:$AN$735,34,FALSE)</f>
        <v>Yes</v>
      </c>
      <c r="V399" s="16" t="str">
        <f>VLOOKUP($A399,'SurveyRpt_20150223 (1)'!$A$34:$AN$735,36,FALSE)</f>
        <v>Yes</v>
      </c>
      <c r="W399" s="16" t="str">
        <f>VLOOKUP($A399,'SurveyRpt_20150223 (1)'!$A$34:$AN$735,38,FALSE)</f>
        <v>No</v>
      </c>
    </row>
    <row r="400" spans="1:23" ht="13.5" customHeight="1" x14ac:dyDescent="0.25">
      <c r="A400" s="19" t="s">
        <v>493</v>
      </c>
      <c r="B400" s="19" t="str">
        <f t="shared" si="6"/>
        <v>KVENKATESAN9</v>
      </c>
      <c r="C400" s="16" t="str">
        <f>VLOOKUP(B400,'Compiled Agents'!A:H,2,FALSE)</f>
        <v>Platform</v>
      </c>
      <c r="D400" s="16" t="str">
        <f>VLOOKUP(B400,'Compiled Agents'!A:H,4,FALSE)</f>
        <v>Noida</v>
      </c>
      <c r="E400" s="16" t="str">
        <f>VLOOKUP(B400,'Compiled Agents'!A:H,5,FALSE)</f>
        <v>Wave1</v>
      </c>
      <c r="F400" s="16" t="str">
        <f>VLOOKUP(B400,'Compiled Agents'!A:H,6,FALSE)</f>
        <v>Purple</v>
      </c>
      <c r="G400" s="16">
        <f>VLOOKUP($A400,'SurveyRpt_20150223 (1)'!$A$34:$AN$735,6,FALSE)</f>
        <v>16</v>
      </c>
      <c r="H400" s="16" t="str">
        <f>VLOOKUP($A400,'SurveyRpt_20150223 (1)'!$A$34:$AN$735,8,FALSE)</f>
        <v>Yes</v>
      </c>
      <c r="I400" s="16" t="str">
        <f>VLOOKUP($A400,'SurveyRpt_20150223 (1)'!$A$34:$AN$735,10,FALSE)</f>
        <v>Yes</v>
      </c>
      <c r="J400" s="16" t="str">
        <f>VLOOKUP($A400,'SurveyRpt_20150223 (1)'!$A$34:$AN$735,12,FALSE)</f>
        <v>Yes</v>
      </c>
      <c r="K400" s="16" t="str">
        <f>VLOOKUP($A400,'SurveyRpt_20150223 (1)'!$A$34:$AN$735,14,FALSE)</f>
        <v>Yes</v>
      </c>
      <c r="L400" s="16" t="str">
        <f>VLOOKUP($A400,'SurveyRpt_20150223 (1)'!$A$34:$AN$735,16,FALSE)</f>
        <v>Yes</v>
      </c>
      <c r="M400" s="16" t="str">
        <f>VLOOKUP($A400,'SurveyRpt_20150223 (1)'!$A$34:$AN$735,18,FALSE)</f>
        <v>Yes</v>
      </c>
      <c r="N400" s="16" t="str">
        <f>VLOOKUP($A400,'SurveyRpt_20150223 (1)'!$A$34:$AN$735,20,FALSE)</f>
        <v>Yes</v>
      </c>
      <c r="O400" s="16" t="str">
        <f>VLOOKUP($A400,'SurveyRpt_20150223 (1)'!$A$34:$AN$735,22,FALSE)</f>
        <v>Yes</v>
      </c>
      <c r="P400" s="16" t="str">
        <f>VLOOKUP($A400,'SurveyRpt_20150223 (1)'!$A$34:$AN$735,24,FALSE)</f>
        <v>Yes</v>
      </c>
      <c r="Q400" s="16" t="str">
        <f>VLOOKUP($A400,'SurveyRpt_20150223 (1)'!$A$34:$AN$735,26,FALSE)</f>
        <v>Yes</v>
      </c>
      <c r="R400" s="16" t="str">
        <f>VLOOKUP($A400,'SurveyRpt_20150223 (1)'!$A$34:$AN$735,28,FALSE)</f>
        <v>Yes</v>
      </c>
      <c r="S400" s="16" t="str">
        <f>VLOOKUP($A400,'SurveyRpt_20150223 (1)'!$A$34:$AN$735,30,FALSE)</f>
        <v>Yes</v>
      </c>
      <c r="T400" s="16" t="str">
        <f>VLOOKUP($A400,'SurveyRpt_20150223 (1)'!$A$34:$AN$735,32,FALSE)</f>
        <v>Yes</v>
      </c>
      <c r="U400" s="16" t="str">
        <f>VLOOKUP($A400,'SurveyRpt_20150223 (1)'!$A$34:$AN$735,34,FALSE)</f>
        <v>Yes</v>
      </c>
      <c r="V400" s="16" t="str">
        <f>VLOOKUP($A400,'SurveyRpt_20150223 (1)'!$A$34:$AN$735,36,FALSE)</f>
        <v>Yes</v>
      </c>
      <c r="W400" s="16" t="str">
        <f>VLOOKUP($A400,'SurveyRpt_20150223 (1)'!$A$34:$AN$735,38,FALSE)</f>
        <v>Yes</v>
      </c>
    </row>
    <row r="401" spans="1:23" ht="13.5" customHeight="1" x14ac:dyDescent="0.25">
      <c r="A401" s="19" t="s">
        <v>494</v>
      </c>
      <c r="B401" s="19" t="str">
        <f t="shared" si="6"/>
        <v>ccompolattar</v>
      </c>
      <c r="C401" s="16" t="str">
        <f>VLOOKUP(B401,'Compiled Agents'!A:H,2,FALSE)</f>
        <v>Platform</v>
      </c>
      <c r="D401" s="16" t="str">
        <f>VLOOKUP(B401,'Compiled Agents'!A:H,4,FALSE)</f>
        <v>MBC US</v>
      </c>
      <c r="E401" s="16" t="str">
        <f>VLOOKUP(B401,'Compiled Agents'!A:H,5,FALSE)</f>
        <v>Wave2</v>
      </c>
      <c r="F401" s="16" t="str">
        <f>VLOOKUP(B401,'Compiled Agents'!A:H,6,FALSE)</f>
        <v>Yellow</v>
      </c>
      <c r="G401" s="16">
        <f>VLOOKUP($A401,'SurveyRpt_20150223 (1)'!$A$34:$AN$735,6,FALSE)</f>
        <v>11</v>
      </c>
      <c r="H401" s="16" t="str">
        <f>VLOOKUP($A401,'SurveyRpt_20150223 (1)'!$A$34:$AN$735,8,FALSE)</f>
        <v>Yes</v>
      </c>
      <c r="I401" s="16" t="str">
        <f>VLOOKUP($A401,'SurveyRpt_20150223 (1)'!$A$34:$AN$735,10,FALSE)</f>
        <v>Yes</v>
      </c>
      <c r="J401" s="16" t="str">
        <f>VLOOKUP($A401,'SurveyRpt_20150223 (1)'!$A$34:$AN$735,12,FALSE)</f>
        <v>Yes</v>
      </c>
      <c r="K401" s="16" t="str">
        <f>VLOOKUP($A401,'SurveyRpt_20150223 (1)'!$A$34:$AN$735,14,FALSE)</f>
        <v>Yes</v>
      </c>
      <c r="L401" s="16" t="str">
        <f>VLOOKUP($A401,'SurveyRpt_20150223 (1)'!$A$34:$AN$735,16,FALSE)</f>
        <v>No</v>
      </c>
      <c r="M401" s="16" t="str">
        <f>VLOOKUP($A401,'SurveyRpt_20150223 (1)'!$A$34:$AN$735,18,FALSE)</f>
        <v>No</v>
      </c>
      <c r="N401" s="16" t="str">
        <f>VLOOKUP($A401,'SurveyRpt_20150223 (1)'!$A$34:$AN$735,20,FALSE)</f>
        <v>No</v>
      </c>
      <c r="O401" s="16" t="str">
        <f>VLOOKUP($A401,'SurveyRpt_20150223 (1)'!$A$34:$AN$735,22,FALSE)</f>
        <v>Yes</v>
      </c>
      <c r="P401" s="16" t="str">
        <f>VLOOKUP($A401,'SurveyRpt_20150223 (1)'!$A$34:$AN$735,24,FALSE)</f>
        <v>Yes</v>
      </c>
      <c r="Q401" s="16" t="str">
        <f>VLOOKUP($A401,'SurveyRpt_20150223 (1)'!$A$34:$AN$735,26,FALSE)</f>
        <v>Yes</v>
      </c>
      <c r="R401" s="16" t="str">
        <f>VLOOKUP($A401,'SurveyRpt_20150223 (1)'!$A$34:$AN$735,28,FALSE)</f>
        <v>Yes</v>
      </c>
      <c r="S401" s="16" t="str">
        <f>VLOOKUP($A401,'SurveyRpt_20150223 (1)'!$A$34:$AN$735,30,FALSE)</f>
        <v>Yes</v>
      </c>
      <c r="T401" s="16" t="str">
        <f>VLOOKUP($A401,'SurveyRpt_20150223 (1)'!$A$34:$AN$735,32,FALSE)</f>
        <v>No</v>
      </c>
      <c r="U401" s="16" t="str">
        <f>VLOOKUP($A401,'SurveyRpt_20150223 (1)'!$A$34:$AN$735,34,FALSE)</f>
        <v>Yes</v>
      </c>
      <c r="V401" s="16" t="str">
        <f>VLOOKUP($A401,'SurveyRpt_20150223 (1)'!$A$34:$AN$735,36,FALSE)</f>
        <v>Yes</v>
      </c>
      <c r="W401" s="16" t="str">
        <f>VLOOKUP($A401,'SurveyRpt_20150223 (1)'!$A$34:$AN$735,38,FALSE)</f>
        <v>No</v>
      </c>
    </row>
    <row r="402" spans="1:23" ht="13.5" customHeight="1" x14ac:dyDescent="0.25">
      <c r="A402" s="19" t="s">
        <v>495</v>
      </c>
      <c r="B402" s="19" t="str">
        <f t="shared" si="6"/>
        <v>SBASANI3</v>
      </c>
      <c r="C402" s="16" t="str">
        <f>VLOOKUP(B402,'Compiled Agents'!A:H,2,FALSE)</f>
        <v>Platform</v>
      </c>
      <c r="D402" s="16" t="str">
        <f>VLOOKUP(B402,'Compiled Agents'!A:H,4,FALSE)</f>
        <v>Hyderabad</v>
      </c>
      <c r="E402" s="16" t="str">
        <f>VLOOKUP(B402,'Compiled Agents'!A:H,5,FALSE)</f>
        <v>Wave1</v>
      </c>
      <c r="F402" s="16" t="str">
        <f>VLOOKUP(B402,'Compiled Agents'!A:H,6,FALSE)</f>
        <v>Orange</v>
      </c>
      <c r="G402" s="16">
        <f>VLOOKUP($A402,'SurveyRpt_20150223 (1)'!$A$34:$AN$735,6,FALSE)</f>
        <v>16</v>
      </c>
      <c r="H402" s="16" t="str">
        <f>VLOOKUP($A402,'SurveyRpt_20150223 (1)'!$A$34:$AN$735,8,FALSE)</f>
        <v>Yes</v>
      </c>
      <c r="I402" s="16" t="str">
        <f>VLOOKUP($A402,'SurveyRpt_20150223 (1)'!$A$34:$AN$735,10,FALSE)</f>
        <v>Yes</v>
      </c>
      <c r="J402" s="16" t="str">
        <f>VLOOKUP($A402,'SurveyRpt_20150223 (1)'!$A$34:$AN$735,12,FALSE)</f>
        <v>Yes</v>
      </c>
      <c r="K402" s="16" t="str">
        <f>VLOOKUP($A402,'SurveyRpt_20150223 (1)'!$A$34:$AN$735,14,FALSE)</f>
        <v>Yes</v>
      </c>
      <c r="L402" s="16" t="str">
        <f>VLOOKUP($A402,'SurveyRpt_20150223 (1)'!$A$34:$AN$735,16,FALSE)</f>
        <v>Yes</v>
      </c>
      <c r="M402" s="16" t="str">
        <f>VLOOKUP($A402,'SurveyRpt_20150223 (1)'!$A$34:$AN$735,18,FALSE)</f>
        <v>Yes</v>
      </c>
      <c r="N402" s="16" t="str">
        <f>VLOOKUP($A402,'SurveyRpt_20150223 (1)'!$A$34:$AN$735,20,FALSE)</f>
        <v>Yes</v>
      </c>
      <c r="O402" s="16" t="str">
        <f>VLOOKUP($A402,'SurveyRpt_20150223 (1)'!$A$34:$AN$735,22,FALSE)</f>
        <v>Yes</v>
      </c>
      <c r="P402" s="16" t="str">
        <f>VLOOKUP($A402,'SurveyRpt_20150223 (1)'!$A$34:$AN$735,24,FALSE)</f>
        <v>Yes</v>
      </c>
      <c r="Q402" s="16" t="str">
        <f>VLOOKUP($A402,'SurveyRpt_20150223 (1)'!$A$34:$AN$735,26,FALSE)</f>
        <v>Yes</v>
      </c>
      <c r="R402" s="16" t="str">
        <f>VLOOKUP($A402,'SurveyRpt_20150223 (1)'!$A$34:$AN$735,28,FALSE)</f>
        <v>Yes</v>
      </c>
      <c r="S402" s="16" t="str">
        <f>VLOOKUP($A402,'SurveyRpt_20150223 (1)'!$A$34:$AN$735,30,FALSE)</f>
        <v>Yes</v>
      </c>
      <c r="T402" s="16" t="str">
        <f>VLOOKUP($A402,'SurveyRpt_20150223 (1)'!$A$34:$AN$735,32,FALSE)</f>
        <v>Yes</v>
      </c>
      <c r="U402" s="16" t="str">
        <f>VLOOKUP($A402,'SurveyRpt_20150223 (1)'!$A$34:$AN$735,34,FALSE)</f>
        <v>Yes</v>
      </c>
      <c r="V402" s="16" t="str">
        <f>VLOOKUP($A402,'SurveyRpt_20150223 (1)'!$A$34:$AN$735,36,FALSE)</f>
        <v>Yes</v>
      </c>
      <c r="W402" s="16" t="str">
        <f>VLOOKUP($A402,'SurveyRpt_20150223 (1)'!$A$34:$AN$735,38,FALSE)</f>
        <v>Yes</v>
      </c>
    </row>
    <row r="403" spans="1:23" ht="13.5" customHeight="1" x14ac:dyDescent="0.25">
      <c r="A403" s="19" t="s">
        <v>496</v>
      </c>
      <c r="B403" s="19" t="str">
        <f t="shared" si="6"/>
        <v>jwyman5</v>
      </c>
      <c r="C403" s="16" t="str">
        <f>VLOOKUP(B403,'Compiled Agents'!A:H,2,FALSE)</f>
        <v>Platform</v>
      </c>
      <c r="D403" s="16" t="str">
        <f>VLOOKUP(B403,'Compiled Agents'!A:H,4,FALSE)</f>
        <v>MBC US</v>
      </c>
      <c r="E403" s="16" t="str">
        <f>VLOOKUP(B403,'Compiled Agents'!A:H,5,FALSE)</f>
        <v>Wave2</v>
      </c>
      <c r="F403" s="16" t="str">
        <f>VLOOKUP(B403,'Compiled Agents'!A:H,6,FALSE)</f>
        <v>Orange</v>
      </c>
      <c r="G403" s="16">
        <f>VLOOKUP($A403,'SurveyRpt_20150223 (1)'!$A$34:$AN$735,6,FALSE)</f>
        <v>1</v>
      </c>
      <c r="H403" s="16" t="str">
        <f>VLOOKUP($A403,'SurveyRpt_20150223 (1)'!$A$34:$AN$735,8,FALSE)</f>
        <v>No</v>
      </c>
      <c r="I403" s="16" t="str">
        <f>VLOOKUP($A403,'SurveyRpt_20150223 (1)'!$A$34:$AN$735,10,FALSE)</f>
        <v>No</v>
      </c>
      <c r="J403" s="16" t="str">
        <f>VLOOKUP($A403,'SurveyRpt_20150223 (1)'!$A$34:$AN$735,12,FALSE)</f>
        <v>No</v>
      </c>
      <c r="K403" s="16" t="str">
        <f>VLOOKUP($A403,'SurveyRpt_20150223 (1)'!$A$34:$AN$735,14,FALSE)</f>
        <v>No</v>
      </c>
      <c r="L403" s="16" t="str">
        <f>VLOOKUP($A403,'SurveyRpt_20150223 (1)'!$A$34:$AN$735,16,FALSE)</f>
        <v>No</v>
      </c>
      <c r="M403" s="16" t="str">
        <f>VLOOKUP($A403,'SurveyRpt_20150223 (1)'!$A$34:$AN$735,18,FALSE)</f>
        <v>No</v>
      </c>
      <c r="N403" s="16" t="str">
        <f>VLOOKUP($A403,'SurveyRpt_20150223 (1)'!$A$34:$AN$735,20,FALSE)</f>
        <v>No</v>
      </c>
      <c r="O403" s="16" t="str">
        <f>VLOOKUP($A403,'SurveyRpt_20150223 (1)'!$A$34:$AN$735,22,FALSE)</f>
        <v>No</v>
      </c>
      <c r="P403" s="16" t="str">
        <f>VLOOKUP($A403,'SurveyRpt_20150223 (1)'!$A$34:$AN$735,24,FALSE)</f>
        <v>No</v>
      </c>
      <c r="Q403" s="16" t="str">
        <f>VLOOKUP($A403,'SurveyRpt_20150223 (1)'!$A$34:$AN$735,26,FALSE)</f>
        <v>No</v>
      </c>
      <c r="R403" s="16" t="str">
        <f>VLOOKUP($A403,'SurveyRpt_20150223 (1)'!$A$34:$AN$735,28,FALSE)</f>
        <v>No</v>
      </c>
      <c r="S403" s="16" t="str">
        <f>VLOOKUP($A403,'SurveyRpt_20150223 (1)'!$A$34:$AN$735,30,FALSE)</f>
        <v>No</v>
      </c>
      <c r="T403" s="16" t="str">
        <f>VLOOKUP($A403,'SurveyRpt_20150223 (1)'!$A$34:$AN$735,32,FALSE)</f>
        <v>No</v>
      </c>
      <c r="U403" s="16" t="str">
        <f>VLOOKUP($A403,'SurveyRpt_20150223 (1)'!$A$34:$AN$735,34,FALSE)</f>
        <v>No</v>
      </c>
      <c r="V403" s="16" t="str">
        <f>VLOOKUP($A403,'SurveyRpt_20150223 (1)'!$A$34:$AN$735,36,FALSE)</f>
        <v>Yes</v>
      </c>
      <c r="W403" s="16" t="str">
        <f>VLOOKUP($A403,'SurveyRpt_20150223 (1)'!$A$34:$AN$735,38,FALSE)</f>
        <v>No</v>
      </c>
    </row>
    <row r="404" spans="1:23" ht="13.5" customHeight="1" x14ac:dyDescent="0.25">
      <c r="A404" s="19" t="s">
        <v>497</v>
      </c>
      <c r="B404" s="19" t="str">
        <f t="shared" si="6"/>
        <v>BTHOMAS44</v>
      </c>
      <c r="C404" s="16" t="str">
        <f>VLOOKUP(B404,'Compiled Agents'!A:H,2,FALSE)</f>
        <v>Workplace</v>
      </c>
      <c r="D404" s="16" t="str">
        <f>VLOOKUP(B404,'Compiled Agents'!A:H,4,FALSE)</f>
        <v>Noida</v>
      </c>
      <c r="E404" s="16" t="str">
        <f>VLOOKUP(B404,'Compiled Agents'!A:H,5,FALSE)</f>
        <v>Wave2</v>
      </c>
      <c r="F404" s="16" t="str">
        <f>VLOOKUP(B404,'Compiled Agents'!A:H,6,FALSE)</f>
        <v>Yellow</v>
      </c>
      <c r="G404" s="16">
        <f>VLOOKUP($A404,'SurveyRpt_20150223 (1)'!$A$34:$AN$735,6,FALSE)</f>
        <v>13</v>
      </c>
      <c r="H404" s="16" t="str">
        <f>VLOOKUP($A404,'SurveyRpt_20150223 (1)'!$A$34:$AN$735,8,FALSE)</f>
        <v>Yes</v>
      </c>
      <c r="I404" s="16" t="str">
        <f>VLOOKUP($A404,'SurveyRpt_20150223 (1)'!$A$34:$AN$735,10,FALSE)</f>
        <v>No</v>
      </c>
      <c r="J404" s="16" t="str">
        <f>VLOOKUP($A404,'SurveyRpt_20150223 (1)'!$A$34:$AN$735,12,FALSE)</f>
        <v>Yes</v>
      </c>
      <c r="K404" s="16" t="str">
        <f>VLOOKUP($A404,'SurveyRpt_20150223 (1)'!$A$34:$AN$735,14,FALSE)</f>
        <v>Yes</v>
      </c>
      <c r="L404" s="16" t="str">
        <f>VLOOKUP($A404,'SurveyRpt_20150223 (1)'!$A$34:$AN$735,16,FALSE)</f>
        <v>Yes</v>
      </c>
      <c r="M404" s="16" t="str">
        <f>VLOOKUP($A404,'SurveyRpt_20150223 (1)'!$A$34:$AN$735,18,FALSE)</f>
        <v>Yes</v>
      </c>
      <c r="N404" s="16" t="str">
        <f>VLOOKUP($A404,'SurveyRpt_20150223 (1)'!$A$34:$AN$735,20,FALSE)</f>
        <v>No</v>
      </c>
      <c r="O404" s="16" t="str">
        <f>VLOOKUP($A404,'SurveyRpt_20150223 (1)'!$A$34:$AN$735,22,FALSE)</f>
        <v>No</v>
      </c>
      <c r="P404" s="16" t="str">
        <f>VLOOKUP($A404,'SurveyRpt_20150223 (1)'!$A$34:$AN$735,24,FALSE)</f>
        <v>Yes</v>
      </c>
      <c r="Q404" s="16" t="str">
        <f>VLOOKUP($A404,'SurveyRpt_20150223 (1)'!$A$34:$AN$735,26,FALSE)</f>
        <v>Yes</v>
      </c>
      <c r="R404" s="16" t="str">
        <f>VLOOKUP($A404,'SurveyRpt_20150223 (1)'!$A$34:$AN$735,28,FALSE)</f>
        <v>Yes</v>
      </c>
      <c r="S404" s="16" t="str">
        <f>VLOOKUP($A404,'SurveyRpt_20150223 (1)'!$A$34:$AN$735,30,FALSE)</f>
        <v>Yes</v>
      </c>
      <c r="T404" s="16" t="str">
        <f>VLOOKUP($A404,'SurveyRpt_20150223 (1)'!$A$34:$AN$735,32,FALSE)</f>
        <v>Yes</v>
      </c>
      <c r="U404" s="16" t="str">
        <f>VLOOKUP($A404,'SurveyRpt_20150223 (1)'!$A$34:$AN$735,34,FALSE)</f>
        <v>Yes</v>
      </c>
      <c r="V404" s="16" t="str">
        <f>VLOOKUP($A404,'SurveyRpt_20150223 (1)'!$A$34:$AN$735,36,FALSE)</f>
        <v>Yes</v>
      </c>
      <c r="W404" s="16" t="str">
        <f>VLOOKUP($A404,'SurveyRpt_20150223 (1)'!$A$34:$AN$735,38,FALSE)</f>
        <v>Yes</v>
      </c>
    </row>
    <row r="405" spans="1:23" ht="13.5" customHeight="1" x14ac:dyDescent="0.25">
      <c r="A405" s="19" t="s">
        <v>498</v>
      </c>
      <c r="B405" s="19" t="str">
        <f t="shared" si="6"/>
        <v>ABANGA</v>
      </c>
      <c r="C405" s="16" t="str">
        <f>VLOOKUP(B405,'Compiled Agents'!A:H,2,FALSE)</f>
        <v>Workplace</v>
      </c>
      <c r="D405" s="16" t="str">
        <f>VLOOKUP(B405,'Compiled Agents'!A:H,4,FALSE)</f>
        <v>Noida</v>
      </c>
      <c r="E405" s="16" t="str">
        <f>VLOOKUP(B405,'Compiled Agents'!A:H,5,FALSE)</f>
        <v>Wave1</v>
      </c>
      <c r="F405" s="16" t="str">
        <f>VLOOKUP(B405,'Compiled Agents'!A:H,6,FALSE)</f>
        <v>Yellow</v>
      </c>
      <c r="G405" s="16">
        <f>VLOOKUP($A405,'SurveyRpt_20150223 (1)'!$A$34:$AN$735,6,FALSE)</f>
        <v>9</v>
      </c>
      <c r="H405" s="16" t="str">
        <f>VLOOKUP($A405,'SurveyRpt_20150223 (1)'!$A$34:$AN$735,8,FALSE)</f>
        <v>Yes</v>
      </c>
      <c r="I405" s="16" t="str">
        <f>VLOOKUP($A405,'SurveyRpt_20150223 (1)'!$A$34:$AN$735,10,FALSE)</f>
        <v>Yes</v>
      </c>
      <c r="J405" s="16" t="str">
        <f>VLOOKUP($A405,'SurveyRpt_20150223 (1)'!$A$34:$AN$735,12,FALSE)</f>
        <v>No</v>
      </c>
      <c r="K405" s="16" t="str">
        <f>VLOOKUP($A405,'SurveyRpt_20150223 (1)'!$A$34:$AN$735,14,FALSE)</f>
        <v>No</v>
      </c>
      <c r="L405" s="16" t="str">
        <f>VLOOKUP($A405,'SurveyRpt_20150223 (1)'!$A$34:$AN$735,16,FALSE)</f>
        <v>Yes</v>
      </c>
      <c r="M405" s="16" t="str">
        <f>VLOOKUP($A405,'SurveyRpt_20150223 (1)'!$A$34:$AN$735,18,FALSE)</f>
        <v>Yes</v>
      </c>
      <c r="N405" s="16" t="str">
        <f>VLOOKUP($A405,'SurveyRpt_20150223 (1)'!$A$34:$AN$735,20,FALSE)</f>
        <v>Yes</v>
      </c>
      <c r="O405" s="16" t="str">
        <f>VLOOKUP($A405,'SurveyRpt_20150223 (1)'!$A$34:$AN$735,22,FALSE)</f>
        <v>No</v>
      </c>
      <c r="P405" s="16" t="str">
        <f>VLOOKUP($A405,'SurveyRpt_20150223 (1)'!$A$34:$AN$735,24,FALSE)</f>
        <v>No</v>
      </c>
      <c r="Q405" s="16" t="str">
        <f>VLOOKUP($A405,'SurveyRpt_20150223 (1)'!$A$34:$AN$735,26,FALSE)</f>
        <v>Yes</v>
      </c>
      <c r="R405" s="16" t="str">
        <f>VLOOKUP($A405,'SurveyRpt_20150223 (1)'!$A$34:$AN$735,28,FALSE)</f>
        <v>Yes</v>
      </c>
      <c r="S405" s="16" t="str">
        <f>VLOOKUP($A405,'SurveyRpt_20150223 (1)'!$A$34:$AN$735,30,FALSE)</f>
        <v>Yes</v>
      </c>
      <c r="T405" s="16" t="str">
        <f>VLOOKUP($A405,'SurveyRpt_20150223 (1)'!$A$34:$AN$735,32,FALSE)</f>
        <v>No</v>
      </c>
      <c r="U405" s="16" t="str">
        <f>VLOOKUP($A405,'SurveyRpt_20150223 (1)'!$A$34:$AN$735,34,FALSE)</f>
        <v>No</v>
      </c>
      <c r="V405" s="16" t="str">
        <f>VLOOKUP($A405,'SurveyRpt_20150223 (1)'!$A$34:$AN$735,36,FALSE)</f>
        <v>Yes</v>
      </c>
      <c r="W405" s="16" t="str">
        <f>VLOOKUP($A405,'SurveyRpt_20150223 (1)'!$A$34:$AN$735,38,FALSE)</f>
        <v>No</v>
      </c>
    </row>
    <row r="406" spans="1:23" ht="13.5" customHeight="1" x14ac:dyDescent="0.25">
      <c r="A406" s="19" t="s">
        <v>499</v>
      </c>
      <c r="B406" s="19" t="str">
        <f t="shared" si="6"/>
        <v>rcoulte2</v>
      </c>
      <c r="C406" s="16" t="str">
        <f>VLOOKUP(B406,'Compiled Agents'!A:H,2,FALSE)</f>
        <v>Platform</v>
      </c>
      <c r="D406" s="16" t="str">
        <f>VLOOKUP(B406,'Compiled Agents'!A:H,4,FALSE)</f>
        <v>MBC US</v>
      </c>
      <c r="E406" s="16" t="str">
        <f>VLOOKUP(B406,'Compiled Agents'!A:H,5,FALSE)</f>
        <v>Wave2</v>
      </c>
      <c r="F406" s="16" t="str">
        <f>VLOOKUP(B406,'Compiled Agents'!A:H,6,FALSE)</f>
        <v>Brown</v>
      </c>
      <c r="G406" s="16">
        <f>VLOOKUP($A406,'SurveyRpt_20150223 (1)'!$A$34:$AN$735,6,FALSE)</f>
        <v>1</v>
      </c>
      <c r="H406" s="16" t="str">
        <f>VLOOKUP($A406,'SurveyRpt_20150223 (1)'!$A$34:$AN$735,8,FALSE)</f>
        <v>No</v>
      </c>
      <c r="I406" s="16" t="str">
        <f>VLOOKUP($A406,'SurveyRpt_20150223 (1)'!$A$34:$AN$735,10,FALSE)</f>
        <v>No</v>
      </c>
      <c r="J406" s="16" t="str">
        <f>VLOOKUP($A406,'SurveyRpt_20150223 (1)'!$A$34:$AN$735,12,FALSE)</f>
        <v>No</v>
      </c>
      <c r="K406" s="16" t="str">
        <f>VLOOKUP($A406,'SurveyRpt_20150223 (1)'!$A$34:$AN$735,14,FALSE)</f>
        <v>No</v>
      </c>
      <c r="L406" s="16" t="str">
        <f>VLOOKUP($A406,'SurveyRpt_20150223 (1)'!$A$34:$AN$735,16,FALSE)</f>
        <v>No</v>
      </c>
      <c r="M406" s="16" t="str">
        <f>VLOOKUP($A406,'SurveyRpt_20150223 (1)'!$A$34:$AN$735,18,FALSE)</f>
        <v>No</v>
      </c>
      <c r="N406" s="16" t="str">
        <f>VLOOKUP($A406,'SurveyRpt_20150223 (1)'!$A$34:$AN$735,20,FALSE)</f>
        <v>No</v>
      </c>
      <c r="O406" s="16" t="str">
        <f>VLOOKUP($A406,'SurveyRpt_20150223 (1)'!$A$34:$AN$735,22,FALSE)</f>
        <v>No</v>
      </c>
      <c r="P406" s="16" t="str">
        <f>VLOOKUP($A406,'SurveyRpt_20150223 (1)'!$A$34:$AN$735,24,FALSE)</f>
        <v>No</v>
      </c>
      <c r="Q406" s="16" t="str">
        <f>VLOOKUP($A406,'SurveyRpt_20150223 (1)'!$A$34:$AN$735,26,FALSE)</f>
        <v>No</v>
      </c>
      <c r="R406" s="16" t="str">
        <f>VLOOKUP($A406,'SurveyRpt_20150223 (1)'!$A$34:$AN$735,28,FALSE)</f>
        <v>No</v>
      </c>
      <c r="S406" s="16" t="str">
        <f>VLOOKUP($A406,'SurveyRpt_20150223 (1)'!$A$34:$AN$735,30,FALSE)</f>
        <v>Yes</v>
      </c>
      <c r="T406" s="16" t="str">
        <f>VLOOKUP($A406,'SurveyRpt_20150223 (1)'!$A$34:$AN$735,32,FALSE)</f>
        <v>No</v>
      </c>
      <c r="U406" s="16" t="str">
        <f>VLOOKUP($A406,'SurveyRpt_20150223 (1)'!$A$34:$AN$735,34,FALSE)</f>
        <v>No</v>
      </c>
      <c r="V406" s="16" t="str">
        <f>VLOOKUP($A406,'SurveyRpt_20150223 (1)'!$A$34:$AN$735,36,FALSE)</f>
        <v>No</v>
      </c>
      <c r="W406" s="16" t="str">
        <f>VLOOKUP($A406,'SurveyRpt_20150223 (1)'!$A$34:$AN$735,38,FALSE)</f>
        <v>No</v>
      </c>
    </row>
    <row r="407" spans="1:23" ht="13.5" customHeight="1" x14ac:dyDescent="0.25">
      <c r="A407" s="19" t="s">
        <v>500</v>
      </c>
      <c r="B407" s="19" t="str">
        <f t="shared" si="6"/>
        <v>jcovarrubia2</v>
      </c>
      <c r="C407" s="16" t="str">
        <f>VLOOKUP(B407,'Compiled Agents'!A:H,2,FALSE)</f>
        <v>Platform</v>
      </c>
      <c r="D407" s="16" t="str">
        <f>VLOOKUP(B407,'Compiled Agents'!A:H,4,FALSE)</f>
        <v>MBC US</v>
      </c>
      <c r="E407" s="16" t="str">
        <f>VLOOKUP(B407,'Compiled Agents'!A:H,5,FALSE)</f>
        <v>Wave2</v>
      </c>
      <c r="F407" s="16" t="str">
        <f>VLOOKUP(B407,'Compiled Agents'!A:H,6,FALSE)</f>
        <v>Yellow</v>
      </c>
      <c r="G407" s="16">
        <f>VLOOKUP($A407,'SurveyRpt_20150223 (1)'!$A$34:$AN$735,6,FALSE)</f>
        <v>16</v>
      </c>
      <c r="H407" s="16" t="str">
        <f>VLOOKUP($A407,'SurveyRpt_20150223 (1)'!$A$34:$AN$735,8,FALSE)</f>
        <v>Yes</v>
      </c>
      <c r="I407" s="16" t="str">
        <f>VLOOKUP($A407,'SurveyRpt_20150223 (1)'!$A$34:$AN$735,10,FALSE)</f>
        <v>Yes</v>
      </c>
      <c r="J407" s="16" t="str">
        <f>VLOOKUP($A407,'SurveyRpt_20150223 (1)'!$A$34:$AN$735,12,FALSE)</f>
        <v>Yes</v>
      </c>
      <c r="K407" s="16" t="str">
        <f>VLOOKUP($A407,'SurveyRpt_20150223 (1)'!$A$34:$AN$735,14,FALSE)</f>
        <v>Yes</v>
      </c>
      <c r="L407" s="16" t="str">
        <f>VLOOKUP($A407,'SurveyRpt_20150223 (1)'!$A$34:$AN$735,16,FALSE)</f>
        <v>Yes</v>
      </c>
      <c r="M407" s="16" t="str">
        <f>VLOOKUP($A407,'SurveyRpt_20150223 (1)'!$A$34:$AN$735,18,FALSE)</f>
        <v>Yes</v>
      </c>
      <c r="N407" s="16" t="str">
        <f>VLOOKUP($A407,'SurveyRpt_20150223 (1)'!$A$34:$AN$735,20,FALSE)</f>
        <v>Yes</v>
      </c>
      <c r="O407" s="16" t="str">
        <f>VLOOKUP($A407,'SurveyRpt_20150223 (1)'!$A$34:$AN$735,22,FALSE)</f>
        <v>Yes</v>
      </c>
      <c r="P407" s="16" t="str">
        <f>VLOOKUP($A407,'SurveyRpt_20150223 (1)'!$A$34:$AN$735,24,FALSE)</f>
        <v>Yes</v>
      </c>
      <c r="Q407" s="16" t="str">
        <f>VLOOKUP($A407,'SurveyRpt_20150223 (1)'!$A$34:$AN$735,26,FALSE)</f>
        <v>Yes</v>
      </c>
      <c r="R407" s="16" t="str">
        <f>VLOOKUP($A407,'SurveyRpt_20150223 (1)'!$A$34:$AN$735,28,FALSE)</f>
        <v>Yes</v>
      </c>
      <c r="S407" s="16" t="str">
        <f>VLOOKUP($A407,'SurveyRpt_20150223 (1)'!$A$34:$AN$735,30,FALSE)</f>
        <v>Yes</v>
      </c>
      <c r="T407" s="16" t="str">
        <f>VLOOKUP($A407,'SurveyRpt_20150223 (1)'!$A$34:$AN$735,32,FALSE)</f>
        <v>Yes</v>
      </c>
      <c r="U407" s="16" t="str">
        <f>VLOOKUP($A407,'SurveyRpt_20150223 (1)'!$A$34:$AN$735,34,FALSE)</f>
        <v>Yes</v>
      </c>
      <c r="V407" s="16" t="str">
        <f>VLOOKUP($A407,'SurveyRpt_20150223 (1)'!$A$34:$AN$735,36,FALSE)</f>
        <v>Yes</v>
      </c>
      <c r="W407" s="16" t="str">
        <f>VLOOKUP($A407,'SurveyRpt_20150223 (1)'!$A$34:$AN$735,38,FALSE)</f>
        <v>Yes</v>
      </c>
    </row>
    <row r="408" spans="1:23" ht="13.5" customHeight="1" x14ac:dyDescent="0.25">
      <c r="A408" s="19" t="s">
        <v>501</v>
      </c>
      <c r="B408" s="19" t="str">
        <f t="shared" si="6"/>
        <v>jjankaus</v>
      </c>
      <c r="C408" s="16" t="str">
        <f>VLOOKUP(B408,'Compiled Agents'!A:H,2,FALSE)</f>
        <v>Platform</v>
      </c>
      <c r="D408" s="16" t="str">
        <f>VLOOKUP(B408,'Compiled Agents'!A:H,4,FALSE)</f>
        <v>MBC US</v>
      </c>
      <c r="E408" s="16" t="str">
        <f>VLOOKUP(B408,'Compiled Agents'!A:H,5,FALSE)</f>
        <v>Wave2</v>
      </c>
      <c r="F408" s="16" t="str">
        <f>VLOOKUP(B408,'Compiled Agents'!A:H,6,FALSE)</f>
        <v>Yellow</v>
      </c>
      <c r="G408" s="16">
        <f>VLOOKUP($A408,'SurveyRpt_20150223 (1)'!$A$34:$AN$735,6,FALSE)</f>
        <v>16</v>
      </c>
      <c r="H408" s="16" t="str">
        <f>VLOOKUP($A408,'SurveyRpt_20150223 (1)'!$A$34:$AN$735,8,FALSE)</f>
        <v>Yes</v>
      </c>
      <c r="I408" s="16" t="str">
        <f>VLOOKUP($A408,'SurveyRpt_20150223 (1)'!$A$34:$AN$735,10,FALSE)</f>
        <v>Yes</v>
      </c>
      <c r="J408" s="16" t="str">
        <f>VLOOKUP($A408,'SurveyRpt_20150223 (1)'!$A$34:$AN$735,12,FALSE)</f>
        <v>Yes</v>
      </c>
      <c r="K408" s="16" t="str">
        <f>VLOOKUP($A408,'SurveyRpt_20150223 (1)'!$A$34:$AN$735,14,FALSE)</f>
        <v>Yes</v>
      </c>
      <c r="L408" s="16" t="str">
        <f>VLOOKUP($A408,'SurveyRpt_20150223 (1)'!$A$34:$AN$735,16,FALSE)</f>
        <v>Yes</v>
      </c>
      <c r="M408" s="16" t="str">
        <f>VLOOKUP($A408,'SurveyRpt_20150223 (1)'!$A$34:$AN$735,18,FALSE)</f>
        <v>Yes</v>
      </c>
      <c r="N408" s="16" t="str">
        <f>VLOOKUP($A408,'SurveyRpt_20150223 (1)'!$A$34:$AN$735,20,FALSE)</f>
        <v>Yes</v>
      </c>
      <c r="O408" s="16" t="str">
        <f>VLOOKUP($A408,'SurveyRpt_20150223 (1)'!$A$34:$AN$735,22,FALSE)</f>
        <v>Yes</v>
      </c>
      <c r="P408" s="16" t="str">
        <f>VLOOKUP($A408,'SurveyRpt_20150223 (1)'!$A$34:$AN$735,24,FALSE)</f>
        <v>Yes</v>
      </c>
      <c r="Q408" s="16" t="str">
        <f>VLOOKUP($A408,'SurveyRpt_20150223 (1)'!$A$34:$AN$735,26,FALSE)</f>
        <v>Yes</v>
      </c>
      <c r="R408" s="16" t="str">
        <f>VLOOKUP($A408,'SurveyRpt_20150223 (1)'!$A$34:$AN$735,28,FALSE)</f>
        <v>Yes</v>
      </c>
      <c r="S408" s="16" t="str">
        <f>VLOOKUP($A408,'SurveyRpt_20150223 (1)'!$A$34:$AN$735,30,FALSE)</f>
        <v>Yes</v>
      </c>
      <c r="T408" s="16" t="str">
        <f>VLOOKUP($A408,'SurveyRpt_20150223 (1)'!$A$34:$AN$735,32,FALSE)</f>
        <v>Yes</v>
      </c>
      <c r="U408" s="16" t="str">
        <f>VLOOKUP($A408,'SurveyRpt_20150223 (1)'!$A$34:$AN$735,34,FALSE)</f>
        <v>Yes</v>
      </c>
      <c r="V408" s="16" t="str">
        <f>VLOOKUP($A408,'SurveyRpt_20150223 (1)'!$A$34:$AN$735,36,FALSE)</f>
        <v>Yes</v>
      </c>
      <c r="W408" s="16" t="str">
        <f>VLOOKUP($A408,'SurveyRpt_20150223 (1)'!$A$34:$AN$735,38,FALSE)</f>
        <v>Yes</v>
      </c>
    </row>
    <row r="409" spans="1:23" ht="13.5" customHeight="1" x14ac:dyDescent="0.25">
      <c r="A409" s="19" t="s">
        <v>502</v>
      </c>
      <c r="B409" s="19" t="str">
        <f t="shared" si="6"/>
        <v>eboyes</v>
      </c>
      <c r="C409" s="16" t="str">
        <f>VLOOKUP(B409,'Compiled Agents'!A:H,2,FALSE)</f>
        <v>Platform</v>
      </c>
      <c r="D409" s="16" t="str">
        <f>VLOOKUP(B409,'Compiled Agents'!A:H,4,FALSE)</f>
        <v>MBC US</v>
      </c>
      <c r="E409" s="16" t="str">
        <f>VLOOKUP(B409,'Compiled Agents'!A:H,5,FALSE)</f>
        <v>Wave2</v>
      </c>
      <c r="F409" s="16" t="str">
        <f>VLOOKUP(B409,'Compiled Agents'!A:H,6,FALSE)</f>
        <v>Orange</v>
      </c>
      <c r="G409" s="16">
        <f>VLOOKUP($A409,'SurveyRpt_20150223 (1)'!$A$34:$AN$735,6,FALSE)</f>
        <v>0</v>
      </c>
      <c r="H409" s="16" t="str">
        <f>VLOOKUP($A409,'SurveyRpt_20150223 (1)'!$A$34:$AN$735,8,FALSE)</f>
        <v>No</v>
      </c>
      <c r="I409" s="16" t="str">
        <f>VLOOKUP($A409,'SurveyRpt_20150223 (1)'!$A$34:$AN$735,10,FALSE)</f>
        <v>No</v>
      </c>
      <c r="J409" s="16" t="str">
        <f>VLOOKUP($A409,'SurveyRpt_20150223 (1)'!$A$34:$AN$735,12,FALSE)</f>
        <v>No</v>
      </c>
      <c r="K409" s="16" t="str">
        <f>VLOOKUP($A409,'SurveyRpt_20150223 (1)'!$A$34:$AN$735,14,FALSE)</f>
        <v>No</v>
      </c>
      <c r="L409" s="16" t="str">
        <f>VLOOKUP($A409,'SurveyRpt_20150223 (1)'!$A$34:$AN$735,16,FALSE)</f>
        <v>No</v>
      </c>
      <c r="M409" s="16" t="str">
        <f>VLOOKUP($A409,'SurveyRpt_20150223 (1)'!$A$34:$AN$735,18,FALSE)</f>
        <v>No</v>
      </c>
      <c r="N409" s="16" t="str">
        <f>VLOOKUP($A409,'SurveyRpt_20150223 (1)'!$A$34:$AN$735,20,FALSE)</f>
        <v>No</v>
      </c>
      <c r="O409" s="16" t="str">
        <f>VLOOKUP($A409,'SurveyRpt_20150223 (1)'!$A$34:$AN$735,22,FALSE)</f>
        <v>No</v>
      </c>
      <c r="P409" s="16" t="str">
        <f>VLOOKUP($A409,'SurveyRpt_20150223 (1)'!$A$34:$AN$735,24,FALSE)</f>
        <v>No</v>
      </c>
      <c r="Q409" s="16" t="str">
        <f>VLOOKUP($A409,'SurveyRpt_20150223 (1)'!$A$34:$AN$735,26,FALSE)</f>
        <v>No</v>
      </c>
      <c r="R409" s="16" t="str">
        <f>VLOOKUP($A409,'SurveyRpt_20150223 (1)'!$A$34:$AN$735,28,FALSE)</f>
        <v>No</v>
      </c>
      <c r="S409" s="16" t="str">
        <f>VLOOKUP($A409,'SurveyRpt_20150223 (1)'!$A$34:$AN$735,30,FALSE)</f>
        <v>No</v>
      </c>
      <c r="T409" s="16" t="str">
        <f>VLOOKUP($A409,'SurveyRpt_20150223 (1)'!$A$34:$AN$735,32,FALSE)</f>
        <v>No</v>
      </c>
      <c r="U409" s="16" t="str">
        <f>VLOOKUP($A409,'SurveyRpt_20150223 (1)'!$A$34:$AN$735,34,FALSE)</f>
        <v>No</v>
      </c>
      <c r="V409" s="16" t="str">
        <f>VLOOKUP($A409,'SurveyRpt_20150223 (1)'!$A$34:$AN$735,36,FALSE)</f>
        <v>No</v>
      </c>
      <c r="W409" s="16" t="str">
        <f>VLOOKUP($A409,'SurveyRpt_20150223 (1)'!$A$34:$AN$735,38,FALSE)</f>
        <v>No</v>
      </c>
    </row>
    <row r="410" spans="1:23" ht="13.5" customHeight="1" x14ac:dyDescent="0.25">
      <c r="A410" s="19" t="s">
        <v>503</v>
      </c>
      <c r="B410" s="19" t="str">
        <f t="shared" si="6"/>
        <v>tlacy</v>
      </c>
      <c r="C410" s="16" t="str">
        <f>VLOOKUP(B410,'Compiled Agents'!A:H,2,FALSE)</f>
        <v>Platform</v>
      </c>
      <c r="D410" s="16" t="str">
        <f>VLOOKUP(B410,'Compiled Agents'!A:H,4,FALSE)</f>
        <v>MBC US</v>
      </c>
      <c r="E410" s="16" t="str">
        <f>VLOOKUP(B410,'Compiled Agents'!A:H,5,FALSE)</f>
        <v>Wave2</v>
      </c>
      <c r="F410" s="16" t="str">
        <f>VLOOKUP(B410,'Compiled Agents'!A:H,6,FALSE)</f>
        <v>Yellow</v>
      </c>
      <c r="G410" s="16">
        <f>VLOOKUP($A410,'SurveyRpt_20150223 (1)'!$A$34:$AN$735,6,FALSE)</f>
        <v>15</v>
      </c>
      <c r="H410" s="16" t="str">
        <f>VLOOKUP($A410,'SurveyRpt_20150223 (1)'!$A$34:$AN$735,8,FALSE)</f>
        <v>Yes</v>
      </c>
      <c r="I410" s="16" t="str">
        <f>VLOOKUP($A410,'SurveyRpt_20150223 (1)'!$A$34:$AN$735,10,FALSE)</f>
        <v>Yes</v>
      </c>
      <c r="J410" s="16" t="str">
        <f>VLOOKUP($A410,'SurveyRpt_20150223 (1)'!$A$34:$AN$735,12,FALSE)</f>
        <v>Yes</v>
      </c>
      <c r="K410" s="16" t="str">
        <f>VLOOKUP($A410,'SurveyRpt_20150223 (1)'!$A$34:$AN$735,14,FALSE)</f>
        <v>Yes</v>
      </c>
      <c r="L410" s="16" t="str">
        <f>VLOOKUP($A410,'SurveyRpt_20150223 (1)'!$A$34:$AN$735,16,FALSE)</f>
        <v>Yes</v>
      </c>
      <c r="M410" s="16" t="str">
        <f>VLOOKUP($A410,'SurveyRpt_20150223 (1)'!$A$34:$AN$735,18,FALSE)</f>
        <v>No</v>
      </c>
      <c r="N410" s="16" t="str">
        <f>VLOOKUP($A410,'SurveyRpt_20150223 (1)'!$A$34:$AN$735,20,FALSE)</f>
        <v>Yes</v>
      </c>
      <c r="O410" s="16" t="str">
        <f>VLOOKUP($A410,'SurveyRpt_20150223 (1)'!$A$34:$AN$735,22,FALSE)</f>
        <v>Yes</v>
      </c>
      <c r="P410" s="16" t="str">
        <f>VLOOKUP($A410,'SurveyRpt_20150223 (1)'!$A$34:$AN$735,24,FALSE)</f>
        <v>Yes</v>
      </c>
      <c r="Q410" s="16" t="str">
        <f>VLOOKUP($A410,'SurveyRpt_20150223 (1)'!$A$34:$AN$735,26,FALSE)</f>
        <v>Yes</v>
      </c>
      <c r="R410" s="16" t="str">
        <f>VLOOKUP($A410,'SurveyRpt_20150223 (1)'!$A$34:$AN$735,28,FALSE)</f>
        <v>Yes</v>
      </c>
      <c r="S410" s="16" t="str">
        <f>VLOOKUP($A410,'SurveyRpt_20150223 (1)'!$A$34:$AN$735,30,FALSE)</f>
        <v>Yes</v>
      </c>
      <c r="T410" s="16" t="str">
        <f>VLOOKUP($A410,'SurveyRpt_20150223 (1)'!$A$34:$AN$735,32,FALSE)</f>
        <v>Yes</v>
      </c>
      <c r="U410" s="16" t="str">
        <f>VLOOKUP($A410,'SurveyRpt_20150223 (1)'!$A$34:$AN$735,34,FALSE)</f>
        <v>Yes</v>
      </c>
      <c r="V410" s="16" t="str">
        <f>VLOOKUP($A410,'SurveyRpt_20150223 (1)'!$A$34:$AN$735,36,FALSE)</f>
        <v>Yes</v>
      </c>
      <c r="W410" s="16" t="str">
        <f>VLOOKUP($A410,'SurveyRpt_20150223 (1)'!$A$34:$AN$735,38,FALSE)</f>
        <v>Yes</v>
      </c>
    </row>
    <row r="411" spans="1:23" ht="13.5" customHeight="1" x14ac:dyDescent="0.25">
      <c r="A411" s="19" t="s">
        <v>504</v>
      </c>
      <c r="B411" s="19" t="str">
        <f t="shared" si="6"/>
        <v>sdonegan3</v>
      </c>
      <c r="C411" s="16" t="str">
        <f>VLOOKUP(B411,'Compiled Agents'!A:H,2,FALSE)</f>
        <v>Platform</v>
      </c>
      <c r="D411" s="16" t="str">
        <f>VLOOKUP(B411,'Compiled Agents'!A:H,4,FALSE)</f>
        <v>MBC US</v>
      </c>
      <c r="E411" s="16" t="str">
        <f>VLOOKUP(B411,'Compiled Agents'!A:H,5,FALSE)</f>
        <v>Wave2</v>
      </c>
      <c r="F411" s="16" t="str">
        <f>VLOOKUP(B411,'Compiled Agents'!A:H,6,FALSE)</f>
        <v>Orange</v>
      </c>
      <c r="G411" s="16">
        <f>VLOOKUP($A411,'SurveyRpt_20150223 (1)'!$A$34:$AN$735,6,FALSE)</f>
        <v>8</v>
      </c>
      <c r="H411" s="16" t="str">
        <f>VLOOKUP($A411,'SurveyRpt_20150223 (1)'!$A$34:$AN$735,8,FALSE)</f>
        <v>Yes</v>
      </c>
      <c r="I411" s="16" t="str">
        <f>VLOOKUP($A411,'SurveyRpt_20150223 (1)'!$A$34:$AN$735,10,FALSE)</f>
        <v>No</v>
      </c>
      <c r="J411" s="16" t="str">
        <f>VLOOKUP($A411,'SurveyRpt_20150223 (1)'!$A$34:$AN$735,12,FALSE)</f>
        <v>No</v>
      </c>
      <c r="K411" s="16" t="str">
        <f>VLOOKUP($A411,'SurveyRpt_20150223 (1)'!$A$34:$AN$735,14,FALSE)</f>
        <v>No</v>
      </c>
      <c r="L411" s="16" t="str">
        <f>VLOOKUP($A411,'SurveyRpt_20150223 (1)'!$A$34:$AN$735,16,FALSE)</f>
        <v>Yes</v>
      </c>
      <c r="M411" s="16" t="str">
        <f>VLOOKUP($A411,'SurveyRpt_20150223 (1)'!$A$34:$AN$735,18,FALSE)</f>
        <v>No</v>
      </c>
      <c r="N411" s="16" t="str">
        <f>VLOOKUP($A411,'SurveyRpt_20150223 (1)'!$A$34:$AN$735,20,FALSE)</f>
        <v>No</v>
      </c>
      <c r="O411" s="16" t="str">
        <f>VLOOKUP($A411,'SurveyRpt_20150223 (1)'!$A$34:$AN$735,22,FALSE)</f>
        <v>Yes</v>
      </c>
      <c r="P411" s="16" t="str">
        <f>VLOOKUP($A411,'SurveyRpt_20150223 (1)'!$A$34:$AN$735,24,FALSE)</f>
        <v>No</v>
      </c>
      <c r="Q411" s="16" t="str">
        <f>VLOOKUP($A411,'SurveyRpt_20150223 (1)'!$A$34:$AN$735,26,FALSE)</f>
        <v>Yes</v>
      </c>
      <c r="R411" s="16" t="str">
        <f>VLOOKUP($A411,'SurveyRpt_20150223 (1)'!$A$34:$AN$735,28,FALSE)</f>
        <v>Yes</v>
      </c>
      <c r="S411" s="16" t="str">
        <f>VLOOKUP($A411,'SurveyRpt_20150223 (1)'!$A$34:$AN$735,30,FALSE)</f>
        <v>Yes</v>
      </c>
      <c r="T411" s="16" t="str">
        <f>VLOOKUP($A411,'SurveyRpt_20150223 (1)'!$A$34:$AN$735,32,FALSE)</f>
        <v>No</v>
      </c>
      <c r="U411" s="16" t="str">
        <f>VLOOKUP($A411,'SurveyRpt_20150223 (1)'!$A$34:$AN$735,34,FALSE)</f>
        <v>Yes</v>
      </c>
      <c r="V411" s="16" t="str">
        <f>VLOOKUP($A411,'SurveyRpt_20150223 (1)'!$A$34:$AN$735,36,FALSE)</f>
        <v>Yes</v>
      </c>
      <c r="W411" s="16" t="str">
        <f>VLOOKUP($A411,'SurveyRpt_20150223 (1)'!$A$34:$AN$735,38,FALSE)</f>
        <v>No</v>
      </c>
    </row>
    <row r="412" spans="1:23" ht="13.5" customHeight="1" x14ac:dyDescent="0.25">
      <c r="A412" s="19" t="s">
        <v>505</v>
      </c>
      <c r="B412" s="19" t="str">
        <f t="shared" si="6"/>
        <v>jmetzle2</v>
      </c>
      <c r="C412" s="16" t="str">
        <f>VLOOKUP(B412,'Compiled Agents'!A:H,2,FALSE)</f>
        <v>Platform</v>
      </c>
      <c r="D412" s="16" t="str">
        <f>VLOOKUP(B412,'Compiled Agents'!A:H,4,FALSE)</f>
        <v>MBC US</v>
      </c>
      <c r="E412" s="16" t="str">
        <f>VLOOKUP(B412,'Compiled Agents'!A:H,5,FALSE)</f>
        <v>Wave2</v>
      </c>
      <c r="F412" s="16" t="str">
        <f>VLOOKUP(B412,'Compiled Agents'!A:H,6,FALSE)</f>
        <v>Brown</v>
      </c>
      <c r="G412" s="16">
        <f>VLOOKUP($A412,'SurveyRpt_20150223 (1)'!$A$34:$AN$735,6,FALSE)</f>
        <v>8</v>
      </c>
      <c r="H412" s="16" t="str">
        <f>VLOOKUP($A412,'SurveyRpt_20150223 (1)'!$A$34:$AN$735,8,FALSE)</f>
        <v>No</v>
      </c>
      <c r="I412" s="16" t="str">
        <f>VLOOKUP($A412,'SurveyRpt_20150223 (1)'!$A$34:$AN$735,10,FALSE)</f>
        <v>No</v>
      </c>
      <c r="J412" s="16" t="str">
        <f>VLOOKUP($A412,'SurveyRpt_20150223 (1)'!$A$34:$AN$735,12,FALSE)</f>
        <v>No</v>
      </c>
      <c r="K412" s="16" t="str">
        <f>VLOOKUP($A412,'SurveyRpt_20150223 (1)'!$A$34:$AN$735,14,FALSE)</f>
        <v>Yes</v>
      </c>
      <c r="L412" s="16" t="str">
        <f>VLOOKUP($A412,'SurveyRpt_20150223 (1)'!$A$34:$AN$735,16,FALSE)</f>
        <v>No</v>
      </c>
      <c r="M412" s="16" t="str">
        <f>VLOOKUP($A412,'SurveyRpt_20150223 (1)'!$A$34:$AN$735,18,FALSE)</f>
        <v>Yes</v>
      </c>
      <c r="N412" s="16" t="str">
        <f>VLOOKUP($A412,'SurveyRpt_20150223 (1)'!$A$34:$AN$735,20,FALSE)</f>
        <v>No</v>
      </c>
      <c r="O412" s="16" t="str">
        <f>VLOOKUP($A412,'SurveyRpt_20150223 (1)'!$A$34:$AN$735,22,FALSE)</f>
        <v>Yes</v>
      </c>
      <c r="P412" s="16" t="str">
        <f>VLOOKUP($A412,'SurveyRpt_20150223 (1)'!$A$34:$AN$735,24,FALSE)</f>
        <v>Yes</v>
      </c>
      <c r="Q412" s="16" t="str">
        <f>VLOOKUP($A412,'SurveyRpt_20150223 (1)'!$A$34:$AN$735,26,FALSE)</f>
        <v>Yes</v>
      </c>
      <c r="R412" s="16" t="str">
        <f>VLOOKUP($A412,'SurveyRpt_20150223 (1)'!$A$34:$AN$735,28,FALSE)</f>
        <v>Yes</v>
      </c>
      <c r="S412" s="16" t="str">
        <f>VLOOKUP($A412,'SurveyRpt_20150223 (1)'!$A$34:$AN$735,30,FALSE)</f>
        <v>Yes</v>
      </c>
      <c r="T412" s="16" t="str">
        <f>VLOOKUP($A412,'SurveyRpt_20150223 (1)'!$A$34:$AN$735,32,FALSE)</f>
        <v>No</v>
      </c>
      <c r="U412" s="16" t="str">
        <f>VLOOKUP($A412,'SurveyRpt_20150223 (1)'!$A$34:$AN$735,34,FALSE)</f>
        <v>No</v>
      </c>
      <c r="V412" s="16" t="str">
        <f>VLOOKUP($A412,'SurveyRpt_20150223 (1)'!$A$34:$AN$735,36,FALSE)</f>
        <v>Yes</v>
      </c>
      <c r="W412" s="16" t="str">
        <f>VLOOKUP($A412,'SurveyRpt_20150223 (1)'!$A$34:$AN$735,38,FALSE)</f>
        <v>No</v>
      </c>
    </row>
    <row r="413" spans="1:23" ht="13.5" customHeight="1" x14ac:dyDescent="0.25">
      <c r="A413" s="19" t="s">
        <v>506</v>
      </c>
      <c r="B413" s="19" t="str">
        <f t="shared" si="6"/>
        <v>jvicentetara</v>
      </c>
      <c r="C413" s="16" t="str">
        <f>VLOOKUP(B413,'Compiled Agents'!A:H,2,FALSE)</f>
        <v>Platform</v>
      </c>
      <c r="D413" s="16" t="str">
        <f>VLOOKUP(B413,'Compiled Agents'!A:H,4,FALSE)</f>
        <v>Spain</v>
      </c>
      <c r="E413" s="16" t="str">
        <f>VLOOKUP(B413,'Compiled Agents'!A:H,5,FALSE)</f>
        <v>Wave1</v>
      </c>
      <c r="F413" s="16" t="str">
        <f>VLOOKUP(B413,'Compiled Agents'!A:H,6,FALSE)</f>
        <v>Orange</v>
      </c>
      <c r="G413" s="16">
        <f>VLOOKUP($A413,'SurveyRpt_20150223 (1)'!$A$34:$AN$735,6,FALSE)</f>
        <v>14</v>
      </c>
      <c r="H413" s="16" t="str">
        <f>VLOOKUP($A413,'SurveyRpt_20150223 (1)'!$A$34:$AN$735,8,FALSE)</f>
        <v>Yes</v>
      </c>
      <c r="I413" s="16" t="str">
        <f>VLOOKUP($A413,'SurveyRpt_20150223 (1)'!$A$34:$AN$735,10,FALSE)</f>
        <v>Yes</v>
      </c>
      <c r="J413" s="16" t="str">
        <f>VLOOKUP($A413,'SurveyRpt_20150223 (1)'!$A$34:$AN$735,12,FALSE)</f>
        <v>Yes</v>
      </c>
      <c r="K413" s="16" t="str">
        <f>VLOOKUP($A413,'SurveyRpt_20150223 (1)'!$A$34:$AN$735,14,FALSE)</f>
        <v>Yes</v>
      </c>
      <c r="L413" s="16" t="str">
        <f>VLOOKUP($A413,'SurveyRpt_20150223 (1)'!$A$34:$AN$735,16,FALSE)</f>
        <v>Yes</v>
      </c>
      <c r="M413" s="16" t="str">
        <f>VLOOKUP($A413,'SurveyRpt_20150223 (1)'!$A$34:$AN$735,18,FALSE)</f>
        <v>Yes</v>
      </c>
      <c r="N413" s="16" t="str">
        <f>VLOOKUP($A413,'SurveyRpt_20150223 (1)'!$A$34:$AN$735,20,FALSE)</f>
        <v>Yes</v>
      </c>
      <c r="O413" s="16" t="str">
        <f>VLOOKUP($A413,'SurveyRpt_20150223 (1)'!$A$34:$AN$735,22,FALSE)</f>
        <v>Yes</v>
      </c>
      <c r="P413" s="16" t="str">
        <f>VLOOKUP($A413,'SurveyRpt_20150223 (1)'!$A$34:$AN$735,24,FALSE)</f>
        <v>Yes</v>
      </c>
      <c r="Q413" s="16" t="str">
        <f>VLOOKUP($A413,'SurveyRpt_20150223 (1)'!$A$34:$AN$735,26,FALSE)</f>
        <v>Yes</v>
      </c>
      <c r="R413" s="16" t="str">
        <f>VLOOKUP($A413,'SurveyRpt_20150223 (1)'!$A$34:$AN$735,28,FALSE)</f>
        <v>Yes</v>
      </c>
      <c r="S413" s="16" t="str">
        <f>VLOOKUP($A413,'SurveyRpt_20150223 (1)'!$A$34:$AN$735,30,FALSE)</f>
        <v>Yes</v>
      </c>
      <c r="T413" s="16" t="str">
        <f>VLOOKUP($A413,'SurveyRpt_20150223 (1)'!$A$34:$AN$735,32,FALSE)</f>
        <v>No</v>
      </c>
      <c r="U413" s="16" t="str">
        <f>VLOOKUP($A413,'SurveyRpt_20150223 (1)'!$A$34:$AN$735,34,FALSE)</f>
        <v>Yes</v>
      </c>
      <c r="V413" s="16" t="str">
        <f>VLOOKUP($A413,'SurveyRpt_20150223 (1)'!$A$34:$AN$735,36,FALSE)</f>
        <v>Yes</v>
      </c>
      <c r="W413" s="16" t="str">
        <f>VLOOKUP($A413,'SurveyRpt_20150223 (1)'!$A$34:$AN$735,38,FALSE)</f>
        <v>No</v>
      </c>
    </row>
    <row r="414" spans="1:23" ht="13.5" customHeight="1" x14ac:dyDescent="0.25">
      <c r="A414" s="19" t="s">
        <v>507</v>
      </c>
      <c r="B414" s="19" t="str">
        <f t="shared" si="6"/>
        <v>VKUMAR73</v>
      </c>
      <c r="C414" s="16" t="str">
        <f>VLOOKUP(B414,'Compiled Agents'!A:H,2,FALSE)</f>
        <v>Workplace</v>
      </c>
      <c r="D414" s="16" t="str">
        <f>VLOOKUP(B414,'Compiled Agents'!A:H,4,FALSE)</f>
        <v>Noida</v>
      </c>
      <c r="E414" s="16" t="str">
        <f>VLOOKUP(B414,'Compiled Agents'!A:H,5,FALSE)</f>
        <v>Wave2</v>
      </c>
      <c r="F414" s="16" t="str">
        <f>VLOOKUP(B414,'Compiled Agents'!A:H,6,FALSE)</f>
        <v>Yellow</v>
      </c>
      <c r="G414" s="16">
        <f>VLOOKUP($A414,'SurveyRpt_20150223 (1)'!$A$34:$AN$735,6,FALSE)</f>
        <v>16</v>
      </c>
      <c r="H414" s="16" t="str">
        <f>VLOOKUP($A414,'SurveyRpt_20150223 (1)'!$A$34:$AN$735,8,FALSE)</f>
        <v>Yes</v>
      </c>
      <c r="I414" s="16" t="str">
        <f>VLOOKUP($A414,'SurveyRpt_20150223 (1)'!$A$34:$AN$735,10,FALSE)</f>
        <v>Yes</v>
      </c>
      <c r="J414" s="16" t="str">
        <f>VLOOKUP($A414,'SurveyRpt_20150223 (1)'!$A$34:$AN$735,12,FALSE)</f>
        <v>Yes</v>
      </c>
      <c r="K414" s="16" t="str">
        <f>VLOOKUP($A414,'SurveyRpt_20150223 (1)'!$A$34:$AN$735,14,FALSE)</f>
        <v>Yes</v>
      </c>
      <c r="L414" s="16" t="str">
        <f>VLOOKUP($A414,'SurveyRpt_20150223 (1)'!$A$34:$AN$735,16,FALSE)</f>
        <v>Yes</v>
      </c>
      <c r="M414" s="16" t="str">
        <f>VLOOKUP($A414,'SurveyRpt_20150223 (1)'!$A$34:$AN$735,18,FALSE)</f>
        <v>Yes</v>
      </c>
      <c r="N414" s="16" t="str">
        <f>VLOOKUP($A414,'SurveyRpt_20150223 (1)'!$A$34:$AN$735,20,FALSE)</f>
        <v>Yes</v>
      </c>
      <c r="O414" s="16" t="str">
        <f>VLOOKUP($A414,'SurveyRpt_20150223 (1)'!$A$34:$AN$735,22,FALSE)</f>
        <v>Yes</v>
      </c>
      <c r="P414" s="16" t="str">
        <f>VLOOKUP($A414,'SurveyRpt_20150223 (1)'!$A$34:$AN$735,24,FALSE)</f>
        <v>Yes</v>
      </c>
      <c r="Q414" s="16" t="str">
        <f>VLOOKUP($A414,'SurveyRpt_20150223 (1)'!$A$34:$AN$735,26,FALSE)</f>
        <v>Yes</v>
      </c>
      <c r="R414" s="16" t="str">
        <f>VLOOKUP($A414,'SurveyRpt_20150223 (1)'!$A$34:$AN$735,28,FALSE)</f>
        <v>Yes</v>
      </c>
      <c r="S414" s="16" t="str">
        <f>VLOOKUP($A414,'SurveyRpt_20150223 (1)'!$A$34:$AN$735,30,FALSE)</f>
        <v>Yes</v>
      </c>
      <c r="T414" s="16" t="str">
        <f>VLOOKUP($A414,'SurveyRpt_20150223 (1)'!$A$34:$AN$735,32,FALSE)</f>
        <v>Yes</v>
      </c>
      <c r="U414" s="16" t="str">
        <f>VLOOKUP($A414,'SurveyRpt_20150223 (1)'!$A$34:$AN$735,34,FALSE)</f>
        <v>Yes</v>
      </c>
      <c r="V414" s="16" t="str">
        <f>VLOOKUP($A414,'SurveyRpt_20150223 (1)'!$A$34:$AN$735,36,FALSE)</f>
        <v>Yes</v>
      </c>
      <c r="W414" s="16" t="str">
        <f>VLOOKUP($A414,'SurveyRpt_20150223 (1)'!$A$34:$AN$735,38,FALSE)</f>
        <v>Yes</v>
      </c>
    </row>
    <row r="415" spans="1:23" ht="13.5" customHeight="1" x14ac:dyDescent="0.25">
      <c r="A415" s="19" t="s">
        <v>508</v>
      </c>
      <c r="B415" s="19" t="str">
        <f t="shared" si="6"/>
        <v>rgonzalezalv</v>
      </c>
      <c r="C415" s="16" t="str">
        <f>VLOOKUP(B415,'Compiled Agents'!A:H,2,FALSE)</f>
        <v>Platform</v>
      </c>
      <c r="D415" s="16" t="str">
        <f>VLOOKUP(B415,'Compiled Agents'!A:H,4,FALSE)</f>
        <v>Spain</v>
      </c>
      <c r="E415" s="16" t="str">
        <f>VLOOKUP(B415,'Compiled Agents'!A:H,5,FALSE)</f>
        <v>Wave1</v>
      </c>
      <c r="F415" s="16" t="str">
        <f>VLOOKUP(B415,'Compiled Agents'!A:H,6,FALSE)</f>
        <v>Orange</v>
      </c>
      <c r="G415" s="16">
        <f>VLOOKUP($A415,'SurveyRpt_20150223 (1)'!$A$34:$AN$735,6,FALSE)</f>
        <v>6</v>
      </c>
      <c r="H415" s="16" t="str">
        <f>VLOOKUP($A415,'SurveyRpt_20150223 (1)'!$A$34:$AN$735,8,FALSE)</f>
        <v>Yes</v>
      </c>
      <c r="I415" s="16" t="str">
        <f>VLOOKUP($A415,'SurveyRpt_20150223 (1)'!$A$34:$AN$735,10,FALSE)</f>
        <v>Yes</v>
      </c>
      <c r="J415" s="16" t="str">
        <f>VLOOKUP($A415,'SurveyRpt_20150223 (1)'!$A$34:$AN$735,12,FALSE)</f>
        <v>No</v>
      </c>
      <c r="K415" s="16" t="str">
        <f>VLOOKUP($A415,'SurveyRpt_20150223 (1)'!$A$34:$AN$735,14,FALSE)</f>
        <v>No</v>
      </c>
      <c r="L415" s="16" t="str">
        <f>VLOOKUP($A415,'SurveyRpt_20150223 (1)'!$A$34:$AN$735,16,FALSE)</f>
        <v>No</v>
      </c>
      <c r="M415" s="16" t="str">
        <f>VLOOKUP($A415,'SurveyRpt_20150223 (1)'!$A$34:$AN$735,18,FALSE)</f>
        <v>No</v>
      </c>
      <c r="N415" s="16" t="str">
        <f>VLOOKUP($A415,'SurveyRpt_20150223 (1)'!$A$34:$AN$735,20,FALSE)</f>
        <v>No</v>
      </c>
      <c r="O415" s="16" t="str">
        <f>VLOOKUP($A415,'SurveyRpt_20150223 (1)'!$A$34:$AN$735,22,FALSE)</f>
        <v>No</v>
      </c>
      <c r="P415" s="16" t="str">
        <f>VLOOKUP($A415,'SurveyRpt_20150223 (1)'!$A$34:$AN$735,24,FALSE)</f>
        <v>No</v>
      </c>
      <c r="Q415" s="16" t="str">
        <f>VLOOKUP($A415,'SurveyRpt_20150223 (1)'!$A$34:$AN$735,26,FALSE)</f>
        <v>Yes</v>
      </c>
      <c r="R415" s="16" t="str">
        <f>VLOOKUP($A415,'SurveyRpt_20150223 (1)'!$A$34:$AN$735,28,FALSE)</f>
        <v>Yes</v>
      </c>
      <c r="S415" s="16" t="str">
        <f>VLOOKUP($A415,'SurveyRpt_20150223 (1)'!$A$34:$AN$735,30,FALSE)</f>
        <v>No</v>
      </c>
      <c r="T415" s="16" t="str">
        <f>VLOOKUP($A415,'SurveyRpt_20150223 (1)'!$A$34:$AN$735,32,FALSE)</f>
        <v>No</v>
      </c>
      <c r="U415" s="16" t="str">
        <f>VLOOKUP($A415,'SurveyRpt_20150223 (1)'!$A$34:$AN$735,34,FALSE)</f>
        <v>Yes</v>
      </c>
      <c r="V415" s="16" t="str">
        <f>VLOOKUP($A415,'SurveyRpt_20150223 (1)'!$A$34:$AN$735,36,FALSE)</f>
        <v>No</v>
      </c>
      <c r="W415" s="16" t="str">
        <f>VLOOKUP($A415,'SurveyRpt_20150223 (1)'!$A$34:$AN$735,38,FALSE)</f>
        <v>Yes</v>
      </c>
    </row>
    <row r="416" spans="1:23" ht="13.5" customHeight="1" x14ac:dyDescent="0.25">
      <c r="A416" s="19" t="s">
        <v>509</v>
      </c>
      <c r="B416" s="19" t="str">
        <f t="shared" si="6"/>
        <v>SMALIK25</v>
      </c>
      <c r="C416" s="16" t="str">
        <f>VLOOKUP(B416,'Compiled Agents'!A:H,2,FALSE)</f>
        <v>Platform</v>
      </c>
      <c r="D416" s="16" t="str">
        <f>VLOOKUP(B416,'Compiled Agents'!A:H,4,FALSE)</f>
        <v>Noida</v>
      </c>
      <c r="E416" s="16" t="str">
        <f>VLOOKUP(B416,'Compiled Agents'!A:H,5,FALSE)</f>
        <v>Wave2</v>
      </c>
      <c r="F416" s="16" t="str">
        <f>VLOOKUP(B416,'Compiled Agents'!A:H,6,FALSE)</f>
        <v>Yellow</v>
      </c>
      <c r="G416" s="16">
        <f>VLOOKUP($A416,'SurveyRpt_20150223 (1)'!$A$34:$AN$735,6,FALSE)</f>
        <v>16</v>
      </c>
      <c r="H416" s="16" t="str">
        <f>VLOOKUP($A416,'SurveyRpt_20150223 (1)'!$A$34:$AN$735,8,FALSE)</f>
        <v>Yes</v>
      </c>
      <c r="I416" s="16" t="str">
        <f>VLOOKUP($A416,'SurveyRpt_20150223 (1)'!$A$34:$AN$735,10,FALSE)</f>
        <v>Yes</v>
      </c>
      <c r="J416" s="16" t="str">
        <f>VLOOKUP($A416,'SurveyRpt_20150223 (1)'!$A$34:$AN$735,12,FALSE)</f>
        <v>Yes</v>
      </c>
      <c r="K416" s="16" t="str">
        <f>VLOOKUP($A416,'SurveyRpt_20150223 (1)'!$A$34:$AN$735,14,FALSE)</f>
        <v>Yes</v>
      </c>
      <c r="L416" s="16" t="str">
        <f>VLOOKUP($A416,'SurveyRpt_20150223 (1)'!$A$34:$AN$735,16,FALSE)</f>
        <v>Yes</v>
      </c>
      <c r="M416" s="16" t="str">
        <f>VLOOKUP($A416,'SurveyRpt_20150223 (1)'!$A$34:$AN$735,18,FALSE)</f>
        <v>Yes</v>
      </c>
      <c r="N416" s="16" t="str">
        <f>VLOOKUP($A416,'SurveyRpt_20150223 (1)'!$A$34:$AN$735,20,FALSE)</f>
        <v>Yes</v>
      </c>
      <c r="O416" s="16" t="str">
        <f>VLOOKUP($A416,'SurveyRpt_20150223 (1)'!$A$34:$AN$735,22,FALSE)</f>
        <v>Yes</v>
      </c>
      <c r="P416" s="16" t="str">
        <f>VLOOKUP($A416,'SurveyRpt_20150223 (1)'!$A$34:$AN$735,24,FALSE)</f>
        <v>Yes</v>
      </c>
      <c r="Q416" s="16" t="str">
        <f>VLOOKUP($A416,'SurveyRpt_20150223 (1)'!$A$34:$AN$735,26,FALSE)</f>
        <v>Yes</v>
      </c>
      <c r="R416" s="16" t="str">
        <f>VLOOKUP($A416,'SurveyRpt_20150223 (1)'!$A$34:$AN$735,28,FALSE)</f>
        <v>Yes</v>
      </c>
      <c r="S416" s="16" t="str">
        <f>VLOOKUP($A416,'SurveyRpt_20150223 (1)'!$A$34:$AN$735,30,FALSE)</f>
        <v>Yes</v>
      </c>
      <c r="T416" s="16" t="str">
        <f>VLOOKUP($A416,'SurveyRpt_20150223 (1)'!$A$34:$AN$735,32,FALSE)</f>
        <v>Yes</v>
      </c>
      <c r="U416" s="16" t="str">
        <f>VLOOKUP($A416,'SurveyRpt_20150223 (1)'!$A$34:$AN$735,34,FALSE)</f>
        <v>Yes</v>
      </c>
      <c r="V416" s="16" t="str">
        <f>VLOOKUP($A416,'SurveyRpt_20150223 (1)'!$A$34:$AN$735,36,FALSE)</f>
        <v>Yes</v>
      </c>
      <c r="W416" s="16" t="str">
        <f>VLOOKUP($A416,'SurveyRpt_20150223 (1)'!$A$34:$AN$735,38,FALSE)</f>
        <v>Yes</v>
      </c>
    </row>
    <row r="417" spans="1:23" ht="13.5" customHeight="1" x14ac:dyDescent="0.25">
      <c r="A417" s="19" t="s">
        <v>510</v>
      </c>
      <c r="B417" s="19" t="str">
        <f t="shared" si="6"/>
        <v>svayalanallu</v>
      </c>
      <c r="C417" s="16" t="str">
        <f>VLOOKUP(B417,'Compiled Agents'!A:H,2,FALSE)</f>
        <v>Platform</v>
      </c>
      <c r="D417" s="16" t="str">
        <f>VLOOKUP(B417,'Compiled Agents'!A:H,4,FALSE)</f>
        <v>Hyderabad</v>
      </c>
      <c r="E417" s="16" t="str">
        <f>VLOOKUP(B417,'Compiled Agents'!A:H,5,FALSE)</f>
        <v>Wave1</v>
      </c>
      <c r="F417" s="16" t="str">
        <f>VLOOKUP(B417,'Compiled Agents'!A:H,6,FALSE)</f>
        <v>Orange</v>
      </c>
      <c r="G417" s="16">
        <f>VLOOKUP($A417,'SurveyRpt_20150223 (1)'!$A$34:$AN$735,6,FALSE)</f>
        <v>16</v>
      </c>
      <c r="H417" s="16" t="str">
        <f>VLOOKUP($A417,'SurveyRpt_20150223 (1)'!$A$34:$AN$735,8,FALSE)</f>
        <v>Yes</v>
      </c>
      <c r="I417" s="16" t="str">
        <f>VLOOKUP($A417,'SurveyRpt_20150223 (1)'!$A$34:$AN$735,10,FALSE)</f>
        <v>Yes</v>
      </c>
      <c r="J417" s="16" t="str">
        <f>VLOOKUP($A417,'SurveyRpt_20150223 (1)'!$A$34:$AN$735,12,FALSE)</f>
        <v>Yes</v>
      </c>
      <c r="K417" s="16" t="str">
        <f>VLOOKUP($A417,'SurveyRpt_20150223 (1)'!$A$34:$AN$735,14,FALSE)</f>
        <v>Yes</v>
      </c>
      <c r="L417" s="16" t="str">
        <f>VLOOKUP($A417,'SurveyRpt_20150223 (1)'!$A$34:$AN$735,16,FALSE)</f>
        <v>Yes</v>
      </c>
      <c r="M417" s="16" t="str">
        <f>VLOOKUP($A417,'SurveyRpt_20150223 (1)'!$A$34:$AN$735,18,FALSE)</f>
        <v>Yes</v>
      </c>
      <c r="N417" s="16" t="str">
        <f>VLOOKUP($A417,'SurveyRpt_20150223 (1)'!$A$34:$AN$735,20,FALSE)</f>
        <v>Yes</v>
      </c>
      <c r="O417" s="16" t="str">
        <f>VLOOKUP($A417,'SurveyRpt_20150223 (1)'!$A$34:$AN$735,22,FALSE)</f>
        <v>Yes</v>
      </c>
      <c r="P417" s="16" t="str">
        <f>VLOOKUP($A417,'SurveyRpt_20150223 (1)'!$A$34:$AN$735,24,FALSE)</f>
        <v>Yes</v>
      </c>
      <c r="Q417" s="16" t="str">
        <f>VLOOKUP($A417,'SurveyRpt_20150223 (1)'!$A$34:$AN$735,26,FALSE)</f>
        <v>Yes</v>
      </c>
      <c r="R417" s="16" t="str">
        <f>VLOOKUP($A417,'SurveyRpt_20150223 (1)'!$A$34:$AN$735,28,FALSE)</f>
        <v>Yes</v>
      </c>
      <c r="S417" s="16" t="str">
        <f>VLOOKUP($A417,'SurveyRpt_20150223 (1)'!$A$34:$AN$735,30,FALSE)</f>
        <v>Yes</v>
      </c>
      <c r="T417" s="16" t="str">
        <f>VLOOKUP($A417,'SurveyRpt_20150223 (1)'!$A$34:$AN$735,32,FALSE)</f>
        <v>Yes</v>
      </c>
      <c r="U417" s="16" t="str">
        <f>VLOOKUP($A417,'SurveyRpt_20150223 (1)'!$A$34:$AN$735,34,FALSE)</f>
        <v>Yes</v>
      </c>
      <c r="V417" s="16" t="str">
        <f>VLOOKUP($A417,'SurveyRpt_20150223 (1)'!$A$34:$AN$735,36,FALSE)</f>
        <v>Yes</v>
      </c>
      <c r="W417" s="16" t="str">
        <f>VLOOKUP($A417,'SurveyRpt_20150223 (1)'!$A$34:$AN$735,38,FALSE)</f>
        <v>Yes</v>
      </c>
    </row>
    <row r="418" spans="1:23" ht="13.5" customHeight="1" x14ac:dyDescent="0.25">
      <c r="A418" s="19" t="s">
        <v>511</v>
      </c>
      <c r="B418" s="19" t="str">
        <f t="shared" si="6"/>
        <v>MGUPTA48</v>
      </c>
      <c r="C418" s="16" t="str">
        <f>VLOOKUP(B418,'Compiled Agents'!A:H,2,FALSE)</f>
        <v>Platform</v>
      </c>
      <c r="D418" s="16" t="str">
        <f>VLOOKUP(B418,'Compiled Agents'!A:H,4,FALSE)</f>
        <v>Noida</v>
      </c>
      <c r="E418" s="16" t="str">
        <f>VLOOKUP(B418,'Compiled Agents'!A:H,5,FALSE)</f>
        <v>Wave2</v>
      </c>
      <c r="F418" s="16" t="str">
        <f>VLOOKUP(B418,'Compiled Agents'!A:H,6,FALSE)</f>
        <v>Brown</v>
      </c>
      <c r="G418" s="16">
        <f>VLOOKUP($A418,'SurveyRpt_20150223 (1)'!$A$34:$AN$735,6,FALSE)</f>
        <v>14</v>
      </c>
      <c r="H418" s="16" t="str">
        <f>VLOOKUP($A418,'SurveyRpt_20150223 (1)'!$A$34:$AN$735,8,FALSE)</f>
        <v>Yes</v>
      </c>
      <c r="I418" s="16" t="str">
        <f>VLOOKUP($A418,'SurveyRpt_20150223 (1)'!$A$34:$AN$735,10,FALSE)</f>
        <v>Yes</v>
      </c>
      <c r="J418" s="16" t="str">
        <f>VLOOKUP($A418,'SurveyRpt_20150223 (1)'!$A$34:$AN$735,12,FALSE)</f>
        <v>Yes</v>
      </c>
      <c r="K418" s="16" t="str">
        <f>VLOOKUP($A418,'SurveyRpt_20150223 (1)'!$A$34:$AN$735,14,FALSE)</f>
        <v>Yes</v>
      </c>
      <c r="L418" s="16" t="str">
        <f>VLOOKUP($A418,'SurveyRpt_20150223 (1)'!$A$34:$AN$735,16,FALSE)</f>
        <v>Yes</v>
      </c>
      <c r="M418" s="16" t="str">
        <f>VLOOKUP($A418,'SurveyRpt_20150223 (1)'!$A$34:$AN$735,18,FALSE)</f>
        <v>Yes</v>
      </c>
      <c r="N418" s="16" t="str">
        <f>VLOOKUP($A418,'SurveyRpt_20150223 (1)'!$A$34:$AN$735,20,FALSE)</f>
        <v>No</v>
      </c>
      <c r="O418" s="16" t="str">
        <f>VLOOKUP($A418,'SurveyRpt_20150223 (1)'!$A$34:$AN$735,22,FALSE)</f>
        <v>Yes</v>
      </c>
      <c r="P418" s="16" t="str">
        <f>VLOOKUP($A418,'SurveyRpt_20150223 (1)'!$A$34:$AN$735,24,FALSE)</f>
        <v>Yes</v>
      </c>
      <c r="Q418" s="16" t="str">
        <f>VLOOKUP($A418,'SurveyRpt_20150223 (1)'!$A$34:$AN$735,26,FALSE)</f>
        <v>Yes</v>
      </c>
      <c r="R418" s="16" t="str">
        <f>VLOOKUP($A418,'SurveyRpt_20150223 (1)'!$A$34:$AN$735,28,FALSE)</f>
        <v>Yes</v>
      </c>
      <c r="S418" s="16" t="str">
        <f>VLOOKUP($A418,'SurveyRpt_20150223 (1)'!$A$34:$AN$735,30,FALSE)</f>
        <v>Yes</v>
      </c>
      <c r="T418" s="16" t="str">
        <f>VLOOKUP($A418,'SurveyRpt_20150223 (1)'!$A$34:$AN$735,32,FALSE)</f>
        <v>Yes</v>
      </c>
      <c r="U418" s="16" t="str">
        <f>VLOOKUP($A418,'SurveyRpt_20150223 (1)'!$A$34:$AN$735,34,FALSE)</f>
        <v>Yes</v>
      </c>
      <c r="V418" s="16" t="str">
        <f>VLOOKUP($A418,'SurveyRpt_20150223 (1)'!$A$34:$AN$735,36,FALSE)</f>
        <v>Yes</v>
      </c>
      <c r="W418" s="16" t="str">
        <f>VLOOKUP($A418,'SurveyRpt_20150223 (1)'!$A$34:$AN$735,38,FALSE)</f>
        <v>No</v>
      </c>
    </row>
    <row r="419" spans="1:23" ht="13.5" customHeight="1" x14ac:dyDescent="0.25">
      <c r="A419" s="19" t="s">
        <v>512</v>
      </c>
      <c r="B419" s="19" t="str">
        <f t="shared" si="6"/>
        <v>CPADUCHURI</v>
      </c>
      <c r="C419" s="16" t="str">
        <f>VLOOKUP(B419,'Compiled Agents'!A:H,2,FALSE)</f>
        <v>Platform</v>
      </c>
      <c r="D419" s="16" t="str">
        <f>VLOOKUP(B419,'Compiled Agents'!A:H,4,FALSE)</f>
        <v>Noida</v>
      </c>
      <c r="E419" s="16" t="str">
        <f>VLOOKUP(B419,'Compiled Agents'!A:H,5,FALSE)</f>
        <v>Wave2</v>
      </c>
      <c r="F419" s="16" t="str">
        <f>VLOOKUP(B419,'Compiled Agents'!A:H,6,FALSE)</f>
        <v>Yellow</v>
      </c>
      <c r="G419" s="16">
        <f>VLOOKUP($A419,'SurveyRpt_20150223 (1)'!$A$34:$AN$735,6,FALSE)</f>
        <v>16</v>
      </c>
      <c r="H419" s="16" t="str">
        <f>VLOOKUP($A419,'SurveyRpt_20150223 (1)'!$A$34:$AN$735,8,FALSE)</f>
        <v>Yes</v>
      </c>
      <c r="I419" s="16" t="str">
        <f>VLOOKUP($A419,'SurveyRpt_20150223 (1)'!$A$34:$AN$735,10,FALSE)</f>
        <v>Yes</v>
      </c>
      <c r="J419" s="16" t="str">
        <f>VLOOKUP($A419,'SurveyRpt_20150223 (1)'!$A$34:$AN$735,12,FALSE)</f>
        <v>Yes</v>
      </c>
      <c r="K419" s="16" t="str">
        <f>VLOOKUP($A419,'SurveyRpt_20150223 (1)'!$A$34:$AN$735,14,FALSE)</f>
        <v>Yes</v>
      </c>
      <c r="L419" s="16" t="str">
        <f>VLOOKUP($A419,'SurveyRpt_20150223 (1)'!$A$34:$AN$735,16,FALSE)</f>
        <v>Yes</v>
      </c>
      <c r="M419" s="16" t="str">
        <f>VLOOKUP($A419,'SurveyRpt_20150223 (1)'!$A$34:$AN$735,18,FALSE)</f>
        <v>Yes</v>
      </c>
      <c r="N419" s="16" t="str">
        <f>VLOOKUP($A419,'SurveyRpt_20150223 (1)'!$A$34:$AN$735,20,FALSE)</f>
        <v>Yes</v>
      </c>
      <c r="O419" s="16" t="str">
        <f>VLOOKUP($A419,'SurveyRpt_20150223 (1)'!$A$34:$AN$735,22,FALSE)</f>
        <v>Yes</v>
      </c>
      <c r="P419" s="16" t="str">
        <f>VLOOKUP($A419,'SurveyRpt_20150223 (1)'!$A$34:$AN$735,24,FALSE)</f>
        <v>Yes</v>
      </c>
      <c r="Q419" s="16" t="str">
        <f>VLOOKUP($A419,'SurveyRpt_20150223 (1)'!$A$34:$AN$735,26,FALSE)</f>
        <v>Yes</v>
      </c>
      <c r="R419" s="16" t="str">
        <f>VLOOKUP($A419,'SurveyRpt_20150223 (1)'!$A$34:$AN$735,28,FALSE)</f>
        <v>Yes</v>
      </c>
      <c r="S419" s="16" t="str">
        <f>VLOOKUP($A419,'SurveyRpt_20150223 (1)'!$A$34:$AN$735,30,FALSE)</f>
        <v>Yes</v>
      </c>
      <c r="T419" s="16" t="str">
        <f>VLOOKUP($A419,'SurveyRpt_20150223 (1)'!$A$34:$AN$735,32,FALSE)</f>
        <v>Yes</v>
      </c>
      <c r="U419" s="16" t="str">
        <f>VLOOKUP($A419,'SurveyRpt_20150223 (1)'!$A$34:$AN$735,34,FALSE)</f>
        <v>Yes</v>
      </c>
      <c r="V419" s="16" t="str">
        <f>VLOOKUP($A419,'SurveyRpt_20150223 (1)'!$A$34:$AN$735,36,FALSE)</f>
        <v>Yes</v>
      </c>
      <c r="W419" s="16" t="str">
        <f>VLOOKUP($A419,'SurveyRpt_20150223 (1)'!$A$34:$AN$735,38,FALSE)</f>
        <v>Yes</v>
      </c>
    </row>
    <row r="420" spans="1:23" ht="13.5" customHeight="1" x14ac:dyDescent="0.25">
      <c r="A420" s="19" t="s">
        <v>513</v>
      </c>
      <c r="B420" s="19" t="str">
        <f t="shared" si="6"/>
        <v>mkurdi</v>
      </c>
      <c r="C420" s="16" t="str">
        <f>VLOOKUP(B420,'Compiled Agents'!A:H,2,FALSE)</f>
        <v>Workplace</v>
      </c>
      <c r="D420" s="16" t="str">
        <f>VLOOKUP(B420,'Compiled Agents'!A:H,4,FALSE)</f>
        <v>Spain</v>
      </c>
      <c r="E420" s="16" t="str">
        <f>VLOOKUP(B420,'Compiled Agents'!A:H,5,FALSE)</f>
        <v>Wave1</v>
      </c>
      <c r="F420" s="16" t="str">
        <f>VLOOKUP(B420,'Compiled Agents'!A:H,6,FALSE)</f>
        <v>Yellow</v>
      </c>
      <c r="G420" s="16">
        <f>VLOOKUP($A420,'SurveyRpt_20150223 (1)'!$A$34:$AN$735,6,FALSE)</f>
        <v>16</v>
      </c>
      <c r="H420" s="16" t="str">
        <f>VLOOKUP($A420,'SurveyRpt_20150223 (1)'!$A$34:$AN$735,8,FALSE)</f>
        <v>Yes</v>
      </c>
      <c r="I420" s="16" t="str">
        <f>VLOOKUP($A420,'SurveyRpt_20150223 (1)'!$A$34:$AN$735,10,FALSE)</f>
        <v>Yes</v>
      </c>
      <c r="J420" s="16" t="str">
        <f>VLOOKUP($A420,'SurveyRpt_20150223 (1)'!$A$34:$AN$735,12,FALSE)</f>
        <v>Yes</v>
      </c>
      <c r="K420" s="16" t="str">
        <f>VLOOKUP($A420,'SurveyRpt_20150223 (1)'!$A$34:$AN$735,14,FALSE)</f>
        <v>Yes</v>
      </c>
      <c r="L420" s="16" t="str">
        <f>VLOOKUP($A420,'SurveyRpt_20150223 (1)'!$A$34:$AN$735,16,FALSE)</f>
        <v>Yes</v>
      </c>
      <c r="M420" s="16" t="str">
        <f>VLOOKUP($A420,'SurveyRpt_20150223 (1)'!$A$34:$AN$735,18,FALSE)</f>
        <v>Yes</v>
      </c>
      <c r="N420" s="16" t="str">
        <f>VLOOKUP($A420,'SurveyRpt_20150223 (1)'!$A$34:$AN$735,20,FALSE)</f>
        <v>Yes</v>
      </c>
      <c r="O420" s="16" t="str">
        <f>VLOOKUP($A420,'SurveyRpt_20150223 (1)'!$A$34:$AN$735,22,FALSE)</f>
        <v>Yes</v>
      </c>
      <c r="P420" s="16" t="str">
        <f>VLOOKUP($A420,'SurveyRpt_20150223 (1)'!$A$34:$AN$735,24,FALSE)</f>
        <v>Yes</v>
      </c>
      <c r="Q420" s="16" t="str">
        <f>VLOOKUP($A420,'SurveyRpt_20150223 (1)'!$A$34:$AN$735,26,FALSE)</f>
        <v>Yes</v>
      </c>
      <c r="R420" s="16" t="str">
        <f>VLOOKUP($A420,'SurveyRpt_20150223 (1)'!$A$34:$AN$735,28,FALSE)</f>
        <v>Yes</v>
      </c>
      <c r="S420" s="16" t="str">
        <f>VLOOKUP($A420,'SurveyRpt_20150223 (1)'!$A$34:$AN$735,30,FALSE)</f>
        <v>Yes</v>
      </c>
      <c r="T420" s="16" t="str">
        <f>VLOOKUP($A420,'SurveyRpt_20150223 (1)'!$A$34:$AN$735,32,FALSE)</f>
        <v>Yes</v>
      </c>
      <c r="U420" s="16" t="str">
        <f>VLOOKUP($A420,'SurveyRpt_20150223 (1)'!$A$34:$AN$735,34,FALSE)</f>
        <v>Yes</v>
      </c>
      <c r="V420" s="16" t="str">
        <f>VLOOKUP($A420,'SurveyRpt_20150223 (1)'!$A$34:$AN$735,36,FALSE)</f>
        <v>Yes</v>
      </c>
      <c r="W420" s="16" t="str">
        <f>VLOOKUP($A420,'SurveyRpt_20150223 (1)'!$A$34:$AN$735,38,FALSE)</f>
        <v>Yes</v>
      </c>
    </row>
    <row r="421" spans="1:23" ht="13.5" customHeight="1" x14ac:dyDescent="0.25">
      <c r="A421" s="19" t="s">
        <v>514</v>
      </c>
      <c r="B421" s="19" t="str">
        <f t="shared" si="6"/>
        <v>csecadescues</v>
      </c>
      <c r="C421" s="16" t="str">
        <f>VLOOKUP(B421,'Compiled Agents'!A:H,2,FALSE)</f>
        <v>Platform</v>
      </c>
      <c r="D421" s="16" t="str">
        <f>VLOOKUP(B421,'Compiled Agents'!A:H,4,FALSE)</f>
        <v>Spain</v>
      </c>
      <c r="E421" s="16" t="str">
        <f>VLOOKUP(B421,'Compiled Agents'!A:H,5,FALSE)</f>
        <v>Wave1</v>
      </c>
      <c r="F421" s="16" t="str">
        <f>VLOOKUP(B421,'Compiled Agents'!A:H,6,FALSE)</f>
        <v>Purple</v>
      </c>
      <c r="G421" s="16">
        <f>VLOOKUP($A421,'SurveyRpt_20150223 (1)'!$A$34:$AN$735,6,FALSE)</f>
        <v>9</v>
      </c>
      <c r="H421" s="16" t="str">
        <f>VLOOKUP($A421,'SurveyRpt_20150223 (1)'!$A$34:$AN$735,8,FALSE)</f>
        <v>No</v>
      </c>
      <c r="I421" s="16" t="str">
        <f>VLOOKUP($A421,'SurveyRpt_20150223 (1)'!$A$34:$AN$735,10,FALSE)</f>
        <v>No</v>
      </c>
      <c r="J421" s="16" t="str">
        <f>VLOOKUP($A421,'SurveyRpt_20150223 (1)'!$A$34:$AN$735,12,FALSE)</f>
        <v>No</v>
      </c>
      <c r="K421" s="16" t="str">
        <f>VLOOKUP($A421,'SurveyRpt_20150223 (1)'!$A$34:$AN$735,14,FALSE)</f>
        <v>No</v>
      </c>
      <c r="L421" s="16" t="str">
        <f>VLOOKUP($A421,'SurveyRpt_20150223 (1)'!$A$34:$AN$735,16,FALSE)</f>
        <v>Yes</v>
      </c>
      <c r="M421" s="16" t="str">
        <f>VLOOKUP($A421,'SurveyRpt_20150223 (1)'!$A$34:$AN$735,18,FALSE)</f>
        <v>No</v>
      </c>
      <c r="N421" s="16" t="str">
        <f>VLOOKUP($A421,'SurveyRpt_20150223 (1)'!$A$34:$AN$735,20,FALSE)</f>
        <v>Yes</v>
      </c>
      <c r="O421" s="16" t="str">
        <f>VLOOKUP($A421,'SurveyRpt_20150223 (1)'!$A$34:$AN$735,22,FALSE)</f>
        <v>Yes</v>
      </c>
      <c r="P421" s="16" t="str">
        <f>VLOOKUP($A421,'SurveyRpt_20150223 (1)'!$A$34:$AN$735,24,FALSE)</f>
        <v>No</v>
      </c>
      <c r="Q421" s="16" t="str">
        <f>VLOOKUP($A421,'SurveyRpt_20150223 (1)'!$A$34:$AN$735,26,FALSE)</f>
        <v>Yes</v>
      </c>
      <c r="R421" s="16" t="str">
        <f>VLOOKUP($A421,'SurveyRpt_20150223 (1)'!$A$34:$AN$735,28,FALSE)</f>
        <v>Yes</v>
      </c>
      <c r="S421" s="16" t="str">
        <f>VLOOKUP($A421,'SurveyRpt_20150223 (1)'!$A$34:$AN$735,30,FALSE)</f>
        <v>Yes</v>
      </c>
      <c r="T421" s="16" t="str">
        <f>VLOOKUP($A421,'SurveyRpt_20150223 (1)'!$A$34:$AN$735,32,FALSE)</f>
        <v>Yes</v>
      </c>
      <c r="U421" s="16" t="str">
        <f>VLOOKUP($A421,'SurveyRpt_20150223 (1)'!$A$34:$AN$735,34,FALSE)</f>
        <v>Yes</v>
      </c>
      <c r="V421" s="16" t="str">
        <f>VLOOKUP($A421,'SurveyRpt_20150223 (1)'!$A$34:$AN$735,36,FALSE)</f>
        <v>Yes</v>
      </c>
      <c r="W421" s="16" t="str">
        <f>VLOOKUP($A421,'SurveyRpt_20150223 (1)'!$A$34:$AN$735,38,FALSE)</f>
        <v>No</v>
      </c>
    </row>
    <row r="422" spans="1:23" ht="13.5" customHeight="1" x14ac:dyDescent="0.25">
      <c r="A422" s="19" t="s">
        <v>515</v>
      </c>
      <c r="B422" s="19" t="str">
        <f t="shared" si="6"/>
        <v>MSAMY3</v>
      </c>
      <c r="C422" s="16" t="str">
        <f>VLOOKUP(B422,'Compiled Agents'!A:H,2,FALSE)</f>
        <v>Platform</v>
      </c>
      <c r="D422" s="16" t="str">
        <f>VLOOKUP(B422,'Compiled Agents'!A:H,4,FALSE)</f>
        <v>Hyderabad</v>
      </c>
      <c r="E422" s="16" t="str">
        <f>VLOOKUP(B422,'Compiled Agents'!A:H,5,FALSE)</f>
        <v>Wave1</v>
      </c>
      <c r="F422" s="16" t="str">
        <f>VLOOKUP(B422,'Compiled Agents'!A:H,6,FALSE)</f>
        <v>Orange</v>
      </c>
      <c r="G422" s="16">
        <f>VLOOKUP($A422,'SurveyRpt_20150223 (1)'!$A$34:$AN$735,6,FALSE)</f>
        <v>16</v>
      </c>
      <c r="H422" s="16" t="str">
        <f>VLOOKUP($A422,'SurveyRpt_20150223 (1)'!$A$34:$AN$735,8,FALSE)</f>
        <v>Yes</v>
      </c>
      <c r="I422" s="16" t="str">
        <f>VLOOKUP($A422,'SurveyRpt_20150223 (1)'!$A$34:$AN$735,10,FALSE)</f>
        <v>Yes</v>
      </c>
      <c r="J422" s="16" t="str">
        <f>VLOOKUP($A422,'SurveyRpt_20150223 (1)'!$A$34:$AN$735,12,FALSE)</f>
        <v>Yes</v>
      </c>
      <c r="K422" s="16" t="str">
        <f>VLOOKUP($A422,'SurveyRpt_20150223 (1)'!$A$34:$AN$735,14,FALSE)</f>
        <v>Yes</v>
      </c>
      <c r="L422" s="16" t="str">
        <f>VLOOKUP($A422,'SurveyRpt_20150223 (1)'!$A$34:$AN$735,16,FALSE)</f>
        <v>Yes</v>
      </c>
      <c r="M422" s="16" t="str">
        <f>VLOOKUP($A422,'SurveyRpt_20150223 (1)'!$A$34:$AN$735,18,FALSE)</f>
        <v>Yes</v>
      </c>
      <c r="N422" s="16" t="str">
        <f>VLOOKUP($A422,'SurveyRpt_20150223 (1)'!$A$34:$AN$735,20,FALSE)</f>
        <v>Yes</v>
      </c>
      <c r="O422" s="16" t="str">
        <f>VLOOKUP($A422,'SurveyRpt_20150223 (1)'!$A$34:$AN$735,22,FALSE)</f>
        <v>Yes</v>
      </c>
      <c r="P422" s="16" t="str">
        <f>VLOOKUP($A422,'SurveyRpt_20150223 (1)'!$A$34:$AN$735,24,FALSE)</f>
        <v>Yes</v>
      </c>
      <c r="Q422" s="16" t="str">
        <f>VLOOKUP($A422,'SurveyRpt_20150223 (1)'!$A$34:$AN$735,26,FALSE)</f>
        <v>Yes</v>
      </c>
      <c r="R422" s="16" t="str">
        <f>VLOOKUP($A422,'SurveyRpt_20150223 (1)'!$A$34:$AN$735,28,FALSE)</f>
        <v>Yes</v>
      </c>
      <c r="S422" s="16" t="str">
        <f>VLOOKUP($A422,'SurveyRpt_20150223 (1)'!$A$34:$AN$735,30,FALSE)</f>
        <v>Yes</v>
      </c>
      <c r="T422" s="16" t="str">
        <f>VLOOKUP($A422,'SurveyRpt_20150223 (1)'!$A$34:$AN$735,32,FALSE)</f>
        <v>Yes</v>
      </c>
      <c r="U422" s="16" t="str">
        <f>VLOOKUP($A422,'SurveyRpt_20150223 (1)'!$A$34:$AN$735,34,FALSE)</f>
        <v>Yes</v>
      </c>
      <c r="V422" s="16" t="str">
        <f>VLOOKUP($A422,'SurveyRpt_20150223 (1)'!$A$34:$AN$735,36,FALSE)</f>
        <v>Yes</v>
      </c>
      <c r="W422" s="16" t="str">
        <f>VLOOKUP($A422,'SurveyRpt_20150223 (1)'!$A$34:$AN$735,38,FALSE)</f>
        <v>Yes</v>
      </c>
    </row>
    <row r="423" spans="1:23" ht="13.5" customHeight="1" x14ac:dyDescent="0.25">
      <c r="A423" s="19" t="s">
        <v>516</v>
      </c>
      <c r="B423" s="19" t="str">
        <f t="shared" si="6"/>
        <v>staiwo</v>
      </c>
      <c r="C423" s="16" t="str">
        <f>VLOOKUP(B423,'Compiled Agents'!A:H,2,FALSE)</f>
        <v>Workplace</v>
      </c>
      <c r="D423" s="16" t="str">
        <f>VLOOKUP(B423,'Compiled Agents'!A:H,4,FALSE)</f>
        <v>MBC US</v>
      </c>
      <c r="E423" s="16" t="str">
        <f>VLOOKUP(B423,'Compiled Agents'!A:H,5,FALSE)</f>
        <v>Wave2</v>
      </c>
      <c r="F423" s="16" t="str">
        <f>VLOOKUP(B423,'Compiled Agents'!A:H,6,FALSE)</f>
        <v>Yellow</v>
      </c>
      <c r="G423" s="16">
        <f>VLOOKUP($A423,'SurveyRpt_20150223 (1)'!$A$34:$AN$735,6,FALSE)</f>
        <v>4</v>
      </c>
      <c r="H423" s="16" t="str">
        <f>VLOOKUP($A423,'SurveyRpt_20150223 (1)'!$A$34:$AN$735,8,FALSE)</f>
        <v>No</v>
      </c>
      <c r="I423" s="16" t="str">
        <f>VLOOKUP($A423,'SurveyRpt_20150223 (1)'!$A$34:$AN$735,10,FALSE)</f>
        <v>No</v>
      </c>
      <c r="J423" s="16" t="str">
        <f>VLOOKUP($A423,'SurveyRpt_20150223 (1)'!$A$34:$AN$735,12,FALSE)</f>
        <v>No</v>
      </c>
      <c r="K423" s="16" t="str">
        <f>VLOOKUP($A423,'SurveyRpt_20150223 (1)'!$A$34:$AN$735,14,FALSE)</f>
        <v>No</v>
      </c>
      <c r="L423" s="16" t="str">
        <f>VLOOKUP($A423,'SurveyRpt_20150223 (1)'!$A$34:$AN$735,16,FALSE)</f>
        <v>No</v>
      </c>
      <c r="M423" s="16" t="str">
        <f>VLOOKUP($A423,'SurveyRpt_20150223 (1)'!$A$34:$AN$735,18,FALSE)</f>
        <v>Yes</v>
      </c>
      <c r="N423" s="16" t="str">
        <f>VLOOKUP($A423,'SurveyRpt_20150223 (1)'!$A$34:$AN$735,20,FALSE)</f>
        <v>No</v>
      </c>
      <c r="O423" s="16" t="str">
        <f>VLOOKUP($A423,'SurveyRpt_20150223 (1)'!$A$34:$AN$735,22,FALSE)</f>
        <v>No</v>
      </c>
      <c r="P423" s="16" t="str">
        <f>VLOOKUP($A423,'SurveyRpt_20150223 (1)'!$A$34:$AN$735,24,FALSE)</f>
        <v>No</v>
      </c>
      <c r="Q423" s="16" t="str">
        <f>VLOOKUP($A423,'SurveyRpt_20150223 (1)'!$A$34:$AN$735,26,FALSE)</f>
        <v>No</v>
      </c>
      <c r="R423" s="16" t="str">
        <f>VLOOKUP($A423,'SurveyRpt_20150223 (1)'!$A$34:$AN$735,28,FALSE)</f>
        <v>Yes</v>
      </c>
      <c r="S423" s="16" t="str">
        <f>VLOOKUP($A423,'SurveyRpt_20150223 (1)'!$A$34:$AN$735,30,FALSE)</f>
        <v>Yes</v>
      </c>
      <c r="T423" s="16" t="str">
        <f>VLOOKUP($A423,'SurveyRpt_20150223 (1)'!$A$34:$AN$735,32,FALSE)</f>
        <v>No</v>
      </c>
      <c r="U423" s="16" t="str">
        <f>VLOOKUP($A423,'SurveyRpt_20150223 (1)'!$A$34:$AN$735,34,FALSE)</f>
        <v>No</v>
      </c>
      <c r="V423" s="16" t="str">
        <f>VLOOKUP($A423,'SurveyRpt_20150223 (1)'!$A$34:$AN$735,36,FALSE)</f>
        <v>Yes</v>
      </c>
      <c r="W423" s="16" t="str">
        <f>VLOOKUP($A423,'SurveyRpt_20150223 (1)'!$A$34:$AN$735,38,FALSE)</f>
        <v>No</v>
      </c>
    </row>
    <row r="424" spans="1:23" ht="13.5" customHeight="1" x14ac:dyDescent="0.25">
      <c r="A424" s="19" t="s">
        <v>517</v>
      </c>
      <c r="B424" s="19" t="str">
        <f t="shared" si="6"/>
        <v>SMUNNALURI</v>
      </c>
      <c r="C424" s="16" t="str">
        <f>VLOOKUP(B424,'Compiled Agents'!A:H,2,FALSE)</f>
        <v>Platform</v>
      </c>
      <c r="D424" s="16" t="str">
        <f>VLOOKUP(B424,'Compiled Agents'!A:H,4,FALSE)</f>
        <v>Noida</v>
      </c>
      <c r="E424" s="16" t="str">
        <f>VLOOKUP(B424,'Compiled Agents'!A:H,5,FALSE)</f>
        <v>Wave2</v>
      </c>
      <c r="F424" s="16" t="str">
        <f>VLOOKUP(B424,'Compiled Agents'!A:H,6,FALSE)</f>
        <v>Yellow</v>
      </c>
      <c r="G424" s="16">
        <f>VLOOKUP($A424,'SurveyRpt_20150223 (1)'!$A$34:$AN$735,6,FALSE)</f>
        <v>11</v>
      </c>
      <c r="H424" s="16" t="str">
        <f>VLOOKUP($A424,'SurveyRpt_20150223 (1)'!$A$34:$AN$735,8,FALSE)</f>
        <v>Yes</v>
      </c>
      <c r="I424" s="16" t="str">
        <f>VLOOKUP($A424,'SurveyRpt_20150223 (1)'!$A$34:$AN$735,10,FALSE)</f>
        <v>No</v>
      </c>
      <c r="J424" s="16" t="str">
        <f>VLOOKUP($A424,'SurveyRpt_20150223 (1)'!$A$34:$AN$735,12,FALSE)</f>
        <v>Yes</v>
      </c>
      <c r="K424" s="16" t="str">
        <f>VLOOKUP($A424,'SurveyRpt_20150223 (1)'!$A$34:$AN$735,14,FALSE)</f>
        <v>Yes</v>
      </c>
      <c r="L424" s="16" t="str">
        <f>VLOOKUP($A424,'SurveyRpt_20150223 (1)'!$A$34:$AN$735,16,FALSE)</f>
        <v>Yes</v>
      </c>
      <c r="M424" s="16" t="str">
        <f>VLOOKUP($A424,'SurveyRpt_20150223 (1)'!$A$34:$AN$735,18,FALSE)</f>
        <v>Yes</v>
      </c>
      <c r="N424" s="16" t="str">
        <f>VLOOKUP($A424,'SurveyRpt_20150223 (1)'!$A$34:$AN$735,20,FALSE)</f>
        <v>No</v>
      </c>
      <c r="O424" s="16" t="str">
        <f>VLOOKUP($A424,'SurveyRpt_20150223 (1)'!$A$34:$AN$735,22,FALSE)</f>
        <v>No</v>
      </c>
      <c r="P424" s="16" t="str">
        <f>VLOOKUP($A424,'SurveyRpt_20150223 (1)'!$A$34:$AN$735,24,FALSE)</f>
        <v>No</v>
      </c>
      <c r="Q424" s="16" t="str">
        <f>VLOOKUP($A424,'SurveyRpt_20150223 (1)'!$A$34:$AN$735,26,FALSE)</f>
        <v>No</v>
      </c>
      <c r="R424" s="16" t="str">
        <f>VLOOKUP($A424,'SurveyRpt_20150223 (1)'!$A$34:$AN$735,28,FALSE)</f>
        <v>Yes</v>
      </c>
      <c r="S424" s="16" t="str">
        <f>VLOOKUP($A424,'SurveyRpt_20150223 (1)'!$A$34:$AN$735,30,FALSE)</f>
        <v>Yes</v>
      </c>
      <c r="T424" s="16" t="str">
        <f>VLOOKUP($A424,'SurveyRpt_20150223 (1)'!$A$34:$AN$735,32,FALSE)</f>
        <v>Yes</v>
      </c>
      <c r="U424" s="16" t="str">
        <f>VLOOKUP($A424,'SurveyRpt_20150223 (1)'!$A$34:$AN$735,34,FALSE)</f>
        <v>Yes</v>
      </c>
      <c r="V424" s="16" t="str">
        <f>VLOOKUP($A424,'SurveyRpt_20150223 (1)'!$A$34:$AN$735,36,FALSE)</f>
        <v>Yes</v>
      </c>
      <c r="W424" s="16" t="str">
        <f>VLOOKUP($A424,'SurveyRpt_20150223 (1)'!$A$34:$AN$735,38,FALSE)</f>
        <v>Yes</v>
      </c>
    </row>
    <row r="425" spans="1:23" ht="13.5" customHeight="1" x14ac:dyDescent="0.25">
      <c r="A425" s="19" t="s">
        <v>518</v>
      </c>
      <c r="B425" s="19" t="str">
        <f t="shared" si="6"/>
        <v>GBERNARD5</v>
      </c>
      <c r="C425" s="16" t="str">
        <f>VLOOKUP(B425,'Compiled Agents'!A:H,2,FALSE)</f>
        <v>Platform</v>
      </c>
      <c r="D425" s="16" t="str">
        <f>VLOOKUP(B425,'Compiled Agents'!A:H,4,FALSE)</f>
        <v>Noida</v>
      </c>
      <c r="E425" s="16" t="str">
        <f>VLOOKUP(B425,'Compiled Agents'!A:H,5,FALSE)</f>
        <v>Wave2</v>
      </c>
      <c r="F425" s="16" t="str">
        <f>VLOOKUP(B425,'Compiled Agents'!A:H,6,FALSE)</f>
        <v>Orange</v>
      </c>
      <c r="G425" s="16">
        <f>VLOOKUP($A425,'SurveyRpt_20150223 (1)'!$A$34:$AN$735,6,FALSE)</f>
        <v>16</v>
      </c>
      <c r="H425" s="16" t="str">
        <f>VLOOKUP($A425,'SurveyRpt_20150223 (1)'!$A$34:$AN$735,8,FALSE)</f>
        <v>Yes</v>
      </c>
      <c r="I425" s="16" t="str">
        <f>VLOOKUP($A425,'SurveyRpt_20150223 (1)'!$A$34:$AN$735,10,FALSE)</f>
        <v>Yes</v>
      </c>
      <c r="J425" s="16" t="str">
        <f>VLOOKUP($A425,'SurveyRpt_20150223 (1)'!$A$34:$AN$735,12,FALSE)</f>
        <v>Yes</v>
      </c>
      <c r="K425" s="16" t="str">
        <f>VLOOKUP($A425,'SurveyRpt_20150223 (1)'!$A$34:$AN$735,14,FALSE)</f>
        <v>Yes</v>
      </c>
      <c r="L425" s="16" t="str">
        <f>VLOOKUP($A425,'SurveyRpt_20150223 (1)'!$A$34:$AN$735,16,FALSE)</f>
        <v>Yes</v>
      </c>
      <c r="M425" s="16" t="str">
        <f>VLOOKUP($A425,'SurveyRpt_20150223 (1)'!$A$34:$AN$735,18,FALSE)</f>
        <v>Yes</v>
      </c>
      <c r="N425" s="16" t="str">
        <f>VLOOKUP($A425,'SurveyRpt_20150223 (1)'!$A$34:$AN$735,20,FALSE)</f>
        <v>Yes</v>
      </c>
      <c r="O425" s="16" t="str">
        <f>VLOOKUP($A425,'SurveyRpt_20150223 (1)'!$A$34:$AN$735,22,FALSE)</f>
        <v>Yes</v>
      </c>
      <c r="P425" s="16" t="str">
        <f>VLOOKUP($A425,'SurveyRpt_20150223 (1)'!$A$34:$AN$735,24,FALSE)</f>
        <v>Yes</v>
      </c>
      <c r="Q425" s="16" t="str">
        <f>VLOOKUP($A425,'SurveyRpt_20150223 (1)'!$A$34:$AN$735,26,FALSE)</f>
        <v>Yes</v>
      </c>
      <c r="R425" s="16" t="str">
        <f>VLOOKUP($A425,'SurveyRpt_20150223 (1)'!$A$34:$AN$735,28,FALSE)</f>
        <v>Yes</v>
      </c>
      <c r="S425" s="16" t="str">
        <f>VLOOKUP($A425,'SurveyRpt_20150223 (1)'!$A$34:$AN$735,30,FALSE)</f>
        <v>Yes</v>
      </c>
      <c r="T425" s="16" t="str">
        <f>VLOOKUP($A425,'SurveyRpt_20150223 (1)'!$A$34:$AN$735,32,FALSE)</f>
        <v>Yes</v>
      </c>
      <c r="U425" s="16" t="str">
        <f>VLOOKUP($A425,'SurveyRpt_20150223 (1)'!$A$34:$AN$735,34,FALSE)</f>
        <v>Yes</v>
      </c>
      <c r="V425" s="16" t="str">
        <f>VLOOKUP($A425,'SurveyRpt_20150223 (1)'!$A$34:$AN$735,36,FALSE)</f>
        <v>Yes</v>
      </c>
      <c r="W425" s="16" t="str">
        <f>VLOOKUP($A425,'SurveyRpt_20150223 (1)'!$A$34:$AN$735,38,FALSE)</f>
        <v>Yes</v>
      </c>
    </row>
    <row r="426" spans="1:23" ht="13.5" customHeight="1" x14ac:dyDescent="0.25">
      <c r="A426" s="19" t="s">
        <v>519</v>
      </c>
      <c r="B426" s="19" t="str">
        <f t="shared" si="6"/>
        <v>PGARG2</v>
      </c>
      <c r="C426" s="16" t="str">
        <f>VLOOKUP(B426,'Compiled Agents'!A:H,2,FALSE)</f>
        <v>Workplace</v>
      </c>
      <c r="D426" s="16" t="str">
        <f>VLOOKUP(B426,'Compiled Agents'!A:H,4,FALSE)</f>
        <v>Hyderabad</v>
      </c>
      <c r="E426" s="16" t="str">
        <f>VLOOKUP(B426,'Compiled Agents'!A:H,5,FALSE)</f>
        <v>Wave2</v>
      </c>
      <c r="F426" s="16" t="str">
        <f>VLOOKUP(B426,'Compiled Agents'!A:H,6,FALSE)</f>
        <v>Purple</v>
      </c>
      <c r="G426" s="16">
        <f>VLOOKUP($A426,'SurveyRpt_20150223 (1)'!$A$34:$AN$735,6,FALSE)</f>
        <v>16</v>
      </c>
      <c r="H426" s="16" t="str">
        <f>VLOOKUP($A426,'SurveyRpt_20150223 (1)'!$A$34:$AN$735,8,FALSE)</f>
        <v>Yes</v>
      </c>
      <c r="I426" s="16" t="str">
        <f>VLOOKUP($A426,'SurveyRpt_20150223 (1)'!$A$34:$AN$735,10,FALSE)</f>
        <v>Yes</v>
      </c>
      <c r="J426" s="16" t="str">
        <f>VLOOKUP($A426,'SurveyRpt_20150223 (1)'!$A$34:$AN$735,12,FALSE)</f>
        <v>Yes</v>
      </c>
      <c r="K426" s="16" t="str">
        <f>VLOOKUP($A426,'SurveyRpt_20150223 (1)'!$A$34:$AN$735,14,FALSE)</f>
        <v>Yes</v>
      </c>
      <c r="L426" s="16" t="str">
        <f>VLOOKUP($A426,'SurveyRpt_20150223 (1)'!$A$34:$AN$735,16,FALSE)</f>
        <v>Yes</v>
      </c>
      <c r="M426" s="16" t="str">
        <f>VLOOKUP($A426,'SurveyRpt_20150223 (1)'!$A$34:$AN$735,18,FALSE)</f>
        <v>Yes</v>
      </c>
      <c r="N426" s="16" t="str">
        <f>VLOOKUP($A426,'SurveyRpt_20150223 (1)'!$A$34:$AN$735,20,FALSE)</f>
        <v>Yes</v>
      </c>
      <c r="O426" s="16" t="str">
        <f>VLOOKUP($A426,'SurveyRpt_20150223 (1)'!$A$34:$AN$735,22,FALSE)</f>
        <v>Yes</v>
      </c>
      <c r="P426" s="16" t="str">
        <f>VLOOKUP($A426,'SurveyRpt_20150223 (1)'!$A$34:$AN$735,24,FALSE)</f>
        <v>Yes</v>
      </c>
      <c r="Q426" s="16" t="str">
        <f>VLOOKUP($A426,'SurveyRpt_20150223 (1)'!$A$34:$AN$735,26,FALSE)</f>
        <v>Yes</v>
      </c>
      <c r="R426" s="16" t="str">
        <f>VLOOKUP($A426,'SurveyRpt_20150223 (1)'!$A$34:$AN$735,28,FALSE)</f>
        <v>Yes</v>
      </c>
      <c r="S426" s="16" t="str">
        <f>VLOOKUP($A426,'SurveyRpt_20150223 (1)'!$A$34:$AN$735,30,FALSE)</f>
        <v>Yes</v>
      </c>
      <c r="T426" s="16" t="str">
        <f>VLOOKUP($A426,'SurveyRpt_20150223 (1)'!$A$34:$AN$735,32,FALSE)</f>
        <v>Yes</v>
      </c>
      <c r="U426" s="16" t="str">
        <f>VLOOKUP($A426,'SurveyRpt_20150223 (1)'!$A$34:$AN$735,34,FALSE)</f>
        <v>Yes</v>
      </c>
      <c r="V426" s="16" t="str">
        <f>VLOOKUP($A426,'SurveyRpt_20150223 (1)'!$A$34:$AN$735,36,FALSE)</f>
        <v>Yes</v>
      </c>
      <c r="W426" s="16" t="str">
        <f>VLOOKUP($A426,'SurveyRpt_20150223 (1)'!$A$34:$AN$735,38,FALSE)</f>
        <v>Yes</v>
      </c>
    </row>
    <row r="427" spans="1:23" ht="13.5" customHeight="1" x14ac:dyDescent="0.25">
      <c r="A427" s="19" t="s">
        <v>520</v>
      </c>
      <c r="B427" s="19" t="str">
        <f t="shared" si="6"/>
        <v>SVINOD2</v>
      </c>
      <c r="C427" s="16" t="str">
        <f>VLOOKUP(B427,'Compiled Agents'!A:H,2,FALSE)</f>
        <v>Workplace</v>
      </c>
      <c r="D427" s="16" t="str">
        <f>VLOOKUP(B427,'Compiled Agents'!A:H,4,FALSE)</f>
        <v>Noida</v>
      </c>
      <c r="E427" s="16" t="str">
        <f>VLOOKUP(B427,'Compiled Agents'!A:H,5,FALSE)</f>
        <v>Wave2</v>
      </c>
      <c r="F427" s="16" t="str">
        <f>VLOOKUP(B427,'Compiled Agents'!A:H,6,FALSE)</f>
        <v>Yellow</v>
      </c>
      <c r="G427" s="16">
        <f>VLOOKUP($A427,'SurveyRpt_20150223 (1)'!$A$34:$AN$735,6,FALSE)</f>
        <v>16</v>
      </c>
      <c r="H427" s="16" t="str">
        <f>VLOOKUP($A427,'SurveyRpt_20150223 (1)'!$A$34:$AN$735,8,FALSE)</f>
        <v>Yes</v>
      </c>
      <c r="I427" s="16" t="str">
        <f>VLOOKUP($A427,'SurveyRpt_20150223 (1)'!$A$34:$AN$735,10,FALSE)</f>
        <v>Yes</v>
      </c>
      <c r="J427" s="16" t="str">
        <f>VLOOKUP($A427,'SurveyRpt_20150223 (1)'!$A$34:$AN$735,12,FALSE)</f>
        <v>Yes</v>
      </c>
      <c r="K427" s="16" t="str">
        <f>VLOOKUP($A427,'SurveyRpt_20150223 (1)'!$A$34:$AN$735,14,FALSE)</f>
        <v>Yes</v>
      </c>
      <c r="L427" s="16" t="str">
        <f>VLOOKUP($A427,'SurveyRpt_20150223 (1)'!$A$34:$AN$735,16,FALSE)</f>
        <v>Yes</v>
      </c>
      <c r="M427" s="16" t="str">
        <f>VLOOKUP($A427,'SurveyRpt_20150223 (1)'!$A$34:$AN$735,18,FALSE)</f>
        <v>Yes</v>
      </c>
      <c r="N427" s="16" t="str">
        <f>VLOOKUP($A427,'SurveyRpt_20150223 (1)'!$A$34:$AN$735,20,FALSE)</f>
        <v>Yes</v>
      </c>
      <c r="O427" s="16" t="str">
        <f>VLOOKUP($A427,'SurveyRpt_20150223 (1)'!$A$34:$AN$735,22,FALSE)</f>
        <v>Yes</v>
      </c>
      <c r="P427" s="16" t="str">
        <f>VLOOKUP($A427,'SurveyRpt_20150223 (1)'!$A$34:$AN$735,24,FALSE)</f>
        <v>Yes</v>
      </c>
      <c r="Q427" s="16" t="str">
        <f>VLOOKUP($A427,'SurveyRpt_20150223 (1)'!$A$34:$AN$735,26,FALSE)</f>
        <v>Yes</v>
      </c>
      <c r="R427" s="16" t="str">
        <f>VLOOKUP($A427,'SurveyRpt_20150223 (1)'!$A$34:$AN$735,28,FALSE)</f>
        <v>Yes</v>
      </c>
      <c r="S427" s="16" t="str">
        <f>VLOOKUP($A427,'SurveyRpt_20150223 (1)'!$A$34:$AN$735,30,FALSE)</f>
        <v>Yes</v>
      </c>
      <c r="T427" s="16" t="str">
        <f>VLOOKUP($A427,'SurveyRpt_20150223 (1)'!$A$34:$AN$735,32,FALSE)</f>
        <v>Yes</v>
      </c>
      <c r="U427" s="16" t="str">
        <f>VLOOKUP($A427,'SurveyRpt_20150223 (1)'!$A$34:$AN$735,34,FALSE)</f>
        <v>Yes</v>
      </c>
      <c r="V427" s="16" t="str">
        <f>VLOOKUP($A427,'SurveyRpt_20150223 (1)'!$A$34:$AN$735,36,FALSE)</f>
        <v>Yes</v>
      </c>
      <c r="W427" s="16" t="str">
        <f>VLOOKUP($A427,'SurveyRpt_20150223 (1)'!$A$34:$AN$735,38,FALSE)</f>
        <v>Yes</v>
      </c>
    </row>
    <row r="428" spans="1:23" ht="13.5" customHeight="1" x14ac:dyDescent="0.25">
      <c r="A428" s="19" t="s">
        <v>521</v>
      </c>
      <c r="B428" s="19" t="str">
        <f t="shared" si="6"/>
        <v>APALANIAPPAN</v>
      </c>
      <c r="C428" s="16" t="str">
        <f>VLOOKUP(B428,'Compiled Agents'!A:H,2,FALSE)</f>
        <v>Platform</v>
      </c>
      <c r="D428" s="16" t="str">
        <f>VLOOKUP(B428,'Compiled Agents'!A:H,4,FALSE)</f>
        <v>Hyderabad</v>
      </c>
      <c r="E428" s="16" t="str">
        <f>VLOOKUP(B428,'Compiled Agents'!A:H,5,FALSE)</f>
        <v>Wave1</v>
      </c>
      <c r="F428" s="16" t="str">
        <f>VLOOKUP(B428,'Compiled Agents'!A:H,6,FALSE)</f>
        <v>Orange</v>
      </c>
      <c r="G428" s="16">
        <f>VLOOKUP($A428,'SurveyRpt_20150223 (1)'!$A$34:$AN$735,6,FALSE)</f>
        <v>16</v>
      </c>
      <c r="H428" s="16" t="str">
        <f>VLOOKUP($A428,'SurveyRpt_20150223 (1)'!$A$34:$AN$735,8,FALSE)</f>
        <v>Yes</v>
      </c>
      <c r="I428" s="16" t="str">
        <f>VLOOKUP($A428,'SurveyRpt_20150223 (1)'!$A$34:$AN$735,10,FALSE)</f>
        <v>Yes</v>
      </c>
      <c r="J428" s="16" t="str">
        <f>VLOOKUP($A428,'SurveyRpt_20150223 (1)'!$A$34:$AN$735,12,FALSE)</f>
        <v>Yes</v>
      </c>
      <c r="K428" s="16" t="str">
        <f>VLOOKUP($A428,'SurveyRpt_20150223 (1)'!$A$34:$AN$735,14,FALSE)</f>
        <v>Yes</v>
      </c>
      <c r="L428" s="16" t="str">
        <f>VLOOKUP($A428,'SurveyRpt_20150223 (1)'!$A$34:$AN$735,16,FALSE)</f>
        <v>Yes</v>
      </c>
      <c r="M428" s="16" t="str">
        <f>VLOOKUP($A428,'SurveyRpt_20150223 (1)'!$A$34:$AN$735,18,FALSE)</f>
        <v>Yes</v>
      </c>
      <c r="N428" s="16" t="str">
        <f>VLOOKUP($A428,'SurveyRpt_20150223 (1)'!$A$34:$AN$735,20,FALSE)</f>
        <v>Yes</v>
      </c>
      <c r="O428" s="16" t="str">
        <f>VLOOKUP($A428,'SurveyRpt_20150223 (1)'!$A$34:$AN$735,22,FALSE)</f>
        <v>Yes</v>
      </c>
      <c r="P428" s="16" t="str">
        <f>VLOOKUP($A428,'SurveyRpt_20150223 (1)'!$A$34:$AN$735,24,FALSE)</f>
        <v>Yes</v>
      </c>
      <c r="Q428" s="16" t="str">
        <f>VLOOKUP($A428,'SurveyRpt_20150223 (1)'!$A$34:$AN$735,26,FALSE)</f>
        <v>Yes</v>
      </c>
      <c r="R428" s="16" t="str">
        <f>VLOOKUP($A428,'SurveyRpt_20150223 (1)'!$A$34:$AN$735,28,FALSE)</f>
        <v>Yes</v>
      </c>
      <c r="S428" s="16" t="str">
        <f>VLOOKUP($A428,'SurveyRpt_20150223 (1)'!$A$34:$AN$735,30,FALSE)</f>
        <v>Yes</v>
      </c>
      <c r="T428" s="16" t="str">
        <f>VLOOKUP($A428,'SurveyRpt_20150223 (1)'!$A$34:$AN$735,32,FALSE)</f>
        <v>Yes</v>
      </c>
      <c r="U428" s="16" t="str">
        <f>VLOOKUP($A428,'SurveyRpt_20150223 (1)'!$A$34:$AN$735,34,FALSE)</f>
        <v>Yes</v>
      </c>
      <c r="V428" s="16" t="str">
        <f>VLOOKUP($A428,'SurveyRpt_20150223 (1)'!$A$34:$AN$735,36,FALSE)</f>
        <v>Yes</v>
      </c>
      <c r="W428" s="16" t="str">
        <f>VLOOKUP($A428,'SurveyRpt_20150223 (1)'!$A$34:$AN$735,38,FALSE)</f>
        <v>Yes</v>
      </c>
    </row>
    <row r="429" spans="1:23" ht="13.5" customHeight="1" x14ac:dyDescent="0.25">
      <c r="A429" s="19" t="s">
        <v>522</v>
      </c>
      <c r="B429" s="19" t="str">
        <f t="shared" si="6"/>
        <v>AMAREESWARIR</v>
      </c>
      <c r="C429" s="16" t="str">
        <f>VLOOKUP(B429,'Compiled Agents'!A:H,2,FALSE)</f>
        <v>Platform</v>
      </c>
      <c r="D429" s="16" t="str">
        <f>VLOOKUP(B429,'Compiled Agents'!A:H,4,FALSE)</f>
        <v>Hyderabad</v>
      </c>
      <c r="E429" s="16" t="str">
        <f>VLOOKUP(B429,'Compiled Agents'!A:H,5,FALSE)</f>
        <v>Wave1</v>
      </c>
      <c r="F429" s="16" t="str">
        <f>VLOOKUP(B429,'Compiled Agents'!A:H,6,FALSE)</f>
        <v>Blue</v>
      </c>
      <c r="G429" s="16">
        <f>VLOOKUP($A429,'SurveyRpt_20150223 (1)'!$A$34:$AN$735,6,FALSE)</f>
        <v>15</v>
      </c>
      <c r="H429" s="16" t="str">
        <f>VLOOKUP($A429,'SurveyRpt_20150223 (1)'!$A$34:$AN$735,8,FALSE)</f>
        <v>Yes</v>
      </c>
      <c r="I429" s="16" t="str">
        <f>VLOOKUP($A429,'SurveyRpt_20150223 (1)'!$A$34:$AN$735,10,FALSE)</f>
        <v>Yes</v>
      </c>
      <c r="J429" s="16" t="str">
        <f>VLOOKUP($A429,'SurveyRpt_20150223 (1)'!$A$34:$AN$735,12,FALSE)</f>
        <v>Yes</v>
      </c>
      <c r="K429" s="16" t="str">
        <f>VLOOKUP($A429,'SurveyRpt_20150223 (1)'!$A$34:$AN$735,14,FALSE)</f>
        <v>Yes</v>
      </c>
      <c r="L429" s="16" t="str">
        <f>VLOOKUP($A429,'SurveyRpt_20150223 (1)'!$A$34:$AN$735,16,FALSE)</f>
        <v>Yes</v>
      </c>
      <c r="M429" s="16" t="str">
        <f>VLOOKUP($A429,'SurveyRpt_20150223 (1)'!$A$34:$AN$735,18,FALSE)</f>
        <v>Yes</v>
      </c>
      <c r="N429" s="16" t="str">
        <f>VLOOKUP($A429,'SurveyRpt_20150223 (1)'!$A$34:$AN$735,20,FALSE)</f>
        <v>Yes</v>
      </c>
      <c r="O429" s="16" t="str">
        <f>VLOOKUP($A429,'SurveyRpt_20150223 (1)'!$A$34:$AN$735,22,FALSE)</f>
        <v>No</v>
      </c>
      <c r="P429" s="16" t="str">
        <f>VLOOKUP($A429,'SurveyRpt_20150223 (1)'!$A$34:$AN$735,24,FALSE)</f>
        <v>Yes</v>
      </c>
      <c r="Q429" s="16" t="str">
        <f>VLOOKUP($A429,'SurveyRpt_20150223 (1)'!$A$34:$AN$735,26,FALSE)</f>
        <v>Yes</v>
      </c>
      <c r="R429" s="16" t="str">
        <f>VLOOKUP($A429,'SurveyRpt_20150223 (1)'!$A$34:$AN$735,28,FALSE)</f>
        <v>Yes</v>
      </c>
      <c r="S429" s="16" t="str">
        <f>VLOOKUP($A429,'SurveyRpt_20150223 (1)'!$A$34:$AN$735,30,FALSE)</f>
        <v>Yes</v>
      </c>
      <c r="T429" s="16" t="str">
        <f>VLOOKUP($A429,'SurveyRpt_20150223 (1)'!$A$34:$AN$735,32,FALSE)</f>
        <v>Yes</v>
      </c>
      <c r="U429" s="16" t="str">
        <f>VLOOKUP($A429,'SurveyRpt_20150223 (1)'!$A$34:$AN$735,34,FALSE)</f>
        <v>Yes</v>
      </c>
      <c r="V429" s="16" t="str">
        <f>VLOOKUP($A429,'SurveyRpt_20150223 (1)'!$A$34:$AN$735,36,FALSE)</f>
        <v>Yes</v>
      </c>
      <c r="W429" s="16" t="str">
        <f>VLOOKUP($A429,'SurveyRpt_20150223 (1)'!$A$34:$AN$735,38,FALSE)</f>
        <v>Yes</v>
      </c>
    </row>
    <row r="430" spans="1:23" ht="13.5" customHeight="1" x14ac:dyDescent="0.25">
      <c r="A430" s="19" t="s">
        <v>523</v>
      </c>
      <c r="B430" s="19" t="str">
        <f t="shared" si="6"/>
        <v>DSHARMA49</v>
      </c>
      <c r="C430" s="16" t="str">
        <f>VLOOKUP(B430,'Compiled Agents'!A:H,2,FALSE)</f>
        <v>Platform</v>
      </c>
      <c r="D430" s="16" t="str">
        <f>VLOOKUP(B430,'Compiled Agents'!A:H,4,FALSE)</f>
        <v>Noida</v>
      </c>
      <c r="E430" s="16" t="str">
        <f>VLOOKUP(B430,'Compiled Agents'!A:H,5,FALSE)</f>
        <v>Wave2</v>
      </c>
      <c r="F430" s="16" t="str">
        <f>VLOOKUP(B430,'Compiled Agents'!A:H,6,FALSE)</f>
        <v>Purple</v>
      </c>
      <c r="G430" s="16">
        <f>VLOOKUP($A430,'SurveyRpt_20150223 (1)'!$A$34:$AN$735,6,FALSE)</f>
        <v>13</v>
      </c>
      <c r="H430" s="16" t="str">
        <f>VLOOKUP($A430,'SurveyRpt_20150223 (1)'!$A$34:$AN$735,8,FALSE)</f>
        <v>Yes</v>
      </c>
      <c r="I430" s="16" t="str">
        <f>VLOOKUP($A430,'SurveyRpt_20150223 (1)'!$A$34:$AN$735,10,FALSE)</f>
        <v>Yes</v>
      </c>
      <c r="J430" s="16" t="str">
        <f>VLOOKUP($A430,'SurveyRpt_20150223 (1)'!$A$34:$AN$735,12,FALSE)</f>
        <v>No</v>
      </c>
      <c r="K430" s="16" t="str">
        <f>VLOOKUP($A430,'SurveyRpt_20150223 (1)'!$A$34:$AN$735,14,FALSE)</f>
        <v>No</v>
      </c>
      <c r="L430" s="16" t="str">
        <f>VLOOKUP($A430,'SurveyRpt_20150223 (1)'!$A$34:$AN$735,16,FALSE)</f>
        <v>Yes</v>
      </c>
      <c r="M430" s="16" t="str">
        <f>VLOOKUP($A430,'SurveyRpt_20150223 (1)'!$A$34:$AN$735,18,FALSE)</f>
        <v>Yes</v>
      </c>
      <c r="N430" s="16" t="str">
        <f>VLOOKUP($A430,'SurveyRpt_20150223 (1)'!$A$34:$AN$735,20,FALSE)</f>
        <v>Yes</v>
      </c>
      <c r="O430" s="16" t="str">
        <f>VLOOKUP($A430,'SurveyRpt_20150223 (1)'!$A$34:$AN$735,22,FALSE)</f>
        <v>Yes</v>
      </c>
      <c r="P430" s="16" t="str">
        <f>VLOOKUP($A430,'SurveyRpt_20150223 (1)'!$A$34:$AN$735,24,FALSE)</f>
        <v>Yes</v>
      </c>
      <c r="Q430" s="16" t="str">
        <f>VLOOKUP($A430,'SurveyRpt_20150223 (1)'!$A$34:$AN$735,26,FALSE)</f>
        <v>Yes</v>
      </c>
      <c r="R430" s="16" t="str">
        <f>VLOOKUP($A430,'SurveyRpt_20150223 (1)'!$A$34:$AN$735,28,FALSE)</f>
        <v>Yes</v>
      </c>
      <c r="S430" s="16" t="str">
        <f>VLOOKUP($A430,'SurveyRpt_20150223 (1)'!$A$34:$AN$735,30,FALSE)</f>
        <v>Yes</v>
      </c>
      <c r="T430" s="16" t="str">
        <f>VLOOKUP($A430,'SurveyRpt_20150223 (1)'!$A$34:$AN$735,32,FALSE)</f>
        <v>Yes</v>
      </c>
      <c r="U430" s="16" t="str">
        <f>VLOOKUP($A430,'SurveyRpt_20150223 (1)'!$A$34:$AN$735,34,FALSE)</f>
        <v>Yes</v>
      </c>
      <c r="V430" s="16" t="str">
        <f>VLOOKUP($A430,'SurveyRpt_20150223 (1)'!$A$34:$AN$735,36,FALSE)</f>
        <v>Yes</v>
      </c>
      <c r="W430" s="16" t="str">
        <f>VLOOKUP($A430,'SurveyRpt_20150223 (1)'!$A$34:$AN$735,38,FALSE)</f>
        <v>No</v>
      </c>
    </row>
    <row r="431" spans="1:23" ht="13.5" customHeight="1" x14ac:dyDescent="0.25">
      <c r="A431" s="19" t="s">
        <v>524</v>
      </c>
      <c r="B431" s="19" t="str">
        <f t="shared" si="6"/>
        <v>ASAXENA39</v>
      </c>
      <c r="C431" s="16" t="str">
        <f>VLOOKUP(B431,'Compiled Agents'!A:H,2,FALSE)</f>
        <v>Platform</v>
      </c>
      <c r="D431" s="16" t="str">
        <f>VLOOKUP(B431,'Compiled Agents'!A:H,4,FALSE)</f>
        <v>Noida</v>
      </c>
      <c r="E431" s="16" t="str">
        <f>VLOOKUP(B431,'Compiled Agents'!A:H,5,FALSE)</f>
        <v>Wave1</v>
      </c>
      <c r="F431" s="16" t="str">
        <f>VLOOKUP(B431,'Compiled Agents'!A:H,6,FALSE)</f>
        <v>Yellow</v>
      </c>
      <c r="G431" s="16">
        <f>VLOOKUP($A431,'SurveyRpt_20150223 (1)'!$A$34:$AN$735,6,FALSE)</f>
        <v>16</v>
      </c>
      <c r="H431" s="16" t="str">
        <f>VLOOKUP($A431,'SurveyRpt_20150223 (1)'!$A$34:$AN$735,8,FALSE)</f>
        <v>Yes</v>
      </c>
      <c r="I431" s="16" t="str">
        <f>VLOOKUP($A431,'SurveyRpt_20150223 (1)'!$A$34:$AN$735,10,FALSE)</f>
        <v>Yes</v>
      </c>
      <c r="J431" s="16" t="str">
        <f>VLOOKUP($A431,'SurveyRpt_20150223 (1)'!$A$34:$AN$735,12,FALSE)</f>
        <v>Yes</v>
      </c>
      <c r="K431" s="16" t="str">
        <f>VLOOKUP($A431,'SurveyRpt_20150223 (1)'!$A$34:$AN$735,14,FALSE)</f>
        <v>Yes</v>
      </c>
      <c r="L431" s="16" t="str">
        <f>VLOOKUP($A431,'SurveyRpt_20150223 (1)'!$A$34:$AN$735,16,FALSE)</f>
        <v>Yes</v>
      </c>
      <c r="M431" s="16" t="str">
        <f>VLOOKUP($A431,'SurveyRpt_20150223 (1)'!$A$34:$AN$735,18,FALSE)</f>
        <v>Yes</v>
      </c>
      <c r="N431" s="16" t="str">
        <f>VLOOKUP($A431,'SurveyRpt_20150223 (1)'!$A$34:$AN$735,20,FALSE)</f>
        <v>Yes</v>
      </c>
      <c r="O431" s="16" t="str">
        <f>VLOOKUP($A431,'SurveyRpt_20150223 (1)'!$A$34:$AN$735,22,FALSE)</f>
        <v>Yes</v>
      </c>
      <c r="P431" s="16" t="str">
        <f>VLOOKUP($A431,'SurveyRpt_20150223 (1)'!$A$34:$AN$735,24,FALSE)</f>
        <v>Yes</v>
      </c>
      <c r="Q431" s="16" t="str">
        <f>VLOOKUP($A431,'SurveyRpt_20150223 (1)'!$A$34:$AN$735,26,FALSE)</f>
        <v>Yes</v>
      </c>
      <c r="R431" s="16" t="str">
        <f>VLOOKUP($A431,'SurveyRpt_20150223 (1)'!$A$34:$AN$735,28,FALSE)</f>
        <v>Yes</v>
      </c>
      <c r="S431" s="16" t="str">
        <f>VLOOKUP($A431,'SurveyRpt_20150223 (1)'!$A$34:$AN$735,30,FALSE)</f>
        <v>Yes</v>
      </c>
      <c r="T431" s="16" t="str">
        <f>VLOOKUP($A431,'SurveyRpt_20150223 (1)'!$A$34:$AN$735,32,FALSE)</f>
        <v>Yes</v>
      </c>
      <c r="U431" s="16" t="str">
        <f>VLOOKUP($A431,'SurveyRpt_20150223 (1)'!$A$34:$AN$735,34,FALSE)</f>
        <v>Yes</v>
      </c>
      <c r="V431" s="16" t="str">
        <f>VLOOKUP($A431,'SurveyRpt_20150223 (1)'!$A$34:$AN$735,36,FALSE)</f>
        <v>Yes</v>
      </c>
      <c r="W431" s="16" t="str">
        <f>VLOOKUP($A431,'SurveyRpt_20150223 (1)'!$A$34:$AN$735,38,FALSE)</f>
        <v>Yes</v>
      </c>
    </row>
    <row r="432" spans="1:23" ht="13.5" customHeight="1" x14ac:dyDescent="0.25">
      <c r="A432" s="19" t="s">
        <v>525</v>
      </c>
      <c r="B432" s="19" t="str">
        <f t="shared" si="6"/>
        <v>ematteson</v>
      </c>
      <c r="C432" s="16" t="str">
        <f>VLOOKUP(B432,'Compiled Agents'!A:H,2,FALSE)</f>
        <v>Platform</v>
      </c>
      <c r="D432" s="16" t="str">
        <f>VLOOKUP(B432,'Compiled Agents'!A:H,4,FALSE)</f>
        <v>MBC US</v>
      </c>
      <c r="E432" s="16" t="str">
        <f>VLOOKUP(B432,'Compiled Agents'!A:H,5,FALSE)</f>
        <v>Wave2</v>
      </c>
      <c r="F432" s="16" t="str">
        <f>VLOOKUP(B432,'Compiled Agents'!A:H,6,FALSE)</f>
        <v>Orange</v>
      </c>
      <c r="G432" s="16">
        <f>VLOOKUP($A432,'SurveyRpt_20150223 (1)'!$A$34:$AN$735,6,FALSE)</f>
        <v>11</v>
      </c>
      <c r="H432" s="16" t="str">
        <f>VLOOKUP($A432,'SurveyRpt_20150223 (1)'!$A$34:$AN$735,8,FALSE)</f>
        <v>Yes</v>
      </c>
      <c r="I432" s="16" t="str">
        <f>VLOOKUP($A432,'SurveyRpt_20150223 (1)'!$A$34:$AN$735,10,FALSE)</f>
        <v>Yes</v>
      </c>
      <c r="J432" s="16" t="str">
        <f>VLOOKUP($A432,'SurveyRpt_20150223 (1)'!$A$34:$AN$735,12,FALSE)</f>
        <v>Yes</v>
      </c>
      <c r="K432" s="16" t="str">
        <f>VLOOKUP($A432,'SurveyRpt_20150223 (1)'!$A$34:$AN$735,14,FALSE)</f>
        <v>Yes</v>
      </c>
      <c r="L432" s="16" t="str">
        <f>VLOOKUP($A432,'SurveyRpt_20150223 (1)'!$A$34:$AN$735,16,FALSE)</f>
        <v>No</v>
      </c>
      <c r="M432" s="16" t="str">
        <f>VLOOKUP($A432,'SurveyRpt_20150223 (1)'!$A$34:$AN$735,18,FALSE)</f>
        <v>Yes</v>
      </c>
      <c r="N432" s="16" t="str">
        <f>VLOOKUP($A432,'SurveyRpt_20150223 (1)'!$A$34:$AN$735,20,FALSE)</f>
        <v>No</v>
      </c>
      <c r="O432" s="16" t="str">
        <f>VLOOKUP($A432,'SurveyRpt_20150223 (1)'!$A$34:$AN$735,22,FALSE)</f>
        <v>Yes</v>
      </c>
      <c r="P432" s="16" t="str">
        <f>VLOOKUP($A432,'SurveyRpt_20150223 (1)'!$A$34:$AN$735,24,FALSE)</f>
        <v>Yes</v>
      </c>
      <c r="Q432" s="16" t="str">
        <f>VLOOKUP($A432,'SurveyRpt_20150223 (1)'!$A$34:$AN$735,26,FALSE)</f>
        <v>Yes</v>
      </c>
      <c r="R432" s="16" t="str">
        <f>VLOOKUP($A432,'SurveyRpt_20150223 (1)'!$A$34:$AN$735,28,FALSE)</f>
        <v>Yes</v>
      </c>
      <c r="S432" s="16" t="str">
        <f>VLOOKUP($A432,'SurveyRpt_20150223 (1)'!$A$34:$AN$735,30,FALSE)</f>
        <v>Yes</v>
      </c>
      <c r="T432" s="16" t="str">
        <f>VLOOKUP($A432,'SurveyRpt_20150223 (1)'!$A$34:$AN$735,32,FALSE)</f>
        <v>No</v>
      </c>
      <c r="U432" s="16" t="str">
        <f>VLOOKUP($A432,'SurveyRpt_20150223 (1)'!$A$34:$AN$735,34,FALSE)</f>
        <v>No</v>
      </c>
      <c r="V432" s="16" t="str">
        <f>VLOOKUP($A432,'SurveyRpt_20150223 (1)'!$A$34:$AN$735,36,FALSE)</f>
        <v>No</v>
      </c>
      <c r="W432" s="16" t="str">
        <f>VLOOKUP($A432,'SurveyRpt_20150223 (1)'!$A$34:$AN$735,38,FALSE)</f>
        <v>Yes</v>
      </c>
    </row>
    <row r="433" spans="1:23" ht="13.5" customHeight="1" x14ac:dyDescent="0.25">
      <c r="A433" s="19" t="s">
        <v>526</v>
      </c>
      <c r="B433" s="19" t="str">
        <f t="shared" si="6"/>
        <v>MBAJAJ3</v>
      </c>
      <c r="C433" s="16" t="str">
        <f>VLOOKUP(B433,'Compiled Agents'!A:H,2,FALSE)</f>
        <v>Platform</v>
      </c>
      <c r="D433" s="16" t="str">
        <f>VLOOKUP(B433,'Compiled Agents'!A:H,4,FALSE)</f>
        <v>Noida</v>
      </c>
      <c r="E433" s="16" t="str">
        <f>VLOOKUP(B433,'Compiled Agents'!A:H,5,FALSE)</f>
        <v>Wave2</v>
      </c>
      <c r="F433" s="16" t="str">
        <f>VLOOKUP(B433,'Compiled Agents'!A:H,6,FALSE)</f>
        <v>Yellow</v>
      </c>
      <c r="G433" s="16">
        <f>VLOOKUP($A433,'SurveyRpt_20150223 (1)'!$A$34:$AN$735,6,FALSE)</f>
        <v>12</v>
      </c>
      <c r="H433" s="16" t="str">
        <f>VLOOKUP($A433,'SurveyRpt_20150223 (1)'!$A$34:$AN$735,8,FALSE)</f>
        <v>Yes</v>
      </c>
      <c r="I433" s="16" t="str">
        <f>VLOOKUP($A433,'SurveyRpt_20150223 (1)'!$A$34:$AN$735,10,FALSE)</f>
        <v>Yes</v>
      </c>
      <c r="J433" s="16" t="str">
        <f>VLOOKUP($A433,'SurveyRpt_20150223 (1)'!$A$34:$AN$735,12,FALSE)</f>
        <v>Yes</v>
      </c>
      <c r="K433" s="16" t="str">
        <f>VLOOKUP($A433,'SurveyRpt_20150223 (1)'!$A$34:$AN$735,14,FALSE)</f>
        <v>Yes</v>
      </c>
      <c r="L433" s="16" t="str">
        <f>VLOOKUP($A433,'SurveyRpt_20150223 (1)'!$A$34:$AN$735,16,FALSE)</f>
        <v>No</v>
      </c>
      <c r="M433" s="16" t="str">
        <f>VLOOKUP($A433,'SurveyRpt_20150223 (1)'!$A$34:$AN$735,18,FALSE)</f>
        <v>Yes</v>
      </c>
      <c r="N433" s="16" t="str">
        <f>VLOOKUP($A433,'SurveyRpt_20150223 (1)'!$A$34:$AN$735,20,FALSE)</f>
        <v>No</v>
      </c>
      <c r="O433" s="16" t="str">
        <f>VLOOKUP($A433,'SurveyRpt_20150223 (1)'!$A$34:$AN$735,22,FALSE)</f>
        <v>No</v>
      </c>
      <c r="P433" s="16" t="str">
        <f>VLOOKUP($A433,'SurveyRpt_20150223 (1)'!$A$34:$AN$735,24,FALSE)</f>
        <v>Yes</v>
      </c>
      <c r="Q433" s="16" t="str">
        <f>VLOOKUP($A433,'SurveyRpt_20150223 (1)'!$A$34:$AN$735,26,FALSE)</f>
        <v>Yes</v>
      </c>
      <c r="R433" s="16" t="str">
        <f>VLOOKUP($A433,'SurveyRpt_20150223 (1)'!$A$34:$AN$735,28,FALSE)</f>
        <v>Yes</v>
      </c>
      <c r="S433" s="16" t="str">
        <f>VLOOKUP($A433,'SurveyRpt_20150223 (1)'!$A$34:$AN$735,30,FALSE)</f>
        <v>Yes</v>
      </c>
      <c r="T433" s="16" t="str">
        <f>VLOOKUP($A433,'SurveyRpt_20150223 (1)'!$A$34:$AN$735,32,FALSE)</f>
        <v>Yes</v>
      </c>
      <c r="U433" s="16" t="str">
        <f>VLOOKUP($A433,'SurveyRpt_20150223 (1)'!$A$34:$AN$735,34,FALSE)</f>
        <v>Yes</v>
      </c>
      <c r="V433" s="16" t="str">
        <f>VLOOKUP($A433,'SurveyRpt_20150223 (1)'!$A$34:$AN$735,36,FALSE)</f>
        <v>No</v>
      </c>
      <c r="W433" s="16" t="str">
        <f>VLOOKUP($A433,'SurveyRpt_20150223 (1)'!$A$34:$AN$735,38,FALSE)</f>
        <v>Yes</v>
      </c>
    </row>
    <row r="434" spans="1:23" ht="13.5" customHeight="1" x14ac:dyDescent="0.25">
      <c r="A434" s="19" t="s">
        <v>527</v>
      </c>
      <c r="B434" s="19" t="str">
        <f t="shared" si="6"/>
        <v>rclott</v>
      </c>
      <c r="C434" s="16" t="str">
        <f>VLOOKUP(B434,'Compiled Agents'!A:H,2,FALSE)</f>
        <v>Platform</v>
      </c>
      <c r="D434" s="16" t="str">
        <f>VLOOKUP(B434,'Compiled Agents'!A:H,4,FALSE)</f>
        <v>MBC US</v>
      </c>
      <c r="E434" s="16" t="str">
        <f>VLOOKUP(B434,'Compiled Agents'!A:H,5,FALSE)</f>
        <v>Wave2</v>
      </c>
      <c r="F434" s="16" t="str">
        <f>VLOOKUP(B434,'Compiled Agents'!A:H,6,FALSE)</f>
        <v>Blue</v>
      </c>
      <c r="G434" s="16">
        <f>VLOOKUP($A434,'SurveyRpt_20150223 (1)'!$A$34:$AN$735,6,FALSE)</f>
        <v>1</v>
      </c>
      <c r="H434" s="16" t="str">
        <f>VLOOKUP($A434,'SurveyRpt_20150223 (1)'!$A$34:$AN$735,8,FALSE)</f>
        <v>No</v>
      </c>
      <c r="I434" s="16" t="str">
        <f>VLOOKUP($A434,'SurveyRpt_20150223 (1)'!$A$34:$AN$735,10,FALSE)</f>
        <v>No</v>
      </c>
      <c r="J434" s="16" t="str">
        <f>VLOOKUP($A434,'SurveyRpt_20150223 (1)'!$A$34:$AN$735,12,FALSE)</f>
        <v>No</v>
      </c>
      <c r="K434" s="16" t="str">
        <f>VLOOKUP($A434,'SurveyRpt_20150223 (1)'!$A$34:$AN$735,14,FALSE)</f>
        <v>No</v>
      </c>
      <c r="L434" s="16" t="str">
        <f>VLOOKUP($A434,'SurveyRpt_20150223 (1)'!$A$34:$AN$735,16,FALSE)</f>
        <v>No</v>
      </c>
      <c r="M434" s="16" t="str">
        <f>VLOOKUP($A434,'SurveyRpt_20150223 (1)'!$A$34:$AN$735,18,FALSE)</f>
        <v>No</v>
      </c>
      <c r="N434" s="16" t="str">
        <f>VLOOKUP($A434,'SurveyRpt_20150223 (1)'!$A$34:$AN$735,20,FALSE)</f>
        <v>No</v>
      </c>
      <c r="O434" s="16" t="str">
        <f>VLOOKUP($A434,'SurveyRpt_20150223 (1)'!$A$34:$AN$735,22,FALSE)</f>
        <v>No</v>
      </c>
      <c r="P434" s="16" t="str">
        <f>VLOOKUP($A434,'SurveyRpt_20150223 (1)'!$A$34:$AN$735,24,FALSE)</f>
        <v>No</v>
      </c>
      <c r="Q434" s="16" t="str">
        <f>VLOOKUP($A434,'SurveyRpt_20150223 (1)'!$A$34:$AN$735,26,FALSE)</f>
        <v>No</v>
      </c>
      <c r="R434" s="16" t="str">
        <f>VLOOKUP($A434,'SurveyRpt_20150223 (1)'!$A$34:$AN$735,28,FALSE)</f>
        <v>No</v>
      </c>
      <c r="S434" s="16" t="str">
        <f>VLOOKUP($A434,'SurveyRpt_20150223 (1)'!$A$34:$AN$735,30,FALSE)</f>
        <v>Yes</v>
      </c>
      <c r="T434" s="16" t="str">
        <f>VLOOKUP($A434,'SurveyRpt_20150223 (1)'!$A$34:$AN$735,32,FALSE)</f>
        <v>No</v>
      </c>
      <c r="U434" s="16" t="str">
        <f>VLOOKUP($A434,'SurveyRpt_20150223 (1)'!$A$34:$AN$735,34,FALSE)</f>
        <v>No</v>
      </c>
      <c r="V434" s="16" t="str">
        <f>VLOOKUP($A434,'SurveyRpt_20150223 (1)'!$A$34:$AN$735,36,FALSE)</f>
        <v>No</v>
      </c>
      <c r="W434" s="16" t="str">
        <f>VLOOKUP($A434,'SurveyRpt_20150223 (1)'!$A$34:$AN$735,38,FALSE)</f>
        <v>No</v>
      </c>
    </row>
    <row r="435" spans="1:23" ht="13.5" customHeight="1" x14ac:dyDescent="0.25">
      <c r="A435" s="19" t="s">
        <v>528</v>
      </c>
      <c r="B435" s="19" t="str">
        <f t="shared" si="6"/>
        <v>SLAKABATHINI</v>
      </c>
      <c r="C435" s="16" t="str">
        <f>VLOOKUP(B435,'Compiled Agents'!A:H,2,FALSE)</f>
        <v>Workplace</v>
      </c>
      <c r="D435" s="16" t="str">
        <f>VLOOKUP(B435,'Compiled Agents'!A:H,4,FALSE)</f>
        <v>Hyderabad</v>
      </c>
      <c r="E435" s="16" t="str">
        <f>VLOOKUP(B435,'Compiled Agents'!A:H,5,FALSE)</f>
        <v>Wave2</v>
      </c>
      <c r="F435" s="16" t="str">
        <f>VLOOKUP(B435,'Compiled Agents'!A:H,6,FALSE)</f>
        <v>Purple</v>
      </c>
      <c r="G435" s="16">
        <f>VLOOKUP($A435,'SurveyRpt_20150223 (1)'!$A$34:$AN$735,6,FALSE)</f>
        <v>16</v>
      </c>
      <c r="H435" s="16" t="str">
        <f>VLOOKUP($A435,'SurveyRpt_20150223 (1)'!$A$34:$AN$735,8,FALSE)</f>
        <v>Yes</v>
      </c>
      <c r="I435" s="16" t="str">
        <f>VLOOKUP($A435,'SurveyRpt_20150223 (1)'!$A$34:$AN$735,10,FALSE)</f>
        <v>Yes</v>
      </c>
      <c r="J435" s="16" t="str">
        <f>VLOOKUP($A435,'SurveyRpt_20150223 (1)'!$A$34:$AN$735,12,FALSE)</f>
        <v>Yes</v>
      </c>
      <c r="K435" s="16" t="str">
        <f>VLOOKUP($A435,'SurveyRpt_20150223 (1)'!$A$34:$AN$735,14,FALSE)</f>
        <v>Yes</v>
      </c>
      <c r="L435" s="16" t="str">
        <f>VLOOKUP($A435,'SurveyRpt_20150223 (1)'!$A$34:$AN$735,16,FALSE)</f>
        <v>Yes</v>
      </c>
      <c r="M435" s="16" t="str">
        <f>VLOOKUP($A435,'SurveyRpt_20150223 (1)'!$A$34:$AN$735,18,FALSE)</f>
        <v>Yes</v>
      </c>
      <c r="N435" s="16" t="str">
        <f>VLOOKUP($A435,'SurveyRpt_20150223 (1)'!$A$34:$AN$735,20,FALSE)</f>
        <v>Yes</v>
      </c>
      <c r="O435" s="16" t="str">
        <f>VLOOKUP($A435,'SurveyRpt_20150223 (1)'!$A$34:$AN$735,22,FALSE)</f>
        <v>Yes</v>
      </c>
      <c r="P435" s="16" t="str">
        <f>VLOOKUP($A435,'SurveyRpt_20150223 (1)'!$A$34:$AN$735,24,FALSE)</f>
        <v>Yes</v>
      </c>
      <c r="Q435" s="16" t="str">
        <f>VLOOKUP($A435,'SurveyRpt_20150223 (1)'!$A$34:$AN$735,26,FALSE)</f>
        <v>Yes</v>
      </c>
      <c r="R435" s="16" t="str">
        <f>VLOOKUP($A435,'SurveyRpt_20150223 (1)'!$A$34:$AN$735,28,FALSE)</f>
        <v>Yes</v>
      </c>
      <c r="S435" s="16" t="str">
        <f>VLOOKUP($A435,'SurveyRpt_20150223 (1)'!$A$34:$AN$735,30,FALSE)</f>
        <v>Yes</v>
      </c>
      <c r="T435" s="16" t="str">
        <f>VLOOKUP($A435,'SurveyRpt_20150223 (1)'!$A$34:$AN$735,32,FALSE)</f>
        <v>Yes</v>
      </c>
      <c r="U435" s="16" t="str">
        <f>VLOOKUP($A435,'SurveyRpt_20150223 (1)'!$A$34:$AN$735,34,FALSE)</f>
        <v>Yes</v>
      </c>
      <c r="V435" s="16" t="str">
        <f>VLOOKUP($A435,'SurveyRpt_20150223 (1)'!$A$34:$AN$735,36,FALSE)</f>
        <v>Yes</v>
      </c>
      <c r="W435" s="16" t="str">
        <f>VLOOKUP($A435,'SurveyRpt_20150223 (1)'!$A$34:$AN$735,38,FALSE)</f>
        <v>Yes</v>
      </c>
    </row>
    <row r="436" spans="1:23" ht="13.5" customHeight="1" x14ac:dyDescent="0.25">
      <c r="A436" s="19" t="s">
        <v>529</v>
      </c>
      <c r="B436" s="19" t="str">
        <f t="shared" si="6"/>
        <v>RPANDEY32</v>
      </c>
      <c r="C436" s="16" t="str">
        <f>VLOOKUP(B436,'Compiled Agents'!A:H,2,FALSE)</f>
        <v>Platform</v>
      </c>
      <c r="D436" s="16" t="str">
        <f>VLOOKUP(B436,'Compiled Agents'!A:H,4,FALSE)</f>
        <v>Noida</v>
      </c>
      <c r="E436" s="16" t="str">
        <f>VLOOKUP(B436,'Compiled Agents'!A:H,5,FALSE)</f>
        <v>Wave2</v>
      </c>
      <c r="F436" s="16" t="str">
        <f>VLOOKUP(B436,'Compiled Agents'!A:H,6,FALSE)</f>
        <v>Purple</v>
      </c>
      <c r="G436" s="16">
        <f>VLOOKUP($A436,'SurveyRpt_20150223 (1)'!$A$34:$AN$735,6,FALSE)</f>
        <v>15</v>
      </c>
      <c r="H436" s="16" t="str">
        <f>VLOOKUP($A436,'SurveyRpt_20150223 (1)'!$A$34:$AN$735,8,FALSE)</f>
        <v>Yes</v>
      </c>
      <c r="I436" s="16" t="str">
        <f>VLOOKUP($A436,'SurveyRpt_20150223 (1)'!$A$34:$AN$735,10,FALSE)</f>
        <v>Yes</v>
      </c>
      <c r="J436" s="16" t="str">
        <f>VLOOKUP($A436,'SurveyRpt_20150223 (1)'!$A$34:$AN$735,12,FALSE)</f>
        <v>Yes</v>
      </c>
      <c r="K436" s="16" t="str">
        <f>VLOOKUP($A436,'SurveyRpt_20150223 (1)'!$A$34:$AN$735,14,FALSE)</f>
        <v>Yes</v>
      </c>
      <c r="L436" s="16" t="str">
        <f>VLOOKUP($A436,'SurveyRpt_20150223 (1)'!$A$34:$AN$735,16,FALSE)</f>
        <v>Yes</v>
      </c>
      <c r="M436" s="16" t="str">
        <f>VLOOKUP($A436,'SurveyRpt_20150223 (1)'!$A$34:$AN$735,18,FALSE)</f>
        <v>Yes</v>
      </c>
      <c r="N436" s="16" t="str">
        <f>VLOOKUP($A436,'SurveyRpt_20150223 (1)'!$A$34:$AN$735,20,FALSE)</f>
        <v>Yes</v>
      </c>
      <c r="O436" s="16" t="str">
        <f>VLOOKUP($A436,'SurveyRpt_20150223 (1)'!$A$34:$AN$735,22,FALSE)</f>
        <v>Yes</v>
      </c>
      <c r="P436" s="16" t="str">
        <f>VLOOKUP($A436,'SurveyRpt_20150223 (1)'!$A$34:$AN$735,24,FALSE)</f>
        <v>Yes</v>
      </c>
      <c r="Q436" s="16" t="str">
        <f>VLOOKUP($A436,'SurveyRpt_20150223 (1)'!$A$34:$AN$735,26,FALSE)</f>
        <v>Yes</v>
      </c>
      <c r="R436" s="16" t="str">
        <f>VLOOKUP($A436,'SurveyRpt_20150223 (1)'!$A$34:$AN$735,28,FALSE)</f>
        <v>Yes</v>
      </c>
      <c r="S436" s="16" t="str">
        <f>VLOOKUP($A436,'SurveyRpt_20150223 (1)'!$A$34:$AN$735,30,FALSE)</f>
        <v>Yes</v>
      </c>
      <c r="T436" s="16" t="str">
        <f>VLOOKUP($A436,'SurveyRpt_20150223 (1)'!$A$34:$AN$735,32,FALSE)</f>
        <v>Yes</v>
      </c>
      <c r="U436" s="16" t="str">
        <f>VLOOKUP($A436,'SurveyRpt_20150223 (1)'!$A$34:$AN$735,34,FALSE)</f>
        <v>Yes</v>
      </c>
      <c r="V436" s="16" t="str">
        <f>VLOOKUP($A436,'SurveyRpt_20150223 (1)'!$A$34:$AN$735,36,FALSE)</f>
        <v>No</v>
      </c>
      <c r="W436" s="16" t="str">
        <f>VLOOKUP($A436,'SurveyRpt_20150223 (1)'!$A$34:$AN$735,38,FALSE)</f>
        <v>Yes</v>
      </c>
    </row>
    <row r="437" spans="1:23" ht="13.5" customHeight="1" x14ac:dyDescent="0.25">
      <c r="A437" s="19" t="s">
        <v>530</v>
      </c>
      <c r="B437" s="19" t="str">
        <f t="shared" si="6"/>
        <v>NPAHUJA</v>
      </c>
      <c r="C437" s="16" t="str">
        <f>VLOOKUP(B437,'Compiled Agents'!A:H,2,FALSE)</f>
        <v>Platform</v>
      </c>
      <c r="D437" s="16" t="str">
        <f>VLOOKUP(B437,'Compiled Agents'!A:H,4,FALSE)</f>
        <v>Noida</v>
      </c>
      <c r="E437" s="16" t="str">
        <f>VLOOKUP(B437,'Compiled Agents'!A:H,5,FALSE)</f>
        <v>Wave2</v>
      </c>
      <c r="F437" s="16" t="str">
        <f>VLOOKUP(B437,'Compiled Agents'!A:H,6,FALSE)</f>
        <v>Yellow</v>
      </c>
      <c r="G437" s="16">
        <f>VLOOKUP($A437,'SurveyRpt_20150223 (1)'!$A$34:$AN$735,6,FALSE)</f>
        <v>16</v>
      </c>
      <c r="H437" s="16" t="str">
        <f>VLOOKUP($A437,'SurveyRpt_20150223 (1)'!$A$34:$AN$735,8,FALSE)</f>
        <v>Yes</v>
      </c>
      <c r="I437" s="16" t="str">
        <f>VLOOKUP($A437,'SurveyRpt_20150223 (1)'!$A$34:$AN$735,10,FALSE)</f>
        <v>Yes</v>
      </c>
      <c r="J437" s="16" t="str">
        <f>VLOOKUP($A437,'SurveyRpt_20150223 (1)'!$A$34:$AN$735,12,FALSE)</f>
        <v>Yes</v>
      </c>
      <c r="K437" s="16" t="str">
        <f>VLOOKUP($A437,'SurveyRpt_20150223 (1)'!$A$34:$AN$735,14,FALSE)</f>
        <v>Yes</v>
      </c>
      <c r="L437" s="16" t="str">
        <f>VLOOKUP($A437,'SurveyRpt_20150223 (1)'!$A$34:$AN$735,16,FALSE)</f>
        <v>Yes</v>
      </c>
      <c r="M437" s="16" t="str">
        <f>VLOOKUP($A437,'SurveyRpt_20150223 (1)'!$A$34:$AN$735,18,FALSE)</f>
        <v>Yes</v>
      </c>
      <c r="N437" s="16" t="str">
        <f>VLOOKUP($A437,'SurveyRpt_20150223 (1)'!$A$34:$AN$735,20,FALSE)</f>
        <v>Yes</v>
      </c>
      <c r="O437" s="16" t="str">
        <f>VLOOKUP($A437,'SurveyRpt_20150223 (1)'!$A$34:$AN$735,22,FALSE)</f>
        <v>Yes</v>
      </c>
      <c r="P437" s="16" t="str">
        <f>VLOOKUP($A437,'SurveyRpt_20150223 (1)'!$A$34:$AN$735,24,FALSE)</f>
        <v>Yes</v>
      </c>
      <c r="Q437" s="16" t="str">
        <f>VLOOKUP($A437,'SurveyRpt_20150223 (1)'!$A$34:$AN$735,26,FALSE)</f>
        <v>Yes</v>
      </c>
      <c r="R437" s="16" t="str">
        <f>VLOOKUP($A437,'SurveyRpt_20150223 (1)'!$A$34:$AN$735,28,FALSE)</f>
        <v>Yes</v>
      </c>
      <c r="S437" s="16" t="str">
        <f>VLOOKUP($A437,'SurveyRpt_20150223 (1)'!$A$34:$AN$735,30,FALSE)</f>
        <v>Yes</v>
      </c>
      <c r="T437" s="16" t="str">
        <f>VLOOKUP($A437,'SurveyRpt_20150223 (1)'!$A$34:$AN$735,32,FALSE)</f>
        <v>Yes</v>
      </c>
      <c r="U437" s="16" t="str">
        <f>VLOOKUP($A437,'SurveyRpt_20150223 (1)'!$A$34:$AN$735,34,FALSE)</f>
        <v>Yes</v>
      </c>
      <c r="V437" s="16" t="str">
        <f>VLOOKUP($A437,'SurveyRpt_20150223 (1)'!$A$34:$AN$735,36,FALSE)</f>
        <v>Yes</v>
      </c>
      <c r="W437" s="16" t="str">
        <f>VLOOKUP($A437,'SurveyRpt_20150223 (1)'!$A$34:$AN$735,38,FALSE)</f>
        <v>Yes</v>
      </c>
    </row>
    <row r="438" spans="1:23" ht="13.5" customHeight="1" x14ac:dyDescent="0.25">
      <c r="A438" s="19" t="s">
        <v>531</v>
      </c>
      <c r="B438" s="19" t="str">
        <f t="shared" si="6"/>
        <v>RMARU</v>
      </c>
      <c r="C438" s="16" t="str">
        <f>VLOOKUP(B438,'Compiled Agents'!A:H,2,FALSE)</f>
        <v>Platform</v>
      </c>
      <c r="D438" s="16" t="str">
        <f>VLOOKUP(B438,'Compiled Agents'!A:H,4,FALSE)</f>
        <v>Hyderabad</v>
      </c>
      <c r="E438" s="16" t="str">
        <f>VLOOKUP(B438,'Compiled Agents'!A:H,5,FALSE)</f>
        <v>Wave1</v>
      </c>
      <c r="F438" s="16" t="str">
        <f>VLOOKUP(B438,'Compiled Agents'!A:H,6,FALSE)</f>
        <v>Yellow</v>
      </c>
      <c r="G438" s="16">
        <f>VLOOKUP($A438,'SurveyRpt_20150223 (1)'!$A$34:$AN$735,6,FALSE)</f>
        <v>16</v>
      </c>
      <c r="H438" s="16" t="str">
        <f>VLOOKUP($A438,'SurveyRpt_20150223 (1)'!$A$34:$AN$735,8,FALSE)</f>
        <v>Yes</v>
      </c>
      <c r="I438" s="16" t="str">
        <f>VLOOKUP($A438,'SurveyRpt_20150223 (1)'!$A$34:$AN$735,10,FALSE)</f>
        <v>Yes</v>
      </c>
      <c r="J438" s="16" t="str">
        <f>VLOOKUP($A438,'SurveyRpt_20150223 (1)'!$A$34:$AN$735,12,FALSE)</f>
        <v>Yes</v>
      </c>
      <c r="K438" s="16" t="str">
        <f>VLOOKUP($A438,'SurveyRpt_20150223 (1)'!$A$34:$AN$735,14,FALSE)</f>
        <v>Yes</v>
      </c>
      <c r="L438" s="16" t="str">
        <f>VLOOKUP($A438,'SurveyRpt_20150223 (1)'!$A$34:$AN$735,16,FALSE)</f>
        <v>Yes</v>
      </c>
      <c r="M438" s="16" t="str">
        <f>VLOOKUP($A438,'SurveyRpt_20150223 (1)'!$A$34:$AN$735,18,FALSE)</f>
        <v>Yes</v>
      </c>
      <c r="N438" s="16" t="str">
        <f>VLOOKUP($A438,'SurveyRpt_20150223 (1)'!$A$34:$AN$735,20,FALSE)</f>
        <v>Yes</v>
      </c>
      <c r="O438" s="16" t="str">
        <f>VLOOKUP($A438,'SurveyRpt_20150223 (1)'!$A$34:$AN$735,22,FALSE)</f>
        <v>Yes</v>
      </c>
      <c r="P438" s="16" t="str">
        <f>VLOOKUP($A438,'SurveyRpt_20150223 (1)'!$A$34:$AN$735,24,FALSE)</f>
        <v>Yes</v>
      </c>
      <c r="Q438" s="16" t="str">
        <f>VLOOKUP($A438,'SurveyRpt_20150223 (1)'!$A$34:$AN$735,26,FALSE)</f>
        <v>Yes</v>
      </c>
      <c r="R438" s="16" t="str">
        <f>VLOOKUP($A438,'SurveyRpt_20150223 (1)'!$A$34:$AN$735,28,FALSE)</f>
        <v>Yes</v>
      </c>
      <c r="S438" s="16" t="str">
        <f>VLOOKUP($A438,'SurveyRpt_20150223 (1)'!$A$34:$AN$735,30,FALSE)</f>
        <v>Yes</v>
      </c>
      <c r="T438" s="16" t="str">
        <f>VLOOKUP($A438,'SurveyRpt_20150223 (1)'!$A$34:$AN$735,32,FALSE)</f>
        <v>Yes</v>
      </c>
      <c r="U438" s="16" t="str">
        <f>VLOOKUP($A438,'SurveyRpt_20150223 (1)'!$A$34:$AN$735,34,FALSE)</f>
        <v>Yes</v>
      </c>
      <c r="V438" s="16" t="str">
        <f>VLOOKUP($A438,'SurveyRpt_20150223 (1)'!$A$34:$AN$735,36,FALSE)</f>
        <v>Yes</v>
      </c>
      <c r="W438" s="16" t="str">
        <f>VLOOKUP($A438,'SurveyRpt_20150223 (1)'!$A$34:$AN$735,38,FALSE)</f>
        <v>Yes</v>
      </c>
    </row>
    <row r="439" spans="1:23" ht="13.5" customHeight="1" x14ac:dyDescent="0.25">
      <c r="A439" s="19" t="s">
        <v>532</v>
      </c>
      <c r="B439" s="19" t="str">
        <f t="shared" si="6"/>
        <v>MRAJAGOPAL2</v>
      </c>
      <c r="C439" s="16" t="str">
        <f>VLOOKUP(B439,'Compiled Agents'!A:H,2,FALSE)</f>
        <v>Platform</v>
      </c>
      <c r="D439" s="16" t="str">
        <f>VLOOKUP(B439,'Compiled Agents'!A:H,4,FALSE)</f>
        <v>Noida</v>
      </c>
      <c r="E439" s="16" t="str">
        <f>VLOOKUP(B439,'Compiled Agents'!A:H,5,FALSE)</f>
        <v>Wave2</v>
      </c>
      <c r="F439" s="16" t="str">
        <f>VLOOKUP(B439,'Compiled Agents'!A:H,6,FALSE)</f>
        <v>Yellow</v>
      </c>
      <c r="G439" s="16">
        <f>VLOOKUP($A439,'SurveyRpt_20150223 (1)'!$A$34:$AN$735,6,FALSE)</f>
        <v>16</v>
      </c>
      <c r="H439" s="16" t="str">
        <f>VLOOKUP($A439,'SurveyRpt_20150223 (1)'!$A$34:$AN$735,8,FALSE)</f>
        <v>Yes</v>
      </c>
      <c r="I439" s="16" t="str">
        <f>VLOOKUP($A439,'SurveyRpt_20150223 (1)'!$A$34:$AN$735,10,FALSE)</f>
        <v>Yes</v>
      </c>
      <c r="J439" s="16" t="str">
        <f>VLOOKUP($A439,'SurveyRpt_20150223 (1)'!$A$34:$AN$735,12,FALSE)</f>
        <v>Yes</v>
      </c>
      <c r="K439" s="16" t="str">
        <f>VLOOKUP($A439,'SurveyRpt_20150223 (1)'!$A$34:$AN$735,14,FALSE)</f>
        <v>Yes</v>
      </c>
      <c r="L439" s="16" t="str">
        <f>VLOOKUP($A439,'SurveyRpt_20150223 (1)'!$A$34:$AN$735,16,FALSE)</f>
        <v>Yes</v>
      </c>
      <c r="M439" s="16" t="str">
        <f>VLOOKUP($A439,'SurveyRpt_20150223 (1)'!$A$34:$AN$735,18,FALSE)</f>
        <v>Yes</v>
      </c>
      <c r="N439" s="16" t="str">
        <f>VLOOKUP($A439,'SurveyRpt_20150223 (1)'!$A$34:$AN$735,20,FALSE)</f>
        <v>Yes</v>
      </c>
      <c r="O439" s="16" t="str">
        <f>VLOOKUP($A439,'SurveyRpt_20150223 (1)'!$A$34:$AN$735,22,FALSE)</f>
        <v>Yes</v>
      </c>
      <c r="P439" s="16" t="str">
        <f>VLOOKUP($A439,'SurveyRpt_20150223 (1)'!$A$34:$AN$735,24,FALSE)</f>
        <v>Yes</v>
      </c>
      <c r="Q439" s="16" t="str">
        <f>VLOOKUP($A439,'SurveyRpt_20150223 (1)'!$A$34:$AN$735,26,FALSE)</f>
        <v>Yes</v>
      </c>
      <c r="R439" s="16" t="str">
        <f>VLOOKUP($A439,'SurveyRpt_20150223 (1)'!$A$34:$AN$735,28,FALSE)</f>
        <v>Yes</v>
      </c>
      <c r="S439" s="16" t="str">
        <f>VLOOKUP($A439,'SurveyRpt_20150223 (1)'!$A$34:$AN$735,30,FALSE)</f>
        <v>Yes</v>
      </c>
      <c r="T439" s="16" t="str">
        <f>VLOOKUP($A439,'SurveyRpt_20150223 (1)'!$A$34:$AN$735,32,FALSE)</f>
        <v>Yes</v>
      </c>
      <c r="U439" s="16" t="str">
        <f>VLOOKUP($A439,'SurveyRpt_20150223 (1)'!$A$34:$AN$735,34,FALSE)</f>
        <v>Yes</v>
      </c>
      <c r="V439" s="16" t="str">
        <f>VLOOKUP($A439,'SurveyRpt_20150223 (1)'!$A$34:$AN$735,36,FALSE)</f>
        <v>Yes</v>
      </c>
      <c r="W439" s="16" t="str">
        <f>VLOOKUP($A439,'SurveyRpt_20150223 (1)'!$A$34:$AN$735,38,FALSE)</f>
        <v>Yes</v>
      </c>
    </row>
    <row r="440" spans="1:23" ht="13.5" customHeight="1" x14ac:dyDescent="0.25">
      <c r="A440" s="19" t="s">
        <v>533</v>
      </c>
      <c r="B440" s="19" t="str">
        <f t="shared" si="6"/>
        <v>NMUKHI2</v>
      </c>
      <c r="C440" s="16" t="str">
        <f>VLOOKUP(B440,'Compiled Agents'!A:H,2,FALSE)</f>
        <v>Platform</v>
      </c>
      <c r="D440" s="16" t="str">
        <f>VLOOKUP(B440,'Compiled Agents'!A:H,4,FALSE)</f>
        <v>Noida</v>
      </c>
      <c r="E440" s="16" t="str">
        <f>VLOOKUP(B440,'Compiled Agents'!A:H,5,FALSE)</f>
        <v>Wave1</v>
      </c>
      <c r="F440" s="16" t="str">
        <f>VLOOKUP(B440,'Compiled Agents'!A:H,6,FALSE)</f>
        <v>Purple</v>
      </c>
      <c r="G440" s="16">
        <f>VLOOKUP($A440,'SurveyRpt_20150223 (1)'!$A$34:$AN$735,6,FALSE)</f>
        <v>15</v>
      </c>
      <c r="H440" s="16" t="str">
        <f>VLOOKUP($A440,'SurveyRpt_20150223 (1)'!$A$34:$AN$735,8,FALSE)</f>
        <v>Yes</v>
      </c>
      <c r="I440" s="16" t="str">
        <f>VLOOKUP($A440,'SurveyRpt_20150223 (1)'!$A$34:$AN$735,10,FALSE)</f>
        <v>Yes</v>
      </c>
      <c r="J440" s="16" t="str">
        <f>VLOOKUP($A440,'SurveyRpt_20150223 (1)'!$A$34:$AN$735,12,FALSE)</f>
        <v>Yes</v>
      </c>
      <c r="K440" s="16" t="str">
        <f>VLOOKUP($A440,'SurveyRpt_20150223 (1)'!$A$34:$AN$735,14,FALSE)</f>
        <v>Yes</v>
      </c>
      <c r="L440" s="16" t="str">
        <f>VLOOKUP($A440,'SurveyRpt_20150223 (1)'!$A$34:$AN$735,16,FALSE)</f>
        <v>Yes</v>
      </c>
      <c r="M440" s="16" t="str">
        <f>VLOOKUP($A440,'SurveyRpt_20150223 (1)'!$A$34:$AN$735,18,FALSE)</f>
        <v>Yes</v>
      </c>
      <c r="N440" s="16" t="str">
        <f>VLOOKUP($A440,'SurveyRpt_20150223 (1)'!$A$34:$AN$735,20,FALSE)</f>
        <v>Yes</v>
      </c>
      <c r="O440" s="16" t="str">
        <f>VLOOKUP($A440,'SurveyRpt_20150223 (1)'!$A$34:$AN$735,22,FALSE)</f>
        <v>Yes</v>
      </c>
      <c r="P440" s="16" t="str">
        <f>VLOOKUP($A440,'SurveyRpt_20150223 (1)'!$A$34:$AN$735,24,FALSE)</f>
        <v>No</v>
      </c>
      <c r="Q440" s="16" t="str">
        <f>VLOOKUP($A440,'SurveyRpt_20150223 (1)'!$A$34:$AN$735,26,FALSE)</f>
        <v>Yes</v>
      </c>
      <c r="R440" s="16" t="str">
        <f>VLOOKUP($A440,'SurveyRpt_20150223 (1)'!$A$34:$AN$735,28,FALSE)</f>
        <v>Yes</v>
      </c>
      <c r="S440" s="16" t="str">
        <f>VLOOKUP($A440,'SurveyRpt_20150223 (1)'!$A$34:$AN$735,30,FALSE)</f>
        <v>Yes</v>
      </c>
      <c r="T440" s="16" t="str">
        <f>VLOOKUP($A440,'SurveyRpt_20150223 (1)'!$A$34:$AN$735,32,FALSE)</f>
        <v>Yes</v>
      </c>
      <c r="U440" s="16" t="str">
        <f>VLOOKUP($A440,'SurveyRpt_20150223 (1)'!$A$34:$AN$735,34,FALSE)</f>
        <v>Yes</v>
      </c>
      <c r="V440" s="16" t="str">
        <f>VLOOKUP($A440,'SurveyRpt_20150223 (1)'!$A$34:$AN$735,36,FALSE)</f>
        <v>Yes</v>
      </c>
      <c r="W440" s="16" t="str">
        <f>VLOOKUP($A440,'SurveyRpt_20150223 (1)'!$A$34:$AN$735,38,FALSE)</f>
        <v>Yes</v>
      </c>
    </row>
    <row r="441" spans="1:23" ht="13.5" customHeight="1" x14ac:dyDescent="0.25">
      <c r="A441" s="19" t="s">
        <v>534</v>
      </c>
      <c r="B441" s="19" t="str">
        <f t="shared" si="6"/>
        <v>dgarciagrand</v>
      </c>
      <c r="C441" s="16" t="str">
        <f>VLOOKUP(B441,'Compiled Agents'!A:H,2,FALSE)</f>
        <v>Platform</v>
      </c>
      <c r="D441" s="16" t="str">
        <f>VLOOKUP(B441,'Compiled Agents'!A:H,4,FALSE)</f>
        <v>Spain</v>
      </c>
      <c r="E441" s="16" t="str">
        <f>VLOOKUP(B441,'Compiled Agents'!A:H,5,FALSE)</f>
        <v>Wave1</v>
      </c>
      <c r="F441" s="16" t="str">
        <f>VLOOKUP(B441,'Compiled Agents'!A:H,6,FALSE)</f>
        <v>Blue</v>
      </c>
      <c r="G441" s="16">
        <f>VLOOKUP($A441,'SurveyRpt_20150223 (1)'!$A$34:$AN$735,6,FALSE)</f>
        <v>10</v>
      </c>
      <c r="H441" s="16" t="str">
        <f>VLOOKUP($A441,'SurveyRpt_20150223 (1)'!$A$34:$AN$735,8,FALSE)</f>
        <v>No</v>
      </c>
      <c r="I441" s="16" t="str">
        <f>VLOOKUP($A441,'SurveyRpt_20150223 (1)'!$A$34:$AN$735,10,FALSE)</f>
        <v>Yes</v>
      </c>
      <c r="J441" s="16" t="str">
        <f>VLOOKUP($A441,'SurveyRpt_20150223 (1)'!$A$34:$AN$735,12,FALSE)</f>
        <v>Yes</v>
      </c>
      <c r="K441" s="16" t="str">
        <f>VLOOKUP($A441,'SurveyRpt_20150223 (1)'!$A$34:$AN$735,14,FALSE)</f>
        <v>No</v>
      </c>
      <c r="L441" s="16" t="str">
        <f>VLOOKUP($A441,'SurveyRpt_20150223 (1)'!$A$34:$AN$735,16,FALSE)</f>
        <v>Yes</v>
      </c>
      <c r="M441" s="16" t="str">
        <f>VLOOKUP($A441,'SurveyRpt_20150223 (1)'!$A$34:$AN$735,18,FALSE)</f>
        <v>Yes</v>
      </c>
      <c r="N441" s="16" t="str">
        <f>VLOOKUP($A441,'SurveyRpt_20150223 (1)'!$A$34:$AN$735,20,FALSE)</f>
        <v>Yes</v>
      </c>
      <c r="O441" s="16" t="str">
        <f>VLOOKUP($A441,'SurveyRpt_20150223 (1)'!$A$34:$AN$735,22,FALSE)</f>
        <v>No</v>
      </c>
      <c r="P441" s="16" t="str">
        <f>VLOOKUP($A441,'SurveyRpt_20150223 (1)'!$A$34:$AN$735,24,FALSE)</f>
        <v>No</v>
      </c>
      <c r="Q441" s="16" t="str">
        <f>VLOOKUP($A441,'SurveyRpt_20150223 (1)'!$A$34:$AN$735,26,FALSE)</f>
        <v>Yes</v>
      </c>
      <c r="R441" s="16" t="str">
        <f>VLOOKUP($A441,'SurveyRpt_20150223 (1)'!$A$34:$AN$735,28,FALSE)</f>
        <v>Yes</v>
      </c>
      <c r="S441" s="16" t="str">
        <f>VLOOKUP($A441,'SurveyRpt_20150223 (1)'!$A$34:$AN$735,30,FALSE)</f>
        <v>No</v>
      </c>
      <c r="T441" s="16" t="str">
        <f>VLOOKUP($A441,'SurveyRpt_20150223 (1)'!$A$34:$AN$735,32,FALSE)</f>
        <v>Yes</v>
      </c>
      <c r="U441" s="16" t="str">
        <f>VLOOKUP($A441,'SurveyRpt_20150223 (1)'!$A$34:$AN$735,34,FALSE)</f>
        <v>Yes</v>
      </c>
      <c r="V441" s="16" t="str">
        <f>VLOOKUP($A441,'SurveyRpt_20150223 (1)'!$A$34:$AN$735,36,FALSE)</f>
        <v>Yes</v>
      </c>
      <c r="W441" s="16" t="str">
        <f>VLOOKUP($A441,'SurveyRpt_20150223 (1)'!$A$34:$AN$735,38,FALSE)</f>
        <v>No</v>
      </c>
    </row>
    <row r="442" spans="1:23" ht="13.5" customHeight="1" x14ac:dyDescent="0.25">
      <c r="A442" s="19" t="s">
        <v>535</v>
      </c>
      <c r="B442" s="19" t="str">
        <f t="shared" si="6"/>
        <v>crato</v>
      </c>
      <c r="C442" s="16" t="str">
        <f>VLOOKUP(B442,'Compiled Agents'!A:H,2,FALSE)</f>
        <v>Platform</v>
      </c>
      <c r="D442" s="16" t="str">
        <f>VLOOKUP(B442,'Compiled Agents'!A:H,4,FALSE)</f>
        <v>Spain</v>
      </c>
      <c r="E442" s="16" t="str">
        <f>VLOOKUP(B442,'Compiled Agents'!A:H,5,FALSE)</f>
        <v>Wave1</v>
      </c>
      <c r="F442" s="16" t="str">
        <f>VLOOKUP(B442,'Compiled Agents'!A:H,6,FALSE)</f>
        <v>Purple</v>
      </c>
      <c r="G442" s="16">
        <f>VLOOKUP($A442,'SurveyRpt_20150223 (1)'!$A$34:$AN$735,6,FALSE)</f>
        <v>2</v>
      </c>
      <c r="H442" s="16" t="str">
        <f>VLOOKUP($A442,'SurveyRpt_20150223 (1)'!$A$34:$AN$735,8,FALSE)</f>
        <v>No</v>
      </c>
      <c r="I442" s="16" t="str">
        <f>VLOOKUP($A442,'SurveyRpt_20150223 (1)'!$A$34:$AN$735,10,FALSE)</f>
        <v>No</v>
      </c>
      <c r="J442" s="16" t="str">
        <f>VLOOKUP($A442,'SurveyRpt_20150223 (1)'!$A$34:$AN$735,12,FALSE)</f>
        <v>No</v>
      </c>
      <c r="K442" s="16" t="str">
        <f>VLOOKUP($A442,'SurveyRpt_20150223 (1)'!$A$34:$AN$735,14,FALSE)</f>
        <v>No</v>
      </c>
      <c r="L442" s="16" t="str">
        <f>VLOOKUP($A442,'SurveyRpt_20150223 (1)'!$A$34:$AN$735,16,FALSE)</f>
        <v>No</v>
      </c>
      <c r="M442" s="16" t="str">
        <f>VLOOKUP($A442,'SurveyRpt_20150223 (1)'!$A$34:$AN$735,18,FALSE)</f>
        <v>No</v>
      </c>
      <c r="N442" s="16" t="str">
        <f>VLOOKUP($A442,'SurveyRpt_20150223 (1)'!$A$34:$AN$735,20,FALSE)</f>
        <v>No</v>
      </c>
      <c r="O442" s="16" t="str">
        <f>VLOOKUP($A442,'SurveyRpt_20150223 (1)'!$A$34:$AN$735,22,FALSE)</f>
        <v>No</v>
      </c>
      <c r="P442" s="16" t="str">
        <f>VLOOKUP($A442,'SurveyRpt_20150223 (1)'!$A$34:$AN$735,24,FALSE)</f>
        <v>No</v>
      </c>
      <c r="Q442" s="16" t="str">
        <f>VLOOKUP($A442,'SurveyRpt_20150223 (1)'!$A$34:$AN$735,26,FALSE)</f>
        <v>No</v>
      </c>
      <c r="R442" s="16" t="str">
        <f>VLOOKUP($A442,'SurveyRpt_20150223 (1)'!$A$34:$AN$735,28,FALSE)</f>
        <v>No</v>
      </c>
      <c r="S442" s="16" t="str">
        <f>VLOOKUP($A442,'SurveyRpt_20150223 (1)'!$A$34:$AN$735,30,FALSE)</f>
        <v>Yes</v>
      </c>
      <c r="T442" s="16" t="str">
        <f>VLOOKUP($A442,'SurveyRpt_20150223 (1)'!$A$34:$AN$735,32,FALSE)</f>
        <v>Yes</v>
      </c>
      <c r="U442" s="16" t="str">
        <f>VLOOKUP($A442,'SurveyRpt_20150223 (1)'!$A$34:$AN$735,34,FALSE)</f>
        <v>No</v>
      </c>
      <c r="V442" s="16" t="str">
        <f>VLOOKUP($A442,'SurveyRpt_20150223 (1)'!$A$34:$AN$735,36,FALSE)</f>
        <v>No</v>
      </c>
      <c r="W442" s="16" t="str">
        <f>VLOOKUP($A442,'SurveyRpt_20150223 (1)'!$A$34:$AN$735,38,FALSE)</f>
        <v>No</v>
      </c>
    </row>
    <row r="443" spans="1:23" ht="13.5" customHeight="1" x14ac:dyDescent="0.25">
      <c r="A443" s="19" t="s">
        <v>536</v>
      </c>
      <c r="B443" s="19" t="str">
        <f t="shared" si="6"/>
        <v>NRATTANLAL</v>
      </c>
      <c r="C443" s="16" t="str">
        <f>VLOOKUP(B443,'Compiled Agents'!A:H,2,FALSE)</f>
        <v>Workplace</v>
      </c>
      <c r="D443" s="16" t="str">
        <f>VLOOKUP(B443,'Compiled Agents'!A:H,4,FALSE)</f>
        <v>Hyderabad</v>
      </c>
      <c r="E443" s="16" t="str">
        <f>VLOOKUP(B443,'Compiled Agents'!A:H,5,FALSE)</f>
        <v>Wave2</v>
      </c>
      <c r="F443" s="16" t="str">
        <f>VLOOKUP(B443,'Compiled Agents'!A:H,6,FALSE)</f>
        <v>Blue</v>
      </c>
      <c r="G443" s="16">
        <f>VLOOKUP($A443,'SurveyRpt_20150223 (1)'!$A$34:$AN$735,6,FALSE)</f>
        <v>15</v>
      </c>
      <c r="H443" s="16" t="str">
        <f>VLOOKUP($A443,'SurveyRpt_20150223 (1)'!$A$34:$AN$735,8,FALSE)</f>
        <v>Yes</v>
      </c>
      <c r="I443" s="16" t="str">
        <f>VLOOKUP($A443,'SurveyRpt_20150223 (1)'!$A$34:$AN$735,10,FALSE)</f>
        <v>Yes</v>
      </c>
      <c r="J443" s="16" t="str">
        <f>VLOOKUP($A443,'SurveyRpt_20150223 (1)'!$A$34:$AN$735,12,FALSE)</f>
        <v>Yes</v>
      </c>
      <c r="K443" s="16" t="str">
        <f>VLOOKUP($A443,'SurveyRpt_20150223 (1)'!$A$34:$AN$735,14,FALSE)</f>
        <v>No</v>
      </c>
      <c r="L443" s="16" t="str">
        <f>VLOOKUP($A443,'SurveyRpt_20150223 (1)'!$A$34:$AN$735,16,FALSE)</f>
        <v>Yes</v>
      </c>
      <c r="M443" s="16" t="str">
        <f>VLOOKUP($A443,'SurveyRpt_20150223 (1)'!$A$34:$AN$735,18,FALSE)</f>
        <v>Yes</v>
      </c>
      <c r="N443" s="16" t="str">
        <f>VLOOKUP($A443,'SurveyRpt_20150223 (1)'!$A$34:$AN$735,20,FALSE)</f>
        <v>Yes</v>
      </c>
      <c r="O443" s="16" t="str">
        <f>VLOOKUP($A443,'SurveyRpt_20150223 (1)'!$A$34:$AN$735,22,FALSE)</f>
        <v>Yes</v>
      </c>
      <c r="P443" s="16" t="str">
        <f>VLOOKUP($A443,'SurveyRpt_20150223 (1)'!$A$34:$AN$735,24,FALSE)</f>
        <v>Yes</v>
      </c>
      <c r="Q443" s="16" t="str">
        <f>VLOOKUP($A443,'SurveyRpt_20150223 (1)'!$A$34:$AN$735,26,FALSE)</f>
        <v>Yes</v>
      </c>
      <c r="R443" s="16" t="str">
        <f>VLOOKUP($A443,'SurveyRpt_20150223 (1)'!$A$34:$AN$735,28,FALSE)</f>
        <v>Yes</v>
      </c>
      <c r="S443" s="16" t="str">
        <f>VLOOKUP($A443,'SurveyRpt_20150223 (1)'!$A$34:$AN$735,30,FALSE)</f>
        <v>Yes</v>
      </c>
      <c r="T443" s="16" t="str">
        <f>VLOOKUP($A443,'SurveyRpt_20150223 (1)'!$A$34:$AN$735,32,FALSE)</f>
        <v>Yes</v>
      </c>
      <c r="U443" s="16" t="str">
        <f>VLOOKUP($A443,'SurveyRpt_20150223 (1)'!$A$34:$AN$735,34,FALSE)</f>
        <v>Yes</v>
      </c>
      <c r="V443" s="16" t="str">
        <f>VLOOKUP($A443,'SurveyRpt_20150223 (1)'!$A$34:$AN$735,36,FALSE)</f>
        <v>Yes</v>
      </c>
      <c r="W443" s="16" t="str">
        <f>VLOOKUP($A443,'SurveyRpt_20150223 (1)'!$A$34:$AN$735,38,FALSE)</f>
        <v>Yes</v>
      </c>
    </row>
    <row r="444" spans="1:23" ht="13.5" customHeight="1" x14ac:dyDescent="0.25">
      <c r="A444" s="19" t="s">
        <v>537</v>
      </c>
      <c r="B444" s="19" t="str">
        <f t="shared" si="6"/>
        <v>SSRINIVASANM</v>
      </c>
      <c r="C444" s="16" t="str">
        <f>VLOOKUP(B444,'Compiled Agents'!A:H,2,FALSE)</f>
        <v>Workplace</v>
      </c>
      <c r="D444" s="16" t="str">
        <f>VLOOKUP(B444,'Compiled Agents'!A:H,4,FALSE)</f>
        <v>Noida</v>
      </c>
      <c r="E444" s="16" t="str">
        <f>VLOOKUP(B444,'Compiled Agents'!A:H,5,FALSE)</f>
        <v>Wave1</v>
      </c>
      <c r="F444" s="16" t="str">
        <f>VLOOKUP(B444,'Compiled Agents'!A:H,6,FALSE)</f>
        <v>Yellow</v>
      </c>
      <c r="G444" s="16">
        <f>VLOOKUP($A444,'SurveyRpt_20150223 (1)'!$A$34:$AN$735,6,FALSE)</f>
        <v>16</v>
      </c>
      <c r="H444" s="16" t="str">
        <f>VLOOKUP($A444,'SurveyRpt_20150223 (1)'!$A$34:$AN$735,8,FALSE)</f>
        <v>Yes</v>
      </c>
      <c r="I444" s="16" t="str">
        <f>VLOOKUP($A444,'SurveyRpt_20150223 (1)'!$A$34:$AN$735,10,FALSE)</f>
        <v>Yes</v>
      </c>
      <c r="J444" s="16" t="str">
        <f>VLOOKUP($A444,'SurveyRpt_20150223 (1)'!$A$34:$AN$735,12,FALSE)</f>
        <v>Yes</v>
      </c>
      <c r="K444" s="16" t="str">
        <f>VLOOKUP($A444,'SurveyRpt_20150223 (1)'!$A$34:$AN$735,14,FALSE)</f>
        <v>Yes</v>
      </c>
      <c r="L444" s="16" t="str">
        <f>VLOOKUP($A444,'SurveyRpt_20150223 (1)'!$A$34:$AN$735,16,FALSE)</f>
        <v>Yes</v>
      </c>
      <c r="M444" s="16" t="str">
        <f>VLOOKUP($A444,'SurveyRpt_20150223 (1)'!$A$34:$AN$735,18,FALSE)</f>
        <v>Yes</v>
      </c>
      <c r="N444" s="16" t="str">
        <f>VLOOKUP($A444,'SurveyRpt_20150223 (1)'!$A$34:$AN$735,20,FALSE)</f>
        <v>Yes</v>
      </c>
      <c r="O444" s="16" t="str">
        <f>VLOOKUP($A444,'SurveyRpt_20150223 (1)'!$A$34:$AN$735,22,FALSE)</f>
        <v>Yes</v>
      </c>
      <c r="P444" s="16" t="str">
        <f>VLOOKUP($A444,'SurveyRpt_20150223 (1)'!$A$34:$AN$735,24,FALSE)</f>
        <v>Yes</v>
      </c>
      <c r="Q444" s="16" t="str">
        <f>VLOOKUP($A444,'SurveyRpt_20150223 (1)'!$A$34:$AN$735,26,FALSE)</f>
        <v>Yes</v>
      </c>
      <c r="R444" s="16" t="str">
        <f>VLOOKUP($A444,'SurveyRpt_20150223 (1)'!$A$34:$AN$735,28,FALSE)</f>
        <v>Yes</v>
      </c>
      <c r="S444" s="16" t="str">
        <f>VLOOKUP($A444,'SurveyRpt_20150223 (1)'!$A$34:$AN$735,30,FALSE)</f>
        <v>Yes</v>
      </c>
      <c r="T444" s="16" t="str">
        <f>VLOOKUP($A444,'SurveyRpt_20150223 (1)'!$A$34:$AN$735,32,FALSE)</f>
        <v>Yes</v>
      </c>
      <c r="U444" s="16" t="str">
        <f>VLOOKUP($A444,'SurveyRpt_20150223 (1)'!$A$34:$AN$735,34,FALSE)</f>
        <v>Yes</v>
      </c>
      <c r="V444" s="16" t="str">
        <f>VLOOKUP($A444,'SurveyRpt_20150223 (1)'!$A$34:$AN$735,36,FALSE)</f>
        <v>Yes</v>
      </c>
      <c r="W444" s="16" t="str">
        <f>VLOOKUP($A444,'SurveyRpt_20150223 (1)'!$A$34:$AN$735,38,FALSE)</f>
        <v>Yes</v>
      </c>
    </row>
    <row r="445" spans="1:23" ht="13.5" customHeight="1" x14ac:dyDescent="0.25">
      <c r="A445" s="19" t="s">
        <v>538</v>
      </c>
      <c r="B445" s="19" t="str">
        <f t="shared" si="6"/>
        <v>RNARAGAM</v>
      </c>
      <c r="C445" s="16" t="str">
        <f>VLOOKUP(B445,'Compiled Agents'!A:H,2,FALSE)</f>
        <v>Platform</v>
      </c>
      <c r="D445" s="16" t="str">
        <f>VLOOKUP(B445,'Compiled Agents'!A:H,4,FALSE)</f>
        <v>Noida</v>
      </c>
      <c r="E445" s="16" t="str">
        <f>VLOOKUP(B445,'Compiled Agents'!A:H,5,FALSE)</f>
        <v>Wave2</v>
      </c>
      <c r="F445" s="16" t="str">
        <f>VLOOKUP(B445,'Compiled Agents'!A:H,6,FALSE)</f>
        <v>Yellow</v>
      </c>
      <c r="G445" s="16">
        <f>VLOOKUP($A445,'SurveyRpt_20150223 (1)'!$A$34:$AN$735,6,FALSE)</f>
        <v>16</v>
      </c>
      <c r="H445" s="16" t="str">
        <f>VLOOKUP($A445,'SurveyRpt_20150223 (1)'!$A$34:$AN$735,8,FALSE)</f>
        <v>Yes</v>
      </c>
      <c r="I445" s="16" t="str">
        <f>VLOOKUP($A445,'SurveyRpt_20150223 (1)'!$A$34:$AN$735,10,FALSE)</f>
        <v>Yes</v>
      </c>
      <c r="J445" s="16" t="str">
        <f>VLOOKUP($A445,'SurveyRpt_20150223 (1)'!$A$34:$AN$735,12,FALSE)</f>
        <v>Yes</v>
      </c>
      <c r="K445" s="16" t="str">
        <f>VLOOKUP($A445,'SurveyRpt_20150223 (1)'!$A$34:$AN$735,14,FALSE)</f>
        <v>Yes</v>
      </c>
      <c r="L445" s="16" t="str">
        <f>VLOOKUP($A445,'SurveyRpt_20150223 (1)'!$A$34:$AN$735,16,FALSE)</f>
        <v>Yes</v>
      </c>
      <c r="M445" s="16" t="str">
        <f>VLOOKUP($A445,'SurveyRpt_20150223 (1)'!$A$34:$AN$735,18,FALSE)</f>
        <v>Yes</v>
      </c>
      <c r="N445" s="16" t="str">
        <f>VLOOKUP($A445,'SurveyRpt_20150223 (1)'!$A$34:$AN$735,20,FALSE)</f>
        <v>Yes</v>
      </c>
      <c r="O445" s="16" t="str">
        <f>VLOOKUP($A445,'SurveyRpt_20150223 (1)'!$A$34:$AN$735,22,FALSE)</f>
        <v>Yes</v>
      </c>
      <c r="P445" s="16" t="str">
        <f>VLOOKUP($A445,'SurveyRpt_20150223 (1)'!$A$34:$AN$735,24,FALSE)</f>
        <v>Yes</v>
      </c>
      <c r="Q445" s="16" t="str">
        <f>VLOOKUP($A445,'SurveyRpt_20150223 (1)'!$A$34:$AN$735,26,FALSE)</f>
        <v>Yes</v>
      </c>
      <c r="R445" s="16" t="str">
        <f>VLOOKUP($A445,'SurveyRpt_20150223 (1)'!$A$34:$AN$735,28,FALSE)</f>
        <v>Yes</v>
      </c>
      <c r="S445" s="16" t="str">
        <f>VLOOKUP($A445,'SurveyRpt_20150223 (1)'!$A$34:$AN$735,30,FALSE)</f>
        <v>Yes</v>
      </c>
      <c r="T445" s="16" t="str">
        <f>VLOOKUP($A445,'SurveyRpt_20150223 (1)'!$A$34:$AN$735,32,FALSE)</f>
        <v>Yes</v>
      </c>
      <c r="U445" s="16" t="str">
        <f>VLOOKUP($A445,'SurveyRpt_20150223 (1)'!$A$34:$AN$735,34,FALSE)</f>
        <v>Yes</v>
      </c>
      <c r="V445" s="16" t="str">
        <f>VLOOKUP($A445,'SurveyRpt_20150223 (1)'!$A$34:$AN$735,36,FALSE)</f>
        <v>Yes</v>
      </c>
      <c r="W445" s="16" t="str">
        <f>VLOOKUP($A445,'SurveyRpt_20150223 (1)'!$A$34:$AN$735,38,FALSE)</f>
        <v>Yes</v>
      </c>
    </row>
    <row r="446" spans="1:23" ht="13.5" customHeight="1" x14ac:dyDescent="0.25">
      <c r="A446" s="19" t="s">
        <v>539</v>
      </c>
      <c r="B446" s="19" t="str">
        <f t="shared" si="6"/>
        <v>EASHOKJAIN</v>
      </c>
      <c r="C446" s="16" t="str">
        <f>VLOOKUP(B446,'Compiled Agents'!A:H,2,FALSE)</f>
        <v>Platform</v>
      </c>
      <c r="D446" s="16" t="str">
        <f>VLOOKUP(B446,'Compiled Agents'!A:H,4,FALSE)</f>
        <v>Hyderabad</v>
      </c>
      <c r="E446" s="16" t="str">
        <f>VLOOKUP(B446,'Compiled Agents'!A:H,5,FALSE)</f>
        <v>Wave1</v>
      </c>
      <c r="F446" s="16" t="str">
        <f>VLOOKUP(B446,'Compiled Agents'!A:H,6,FALSE)</f>
        <v>Orange</v>
      </c>
      <c r="G446" s="16">
        <f>VLOOKUP($A446,'SurveyRpt_20150223 (1)'!$A$34:$AN$735,6,FALSE)</f>
        <v>2</v>
      </c>
      <c r="H446" s="16" t="str">
        <f>VLOOKUP($A446,'SurveyRpt_20150223 (1)'!$A$34:$AN$735,8,FALSE)</f>
        <v>No</v>
      </c>
      <c r="I446" s="16" t="str">
        <f>VLOOKUP($A446,'SurveyRpt_20150223 (1)'!$A$34:$AN$735,10,FALSE)</f>
        <v>No</v>
      </c>
      <c r="J446" s="16" t="str">
        <f>VLOOKUP($A446,'SurveyRpt_20150223 (1)'!$A$34:$AN$735,12,FALSE)</f>
        <v>No</v>
      </c>
      <c r="K446" s="16" t="str">
        <f>VLOOKUP($A446,'SurveyRpt_20150223 (1)'!$A$34:$AN$735,14,FALSE)</f>
        <v>No</v>
      </c>
      <c r="L446" s="16" t="str">
        <f>VLOOKUP($A446,'SurveyRpt_20150223 (1)'!$A$34:$AN$735,16,FALSE)</f>
        <v>No</v>
      </c>
      <c r="M446" s="16" t="str">
        <f>VLOOKUP($A446,'SurveyRpt_20150223 (1)'!$A$34:$AN$735,18,FALSE)</f>
        <v>No</v>
      </c>
      <c r="N446" s="16" t="str">
        <f>VLOOKUP($A446,'SurveyRpt_20150223 (1)'!$A$34:$AN$735,20,FALSE)</f>
        <v>No</v>
      </c>
      <c r="O446" s="16" t="str">
        <f>VLOOKUP($A446,'SurveyRpt_20150223 (1)'!$A$34:$AN$735,22,FALSE)</f>
        <v>No</v>
      </c>
      <c r="P446" s="16" t="str">
        <f>VLOOKUP($A446,'SurveyRpt_20150223 (1)'!$A$34:$AN$735,24,FALSE)</f>
        <v>No</v>
      </c>
      <c r="Q446" s="16" t="str">
        <f>VLOOKUP($A446,'SurveyRpt_20150223 (1)'!$A$34:$AN$735,26,FALSE)</f>
        <v>Yes</v>
      </c>
      <c r="R446" s="16" t="str">
        <f>VLOOKUP($A446,'SurveyRpt_20150223 (1)'!$A$34:$AN$735,28,FALSE)</f>
        <v>No</v>
      </c>
      <c r="S446" s="16" t="str">
        <f>VLOOKUP($A446,'SurveyRpt_20150223 (1)'!$A$34:$AN$735,30,FALSE)</f>
        <v>Yes</v>
      </c>
      <c r="T446" s="16" t="str">
        <f>VLOOKUP($A446,'SurveyRpt_20150223 (1)'!$A$34:$AN$735,32,FALSE)</f>
        <v>No</v>
      </c>
      <c r="U446" s="16" t="str">
        <f>VLOOKUP($A446,'SurveyRpt_20150223 (1)'!$A$34:$AN$735,34,FALSE)</f>
        <v>No</v>
      </c>
      <c r="V446" s="16" t="str">
        <f>VLOOKUP($A446,'SurveyRpt_20150223 (1)'!$A$34:$AN$735,36,FALSE)</f>
        <v>No</v>
      </c>
      <c r="W446" s="16" t="str">
        <f>VLOOKUP($A446,'SurveyRpt_20150223 (1)'!$A$34:$AN$735,38,FALSE)</f>
        <v>No</v>
      </c>
    </row>
    <row r="447" spans="1:23" ht="13.5" customHeight="1" x14ac:dyDescent="0.25">
      <c r="A447" s="19" t="s">
        <v>540</v>
      </c>
      <c r="B447" s="19" t="str">
        <f t="shared" si="6"/>
        <v>SDAS75</v>
      </c>
      <c r="C447" s="16" t="str">
        <f>VLOOKUP(B447,'Compiled Agents'!A:H,2,FALSE)</f>
        <v>Platform</v>
      </c>
      <c r="D447" s="16" t="str">
        <f>VLOOKUP(B447,'Compiled Agents'!A:H,4,FALSE)</f>
        <v>Noida</v>
      </c>
      <c r="E447" s="16" t="str">
        <f>VLOOKUP(B447,'Compiled Agents'!A:H,5,FALSE)</f>
        <v>Wave2</v>
      </c>
      <c r="F447" s="16" t="str">
        <f>VLOOKUP(B447,'Compiled Agents'!A:H,6,FALSE)</f>
        <v>Orange</v>
      </c>
      <c r="G447" s="16">
        <f>VLOOKUP($A447,'SurveyRpt_20150223 (1)'!$A$34:$AN$735,6,FALSE)</f>
        <v>16</v>
      </c>
      <c r="H447" s="16" t="str">
        <f>VLOOKUP($A447,'SurveyRpt_20150223 (1)'!$A$34:$AN$735,8,FALSE)</f>
        <v>Yes</v>
      </c>
      <c r="I447" s="16" t="str">
        <f>VLOOKUP($A447,'SurveyRpt_20150223 (1)'!$A$34:$AN$735,10,FALSE)</f>
        <v>Yes</v>
      </c>
      <c r="J447" s="16" t="str">
        <f>VLOOKUP($A447,'SurveyRpt_20150223 (1)'!$A$34:$AN$735,12,FALSE)</f>
        <v>Yes</v>
      </c>
      <c r="K447" s="16" t="str">
        <f>VLOOKUP($A447,'SurveyRpt_20150223 (1)'!$A$34:$AN$735,14,FALSE)</f>
        <v>Yes</v>
      </c>
      <c r="L447" s="16" t="str">
        <f>VLOOKUP($A447,'SurveyRpt_20150223 (1)'!$A$34:$AN$735,16,FALSE)</f>
        <v>Yes</v>
      </c>
      <c r="M447" s="16" t="str">
        <f>VLOOKUP($A447,'SurveyRpt_20150223 (1)'!$A$34:$AN$735,18,FALSE)</f>
        <v>Yes</v>
      </c>
      <c r="N447" s="16" t="str">
        <f>VLOOKUP($A447,'SurveyRpt_20150223 (1)'!$A$34:$AN$735,20,FALSE)</f>
        <v>Yes</v>
      </c>
      <c r="O447" s="16" t="str">
        <f>VLOOKUP($A447,'SurveyRpt_20150223 (1)'!$A$34:$AN$735,22,FALSE)</f>
        <v>Yes</v>
      </c>
      <c r="P447" s="16" t="str">
        <f>VLOOKUP($A447,'SurveyRpt_20150223 (1)'!$A$34:$AN$735,24,FALSE)</f>
        <v>Yes</v>
      </c>
      <c r="Q447" s="16" t="str">
        <f>VLOOKUP($A447,'SurveyRpt_20150223 (1)'!$A$34:$AN$735,26,FALSE)</f>
        <v>Yes</v>
      </c>
      <c r="R447" s="16" t="str">
        <f>VLOOKUP($A447,'SurveyRpt_20150223 (1)'!$A$34:$AN$735,28,FALSE)</f>
        <v>Yes</v>
      </c>
      <c r="S447" s="16" t="str">
        <f>VLOOKUP($A447,'SurveyRpt_20150223 (1)'!$A$34:$AN$735,30,FALSE)</f>
        <v>Yes</v>
      </c>
      <c r="T447" s="16" t="str">
        <f>VLOOKUP($A447,'SurveyRpt_20150223 (1)'!$A$34:$AN$735,32,FALSE)</f>
        <v>Yes</v>
      </c>
      <c r="U447" s="16" t="str">
        <f>VLOOKUP($A447,'SurveyRpt_20150223 (1)'!$A$34:$AN$735,34,FALSE)</f>
        <v>Yes</v>
      </c>
      <c r="V447" s="16" t="str">
        <f>VLOOKUP($A447,'SurveyRpt_20150223 (1)'!$A$34:$AN$735,36,FALSE)</f>
        <v>Yes</v>
      </c>
      <c r="W447" s="16" t="str">
        <f>VLOOKUP($A447,'SurveyRpt_20150223 (1)'!$A$34:$AN$735,38,FALSE)</f>
        <v>Yes</v>
      </c>
    </row>
    <row r="448" spans="1:23" ht="13.5" customHeight="1" x14ac:dyDescent="0.25">
      <c r="A448" s="19" t="s">
        <v>541</v>
      </c>
      <c r="B448" s="19" t="str">
        <f t="shared" si="6"/>
        <v>AUPADHYAY7</v>
      </c>
      <c r="C448" s="16" t="str">
        <f>VLOOKUP(B448,'Compiled Agents'!A:H,2,FALSE)</f>
        <v>Workplace</v>
      </c>
      <c r="D448" s="16" t="str">
        <f>VLOOKUP(B448,'Compiled Agents'!A:H,4,FALSE)</f>
        <v>Noida</v>
      </c>
      <c r="E448" s="16" t="str">
        <f>VLOOKUP(B448,'Compiled Agents'!A:H,5,FALSE)</f>
        <v>Wave2</v>
      </c>
      <c r="F448" s="16" t="str">
        <f>VLOOKUP(B448,'Compiled Agents'!A:H,6,FALSE)</f>
        <v>Yellow</v>
      </c>
      <c r="G448" s="16">
        <f>VLOOKUP($A448,'SurveyRpt_20150223 (1)'!$A$34:$AN$735,6,FALSE)</f>
        <v>16</v>
      </c>
      <c r="H448" s="16" t="str">
        <f>VLOOKUP($A448,'SurveyRpt_20150223 (1)'!$A$34:$AN$735,8,FALSE)</f>
        <v>Yes</v>
      </c>
      <c r="I448" s="16" t="str">
        <f>VLOOKUP($A448,'SurveyRpt_20150223 (1)'!$A$34:$AN$735,10,FALSE)</f>
        <v>Yes</v>
      </c>
      <c r="J448" s="16" t="str">
        <f>VLOOKUP($A448,'SurveyRpt_20150223 (1)'!$A$34:$AN$735,12,FALSE)</f>
        <v>Yes</v>
      </c>
      <c r="K448" s="16" t="str">
        <f>VLOOKUP($A448,'SurveyRpt_20150223 (1)'!$A$34:$AN$735,14,FALSE)</f>
        <v>Yes</v>
      </c>
      <c r="L448" s="16" t="str">
        <f>VLOOKUP($A448,'SurveyRpt_20150223 (1)'!$A$34:$AN$735,16,FALSE)</f>
        <v>Yes</v>
      </c>
      <c r="M448" s="16" t="str">
        <f>VLOOKUP($A448,'SurveyRpt_20150223 (1)'!$A$34:$AN$735,18,FALSE)</f>
        <v>Yes</v>
      </c>
      <c r="N448" s="16" t="str">
        <f>VLOOKUP($A448,'SurveyRpt_20150223 (1)'!$A$34:$AN$735,20,FALSE)</f>
        <v>Yes</v>
      </c>
      <c r="O448" s="16" t="str">
        <f>VLOOKUP($A448,'SurveyRpt_20150223 (1)'!$A$34:$AN$735,22,FALSE)</f>
        <v>Yes</v>
      </c>
      <c r="P448" s="16" t="str">
        <f>VLOOKUP($A448,'SurveyRpt_20150223 (1)'!$A$34:$AN$735,24,FALSE)</f>
        <v>Yes</v>
      </c>
      <c r="Q448" s="16" t="str">
        <f>VLOOKUP($A448,'SurveyRpt_20150223 (1)'!$A$34:$AN$735,26,FALSE)</f>
        <v>Yes</v>
      </c>
      <c r="R448" s="16" t="str">
        <f>VLOOKUP($A448,'SurveyRpt_20150223 (1)'!$A$34:$AN$735,28,FALSE)</f>
        <v>Yes</v>
      </c>
      <c r="S448" s="16" t="str">
        <f>VLOOKUP($A448,'SurveyRpt_20150223 (1)'!$A$34:$AN$735,30,FALSE)</f>
        <v>Yes</v>
      </c>
      <c r="T448" s="16" t="str">
        <f>VLOOKUP($A448,'SurveyRpt_20150223 (1)'!$A$34:$AN$735,32,FALSE)</f>
        <v>Yes</v>
      </c>
      <c r="U448" s="16" t="str">
        <f>VLOOKUP($A448,'SurveyRpt_20150223 (1)'!$A$34:$AN$735,34,FALSE)</f>
        <v>Yes</v>
      </c>
      <c r="V448" s="16" t="str">
        <f>VLOOKUP($A448,'SurveyRpt_20150223 (1)'!$A$34:$AN$735,36,FALSE)</f>
        <v>Yes</v>
      </c>
      <c r="W448" s="16" t="str">
        <f>VLOOKUP($A448,'SurveyRpt_20150223 (1)'!$A$34:$AN$735,38,FALSE)</f>
        <v>Yes</v>
      </c>
    </row>
    <row r="449" spans="1:23" ht="13.5" customHeight="1" x14ac:dyDescent="0.25">
      <c r="A449" s="19" t="s">
        <v>542</v>
      </c>
      <c r="B449" s="19" t="str">
        <f t="shared" si="6"/>
        <v>PDWIVEDI7</v>
      </c>
      <c r="C449" s="16" t="str">
        <f>VLOOKUP(B449,'Compiled Agents'!A:H,2,FALSE)</f>
        <v>Workplace</v>
      </c>
      <c r="D449" s="16" t="str">
        <f>VLOOKUP(B449,'Compiled Agents'!A:H,4,FALSE)</f>
        <v>Noida</v>
      </c>
      <c r="E449" s="16" t="str">
        <f>VLOOKUP(B449,'Compiled Agents'!A:H,5,FALSE)</f>
        <v>Wave2</v>
      </c>
      <c r="F449" s="16" t="str">
        <f>VLOOKUP(B449,'Compiled Agents'!A:H,6,FALSE)</f>
        <v>Yellow</v>
      </c>
      <c r="G449" s="16">
        <f>VLOOKUP($A449,'SurveyRpt_20150223 (1)'!$A$34:$AN$735,6,FALSE)</f>
        <v>16</v>
      </c>
      <c r="H449" s="16" t="str">
        <f>VLOOKUP($A449,'SurveyRpt_20150223 (1)'!$A$34:$AN$735,8,FALSE)</f>
        <v>Yes</v>
      </c>
      <c r="I449" s="16" t="str">
        <f>VLOOKUP($A449,'SurveyRpt_20150223 (1)'!$A$34:$AN$735,10,FALSE)</f>
        <v>Yes</v>
      </c>
      <c r="J449" s="16" t="str">
        <f>VLOOKUP($A449,'SurveyRpt_20150223 (1)'!$A$34:$AN$735,12,FALSE)</f>
        <v>Yes</v>
      </c>
      <c r="K449" s="16" t="str">
        <f>VLOOKUP($A449,'SurveyRpt_20150223 (1)'!$A$34:$AN$735,14,FALSE)</f>
        <v>Yes</v>
      </c>
      <c r="L449" s="16" t="str">
        <f>VLOOKUP($A449,'SurveyRpt_20150223 (1)'!$A$34:$AN$735,16,FALSE)</f>
        <v>Yes</v>
      </c>
      <c r="M449" s="16" t="str">
        <f>VLOOKUP($A449,'SurveyRpt_20150223 (1)'!$A$34:$AN$735,18,FALSE)</f>
        <v>Yes</v>
      </c>
      <c r="N449" s="16" t="str">
        <f>VLOOKUP($A449,'SurveyRpt_20150223 (1)'!$A$34:$AN$735,20,FALSE)</f>
        <v>Yes</v>
      </c>
      <c r="O449" s="16" t="str">
        <f>VLOOKUP($A449,'SurveyRpt_20150223 (1)'!$A$34:$AN$735,22,FALSE)</f>
        <v>Yes</v>
      </c>
      <c r="P449" s="16" t="str">
        <f>VLOOKUP($A449,'SurveyRpt_20150223 (1)'!$A$34:$AN$735,24,FALSE)</f>
        <v>Yes</v>
      </c>
      <c r="Q449" s="16" t="str">
        <f>VLOOKUP($A449,'SurveyRpt_20150223 (1)'!$A$34:$AN$735,26,FALSE)</f>
        <v>Yes</v>
      </c>
      <c r="R449" s="16" t="str">
        <f>VLOOKUP($A449,'SurveyRpt_20150223 (1)'!$A$34:$AN$735,28,FALSE)</f>
        <v>Yes</v>
      </c>
      <c r="S449" s="16" t="str">
        <f>VLOOKUP($A449,'SurveyRpt_20150223 (1)'!$A$34:$AN$735,30,FALSE)</f>
        <v>Yes</v>
      </c>
      <c r="T449" s="16" t="str">
        <f>VLOOKUP($A449,'SurveyRpt_20150223 (1)'!$A$34:$AN$735,32,FALSE)</f>
        <v>Yes</v>
      </c>
      <c r="U449" s="16" t="str">
        <f>VLOOKUP($A449,'SurveyRpt_20150223 (1)'!$A$34:$AN$735,34,FALSE)</f>
        <v>Yes</v>
      </c>
      <c r="V449" s="16" t="str">
        <f>VLOOKUP($A449,'SurveyRpt_20150223 (1)'!$A$34:$AN$735,36,FALSE)</f>
        <v>Yes</v>
      </c>
      <c r="W449" s="16" t="str">
        <f>VLOOKUP($A449,'SurveyRpt_20150223 (1)'!$A$34:$AN$735,38,FALSE)</f>
        <v>Yes</v>
      </c>
    </row>
    <row r="450" spans="1:23" ht="13.5" customHeight="1" x14ac:dyDescent="0.25">
      <c r="A450" s="19" t="s">
        <v>543</v>
      </c>
      <c r="B450" s="19" t="str">
        <f t="shared" si="6"/>
        <v>STHANGAVEL6</v>
      </c>
      <c r="C450" s="16" t="str">
        <f>VLOOKUP(B450,'Compiled Agents'!A:H,2,FALSE)</f>
        <v>Workplace</v>
      </c>
      <c r="D450" s="16" t="str">
        <f>VLOOKUP(B450,'Compiled Agents'!A:H,4,FALSE)</f>
        <v>Noida</v>
      </c>
      <c r="E450" s="16" t="str">
        <f>VLOOKUP(B450,'Compiled Agents'!A:H,5,FALSE)</f>
        <v>Wave2</v>
      </c>
      <c r="F450" s="16" t="str">
        <f>VLOOKUP(B450,'Compiled Agents'!A:H,6,FALSE)</f>
        <v>Blue</v>
      </c>
      <c r="G450" s="16">
        <f>VLOOKUP($A450,'SurveyRpt_20150223 (1)'!$A$34:$AN$735,6,FALSE)</f>
        <v>16</v>
      </c>
      <c r="H450" s="16" t="str">
        <f>VLOOKUP($A450,'SurveyRpt_20150223 (1)'!$A$34:$AN$735,8,FALSE)</f>
        <v>Yes</v>
      </c>
      <c r="I450" s="16" t="str">
        <f>VLOOKUP($A450,'SurveyRpt_20150223 (1)'!$A$34:$AN$735,10,FALSE)</f>
        <v>Yes</v>
      </c>
      <c r="J450" s="16" t="str">
        <f>VLOOKUP($A450,'SurveyRpt_20150223 (1)'!$A$34:$AN$735,12,FALSE)</f>
        <v>Yes</v>
      </c>
      <c r="K450" s="16" t="str">
        <f>VLOOKUP($A450,'SurveyRpt_20150223 (1)'!$A$34:$AN$735,14,FALSE)</f>
        <v>Yes</v>
      </c>
      <c r="L450" s="16" t="str">
        <f>VLOOKUP($A450,'SurveyRpt_20150223 (1)'!$A$34:$AN$735,16,FALSE)</f>
        <v>Yes</v>
      </c>
      <c r="M450" s="16" t="str">
        <f>VLOOKUP($A450,'SurveyRpt_20150223 (1)'!$A$34:$AN$735,18,FALSE)</f>
        <v>Yes</v>
      </c>
      <c r="N450" s="16" t="str">
        <f>VLOOKUP($A450,'SurveyRpt_20150223 (1)'!$A$34:$AN$735,20,FALSE)</f>
        <v>Yes</v>
      </c>
      <c r="O450" s="16" t="str">
        <f>VLOOKUP($A450,'SurveyRpt_20150223 (1)'!$A$34:$AN$735,22,FALSE)</f>
        <v>Yes</v>
      </c>
      <c r="P450" s="16" t="str">
        <f>VLOOKUP($A450,'SurveyRpt_20150223 (1)'!$A$34:$AN$735,24,FALSE)</f>
        <v>Yes</v>
      </c>
      <c r="Q450" s="16" t="str">
        <f>VLOOKUP($A450,'SurveyRpt_20150223 (1)'!$A$34:$AN$735,26,FALSE)</f>
        <v>Yes</v>
      </c>
      <c r="R450" s="16" t="str">
        <f>VLOOKUP($A450,'SurveyRpt_20150223 (1)'!$A$34:$AN$735,28,FALSE)</f>
        <v>Yes</v>
      </c>
      <c r="S450" s="16" t="str">
        <f>VLOOKUP($A450,'SurveyRpt_20150223 (1)'!$A$34:$AN$735,30,FALSE)</f>
        <v>Yes</v>
      </c>
      <c r="T450" s="16" t="str">
        <f>VLOOKUP($A450,'SurveyRpt_20150223 (1)'!$A$34:$AN$735,32,FALSE)</f>
        <v>Yes</v>
      </c>
      <c r="U450" s="16" t="str">
        <f>VLOOKUP($A450,'SurveyRpt_20150223 (1)'!$A$34:$AN$735,34,FALSE)</f>
        <v>Yes</v>
      </c>
      <c r="V450" s="16" t="str">
        <f>VLOOKUP($A450,'SurveyRpt_20150223 (1)'!$A$34:$AN$735,36,FALSE)</f>
        <v>Yes</v>
      </c>
      <c r="W450" s="16" t="str">
        <f>VLOOKUP($A450,'SurveyRpt_20150223 (1)'!$A$34:$AN$735,38,FALSE)</f>
        <v>Yes</v>
      </c>
    </row>
    <row r="451" spans="1:23" ht="13.5" customHeight="1" x14ac:dyDescent="0.25">
      <c r="A451" s="19" t="s">
        <v>544</v>
      </c>
      <c r="B451" s="19" t="str">
        <f t="shared" ref="B451:B514" si="7">TRIM(LEFT(A451,FIND("@",A451)-1))</f>
        <v>CCHAUBEY</v>
      </c>
      <c r="C451" s="16" t="str">
        <f>VLOOKUP(B451,'Compiled Agents'!A:H,2,FALSE)</f>
        <v>Workplace</v>
      </c>
      <c r="D451" s="16" t="str">
        <f>VLOOKUP(B451,'Compiled Agents'!A:H,4,FALSE)</f>
        <v>Noida</v>
      </c>
      <c r="E451" s="16" t="str">
        <f>VLOOKUP(B451,'Compiled Agents'!A:H,5,FALSE)</f>
        <v>Wave2</v>
      </c>
      <c r="F451" s="16" t="str">
        <f>VLOOKUP(B451,'Compiled Agents'!A:H,6,FALSE)</f>
        <v>Orange</v>
      </c>
      <c r="G451" s="16">
        <f>VLOOKUP($A451,'SurveyRpt_20150223 (1)'!$A$34:$AN$735,6,FALSE)</f>
        <v>15</v>
      </c>
      <c r="H451" s="16" t="str">
        <f>VLOOKUP($A451,'SurveyRpt_20150223 (1)'!$A$34:$AN$735,8,FALSE)</f>
        <v>Yes</v>
      </c>
      <c r="I451" s="16" t="str">
        <f>VLOOKUP($A451,'SurveyRpt_20150223 (1)'!$A$34:$AN$735,10,FALSE)</f>
        <v>Yes</v>
      </c>
      <c r="J451" s="16" t="str">
        <f>VLOOKUP($A451,'SurveyRpt_20150223 (1)'!$A$34:$AN$735,12,FALSE)</f>
        <v>Yes</v>
      </c>
      <c r="K451" s="16" t="str">
        <f>VLOOKUP($A451,'SurveyRpt_20150223 (1)'!$A$34:$AN$735,14,FALSE)</f>
        <v>Yes</v>
      </c>
      <c r="L451" s="16" t="str">
        <f>VLOOKUP($A451,'SurveyRpt_20150223 (1)'!$A$34:$AN$735,16,FALSE)</f>
        <v>Yes</v>
      </c>
      <c r="M451" s="16" t="str">
        <f>VLOOKUP($A451,'SurveyRpt_20150223 (1)'!$A$34:$AN$735,18,FALSE)</f>
        <v>Yes</v>
      </c>
      <c r="N451" s="16" t="str">
        <f>VLOOKUP($A451,'SurveyRpt_20150223 (1)'!$A$34:$AN$735,20,FALSE)</f>
        <v>Yes</v>
      </c>
      <c r="O451" s="16" t="str">
        <f>VLOOKUP($A451,'SurveyRpt_20150223 (1)'!$A$34:$AN$735,22,FALSE)</f>
        <v>Yes</v>
      </c>
      <c r="P451" s="16" t="str">
        <f>VLOOKUP($A451,'SurveyRpt_20150223 (1)'!$A$34:$AN$735,24,FALSE)</f>
        <v>Yes</v>
      </c>
      <c r="Q451" s="16" t="str">
        <f>VLOOKUP($A451,'SurveyRpt_20150223 (1)'!$A$34:$AN$735,26,FALSE)</f>
        <v>Yes</v>
      </c>
      <c r="R451" s="16" t="str">
        <f>VLOOKUP($A451,'SurveyRpt_20150223 (1)'!$A$34:$AN$735,28,FALSE)</f>
        <v>Yes</v>
      </c>
      <c r="S451" s="16" t="str">
        <f>VLOOKUP($A451,'SurveyRpt_20150223 (1)'!$A$34:$AN$735,30,FALSE)</f>
        <v>Yes</v>
      </c>
      <c r="T451" s="16" t="str">
        <f>VLOOKUP($A451,'SurveyRpt_20150223 (1)'!$A$34:$AN$735,32,FALSE)</f>
        <v>Yes</v>
      </c>
      <c r="U451" s="16" t="str">
        <f>VLOOKUP($A451,'SurveyRpt_20150223 (1)'!$A$34:$AN$735,34,FALSE)</f>
        <v>Yes</v>
      </c>
      <c r="V451" s="16" t="str">
        <f>VLOOKUP($A451,'SurveyRpt_20150223 (1)'!$A$34:$AN$735,36,FALSE)</f>
        <v>Yes</v>
      </c>
      <c r="W451" s="16" t="str">
        <f>VLOOKUP($A451,'SurveyRpt_20150223 (1)'!$A$34:$AN$735,38,FALSE)</f>
        <v>No</v>
      </c>
    </row>
    <row r="452" spans="1:23" ht="13.5" customHeight="1" x14ac:dyDescent="0.25">
      <c r="A452" s="19" t="s">
        <v>545</v>
      </c>
      <c r="B452" s="19" t="str">
        <f t="shared" si="7"/>
        <v>DSAMBYAL</v>
      </c>
      <c r="C452" s="16" t="str">
        <f>VLOOKUP(B452,'Compiled Agents'!A:H,2,FALSE)</f>
        <v>Platform</v>
      </c>
      <c r="D452" s="16" t="str">
        <f>VLOOKUP(B452,'Compiled Agents'!A:H,4,FALSE)</f>
        <v>Noida</v>
      </c>
      <c r="E452" s="16" t="str">
        <f>VLOOKUP(B452,'Compiled Agents'!A:H,5,FALSE)</f>
        <v>Wave2</v>
      </c>
      <c r="F452" s="16" t="str">
        <f>VLOOKUP(B452,'Compiled Agents'!A:H,6,FALSE)</f>
        <v>Orange</v>
      </c>
      <c r="G452" s="16">
        <f>VLOOKUP($A452,'SurveyRpt_20150223 (1)'!$A$34:$AN$735,6,FALSE)</f>
        <v>16</v>
      </c>
      <c r="H452" s="16" t="str">
        <f>VLOOKUP($A452,'SurveyRpt_20150223 (1)'!$A$34:$AN$735,8,FALSE)</f>
        <v>Yes</v>
      </c>
      <c r="I452" s="16" t="str">
        <f>VLOOKUP($A452,'SurveyRpt_20150223 (1)'!$A$34:$AN$735,10,FALSE)</f>
        <v>Yes</v>
      </c>
      <c r="J452" s="16" t="str">
        <f>VLOOKUP($A452,'SurveyRpt_20150223 (1)'!$A$34:$AN$735,12,FALSE)</f>
        <v>Yes</v>
      </c>
      <c r="K452" s="16" t="str">
        <f>VLOOKUP($A452,'SurveyRpt_20150223 (1)'!$A$34:$AN$735,14,FALSE)</f>
        <v>Yes</v>
      </c>
      <c r="L452" s="16" t="str">
        <f>VLOOKUP($A452,'SurveyRpt_20150223 (1)'!$A$34:$AN$735,16,FALSE)</f>
        <v>Yes</v>
      </c>
      <c r="M452" s="16" t="str">
        <f>VLOOKUP($A452,'SurveyRpt_20150223 (1)'!$A$34:$AN$735,18,FALSE)</f>
        <v>Yes</v>
      </c>
      <c r="N452" s="16" t="str">
        <f>VLOOKUP($A452,'SurveyRpt_20150223 (1)'!$A$34:$AN$735,20,FALSE)</f>
        <v>Yes</v>
      </c>
      <c r="O452" s="16" t="str">
        <f>VLOOKUP($A452,'SurveyRpt_20150223 (1)'!$A$34:$AN$735,22,FALSE)</f>
        <v>Yes</v>
      </c>
      <c r="P452" s="16" t="str">
        <f>VLOOKUP($A452,'SurveyRpt_20150223 (1)'!$A$34:$AN$735,24,FALSE)</f>
        <v>Yes</v>
      </c>
      <c r="Q452" s="16" t="str">
        <f>VLOOKUP($A452,'SurveyRpt_20150223 (1)'!$A$34:$AN$735,26,FALSE)</f>
        <v>Yes</v>
      </c>
      <c r="R452" s="16" t="str">
        <f>VLOOKUP($A452,'SurveyRpt_20150223 (1)'!$A$34:$AN$735,28,FALSE)</f>
        <v>Yes</v>
      </c>
      <c r="S452" s="16" t="str">
        <f>VLOOKUP($A452,'SurveyRpt_20150223 (1)'!$A$34:$AN$735,30,FALSE)</f>
        <v>Yes</v>
      </c>
      <c r="T452" s="16" t="str">
        <f>VLOOKUP($A452,'SurveyRpt_20150223 (1)'!$A$34:$AN$735,32,FALSE)</f>
        <v>Yes</v>
      </c>
      <c r="U452" s="16" t="str">
        <f>VLOOKUP($A452,'SurveyRpt_20150223 (1)'!$A$34:$AN$735,34,FALSE)</f>
        <v>Yes</v>
      </c>
      <c r="V452" s="16" t="str">
        <f>VLOOKUP($A452,'SurveyRpt_20150223 (1)'!$A$34:$AN$735,36,FALSE)</f>
        <v>Yes</v>
      </c>
      <c r="W452" s="16" t="str">
        <f>VLOOKUP($A452,'SurveyRpt_20150223 (1)'!$A$34:$AN$735,38,FALSE)</f>
        <v>Yes</v>
      </c>
    </row>
    <row r="453" spans="1:23" ht="13.5" customHeight="1" x14ac:dyDescent="0.25">
      <c r="A453" s="19" t="s">
        <v>546</v>
      </c>
      <c r="B453" s="19" t="str">
        <f t="shared" si="7"/>
        <v>AMOHANTY8</v>
      </c>
      <c r="C453" s="16" t="str">
        <f>VLOOKUP(B453,'Compiled Agents'!A:H,2,FALSE)</f>
        <v>Workplace</v>
      </c>
      <c r="D453" s="16" t="str">
        <f>VLOOKUP(B453,'Compiled Agents'!A:H,4,FALSE)</f>
        <v>Noida</v>
      </c>
      <c r="E453" s="16" t="str">
        <f>VLOOKUP(B453,'Compiled Agents'!A:H,5,FALSE)</f>
        <v>Wave2</v>
      </c>
      <c r="F453" s="16" t="str">
        <f>VLOOKUP(B453,'Compiled Agents'!A:H,6,FALSE)</f>
        <v>Orange</v>
      </c>
      <c r="G453" s="16">
        <f>VLOOKUP($A453,'SurveyRpt_20150223 (1)'!$A$34:$AN$735,6,FALSE)</f>
        <v>3</v>
      </c>
      <c r="H453" s="16" t="str">
        <f>VLOOKUP($A453,'SurveyRpt_20150223 (1)'!$A$34:$AN$735,8,FALSE)</f>
        <v>Yes</v>
      </c>
      <c r="I453" s="16" t="str">
        <f>VLOOKUP($A453,'SurveyRpt_20150223 (1)'!$A$34:$AN$735,10,FALSE)</f>
        <v>No</v>
      </c>
      <c r="J453" s="16" t="str">
        <f>VLOOKUP($A453,'SurveyRpt_20150223 (1)'!$A$34:$AN$735,12,FALSE)</f>
        <v>No</v>
      </c>
      <c r="K453" s="16" t="str">
        <f>VLOOKUP($A453,'SurveyRpt_20150223 (1)'!$A$34:$AN$735,14,FALSE)</f>
        <v>No</v>
      </c>
      <c r="L453" s="16" t="str">
        <f>VLOOKUP($A453,'SurveyRpt_20150223 (1)'!$A$34:$AN$735,16,FALSE)</f>
        <v>No</v>
      </c>
      <c r="M453" s="16" t="str">
        <f>VLOOKUP($A453,'SurveyRpt_20150223 (1)'!$A$34:$AN$735,18,FALSE)</f>
        <v>No</v>
      </c>
      <c r="N453" s="16" t="str">
        <f>VLOOKUP($A453,'SurveyRpt_20150223 (1)'!$A$34:$AN$735,20,FALSE)</f>
        <v>No</v>
      </c>
      <c r="O453" s="16" t="str">
        <f>VLOOKUP($A453,'SurveyRpt_20150223 (1)'!$A$34:$AN$735,22,FALSE)</f>
        <v>No</v>
      </c>
      <c r="P453" s="16" t="str">
        <f>VLOOKUP($A453,'SurveyRpt_20150223 (1)'!$A$34:$AN$735,24,FALSE)</f>
        <v>No</v>
      </c>
      <c r="Q453" s="16" t="str">
        <f>VLOOKUP($A453,'SurveyRpt_20150223 (1)'!$A$34:$AN$735,26,FALSE)</f>
        <v>No</v>
      </c>
      <c r="R453" s="16" t="str">
        <f>VLOOKUP($A453,'SurveyRpt_20150223 (1)'!$A$34:$AN$735,28,FALSE)</f>
        <v>No</v>
      </c>
      <c r="S453" s="16" t="str">
        <f>VLOOKUP($A453,'SurveyRpt_20150223 (1)'!$A$34:$AN$735,30,FALSE)</f>
        <v>Yes</v>
      </c>
      <c r="T453" s="16" t="str">
        <f>VLOOKUP($A453,'SurveyRpt_20150223 (1)'!$A$34:$AN$735,32,FALSE)</f>
        <v>No</v>
      </c>
      <c r="U453" s="16" t="str">
        <f>VLOOKUP($A453,'SurveyRpt_20150223 (1)'!$A$34:$AN$735,34,FALSE)</f>
        <v>Yes</v>
      </c>
      <c r="V453" s="16" t="str">
        <f>VLOOKUP($A453,'SurveyRpt_20150223 (1)'!$A$34:$AN$735,36,FALSE)</f>
        <v>No</v>
      </c>
      <c r="W453" s="16" t="str">
        <f>VLOOKUP($A453,'SurveyRpt_20150223 (1)'!$A$34:$AN$735,38,FALSE)</f>
        <v>No</v>
      </c>
    </row>
    <row r="454" spans="1:23" ht="13.5" customHeight="1" x14ac:dyDescent="0.25">
      <c r="A454" s="19" t="s">
        <v>547</v>
      </c>
      <c r="B454" s="19" t="str">
        <f t="shared" si="7"/>
        <v>KBASKAR3</v>
      </c>
      <c r="C454" s="16" t="str">
        <f>VLOOKUP(B454,'Compiled Agents'!A:H,2,FALSE)</f>
        <v>Platform</v>
      </c>
      <c r="D454" s="16" t="str">
        <f>VLOOKUP(B454,'Compiled Agents'!A:H,4,FALSE)</f>
        <v>Noida</v>
      </c>
      <c r="E454" s="16" t="str">
        <f>VLOOKUP(B454,'Compiled Agents'!A:H,5,FALSE)</f>
        <v>Wave2</v>
      </c>
      <c r="F454" s="16" t="str">
        <f>VLOOKUP(B454,'Compiled Agents'!A:H,6,FALSE)</f>
        <v>Yellow</v>
      </c>
      <c r="G454" s="16">
        <f>VLOOKUP($A454,'SurveyRpt_20150223 (1)'!$A$34:$AN$735,6,FALSE)</f>
        <v>16</v>
      </c>
      <c r="H454" s="16" t="str">
        <f>VLOOKUP($A454,'SurveyRpt_20150223 (1)'!$A$34:$AN$735,8,FALSE)</f>
        <v>Yes</v>
      </c>
      <c r="I454" s="16" t="str">
        <f>VLOOKUP($A454,'SurveyRpt_20150223 (1)'!$A$34:$AN$735,10,FALSE)</f>
        <v>Yes</v>
      </c>
      <c r="J454" s="16" t="str">
        <f>VLOOKUP($A454,'SurveyRpt_20150223 (1)'!$A$34:$AN$735,12,FALSE)</f>
        <v>Yes</v>
      </c>
      <c r="K454" s="16" t="str">
        <f>VLOOKUP($A454,'SurveyRpt_20150223 (1)'!$A$34:$AN$735,14,FALSE)</f>
        <v>Yes</v>
      </c>
      <c r="L454" s="16" t="str">
        <f>VLOOKUP($A454,'SurveyRpt_20150223 (1)'!$A$34:$AN$735,16,FALSE)</f>
        <v>Yes</v>
      </c>
      <c r="M454" s="16" t="str">
        <f>VLOOKUP($A454,'SurveyRpt_20150223 (1)'!$A$34:$AN$735,18,FALSE)</f>
        <v>Yes</v>
      </c>
      <c r="N454" s="16" t="str">
        <f>VLOOKUP($A454,'SurveyRpt_20150223 (1)'!$A$34:$AN$735,20,FALSE)</f>
        <v>Yes</v>
      </c>
      <c r="O454" s="16" t="str">
        <f>VLOOKUP($A454,'SurveyRpt_20150223 (1)'!$A$34:$AN$735,22,FALSE)</f>
        <v>Yes</v>
      </c>
      <c r="P454" s="16" t="str">
        <f>VLOOKUP($A454,'SurveyRpt_20150223 (1)'!$A$34:$AN$735,24,FALSE)</f>
        <v>Yes</v>
      </c>
      <c r="Q454" s="16" t="str">
        <f>VLOOKUP($A454,'SurveyRpt_20150223 (1)'!$A$34:$AN$735,26,FALSE)</f>
        <v>Yes</v>
      </c>
      <c r="R454" s="16" t="str">
        <f>VLOOKUP($A454,'SurveyRpt_20150223 (1)'!$A$34:$AN$735,28,FALSE)</f>
        <v>Yes</v>
      </c>
      <c r="S454" s="16" t="str">
        <f>VLOOKUP($A454,'SurveyRpt_20150223 (1)'!$A$34:$AN$735,30,FALSE)</f>
        <v>Yes</v>
      </c>
      <c r="T454" s="16" t="str">
        <f>VLOOKUP($A454,'SurveyRpt_20150223 (1)'!$A$34:$AN$735,32,FALSE)</f>
        <v>Yes</v>
      </c>
      <c r="U454" s="16" t="str">
        <f>VLOOKUP($A454,'SurveyRpt_20150223 (1)'!$A$34:$AN$735,34,FALSE)</f>
        <v>Yes</v>
      </c>
      <c r="V454" s="16" t="str">
        <f>VLOOKUP($A454,'SurveyRpt_20150223 (1)'!$A$34:$AN$735,36,FALSE)</f>
        <v>Yes</v>
      </c>
      <c r="W454" s="16" t="str">
        <f>VLOOKUP($A454,'SurveyRpt_20150223 (1)'!$A$34:$AN$735,38,FALSE)</f>
        <v>Yes</v>
      </c>
    </row>
    <row r="455" spans="1:23" ht="13.5" customHeight="1" x14ac:dyDescent="0.25">
      <c r="A455" s="19" t="s">
        <v>548</v>
      </c>
      <c r="B455" s="19" t="str">
        <f t="shared" si="7"/>
        <v>KBHOWMICK</v>
      </c>
      <c r="C455" s="16" t="str">
        <f>VLOOKUP(B455,'Compiled Agents'!A:H,2,FALSE)</f>
        <v>Platform</v>
      </c>
      <c r="D455" s="16" t="str">
        <f>VLOOKUP(B455,'Compiled Agents'!A:H,4,FALSE)</f>
        <v>Noida</v>
      </c>
      <c r="E455" s="16" t="str">
        <f>VLOOKUP(B455,'Compiled Agents'!A:H,5,FALSE)</f>
        <v>Wave2</v>
      </c>
      <c r="F455" s="16" t="str">
        <f>VLOOKUP(B455,'Compiled Agents'!A:H,6,FALSE)</f>
        <v>Yellow</v>
      </c>
      <c r="G455" s="16">
        <f>VLOOKUP($A455,'SurveyRpt_20150223 (1)'!$A$34:$AN$735,6,FALSE)</f>
        <v>9</v>
      </c>
      <c r="H455" s="16" t="str">
        <f>VLOOKUP($A455,'SurveyRpt_20150223 (1)'!$A$34:$AN$735,8,FALSE)</f>
        <v>Yes</v>
      </c>
      <c r="I455" s="16" t="str">
        <f>VLOOKUP($A455,'SurveyRpt_20150223 (1)'!$A$34:$AN$735,10,FALSE)</f>
        <v>Yes</v>
      </c>
      <c r="J455" s="16" t="str">
        <f>VLOOKUP($A455,'SurveyRpt_20150223 (1)'!$A$34:$AN$735,12,FALSE)</f>
        <v>No</v>
      </c>
      <c r="K455" s="16" t="str">
        <f>VLOOKUP($A455,'SurveyRpt_20150223 (1)'!$A$34:$AN$735,14,FALSE)</f>
        <v>No</v>
      </c>
      <c r="L455" s="16" t="str">
        <f>VLOOKUP($A455,'SurveyRpt_20150223 (1)'!$A$34:$AN$735,16,FALSE)</f>
        <v>No</v>
      </c>
      <c r="M455" s="16" t="str">
        <f>VLOOKUP($A455,'SurveyRpt_20150223 (1)'!$A$34:$AN$735,18,FALSE)</f>
        <v>No</v>
      </c>
      <c r="N455" s="16" t="str">
        <f>VLOOKUP($A455,'SurveyRpt_20150223 (1)'!$A$34:$AN$735,20,FALSE)</f>
        <v>No</v>
      </c>
      <c r="O455" s="16" t="str">
        <f>VLOOKUP($A455,'SurveyRpt_20150223 (1)'!$A$34:$AN$735,22,FALSE)</f>
        <v>No</v>
      </c>
      <c r="P455" s="16" t="str">
        <f>VLOOKUP($A455,'SurveyRpt_20150223 (1)'!$A$34:$AN$735,24,FALSE)</f>
        <v>Yes</v>
      </c>
      <c r="Q455" s="16" t="str">
        <f>VLOOKUP($A455,'SurveyRpt_20150223 (1)'!$A$34:$AN$735,26,FALSE)</f>
        <v>Yes</v>
      </c>
      <c r="R455" s="16" t="str">
        <f>VLOOKUP($A455,'SurveyRpt_20150223 (1)'!$A$34:$AN$735,28,FALSE)</f>
        <v>Yes</v>
      </c>
      <c r="S455" s="16" t="str">
        <f>VLOOKUP($A455,'SurveyRpt_20150223 (1)'!$A$34:$AN$735,30,FALSE)</f>
        <v>Yes</v>
      </c>
      <c r="T455" s="16" t="str">
        <f>VLOOKUP($A455,'SurveyRpt_20150223 (1)'!$A$34:$AN$735,32,FALSE)</f>
        <v>Yes</v>
      </c>
      <c r="U455" s="16" t="str">
        <f>VLOOKUP($A455,'SurveyRpt_20150223 (1)'!$A$34:$AN$735,34,FALSE)</f>
        <v>No</v>
      </c>
      <c r="V455" s="16" t="str">
        <f>VLOOKUP($A455,'SurveyRpt_20150223 (1)'!$A$34:$AN$735,36,FALSE)</f>
        <v>Yes</v>
      </c>
      <c r="W455" s="16" t="str">
        <f>VLOOKUP($A455,'SurveyRpt_20150223 (1)'!$A$34:$AN$735,38,FALSE)</f>
        <v>Yes</v>
      </c>
    </row>
    <row r="456" spans="1:23" ht="13.5" customHeight="1" x14ac:dyDescent="0.25">
      <c r="A456" s="19" t="s">
        <v>549</v>
      </c>
      <c r="B456" s="19" t="str">
        <f t="shared" si="7"/>
        <v>rpastormoro</v>
      </c>
      <c r="C456" s="16" t="str">
        <f>VLOOKUP(B456,'Compiled Agents'!A:H,2,FALSE)</f>
        <v>Platform</v>
      </c>
      <c r="D456" s="16" t="str">
        <f>VLOOKUP(B456,'Compiled Agents'!A:H,4,FALSE)</f>
        <v>Spain</v>
      </c>
      <c r="E456" s="16" t="str">
        <f>VLOOKUP(B456,'Compiled Agents'!A:H,5,FALSE)</f>
        <v>Wave1</v>
      </c>
      <c r="F456" s="16" t="str">
        <f>VLOOKUP(B456,'Compiled Agents'!A:H,6,FALSE)</f>
        <v>Orange</v>
      </c>
      <c r="G456" s="16">
        <f>VLOOKUP($A456,'SurveyRpt_20150223 (1)'!$A$34:$AN$735,6,FALSE)</f>
        <v>9</v>
      </c>
      <c r="H456" s="16" t="str">
        <f>VLOOKUP($A456,'SurveyRpt_20150223 (1)'!$A$34:$AN$735,8,FALSE)</f>
        <v>Yes</v>
      </c>
      <c r="I456" s="16" t="str">
        <f>VLOOKUP($A456,'SurveyRpt_20150223 (1)'!$A$34:$AN$735,10,FALSE)</f>
        <v>No</v>
      </c>
      <c r="J456" s="16" t="str">
        <f>VLOOKUP($A456,'SurveyRpt_20150223 (1)'!$A$34:$AN$735,12,FALSE)</f>
        <v>Yes</v>
      </c>
      <c r="K456" s="16" t="str">
        <f>VLOOKUP($A456,'SurveyRpt_20150223 (1)'!$A$34:$AN$735,14,FALSE)</f>
        <v>No</v>
      </c>
      <c r="L456" s="16" t="str">
        <f>VLOOKUP($A456,'SurveyRpt_20150223 (1)'!$A$34:$AN$735,16,FALSE)</f>
        <v>Yes</v>
      </c>
      <c r="M456" s="16" t="str">
        <f>VLOOKUP($A456,'SurveyRpt_20150223 (1)'!$A$34:$AN$735,18,FALSE)</f>
        <v>Yes</v>
      </c>
      <c r="N456" s="16" t="str">
        <f>VLOOKUP($A456,'SurveyRpt_20150223 (1)'!$A$34:$AN$735,20,FALSE)</f>
        <v>No</v>
      </c>
      <c r="O456" s="16" t="str">
        <f>VLOOKUP($A456,'SurveyRpt_20150223 (1)'!$A$34:$AN$735,22,FALSE)</f>
        <v>No</v>
      </c>
      <c r="P456" s="16" t="str">
        <f>VLOOKUP($A456,'SurveyRpt_20150223 (1)'!$A$34:$AN$735,24,FALSE)</f>
        <v>No</v>
      </c>
      <c r="Q456" s="16" t="str">
        <f>VLOOKUP($A456,'SurveyRpt_20150223 (1)'!$A$34:$AN$735,26,FALSE)</f>
        <v>No</v>
      </c>
      <c r="R456" s="16" t="str">
        <f>VLOOKUP($A456,'SurveyRpt_20150223 (1)'!$A$34:$AN$735,28,FALSE)</f>
        <v>Yes</v>
      </c>
      <c r="S456" s="16" t="str">
        <f>VLOOKUP($A456,'SurveyRpt_20150223 (1)'!$A$34:$AN$735,30,FALSE)</f>
        <v>Yes</v>
      </c>
      <c r="T456" s="16" t="str">
        <f>VLOOKUP($A456,'SurveyRpt_20150223 (1)'!$A$34:$AN$735,32,FALSE)</f>
        <v>Yes</v>
      </c>
      <c r="U456" s="16" t="str">
        <f>VLOOKUP($A456,'SurveyRpt_20150223 (1)'!$A$34:$AN$735,34,FALSE)</f>
        <v>No</v>
      </c>
      <c r="V456" s="16" t="str">
        <f>VLOOKUP($A456,'SurveyRpt_20150223 (1)'!$A$34:$AN$735,36,FALSE)</f>
        <v>Yes</v>
      </c>
      <c r="W456" s="16" t="str">
        <f>VLOOKUP($A456,'SurveyRpt_20150223 (1)'!$A$34:$AN$735,38,FALSE)</f>
        <v>Yes</v>
      </c>
    </row>
    <row r="457" spans="1:23" ht="13.5" customHeight="1" x14ac:dyDescent="0.25">
      <c r="A457" s="19" t="s">
        <v>550</v>
      </c>
      <c r="B457" s="19" t="str">
        <f t="shared" si="7"/>
        <v>AMISHRA68</v>
      </c>
      <c r="C457" s="16" t="str">
        <f>VLOOKUP(B457,'Compiled Agents'!A:H,2,FALSE)</f>
        <v>Platform</v>
      </c>
      <c r="D457" s="16" t="str">
        <f>VLOOKUP(B457,'Compiled Agents'!A:H,4,FALSE)</f>
        <v>Noida</v>
      </c>
      <c r="E457" s="16" t="str">
        <f>VLOOKUP(B457,'Compiled Agents'!A:H,5,FALSE)</f>
        <v>Wave2</v>
      </c>
      <c r="F457" s="16" t="str">
        <f>VLOOKUP(B457,'Compiled Agents'!A:H,6,FALSE)</f>
        <v>Yellow</v>
      </c>
      <c r="G457" s="16">
        <f>VLOOKUP($A457,'SurveyRpt_20150223 (1)'!$A$34:$AN$735,6,FALSE)</f>
        <v>10</v>
      </c>
      <c r="H457" s="16" t="str">
        <f>VLOOKUP($A457,'SurveyRpt_20150223 (1)'!$A$34:$AN$735,8,FALSE)</f>
        <v>Yes</v>
      </c>
      <c r="I457" s="16" t="str">
        <f>VLOOKUP($A457,'SurveyRpt_20150223 (1)'!$A$34:$AN$735,10,FALSE)</f>
        <v>Yes</v>
      </c>
      <c r="J457" s="16" t="str">
        <f>VLOOKUP($A457,'SurveyRpt_20150223 (1)'!$A$34:$AN$735,12,FALSE)</f>
        <v>No</v>
      </c>
      <c r="K457" s="16" t="str">
        <f>VLOOKUP($A457,'SurveyRpt_20150223 (1)'!$A$34:$AN$735,14,FALSE)</f>
        <v>Yes</v>
      </c>
      <c r="L457" s="16" t="str">
        <f>VLOOKUP($A457,'SurveyRpt_20150223 (1)'!$A$34:$AN$735,16,FALSE)</f>
        <v>No</v>
      </c>
      <c r="M457" s="16" t="str">
        <f>VLOOKUP($A457,'SurveyRpt_20150223 (1)'!$A$34:$AN$735,18,FALSE)</f>
        <v>Yes</v>
      </c>
      <c r="N457" s="16" t="str">
        <f>VLOOKUP($A457,'SurveyRpt_20150223 (1)'!$A$34:$AN$735,20,FALSE)</f>
        <v>No</v>
      </c>
      <c r="O457" s="16" t="str">
        <f>VLOOKUP($A457,'SurveyRpt_20150223 (1)'!$A$34:$AN$735,22,FALSE)</f>
        <v>Yes</v>
      </c>
      <c r="P457" s="16" t="str">
        <f>VLOOKUP($A457,'SurveyRpt_20150223 (1)'!$A$34:$AN$735,24,FALSE)</f>
        <v>Yes</v>
      </c>
      <c r="Q457" s="16" t="str">
        <f>VLOOKUP($A457,'SurveyRpt_20150223 (1)'!$A$34:$AN$735,26,FALSE)</f>
        <v>Yes</v>
      </c>
      <c r="R457" s="16" t="str">
        <f>VLOOKUP($A457,'SurveyRpt_20150223 (1)'!$A$34:$AN$735,28,FALSE)</f>
        <v>Yes</v>
      </c>
      <c r="S457" s="16" t="str">
        <f>VLOOKUP($A457,'SurveyRpt_20150223 (1)'!$A$34:$AN$735,30,FALSE)</f>
        <v>Yes</v>
      </c>
      <c r="T457" s="16" t="str">
        <f>VLOOKUP($A457,'SurveyRpt_20150223 (1)'!$A$34:$AN$735,32,FALSE)</f>
        <v>No</v>
      </c>
      <c r="U457" s="16" t="str">
        <f>VLOOKUP($A457,'SurveyRpt_20150223 (1)'!$A$34:$AN$735,34,FALSE)</f>
        <v>Yes</v>
      </c>
      <c r="V457" s="16" t="str">
        <f>VLOOKUP($A457,'SurveyRpt_20150223 (1)'!$A$34:$AN$735,36,FALSE)</f>
        <v>No</v>
      </c>
      <c r="W457" s="16" t="str">
        <f>VLOOKUP($A457,'SurveyRpt_20150223 (1)'!$A$34:$AN$735,38,FALSE)</f>
        <v>No</v>
      </c>
    </row>
    <row r="458" spans="1:23" ht="13.5" customHeight="1" x14ac:dyDescent="0.25">
      <c r="A458" s="19" t="s">
        <v>551</v>
      </c>
      <c r="B458" s="19" t="str">
        <f t="shared" si="7"/>
        <v>dkhatana</v>
      </c>
      <c r="C458" s="16" t="str">
        <f>VLOOKUP(B458,'Compiled Agents'!A:H,2,FALSE)</f>
        <v>Platform</v>
      </c>
      <c r="D458" s="16" t="str">
        <f>VLOOKUP(B458,'Compiled Agents'!A:H,4,FALSE)</f>
        <v>Noida</v>
      </c>
      <c r="E458" s="16" t="str">
        <f>VLOOKUP(B458,'Compiled Agents'!A:H,5,FALSE)</f>
        <v>Wave1</v>
      </c>
      <c r="F458" s="16" t="str">
        <f>VLOOKUP(B458,'Compiled Agents'!A:H,6,FALSE)</f>
        <v>Purple</v>
      </c>
      <c r="G458" s="16">
        <f>VLOOKUP($A458,'SurveyRpt_20150223 (1)'!$A$34:$AN$735,6,FALSE)</f>
        <v>16</v>
      </c>
      <c r="H458" s="16" t="str">
        <f>VLOOKUP($A458,'SurveyRpt_20150223 (1)'!$A$34:$AN$735,8,FALSE)</f>
        <v>Yes</v>
      </c>
      <c r="I458" s="16" t="str">
        <f>VLOOKUP($A458,'SurveyRpt_20150223 (1)'!$A$34:$AN$735,10,FALSE)</f>
        <v>Yes</v>
      </c>
      <c r="J458" s="16" t="str">
        <f>VLOOKUP($A458,'SurveyRpt_20150223 (1)'!$A$34:$AN$735,12,FALSE)</f>
        <v>Yes</v>
      </c>
      <c r="K458" s="16" t="str">
        <f>VLOOKUP($A458,'SurveyRpt_20150223 (1)'!$A$34:$AN$735,14,FALSE)</f>
        <v>Yes</v>
      </c>
      <c r="L458" s="16" t="str">
        <f>VLOOKUP($A458,'SurveyRpt_20150223 (1)'!$A$34:$AN$735,16,FALSE)</f>
        <v>Yes</v>
      </c>
      <c r="M458" s="16" t="str">
        <f>VLOOKUP($A458,'SurveyRpt_20150223 (1)'!$A$34:$AN$735,18,FALSE)</f>
        <v>Yes</v>
      </c>
      <c r="N458" s="16" t="str">
        <f>VLOOKUP($A458,'SurveyRpt_20150223 (1)'!$A$34:$AN$735,20,FALSE)</f>
        <v>Yes</v>
      </c>
      <c r="O458" s="16" t="str">
        <f>VLOOKUP($A458,'SurveyRpt_20150223 (1)'!$A$34:$AN$735,22,FALSE)</f>
        <v>Yes</v>
      </c>
      <c r="P458" s="16" t="str">
        <f>VLOOKUP($A458,'SurveyRpt_20150223 (1)'!$A$34:$AN$735,24,FALSE)</f>
        <v>Yes</v>
      </c>
      <c r="Q458" s="16" t="str">
        <f>VLOOKUP($A458,'SurveyRpt_20150223 (1)'!$A$34:$AN$735,26,FALSE)</f>
        <v>Yes</v>
      </c>
      <c r="R458" s="16" t="str">
        <f>VLOOKUP($A458,'SurveyRpt_20150223 (1)'!$A$34:$AN$735,28,FALSE)</f>
        <v>Yes</v>
      </c>
      <c r="S458" s="16" t="str">
        <f>VLOOKUP($A458,'SurveyRpt_20150223 (1)'!$A$34:$AN$735,30,FALSE)</f>
        <v>Yes</v>
      </c>
      <c r="T458" s="16" t="str">
        <f>VLOOKUP($A458,'SurveyRpt_20150223 (1)'!$A$34:$AN$735,32,FALSE)</f>
        <v>Yes</v>
      </c>
      <c r="U458" s="16" t="str">
        <f>VLOOKUP($A458,'SurveyRpt_20150223 (1)'!$A$34:$AN$735,34,FALSE)</f>
        <v>Yes</v>
      </c>
      <c r="V458" s="16" t="str">
        <f>VLOOKUP($A458,'SurveyRpt_20150223 (1)'!$A$34:$AN$735,36,FALSE)</f>
        <v>Yes</v>
      </c>
      <c r="W458" s="16" t="str">
        <f>VLOOKUP($A458,'SurveyRpt_20150223 (1)'!$A$34:$AN$735,38,FALSE)</f>
        <v>Yes</v>
      </c>
    </row>
    <row r="459" spans="1:23" ht="13.5" customHeight="1" x14ac:dyDescent="0.25">
      <c r="A459" s="19" t="s">
        <v>552</v>
      </c>
      <c r="B459" s="19" t="str">
        <f t="shared" si="7"/>
        <v>RDUA3</v>
      </c>
      <c r="C459" s="16" t="str">
        <f>VLOOKUP(B459,'Compiled Agents'!A:H,2,FALSE)</f>
        <v>Platform</v>
      </c>
      <c r="D459" s="16" t="str">
        <f>VLOOKUP(B459,'Compiled Agents'!A:H,4,FALSE)</f>
        <v>Noida</v>
      </c>
      <c r="E459" s="16" t="str">
        <f>VLOOKUP(B459,'Compiled Agents'!A:H,5,FALSE)</f>
        <v>Wave1</v>
      </c>
      <c r="F459" s="16" t="str">
        <f>VLOOKUP(B459,'Compiled Agents'!A:H,6,FALSE)</f>
        <v>Yellow</v>
      </c>
      <c r="G459" s="16">
        <f>VLOOKUP($A459,'SurveyRpt_20150223 (1)'!$A$34:$AN$735,6,FALSE)</f>
        <v>15</v>
      </c>
      <c r="H459" s="16" t="str">
        <f>VLOOKUP($A459,'SurveyRpt_20150223 (1)'!$A$34:$AN$735,8,FALSE)</f>
        <v>Yes</v>
      </c>
      <c r="I459" s="16" t="str">
        <f>VLOOKUP($A459,'SurveyRpt_20150223 (1)'!$A$34:$AN$735,10,FALSE)</f>
        <v>Yes</v>
      </c>
      <c r="J459" s="16" t="str">
        <f>VLOOKUP($A459,'SurveyRpt_20150223 (1)'!$A$34:$AN$735,12,FALSE)</f>
        <v>Yes</v>
      </c>
      <c r="K459" s="16" t="str">
        <f>VLOOKUP($A459,'SurveyRpt_20150223 (1)'!$A$34:$AN$735,14,FALSE)</f>
        <v>Yes</v>
      </c>
      <c r="L459" s="16" t="str">
        <f>VLOOKUP($A459,'SurveyRpt_20150223 (1)'!$A$34:$AN$735,16,FALSE)</f>
        <v>Yes</v>
      </c>
      <c r="M459" s="16" t="str">
        <f>VLOOKUP($A459,'SurveyRpt_20150223 (1)'!$A$34:$AN$735,18,FALSE)</f>
        <v>Yes</v>
      </c>
      <c r="N459" s="16" t="str">
        <f>VLOOKUP($A459,'SurveyRpt_20150223 (1)'!$A$34:$AN$735,20,FALSE)</f>
        <v>Yes</v>
      </c>
      <c r="O459" s="16" t="str">
        <f>VLOOKUP($A459,'SurveyRpt_20150223 (1)'!$A$34:$AN$735,22,FALSE)</f>
        <v>Yes</v>
      </c>
      <c r="P459" s="16" t="str">
        <f>VLOOKUP($A459,'SurveyRpt_20150223 (1)'!$A$34:$AN$735,24,FALSE)</f>
        <v>Yes</v>
      </c>
      <c r="Q459" s="16" t="str">
        <f>VLOOKUP($A459,'SurveyRpt_20150223 (1)'!$A$34:$AN$735,26,FALSE)</f>
        <v>Yes</v>
      </c>
      <c r="R459" s="16" t="str">
        <f>VLOOKUP($A459,'SurveyRpt_20150223 (1)'!$A$34:$AN$735,28,FALSE)</f>
        <v>Yes</v>
      </c>
      <c r="S459" s="16" t="str">
        <f>VLOOKUP($A459,'SurveyRpt_20150223 (1)'!$A$34:$AN$735,30,FALSE)</f>
        <v>Yes</v>
      </c>
      <c r="T459" s="16" t="str">
        <f>VLOOKUP($A459,'SurveyRpt_20150223 (1)'!$A$34:$AN$735,32,FALSE)</f>
        <v>No</v>
      </c>
      <c r="U459" s="16" t="str">
        <f>VLOOKUP($A459,'SurveyRpt_20150223 (1)'!$A$34:$AN$735,34,FALSE)</f>
        <v>Yes</v>
      </c>
      <c r="V459" s="16" t="str">
        <f>VLOOKUP($A459,'SurveyRpt_20150223 (1)'!$A$34:$AN$735,36,FALSE)</f>
        <v>Yes</v>
      </c>
      <c r="W459" s="16" t="str">
        <f>VLOOKUP($A459,'SurveyRpt_20150223 (1)'!$A$34:$AN$735,38,FALSE)</f>
        <v>Yes</v>
      </c>
    </row>
    <row r="460" spans="1:23" ht="13.5" customHeight="1" x14ac:dyDescent="0.25">
      <c r="A460" s="19" t="s">
        <v>553</v>
      </c>
      <c r="B460" s="19" t="str">
        <f t="shared" si="7"/>
        <v>ANANDA5</v>
      </c>
      <c r="C460" s="16" t="str">
        <f>VLOOKUP(B460,'Compiled Agents'!A:H,2,FALSE)</f>
        <v>Workplace</v>
      </c>
      <c r="D460" s="16" t="str">
        <f>VLOOKUP(B460,'Compiled Agents'!A:H,4,FALSE)</f>
        <v>Hyderabad</v>
      </c>
      <c r="E460" s="16" t="str">
        <f>VLOOKUP(B460,'Compiled Agents'!A:H,5,FALSE)</f>
        <v>Wave2</v>
      </c>
      <c r="F460" s="16" t="str">
        <f>VLOOKUP(B460,'Compiled Agents'!A:H,6,FALSE)</f>
        <v>Blue</v>
      </c>
      <c r="G460" s="16">
        <f>VLOOKUP($A460,'SurveyRpt_20150223 (1)'!$A$34:$AN$735,6,FALSE)</f>
        <v>16</v>
      </c>
      <c r="H460" s="16" t="str">
        <f>VLOOKUP($A460,'SurveyRpt_20150223 (1)'!$A$34:$AN$735,8,FALSE)</f>
        <v>Yes</v>
      </c>
      <c r="I460" s="16" t="str">
        <f>VLOOKUP($A460,'SurveyRpt_20150223 (1)'!$A$34:$AN$735,10,FALSE)</f>
        <v>Yes</v>
      </c>
      <c r="J460" s="16" t="str">
        <f>VLOOKUP($A460,'SurveyRpt_20150223 (1)'!$A$34:$AN$735,12,FALSE)</f>
        <v>Yes</v>
      </c>
      <c r="K460" s="16" t="str">
        <f>VLOOKUP($A460,'SurveyRpt_20150223 (1)'!$A$34:$AN$735,14,FALSE)</f>
        <v>Yes</v>
      </c>
      <c r="L460" s="16" t="str">
        <f>VLOOKUP($A460,'SurveyRpt_20150223 (1)'!$A$34:$AN$735,16,FALSE)</f>
        <v>Yes</v>
      </c>
      <c r="M460" s="16" t="str">
        <f>VLOOKUP($A460,'SurveyRpt_20150223 (1)'!$A$34:$AN$735,18,FALSE)</f>
        <v>Yes</v>
      </c>
      <c r="N460" s="16" t="str">
        <f>VLOOKUP($A460,'SurveyRpt_20150223 (1)'!$A$34:$AN$735,20,FALSE)</f>
        <v>Yes</v>
      </c>
      <c r="O460" s="16" t="str">
        <f>VLOOKUP($A460,'SurveyRpt_20150223 (1)'!$A$34:$AN$735,22,FALSE)</f>
        <v>Yes</v>
      </c>
      <c r="P460" s="16" t="str">
        <f>VLOOKUP($A460,'SurveyRpt_20150223 (1)'!$A$34:$AN$735,24,FALSE)</f>
        <v>Yes</v>
      </c>
      <c r="Q460" s="16" t="str">
        <f>VLOOKUP($A460,'SurveyRpt_20150223 (1)'!$A$34:$AN$735,26,FALSE)</f>
        <v>Yes</v>
      </c>
      <c r="R460" s="16" t="str">
        <f>VLOOKUP($A460,'SurveyRpt_20150223 (1)'!$A$34:$AN$735,28,FALSE)</f>
        <v>Yes</v>
      </c>
      <c r="S460" s="16" t="str">
        <f>VLOOKUP($A460,'SurveyRpt_20150223 (1)'!$A$34:$AN$735,30,FALSE)</f>
        <v>Yes</v>
      </c>
      <c r="T460" s="16" t="str">
        <f>VLOOKUP($A460,'SurveyRpt_20150223 (1)'!$A$34:$AN$735,32,FALSE)</f>
        <v>Yes</v>
      </c>
      <c r="U460" s="16" t="str">
        <f>VLOOKUP($A460,'SurveyRpt_20150223 (1)'!$A$34:$AN$735,34,FALSE)</f>
        <v>Yes</v>
      </c>
      <c r="V460" s="16" t="str">
        <f>VLOOKUP($A460,'SurveyRpt_20150223 (1)'!$A$34:$AN$735,36,FALSE)</f>
        <v>Yes</v>
      </c>
      <c r="W460" s="16" t="str">
        <f>VLOOKUP($A460,'SurveyRpt_20150223 (1)'!$A$34:$AN$735,38,FALSE)</f>
        <v>Yes</v>
      </c>
    </row>
    <row r="461" spans="1:23" ht="13.5" customHeight="1" x14ac:dyDescent="0.25">
      <c r="A461" s="19" t="s">
        <v>554</v>
      </c>
      <c r="B461" s="19" t="str">
        <f t="shared" si="7"/>
        <v>SDEVARAJU2</v>
      </c>
      <c r="C461" s="16" t="str">
        <f>VLOOKUP(B461,'Compiled Agents'!A:H,2,FALSE)</f>
        <v>Platform</v>
      </c>
      <c r="D461" s="16" t="str">
        <f>VLOOKUP(B461,'Compiled Agents'!A:H,4,FALSE)</f>
        <v>Noida</v>
      </c>
      <c r="E461" s="16" t="str">
        <f>VLOOKUP(B461,'Compiled Agents'!A:H,5,FALSE)</f>
        <v>Wave2</v>
      </c>
      <c r="F461" s="16" t="str">
        <f>VLOOKUP(B461,'Compiled Agents'!A:H,6,FALSE)</f>
        <v>Orange</v>
      </c>
      <c r="G461" s="16">
        <f>VLOOKUP($A461,'SurveyRpt_20150223 (1)'!$A$34:$AN$735,6,FALSE)</f>
        <v>15</v>
      </c>
      <c r="H461" s="16" t="str">
        <f>VLOOKUP($A461,'SurveyRpt_20150223 (1)'!$A$34:$AN$735,8,FALSE)</f>
        <v>Yes</v>
      </c>
      <c r="I461" s="16" t="str">
        <f>VLOOKUP($A461,'SurveyRpt_20150223 (1)'!$A$34:$AN$735,10,FALSE)</f>
        <v>Yes</v>
      </c>
      <c r="J461" s="16" t="str">
        <f>VLOOKUP($A461,'SurveyRpt_20150223 (1)'!$A$34:$AN$735,12,FALSE)</f>
        <v>Yes</v>
      </c>
      <c r="K461" s="16" t="str">
        <f>VLOOKUP($A461,'SurveyRpt_20150223 (1)'!$A$34:$AN$735,14,FALSE)</f>
        <v>Yes</v>
      </c>
      <c r="L461" s="16" t="str">
        <f>VLOOKUP($A461,'SurveyRpt_20150223 (1)'!$A$34:$AN$735,16,FALSE)</f>
        <v>Yes</v>
      </c>
      <c r="M461" s="16" t="str">
        <f>VLOOKUP($A461,'SurveyRpt_20150223 (1)'!$A$34:$AN$735,18,FALSE)</f>
        <v>Yes</v>
      </c>
      <c r="N461" s="16" t="str">
        <f>VLOOKUP($A461,'SurveyRpt_20150223 (1)'!$A$34:$AN$735,20,FALSE)</f>
        <v>Yes</v>
      </c>
      <c r="O461" s="16" t="str">
        <f>VLOOKUP($A461,'SurveyRpt_20150223 (1)'!$A$34:$AN$735,22,FALSE)</f>
        <v>Yes</v>
      </c>
      <c r="P461" s="16" t="str">
        <f>VLOOKUP($A461,'SurveyRpt_20150223 (1)'!$A$34:$AN$735,24,FALSE)</f>
        <v>Yes</v>
      </c>
      <c r="Q461" s="16" t="str">
        <f>VLOOKUP($A461,'SurveyRpt_20150223 (1)'!$A$34:$AN$735,26,FALSE)</f>
        <v>Yes</v>
      </c>
      <c r="R461" s="16" t="str">
        <f>VLOOKUP($A461,'SurveyRpt_20150223 (1)'!$A$34:$AN$735,28,FALSE)</f>
        <v>Yes</v>
      </c>
      <c r="S461" s="16" t="str">
        <f>VLOOKUP($A461,'SurveyRpt_20150223 (1)'!$A$34:$AN$735,30,FALSE)</f>
        <v>Yes</v>
      </c>
      <c r="T461" s="16" t="str">
        <f>VLOOKUP($A461,'SurveyRpt_20150223 (1)'!$A$34:$AN$735,32,FALSE)</f>
        <v>Yes</v>
      </c>
      <c r="U461" s="16" t="str">
        <f>VLOOKUP($A461,'SurveyRpt_20150223 (1)'!$A$34:$AN$735,34,FALSE)</f>
        <v>Yes</v>
      </c>
      <c r="V461" s="16" t="str">
        <f>VLOOKUP($A461,'SurveyRpt_20150223 (1)'!$A$34:$AN$735,36,FALSE)</f>
        <v>Yes</v>
      </c>
      <c r="W461" s="16" t="str">
        <f>VLOOKUP($A461,'SurveyRpt_20150223 (1)'!$A$34:$AN$735,38,FALSE)</f>
        <v>No</v>
      </c>
    </row>
    <row r="462" spans="1:23" ht="13.5" customHeight="1" x14ac:dyDescent="0.25">
      <c r="A462" s="19" t="s">
        <v>555</v>
      </c>
      <c r="B462" s="19" t="str">
        <f t="shared" si="7"/>
        <v>SMUDUNURI2</v>
      </c>
      <c r="C462" s="16" t="str">
        <f>VLOOKUP(B462,'Compiled Agents'!A:H,2,FALSE)</f>
        <v>Platform</v>
      </c>
      <c r="D462" s="16" t="str">
        <f>VLOOKUP(B462,'Compiled Agents'!A:H,4,FALSE)</f>
        <v>Noida</v>
      </c>
      <c r="E462" s="16" t="str">
        <f>VLOOKUP(B462,'Compiled Agents'!A:H,5,FALSE)</f>
        <v>Wave1</v>
      </c>
      <c r="F462" s="16" t="str">
        <f>VLOOKUP(B462,'Compiled Agents'!A:H,6,FALSE)</f>
        <v>Yellow</v>
      </c>
      <c r="G462" s="16">
        <f>VLOOKUP($A462,'SurveyRpt_20150223 (1)'!$A$34:$AN$735,6,FALSE)</f>
        <v>16</v>
      </c>
      <c r="H462" s="16" t="str">
        <f>VLOOKUP($A462,'SurveyRpt_20150223 (1)'!$A$34:$AN$735,8,FALSE)</f>
        <v>Yes</v>
      </c>
      <c r="I462" s="16" t="str">
        <f>VLOOKUP($A462,'SurveyRpt_20150223 (1)'!$A$34:$AN$735,10,FALSE)</f>
        <v>Yes</v>
      </c>
      <c r="J462" s="16" t="str">
        <f>VLOOKUP($A462,'SurveyRpt_20150223 (1)'!$A$34:$AN$735,12,FALSE)</f>
        <v>Yes</v>
      </c>
      <c r="K462" s="16" t="str">
        <f>VLOOKUP($A462,'SurveyRpt_20150223 (1)'!$A$34:$AN$735,14,FALSE)</f>
        <v>Yes</v>
      </c>
      <c r="L462" s="16" t="str">
        <f>VLOOKUP($A462,'SurveyRpt_20150223 (1)'!$A$34:$AN$735,16,FALSE)</f>
        <v>Yes</v>
      </c>
      <c r="M462" s="16" t="str">
        <f>VLOOKUP($A462,'SurveyRpt_20150223 (1)'!$A$34:$AN$735,18,FALSE)</f>
        <v>Yes</v>
      </c>
      <c r="N462" s="16" t="str">
        <f>VLOOKUP($A462,'SurveyRpt_20150223 (1)'!$A$34:$AN$735,20,FALSE)</f>
        <v>Yes</v>
      </c>
      <c r="O462" s="16" t="str">
        <f>VLOOKUP($A462,'SurveyRpt_20150223 (1)'!$A$34:$AN$735,22,FALSE)</f>
        <v>Yes</v>
      </c>
      <c r="P462" s="16" t="str">
        <f>VLOOKUP($A462,'SurveyRpt_20150223 (1)'!$A$34:$AN$735,24,FALSE)</f>
        <v>Yes</v>
      </c>
      <c r="Q462" s="16" t="str">
        <f>VLOOKUP($A462,'SurveyRpt_20150223 (1)'!$A$34:$AN$735,26,FALSE)</f>
        <v>Yes</v>
      </c>
      <c r="R462" s="16" t="str">
        <f>VLOOKUP($A462,'SurveyRpt_20150223 (1)'!$A$34:$AN$735,28,FALSE)</f>
        <v>Yes</v>
      </c>
      <c r="S462" s="16" t="str">
        <f>VLOOKUP($A462,'SurveyRpt_20150223 (1)'!$A$34:$AN$735,30,FALSE)</f>
        <v>Yes</v>
      </c>
      <c r="T462" s="16" t="str">
        <f>VLOOKUP($A462,'SurveyRpt_20150223 (1)'!$A$34:$AN$735,32,FALSE)</f>
        <v>Yes</v>
      </c>
      <c r="U462" s="16" t="str">
        <f>VLOOKUP($A462,'SurveyRpt_20150223 (1)'!$A$34:$AN$735,34,FALSE)</f>
        <v>Yes</v>
      </c>
      <c r="V462" s="16" t="str">
        <f>VLOOKUP($A462,'SurveyRpt_20150223 (1)'!$A$34:$AN$735,36,FALSE)</f>
        <v>Yes</v>
      </c>
      <c r="W462" s="16" t="str">
        <f>VLOOKUP($A462,'SurveyRpt_20150223 (1)'!$A$34:$AN$735,38,FALSE)</f>
        <v>Yes</v>
      </c>
    </row>
    <row r="463" spans="1:23" ht="13.5" customHeight="1" x14ac:dyDescent="0.25">
      <c r="A463" s="19" t="s">
        <v>556</v>
      </c>
      <c r="B463" s="19" t="str">
        <f t="shared" si="7"/>
        <v>salam3</v>
      </c>
      <c r="C463" s="16" t="str">
        <f>VLOOKUP(B463,'Compiled Agents'!A:H,2,FALSE)</f>
        <v>Platform</v>
      </c>
      <c r="D463" s="16" t="str">
        <f>VLOOKUP(B463,'Compiled Agents'!A:H,4,FALSE)</f>
        <v>Noida</v>
      </c>
      <c r="E463" s="16" t="str">
        <f>VLOOKUP(B463,'Compiled Agents'!A:H,5,FALSE)</f>
        <v>Wave1</v>
      </c>
      <c r="F463" s="16" t="str">
        <f>VLOOKUP(B463,'Compiled Agents'!A:H,6,FALSE)</f>
        <v>Purple</v>
      </c>
      <c r="G463" s="16">
        <f>VLOOKUP($A463,'SurveyRpt_20150223 (1)'!$A$34:$AN$735,6,FALSE)</f>
        <v>15</v>
      </c>
      <c r="H463" s="16" t="str">
        <f>VLOOKUP($A463,'SurveyRpt_20150223 (1)'!$A$34:$AN$735,8,FALSE)</f>
        <v>Yes</v>
      </c>
      <c r="I463" s="16" t="str">
        <f>VLOOKUP($A463,'SurveyRpt_20150223 (1)'!$A$34:$AN$735,10,FALSE)</f>
        <v>Yes</v>
      </c>
      <c r="J463" s="16" t="str">
        <f>VLOOKUP($A463,'SurveyRpt_20150223 (1)'!$A$34:$AN$735,12,FALSE)</f>
        <v>Yes</v>
      </c>
      <c r="K463" s="16" t="str">
        <f>VLOOKUP($A463,'SurveyRpt_20150223 (1)'!$A$34:$AN$735,14,FALSE)</f>
        <v>Yes</v>
      </c>
      <c r="L463" s="16" t="str">
        <f>VLOOKUP($A463,'SurveyRpt_20150223 (1)'!$A$34:$AN$735,16,FALSE)</f>
        <v>Yes</v>
      </c>
      <c r="M463" s="16" t="str">
        <f>VLOOKUP($A463,'SurveyRpt_20150223 (1)'!$A$34:$AN$735,18,FALSE)</f>
        <v>Yes</v>
      </c>
      <c r="N463" s="16" t="str">
        <f>VLOOKUP($A463,'SurveyRpt_20150223 (1)'!$A$34:$AN$735,20,FALSE)</f>
        <v>Yes</v>
      </c>
      <c r="O463" s="16" t="str">
        <f>VLOOKUP($A463,'SurveyRpt_20150223 (1)'!$A$34:$AN$735,22,FALSE)</f>
        <v>Yes</v>
      </c>
      <c r="P463" s="16" t="str">
        <f>VLOOKUP($A463,'SurveyRpt_20150223 (1)'!$A$34:$AN$735,24,FALSE)</f>
        <v>No</v>
      </c>
      <c r="Q463" s="16" t="str">
        <f>VLOOKUP($A463,'SurveyRpt_20150223 (1)'!$A$34:$AN$735,26,FALSE)</f>
        <v>Yes</v>
      </c>
      <c r="R463" s="16" t="str">
        <f>VLOOKUP($A463,'SurveyRpt_20150223 (1)'!$A$34:$AN$735,28,FALSE)</f>
        <v>Yes</v>
      </c>
      <c r="S463" s="16" t="str">
        <f>VLOOKUP($A463,'SurveyRpt_20150223 (1)'!$A$34:$AN$735,30,FALSE)</f>
        <v>Yes</v>
      </c>
      <c r="T463" s="16" t="str">
        <f>VLOOKUP($A463,'SurveyRpt_20150223 (1)'!$A$34:$AN$735,32,FALSE)</f>
        <v>Yes</v>
      </c>
      <c r="U463" s="16" t="str">
        <f>VLOOKUP($A463,'SurveyRpt_20150223 (1)'!$A$34:$AN$735,34,FALSE)</f>
        <v>Yes</v>
      </c>
      <c r="V463" s="16" t="str">
        <f>VLOOKUP($A463,'SurveyRpt_20150223 (1)'!$A$34:$AN$735,36,FALSE)</f>
        <v>Yes</v>
      </c>
      <c r="W463" s="16" t="str">
        <f>VLOOKUP($A463,'SurveyRpt_20150223 (1)'!$A$34:$AN$735,38,FALSE)</f>
        <v>Yes</v>
      </c>
    </row>
    <row r="464" spans="1:23" ht="13.5" customHeight="1" x14ac:dyDescent="0.25">
      <c r="A464" s="19" t="s">
        <v>557</v>
      </c>
      <c r="B464" s="19" t="str">
        <f t="shared" si="7"/>
        <v>UBUDIDA</v>
      </c>
      <c r="C464" s="16" t="str">
        <f>VLOOKUP(B464,'Compiled Agents'!A:H,2,FALSE)</f>
        <v>Platform</v>
      </c>
      <c r="D464" s="16" t="str">
        <f>VLOOKUP(B464,'Compiled Agents'!A:H,4,FALSE)</f>
        <v>Noida</v>
      </c>
      <c r="E464" s="16" t="str">
        <f>VLOOKUP(B464,'Compiled Agents'!A:H,5,FALSE)</f>
        <v>Wave2</v>
      </c>
      <c r="F464" s="16" t="str">
        <f>VLOOKUP(B464,'Compiled Agents'!A:H,6,FALSE)</f>
        <v>Blue</v>
      </c>
      <c r="G464" s="16">
        <f>VLOOKUP($A464,'SurveyRpt_20150223 (1)'!$A$34:$AN$735,6,FALSE)</f>
        <v>15</v>
      </c>
      <c r="H464" s="16" t="str">
        <f>VLOOKUP($A464,'SurveyRpt_20150223 (1)'!$A$34:$AN$735,8,FALSE)</f>
        <v>Yes</v>
      </c>
      <c r="I464" s="16" t="str">
        <f>VLOOKUP($A464,'SurveyRpt_20150223 (1)'!$A$34:$AN$735,10,FALSE)</f>
        <v>Yes</v>
      </c>
      <c r="J464" s="16" t="str">
        <f>VLOOKUP($A464,'SurveyRpt_20150223 (1)'!$A$34:$AN$735,12,FALSE)</f>
        <v>Yes</v>
      </c>
      <c r="K464" s="16" t="str">
        <f>VLOOKUP($A464,'SurveyRpt_20150223 (1)'!$A$34:$AN$735,14,FALSE)</f>
        <v>Yes</v>
      </c>
      <c r="L464" s="16" t="str">
        <f>VLOOKUP($A464,'SurveyRpt_20150223 (1)'!$A$34:$AN$735,16,FALSE)</f>
        <v>Yes</v>
      </c>
      <c r="M464" s="16" t="str">
        <f>VLOOKUP($A464,'SurveyRpt_20150223 (1)'!$A$34:$AN$735,18,FALSE)</f>
        <v>No</v>
      </c>
      <c r="N464" s="16" t="str">
        <f>VLOOKUP($A464,'SurveyRpt_20150223 (1)'!$A$34:$AN$735,20,FALSE)</f>
        <v>Yes</v>
      </c>
      <c r="O464" s="16" t="str">
        <f>VLOOKUP($A464,'SurveyRpt_20150223 (1)'!$A$34:$AN$735,22,FALSE)</f>
        <v>Yes</v>
      </c>
      <c r="P464" s="16" t="str">
        <f>VLOOKUP($A464,'SurveyRpt_20150223 (1)'!$A$34:$AN$735,24,FALSE)</f>
        <v>Yes</v>
      </c>
      <c r="Q464" s="16" t="str">
        <f>VLOOKUP($A464,'SurveyRpt_20150223 (1)'!$A$34:$AN$735,26,FALSE)</f>
        <v>Yes</v>
      </c>
      <c r="R464" s="16" t="str">
        <f>VLOOKUP($A464,'SurveyRpt_20150223 (1)'!$A$34:$AN$735,28,FALSE)</f>
        <v>Yes</v>
      </c>
      <c r="S464" s="16" t="str">
        <f>VLOOKUP($A464,'SurveyRpt_20150223 (1)'!$A$34:$AN$735,30,FALSE)</f>
        <v>Yes</v>
      </c>
      <c r="T464" s="16" t="str">
        <f>VLOOKUP($A464,'SurveyRpt_20150223 (1)'!$A$34:$AN$735,32,FALSE)</f>
        <v>Yes</v>
      </c>
      <c r="U464" s="16" t="str">
        <f>VLOOKUP($A464,'SurveyRpt_20150223 (1)'!$A$34:$AN$735,34,FALSE)</f>
        <v>Yes</v>
      </c>
      <c r="V464" s="16" t="str">
        <f>VLOOKUP($A464,'SurveyRpt_20150223 (1)'!$A$34:$AN$735,36,FALSE)</f>
        <v>Yes</v>
      </c>
      <c r="W464" s="16" t="str">
        <f>VLOOKUP($A464,'SurveyRpt_20150223 (1)'!$A$34:$AN$735,38,FALSE)</f>
        <v>Yes</v>
      </c>
    </row>
    <row r="465" spans="1:23" ht="13.5" customHeight="1" x14ac:dyDescent="0.25">
      <c r="A465" s="19" t="s">
        <v>558</v>
      </c>
      <c r="B465" s="19" t="str">
        <f t="shared" si="7"/>
        <v>AKUMAR435</v>
      </c>
      <c r="C465" s="16" t="str">
        <f>VLOOKUP(B465,'Compiled Agents'!A:H,2,FALSE)</f>
        <v>Platform</v>
      </c>
      <c r="D465" s="16" t="str">
        <f>VLOOKUP(B465,'Compiled Agents'!A:H,4,FALSE)</f>
        <v>Noida</v>
      </c>
      <c r="E465" s="16" t="str">
        <f>VLOOKUP(B465,'Compiled Agents'!A:H,5,FALSE)</f>
        <v>Wave1</v>
      </c>
      <c r="F465" s="16" t="str">
        <f>VLOOKUP(B465,'Compiled Agents'!A:H,6,FALSE)</f>
        <v>Purple</v>
      </c>
      <c r="G465" s="16">
        <f>VLOOKUP($A465,'SurveyRpt_20150223 (1)'!$A$34:$AN$735,6,FALSE)</f>
        <v>14</v>
      </c>
      <c r="H465" s="16" t="str">
        <f>VLOOKUP($A465,'SurveyRpt_20150223 (1)'!$A$34:$AN$735,8,FALSE)</f>
        <v>Yes</v>
      </c>
      <c r="I465" s="16" t="str">
        <f>VLOOKUP($A465,'SurveyRpt_20150223 (1)'!$A$34:$AN$735,10,FALSE)</f>
        <v>Yes</v>
      </c>
      <c r="J465" s="16" t="str">
        <f>VLOOKUP($A465,'SurveyRpt_20150223 (1)'!$A$34:$AN$735,12,FALSE)</f>
        <v>Yes</v>
      </c>
      <c r="K465" s="16" t="str">
        <f>VLOOKUP($A465,'SurveyRpt_20150223 (1)'!$A$34:$AN$735,14,FALSE)</f>
        <v>Yes</v>
      </c>
      <c r="L465" s="16" t="str">
        <f>VLOOKUP($A465,'SurveyRpt_20150223 (1)'!$A$34:$AN$735,16,FALSE)</f>
        <v>Yes</v>
      </c>
      <c r="M465" s="16" t="str">
        <f>VLOOKUP($A465,'SurveyRpt_20150223 (1)'!$A$34:$AN$735,18,FALSE)</f>
        <v>Yes</v>
      </c>
      <c r="N465" s="16" t="str">
        <f>VLOOKUP($A465,'SurveyRpt_20150223 (1)'!$A$34:$AN$735,20,FALSE)</f>
        <v>Yes</v>
      </c>
      <c r="O465" s="16" t="str">
        <f>VLOOKUP($A465,'SurveyRpt_20150223 (1)'!$A$34:$AN$735,22,FALSE)</f>
        <v>Yes</v>
      </c>
      <c r="P465" s="16" t="str">
        <f>VLOOKUP($A465,'SurveyRpt_20150223 (1)'!$A$34:$AN$735,24,FALSE)</f>
        <v>Yes</v>
      </c>
      <c r="Q465" s="16" t="str">
        <f>VLOOKUP($A465,'SurveyRpt_20150223 (1)'!$A$34:$AN$735,26,FALSE)</f>
        <v>Yes</v>
      </c>
      <c r="R465" s="16" t="str">
        <f>VLOOKUP($A465,'SurveyRpt_20150223 (1)'!$A$34:$AN$735,28,FALSE)</f>
        <v>Yes</v>
      </c>
      <c r="S465" s="16" t="str">
        <f>VLOOKUP($A465,'SurveyRpt_20150223 (1)'!$A$34:$AN$735,30,FALSE)</f>
        <v>Yes</v>
      </c>
      <c r="T465" s="16" t="str">
        <f>VLOOKUP($A465,'SurveyRpt_20150223 (1)'!$A$34:$AN$735,32,FALSE)</f>
        <v>No</v>
      </c>
      <c r="U465" s="16" t="str">
        <f>VLOOKUP($A465,'SurveyRpt_20150223 (1)'!$A$34:$AN$735,34,FALSE)</f>
        <v>Yes</v>
      </c>
      <c r="V465" s="16" t="str">
        <f>VLOOKUP($A465,'SurveyRpt_20150223 (1)'!$A$34:$AN$735,36,FALSE)</f>
        <v>Yes</v>
      </c>
      <c r="W465" s="16" t="str">
        <f>VLOOKUP($A465,'SurveyRpt_20150223 (1)'!$A$34:$AN$735,38,FALSE)</f>
        <v>No</v>
      </c>
    </row>
    <row r="466" spans="1:23" ht="13.5" customHeight="1" x14ac:dyDescent="0.25">
      <c r="A466" s="19" t="s">
        <v>559</v>
      </c>
      <c r="B466" s="19" t="str">
        <f t="shared" si="7"/>
        <v>SPUTCHA2</v>
      </c>
      <c r="C466" s="16" t="str">
        <f>VLOOKUP(B466,'Compiled Agents'!A:H,2,FALSE)</f>
        <v>Workplace</v>
      </c>
      <c r="D466" s="16" t="str">
        <f>VLOOKUP(B466,'Compiled Agents'!A:H,4,FALSE)</f>
        <v>Hyderabad</v>
      </c>
      <c r="E466" s="16" t="str">
        <f>VLOOKUP(B466,'Compiled Agents'!A:H,5,FALSE)</f>
        <v>Wave2</v>
      </c>
      <c r="F466" s="16" t="str">
        <f>VLOOKUP(B466,'Compiled Agents'!A:H,6,FALSE)</f>
        <v>Purple</v>
      </c>
      <c r="G466" s="16">
        <f>VLOOKUP($A466,'SurveyRpt_20150223 (1)'!$A$34:$AN$735,6,FALSE)</f>
        <v>13</v>
      </c>
      <c r="H466" s="16" t="str">
        <f>VLOOKUP($A466,'SurveyRpt_20150223 (1)'!$A$34:$AN$735,8,FALSE)</f>
        <v>Yes</v>
      </c>
      <c r="I466" s="16" t="str">
        <f>VLOOKUP($A466,'SurveyRpt_20150223 (1)'!$A$34:$AN$735,10,FALSE)</f>
        <v>Yes</v>
      </c>
      <c r="J466" s="16" t="str">
        <f>VLOOKUP($A466,'SurveyRpt_20150223 (1)'!$A$34:$AN$735,12,FALSE)</f>
        <v>Yes</v>
      </c>
      <c r="K466" s="16" t="str">
        <f>VLOOKUP($A466,'SurveyRpt_20150223 (1)'!$A$34:$AN$735,14,FALSE)</f>
        <v>No</v>
      </c>
      <c r="L466" s="16" t="str">
        <f>VLOOKUP($A466,'SurveyRpt_20150223 (1)'!$A$34:$AN$735,16,FALSE)</f>
        <v>Yes</v>
      </c>
      <c r="M466" s="16" t="str">
        <f>VLOOKUP($A466,'SurveyRpt_20150223 (1)'!$A$34:$AN$735,18,FALSE)</f>
        <v>Yes</v>
      </c>
      <c r="N466" s="16" t="str">
        <f>VLOOKUP($A466,'SurveyRpt_20150223 (1)'!$A$34:$AN$735,20,FALSE)</f>
        <v>No</v>
      </c>
      <c r="O466" s="16" t="str">
        <f>VLOOKUP($A466,'SurveyRpt_20150223 (1)'!$A$34:$AN$735,22,FALSE)</f>
        <v>Yes</v>
      </c>
      <c r="P466" s="16" t="str">
        <f>VLOOKUP($A466,'SurveyRpt_20150223 (1)'!$A$34:$AN$735,24,FALSE)</f>
        <v>Yes</v>
      </c>
      <c r="Q466" s="16" t="str">
        <f>VLOOKUP($A466,'SurveyRpt_20150223 (1)'!$A$34:$AN$735,26,FALSE)</f>
        <v>Yes</v>
      </c>
      <c r="R466" s="16" t="str">
        <f>VLOOKUP($A466,'SurveyRpt_20150223 (1)'!$A$34:$AN$735,28,FALSE)</f>
        <v>Yes</v>
      </c>
      <c r="S466" s="16" t="str">
        <f>VLOOKUP($A466,'SurveyRpt_20150223 (1)'!$A$34:$AN$735,30,FALSE)</f>
        <v>Yes</v>
      </c>
      <c r="T466" s="16" t="str">
        <f>VLOOKUP($A466,'SurveyRpt_20150223 (1)'!$A$34:$AN$735,32,FALSE)</f>
        <v>Yes</v>
      </c>
      <c r="U466" s="16" t="str">
        <f>VLOOKUP($A466,'SurveyRpt_20150223 (1)'!$A$34:$AN$735,34,FALSE)</f>
        <v>Yes</v>
      </c>
      <c r="V466" s="16" t="str">
        <f>VLOOKUP($A466,'SurveyRpt_20150223 (1)'!$A$34:$AN$735,36,FALSE)</f>
        <v>Yes</v>
      </c>
      <c r="W466" s="16" t="str">
        <f>VLOOKUP($A466,'SurveyRpt_20150223 (1)'!$A$34:$AN$735,38,FALSE)</f>
        <v>No</v>
      </c>
    </row>
    <row r="467" spans="1:23" ht="13.5" customHeight="1" x14ac:dyDescent="0.25">
      <c r="A467" s="19" t="s">
        <v>560</v>
      </c>
      <c r="B467" s="19" t="str">
        <f t="shared" si="7"/>
        <v>SCHAUDHARY30</v>
      </c>
      <c r="C467" s="16" t="str">
        <f>VLOOKUP(B467,'Compiled Agents'!A:H,2,FALSE)</f>
        <v>Platform</v>
      </c>
      <c r="D467" s="16" t="str">
        <f>VLOOKUP(B467,'Compiled Agents'!A:H,4,FALSE)</f>
        <v>Noida</v>
      </c>
      <c r="E467" s="16" t="str">
        <f>VLOOKUP(B467,'Compiled Agents'!A:H,5,FALSE)</f>
        <v>Wave1</v>
      </c>
      <c r="F467" s="16" t="str">
        <f>VLOOKUP(B467,'Compiled Agents'!A:H,6,FALSE)</f>
        <v>Purple</v>
      </c>
      <c r="G467" s="16">
        <f>VLOOKUP($A467,'SurveyRpt_20150223 (1)'!$A$34:$AN$735,6,FALSE)</f>
        <v>3</v>
      </c>
      <c r="H467" s="16" t="str">
        <f>VLOOKUP($A467,'SurveyRpt_20150223 (1)'!$A$34:$AN$735,8,FALSE)</f>
        <v>Yes</v>
      </c>
      <c r="I467" s="16" t="str">
        <f>VLOOKUP($A467,'SurveyRpt_20150223 (1)'!$A$34:$AN$735,10,FALSE)</f>
        <v>No</v>
      </c>
      <c r="J467" s="16" t="str">
        <f>VLOOKUP($A467,'SurveyRpt_20150223 (1)'!$A$34:$AN$735,12,FALSE)</f>
        <v>No</v>
      </c>
      <c r="K467" s="16" t="str">
        <f>VLOOKUP($A467,'SurveyRpt_20150223 (1)'!$A$34:$AN$735,14,FALSE)</f>
        <v>No</v>
      </c>
      <c r="L467" s="16" t="str">
        <f>VLOOKUP($A467,'SurveyRpt_20150223 (1)'!$A$34:$AN$735,16,FALSE)</f>
        <v>Yes</v>
      </c>
      <c r="M467" s="16" t="str">
        <f>VLOOKUP($A467,'SurveyRpt_20150223 (1)'!$A$34:$AN$735,18,FALSE)</f>
        <v>No</v>
      </c>
      <c r="N467" s="16" t="str">
        <f>VLOOKUP($A467,'SurveyRpt_20150223 (1)'!$A$34:$AN$735,20,FALSE)</f>
        <v>No</v>
      </c>
      <c r="O467" s="16" t="str">
        <f>VLOOKUP($A467,'SurveyRpt_20150223 (1)'!$A$34:$AN$735,22,FALSE)</f>
        <v>No</v>
      </c>
      <c r="P467" s="16" t="str">
        <f>VLOOKUP($A467,'SurveyRpt_20150223 (1)'!$A$34:$AN$735,24,FALSE)</f>
        <v>No</v>
      </c>
      <c r="Q467" s="16" t="str">
        <f>VLOOKUP($A467,'SurveyRpt_20150223 (1)'!$A$34:$AN$735,26,FALSE)</f>
        <v>No</v>
      </c>
      <c r="R467" s="16" t="str">
        <f>VLOOKUP($A467,'SurveyRpt_20150223 (1)'!$A$34:$AN$735,28,FALSE)</f>
        <v>No</v>
      </c>
      <c r="S467" s="16" t="str">
        <f>VLOOKUP($A467,'SurveyRpt_20150223 (1)'!$A$34:$AN$735,30,FALSE)</f>
        <v>Yes</v>
      </c>
      <c r="T467" s="16" t="str">
        <f>VLOOKUP($A467,'SurveyRpt_20150223 (1)'!$A$34:$AN$735,32,FALSE)</f>
        <v>No</v>
      </c>
      <c r="U467" s="16" t="str">
        <f>VLOOKUP($A467,'SurveyRpt_20150223 (1)'!$A$34:$AN$735,34,FALSE)</f>
        <v>No</v>
      </c>
      <c r="V467" s="16" t="str">
        <f>VLOOKUP($A467,'SurveyRpt_20150223 (1)'!$A$34:$AN$735,36,FALSE)</f>
        <v>No</v>
      </c>
      <c r="W467" s="16" t="str">
        <f>VLOOKUP($A467,'SurveyRpt_20150223 (1)'!$A$34:$AN$735,38,FALSE)</f>
        <v>No</v>
      </c>
    </row>
    <row r="468" spans="1:23" ht="13.5" customHeight="1" x14ac:dyDescent="0.25">
      <c r="A468" s="19" t="s">
        <v>561</v>
      </c>
      <c r="B468" s="19" t="str">
        <f t="shared" si="7"/>
        <v>PGOPALAKRIS4</v>
      </c>
      <c r="C468" s="16" t="str">
        <f>VLOOKUP(B468,'Compiled Agents'!A:H,2,FALSE)</f>
        <v>Platform</v>
      </c>
      <c r="D468" s="16" t="str">
        <f>VLOOKUP(B468,'Compiled Agents'!A:H,4,FALSE)</f>
        <v>Noida</v>
      </c>
      <c r="E468" s="16" t="str">
        <f>VLOOKUP(B468,'Compiled Agents'!A:H,5,FALSE)</f>
        <v>Wave2</v>
      </c>
      <c r="F468" s="16" t="str">
        <f>VLOOKUP(B468,'Compiled Agents'!A:H,6,FALSE)</f>
        <v>Blue</v>
      </c>
      <c r="G468" s="16">
        <f>VLOOKUP($A468,'SurveyRpt_20150223 (1)'!$A$34:$AN$735,6,FALSE)</f>
        <v>15</v>
      </c>
      <c r="H468" s="16" t="str">
        <f>VLOOKUP($A468,'SurveyRpt_20150223 (1)'!$A$34:$AN$735,8,FALSE)</f>
        <v>Yes</v>
      </c>
      <c r="I468" s="16" t="str">
        <f>VLOOKUP($A468,'SurveyRpt_20150223 (1)'!$A$34:$AN$735,10,FALSE)</f>
        <v>Yes</v>
      </c>
      <c r="J468" s="16" t="str">
        <f>VLOOKUP($A468,'SurveyRpt_20150223 (1)'!$A$34:$AN$735,12,FALSE)</f>
        <v>Yes</v>
      </c>
      <c r="K468" s="16" t="str">
        <f>VLOOKUP($A468,'SurveyRpt_20150223 (1)'!$A$34:$AN$735,14,FALSE)</f>
        <v>No</v>
      </c>
      <c r="L468" s="16" t="str">
        <f>VLOOKUP($A468,'SurveyRpt_20150223 (1)'!$A$34:$AN$735,16,FALSE)</f>
        <v>Yes</v>
      </c>
      <c r="M468" s="16" t="str">
        <f>VLOOKUP($A468,'SurveyRpt_20150223 (1)'!$A$34:$AN$735,18,FALSE)</f>
        <v>Yes</v>
      </c>
      <c r="N468" s="16" t="str">
        <f>VLOOKUP($A468,'SurveyRpt_20150223 (1)'!$A$34:$AN$735,20,FALSE)</f>
        <v>Yes</v>
      </c>
      <c r="O468" s="16" t="str">
        <f>VLOOKUP($A468,'SurveyRpt_20150223 (1)'!$A$34:$AN$735,22,FALSE)</f>
        <v>Yes</v>
      </c>
      <c r="P468" s="16" t="str">
        <f>VLOOKUP($A468,'SurveyRpt_20150223 (1)'!$A$34:$AN$735,24,FALSE)</f>
        <v>Yes</v>
      </c>
      <c r="Q468" s="16" t="str">
        <f>VLOOKUP($A468,'SurveyRpt_20150223 (1)'!$A$34:$AN$735,26,FALSE)</f>
        <v>Yes</v>
      </c>
      <c r="R468" s="16" t="str">
        <f>VLOOKUP($A468,'SurveyRpt_20150223 (1)'!$A$34:$AN$735,28,FALSE)</f>
        <v>Yes</v>
      </c>
      <c r="S468" s="16" t="str">
        <f>VLOOKUP($A468,'SurveyRpt_20150223 (1)'!$A$34:$AN$735,30,FALSE)</f>
        <v>Yes</v>
      </c>
      <c r="T468" s="16" t="str">
        <f>VLOOKUP($A468,'SurveyRpt_20150223 (1)'!$A$34:$AN$735,32,FALSE)</f>
        <v>Yes</v>
      </c>
      <c r="U468" s="16" t="str">
        <f>VLOOKUP($A468,'SurveyRpt_20150223 (1)'!$A$34:$AN$735,34,FALSE)</f>
        <v>Yes</v>
      </c>
      <c r="V468" s="16" t="str">
        <f>VLOOKUP($A468,'SurveyRpt_20150223 (1)'!$A$34:$AN$735,36,FALSE)</f>
        <v>Yes</v>
      </c>
      <c r="W468" s="16" t="str">
        <f>VLOOKUP($A468,'SurveyRpt_20150223 (1)'!$A$34:$AN$735,38,FALSE)</f>
        <v>Yes</v>
      </c>
    </row>
    <row r="469" spans="1:23" ht="13.5" customHeight="1" x14ac:dyDescent="0.25">
      <c r="A469" s="19" t="s">
        <v>562</v>
      </c>
      <c r="B469" s="19" t="str">
        <f t="shared" si="7"/>
        <v>ruk</v>
      </c>
      <c r="C469" s="16" t="str">
        <f>VLOOKUP(B469,'Compiled Agents'!A:H,2,FALSE)</f>
        <v>Platform</v>
      </c>
      <c r="D469" s="16" t="str">
        <f>VLOOKUP(B469,'Compiled Agents'!A:H,4,FALSE)</f>
        <v>Noida</v>
      </c>
      <c r="E469" s="16" t="str">
        <f>VLOOKUP(B469,'Compiled Agents'!A:H,5,FALSE)</f>
        <v>Wave1</v>
      </c>
      <c r="F469" s="16" t="str">
        <f>VLOOKUP(B469,'Compiled Agents'!A:H,6,FALSE)</f>
        <v>Purple</v>
      </c>
      <c r="G469" s="16">
        <f>VLOOKUP($A469,'SurveyRpt_20150223 (1)'!$A$34:$AN$735,6,FALSE)</f>
        <v>11</v>
      </c>
      <c r="H469" s="16" t="str">
        <f>VLOOKUP($A469,'SurveyRpt_20150223 (1)'!$A$34:$AN$735,8,FALSE)</f>
        <v>Yes</v>
      </c>
      <c r="I469" s="16" t="str">
        <f>VLOOKUP($A469,'SurveyRpt_20150223 (1)'!$A$34:$AN$735,10,FALSE)</f>
        <v>No</v>
      </c>
      <c r="J469" s="16" t="str">
        <f>VLOOKUP($A469,'SurveyRpt_20150223 (1)'!$A$34:$AN$735,12,FALSE)</f>
        <v>No</v>
      </c>
      <c r="K469" s="16" t="str">
        <f>VLOOKUP($A469,'SurveyRpt_20150223 (1)'!$A$34:$AN$735,14,FALSE)</f>
        <v>Yes</v>
      </c>
      <c r="L469" s="16" t="str">
        <f>VLOOKUP($A469,'SurveyRpt_20150223 (1)'!$A$34:$AN$735,16,FALSE)</f>
        <v>Yes</v>
      </c>
      <c r="M469" s="16" t="str">
        <f>VLOOKUP($A469,'SurveyRpt_20150223 (1)'!$A$34:$AN$735,18,FALSE)</f>
        <v>Yes</v>
      </c>
      <c r="N469" s="16" t="str">
        <f>VLOOKUP($A469,'SurveyRpt_20150223 (1)'!$A$34:$AN$735,20,FALSE)</f>
        <v>Yes</v>
      </c>
      <c r="O469" s="16" t="str">
        <f>VLOOKUP($A469,'SurveyRpt_20150223 (1)'!$A$34:$AN$735,22,FALSE)</f>
        <v>Yes</v>
      </c>
      <c r="P469" s="16" t="str">
        <f>VLOOKUP($A469,'SurveyRpt_20150223 (1)'!$A$34:$AN$735,24,FALSE)</f>
        <v>Yes</v>
      </c>
      <c r="Q469" s="16" t="str">
        <f>VLOOKUP($A469,'SurveyRpt_20150223 (1)'!$A$34:$AN$735,26,FALSE)</f>
        <v>Yes</v>
      </c>
      <c r="R469" s="16" t="str">
        <f>VLOOKUP($A469,'SurveyRpt_20150223 (1)'!$A$34:$AN$735,28,FALSE)</f>
        <v>Yes</v>
      </c>
      <c r="S469" s="16" t="str">
        <f>VLOOKUP($A469,'SurveyRpt_20150223 (1)'!$A$34:$AN$735,30,FALSE)</f>
        <v>Yes</v>
      </c>
      <c r="T469" s="16" t="str">
        <f>VLOOKUP($A469,'SurveyRpt_20150223 (1)'!$A$34:$AN$735,32,FALSE)</f>
        <v>No</v>
      </c>
      <c r="U469" s="16" t="str">
        <f>VLOOKUP($A469,'SurveyRpt_20150223 (1)'!$A$34:$AN$735,34,FALSE)</f>
        <v>No</v>
      </c>
      <c r="V469" s="16" t="str">
        <f>VLOOKUP($A469,'SurveyRpt_20150223 (1)'!$A$34:$AN$735,36,FALSE)</f>
        <v>Yes</v>
      </c>
      <c r="W469" s="16" t="str">
        <f>VLOOKUP($A469,'SurveyRpt_20150223 (1)'!$A$34:$AN$735,38,FALSE)</f>
        <v>No</v>
      </c>
    </row>
    <row r="470" spans="1:23" ht="13.5" customHeight="1" x14ac:dyDescent="0.25">
      <c r="A470" s="19" t="s">
        <v>563</v>
      </c>
      <c r="B470" s="19" t="str">
        <f t="shared" si="7"/>
        <v>CVERMA2</v>
      </c>
      <c r="C470" s="16" t="str">
        <f>VLOOKUP(B470,'Compiled Agents'!A:H,2,FALSE)</f>
        <v>Platform</v>
      </c>
      <c r="D470" s="16" t="str">
        <f>VLOOKUP(B470,'Compiled Agents'!A:H,4,FALSE)</f>
        <v>Noida</v>
      </c>
      <c r="E470" s="16" t="str">
        <f>VLOOKUP(B470,'Compiled Agents'!A:H,5,FALSE)</f>
        <v>Wave1</v>
      </c>
      <c r="F470" s="16" t="str">
        <f>VLOOKUP(B470,'Compiled Agents'!A:H,6,FALSE)</f>
        <v>Blue</v>
      </c>
      <c r="G470" s="16">
        <f>VLOOKUP($A470,'SurveyRpt_20150223 (1)'!$A$34:$AN$735,6,FALSE)</f>
        <v>5</v>
      </c>
      <c r="H470" s="16" t="str">
        <f>VLOOKUP($A470,'SurveyRpt_20150223 (1)'!$A$34:$AN$735,8,FALSE)</f>
        <v>Yes</v>
      </c>
      <c r="I470" s="16" t="str">
        <f>VLOOKUP($A470,'SurveyRpt_20150223 (1)'!$A$34:$AN$735,10,FALSE)</f>
        <v>Yes</v>
      </c>
      <c r="J470" s="16" t="str">
        <f>VLOOKUP($A470,'SurveyRpt_20150223 (1)'!$A$34:$AN$735,12,FALSE)</f>
        <v>No</v>
      </c>
      <c r="K470" s="16" t="str">
        <f>VLOOKUP($A470,'SurveyRpt_20150223 (1)'!$A$34:$AN$735,14,FALSE)</f>
        <v>No</v>
      </c>
      <c r="L470" s="16" t="str">
        <f>VLOOKUP($A470,'SurveyRpt_20150223 (1)'!$A$34:$AN$735,16,FALSE)</f>
        <v>No</v>
      </c>
      <c r="M470" s="16" t="str">
        <f>VLOOKUP($A470,'SurveyRpt_20150223 (1)'!$A$34:$AN$735,18,FALSE)</f>
        <v>No</v>
      </c>
      <c r="N470" s="16" t="str">
        <f>VLOOKUP($A470,'SurveyRpt_20150223 (1)'!$A$34:$AN$735,20,FALSE)</f>
        <v>No</v>
      </c>
      <c r="O470" s="16" t="str">
        <f>VLOOKUP($A470,'SurveyRpt_20150223 (1)'!$A$34:$AN$735,22,FALSE)</f>
        <v>No</v>
      </c>
      <c r="P470" s="16" t="str">
        <f>VLOOKUP($A470,'SurveyRpt_20150223 (1)'!$A$34:$AN$735,24,FALSE)</f>
        <v>No</v>
      </c>
      <c r="Q470" s="16" t="str">
        <f>VLOOKUP($A470,'SurveyRpt_20150223 (1)'!$A$34:$AN$735,26,FALSE)</f>
        <v>No</v>
      </c>
      <c r="R470" s="16" t="str">
        <f>VLOOKUP($A470,'SurveyRpt_20150223 (1)'!$A$34:$AN$735,28,FALSE)</f>
        <v>Yes</v>
      </c>
      <c r="S470" s="16" t="str">
        <f>VLOOKUP($A470,'SurveyRpt_20150223 (1)'!$A$34:$AN$735,30,FALSE)</f>
        <v>Yes</v>
      </c>
      <c r="T470" s="16" t="str">
        <f>VLOOKUP($A470,'SurveyRpt_20150223 (1)'!$A$34:$AN$735,32,FALSE)</f>
        <v>Yes</v>
      </c>
      <c r="U470" s="16" t="str">
        <f>VLOOKUP($A470,'SurveyRpt_20150223 (1)'!$A$34:$AN$735,34,FALSE)</f>
        <v>No</v>
      </c>
      <c r="V470" s="16" t="str">
        <f>VLOOKUP($A470,'SurveyRpt_20150223 (1)'!$A$34:$AN$735,36,FALSE)</f>
        <v>No</v>
      </c>
      <c r="W470" s="16" t="str">
        <f>VLOOKUP($A470,'SurveyRpt_20150223 (1)'!$A$34:$AN$735,38,FALSE)</f>
        <v>No</v>
      </c>
    </row>
    <row r="471" spans="1:23" ht="13.5" customHeight="1" x14ac:dyDescent="0.25">
      <c r="A471" s="19" t="s">
        <v>564</v>
      </c>
      <c r="B471" s="19" t="str">
        <f t="shared" si="7"/>
        <v>stiwari37</v>
      </c>
      <c r="C471" s="16" t="str">
        <f>VLOOKUP(B471,'Compiled Agents'!A:H,2,FALSE)</f>
        <v>Platform</v>
      </c>
      <c r="D471" s="16" t="str">
        <f>VLOOKUP(B471,'Compiled Agents'!A:H,4,FALSE)</f>
        <v>Noida</v>
      </c>
      <c r="E471" s="16" t="str">
        <f>VLOOKUP(B471,'Compiled Agents'!A:H,5,FALSE)</f>
        <v>Wave2</v>
      </c>
      <c r="F471" s="16" t="str">
        <f>VLOOKUP(B471,'Compiled Agents'!A:H,6,FALSE)</f>
        <v>Yellow</v>
      </c>
      <c r="G471" s="16">
        <f>VLOOKUP($A471,'SurveyRpt_20150223 (1)'!$A$34:$AN$735,6,FALSE)</f>
        <v>16</v>
      </c>
      <c r="H471" s="16" t="str">
        <f>VLOOKUP($A471,'SurveyRpt_20150223 (1)'!$A$34:$AN$735,8,FALSE)</f>
        <v>Yes</v>
      </c>
      <c r="I471" s="16" t="str">
        <f>VLOOKUP($A471,'SurveyRpt_20150223 (1)'!$A$34:$AN$735,10,FALSE)</f>
        <v>Yes</v>
      </c>
      <c r="J471" s="16" t="str">
        <f>VLOOKUP($A471,'SurveyRpt_20150223 (1)'!$A$34:$AN$735,12,FALSE)</f>
        <v>Yes</v>
      </c>
      <c r="K471" s="16" t="str">
        <f>VLOOKUP($A471,'SurveyRpt_20150223 (1)'!$A$34:$AN$735,14,FALSE)</f>
        <v>Yes</v>
      </c>
      <c r="L471" s="16" t="str">
        <f>VLOOKUP($A471,'SurveyRpt_20150223 (1)'!$A$34:$AN$735,16,FALSE)</f>
        <v>Yes</v>
      </c>
      <c r="M471" s="16" t="str">
        <f>VLOOKUP($A471,'SurveyRpt_20150223 (1)'!$A$34:$AN$735,18,FALSE)</f>
        <v>Yes</v>
      </c>
      <c r="N471" s="16" t="str">
        <f>VLOOKUP($A471,'SurveyRpt_20150223 (1)'!$A$34:$AN$735,20,FALSE)</f>
        <v>Yes</v>
      </c>
      <c r="O471" s="16" t="str">
        <f>VLOOKUP($A471,'SurveyRpt_20150223 (1)'!$A$34:$AN$735,22,FALSE)</f>
        <v>Yes</v>
      </c>
      <c r="P471" s="16" t="str">
        <f>VLOOKUP($A471,'SurveyRpt_20150223 (1)'!$A$34:$AN$735,24,FALSE)</f>
        <v>Yes</v>
      </c>
      <c r="Q471" s="16" t="str">
        <f>VLOOKUP($A471,'SurveyRpt_20150223 (1)'!$A$34:$AN$735,26,FALSE)</f>
        <v>Yes</v>
      </c>
      <c r="R471" s="16" t="str">
        <f>VLOOKUP($A471,'SurveyRpt_20150223 (1)'!$A$34:$AN$735,28,FALSE)</f>
        <v>Yes</v>
      </c>
      <c r="S471" s="16" t="str">
        <f>VLOOKUP($A471,'SurveyRpt_20150223 (1)'!$A$34:$AN$735,30,FALSE)</f>
        <v>Yes</v>
      </c>
      <c r="T471" s="16" t="str">
        <f>VLOOKUP($A471,'SurveyRpt_20150223 (1)'!$A$34:$AN$735,32,FALSE)</f>
        <v>Yes</v>
      </c>
      <c r="U471" s="16" t="str">
        <f>VLOOKUP($A471,'SurveyRpt_20150223 (1)'!$A$34:$AN$735,34,FALSE)</f>
        <v>Yes</v>
      </c>
      <c r="V471" s="16" t="str">
        <f>VLOOKUP($A471,'SurveyRpt_20150223 (1)'!$A$34:$AN$735,36,FALSE)</f>
        <v>Yes</v>
      </c>
      <c r="W471" s="16" t="str">
        <f>VLOOKUP($A471,'SurveyRpt_20150223 (1)'!$A$34:$AN$735,38,FALSE)</f>
        <v>Yes</v>
      </c>
    </row>
    <row r="472" spans="1:23" ht="13.5" customHeight="1" x14ac:dyDescent="0.25">
      <c r="A472" s="19" t="s">
        <v>565</v>
      </c>
      <c r="B472" s="19" t="str">
        <f t="shared" si="7"/>
        <v>VTHAKUR2</v>
      </c>
      <c r="C472" s="16" t="str">
        <f>VLOOKUP(B472,'Compiled Agents'!A:H,2,FALSE)</f>
        <v>Workplace</v>
      </c>
      <c r="D472" s="16" t="str">
        <f>VLOOKUP(B472,'Compiled Agents'!A:H,4,FALSE)</f>
        <v>Noida</v>
      </c>
      <c r="E472" s="16" t="str">
        <f>VLOOKUP(B472,'Compiled Agents'!A:H,5,FALSE)</f>
        <v>Wave1</v>
      </c>
      <c r="F472" s="16" t="str">
        <f>VLOOKUP(B472,'Compiled Agents'!A:H,6,FALSE)</f>
        <v>Yellow</v>
      </c>
      <c r="G472" s="16">
        <f>VLOOKUP($A472,'SurveyRpt_20150223 (1)'!$A$34:$AN$735,6,FALSE)</f>
        <v>16</v>
      </c>
      <c r="H472" s="16" t="str">
        <f>VLOOKUP($A472,'SurveyRpt_20150223 (1)'!$A$34:$AN$735,8,FALSE)</f>
        <v>Yes</v>
      </c>
      <c r="I472" s="16" t="str">
        <f>VLOOKUP($A472,'SurveyRpt_20150223 (1)'!$A$34:$AN$735,10,FALSE)</f>
        <v>Yes</v>
      </c>
      <c r="J472" s="16" t="str">
        <f>VLOOKUP($A472,'SurveyRpt_20150223 (1)'!$A$34:$AN$735,12,FALSE)</f>
        <v>Yes</v>
      </c>
      <c r="K472" s="16" t="str">
        <f>VLOOKUP($A472,'SurveyRpt_20150223 (1)'!$A$34:$AN$735,14,FALSE)</f>
        <v>Yes</v>
      </c>
      <c r="L472" s="16" t="str">
        <f>VLOOKUP($A472,'SurveyRpt_20150223 (1)'!$A$34:$AN$735,16,FALSE)</f>
        <v>Yes</v>
      </c>
      <c r="M472" s="16" t="str">
        <f>VLOOKUP($A472,'SurveyRpt_20150223 (1)'!$A$34:$AN$735,18,FALSE)</f>
        <v>Yes</v>
      </c>
      <c r="N472" s="16" t="str">
        <f>VLOOKUP($A472,'SurveyRpt_20150223 (1)'!$A$34:$AN$735,20,FALSE)</f>
        <v>Yes</v>
      </c>
      <c r="O472" s="16" t="str">
        <f>VLOOKUP($A472,'SurveyRpt_20150223 (1)'!$A$34:$AN$735,22,FALSE)</f>
        <v>Yes</v>
      </c>
      <c r="P472" s="16" t="str">
        <f>VLOOKUP($A472,'SurveyRpt_20150223 (1)'!$A$34:$AN$735,24,FALSE)</f>
        <v>Yes</v>
      </c>
      <c r="Q472" s="16" t="str">
        <f>VLOOKUP($A472,'SurveyRpt_20150223 (1)'!$A$34:$AN$735,26,FALSE)</f>
        <v>Yes</v>
      </c>
      <c r="R472" s="16" t="str">
        <f>VLOOKUP($A472,'SurveyRpt_20150223 (1)'!$A$34:$AN$735,28,FALSE)</f>
        <v>Yes</v>
      </c>
      <c r="S472" s="16" t="str">
        <f>VLOOKUP($A472,'SurveyRpt_20150223 (1)'!$A$34:$AN$735,30,FALSE)</f>
        <v>Yes</v>
      </c>
      <c r="T472" s="16" t="str">
        <f>VLOOKUP($A472,'SurveyRpt_20150223 (1)'!$A$34:$AN$735,32,FALSE)</f>
        <v>Yes</v>
      </c>
      <c r="U472" s="16" t="str">
        <f>VLOOKUP($A472,'SurveyRpt_20150223 (1)'!$A$34:$AN$735,34,FALSE)</f>
        <v>Yes</v>
      </c>
      <c r="V472" s="16" t="str">
        <f>VLOOKUP($A472,'SurveyRpt_20150223 (1)'!$A$34:$AN$735,36,FALSE)</f>
        <v>Yes</v>
      </c>
      <c r="W472" s="16" t="str">
        <f>VLOOKUP($A472,'SurveyRpt_20150223 (1)'!$A$34:$AN$735,38,FALSE)</f>
        <v>Yes</v>
      </c>
    </row>
    <row r="473" spans="1:23" ht="13.5" customHeight="1" x14ac:dyDescent="0.25">
      <c r="A473" s="19" t="s">
        <v>566</v>
      </c>
      <c r="B473" s="19" t="str">
        <f t="shared" si="7"/>
        <v>JBOJJA</v>
      </c>
      <c r="C473" s="16" t="str">
        <f>VLOOKUP(B473,'Compiled Agents'!A:H,2,FALSE)</f>
        <v>Platform</v>
      </c>
      <c r="D473" s="16" t="str">
        <f>VLOOKUP(B473,'Compiled Agents'!A:H,4,FALSE)</f>
        <v>Noida</v>
      </c>
      <c r="E473" s="16" t="str">
        <f>VLOOKUP(B473,'Compiled Agents'!A:H,5,FALSE)</f>
        <v>Wave2</v>
      </c>
      <c r="F473" s="16" t="str">
        <f>VLOOKUP(B473,'Compiled Agents'!A:H,6,FALSE)</f>
        <v>Orange</v>
      </c>
      <c r="G473" s="16">
        <f>VLOOKUP($A473,'SurveyRpt_20150223 (1)'!$A$34:$AN$735,6,FALSE)</f>
        <v>16</v>
      </c>
      <c r="H473" s="16" t="str">
        <f>VLOOKUP($A473,'SurveyRpt_20150223 (1)'!$A$34:$AN$735,8,FALSE)</f>
        <v>Yes</v>
      </c>
      <c r="I473" s="16" t="str">
        <f>VLOOKUP($A473,'SurveyRpt_20150223 (1)'!$A$34:$AN$735,10,FALSE)</f>
        <v>Yes</v>
      </c>
      <c r="J473" s="16" t="str">
        <f>VLOOKUP($A473,'SurveyRpt_20150223 (1)'!$A$34:$AN$735,12,FALSE)</f>
        <v>Yes</v>
      </c>
      <c r="K473" s="16" t="str">
        <f>VLOOKUP($A473,'SurveyRpt_20150223 (1)'!$A$34:$AN$735,14,FALSE)</f>
        <v>Yes</v>
      </c>
      <c r="L473" s="16" t="str">
        <f>VLOOKUP($A473,'SurveyRpt_20150223 (1)'!$A$34:$AN$735,16,FALSE)</f>
        <v>Yes</v>
      </c>
      <c r="M473" s="16" t="str">
        <f>VLOOKUP($A473,'SurveyRpt_20150223 (1)'!$A$34:$AN$735,18,FALSE)</f>
        <v>Yes</v>
      </c>
      <c r="N473" s="16" t="str">
        <f>VLOOKUP($A473,'SurveyRpt_20150223 (1)'!$A$34:$AN$735,20,FALSE)</f>
        <v>Yes</v>
      </c>
      <c r="O473" s="16" t="str">
        <f>VLOOKUP($A473,'SurveyRpt_20150223 (1)'!$A$34:$AN$735,22,FALSE)</f>
        <v>Yes</v>
      </c>
      <c r="P473" s="16" t="str">
        <f>VLOOKUP($A473,'SurveyRpt_20150223 (1)'!$A$34:$AN$735,24,FALSE)</f>
        <v>Yes</v>
      </c>
      <c r="Q473" s="16" t="str">
        <f>VLOOKUP($A473,'SurveyRpt_20150223 (1)'!$A$34:$AN$735,26,FALSE)</f>
        <v>Yes</v>
      </c>
      <c r="R473" s="16" t="str">
        <f>VLOOKUP($A473,'SurveyRpt_20150223 (1)'!$A$34:$AN$735,28,FALSE)</f>
        <v>Yes</v>
      </c>
      <c r="S473" s="16" t="str">
        <f>VLOOKUP($A473,'SurveyRpt_20150223 (1)'!$A$34:$AN$735,30,FALSE)</f>
        <v>Yes</v>
      </c>
      <c r="T473" s="16" t="str">
        <f>VLOOKUP($A473,'SurveyRpt_20150223 (1)'!$A$34:$AN$735,32,FALSE)</f>
        <v>Yes</v>
      </c>
      <c r="U473" s="16" t="str">
        <f>VLOOKUP($A473,'SurveyRpt_20150223 (1)'!$A$34:$AN$735,34,FALSE)</f>
        <v>Yes</v>
      </c>
      <c r="V473" s="16" t="str">
        <f>VLOOKUP($A473,'SurveyRpt_20150223 (1)'!$A$34:$AN$735,36,FALSE)</f>
        <v>Yes</v>
      </c>
      <c r="W473" s="16" t="str">
        <f>VLOOKUP($A473,'SurveyRpt_20150223 (1)'!$A$34:$AN$735,38,FALSE)</f>
        <v>Yes</v>
      </c>
    </row>
    <row r="474" spans="1:23" ht="13.5" customHeight="1" x14ac:dyDescent="0.25">
      <c r="A474" s="19" t="s">
        <v>567</v>
      </c>
      <c r="B474" s="19" t="str">
        <f t="shared" si="7"/>
        <v>TCHUKKANA</v>
      </c>
      <c r="C474" s="16" t="str">
        <f>VLOOKUP(B474,'Compiled Agents'!A:H,2,FALSE)</f>
        <v>Platform</v>
      </c>
      <c r="D474" s="16" t="str">
        <f>VLOOKUP(B474,'Compiled Agents'!A:H,4,FALSE)</f>
        <v>Noida</v>
      </c>
      <c r="E474" s="16" t="str">
        <f>VLOOKUP(B474,'Compiled Agents'!A:H,5,FALSE)</f>
        <v>Wave2</v>
      </c>
      <c r="F474" s="16" t="str">
        <f>VLOOKUP(B474,'Compiled Agents'!A:H,6,FALSE)</f>
        <v>Purple</v>
      </c>
      <c r="G474" s="16">
        <f>VLOOKUP($A474,'SurveyRpt_20150223 (1)'!$A$34:$AN$735,6,FALSE)</f>
        <v>16</v>
      </c>
      <c r="H474" s="16" t="str">
        <f>VLOOKUP($A474,'SurveyRpt_20150223 (1)'!$A$34:$AN$735,8,FALSE)</f>
        <v>Yes</v>
      </c>
      <c r="I474" s="16" t="str">
        <f>VLOOKUP($A474,'SurveyRpt_20150223 (1)'!$A$34:$AN$735,10,FALSE)</f>
        <v>Yes</v>
      </c>
      <c r="J474" s="16" t="str">
        <f>VLOOKUP($A474,'SurveyRpt_20150223 (1)'!$A$34:$AN$735,12,FALSE)</f>
        <v>Yes</v>
      </c>
      <c r="K474" s="16" t="str">
        <f>VLOOKUP($A474,'SurveyRpt_20150223 (1)'!$A$34:$AN$735,14,FALSE)</f>
        <v>Yes</v>
      </c>
      <c r="L474" s="16" t="str">
        <f>VLOOKUP($A474,'SurveyRpt_20150223 (1)'!$A$34:$AN$735,16,FALSE)</f>
        <v>Yes</v>
      </c>
      <c r="M474" s="16" t="str">
        <f>VLOOKUP($A474,'SurveyRpt_20150223 (1)'!$A$34:$AN$735,18,FALSE)</f>
        <v>Yes</v>
      </c>
      <c r="N474" s="16" t="str">
        <f>VLOOKUP($A474,'SurveyRpt_20150223 (1)'!$A$34:$AN$735,20,FALSE)</f>
        <v>Yes</v>
      </c>
      <c r="O474" s="16" t="str">
        <f>VLOOKUP($A474,'SurveyRpt_20150223 (1)'!$A$34:$AN$735,22,FALSE)</f>
        <v>Yes</v>
      </c>
      <c r="P474" s="16" t="str">
        <f>VLOOKUP($A474,'SurveyRpt_20150223 (1)'!$A$34:$AN$735,24,FALSE)</f>
        <v>Yes</v>
      </c>
      <c r="Q474" s="16" t="str">
        <f>VLOOKUP($A474,'SurveyRpt_20150223 (1)'!$A$34:$AN$735,26,FALSE)</f>
        <v>Yes</v>
      </c>
      <c r="R474" s="16" t="str">
        <f>VLOOKUP($A474,'SurveyRpt_20150223 (1)'!$A$34:$AN$735,28,FALSE)</f>
        <v>Yes</v>
      </c>
      <c r="S474" s="16" t="str">
        <f>VLOOKUP($A474,'SurveyRpt_20150223 (1)'!$A$34:$AN$735,30,FALSE)</f>
        <v>Yes</v>
      </c>
      <c r="T474" s="16" t="str">
        <f>VLOOKUP($A474,'SurveyRpt_20150223 (1)'!$A$34:$AN$735,32,FALSE)</f>
        <v>Yes</v>
      </c>
      <c r="U474" s="16" t="str">
        <f>VLOOKUP($A474,'SurveyRpt_20150223 (1)'!$A$34:$AN$735,34,FALSE)</f>
        <v>Yes</v>
      </c>
      <c r="V474" s="16" t="str">
        <f>VLOOKUP($A474,'SurveyRpt_20150223 (1)'!$A$34:$AN$735,36,FALSE)</f>
        <v>Yes</v>
      </c>
      <c r="W474" s="16" t="str">
        <f>VLOOKUP($A474,'SurveyRpt_20150223 (1)'!$A$34:$AN$735,38,FALSE)</f>
        <v>Yes</v>
      </c>
    </row>
    <row r="475" spans="1:23" ht="13.5" customHeight="1" x14ac:dyDescent="0.25">
      <c r="A475" s="19" t="s">
        <v>568</v>
      </c>
      <c r="B475" s="19" t="str">
        <f t="shared" si="7"/>
        <v>CGUDIMELLA</v>
      </c>
      <c r="C475" s="16" t="str">
        <f>VLOOKUP(B475,'Compiled Agents'!A:H,2,FALSE)</f>
        <v>Platform</v>
      </c>
      <c r="D475" s="16" t="str">
        <f>VLOOKUP(B475,'Compiled Agents'!A:H,4,FALSE)</f>
        <v>Noida</v>
      </c>
      <c r="E475" s="16" t="str">
        <f>VLOOKUP(B475,'Compiled Agents'!A:H,5,FALSE)</f>
        <v>Wave2</v>
      </c>
      <c r="F475" s="16" t="str">
        <f>VLOOKUP(B475,'Compiled Agents'!A:H,6,FALSE)</f>
        <v>Blue</v>
      </c>
      <c r="G475" s="16">
        <f>VLOOKUP($A475,'SurveyRpt_20150223 (1)'!$A$34:$AN$735,6,FALSE)</f>
        <v>10</v>
      </c>
      <c r="H475" s="16" t="str">
        <f>VLOOKUP($A475,'SurveyRpt_20150223 (1)'!$A$34:$AN$735,8,FALSE)</f>
        <v>Yes</v>
      </c>
      <c r="I475" s="16" t="str">
        <f>VLOOKUP($A475,'SurveyRpt_20150223 (1)'!$A$34:$AN$735,10,FALSE)</f>
        <v>Yes</v>
      </c>
      <c r="J475" s="16" t="str">
        <f>VLOOKUP($A475,'SurveyRpt_20150223 (1)'!$A$34:$AN$735,12,FALSE)</f>
        <v>No</v>
      </c>
      <c r="K475" s="16" t="str">
        <f>VLOOKUP($A475,'SurveyRpt_20150223 (1)'!$A$34:$AN$735,14,FALSE)</f>
        <v>No</v>
      </c>
      <c r="L475" s="16" t="str">
        <f>VLOOKUP($A475,'SurveyRpt_20150223 (1)'!$A$34:$AN$735,16,FALSE)</f>
        <v>Yes</v>
      </c>
      <c r="M475" s="16" t="str">
        <f>VLOOKUP($A475,'SurveyRpt_20150223 (1)'!$A$34:$AN$735,18,FALSE)</f>
        <v>No</v>
      </c>
      <c r="N475" s="16" t="str">
        <f>VLOOKUP($A475,'SurveyRpt_20150223 (1)'!$A$34:$AN$735,20,FALSE)</f>
        <v>No</v>
      </c>
      <c r="O475" s="16" t="str">
        <f>VLOOKUP($A475,'SurveyRpt_20150223 (1)'!$A$34:$AN$735,22,FALSE)</f>
        <v>Yes</v>
      </c>
      <c r="P475" s="16" t="str">
        <f>VLOOKUP($A475,'SurveyRpt_20150223 (1)'!$A$34:$AN$735,24,FALSE)</f>
        <v>Yes</v>
      </c>
      <c r="Q475" s="16" t="str">
        <f>VLOOKUP($A475,'SurveyRpt_20150223 (1)'!$A$34:$AN$735,26,FALSE)</f>
        <v>Yes</v>
      </c>
      <c r="R475" s="16" t="str">
        <f>VLOOKUP($A475,'SurveyRpt_20150223 (1)'!$A$34:$AN$735,28,FALSE)</f>
        <v>Yes</v>
      </c>
      <c r="S475" s="16" t="str">
        <f>VLOOKUP($A475,'SurveyRpt_20150223 (1)'!$A$34:$AN$735,30,FALSE)</f>
        <v>Yes</v>
      </c>
      <c r="T475" s="16" t="str">
        <f>VLOOKUP($A475,'SurveyRpt_20150223 (1)'!$A$34:$AN$735,32,FALSE)</f>
        <v>No</v>
      </c>
      <c r="U475" s="16" t="str">
        <f>VLOOKUP($A475,'SurveyRpt_20150223 (1)'!$A$34:$AN$735,34,FALSE)</f>
        <v>Yes</v>
      </c>
      <c r="V475" s="16" t="str">
        <f>VLOOKUP($A475,'SurveyRpt_20150223 (1)'!$A$34:$AN$735,36,FALSE)</f>
        <v>Yes</v>
      </c>
      <c r="W475" s="16" t="str">
        <f>VLOOKUP($A475,'SurveyRpt_20150223 (1)'!$A$34:$AN$735,38,FALSE)</f>
        <v>No</v>
      </c>
    </row>
    <row r="476" spans="1:23" ht="13.5" customHeight="1" x14ac:dyDescent="0.25">
      <c r="A476" s="19" t="s">
        <v>569</v>
      </c>
      <c r="B476" s="19" t="str">
        <f t="shared" si="7"/>
        <v>SKOTANKAR</v>
      </c>
      <c r="C476" s="16" t="str">
        <f>VLOOKUP(B476,'Compiled Agents'!A:H,2,FALSE)</f>
        <v>Platform</v>
      </c>
      <c r="D476" s="16" t="str">
        <f>VLOOKUP(B476,'Compiled Agents'!A:H,4,FALSE)</f>
        <v>Hyderabad</v>
      </c>
      <c r="E476" s="16" t="str">
        <f>VLOOKUP(B476,'Compiled Agents'!A:H,5,FALSE)</f>
        <v>Wave1</v>
      </c>
      <c r="F476" s="16" t="str">
        <f>VLOOKUP(B476,'Compiled Agents'!A:H,6,FALSE)</f>
        <v>Blue</v>
      </c>
      <c r="G476" s="16">
        <f>VLOOKUP($A476,'SurveyRpt_20150223 (1)'!$A$34:$AN$735,6,FALSE)</f>
        <v>7</v>
      </c>
      <c r="H476" s="16" t="str">
        <f>VLOOKUP($A476,'SurveyRpt_20150223 (1)'!$A$34:$AN$735,8,FALSE)</f>
        <v>Yes</v>
      </c>
      <c r="I476" s="16" t="str">
        <f>VLOOKUP($A476,'SurveyRpt_20150223 (1)'!$A$34:$AN$735,10,FALSE)</f>
        <v>No</v>
      </c>
      <c r="J476" s="16" t="str">
        <f>VLOOKUP($A476,'SurveyRpt_20150223 (1)'!$A$34:$AN$735,12,FALSE)</f>
        <v>No</v>
      </c>
      <c r="K476" s="16" t="str">
        <f>VLOOKUP($A476,'SurveyRpt_20150223 (1)'!$A$34:$AN$735,14,FALSE)</f>
        <v>No</v>
      </c>
      <c r="L476" s="16" t="str">
        <f>VLOOKUP($A476,'SurveyRpt_20150223 (1)'!$A$34:$AN$735,16,FALSE)</f>
        <v>No</v>
      </c>
      <c r="M476" s="16" t="str">
        <f>VLOOKUP($A476,'SurveyRpt_20150223 (1)'!$A$34:$AN$735,18,FALSE)</f>
        <v>No</v>
      </c>
      <c r="N476" s="16" t="str">
        <f>VLOOKUP($A476,'SurveyRpt_20150223 (1)'!$A$34:$AN$735,20,FALSE)</f>
        <v>Yes</v>
      </c>
      <c r="O476" s="16" t="str">
        <f>VLOOKUP($A476,'SurveyRpt_20150223 (1)'!$A$34:$AN$735,22,FALSE)</f>
        <v>No</v>
      </c>
      <c r="P476" s="16" t="str">
        <f>VLOOKUP($A476,'SurveyRpt_20150223 (1)'!$A$34:$AN$735,24,FALSE)</f>
        <v>No</v>
      </c>
      <c r="Q476" s="16" t="str">
        <f>VLOOKUP($A476,'SurveyRpt_20150223 (1)'!$A$34:$AN$735,26,FALSE)</f>
        <v>Yes</v>
      </c>
      <c r="R476" s="16" t="str">
        <f>VLOOKUP($A476,'SurveyRpt_20150223 (1)'!$A$34:$AN$735,28,FALSE)</f>
        <v>Yes</v>
      </c>
      <c r="S476" s="16" t="str">
        <f>VLOOKUP($A476,'SurveyRpt_20150223 (1)'!$A$34:$AN$735,30,FALSE)</f>
        <v>Yes</v>
      </c>
      <c r="T476" s="16" t="str">
        <f>VLOOKUP($A476,'SurveyRpt_20150223 (1)'!$A$34:$AN$735,32,FALSE)</f>
        <v>Yes</v>
      </c>
      <c r="U476" s="16" t="str">
        <f>VLOOKUP($A476,'SurveyRpt_20150223 (1)'!$A$34:$AN$735,34,FALSE)</f>
        <v>No</v>
      </c>
      <c r="V476" s="16" t="str">
        <f>VLOOKUP($A476,'SurveyRpt_20150223 (1)'!$A$34:$AN$735,36,FALSE)</f>
        <v>Yes</v>
      </c>
      <c r="W476" s="16" t="str">
        <f>VLOOKUP($A476,'SurveyRpt_20150223 (1)'!$A$34:$AN$735,38,FALSE)</f>
        <v>No</v>
      </c>
    </row>
    <row r="477" spans="1:23" ht="13.5" customHeight="1" x14ac:dyDescent="0.25">
      <c r="A477" s="19" t="s">
        <v>570</v>
      </c>
      <c r="B477" s="19" t="str">
        <f t="shared" si="7"/>
        <v>pgonzalezara</v>
      </c>
      <c r="C477" s="16" t="str">
        <f>VLOOKUP(B477,'Compiled Agents'!A:H,2,FALSE)</f>
        <v>Platform</v>
      </c>
      <c r="D477" s="16" t="str">
        <f>VLOOKUP(B477,'Compiled Agents'!A:H,4,FALSE)</f>
        <v>Spain</v>
      </c>
      <c r="E477" s="16" t="str">
        <f>VLOOKUP(B477,'Compiled Agents'!A:H,5,FALSE)</f>
        <v>Wave1</v>
      </c>
      <c r="F477" s="16" t="str">
        <f>VLOOKUP(B477,'Compiled Agents'!A:H,6,FALSE)</f>
        <v>Blue</v>
      </c>
      <c r="G477" s="16">
        <f>VLOOKUP($A477,'SurveyRpt_20150223 (1)'!$A$34:$AN$735,6,FALSE)</f>
        <v>15</v>
      </c>
      <c r="H477" s="16" t="str">
        <f>VLOOKUP($A477,'SurveyRpt_20150223 (1)'!$A$34:$AN$735,8,FALSE)</f>
        <v>Yes</v>
      </c>
      <c r="I477" s="16" t="str">
        <f>VLOOKUP($A477,'SurveyRpt_20150223 (1)'!$A$34:$AN$735,10,FALSE)</f>
        <v>Yes</v>
      </c>
      <c r="J477" s="16" t="str">
        <f>VLOOKUP($A477,'SurveyRpt_20150223 (1)'!$A$34:$AN$735,12,FALSE)</f>
        <v>Yes</v>
      </c>
      <c r="K477" s="16" t="str">
        <f>VLOOKUP($A477,'SurveyRpt_20150223 (1)'!$A$34:$AN$735,14,FALSE)</f>
        <v>Yes</v>
      </c>
      <c r="L477" s="16" t="str">
        <f>VLOOKUP($A477,'SurveyRpt_20150223 (1)'!$A$34:$AN$735,16,FALSE)</f>
        <v>Yes</v>
      </c>
      <c r="M477" s="16" t="str">
        <f>VLOOKUP($A477,'SurveyRpt_20150223 (1)'!$A$34:$AN$735,18,FALSE)</f>
        <v>Yes</v>
      </c>
      <c r="N477" s="16" t="str">
        <f>VLOOKUP($A477,'SurveyRpt_20150223 (1)'!$A$34:$AN$735,20,FALSE)</f>
        <v>Yes</v>
      </c>
      <c r="O477" s="16" t="str">
        <f>VLOOKUP($A477,'SurveyRpt_20150223 (1)'!$A$34:$AN$735,22,FALSE)</f>
        <v>Yes</v>
      </c>
      <c r="P477" s="16" t="str">
        <f>VLOOKUP($A477,'SurveyRpt_20150223 (1)'!$A$34:$AN$735,24,FALSE)</f>
        <v>No</v>
      </c>
      <c r="Q477" s="16" t="str">
        <f>VLOOKUP($A477,'SurveyRpt_20150223 (1)'!$A$34:$AN$735,26,FALSE)</f>
        <v>Yes</v>
      </c>
      <c r="R477" s="16" t="str">
        <f>VLOOKUP($A477,'SurveyRpt_20150223 (1)'!$A$34:$AN$735,28,FALSE)</f>
        <v>Yes</v>
      </c>
      <c r="S477" s="16" t="str">
        <f>VLOOKUP($A477,'SurveyRpt_20150223 (1)'!$A$34:$AN$735,30,FALSE)</f>
        <v>Yes</v>
      </c>
      <c r="T477" s="16" t="str">
        <f>VLOOKUP($A477,'SurveyRpt_20150223 (1)'!$A$34:$AN$735,32,FALSE)</f>
        <v>Yes</v>
      </c>
      <c r="U477" s="16" t="str">
        <f>VLOOKUP($A477,'SurveyRpt_20150223 (1)'!$A$34:$AN$735,34,FALSE)</f>
        <v>Yes</v>
      </c>
      <c r="V477" s="16" t="str">
        <f>VLOOKUP($A477,'SurveyRpt_20150223 (1)'!$A$34:$AN$735,36,FALSE)</f>
        <v>Yes</v>
      </c>
      <c r="W477" s="16" t="str">
        <f>VLOOKUP($A477,'SurveyRpt_20150223 (1)'!$A$34:$AN$735,38,FALSE)</f>
        <v>Yes</v>
      </c>
    </row>
    <row r="478" spans="1:23" ht="13.5" customHeight="1" x14ac:dyDescent="0.25">
      <c r="A478" s="19" t="s">
        <v>571</v>
      </c>
      <c r="B478" s="19" t="str">
        <f t="shared" si="7"/>
        <v>MYADLA2</v>
      </c>
      <c r="C478" s="16" t="str">
        <f>VLOOKUP(B478,'Compiled Agents'!A:H,2,FALSE)</f>
        <v>Platform</v>
      </c>
      <c r="D478" s="16" t="str">
        <f>VLOOKUP(B478,'Compiled Agents'!A:H,4,FALSE)</f>
        <v>Hyderabad</v>
      </c>
      <c r="E478" s="16" t="str">
        <f>VLOOKUP(B478,'Compiled Agents'!A:H,5,FALSE)</f>
        <v>Wave1</v>
      </c>
      <c r="F478" s="16" t="str">
        <f>VLOOKUP(B478,'Compiled Agents'!A:H,6,FALSE)</f>
        <v>Orange</v>
      </c>
      <c r="G478" s="16">
        <f>VLOOKUP($A478,'SurveyRpt_20150223 (1)'!$A$34:$AN$735,6,FALSE)</f>
        <v>16</v>
      </c>
      <c r="H478" s="16" t="str">
        <f>VLOOKUP($A478,'SurveyRpt_20150223 (1)'!$A$34:$AN$735,8,FALSE)</f>
        <v>Yes</v>
      </c>
      <c r="I478" s="16" t="str">
        <f>VLOOKUP($A478,'SurveyRpt_20150223 (1)'!$A$34:$AN$735,10,FALSE)</f>
        <v>Yes</v>
      </c>
      <c r="J478" s="16" t="str">
        <f>VLOOKUP($A478,'SurveyRpt_20150223 (1)'!$A$34:$AN$735,12,FALSE)</f>
        <v>Yes</v>
      </c>
      <c r="K478" s="16" t="str">
        <f>VLOOKUP($A478,'SurveyRpt_20150223 (1)'!$A$34:$AN$735,14,FALSE)</f>
        <v>Yes</v>
      </c>
      <c r="L478" s="16" t="str">
        <f>VLOOKUP($A478,'SurveyRpt_20150223 (1)'!$A$34:$AN$735,16,FALSE)</f>
        <v>Yes</v>
      </c>
      <c r="M478" s="16" t="str">
        <f>VLOOKUP($A478,'SurveyRpt_20150223 (1)'!$A$34:$AN$735,18,FALSE)</f>
        <v>Yes</v>
      </c>
      <c r="N478" s="16" t="str">
        <f>VLOOKUP($A478,'SurveyRpt_20150223 (1)'!$A$34:$AN$735,20,FALSE)</f>
        <v>Yes</v>
      </c>
      <c r="O478" s="16" t="str">
        <f>VLOOKUP($A478,'SurveyRpt_20150223 (1)'!$A$34:$AN$735,22,FALSE)</f>
        <v>Yes</v>
      </c>
      <c r="P478" s="16" t="str">
        <f>VLOOKUP($A478,'SurveyRpt_20150223 (1)'!$A$34:$AN$735,24,FALSE)</f>
        <v>Yes</v>
      </c>
      <c r="Q478" s="16" t="str">
        <f>VLOOKUP($A478,'SurveyRpt_20150223 (1)'!$A$34:$AN$735,26,FALSE)</f>
        <v>Yes</v>
      </c>
      <c r="R478" s="16" t="str">
        <f>VLOOKUP($A478,'SurveyRpt_20150223 (1)'!$A$34:$AN$735,28,FALSE)</f>
        <v>Yes</v>
      </c>
      <c r="S478" s="16" t="str">
        <f>VLOOKUP($A478,'SurveyRpt_20150223 (1)'!$A$34:$AN$735,30,FALSE)</f>
        <v>Yes</v>
      </c>
      <c r="T478" s="16" t="str">
        <f>VLOOKUP($A478,'SurveyRpt_20150223 (1)'!$A$34:$AN$735,32,FALSE)</f>
        <v>Yes</v>
      </c>
      <c r="U478" s="16" t="str">
        <f>VLOOKUP($A478,'SurveyRpt_20150223 (1)'!$A$34:$AN$735,34,FALSE)</f>
        <v>Yes</v>
      </c>
      <c r="V478" s="16" t="str">
        <f>VLOOKUP($A478,'SurveyRpt_20150223 (1)'!$A$34:$AN$735,36,FALSE)</f>
        <v>Yes</v>
      </c>
      <c r="W478" s="16" t="str">
        <f>VLOOKUP($A478,'SurveyRpt_20150223 (1)'!$A$34:$AN$735,38,FALSE)</f>
        <v>Yes</v>
      </c>
    </row>
    <row r="479" spans="1:23" ht="13.5" customHeight="1" x14ac:dyDescent="0.25">
      <c r="A479" s="19" t="s">
        <v>572</v>
      </c>
      <c r="B479" s="19" t="str">
        <f t="shared" si="7"/>
        <v>NPOREDDY</v>
      </c>
      <c r="C479" s="16" t="str">
        <f>VLOOKUP(B479,'Compiled Agents'!A:H,2,FALSE)</f>
        <v>Platform</v>
      </c>
      <c r="D479" s="16" t="str">
        <f>VLOOKUP(B479,'Compiled Agents'!A:H,4,FALSE)</f>
        <v>Noida</v>
      </c>
      <c r="E479" s="16" t="str">
        <f>VLOOKUP(B479,'Compiled Agents'!A:H,5,FALSE)</f>
        <v>Wave2</v>
      </c>
      <c r="F479" s="16" t="str">
        <f>VLOOKUP(B479,'Compiled Agents'!A:H,6,FALSE)</f>
        <v>Orange</v>
      </c>
      <c r="G479" s="16">
        <f>VLOOKUP($A479,'SurveyRpt_20150223 (1)'!$A$34:$AN$735,6,FALSE)</f>
        <v>14</v>
      </c>
      <c r="H479" s="16" t="str">
        <f>VLOOKUP($A479,'SurveyRpt_20150223 (1)'!$A$34:$AN$735,8,FALSE)</f>
        <v>Yes</v>
      </c>
      <c r="I479" s="16" t="str">
        <f>VLOOKUP($A479,'SurveyRpt_20150223 (1)'!$A$34:$AN$735,10,FALSE)</f>
        <v>Yes</v>
      </c>
      <c r="J479" s="16" t="str">
        <f>VLOOKUP($A479,'SurveyRpt_20150223 (1)'!$A$34:$AN$735,12,FALSE)</f>
        <v>Yes</v>
      </c>
      <c r="K479" s="16" t="str">
        <f>VLOOKUP($A479,'SurveyRpt_20150223 (1)'!$A$34:$AN$735,14,FALSE)</f>
        <v>Yes</v>
      </c>
      <c r="L479" s="16" t="str">
        <f>VLOOKUP($A479,'SurveyRpt_20150223 (1)'!$A$34:$AN$735,16,FALSE)</f>
        <v>Yes</v>
      </c>
      <c r="M479" s="16" t="str">
        <f>VLOOKUP($A479,'SurveyRpt_20150223 (1)'!$A$34:$AN$735,18,FALSE)</f>
        <v>Yes</v>
      </c>
      <c r="N479" s="16" t="str">
        <f>VLOOKUP($A479,'SurveyRpt_20150223 (1)'!$A$34:$AN$735,20,FALSE)</f>
        <v>Yes</v>
      </c>
      <c r="O479" s="16" t="str">
        <f>VLOOKUP($A479,'SurveyRpt_20150223 (1)'!$A$34:$AN$735,22,FALSE)</f>
        <v>Yes</v>
      </c>
      <c r="P479" s="16" t="str">
        <f>VLOOKUP($A479,'SurveyRpt_20150223 (1)'!$A$34:$AN$735,24,FALSE)</f>
        <v>Yes</v>
      </c>
      <c r="Q479" s="16" t="str">
        <f>VLOOKUP($A479,'SurveyRpt_20150223 (1)'!$A$34:$AN$735,26,FALSE)</f>
        <v>Yes</v>
      </c>
      <c r="R479" s="16" t="str">
        <f>VLOOKUP($A479,'SurveyRpt_20150223 (1)'!$A$34:$AN$735,28,FALSE)</f>
        <v>Yes</v>
      </c>
      <c r="S479" s="16" t="str">
        <f>VLOOKUP($A479,'SurveyRpt_20150223 (1)'!$A$34:$AN$735,30,FALSE)</f>
        <v>Yes</v>
      </c>
      <c r="T479" s="16" t="str">
        <f>VLOOKUP($A479,'SurveyRpt_20150223 (1)'!$A$34:$AN$735,32,FALSE)</f>
        <v>Yes</v>
      </c>
      <c r="U479" s="16" t="str">
        <f>VLOOKUP($A479,'SurveyRpt_20150223 (1)'!$A$34:$AN$735,34,FALSE)</f>
        <v>No</v>
      </c>
      <c r="V479" s="16" t="str">
        <f>VLOOKUP($A479,'SurveyRpt_20150223 (1)'!$A$34:$AN$735,36,FALSE)</f>
        <v>Yes</v>
      </c>
      <c r="W479" s="16" t="str">
        <f>VLOOKUP($A479,'SurveyRpt_20150223 (1)'!$A$34:$AN$735,38,FALSE)</f>
        <v>No</v>
      </c>
    </row>
    <row r="480" spans="1:23" ht="13.5" customHeight="1" x14ac:dyDescent="0.25">
      <c r="A480" s="19" t="s">
        <v>573</v>
      </c>
      <c r="B480" s="19" t="str">
        <f t="shared" si="7"/>
        <v>cfernandezgo</v>
      </c>
      <c r="C480" s="16" t="str">
        <f>VLOOKUP(B480,'Compiled Agents'!A:H,2,FALSE)</f>
        <v>Platform</v>
      </c>
      <c r="D480" s="16" t="str">
        <f>VLOOKUP(B480,'Compiled Agents'!A:H,4,FALSE)</f>
        <v>Spain</v>
      </c>
      <c r="E480" s="16" t="str">
        <f>VLOOKUP(B480,'Compiled Agents'!A:H,5,FALSE)</f>
        <v>Wave1</v>
      </c>
      <c r="F480" s="16" t="str">
        <f>VLOOKUP(B480,'Compiled Agents'!A:H,6,FALSE)</f>
        <v>Blue</v>
      </c>
      <c r="G480" s="16">
        <f>VLOOKUP($A480,'SurveyRpt_20150223 (1)'!$A$34:$AN$735,6,FALSE)</f>
        <v>7</v>
      </c>
      <c r="H480" s="16" t="str">
        <f>VLOOKUP($A480,'SurveyRpt_20150223 (1)'!$A$34:$AN$735,8,FALSE)</f>
        <v>No</v>
      </c>
      <c r="I480" s="16" t="str">
        <f>VLOOKUP($A480,'SurveyRpt_20150223 (1)'!$A$34:$AN$735,10,FALSE)</f>
        <v>No</v>
      </c>
      <c r="J480" s="16" t="str">
        <f>VLOOKUP($A480,'SurveyRpt_20150223 (1)'!$A$34:$AN$735,12,FALSE)</f>
        <v>No</v>
      </c>
      <c r="K480" s="16" t="str">
        <f>VLOOKUP($A480,'SurveyRpt_20150223 (1)'!$A$34:$AN$735,14,FALSE)</f>
        <v>No</v>
      </c>
      <c r="L480" s="16" t="str">
        <f>VLOOKUP($A480,'SurveyRpt_20150223 (1)'!$A$34:$AN$735,16,FALSE)</f>
        <v>Yes</v>
      </c>
      <c r="M480" s="16" t="str">
        <f>VLOOKUP($A480,'SurveyRpt_20150223 (1)'!$A$34:$AN$735,18,FALSE)</f>
        <v>Yes</v>
      </c>
      <c r="N480" s="16" t="str">
        <f>VLOOKUP($A480,'SurveyRpt_20150223 (1)'!$A$34:$AN$735,20,FALSE)</f>
        <v>Yes</v>
      </c>
      <c r="O480" s="16" t="str">
        <f>VLOOKUP($A480,'SurveyRpt_20150223 (1)'!$A$34:$AN$735,22,FALSE)</f>
        <v>No</v>
      </c>
      <c r="P480" s="16" t="str">
        <f>VLOOKUP($A480,'SurveyRpt_20150223 (1)'!$A$34:$AN$735,24,FALSE)</f>
        <v>Yes</v>
      </c>
      <c r="Q480" s="16" t="str">
        <f>VLOOKUP($A480,'SurveyRpt_20150223 (1)'!$A$34:$AN$735,26,FALSE)</f>
        <v>No</v>
      </c>
      <c r="R480" s="16" t="str">
        <f>VLOOKUP($A480,'SurveyRpt_20150223 (1)'!$A$34:$AN$735,28,FALSE)</f>
        <v>No</v>
      </c>
      <c r="S480" s="16" t="str">
        <f>VLOOKUP($A480,'SurveyRpt_20150223 (1)'!$A$34:$AN$735,30,FALSE)</f>
        <v>Yes</v>
      </c>
      <c r="T480" s="16" t="str">
        <f>VLOOKUP($A480,'SurveyRpt_20150223 (1)'!$A$34:$AN$735,32,FALSE)</f>
        <v>No</v>
      </c>
      <c r="U480" s="16" t="str">
        <f>VLOOKUP($A480,'SurveyRpt_20150223 (1)'!$A$34:$AN$735,34,FALSE)</f>
        <v>Yes</v>
      </c>
      <c r="V480" s="16" t="str">
        <f>VLOOKUP($A480,'SurveyRpt_20150223 (1)'!$A$34:$AN$735,36,FALSE)</f>
        <v>Yes</v>
      </c>
      <c r="W480" s="16" t="str">
        <f>VLOOKUP($A480,'SurveyRpt_20150223 (1)'!$A$34:$AN$735,38,FALSE)</f>
        <v>No</v>
      </c>
    </row>
    <row r="481" spans="1:23" ht="13.5" customHeight="1" x14ac:dyDescent="0.25">
      <c r="A481" s="19" t="s">
        <v>574</v>
      </c>
      <c r="B481" s="19" t="str">
        <f t="shared" si="7"/>
        <v>PVISHNUBHATL</v>
      </c>
      <c r="C481" s="16" t="str">
        <f>VLOOKUP(B481,'Compiled Agents'!A:H,2,FALSE)</f>
        <v>Platform</v>
      </c>
      <c r="D481" s="16" t="str">
        <f>VLOOKUP(B481,'Compiled Agents'!A:H,4,FALSE)</f>
        <v>Noida</v>
      </c>
      <c r="E481" s="16" t="str">
        <f>VLOOKUP(B481,'Compiled Agents'!A:H,5,FALSE)</f>
        <v>Wave1</v>
      </c>
      <c r="F481" s="16" t="str">
        <f>VLOOKUP(B481,'Compiled Agents'!A:H,6,FALSE)</f>
        <v>Purple</v>
      </c>
      <c r="G481" s="16">
        <f>VLOOKUP($A481,'SurveyRpt_20150223 (1)'!$A$34:$AN$735,6,FALSE)</f>
        <v>16</v>
      </c>
      <c r="H481" s="16" t="str">
        <f>VLOOKUP($A481,'SurveyRpt_20150223 (1)'!$A$34:$AN$735,8,FALSE)</f>
        <v>Yes</v>
      </c>
      <c r="I481" s="16" t="str">
        <f>VLOOKUP($A481,'SurveyRpt_20150223 (1)'!$A$34:$AN$735,10,FALSE)</f>
        <v>Yes</v>
      </c>
      <c r="J481" s="16" t="str">
        <f>VLOOKUP($A481,'SurveyRpt_20150223 (1)'!$A$34:$AN$735,12,FALSE)</f>
        <v>Yes</v>
      </c>
      <c r="K481" s="16" t="str">
        <f>VLOOKUP($A481,'SurveyRpt_20150223 (1)'!$A$34:$AN$735,14,FALSE)</f>
        <v>Yes</v>
      </c>
      <c r="L481" s="16" t="str">
        <f>VLOOKUP($A481,'SurveyRpt_20150223 (1)'!$A$34:$AN$735,16,FALSE)</f>
        <v>Yes</v>
      </c>
      <c r="M481" s="16" t="str">
        <f>VLOOKUP($A481,'SurveyRpt_20150223 (1)'!$A$34:$AN$735,18,FALSE)</f>
        <v>Yes</v>
      </c>
      <c r="N481" s="16" t="str">
        <f>VLOOKUP($A481,'SurveyRpt_20150223 (1)'!$A$34:$AN$735,20,FALSE)</f>
        <v>Yes</v>
      </c>
      <c r="O481" s="16" t="str">
        <f>VLOOKUP($A481,'SurveyRpt_20150223 (1)'!$A$34:$AN$735,22,FALSE)</f>
        <v>Yes</v>
      </c>
      <c r="P481" s="16" t="str">
        <f>VLOOKUP($A481,'SurveyRpt_20150223 (1)'!$A$34:$AN$735,24,FALSE)</f>
        <v>Yes</v>
      </c>
      <c r="Q481" s="16" t="str">
        <f>VLOOKUP($A481,'SurveyRpt_20150223 (1)'!$A$34:$AN$735,26,FALSE)</f>
        <v>Yes</v>
      </c>
      <c r="R481" s="16" t="str">
        <f>VLOOKUP($A481,'SurveyRpt_20150223 (1)'!$A$34:$AN$735,28,FALSE)</f>
        <v>Yes</v>
      </c>
      <c r="S481" s="16" t="str">
        <f>VLOOKUP($A481,'SurveyRpt_20150223 (1)'!$A$34:$AN$735,30,FALSE)</f>
        <v>Yes</v>
      </c>
      <c r="T481" s="16" t="str">
        <f>VLOOKUP($A481,'SurveyRpt_20150223 (1)'!$A$34:$AN$735,32,FALSE)</f>
        <v>Yes</v>
      </c>
      <c r="U481" s="16" t="str">
        <f>VLOOKUP($A481,'SurveyRpt_20150223 (1)'!$A$34:$AN$735,34,FALSE)</f>
        <v>Yes</v>
      </c>
      <c r="V481" s="16" t="str">
        <f>VLOOKUP($A481,'SurveyRpt_20150223 (1)'!$A$34:$AN$735,36,FALSE)</f>
        <v>Yes</v>
      </c>
      <c r="W481" s="16" t="str">
        <f>VLOOKUP($A481,'SurveyRpt_20150223 (1)'!$A$34:$AN$735,38,FALSE)</f>
        <v>Yes</v>
      </c>
    </row>
    <row r="482" spans="1:23" ht="13.5" customHeight="1" x14ac:dyDescent="0.25">
      <c r="A482" s="19" t="s">
        <v>575</v>
      </c>
      <c r="B482" s="19" t="str">
        <f t="shared" si="7"/>
        <v>SKUMAR334</v>
      </c>
      <c r="C482" s="16" t="str">
        <f>VLOOKUP(B482,'Compiled Agents'!A:H,2,FALSE)</f>
        <v>Platform</v>
      </c>
      <c r="D482" s="16" t="str">
        <f>VLOOKUP(B482,'Compiled Agents'!A:H,4,FALSE)</f>
        <v>Noida</v>
      </c>
      <c r="E482" s="16" t="str">
        <f>VLOOKUP(B482,'Compiled Agents'!A:H,5,FALSE)</f>
        <v>Wave1</v>
      </c>
      <c r="F482" s="16" t="str">
        <f>VLOOKUP(B482,'Compiled Agents'!A:H,6,FALSE)</f>
        <v>Orange</v>
      </c>
      <c r="G482" s="16">
        <f>VLOOKUP($A482,'SurveyRpt_20150223 (1)'!$A$34:$AN$735,6,FALSE)</f>
        <v>16</v>
      </c>
      <c r="H482" s="16" t="str">
        <f>VLOOKUP($A482,'SurveyRpt_20150223 (1)'!$A$34:$AN$735,8,FALSE)</f>
        <v>Yes</v>
      </c>
      <c r="I482" s="16" t="str">
        <f>VLOOKUP($A482,'SurveyRpt_20150223 (1)'!$A$34:$AN$735,10,FALSE)</f>
        <v>Yes</v>
      </c>
      <c r="J482" s="16" t="str">
        <f>VLOOKUP($A482,'SurveyRpt_20150223 (1)'!$A$34:$AN$735,12,FALSE)</f>
        <v>Yes</v>
      </c>
      <c r="K482" s="16" t="str">
        <f>VLOOKUP($A482,'SurveyRpt_20150223 (1)'!$A$34:$AN$735,14,FALSE)</f>
        <v>Yes</v>
      </c>
      <c r="L482" s="16" t="str">
        <f>VLOOKUP($A482,'SurveyRpt_20150223 (1)'!$A$34:$AN$735,16,FALSE)</f>
        <v>Yes</v>
      </c>
      <c r="M482" s="16" t="str">
        <f>VLOOKUP($A482,'SurveyRpt_20150223 (1)'!$A$34:$AN$735,18,FALSE)</f>
        <v>Yes</v>
      </c>
      <c r="N482" s="16" t="str">
        <f>VLOOKUP($A482,'SurveyRpt_20150223 (1)'!$A$34:$AN$735,20,FALSE)</f>
        <v>Yes</v>
      </c>
      <c r="O482" s="16" t="str">
        <f>VLOOKUP($A482,'SurveyRpt_20150223 (1)'!$A$34:$AN$735,22,FALSE)</f>
        <v>Yes</v>
      </c>
      <c r="P482" s="16" t="str">
        <f>VLOOKUP($A482,'SurveyRpt_20150223 (1)'!$A$34:$AN$735,24,FALSE)</f>
        <v>Yes</v>
      </c>
      <c r="Q482" s="16" t="str">
        <f>VLOOKUP($A482,'SurveyRpt_20150223 (1)'!$A$34:$AN$735,26,FALSE)</f>
        <v>Yes</v>
      </c>
      <c r="R482" s="16" t="str">
        <f>VLOOKUP($A482,'SurveyRpt_20150223 (1)'!$A$34:$AN$735,28,FALSE)</f>
        <v>Yes</v>
      </c>
      <c r="S482" s="16" t="str">
        <f>VLOOKUP($A482,'SurveyRpt_20150223 (1)'!$A$34:$AN$735,30,FALSE)</f>
        <v>Yes</v>
      </c>
      <c r="T482" s="16" t="str">
        <f>VLOOKUP($A482,'SurveyRpt_20150223 (1)'!$A$34:$AN$735,32,FALSE)</f>
        <v>Yes</v>
      </c>
      <c r="U482" s="16" t="str">
        <f>VLOOKUP($A482,'SurveyRpt_20150223 (1)'!$A$34:$AN$735,34,FALSE)</f>
        <v>Yes</v>
      </c>
      <c r="V482" s="16" t="str">
        <f>VLOOKUP($A482,'SurveyRpt_20150223 (1)'!$A$34:$AN$735,36,FALSE)</f>
        <v>Yes</v>
      </c>
      <c r="W482" s="16" t="str">
        <f>VLOOKUP($A482,'SurveyRpt_20150223 (1)'!$A$34:$AN$735,38,FALSE)</f>
        <v>Yes</v>
      </c>
    </row>
    <row r="483" spans="1:23" ht="13.5" customHeight="1" x14ac:dyDescent="0.25">
      <c r="A483" s="19" t="s">
        <v>576</v>
      </c>
      <c r="B483" s="19" t="str">
        <f t="shared" si="7"/>
        <v>vparlavecchi</v>
      </c>
      <c r="C483" s="16" t="str">
        <f>VLOOKUP(B483,'Compiled Agents'!A:H,2,FALSE)</f>
        <v>Workplace</v>
      </c>
      <c r="D483" s="16" t="str">
        <f>VLOOKUP(B483,'Compiled Agents'!A:H,4,FALSE)</f>
        <v>Spain</v>
      </c>
      <c r="E483" s="16" t="str">
        <f>VLOOKUP(B483,'Compiled Agents'!A:H,5,FALSE)</f>
        <v>Wave1</v>
      </c>
      <c r="F483" s="16" t="str">
        <f>VLOOKUP(B483,'Compiled Agents'!A:H,6,FALSE)</f>
        <v>Yellow</v>
      </c>
      <c r="G483" s="16">
        <f>VLOOKUP($A483,'SurveyRpt_20150223 (1)'!$A$34:$AN$735,6,FALSE)</f>
        <v>6</v>
      </c>
      <c r="H483" s="16" t="str">
        <f>VLOOKUP($A483,'SurveyRpt_20150223 (1)'!$A$34:$AN$735,8,FALSE)</f>
        <v>Yes</v>
      </c>
      <c r="I483" s="16" t="str">
        <f>VLOOKUP($A483,'SurveyRpt_20150223 (1)'!$A$34:$AN$735,10,FALSE)</f>
        <v>No</v>
      </c>
      <c r="J483" s="16" t="str">
        <f>VLOOKUP($A483,'SurveyRpt_20150223 (1)'!$A$34:$AN$735,12,FALSE)</f>
        <v>No</v>
      </c>
      <c r="K483" s="16" t="str">
        <f>VLOOKUP($A483,'SurveyRpt_20150223 (1)'!$A$34:$AN$735,14,FALSE)</f>
        <v>No</v>
      </c>
      <c r="L483" s="16" t="str">
        <f>VLOOKUP($A483,'SurveyRpt_20150223 (1)'!$A$34:$AN$735,16,FALSE)</f>
        <v>Yes</v>
      </c>
      <c r="M483" s="16" t="str">
        <f>VLOOKUP($A483,'SurveyRpt_20150223 (1)'!$A$34:$AN$735,18,FALSE)</f>
        <v>No</v>
      </c>
      <c r="N483" s="16" t="str">
        <f>VLOOKUP($A483,'SurveyRpt_20150223 (1)'!$A$34:$AN$735,20,FALSE)</f>
        <v>No</v>
      </c>
      <c r="O483" s="16" t="str">
        <f>VLOOKUP($A483,'SurveyRpt_20150223 (1)'!$A$34:$AN$735,22,FALSE)</f>
        <v>Yes</v>
      </c>
      <c r="P483" s="16" t="str">
        <f>VLOOKUP($A483,'SurveyRpt_20150223 (1)'!$A$34:$AN$735,24,FALSE)</f>
        <v>Yes</v>
      </c>
      <c r="Q483" s="16" t="str">
        <f>VLOOKUP($A483,'SurveyRpt_20150223 (1)'!$A$34:$AN$735,26,FALSE)</f>
        <v>Yes</v>
      </c>
      <c r="R483" s="16" t="str">
        <f>VLOOKUP($A483,'SurveyRpt_20150223 (1)'!$A$34:$AN$735,28,FALSE)</f>
        <v>Yes</v>
      </c>
      <c r="S483" s="16" t="str">
        <f>VLOOKUP($A483,'SurveyRpt_20150223 (1)'!$A$34:$AN$735,30,FALSE)</f>
        <v>No</v>
      </c>
      <c r="T483" s="16" t="str">
        <f>VLOOKUP($A483,'SurveyRpt_20150223 (1)'!$A$34:$AN$735,32,FALSE)</f>
        <v>No</v>
      </c>
      <c r="U483" s="16" t="str">
        <f>VLOOKUP($A483,'SurveyRpt_20150223 (1)'!$A$34:$AN$735,34,FALSE)</f>
        <v>No</v>
      </c>
      <c r="V483" s="16" t="str">
        <f>VLOOKUP($A483,'SurveyRpt_20150223 (1)'!$A$34:$AN$735,36,FALSE)</f>
        <v>No</v>
      </c>
      <c r="W483" s="16" t="str">
        <f>VLOOKUP($A483,'SurveyRpt_20150223 (1)'!$A$34:$AN$735,38,FALSE)</f>
        <v>No</v>
      </c>
    </row>
    <row r="484" spans="1:23" ht="13.5" customHeight="1" x14ac:dyDescent="0.25">
      <c r="A484" s="19" t="s">
        <v>577</v>
      </c>
      <c r="B484" s="19" t="str">
        <f t="shared" si="7"/>
        <v>ASHARMA343</v>
      </c>
      <c r="C484" s="16" t="str">
        <f>VLOOKUP(B484,'Compiled Agents'!A:H,2,FALSE)</f>
        <v>Platform</v>
      </c>
      <c r="D484" s="16" t="str">
        <f>VLOOKUP(B484,'Compiled Agents'!A:H,4,FALSE)</f>
        <v>Noida</v>
      </c>
      <c r="E484" s="16" t="str">
        <f>VLOOKUP(B484,'Compiled Agents'!A:H,5,FALSE)</f>
        <v>Wave2</v>
      </c>
      <c r="F484" s="16" t="str">
        <f>VLOOKUP(B484,'Compiled Agents'!A:H,6,FALSE)</f>
        <v>Yellow</v>
      </c>
      <c r="G484" s="16">
        <f>VLOOKUP($A484,'SurveyRpt_20150223 (1)'!$A$34:$AN$735,6,FALSE)</f>
        <v>16</v>
      </c>
      <c r="H484" s="16" t="str">
        <f>VLOOKUP($A484,'SurveyRpt_20150223 (1)'!$A$34:$AN$735,8,FALSE)</f>
        <v>Yes</v>
      </c>
      <c r="I484" s="16" t="str">
        <f>VLOOKUP($A484,'SurveyRpt_20150223 (1)'!$A$34:$AN$735,10,FALSE)</f>
        <v>Yes</v>
      </c>
      <c r="J484" s="16" t="str">
        <f>VLOOKUP($A484,'SurveyRpt_20150223 (1)'!$A$34:$AN$735,12,FALSE)</f>
        <v>Yes</v>
      </c>
      <c r="K484" s="16" t="str">
        <f>VLOOKUP($A484,'SurveyRpt_20150223 (1)'!$A$34:$AN$735,14,FALSE)</f>
        <v>Yes</v>
      </c>
      <c r="L484" s="16" t="str">
        <f>VLOOKUP($A484,'SurveyRpt_20150223 (1)'!$A$34:$AN$735,16,FALSE)</f>
        <v>Yes</v>
      </c>
      <c r="M484" s="16" t="str">
        <f>VLOOKUP($A484,'SurveyRpt_20150223 (1)'!$A$34:$AN$735,18,FALSE)</f>
        <v>Yes</v>
      </c>
      <c r="N484" s="16" t="str">
        <f>VLOOKUP($A484,'SurveyRpt_20150223 (1)'!$A$34:$AN$735,20,FALSE)</f>
        <v>Yes</v>
      </c>
      <c r="O484" s="16" t="str">
        <f>VLOOKUP($A484,'SurveyRpt_20150223 (1)'!$A$34:$AN$735,22,FALSE)</f>
        <v>Yes</v>
      </c>
      <c r="P484" s="16" t="str">
        <f>VLOOKUP($A484,'SurveyRpt_20150223 (1)'!$A$34:$AN$735,24,FALSE)</f>
        <v>Yes</v>
      </c>
      <c r="Q484" s="16" t="str">
        <f>VLOOKUP($A484,'SurveyRpt_20150223 (1)'!$A$34:$AN$735,26,FALSE)</f>
        <v>Yes</v>
      </c>
      <c r="R484" s="16" t="str">
        <f>VLOOKUP($A484,'SurveyRpt_20150223 (1)'!$A$34:$AN$735,28,FALSE)</f>
        <v>Yes</v>
      </c>
      <c r="S484" s="16" t="str">
        <f>VLOOKUP($A484,'SurveyRpt_20150223 (1)'!$A$34:$AN$735,30,FALSE)</f>
        <v>Yes</v>
      </c>
      <c r="T484" s="16" t="str">
        <f>VLOOKUP($A484,'SurveyRpt_20150223 (1)'!$A$34:$AN$735,32,FALSE)</f>
        <v>Yes</v>
      </c>
      <c r="U484" s="16" t="str">
        <f>VLOOKUP($A484,'SurveyRpt_20150223 (1)'!$A$34:$AN$735,34,FALSE)</f>
        <v>Yes</v>
      </c>
      <c r="V484" s="16" t="str">
        <f>VLOOKUP($A484,'SurveyRpt_20150223 (1)'!$A$34:$AN$735,36,FALSE)</f>
        <v>Yes</v>
      </c>
      <c r="W484" s="16" t="str">
        <f>VLOOKUP($A484,'SurveyRpt_20150223 (1)'!$A$34:$AN$735,38,FALSE)</f>
        <v>Yes</v>
      </c>
    </row>
    <row r="485" spans="1:23" ht="13.5" customHeight="1" x14ac:dyDescent="0.25">
      <c r="A485" s="19" t="s">
        <v>578</v>
      </c>
      <c r="B485" s="19" t="str">
        <f t="shared" si="7"/>
        <v>VBALAJI3</v>
      </c>
      <c r="C485" s="16" t="str">
        <f>VLOOKUP(B485,'Compiled Agents'!A:H,2,FALSE)</f>
        <v>Workplace</v>
      </c>
      <c r="D485" s="16" t="str">
        <f>VLOOKUP(B485,'Compiled Agents'!A:H,4,FALSE)</f>
        <v>Noida</v>
      </c>
      <c r="E485" s="16" t="str">
        <f>VLOOKUP(B485,'Compiled Agents'!A:H,5,FALSE)</f>
        <v>Wave1</v>
      </c>
      <c r="F485" s="16" t="str">
        <f>VLOOKUP(B485,'Compiled Agents'!A:H,6,FALSE)</f>
        <v>Purple</v>
      </c>
      <c r="G485" s="16">
        <f>VLOOKUP($A485,'SurveyRpt_20150223 (1)'!$A$34:$AN$735,6,FALSE)</f>
        <v>8</v>
      </c>
      <c r="H485" s="16" t="str">
        <f>VLOOKUP($A485,'SurveyRpt_20150223 (1)'!$A$34:$AN$735,8,FALSE)</f>
        <v>Yes</v>
      </c>
      <c r="I485" s="16" t="str">
        <f>VLOOKUP($A485,'SurveyRpt_20150223 (1)'!$A$34:$AN$735,10,FALSE)</f>
        <v>Yes</v>
      </c>
      <c r="J485" s="16" t="str">
        <f>VLOOKUP($A485,'SurveyRpt_20150223 (1)'!$A$34:$AN$735,12,FALSE)</f>
        <v>No</v>
      </c>
      <c r="K485" s="16" t="str">
        <f>VLOOKUP($A485,'SurveyRpt_20150223 (1)'!$A$34:$AN$735,14,FALSE)</f>
        <v>No</v>
      </c>
      <c r="L485" s="16" t="str">
        <f>VLOOKUP($A485,'SurveyRpt_20150223 (1)'!$A$34:$AN$735,16,FALSE)</f>
        <v>Yes</v>
      </c>
      <c r="M485" s="16" t="str">
        <f>VLOOKUP($A485,'SurveyRpt_20150223 (1)'!$A$34:$AN$735,18,FALSE)</f>
        <v>No</v>
      </c>
      <c r="N485" s="16" t="str">
        <f>VLOOKUP($A485,'SurveyRpt_20150223 (1)'!$A$34:$AN$735,20,FALSE)</f>
        <v>No</v>
      </c>
      <c r="O485" s="16" t="str">
        <f>VLOOKUP($A485,'SurveyRpt_20150223 (1)'!$A$34:$AN$735,22,FALSE)</f>
        <v>No</v>
      </c>
      <c r="P485" s="16" t="str">
        <f>VLOOKUP($A485,'SurveyRpt_20150223 (1)'!$A$34:$AN$735,24,FALSE)</f>
        <v>Yes</v>
      </c>
      <c r="Q485" s="16" t="str">
        <f>VLOOKUP($A485,'SurveyRpt_20150223 (1)'!$A$34:$AN$735,26,FALSE)</f>
        <v>Yes</v>
      </c>
      <c r="R485" s="16" t="str">
        <f>VLOOKUP($A485,'SurveyRpt_20150223 (1)'!$A$34:$AN$735,28,FALSE)</f>
        <v>Yes</v>
      </c>
      <c r="S485" s="16" t="str">
        <f>VLOOKUP($A485,'SurveyRpt_20150223 (1)'!$A$34:$AN$735,30,FALSE)</f>
        <v>Yes</v>
      </c>
      <c r="T485" s="16" t="str">
        <f>VLOOKUP($A485,'SurveyRpt_20150223 (1)'!$A$34:$AN$735,32,FALSE)</f>
        <v>No</v>
      </c>
      <c r="U485" s="16" t="str">
        <f>VLOOKUP($A485,'SurveyRpt_20150223 (1)'!$A$34:$AN$735,34,FALSE)</f>
        <v>Yes</v>
      </c>
      <c r="V485" s="16" t="str">
        <f>VLOOKUP($A485,'SurveyRpt_20150223 (1)'!$A$34:$AN$735,36,FALSE)</f>
        <v>No</v>
      </c>
      <c r="W485" s="16" t="str">
        <f>VLOOKUP($A485,'SurveyRpt_20150223 (1)'!$A$34:$AN$735,38,FALSE)</f>
        <v>No</v>
      </c>
    </row>
    <row r="486" spans="1:23" ht="13.5" customHeight="1" x14ac:dyDescent="0.25">
      <c r="A486" s="19" t="s">
        <v>579</v>
      </c>
      <c r="B486" s="19" t="str">
        <f t="shared" si="7"/>
        <v>asimoes</v>
      </c>
      <c r="C486" s="16" t="str">
        <f>VLOOKUP(B486,'Compiled Agents'!A:H,2,FALSE)</f>
        <v>Platform</v>
      </c>
      <c r="D486" s="16" t="str">
        <f>VLOOKUP(B486,'Compiled Agents'!A:H,4,FALSE)</f>
        <v>MBC US</v>
      </c>
      <c r="E486" s="16" t="str">
        <f>VLOOKUP(B486,'Compiled Agents'!A:H,5,FALSE)</f>
        <v>Wave2</v>
      </c>
      <c r="F486" s="16" t="str">
        <f>VLOOKUP(B486,'Compiled Agents'!A:H,6,FALSE)</f>
        <v>Orange</v>
      </c>
      <c r="G486" s="16">
        <f>VLOOKUP($A486,'SurveyRpt_20150223 (1)'!$A$34:$AN$735,6,FALSE)</f>
        <v>16</v>
      </c>
      <c r="H486" s="16" t="str">
        <f>VLOOKUP($A486,'SurveyRpt_20150223 (1)'!$A$34:$AN$735,8,FALSE)</f>
        <v>Yes</v>
      </c>
      <c r="I486" s="16" t="str">
        <f>VLOOKUP($A486,'SurveyRpt_20150223 (1)'!$A$34:$AN$735,10,FALSE)</f>
        <v>Yes</v>
      </c>
      <c r="J486" s="16" t="str">
        <f>VLOOKUP($A486,'SurveyRpt_20150223 (1)'!$A$34:$AN$735,12,FALSE)</f>
        <v>Yes</v>
      </c>
      <c r="K486" s="16" t="str">
        <f>VLOOKUP($A486,'SurveyRpt_20150223 (1)'!$A$34:$AN$735,14,FALSE)</f>
        <v>Yes</v>
      </c>
      <c r="L486" s="16" t="str">
        <f>VLOOKUP($A486,'SurveyRpt_20150223 (1)'!$A$34:$AN$735,16,FALSE)</f>
        <v>Yes</v>
      </c>
      <c r="M486" s="16" t="str">
        <f>VLOOKUP($A486,'SurveyRpt_20150223 (1)'!$A$34:$AN$735,18,FALSE)</f>
        <v>Yes</v>
      </c>
      <c r="N486" s="16" t="str">
        <f>VLOOKUP($A486,'SurveyRpt_20150223 (1)'!$A$34:$AN$735,20,FALSE)</f>
        <v>Yes</v>
      </c>
      <c r="O486" s="16" t="str">
        <f>VLOOKUP($A486,'SurveyRpt_20150223 (1)'!$A$34:$AN$735,22,FALSE)</f>
        <v>Yes</v>
      </c>
      <c r="P486" s="16" t="str">
        <f>VLOOKUP($A486,'SurveyRpt_20150223 (1)'!$A$34:$AN$735,24,FALSE)</f>
        <v>Yes</v>
      </c>
      <c r="Q486" s="16" t="str">
        <f>VLOOKUP($A486,'SurveyRpt_20150223 (1)'!$A$34:$AN$735,26,FALSE)</f>
        <v>Yes</v>
      </c>
      <c r="R486" s="16" t="str">
        <f>VLOOKUP($A486,'SurveyRpt_20150223 (1)'!$A$34:$AN$735,28,FALSE)</f>
        <v>Yes</v>
      </c>
      <c r="S486" s="16" t="str">
        <f>VLOOKUP($A486,'SurveyRpt_20150223 (1)'!$A$34:$AN$735,30,FALSE)</f>
        <v>Yes</v>
      </c>
      <c r="T486" s="16" t="str">
        <f>VLOOKUP($A486,'SurveyRpt_20150223 (1)'!$A$34:$AN$735,32,FALSE)</f>
        <v>Yes</v>
      </c>
      <c r="U486" s="16" t="str">
        <f>VLOOKUP($A486,'SurveyRpt_20150223 (1)'!$A$34:$AN$735,34,FALSE)</f>
        <v>Yes</v>
      </c>
      <c r="V486" s="16" t="str">
        <f>VLOOKUP($A486,'SurveyRpt_20150223 (1)'!$A$34:$AN$735,36,FALSE)</f>
        <v>Yes</v>
      </c>
      <c r="W486" s="16" t="str">
        <f>VLOOKUP($A486,'SurveyRpt_20150223 (1)'!$A$34:$AN$735,38,FALSE)</f>
        <v>Yes</v>
      </c>
    </row>
    <row r="487" spans="1:23" ht="13.5" customHeight="1" x14ac:dyDescent="0.25">
      <c r="A487" s="19" t="s">
        <v>580</v>
      </c>
      <c r="B487" s="19" t="str">
        <f t="shared" si="7"/>
        <v>SRAASHID</v>
      </c>
      <c r="C487" s="16" t="str">
        <f>VLOOKUP(B487,'Compiled Agents'!A:H,2,FALSE)</f>
        <v>Platform</v>
      </c>
      <c r="D487" s="16" t="str">
        <f>VLOOKUP(B487,'Compiled Agents'!A:H,4,FALSE)</f>
        <v>Hyderabad</v>
      </c>
      <c r="E487" s="16" t="str">
        <f>VLOOKUP(B487,'Compiled Agents'!A:H,5,FALSE)</f>
        <v>Wave1</v>
      </c>
      <c r="F487" s="16" t="str">
        <f>VLOOKUP(B487,'Compiled Agents'!A:H,6,FALSE)</f>
        <v>Purple</v>
      </c>
      <c r="G487" s="16">
        <f>VLOOKUP($A487,'SurveyRpt_20150223 (1)'!$A$34:$AN$735,6,FALSE)</f>
        <v>16</v>
      </c>
      <c r="H487" s="16" t="str">
        <f>VLOOKUP($A487,'SurveyRpt_20150223 (1)'!$A$34:$AN$735,8,FALSE)</f>
        <v>Yes</v>
      </c>
      <c r="I487" s="16" t="str">
        <f>VLOOKUP($A487,'SurveyRpt_20150223 (1)'!$A$34:$AN$735,10,FALSE)</f>
        <v>Yes</v>
      </c>
      <c r="J487" s="16" t="str">
        <f>VLOOKUP($A487,'SurveyRpt_20150223 (1)'!$A$34:$AN$735,12,FALSE)</f>
        <v>Yes</v>
      </c>
      <c r="K487" s="16" t="str">
        <f>VLOOKUP($A487,'SurveyRpt_20150223 (1)'!$A$34:$AN$735,14,FALSE)</f>
        <v>Yes</v>
      </c>
      <c r="L487" s="16" t="str">
        <f>VLOOKUP($A487,'SurveyRpt_20150223 (1)'!$A$34:$AN$735,16,FALSE)</f>
        <v>Yes</v>
      </c>
      <c r="M487" s="16" t="str">
        <f>VLOOKUP($A487,'SurveyRpt_20150223 (1)'!$A$34:$AN$735,18,FALSE)</f>
        <v>Yes</v>
      </c>
      <c r="N487" s="16" t="str">
        <f>VLOOKUP($A487,'SurveyRpt_20150223 (1)'!$A$34:$AN$735,20,FALSE)</f>
        <v>Yes</v>
      </c>
      <c r="O487" s="16" t="str">
        <f>VLOOKUP($A487,'SurveyRpt_20150223 (1)'!$A$34:$AN$735,22,FALSE)</f>
        <v>Yes</v>
      </c>
      <c r="P487" s="16" t="str">
        <f>VLOOKUP($A487,'SurveyRpt_20150223 (1)'!$A$34:$AN$735,24,FALSE)</f>
        <v>Yes</v>
      </c>
      <c r="Q487" s="16" t="str">
        <f>VLOOKUP($A487,'SurveyRpt_20150223 (1)'!$A$34:$AN$735,26,FALSE)</f>
        <v>Yes</v>
      </c>
      <c r="R487" s="16" t="str">
        <f>VLOOKUP($A487,'SurveyRpt_20150223 (1)'!$A$34:$AN$735,28,FALSE)</f>
        <v>Yes</v>
      </c>
      <c r="S487" s="16" t="str">
        <f>VLOOKUP($A487,'SurveyRpt_20150223 (1)'!$A$34:$AN$735,30,FALSE)</f>
        <v>Yes</v>
      </c>
      <c r="T487" s="16" t="str">
        <f>VLOOKUP($A487,'SurveyRpt_20150223 (1)'!$A$34:$AN$735,32,FALSE)</f>
        <v>Yes</v>
      </c>
      <c r="U487" s="16" t="str">
        <f>VLOOKUP($A487,'SurveyRpt_20150223 (1)'!$A$34:$AN$735,34,FALSE)</f>
        <v>Yes</v>
      </c>
      <c r="V487" s="16" t="str">
        <f>VLOOKUP($A487,'SurveyRpt_20150223 (1)'!$A$34:$AN$735,36,FALSE)</f>
        <v>Yes</v>
      </c>
      <c r="W487" s="16" t="str">
        <f>VLOOKUP($A487,'SurveyRpt_20150223 (1)'!$A$34:$AN$735,38,FALSE)</f>
        <v>Yes</v>
      </c>
    </row>
    <row r="488" spans="1:23" ht="13.5" customHeight="1" x14ac:dyDescent="0.25">
      <c r="A488" s="19" t="s">
        <v>581</v>
      </c>
      <c r="B488" s="19" t="str">
        <f t="shared" si="7"/>
        <v>JNATH2</v>
      </c>
      <c r="C488" s="16" t="str">
        <f>VLOOKUP(B488,'Compiled Agents'!A:H,2,FALSE)</f>
        <v>Platform</v>
      </c>
      <c r="D488" s="16" t="str">
        <f>VLOOKUP(B488,'Compiled Agents'!A:H,4,FALSE)</f>
        <v>Noida</v>
      </c>
      <c r="E488" s="16" t="str">
        <f>VLOOKUP(B488,'Compiled Agents'!A:H,5,FALSE)</f>
        <v>Wave1</v>
      </c>
      <c r="F488" s="16" t="str">
        <f>VLOOKUP(B488,'Compiled Agents'!A:H,6,FALSE)</f>
        <v>Purple</v>
      </c>
      <c r="G488" s="16">
        <f>VLOOKUP($A488,'SurveyRpt_20150223 (1)'!$A$34:$AN$735,6,FALSE)</f>
        <v>16</v>
      </c>
      <c r="H488" s="16" t="str">
        <f>VLOOKUP($A488,'SurveyRpt_20150223 (1)'!$A$34:$AN$735,8,FALSE)</f>
        <v>Yes</v>
      </c>
      <c r="I488" s="16" t="str">
        <f>VLOOKUP($A488,'SurveyRpt_20150223 (1)'!$A$34:$AN$735,10,FALSE)</f>
        <v>Yes</v>
      </c>
      <c r="J488" s="16" t="str">
        <f>VLOOKUP($A488,'SurveyRpt_20150223 (1)'!$A$34:$AN$735,12,FALSE)</f>
        <v>Yes</v>
      </c>
      <c r="K488" s="16" t="str">
        <f>VLOOKUP($A488,'SurveyRpt_20150223 (1)'!$A$34:$AN$735,14,FALSE)</f>
        <v>Yes</v>
      </c>
      <c r="L488" s="16" t="str">
        <f>VLOOKUP($A488,'SurveyRpt_20150223 (1)'!$A$34:$AN$735,16,FALSE)</f>
        <v>Yes</v>
      </c>
      <c r="M488" s="16" t="str">
        <f>VLOOKUP($A488,'SurveyRpt_20150223 (1)'!$A$34:$AN$735,18,FALSE)</f>
        <v>Yes</v>
      </c>
      <c r="N488" s="16" t="str">
        <f>VLOOKUP($A488,'SurveyRpt_20150223 (1)'!$A$34:$AN$735,20,FALSE)</f>
        <v>Yes</v>
      </c>
      <c r="O488" s="16" t="str">
        <f>VLOOKUP($A488,'SurveyRpt_20150223 (1)'!$A$34:$AN$735,22,FALSE)</f>
        <v>Yes</v>
      </c>
      <c r="P488" s="16" t="str">
        <f>VLOOKUP($A488,'SurveyRpt_20150223 (1)'!$A$34:$AN$735,24,FALSE)</f>
        <v>Yes</v>
      </c>
      <c r="Q488" s="16" t="str">
        <f>VLOOKUP($A488,'SurveyRpt_20150223 (1)'!$A$34:$AN$735,26,FALSE)</f>
        <v>Yes</v>
      </c>
      <c r="R488" s="16" t="str">
        <f>VLOOKUP($A488,'SurveyRpt_20150223 (1)'!$A$34:$AN$735,28,FALSE)</f>
        <v>Yes</v>
      </c>
      <c r="S488" s="16" t="str">
        <f>VLOOKUP($A488,'SurveyRpt_20150223 (1)'!$A$34:$AN$735,30,FALSE)</f>
        <v>Yes</v>
      </c>
      <c r="T488" s="16" t="str">
        <f>VLOOKUP($A488,'SurveyRpt_20150223 (1)'!$A$34:$AN$735,32,FALSE)</f>
        <v>Yes</v>
      </c>
      <c r="U488" s="16" t="str">
        <f>VLOOKUP($A488,'SurveyRpt_20150223 (1)'!$A$34:$AN$735,34,FALSE)</f>
        <v>Yes</v>
      </c>
      <c r="V488" s="16" t="str">
        <f>VLOOKUP($A488,'SurveyRpt_20150223 (1)'!$A$34:$AN$735,36,FALSE)</f>
        <v>Yes</v>
      </c>
      <c r="W488" s="16" t="str">
        <f>VLOOKUP($A488,'SurveyRpt_20150223 (1)'!$A$34:$AN$735,38,FALSE)</f>
        <v>Yes</v>
      </c>
    </row>
    <row r="489" spans="1:23" ht="13.5" customHeight="1" x14ac:dyDescent="0.25">
      <c r="A489" s="19" t="s">
        <v>582</v>
      </c>
      <c r="B489" s="19" t="str">
        <f t="shared" si="7"/>
        <v>SMALARAJU</v>
      </c>
      <c r="C489" s="16" t="str">
        <f>VLOOKUP(B489,'Compiled Agents'!A:H,2,FALSE)</f>
        <v>Platform</v>
      </c>
      <c r="D489" s="16" t="str">
        <f>VLOOKUP(B489,'Compiled Agents'!A:H,4,FALSE)</f>
        <v>Noida</v>
      </c>
      <c r="E489" s="16" t="str">
        <f>VLOOKUP(B489,'Compiled Agents'!A:H,5,FALSE)</f>
        <v>Wave2</v>
      </c>
      <c r="F489" s="16" t="str">
        <f>VLOOKUP(B489,'Compiled Agents'!A:H,6,FALSE)</f>
        <v>Purple</v>
      </c>
      <c r="G489" s="16">
        <f>VLOOKUP($A489,'SurveyRpt_20150223 (1)'!$A$34:$AN$735,6,FALSE)</f>
        <v>16</v>
      </c>
      <c r="H489" s="16" t="str">
        <f>VLOOKUP($A489,'SurveyRpt_20150223 (1)'!$A$34:$AN$735,8,FALSE)</f>
        <v>Yes</v>
      </c>
      <c r="I489" s="16" t="str">
        <f>VLOOKUP($A489,'SurveyRpt_20150223 (1)'!$A$34:$AN$735,10,FALSE)</f>
        <v>Yes</v>
      </c>
      <c r="J489" s="16" t="str">
        <f>VLOOKUP($A489,'SurveyRpt_20150223 (1)'!$A$34:$AN$735,12,FALSE)</f>
        <v>Yes</v>
      </c>
      <c r="K489" s="16" t="str">
        <f>VLOOKUP($A489,'SurveyRpt_20150223 (1)'!$A$34:$AN$735,14,FALSE)</f>
        <v>Yes</v>
      </c>
      <c r="L489" s="16" t="str">
        <f>VLOOKUP($A489,'SurveyRpt_20150223 (1)'!$A$34:$AN$735,16,FALSE)</f>
        <v>Yes</v>
      </c>
      <c r="M489" s="16" t="str">
        <f>VLOOKUP($A489,'SurveyRpt_20150223 (1)'!$A$34:$AN$735,18,FALSE)</f>
        <v>Yes</v>
      </c>
      <c r="N489" s="16" t="str">
        <f>VLOOKUP($A489,'SurveyRpt_20150223 (1)'!$A$34:$AN$735,20,FALSE)</f>
        <v>Yes</v>
      </c>
      <c r="O489" s="16" t="str">
        <f>VLOOKUP($A489,'SurveyRpt_20150223 (1)'!$A$34:$AN$735,22,FALSE)</f>
        <v>Yes</v>
      </c>
      <c r="P489" s="16" t="str">
        <f>VLOOKUP($A489,'SurveyRpt_20150223 (1)'!$A$34:$AN$735,24,FALSE)</f>
        <v>Yes</v>
      </c>
      <c r="Q489" s="16" t="str">
        <f>VLOOKUP($A489,'SurveyRpt_20150223 (1)'!$A$34:$AN$735,26,FALSE)</f>
        <v>Yes</v>
      </c>
      <c r="R489" s="16" t="str">
        <f>VLOOKUP($A489,'SurveyRpt_20150223 (1)'!$A$34:$AN$735,28,FALSE)</f>
        <v>Yes</v>
      </c>
      <c r="S489" s="16" t="str">
        <f>VLOOKUP($A489,'SurveyRpt_20150223 (1)'!$A$34:$AN$735,30,FALSE)</f>
        <v>Yes</v>
      </c>
      <c r="T489" s="16" t="str">
        <f>VLOOKUP($A489,'SurveyRpt_20150223 (1)'!$A$34:$AN$735,32,FALSE)</f>
        <v>Yes</v>
      </c>
      <c r="U489" s="16" t="str">
        <f>VLOOKUP($A489,'SurveyRpt_20150223 (1)'!$A$34:$AN$735,34,FALSE)</f>
        <v>Yes</v>
      </c>
      <c r="V489" s="16" t="str">
        <f>VLOOKUP($A489,'SurveyRpt_20150223 (1)'!$A$34:$AN$735,36,FALSE)</f>
        <v>Yes</v>
      </c>
      <c r="W489" s="16" t="str">
        <f>VLOOKUP($A489,'SurveyRpt_20150223 (1)'!$A$34:$AN$735,38,FALSE)</f>
        <v>Yes</v>
      </c>
    </row>
    <row r="490" spans="1:23" ht="13.5" customHeight="1" x14ac:dyDescent="0.25">
      <c r="A490" s="19" t="s">
        <v>583</v>
      </c>
      <c r="B490" s="19" t="str">
        <f t="shared" si="7"/>
        <v>MAMEENULHUSS</v>
      </c>
      <c r="C490" s="16" t="str">
        <f>VLOOKUP(B490,'Compiled Agents'!A:H,2,FALSE)</f>
        <v>Platform</v>
      </c>
      <c r="D490" s="16" t="str">
        <f>VLOOKUP(B490,'Compiled Agents'!A:H,4,FALSE)</f>
        <v>Noida</v>
      </c>
      <c r="E490" s="16" t="str">
        <f>VLOOKUP(B490,'Compiled Agents'!A:H,5,FALSE)</f>
        <v>Wave1</v>
      </c>
      <c r="F490" s="16" t="str">
        <f>VLOOKUP(B490,'Compiled Agents'!A:H,6,FALSE)</f>
        <v>Purple</v>
      </c>
      <c r="G490" s="16">
        <f>VLOOKUP($A490,'SurveyRpt_20150223 (1)'!$A$34:$AN$735,6,FALSE)</f>
        <v>15</v>
      </c>
      <c r="H490" s="16" t="str">
        <f>VLOOKUP($A490,'SurveyRpt_20150223 (1)'!$A$34:$AN$735,8,FALSE)</f>
        <v>Yes</v>
      </c>
      <c r="I490" s="16" t="str">
        <f>VLOOKUP($A490,'SurveyRpt_20150223 (1)'!$A$34:$AN$735,10,FALSE)</f>
        <v>Yes</v>
      </c>
      <c r="J490" s="16" t="str">
        <f>VLOOKUP($A490,'SurveyRpt_20150223 (1)'!$A$34:$AN$735,12,FALSE)</f>
        <v>Yes</v>
      </c>
      <c r="K490" s="16" t="str">
        <f>VLOOKUP($A490,'SurveyRpt_20150223 (1)'!$A$34:$AN$735,14,FALSE)</f>
        <v>Yes</v>
      </c>
      <c r="L490" s="16" t="str">
        <f>VLOOKUP($A490,'SurveyRpt_20150223 (1)'!$A$34:$AN$735,16,FALSE)</f>
        <v>Yes</v>
      </c>
      <c r="M490" s="16" t="str">
        <f>VLOOKUP($A490,'SurveyRpt_20150223 (1)'!$A$34:$AN$735,18,FALSE)</f>
        <v>Yes</v>
      </c>
      <c r="N490" s="16" t="str">
        <f>VLOOKUP($A490,'SurveyRpt_20150223 (1)'!$A$34:$AN$735,20,FALSE)</f>
        <v>Yes</v>
      </c>
      <c r="O490" s="16" t="str">
        <f>VLOOKUP($A490,'SurveyRpt_20150223 (1)'!$A$34:$AN$735,22,FALSE)</f>
        <v>Yes</v>
      </c>
      <c r="P490" s="16" t="str">
        <f>VLOOKUP($A490,'SurveyRpt_20150223 (1)'!$A$34:$AN$735,24,FALSE)</f>
        <v>Yes</v>
      </c>
      <c r="Q490" s="16" t="str">
        <f>VLOOKUP($A490,'SurveyRpt_20150223 (1)'!$A$34:$AN$735,26,FALSE)</f>
        <v>Yes</v>
      </c>
      <c r="R490" s="16" t="str">
        <f>VLOOKUP($A490,'SurveyRpt_20150223 (1)'!$A$34:$AN$735,28,FALSE)</f>
        <v>Yes</v>
      </c>
      <c r="S490" s="16" t="str">
        <f>VLOOKUP($A490,'SurveyRpt_20150223 (1)'!$A$34:$AN$735,30,FALSE)</f>
        <v>Yes</v>
      </c>
      <c r="T490" s="16" t="str">
        <f>VLOOKUP($A490,'SurveyRpt_20150223 (1)'!$A$34:$AN$735,32,FALSE)</f>
        <v>Yes</v>
      </c>
      <c r="U490" s="16" t="str">
        <f>VLOOKUP($A490,'SurveyRpt_20150223 (1)'!$A$34:$AN$735,34,FALSE)</f>
        <v>Yes</v>
      </c>
      <c r="V490" s="16" t="str">
        <f>VLOOKUP($A490,'SurveyRpt_20150223 (1)'!$A$34:$AN$735,36,FALSE)</f>
        <v>Yes</v>
      </c>
      <c r="W490" s="16" t="str">
        <f>VLOOKUP($A490,'SurveyRpt_20150223 (1)'!$A$34:$AN$735,38,FALSE)</f>
        <v>No</v>
      </c>
    </row>
    <row r="491" spans="1:23" ht="13.5" customHeight="1" x14ac:dyDescent="0.25">
      <c r="A491" s="19" t="s">
        <v>584</v>
      </c>
      <c r="B491" s="19" t="str">
        <f t="shared" si="7"/>
        <v>KPHANIKUMAR</v>
      </c>
      <c r="C491" s="16" t="str">
        <f>VLOOKUP(B491,'Compiled Agents'!A:H,2,FALSE)</f>
        <v>Platform</v>
      </c>
      <c r="D491" s="16" t="str">
        <f>VLOOKUP(B491,'Compiled Agents'!A:H,4,FALSE)</f>
        <v>Hyderabad</v>
      </c>
      <c r="E491" s="16" t="str">
        <f>VLOOKUP(B491,'Compiled Agents'!A:H,5,FALSE)</f>
        <v>Wave1</v>
      </c>
      <c r="F491" s="16" t="str">
        <f>VLOOKUP(B491,'Compiled Agents'!A:H,6,FALSE)</f>
        <v>Blue</v>
      </c>
      <c r="G491" s="16">
        <f>VLOOKUP($A491,'SurveyRpt_20150223 (1)'!$A$34:$AN$735,6,FALSE)</f>
        <v>16</v>
      </c>
      <c r="H491" s="16" t="str">
        <f>VLOOKUP($A491,'SurveyRpt_20150223 (1)'!$A$34:$AN$735,8,FALSE)</f>
        <v>Yes</v>
      </c>
      <c r="I491" s="16" t="str">
        <f>VLOOKUP($A491,'SurveyRpt_20150223 (1)'!$A$34:$AN$735,10,FALSE)</f>
        <v>Yes</v>
      </c>
      <c r="J491" s="16" t="str">
        <f>VLOOKUP($A491,'SurveyRpt_20150223 (1)'!$A$34:$AN$735,12,FALSE)</f>
        <v>Yes</v>
      </c>
      <c r="K491" s="16" t="str">
        <f>VLOOKUP($A491,'SurveyRpt_20150223 (1)'!$A$34:$AN$735,14,FALSE)</f>
        <v>Yes</v>
      </c>
      <c r="L491" s="16" t="str">
        <f>VLOOKUP($A491,'SurveyRpt_20150223 (1)'!$A$34:$AN$735,16,FALSE)</f>
        <v>Yes</v>
      </c>
      <c r="M491" s="16" t="str">
        <f>VLOOKUP($A491,'SurveyRpt_20150223 (1)'!$A$34:$AN$735,18,FALSE)</f>
        <v>Yes</v>
      </c>
      <c r="N491" s="16" t="str">
        <f>VLOOKUP($A491,'SurveyRpt_20150223 (1)'!$A$34:$AN$735,20,FALSE)</f>
        <v>Yes</v>
      </c>
      <c r="O491" s="16" t="str">
        <f>VLOOKUP($A491,'SurveyRpt_20150223 (1)'!$A$34:$AN$735,22,FALSE)</f>
        <v>Yes</v>
      </c>
      <c r="P491" s="16" t="str">
        <f>VLOOKUP($A491,'SurveyRpt_20150223 (1)'!$A$34:$AN$735,24,FALSE)</f>
        <v>Yes</v>
      </c>
      <c r="Q491" s="16" t="str">
        <f>VLOOKUP($A491,'SurveyRpt_20150223 (1)'!$A$34:$AN$735,26,FALSE)</f>
        <v>Yes</v>
      </c>
      <c r="R491" s="16" t="str">
        <f>VLOOKUP($A491,'SurveyRpt_20150223 (1)'!$A$34:$AN$735,28,FALSE)</f>
        <v>Yes</v>
      </c>
      <c r="S491" s="16" t="str">
        <f>VLOOKUP($A491,'SurveyRpt_20150223 (1)'!$A$34:$AN$735,30,FALSE)</f>
        <v>Yes</v>
      </c>
      <c r="T491" s="16" t="str">
        <f>VLOOKUP($A491,'SurveyRpt_20150223 (1)'!$A$34:$AN$735,32,FALSE)</f>
        <v>Yes</v>
      </c>
      <c r="U491" s="16" t="str">
        <f>VLOOKUP($A491,'SurveyRpt_20150223 (1)'!$A$34:$AN$735,34,FALSE)</f>
        <v>Yes</v>
      </c>
      <c r="V491" s="16" t="str">
        <f>VLOOKUP($A491,'SurveyRpt_20150223 (1)'!$A$34:$AN$735,36,FALSE)</f>
        <v>Yes</v>
      </c>
      <c r="W491" s="16" t="str">
        <f>VLOOKUP($A491,'SurveyRpt_20150223 (1)'!$A$34:$AN$735,38,FALSE)</f>
        <v>Yes</v>
      </c>
    </row>
    <row r="492" spans="1:23" ht="13.5" customHeight="1" x14ac:dyDescent="0.25">
      <c r="A492" s="19" t="s">
        <v>585</v>
      </c>
      <c r="B492" s="19" t="str">
        <f t="shared" si="7"/>
        <v>SMATHUR24</v>
      </c>
      <c r="C492" s="16" t="str">
        <f>VLOOKUP(B492,'Compiled Agents'!A:H,2,FALSE)</f>
        <v>Platform</v>
      </c>
      <c r="D492" s="16" t="str">
        <f>VLOOKUP(B492,'Compiled Agents'!A:H,4,FALSE)</f>
        <v>Noida</v>
      </c>
      <c r="E492" s="16" t="str">
        <f>VLOOKUP(B492,'Compiled Agents'!A:H,5,FALSE)</f>
        <v>Wave1</v>
      </c>
      <c r="F492" s="16" t="str">
        <f>VLOOKUP(B492,'Compiled Agents'!A:H,6,FALSE)</f>
        <v>Yellow</v>
      </c>
      <c r="G492" s="16">
        <f>VLOOKUP($A492,'SurveyRpt_20150223 (1)'!$A$34:$AN$735,6,FALSE)</f>
        <v>13</v>
      </c>
      <c r="H492" s="16" t="str">
        <f>VLOOKUP($A492,'SurveyRpt_20150223 (1)'!$A$34:$AN$735,8,FALSE)</f>
        <v>Yes</v>
      </c>
      <c r="I492" s="16" t="str">
        <f>VLOOKUP($A492,'SurveyRpt_20150223 (1)'!$A$34:$AN$735,10,FALSE)</f>
        <v>Yes</v>
      </c>
      <c r="J492" s="16" t="str">
        <f>VLOOKUP($A492,'SurveyRpt_20150223 (1)'!$A$34:$AN$735,12,FALSE)</f>
        <v>No</v>
      </c>
      <c r="K492" s="16" t="str">
        <f>VLOOKUP($A492,'SurveyRpt_20150223 (1)'!$A$34:$AN$735,14,FALSE)</f>
        <v>Yes</v>
      </c>
      <c r="L492" s="16" t="str">
        <f>VLOOKUP($A492,'SurveyRpt_20150223 (1)'!$A$34:$AN$735,16,FALSE)</f>
        <v>Yes</v>
      </c>
      <c r="M492" s="16" t="str">
        <f>VLOOKUP($A492,'SurveyRpt_20150223 (1)'!$A$34:$AN$735,18,FALSE)</f>
        <v>Yes</v>
      </c>
      <c r="N492" s="16" t="str">
        <f>VLOOKUP($A492,'SurveyRpt_20150223 (1)'!$A$34:$AN$735,20,FALSE)</f>
        <v>Yes</v>
      </c>
      <c r="O492" s="16" t="str">
        <f>VLOOKUP($A492,'SurveyRpt_20150223 (1)'!$A$34:$AN$735,22,FALSE)</f>
        <v>Yes</v>
      </c>
      <c r="P492" s="16" t="str">
        <f>VLOOKUP($A492,'SurveyRpt_20150223 (1)'!$A$34:$AN$735,24,FALSE)</f>
        <v>No</v>
      </c>
      <c r="Q492" s="16" t="str">
        <f>VLOOKUP($A492,'SurveyRpt_20150223 (1)'!$A$34:$AN$735,26,FALSE)</f>
        <v>Yes</v>
      </c>
      <c r="R492" s="16" t="str">
        <f>VLOOKUP($A492,'SurveyRpt_20150223 (1)'!$A$34:$AN$735,28,FALSE)</f>
        <v>Yes</v>
      </c>
      <c r="S492" s="16" t="str">
        <f>VLOOKUP($A492,'SurveyRpt_20150223 (1)'!$A$34:$AN$735,30,FALSE)</f>
        <v>Yes</v>
      </c>
      <c r="T492" s="16" t="str">
        <f>VLOOKUP($A492,'SurveyRpt_20150223 (1)'!$A$34:$AN$735,32,FALSE)</f>
        <v>No</v>
      </c>
      <c r="U492" s="16" t="str">
        <f>VLOOKUP($A492,'SurveyRpt_20150223 (1)'!$A$34:$AN$735,34,FALSE)</f>
        <v>Yes</v>
      </c>
      <c r="V492" s="16" t="str">
        <f>VLOOKUP($A492,'SurveyRpt_20150223 (1)'!$A$34:$AN$735,36,FALSE)</f>
        <v>Yes</v>
      </c>
      <c r="W492" s="16" t="str">
        <f>VLOOKUP($A492,'SurveyRpt_20150223 (1)'!$A$34:$AN$735,38,FALSE)</f>
        <v>Yes</v>
      </c>
    </row>
    <row r="493" spans="1:23" ht="13.5" customHeight="1" x14ac:dyDescent="0.25">
      <c r="A493" s="19" t="s">
        <v>586</v>
      </c>
      <c r="B493" s="19" t="str">
        <f t="shared" si="7"/>
        <v>NRAI7</v>
      </c>
      <c r="C493" s="16" t="str">
        <f>VLOOKUP(B493,'Compiled Agents'!A:H,2,FALSE)</f>
        <v>Platform</v>
      </c>
      <c r="D493" s="16" t="str">
        <f>VLOOKUP(B493,'Compiled Agents'!A:H,4,FALSE)</f>
        <v>Noida</v>
      </c>
      <c r="E493" s="16" t="str">
        <f>VLOOKUP(B493,'Compiled Agents'!A:H,5,FALSE)</f>
        <v>Wave2</v>
      </c>
      <c r="F493" s="16" t="str">
        <f>VLOOKUP(B493,'Compiled Agents'!A:H,6,FALSE)</f>
        <v>Yellow</v>
      </c>
      <c r="G493" s="16">
        <f>VLOOKUP($A493,'SurveyRpt_20150223 (1)'!$A$34:$AN$735,6,FALSE)</f>
        <v>16</v>
      </c>
      <c r="H493" s="16" t="str">
        <f>VLOOKUP($A493,'SurveyRpt_20150223 (1)'!$A$34:$AN$735,8,FALSE)</f>
        <v>Yes</v>
      </c>
      <c r="I493" s="16" t="str">
        <f>VLOOKUP($A493,'SurveyRpt_20150223 (1)'!$A$34:$AN$735,10,FALSE)</f>
        <v>Yes</v>
      </c>
      <c r="J493" s="16" t="str">
        <f>VLOOKUP($A493,'SurveyRpt_20150223 (1)'!$A$34:$AN$735,12,FALSE)</f>
        <v>Yes</v>
      </c>
      <c r="K493" s="16" t="str">
        <f>VLOOKUP($A493,'SurveyRpt_20150223 (1)'!$A$34:$AN$735,14,FALSE)</f>
        <v>Yes</v>
      </c>
      <c r="L493" s="16" t="str">
        <f>VLOOKUP($A493,'SurveyRpt_20150223 (1)'!$A$34:$AN$735,16,FALSE)</f>
        <v>Yes</v>
      </c>
      <c r="M493" s="16" t="str">
        <f>VLOOKUP($A493,'SurveyRpt_20150223 (1)'!$A$34:$AN$735,18,FALSE)</f>
        <v>Yes</v>
      </c>
      <c r="N493" s="16" t="str">
        <f>VLOOKUP($A493,'SurveyRpt_20150223 (1)'!$A$34:$AN$735,20,FALSE)</f>
        <v>Yes</v>
      </c>
      <c r="O493" s="16" t="str">
        <f>VLOOKUP($A493,'SurveyRpt_20150223 (1)'!$A$34:$AN$735,22,FALSE)</f>
        <v>Yes</v>
      </c>
      <c r="P493" s="16" t="str">
        <f>VLOOKUP($A493,'SurveyRpt_20150223 (1)'!$A$34:$AN$735,24,FALSE)</f>
        <v>Yes</v>
      </c>
      <c r="Q493" s="16" t="str">
        <f>VLOOKUP($A493,'SurveyRpt_20150223 (1)'!$A$34:$AN$735,26,FALSE)</f>
        <v>Yes</v>
      </c>
      <c r="R493" s="16" t="str">
        <f>VLOOKUP($A493,'SurveyRpt_20150223 (1)'!$A$34:$AN$735,28,FALSE)</f>
        <v>Yes</v>
      </c>
      <c r="S493" s="16" t="str">
        <f>VLOOKUP($A493,'SurveyRpt_20150223 (1)'!$A$34:$AN$735,30,FALSE)</f>
        <v>Yes</v>
      </c>
      <c r="T493" s="16" t="str">
        <f>VLOOKUP($A493,'SurveyRpt_20150223 (1)'!$A$34:$AN$735,32,FALSE)</f>
        <v>Yes</v>
      </c>
      <c r="U493" s="16" t="str">
        <f>VLOOKUP($A493,'SurveyRpt_20150223 (1)'!$A$34:$AN$735,34,FALSE)</f>
        <v>Yes</v>
      </c>
      <c r="V493" s="16" t="str">
        <f>VLOOKUP($A493,'SurveyRpt_20150223 (1)'!$A$34:$AN$735,36,FALSE)</f>
        <v>Yes</v>
      </c>
      <c r="W493" s="16" t="str">
        <f>VLOOKUP($A493,'SurveyRpt_20150223 (1)'!$A$34:$AN$735,38,FALSE)</f>
        <v>Yes</v>
      </c>
    </row>
    <row r="494" spans="1:23" ht="13.5" customHeight="1" x14ac:dyDescent="0.25">
      <c r="A494" s="19" t="s">
        <v>587</v>
      </c>
      <c r="B494" s="19" t="str">
        <f t="shared" si="7"/>
        <v>VVINODKUMARS</v>
      </c>
      <c r="C494" s="16" t="str">
        <f>VLOOKUP(B494,'Compiled Agents'!A:H,2,FALSE)</f>
        <v>Workplace</v>
      </c>
      <c r="D494" s="16" t="str">
        <f>VLOOKUP(B494,'Compiled Agents'!A:H,4,FALSE)</f>
        <v>Noida</v>
      </c>
      <c r="E494" s="16" t="str">
        <f>VLOOKUP(B494,'Compiled Agents'!A:H,5,FALSE)</f>
        <v>Wave2</v>
      </c>
      <c r="F494" s="16" t="str">
        <f>VLOOKUP(B494,'Compiled Agents'!A:H,6,FALSE)</f>
        <v>Purple</v>
      </c>
      <c r="G494" s="16">
        <f>VLOOKUP($A494,'SurveyRpt_20150223 (1)'!$A$34:$AN$735,6,FALSE)</f>
        <v>16</v>
      </c>
      <c r="H494" s="16" t="str">
        <f>VLOOKUP($A494,'SurveyRpt_20150223 (1)'!$A$34:$AN$735,8,FALSE)</f>
        <v>Yes</v>
      </c>
      <c r="I494" s="16" t="str">
        <f>VLOOKUP($A494,'SurveyRpt_20150223 (1)'!$A$34:$AN$735,10,FALSE)</f>
        <v>Yes</v>
      </c>
      <c r="J494" s="16" t="str">
        <f>VLOOKUP($A494,'SurveyRpt_20150223 (1)'!$A$34:$AN$735,12,FALSE)</f>
        <v>Yes</v>
      </c>
      <c r="K494" s="16" t="str">
        <f>VLOOKUP($A494,'SurveyRpt_20150223 (1)'!$A$34:$AN$735,14,FALSE)</f>
        <v>Yes</v>
      </c>
      <c r="L494" s="16" t="str">
        <f>VLOOKUP($A494,'SurveyRpt_20150223 (1)'!$A$34:$AN$735,16,FALSE)</f>
        <v>Yes</v>
      </c>
      <c r="M494" s="16" t="str">
        <f>VLOOKUP($A494,'SurveyRpt_20150223 (1)'!$A$34:$AN$735,18,FALSE)</f>
        <v>Yes</v>
      </c>
      <c r="N494" s="16" t="str">
        <f>VLOOKUP($A494,'SurveyRpt_20150223 (1)'!$A$34:$AN$735,20,FALSE)</f>
        <v>Yes</v>
      </c>
      <c r="O494" s="16" t="str">
        <f>VLOOKUP($A494,'SurveyRpt_20150223 (1)'!$A$34:$AN$735,22,FALSE)</f>
        <v>Yes</v>
      </c>
      <c r="P494" s="16" t="str">
        <f>VLOOKUP($A494,'SurveyRpt_20150223 (1)'!$A$34:$AN$735,24,FALSE)</f>
        <v>Yes</v>
      </c>
      <c r="Q494" s="16" t="str">
        <f>VLOOKUP($A494,'SurveyRpt_20150223 (1)'!$A$34:$AN$735,26,FALSE)</f>
        <v>Yes</v>
      </c>
      <c r="R494" s="16" t="str">
        <f>VLOOKUP($A494,'SurveyRpt_20150223 (1)'!$A$34:$AN$735,28,FALSE)</f>
        <v>Yes</v>
      </c>
      <c r="S494" s="16" t="str">
        <f>VLOOKUP($A494,'SurveyRpt_20150223 (1)'!$A$34:$AN$735,30,FALSE)</f>
        <v>Yes</v>
      </c>
      <c r="T494" s="16" t="str">
        <f>VLOOKUP($A494,'SurveyRpt_20150223 (1)'!$A$34:$AN$735,32,FALSE)</f>
        <v>Yes</v>
      </c>
      <c r="U494" s="16" t="str">
        <f>VLOOKUP($A494,'SurveyRpt_20150223 (1)'!$A$34:$AN$735,34,FALSE)</f>
        <v>Yes</v>
      </c>
      <c r="V494" s="16" t="str">
        <f>VLOOKUP($A494,'SurveyRpt_20150223 (1)'!$A$34:$AN$735,36,FALSE)</f>
        <v>Yes</v>
      </c>
      <c r="W494" s="16" t="str">
        <f>VLOOKUP($A494,'SurveyRpt_20150223 (1)'!$A$34:$AN$735,38,FALSE)</f>
        <v>Yes</v>
      </c>
    </row>
    <row r="495" spans="1:23" ht="13.5" customHeight="1" x14ac:dyDescent="0.25">
      <c r="A495" s="19" t="s">
        <v>588</v>
      </c>
      <c r="B495" s="19" t="str">
        <f t="shared" si="7"/>
        <v>CADDLA</v>
      </c>
      <c r="C495" s="16" t="str">
        <f>VLOOKUP(B495,'Compiled Agents'!A:H,2,FALSE)</f>
        <v>Workplace</v>
      </c>
      <c r="D495" s="16" t="str">
        <f>VLOOKUP(B495,'Compiled Agents'!A:H,4,FALSE)</f>
        <v>Noida</v>
      </c>
      <c r="E495" s="16" t="str">
        <f>VLOOKUP(B495,'Compiled Agents'!A:H,5,FALSE)</f>
        <v>Wave2</v>
      </c>
      <c r="F495" s="16" t="str">
        <f>VLOOKUP(B495,'Compiled Agents'!A:H,6,FALSE)</f>
        <v>Purple</v>
      </c>
      <c r="G495" s="16">
        <f>VLOOKUP($A495,'SurveyRpt_20150223 (1)'!$A$34:$AN$735,6,FALSE)</f>
        <v>16</v>
      </c>
      <c r="H495" s="16" t="str">
        <f>VLOOKUP($A495,'SurveyRpt_20150223 (1)'!$A$34:$AN$735,8,FALSE)</f>
        <v>Yes</v>
      </c>
      <c r="I495" s="16" t="str">
        <f>VLOOKUP($A495,'SurveyRpt_20150223 (1)'!$A$34:$AN$735,10,FALSE)</f>
        <v>Yes</v>
      </c>
      <c r="J495" s="16" t="str">
        <f>VLOOKUP($A495,'SurveyRpt_20150223 (1)'!$A$34:$AN$735,12,FALSE)</f>
        <v>Yes</v>
      </c>
      <c r="K495" s="16" t="str">
        <f>VLOOKUP($A495,'SurveyRpt_20150223 (1)'!$A$34:$AN$735,14,FALSE)</f>
        <v>Yes</v>
      </c>
      <c r="L495" s="16" t="str">
        <f>VLOOKUP($A495,'SurveyRpt_20150223 (1)'!$A$34:$AN$735,16,FALSE)</f>
        <v>Yes</v>
      </c>
      <c r="M495" s="16" t="str">
        <f>VLOOKUP($A495,'SurveyRpt_20150223 (1)'!$A$34:$AN$735,18,FALSE)</f>
        <v>Yes</v>
      </c>
      <c r="N495" s="16" t="str">
        <f>VLOOKUP($A495,'SurveyRpt_20150223 (1)'!$A$34:$AN$735,20,FALSE)</f>
        <v>Yes</v>
      </c>
      <c r="O495" s="16" t="str">
        <f>VLOOKUP($A495,'SurveyRpt_20150223 (1)'!$A$34:$AN$735,22,FALSE)</f>
        <v>Yes</v>
      </c>
      <c r="P495" s="16" t="str">
        <f>VLOOKUP($A495,'SurveyRpt_20150223 (1)'!$A$34:$AN$735,24,FALSE)</f>
        <v>Yes</v>
      </c>
      <c r="Q495" s="16" t="str">
        <f>VLOOKUP($A495,'SurveyRpt_20150223 (1)'!$A$34:$AN$735,26,FALSE)</f>
        <v>Yes</v>
      </c>
      <c r="R495" s="16" t="str">
        <f>VLOOKUP($A495,'SurveyRpt_20150223 (1)'!$A$34:$AN$735,28,FALSE)</f>
        <v>Yes</v>
      </c>
      <c r="S495" s="16" t="str">
        <f>VLOOKUP($A495,'SurveyRpt_20150223 (1)'!$A$34:$AN$735,30,FALSE)</f>
        <v>Yes</v>
      </c>
      <c r="T495" s="16" t="str">
        <f>VLOOKUP($A495,'SurveyRpt_20150223 (1)'!$A$34:$AN$735,32,FALSE)</f>
        <v>Yes</v>
      </c>
      <c r="U495" s="16" t="str">
        <f>VLOOKUP($A495,'SurveyRpt_20150223 (1)'!$A$34:$AN$735,34,FALSE)</f>
        <v>Yes</v>
      </c>
      <c r="V495" s="16" t="str">
        <f>VLOOKUP($A495,'SurveyRpt_20150223 (1)'!$A$34:$AN$735,36,FALSE)</f>
        <v>Yes</v>
      </c>
      <c r="W495" s="16" t="str">
        <f>VLOOKUP($A495,'SurveyRpt_20150223 (1)'!$A$34:$AN$735,38,FALSE)</f>
        <v>Yes</v>
      </c>
    </row>
    <row r="496" spans="1:23" ht="13.5" customHeight="1" x14ac:dyDescent="0.25">
      <c r="A496" s="19" t="s">
        <v>589</v>
      </c>
      <c r="B496" s="19" t="str">
        <f t="shared" si="7"/>
        <v>rkrishnamoo5</v>
      </c>
      <c r="C496" s="16" t="str">
        <f>VLOOKUP(B496,'Compiled Agents'!A:H,2,FALSE)</f>
        <v>Platform</v>
      </c>
      <c r="D496" s="16" t="str">
        <f>VLOOKUP(B496,'Compiled Agents'!A:H,4,FALSE)</f>
        <v>Noida</v>
      </c>
      <c r="E496" s="16" t="str">
        <f>VLOOKUP(B496,'Compiled Agents'!A:H,5,FALSE)</f>
        <v>Wave2</v>
      </c>
      <c r="F496" s="16" t="str">
        <f>VLOOKUP(B496,'Compiled Agents'!A:H,6,FALSE)</f>
        <v>Blue</v>
      </c>
      <c r="G496" s="16">
        <f>VLOOKUP($A496,'SurveyRpt_20150223 (1)'!$A$34:$AN$735,6,FALSE)</f>
        <v>6</v>
      </c>
      <c r="H496" s="16" t="str">
        <f>VLOOKUP($A496,'SurveyRpt_20150223 (1)'!$A$34:$AN$735,8,FALSE)</f>
        <v>Yes</v>
      </c>
      <c r="I496" s="16" t="str">
        <f>VLOOKUP($A496,'SurveyRpt_20150223 (1)'!$A$34:$AN$735,10,FALSE)</f>
        <v>No</v>
      </c>
      <c r="J496" s="16" t="str">
        <f>VLOOKUP($A496,'SurveyRpt_20150223 (1)'!$A$34:$AN$735,12,FALSE)</f>
        <v>No</v>
      </c>
      <c r="K496" s="16" t="str">
        <f>VLOOKUP($A496,'SurveyRpt_20150223 (1)'!$A$34:$AN$735,14,FALSE)</f>
        <v>No</v>
      </c>
      <c r="L496" s="16" t="str">
        <f>VLOOKUP($A496,'SurveyRpt_20150223 (1)'!$A$34:$AN$735,16,FALSE)</f>
        <v>No</v>
      </c>
      <c r="M496" s="16" t="str">
        <f>VLOOKUP($A496,'SurveyRpt_20150223 (1)'!$A$34:$AN$735,18,FALSE)</f>
        <v>Yes</v>
      </c>
      <c r="N496" s="16" t="str">
        <f>VLOOKUP($A496,'SurveyRpt_20150223 (1)'!$A$34:$AN$735,20,FALSE)</f>
        <v>No</v>
      </c>
      <c r="O496" s="16" t="str">
        <f>VLOOKUP($A496,'SurveyRpt_20150223 (1)'!$A$34:$AN$735,22,FALSE)</f>
        <v>Yes</v>
      </c>
      <c r="P496" s="16" t="str">
        <f>VLOOKUP($A496,'SurveyRpt_20150223 (1)'!$A$34:$AN$735,24,FALSE)</f>
        <v>No</v>
      </c>
      <c r="Q496" s="16" t="str">
        <f>VLOOKUP($A496,'SurveyRpt_20150223 (1)'!$A$34:$AN$735,26,FALSE)</f>
        <v>No</v>
      </c>
      <c r="R496" s="16" t="str">
        <f>VLOOKUP($A496,'SurveyRpt_20150223 (1)'!$A$34:$AN$735,28,FALSE)</f>
        <v>Yes</v>
      </c>
      <c r="S496" s="16" t="str">
        <f>VLOOKUP($A496,'SurveyRpt_20150223 (1)'!$A$34:$AN$735,30,FALSE)</f>
        <v>Yes</v>
      </c>
      <c r="T496" s="16" t="str">
        <f>VLOOKUP($A496,'SurveyRpt_20150223 (1)'!$A$34:$AN$735,32,FALSE)</f>
        <v>No</v>
      </c>
      <c r="U496" s="16" t="str">
        <f>VLOOKUP($A496,'SurveyRpt_20150223 (1)'!$A$34:$AN$735,34,FALSE)</f>
        <v>No</v>
      </c>
      <c r="V496" s="16" t="str">
        <f>VLOOKUP($A496,'SurveyRpt_20150223 (1)'!$A$34:$AN$735,36,FALSE)</f>
        <v>Yes</v>
      </c>
      <c r="W496" s="16" t="str">
        <f>VLOOKUP($A496,'SurveyRpt_20150223 (1)'!$A$34:$AN$735,38,FALSE)</f>
        <v>No</v>
      </c>
    </row>
    <row r="497" spans="1:23" ht="13.5" customHeight="1" x14ac:dyDescent="0.25">
      <c r="A497" s="19" t="s">
        <v>590</v>
      </c>
      <c r="B497" s="19" t="str">
        <f t="shared" si="7"/>
        <v>spitchandi</v>
      </c>
      <c r="C497" s="16" t="str">
        <f>VLOOKUP(B497,'Compiled Agents'!A:H,2,FALSE)</f>
        <v>Platform</v>
      </c>
      <c r="D497" s="16" t="str">
        <f>VLOOKUP(B497,'Compiled Agents'!A:H,4,FALSE)</f>
        <v>Noida</v>
      </c>
      <c r="E497" s="16" t="str">
        <f>VLOOKUP(B497,'Compiled Agents'!A:H,5,FALSE)</f>
        <v>Wave2</v>
      </c>
      <c r="F497" s="16" t="str">
        <f>VLOOKUP(B497,'Compiled Agents'!A:H,6,FALSE)</f>
        <v>Purple</v>
      </c>
      <c r="G497" s="16">
        <f>VLOOKUP($A497,'SurveyRpt_20150223 (1)'!$A$34:$AN$735,6,FALSE)</f>
        <v>16</v>
      </c>
      <c r="H497" s="16" t="str">
        <f>VLOOKUP($A497,'SurveyRpt_20150223 (1)'!$A$34:$AN$735,8,FALSE)</f>
        <v>Yes</v>
      </c>
      <c r="I497" s="16" t="str">
        <f>VLOOKUP($A497,'SurveyRpt_20150223 (1)'!$A$34:$AN$735,10,FALSE)</f>
        <v>Yes</v>
      </c>
      <c r="J497" s="16" t="str">
        <f>VLOOKUP($A497,'SurveyRpt_20150223 (1)'!$A$34:$AN$735,12,FALSE)</f>
        <v>Yes</v>
      </c>
      <c r="K497" s="16" t="str">
        <f>VLOOKUP($A497,'SurveyRpt_20150223 (1)'!$A$34:$AN$735,14,FALSE)</f>
        <v>Yes</v>
      </c>
      <c r="L497" s="16" t="str">
        <f>VLOOKUP($A497,'SurveyRpt_20150223 (1)'!$A$34:$AN$735,16,FALSE)</f>
        <v>Yes</v>
      </c>
      <c r="M497" s="16" t="str">
        <f>VLOOKUP($A497,'SurveyRpt_20150223 (1)'!$A$34:$AN$735,18,FALSE)</f>
        <v>Yes</v>
      </c>
      <c r="N497" s="16" t="str">
        <f>VLOOKUP($A497,'SurveyRpt_20150223 (1)'!$A$34:$AN$735,20,FALSE)</f>
        <v>Yes</v>
      </c>
      <c r="O497" s="16" t="str">
        <f>VLOOKUP($A497,'SurveyRpt_20150223 (1)'!$A$34:$AN$735,22,FALSE)</f>
        <v>Yes</v>
      </c>
      <c r="P497" s="16" t="str">
        <f>VLOOKUP($A497,'SurveyRpt_20150223 (1)'!$A$34:$AN$735,24,FALSE)</f>
        <v>Yes</v>
      </c>
      <c r="Q497" s="16" t="str">
        <f>VLOOKUP($A497,'SurveyRpt_20150223 (1)'!$A$34:$AN$735,26,FALSE)</f>
        <v>Yes</v>
      </c>
      <c r="R497" s="16" t="str">
        <f>VLOOKUP($A497,'SurveyRpt_20150223 (1)'!$A$34:$AN$735,28,FALSE)</f>
        <v>Yes</v>
      </c>
      <c r="S497" s="16" t="str">
        <f>VLOOKUP($A497,'SurveyRpt_20150223 (1)'!$A$34:$AN$735,30,FALSE)</f>
        <v>Yes</v>
      </c>
      <c r="T497" s="16" t="str">
        <f>VLOOKUP($A497,'SurveyRpt_20150223 (1)'!$A$34:$AN$735,32,FALSE)</f>
        <v>Yes</v>
      </c>
      <c r="U497" s="16" t="str">
        <f>VLOOKUP($A497,'SurveyRpt_20150223 (1)'!$A$34:$AN$735,34,FALSE)</f>
        <v>Yes</v>
      </c>
      <c r="V497" s="16" t="str">
        <f>VLOOKUP($A497,'SurveyRpt_20150223 (1)'!$A$34:$AN$735,36,FALSE)</f>
        <v>Yes</v>
      </c>
      <c r="W497" s="16" t="str">
        <f>VLOOKUP($A497,'SurveyRpt_20150223 (1)'!$A$34:$AN$735,38,FALSE)</f>
        <v>Yes</v>
      </c>
    </row>
    <row r="498" spans="1:23" ht="13.5" customHeight="1" x14ac:dyDescent="0.25">
      <c r="A498" s="19" t="s">
        <v>591</v>
      </c>
      <c r="B498" s="19" t="str">
        <f t="shared" si="7"/>
        <v>SSHARMA303</v>
      </c>
      <c r="C498" s="16" t="str">
        <f>VLOOKUP(B498,'Compiled Agents'!A:H,2,FALSE)</f>
        <v>Platform</v>
      </c>
      <c r="D498" s="16" t="str">
        <f>VLOOKUP(B498,'Compiled Agents'!A:H,4,FALSE)</f>
        <v>Noida</v>
      </c>
      <c r="E498" s="16" t="str">
        <f>VLOOKUP(B498,'Compiled Agents'!A:H,5,FALSE)</f>
        <v>Wave2</v>
      </c>
      <c r="F498" s="16" t="str">
        <f>VLOOKUP(B498,'Compiled Agents'!A:H,6,FALSE)</f>
        <v>Orange</v>
      </c>
      <c r="G498" s="16">
        <f>VLOOKUP($A498,'SurveyRpt_20150223 (1)'!$A$34:$AN$735,6,FALSE)</f>
        <v>8</v>
      </c>
      <c r="H498" s="16" t="str">
        <f>VLOOKUP($A498,'SurveyRpt_20150223 (1)'!$A$34:$AN$735,8,FALSE)</f>
        <v>Yes</v>
      </c>
      <c r="I498" s="16" t="str">
        <f>VLOOKUP($A498,'SurveyRpt_20150223 (1)'!$A$34:$AN$735,10,FALSE)</f>
        <v>Yes</v>
      </c>
      <c r="J498" s="16" t="str">
        <f>VLOOKUP($A498,'SurveyRpt_20150223 (1)'!$A$34:$AN$735,12,FALSE)</f>
        <v>No</v>
      </c>
      <c r="K498" s="16" t="str">
        <f>VLOOKUP($A498,'SurveyRpt_20150223 (1)'!$A$34:$AN$735,14,FALSE)</f>
        <v>No</v>
      </c>
      <c r="L498" s="16" t="str">
        <f>VLOOKUP($A498,'SurveyRpt_20150223 (1)'!$A$34:$AN$735,16,FALSE)</f>
        <v>No</v>
      </c>
      <c r="M498" s="16" t="str">
        <f>VLOOKUP($A498,'SurveyRpt_20150223 (1)'!$A$34:$AN$735,18,FALSE)</f>
        <v>Yes</v>
      </c>
      <c r="N498" s="16" t="str">
        <f>VLOOKUP($A498,'SurveyRpt_20150223 (1)'!$A$34:$AN$735,20,FALSE)</f>
        <v>No</v>
      </c>
      <c r="O498" s="16" t="str">
        <f>VLOOKUP($A498,'SurveyRpt_20150223 (1)'!$A$34:$AN$735,22,FALSE)</f>
        <v>No</v>
      </c>
      <c r="P498" s="16" t="str">
        <f>VLOOKUP($A498,'SurveyRpt_20150223 (1)'!$A$34:$AN$735,24,FALSE)</f>
        <v>Yes</v>
      </c>
      <c r="Q498" s="16" t="str">
        <f>VLOOKUP($A498,'SurveyRpt_20150223 (1)'!$A$34:$AN$735,26,FALSE)</f>
        <v>No</v>
      </c>
      <c r="R498" s="16" t="str">
        <f>VLOOKUP($A498,'SurveyRpt_20150223 (1)'!$A$34:$AN$735,28,FALSE)</f>
        <v>No</v>
      </c>
      <c r="S498" s="16" t="str">
        <f>VLOOKUP($A498,'SurveyRpt_20150223 (1)'!$A$34:$AN$735,30,FALSE)</f>
        <v>Yes</v>
      </c>
      <c r="T498" s="16" t="str">
        <f>VLOOKUP($A498,'SurveyRpt_20150223 (1)'!$A$34:$AN$735,32,FALSE)</f>
        <v>Yes</v>
      </c>
      <c r="U498" s="16" t="str">
        <f>VLOOKUP($A498,'SurveyRpt_20150223 (1)'!$A$34:$AN$735,34,FALSE)</f>
        <v>Yes</v>
      </c>
      <c r="V498" s="16" t="str">
        <f>VLOOKUP($A498,'SurveyRpt_20150223 (1)'!$A$34:$AN$735,36,FALSE)</f>
        <v>Yes</v>
      </c>
      <c r="W498" s="16" t="str">
        <f>VLOOKUP($A498,'SurveyRpt_20150223 (1)'!$A$34:$AN$735,38,FALSE)</f>
        <v>No</v>
      </c>
    </row>
    <row r="499" spans="1:23" ht="13.5" customHeight="1" x14ac:dyDescent="0.25">
      <c r="A499" s="19" t="s">
        <v>592</v>
      </c>
      <c r="B499" s="19" t="str">
        <f t="shared" si="7"/>
        <v>pgupta75</v>
      </c>
      <c r="C499" s="16" t="str">
        <f>VLOOKUP(B499,'Compiled Agents'!A:H,2,FALSE)</f>
        <v>Platform</v>
      </c>
      <c r="D499" s="16" t="str">
        <f>VLOOKUP(B499,'Compiled Agents'!A:H,4,FALSE)</f>
        <v>Noida</v>
      </c>
      <c r="E499" s="16" t="str">
        <f>VLOOKUP(B499,'Compiled Agents'!A:H,5,FALSE)</f>
        <v>Wave1</v>
      </c>
      <c r="F499" s="16" t="str">
        <f>VLOOKUP(B499,'Compiled Agents'!A:H,6,FALSE)</f>
        <v>Yellow</v>
      </c>
      <c r="G499" s="16">
        <f>VLOOKUP($A499,'SurveyRpt_20150223 (1)'!$A$34:$AN$735,6,FALSE)</f>
        <v>13</v>
      </c>
      <c r="H499" s="16" t="str">
        <f>VLOOKUP($A499,'SurveyRpt_20150223 (1)'!$A$34:$AN$735,8,FALSE)</f>
        <v>Yes</v>
      </c>
      <c r="I499" s="16" t="str">
        <f>VLOOKUP($A499,'SurveyRpt_20150223 (1)'!$A$34:$AN$735,10,FALSE)</f>
        <v>Yes</v>
      </c>
      <c r="J499" s="16" t="str">
        <f>VLOOKUP($A499,'SurveyRpt_20150223 (1)'!$A$34:$AN$735,12,FALSE)</f>
        <v>Yes</v>
      </c>
      <c r="K499" s="16" t="str">
        <f>VLOOKUP($A499,'SurveyRpt_20150223 (1)'!$A$34:$AN$735,14,FALSE)</f>
        <v>No</v>
      </c>
      <c r="L499" s="16" t="str">
        <f>VLOOKUP($A499,'SurveyRpt_20150223 (1)'!$A$34:$AN$735,16,FALSE)</f>
        <v>Yes</v>
      </c>
      <c r="M499" s="16" t="str">
        <f>VLOOKUP($A499,'SurveyRpt_20150223 (1)'!$A$34:$AN$735,18,FALSE)</f>
        <v>Yes</v>
      </c>
      <c r="N499" s="16" t="str">
        <f>VLOOKUP($A499,'SurveyRpt_20150223 (1)'!$A$34:$AN$735,20,FALSE)</f>
        <v>No</v>
      </c>
      <c r="O499" s="16" t="str">
        <f>VLOOKUP($A499,'SurveyRpt_20150223 (1)'!$A$34:$AN$735,22,FALSE)</f>
        <v>No</v>
      </c>
      <c r="P499" s="16" t="str">
        <f>VLOOKUP($A499,'SurveyRpt_20150223 (1)'!$A$34:$AN$735,24,FALSE)</f>
        <v>Yes</v>
      </c>
      <c r="Q499" s="16" t="str">
        <f>VLOOKUP($A499,'SurveyRpt_20150223 (1)'!$A$34:$AN$735,26,FALSE)</f>
        <v>Yes</v>
      </c>
      <c r="R499" s="16" t="str">
        <f>VLOOKUP($A499,'SurveyRpt_20150223 (1)'!$A$34:$AN$735,28,FALSE)</f>
        <v>Yes</v>
      </c>
      <c r="S499" s="16" t="str">
        <f>VLOOKUP($A499,'SurveyRpt_20150223 (1)'!$A$34:$AN$735,30,FALSE)</f>
        <v>Yes</v>
      </c>
      <c r="T499" s="16" t="str">
        <f>VLOOKUP($A499,'SurveyRpt_20150223 (1)'!$A$34:$AN$735,32,FALSE)</f>
        <v>Yes</v>
      </c>
      <c r="U499" s="16" t="str">
        <f>VLOOKUP($A499,'SurveyRpt_20150223 (1)'!$A$34:$AN$735,34,FALSE)</f>
        <v>Yes</v>
      </c>
      <c r="V499" s="16" t="str">
        <f>VLOOKUP($A499,'SurveyRpt_20150223 (1)'!$A$34:$AN$735,36,FALSE)</f>
        <v>Yes</v>
      </c>
      <c r="W499" s="16" t="str">
        <f>VLOOKUP($A499,'SurveyRpt_20150223 (1)'!$A$34:$AN$735,38,FALSE)</f>
        <v>Yes</v>
      </c>
    </row>
    <row r="500" spans="1:23" ht="13.5" customHeight="1" x14ac:dyDescent="0.25">
      <c r="A500" s="19" t="s">
        <v>593</v>
      </c>
      <c r="B500" s="19" t="str">
        <f t="shared" si="7"/>
        <v>rsingh98</v>
      </c>
      <c r="C500" s="16" t="str">
        <f>VLOOKUP(B500,'Compiled Agents'!A:H,2,FALSE)</f>
        <v>Platform</v>
      </c>
      <c r="D500" s="16" t="str">
        <f>VLOOKUP(B500,'Compiled Agents'!A:H,4,FALSE)</f>
        <v>Noida</v>
      </c>
      <c r="E500" s="16" t="str">
        <f>VLOOKUP(B500,'Compiled Agents'!A:H,5,FALSE)</f>
        <v>Wave1</v>
      </c>
      <c r="F500" s="16" t="str">
        <f>VLOOKUP(B500,'Compiled Agents'!A:H,6,FALSE)</f>
        <v>Brown</v>
      </c>
      <c r="G500" s="16">
        <f>VLOOKUP($A500,'SurveyRpt_20150223 (1)'!$A$34:$AN$735,6,FALSE)</f>
        <v>16</v>
      </c>
      <c r="H500" s="16" t="str">
        <f>VLOOKUP($A500,'SurveyRpt_20150223 (1)'!$A$34:$AN$735,8,FALSE)</f>
        <v>Yes</v>
      </c>
      <c r="I500" s="16" t="str">
        <f>VLOOKUP($A500,'SurveyRpt_20150223 (1)'!$A$34:$AN$735,10,FALSE)</f>
        <v>Yes</v>
      </c>
      <c r="J500" s="16" t="str">
        <f>VLOOKUP($A500,'SurveyRpt_20150223 (1)'!$A$34:$AN$735,12,FALSE)</f>
        <v>Yes</v>
      </c>
      <c r="K500" s="16" t="str">
        <f>VLOOKUP($A500,'SurveyRpt_20150223 (1)'!$A$34:$AN$735,14,FALSE)</f>
        <v>Yes</v>
      </c>
      <c r="L500" s="16" t="str">
        <f>VLOOKUP($A500,'SurveyRpt_20150223 (1)'!$A$34:$AN$735,16,FALSE)</f>
        <v>Yes</v>
      </c>
      <c r="M500" s="16" t="str">
        <f>VLOOKUP($A500,'SurveyRpt_20150223 (1)'!$A$34:$AN$735,18,FALSE)</f>
        <v>Yes</v>
      </c>
      <c r="N500" s="16" t="str">
        <f>VLOOKUP($A500,'SurveyRpt_20150223 (1)'!$A$34:$AN$735,20,FALSE)</f>
        <v>Yes</v>
      </c>
      <c r="O500" s="16" t="str">
        <f>VLOOKUP($A500,'SurveyRpt_20150223 (1)'!$A$34:$AN$735,22,FALSE)</f>
        <v>Yes</v>
      </c>
      <c r="P500" s="16" t="str">
        <f>VLOOKUP($A500,'SurveyRpt_20150223 (1)'!$A$34:$AN$735,24,FALSE)</f>
        <v>Yes</v>
      </c>
      <c r="Q500" s="16" t="str">
        <f>VLOOKUP($A500,'SurveyRpt_20150223 (1)'!$A$34:$AN$735,26,FALSE)</f>
        <v>Yes</v>
      </c>
      <c r="R500" s="16" t="str">
        <f>VLOOKUP($A500,'SurveyRpt_20150223 (1)'!$A$34:$AN$735,28,FALSE)</f>
        <v>Yes</v>
      </c>
      <c r="S500" s="16" t="str">
        <f>VLOOKUP($A500,'SurveyRpt_20150223 (1)'!$A$34:$AN$735,30,FALSE)</f>
        <v>Yes</v>
      </c>
      <c r="T500" s="16" t="str">
        <f>VLOOKUP($A500,'SurveyRpt_20150223 (1)'!$A$34:$AN$735,32,FALSE)</f>
        <v>Yes</v>
      </c>
      <c r="U500" s="16" t="str">
        <f>VLOOKUP($A500,'SurveyRpt_20150223 (1)'!$A$34:$AN$735,34,FALSE)</f>
        <v>Yes</v>
      </c>
      <c r="V500" s="16" t="str">
        <f>VLOOKUP($A500,'SurveyRpt_20150223 (1)'!$A$34:$AN$735,36,FALSE)</f>
        <v>Yes</v>
      </c>
      <c r="W500" s="16" t="str">
        <f>VLOOKUP($A500,'SurveyRpt_20150223 (1)'!$A$34:$AN$735,38,FALSE)</f>
        <v>Yes</v>
      </c>
    </row>
    <row r="501" spans="1:23" ht="13.5" customHeight="1" x14ac:dyDescent="0.25">
      <c r="A501" s="19" t="s">
        <v>594</v>
      </c>
      <c r="B501" s="19" t="str">
        <f t="shared" si="7"/>
        <v>MKONDAVEETI2</v>
      </c>
      <c r="C501" s="16" t="str">
        <f>VLOOKUP(B501,'Compiled Agents'!A:H,2,FALSE)</f>
        <v>Platform</v>
      </c>
      <c r="D501" s="16" t="str">
        <f>VLOOKUP(B501,'Compiled Agents'!A:H,4,FALSE)</f>
        <v>Hyderabad</v>
      </c>
      <c r="E501" s="16" t="str">
        <f>VLOOKUP(B501,'Compiled Agents'!A:H,5,FALSE)</f>
        <v>Wave1</v>
      </c>
      <c r="F501" s="16" t="str">
        <f>VLOOKUP(B501,'Compiled Agents'!A:H,6,FALSE)</f>
        <v>Purple</v>
      </c>
      <c r="G501" s="16">
        <f>VLOOKUP($A501,'SurveyRpt_20150223 (1)'!$A$34:$AN$735,6,FALSE)</f>
        <v>10</v>
      </c>
      <c r="H501" s="16" t="str">
        <f>VLOOKUP($A501,'SurveyRpt_20150223 (1)'!$A$34:$AN$735,8,FALSE)</f>
        <v>Yes</v>
      </c>
      <c r="I501" s="16" t="str">
        <f>VLOOKUP($A501,'SurveyRpt_20150223 (1)'!$A$34:$AN$735,10,FALSE)</f>
        <v>No</v>
      </c>
      <c r="J501" s="16" t="str">
        <f>VLOOKUP($A501,'SurveyRpt_20150223 (1)'!$A$34:$AN$735,12,FALSE)</f>
        <v>No</v>
      </c>
      <c r="K501" s="16" t="str">
        <f>VLOOKUP($A501,'SurveyRpt_20150223 (1)'!$A$34:$AN$735,14,FALSE)</f>
        <v>No</v>
      </c>
      <c r="L501" s="16" t="str">
        <f>VLOOKUP($A501,'SurveyRpt_20150223 (1)'!$A$34:$AN$735,16,FALSE)</f>
        <v>Yes</v>
      </c>
      <c r="M501" s="16" t="str">
        <f>VLOOKUP($A501,'SurveyRpt_20150223 (1)'!$A$34:$AN$735,18,FALSE)</f>
        <v>No</v>
      </c>
      <c r="N501" s="16" t="str">
        <f>VLOOKUP($A501,'SurveyRpt_20150223 (1)'!$A$34:$AN$735,20,FALSE)</f>
        <v>Yes</v>
      </c>
      <c r="O501" s="16" t="str">
        <f>VLOOKUP($A501,'SurveyRpt_20150223 (1)'!$A$34:$AN$735,22,FALSE)</f>
        <v>Yes</v>
      </c>
      <c r="P501" s="16" t="str">
        <f>VLOOKUP($A501,'SurveyRpt_20150223 (1)'!$A$34:$AN$735,24,FALSE)</f>
        <v>Yes</v>
      </c>
      <c r="Q501" s="16" t="str">
        <f>VLOOKUP($A501,'SurveyRpt_20150223 (1)'!$A$34:$AN$735,26,FALSE)</f>
        <v>Yes</v>
      </c>
      <c r="R501" s="16" t="str">
        <f>VLOOKUP($A501,'SurveyRpt_20150223 (1)'!$A$34:$AN$735,28,FALSE)</f>
        <v>Yes</v>
      </c>
      <c r="S501" s="16" t="str">
        <f>VLOOKUP($A501,'SurveyRpt_20150223 (1)'!$A$34:$AN$735,30,FALSE)</f>
        <v>Yes</v>
      </c>
      <c r="T501" s="16" t="str">
        <f>VLOOKUP($A501,'SurveyRpt_20150223 (1)'!$A$34:$AN$735,32,FALSE)</f>
        <v>No</v>
      </c>
      <c r="U501" s="16" t="str">
        <f>VLOOKUP($A501,'SurveyRpt_20150223 (1)'!$A$34:$AN$735,34,FALSE)</f>
        <v>Yes</v>
      </c>
      <c r="V501" s="16" t="str">
        <f>VLOOKUP($A501,'SurveyRpt_20150223 (1)'!$A$34:$AN$735,36,FALSE)</f>
        <v>Yes</v>
      </c>
      <c r="W501" s="16" t="str">
        <f>VLOOKUP($A501,'SurveyRpt_20150223 (1)'!$A$34:$AN$735,38,FALSE)</f>
        <v>No</v>
      </c>
    </row>
    <row r="502" spans="1:23" ht="13.5" customHeight="1" x14ac:dyDescent="0.25">
      <c r="A502" s="19" t="s">
        <v>595</v>
      </c>
      <c r="B502" s="19" t="str">
        <f t="shared" si="7"/>
        <v>TDAS5</v>
      </c>
      <c r="C502" s="16" t="str">
        <f>VLOOKUP(B502,'Compiled Agents'!A:H,2,FALSE)</f>
        <v>Workplace</v>
      </c>
      <c r="D502" s="16" t="str">
        <f>VLOOKUP(B502,'Compiled Agents'!A:H,4,FALSE)</f>
        <v>Noida</v>
      </c>
      <c r="E502" s="16" t="str">
        <f>VLOOKUP(B502,'Compiled Agents'!A:H,5,FALSE)</f>
        <v>Wave1</v>
      </c>
      <c r="F502" s="16" t="str">
        <f>VLOOKUP(B502,'Compiled Agents'!A:H,6,FALSE)</f>
        <v>Purple</v>
      </c>
      <c r="G502" s="16">
        <f>VLOOKUP($A502,'SurveyRpt_20150223 (1)'!$A$34:$AN$735,6,FALSE)</f>
        <v>16</v>
      </c>
      <c r="H502" s="16" t="str">
        <f>VLOOKUP($A502,'SurveyRpt_20150223 (1)'!$A$34:$AN$735,8,FALSE)</f>
        <v>Yes</v>
      </c>
      <c r="I502" s="16" t="str">
        <f>VLOOKUP($A502,'SurveyRpt_20150223 (1)'!$A$34:$AN$735,10,FALSE)</f>
        <v>Yes</v>
      </c>
      <c r="J502" s="16" t="str">
        <f>VLOOKUP($A502,'SurveyRpt_20150223 (1)'!$A$34:$AN$735,12,FALSE)</f>
        <v>Yes</v>
      </c>
      <c r="K502" s="16" t="str">
        <f>VLOOKUP($A502,'SurveyRpt_20150223 (1)'!$A$34:$AN$735,14,FALSE)</f>
        <v>Yes</v>
      </c>
      <c r="L502" s="16" t="str">
        <f>VLOOKUP($A502,'SurveyRpt_20150223 (1)'!$A$34:$AN$735,16,FALSE)</f>
        <v>Yes</v>
      </c>
      <c r="M502" s="16" t="str">
        <f>VLOOKUP($A502,'SurveyRpt_20150223 (1)'!$A$34:$AN$735,18,FALSE)</f>
        <v>Yes</v>
      </c>
      <c r="N502" s="16" t="str">
        <f>VLOOKUP($A502,'SurveyRpt_20150223 (1)'!$A$34:$AN$735,20,FALSE)</f>
        <v>Yes</v>
      </c>
      <c r="O502" s="16" t="str">
        <f>VLOOKUP($A502,'SurveyRpt_20150223 (1)'!$A$34:$AN$735,22,FALSE)</f>
        <v>Yes</v>
      </c>
      <c r="P502" s="16" t="str">
        <f>VLOOKUP($A502,'SurveyRpt_20150223 (1)'!$A$34:$AN$735,24,FALSE)</f>
        <v>Yes</v>
      </c>
      <c r="Q502" s="16" t="str">
        <f>VLOOKUP($A502,'SurveyRpt_20150223 (1)'!$A$34:$AN$735,26,FALSE)</f>
        <v>Yes</v>
      </c>
      <c r="R502" s="16" t="str">
        <f>VLOOKUP($A502,'SurveyRpt_20150223 (1)'!$A$34:$AN$735,28,FALSE)</f>
        <v>Yes</v>
      </c>
      <c r="S502" s="16" t="str">
        <f>VLOOKUP($A502,'SurveyRpt_20150223 (1)'!$A$34:$AN$735,30,FALSE)</f>
        <v>Yes</v>
      </c>
      <c r="T502" s="16" t="str">
        <f>VLOOKUP($A502,'SurveyRpt_20150223 (1)'!$A$34:$AN$735,32,FALSE)</f>
        <v>Yes</v>
      </c>
      <c r="U502" s="16" t="str">
        <f>VLOOKUP($A502,'SurveyRpt_20150223 (1)'!$A$34:$AN$735,34,FALSE)</f>
        <v>Yes</v>
      </c>
      <c r="V502" s="16" t="str">
        <f>VLOOKUP($A502,'SurveyRpt_20150223 (1)'!$A$34:$AN$735,36,FALSE)</f>
        <v>Yes</v>
      </c>
      <c r="W502" s="16" t="str">
        <f>VLOOKUP($A502,'SurveyRpt_20150223 (1)'!$A$34:$AN$735,38,FALSE)</f>
        <v>Yes</v>
      </c>
    </row>
    <row r="503" spans="1:23" ht="13.5" customHeight="1" x14ac:dyDescent="0.25">
      <c r="A503" s="19" t="s">
        <v>596</v>
      </c>
      <c r="B503" s="19" t="str">
        <f t="shared" si="7"/>
        <v>KRAINA</v>
      </c>
      <c r="C503" s="16" t="str">
        <f>VLOOKUP(B503,'Compiled Agents'!A:H,2,FALSE)</f>
        <v>Platform</v>
      </c>
      <c r="D503" s="16" t="str">
        <f>VLOOKUP(B503,'Compiled Agents'!A:H,4,FALSE)</f>
        <v>Noida</v>
      </c>
      <c r="E503" s="16" t="str">
        <f>VLOOKUP(B503,'Compiled Agents'!A:H,5,FALSE)</f>
        <v>Wave2</v>
      </c>
      <c r="F503" s="16" t="str">
        <f>VLOOKUP(B503,'Compiled Agents'!A:H,6,FALSE)</f>
        <v>Yellow</v>
      </c>
      <c r="G503" s="16">
        <f>VLOOKUP($A503,'SurveyRpt_20150223 (1)'!$A$34:$AN$735,6,FALSE)</f>
        <v>16</v>
      </c>
      <c r="H503" s="16" t="str">
        <f>VLOOKUP($A503,'SurveyRpt_20150223 (1)'!$A$34:$AN$735,8,FALSE)</f>
        <v>Yes</v>
      </c>
      <c r="I503" s="16" t="str">
        <f>VLOOKUP($A503,'SurveyRpt_20150223 (1)'!$A$34:$AN$735,10,FALSE)</f>
        <v>Yes</v>
      </c>
      <c r="J503" s="16" t="str">
        <f>VLOOKUP($A503,'SurveyRpt_20150223 (1)'!$A$34:$AN$735,12,FALSE)</f>
        <v>Yes</v>
      </c>
      <c r="K503" s="16" t="str">
        <f>VLOOKUP($A503,'SurveyRpt_20150223 (1)'!$A$34:$AN$735,14,FALSE)</f>
        <v>Yes</v>
      </c>
      <c r="L503" s="16" t="str">
        <f>VLOOKUP($A503,'SurveyRpt_20150223 (1)'!$A$34:$AN$735,16,FALSE)</f>
        <v>Yes</v>
      </c>
      <c r="M503" s="16" t="str">
        <f>VLOOKUP($A503,'SurveyRpt_20150223 (1)'!$A$34:$AN$735,18,FALSE)</f>
        <v>Yes</v>
      </c>
      <c r="N503" s="16" t="str">
        <f>VLOOKUP($A503,'SurveyRpt_20150223 (1)'!$A$34:$AN$735,20,FALSE)</f>
        <v>Yes</v>
      </c>
      <c r="O503" s="16" t="str">
        <f>VLOOKUP($A503,'SurveyRpt_20150223 (1)'!$A$34:$AN$735,22,FALSE)</f>
        <v>Yes</v>
      </c>
      <c r="P503" s="16" t="str">
        <f>VLOOKUP($A503,'SurveyRpt_20150223 (1)'!$A$34:$AN$735,24,FALSE)</f>
        <v>Yes</v>
      </c>
      <c r="Q503" s="16" t="str">
        <f>VLOOKUP($A503,'SurveyRpt_20150223 (1)'!$A$34:$AN$735,26,FALSE)</f>
        <v>Yes</v>
      </c>
      <c r="R503" s="16" t="str">
        <f>VLOOKUP($A503,'SurveyRpt_20150223 (1)'!$A$34:$AN$735,28,FALSE)</f>
        <v>Yes</v>
      </c>
      <c r="S503" s="16" t="str">
        <f>VLOOKUP($A503,'SurveyRpt_20150223 (1)'!$A$34:$AN$735,30,FALSE)</f>
        <v>Yes</v>
      </c>
      <c r="T503" s="16" t="str">
        <f>VLOOKUP($A503,'SurveyRpt_20150223 (1)'!$A$34:$AN$735,32,FALSE)</f>
        <v>Yes</v>
      </c>
      <c r="U503" s="16" t="str">
        <f>VLOOKUP($A503,'SurveyRpt_20150223 (1)'!$A$34:$AN$735,34,FALSE)</f>
        <v>Yes</v>
      </c>
      <c r="V503" s="16" t="str">
        <f>VLOOKUP($A503,'SurveyRpt_20150223 (1)'!$A$34:$AN$735,36,FALSE)</f>
        <v>Yes</v>
      </c>
      <c r="W503" s="16" t="str">
        <f>VLOOKUP($A503,'SurveyRpt_20150223 (1)'!$A$34:$AN$735,38,FALSE)</f>
        <v>Yes</v>
      </c>
    </row>
    <row r="504" spans="1:23" ht="13.5" customHeight="1" x14ac:dyDescent="0.25">
      <c r="A504" s="19" t="s">
        <v>597</v>
      </c>
      <c r="B504" s="19" t="str">
        <f t="shared" si="7"/>
        <v>GSINGH33</v>
      </c>
      <c r="C504" s="16" t="str">
        <f>VLOOKUP(B504,'Compiled Agents'!A:H,2,FALSE)</f>
        <v>Workplace</v>
      </c>
      <c r="D504" s="16" t="str">
        <f>VLOOKUP(B504,'Compiled Agents'!A:H,4,FALSE)</f>
        <v>Noida</v>
      </c>
      <c r="E504" s="16" t="str">
        <f>VLOOKUP(B504,'Compiled Agents'!A:H,5,FALSE)</f>
        <v>Wave2</v>
      </c>
      <c r="F504" s="16" t="str">
        <f>VLOOKUP(B504,'Compiled Agents'!A:H,6,FALSE)</f>
        <v>Blue</v>
      </c>
      <c r="G504" s="16">
        <f>VLOOKUP($A504,'SurveyRpt_20150223 (1)'!$A$34:$AN$735,6,FALSE)</f>
        <v>16</v>
      </c>
      <c r="H504" s="16" t="str">
        <f>VLOOKUP($A504,'SurveyRpt_20150223 (1)'!$A$34:$AN$735,8,FALSE)</f>
        <v>Yes</v>
      </c>
      <c r="I504" s="16" t="str">
        <f>VLOOKUP($A504,'SurveyRpt_20150223 (1)'!$A$34:$AN$735,10,FALSE)</f>
        <v>Yes</v>
      </c>
      <c r="J504" s="16" t="str">
        <f>VLOOKUP($A504,'SurveyRpt_20150223 (1)'!$A$34:$AN$735,12,FALSE)</f>
        <v>Yes</v>
      </c>
      <c r="K504" s="16" t="str">
        <f>VLOOKUP($A504,'SurveyRpt_20150223 (1)'!$A$34:$AN$735,14,FALSE)</f>
        <v>Yes</v>
      </c>
      <c r="L504" s="16" t="str">
        <f>VLOOKUP($A504,'SurveyRpt_20150223 (1)'!$A$34:$AN$735,16,FALSE)</f>
        <v>Yes</v>
      </c>
      <c r="M504" s="16" t="str">
        <f>VLOOKUP($A504,'SurveyRpt_20150223 (1)'!$A$34:$AN$735,18,FALSE)</f>
        <v>Yes</v>
      </c>
      <c r="N504" s="16" t="str">
        <f>VLOOKUP($A504,'SurveyRpt_20150223 (1)'!$A$34:$AN$735,20,FALSE)</f>
        <v>Yes</v>
      </c>
      <c r="O504" s="16" t="str">
        <f>VLOOKUP($A504,'SurveyRpt_20150223 (1)'!$A$34:$AN$735,22,FALSE)</f>
        <v>Yes</v>
      </c>
      <c r="P504" s="16" t="str">
        <f>VLOOKUP($A504,'SurveyRpt_20150223 (1)'!$A$34:$AN$735,24,FALSE)</f>
        <v>Yes</v>
      </c>
      <c r="Q504" s="16" t="str">
        <f>VLOOKUP($A504,'SurveyRpt_20150223 (1)'!$A$34:$AN$735,26,FALSE)</f>
        <v>Yes</v>
      </c>
      <c r="R504" s="16" t="str">
        <f>VLOOKUP($A504,'SurveyRpt_20150223 (1)'!$A$34:$AN$735,28,FALSE)</f>
        <v>Yes</v>
      </c>
      <c r="S504" s="16" t="str">
        <f>VLOOKUP($A504,'SurveyRpt_20150223 (1)'!$A$34:$AN$735,30,FALSE)</f>
        <v>Yes</v>
      </c>
      <c r="T504" s="16" t="str">
        <f>VLOOKUP($A504,'SurveyRpt_20150223 (1)'!$A$34:$AN$735,32,FALSE)</f>
        <v>Yes</v>
      </c>
      <c r="U504" s="16" t="str">
        <f>VLOOKUP($A504,'SurveyRpt_20150223 (1)'!$A$34:$AN$735,34,FALSE)</f>
        <v>Yes</v>
      </c>
      <c r="V504" s="16" t="str">
        <f>VLOOKUP($A504,'SurveyRpt_20150223 (1)'!$A$34:$AN$735,36,FALSE)</f>
        <v>Yes</v>
      </c>
      <c r="W504" s="16" t="str">
        <f>VLOOKUP($A504,'SurveyRpt_20150223 (1)'!$A$34:$AN$735,38,FALSE)</f>
        <v>Yes</v>
      </c>
    </row>
    <row r="505" spans="1:23" ht="13.5" customHeight="1" x14ac:dyDescent="0.25">
      <c r="A505" s="19" t="s">
        <v>598</v>
      </c>
      <c r="B505" s="19" t="str">
        <f t="shared" si="7"/>
        <v>ssoma</v>
      </c>
      <c r="C505" s="16" t="str">
        <f>VLOOKUP(B505,'Compiled Agents'!A:H,2,FALSE)</f>
        <v>Platform</v>
      </c>
      <c r="D505" s="16" t="str">
        <f>VLOOKUP(B505,'Compiled Agents'!A:H,4,FALSE)</f>
        <v>Noida</v>
      </c>
      <c r="E505" s="16" t="str">
        <f>VLOOKUP(B505,'Compiled Agents'!A:H,5,FALSE)</f>
        <v>Wave2</v>
      </c>
      <c r="F505" s="16" t="str">
        <f>VLOOKUP(B505,'Compiled Agents'!A:H,6,FALSE)</f>
        <v>Orange</v>
      </c>
      <c r="G505" s="16">
        <f>VLOOKUP($A505,'SurveyRpt_20150223 (1)'!$A$34:$AN$735,6,FALSE)</f>
        <v>7</v>
      </c>
      <c r="H505" s="16" t="str">
        <f>VLOOKUP($A505,'SurveyRpt_20150223 (1)'!$A$34:$AN$735,8,FALSE)</f>
        <v>No</v>
      </c>
      <c r="I505" s="16" t="str">
        <f>VLOOKUP($A505,'SurveyRpt_20150223 (1)'!$A$34:$AN$735,10,FALSE)</f>
        <v>No</v>
      </c>
      <c r="J505" s="16" t="str">
        <f>VLOOKUP($A505,'SurveyRpt_20150223 (1)'!$A$34:$AN$735,12,FALSE)</f>
        <v>No</v>
      </c>
      <c r="K505" s="16" t="str">
        <f>VLOOKUP($A505,'SurveyRpt_20150223 (1)'!$A$34:$AN$735,14,FALSE)</f>
        <v>No</v>
      </c>
      <c r="L505" s="16" t="str">
        <f>VLOOKUP($A505,'SurveyRpt_20150223 (1)'!$A$34:$AN$735,16,FALSE)</f>
        <v>Yes</v>
      </c>
      <c r="M505" s="16" t="str">
        <f>VLOOKUP($A505,'SurveyRpt_20150223 (1)'!$A$34:$AN$735,18,FALSE)</f>
        <v>Yes</v>
      </c>
      <c r="N505" s="16" t="str">
        <f>VLOOKUP($A505,'SurveyRpt_20150223 (1)'!$A$34:$AN$735,20,FALSE)</f>
        <v>No</v>
      </c>
      <c r="O505" s="16" t="str">
        <f>VLOOKUP($A505,'SurveyRpt_20150223 (1)'!$A$34:$AN$735,22,FALSE)</f>
        <v>No</v>
      </c>
      <c r="P505" s="16" t="str">
        <f>VLOOKUP($A505,'SurveyRpt_20150223 (1)'!$A$34:$AN$735,24,FALSE)</f>
        <v>No</v>
      </c>
      <c r="Q505" s="16" t="str">
        <f>VLOOKUP($A505,'SurveyRpt_20150223 (1)'!$A$34:$AN$735,26,FALSE)</f>
        <v>No</v>
      </c>
      <c r="R505" s="16" t="str">
        <f>VLOOKUP($A505,'SurveyRpt_20150223 (1)'!$A$34:$AN$735,28,FALSE)</f>
        <v>No</v>
      </c>
      <c r="S505" s="16" t="str">
        <f>VLOOKUP($A505,'SurveyRpt_20150223 (1)'!$A$34:$AN$735,30,FALSE)</f>
        <v>Yes</v>
      </c>
      <c r="T505" s="16" t="str">
        <f>VLOOKUP($A505,'SurveyRpt_20150223 (1)'!$A$34:$AN$735,32,FALSE)</f>
        <v>Yes</v>
      </c>
      <c r="U505" s="16" t="str">
        <f>VLOOKUP($A505,'SurveyRpt_20150223 (1)'!$A$34:$AN$735,34,FALSE)</f>
        <v>Yes</v>
      </c>
      <c r="V505" s="16" t="str">
        <f>VLOOKUP($A505,'SurveyRpt_20150223 (1)'!$A$34:$AN$735,36,FALSE)</f>
        <v>Yes</v>
      </c>
      <c r="W505" s="16" t="str">
        <f>VLOOKUP($A505,'SurveyRpt_20150223 (1)'!$A$34:$AN$735,38,FALSE)</f>
        <v>Yes</v>
      </c>
    </row>
    <row r="506" spans="1:23" ht="13.5" customHeight="1" x14ac:dyDescent="0.25">
      <c r="A506" s="19" t="s">
        <v>599</v>
      </c>
      <c r="B506" s="19" t="str">
        <f t="shared" si="7"/>
        <v>SPALANI23</v>
      </c>
      <c r="C506" s="16" t="str">
        <f>VLOOKUP(B506,'Compiled Agents'!A:H,2,FALSE)</f>
        <v>Platform</v>
      </c>
      <c r="D506" s="16" t="str">
        <f>VLOOKUP(B506,'Compiled Agents'!A:H,4,FALSE)</f>
        <v>Noida</v>
      </c>
      <c r="E506" s="16" t="str">
        <f>VLOOKUP(B506,'Compiled Agents'!A:H,5,FALSE)</f>
        <v>Wave2</v>
      </c>
      <c r="F506" s="16" t="str">
        <f>VLOOKUP(B506,'Compiled Agents'!A:H,6,FALSE)</f>
        <v>Purple</v>
      </c>
      <c r="G506" s="16">
        <f>VLOOKUP($A506,'SurveyRpt_20150223 (1)'!$A$34:$AN$735,6,FALSE)</f>
        <v>16</v>
      </c>
      <c r="H506" s="16" t="str">
        <f>VLOOKUP($A506,'SurveyRpt_20150223 (1)'!$A$34:$AN$735,8,FALSE)</f>
        <v>Yes</v>
      </c>
      <c r="I506" s="16" t="str">
        <f>VLOOKUP($A506,'SurveyRpt_20150223 (1)'!$A$34:$AN$735,10,FALSE)</f>
        <v>Yes</v>
      </c>
      <c r="J506" s="16" t="str">
        <f>VLOOKUP($A506,'SurveyRpt_20150223 (1)'!$A$34:$AN$735,12,FALSE)</f>
        <v>Yes</v>
      </c>
      <c r="K506" s="16" t="str">
        <f>VLOOKUP($A506,'SurveyRpt_20150223 (1)'!$A$34:$AN$735,14,FALSE)</f>
        <v>Yes</v>
      </c>
      <c r="L506" s="16" t="str">
        <f>VLOOKUP($A506,'SurveyRpt_20150223 (1)'!$A$34:$AN$735,16,FALSE)</f>
        <v>Yes</v>
      </c>
      <c r="M506" s="16" t="str">
        <f>VLOOKUP($A506,'SurveyRpt_20150223 (1)'!$A$34:$AN$735,18,FALSE)</f>
        <v>Yes</v>
      </c>
      <c r="N506" s="16" t="str">
        <f>VLOOKUP($A506,'SurveyRpt_20150223 (1)'!$A$34:$AN$735,20,FALSE)</f>
        <v>Yes</v>
      </c>
      <c r="O506" s="16" t="str">
        <f>VLOOKUP($A506,'SurveyRpt_20150223 (1)'!$A$34:$AN$735,22,FALSE)</f>
        <v>Yes</v>
      </c>
      <c r="P506" s="16" t="str">
        <f>VLOOKUP($A506,'SurveyRpt_20150223 (1)'!$A$34:$AN$735,24,FALSE)</f>
        <v>Yes</v>
      </c>
      <c r="Q506" s="16" t="str">
        <f>VLOOKUP($A506,'SurveyRpt_20150223 (1)'!$A$34:$AN$735,26,FALSE)</f>
        <v>Yes</v>
      </c>
      <c r="R506" s="16" t="str">
        <f>VLOOKUP($A506,'SurveyRpt_20150223 (1)'!$A$34:$AN$735,28,FALSE)</f>
        <v>Yes</v>
      </c>
      <c r="S506" s="16" t="str">
        <f>VLOOKUP($A506,'SurveyRpt_20150223 (1)'!$A$34:$AN$735,30,FALSE)</f>
        <v>Yes</v>
      </c>
      <c r="T506" s="16" t="str">
        <f>VLOOKUP($A506,'SurveyRpt_20150223 (1)'!$A$34:$AN$735,32,FALSE)</f>
        <v>Yes</v>
      </c>
      <c r="U506" s="16" t="str">
        <f>VLOOKUP($A506,'SurveyRpt_20150223 (1)'!$A$34:$AN$735,34,FALSE)</f>
        <v>Yes</v>
      </c>
      <c r="V506" s="16" t="str">
        <f>VLOOKUP($A506,'SurveyRpt_20150223 (1)'!$A$34:$AN$735,36,FALSE)</f>
        <v>Yes</v>
      </c>
      <c r="W506" s="16" t="str">
        <f>VLOOKUP($A506,'SurveyRpt_20150223 (1)'!$A$34:$AN$735,38,FALSE)</f>
        <v>Yes</v>
      </c>
    </row>
    <row r="507" spans="1:23" ht="13.5" customHeight="1" x14ac:dyDescent="0.25">
      <c r="A507" s="19" t="s">
        <v>600</v>
      </c>
      <c r="B507" s="19" t="str">
        <f t="shared" si="7"/>
        <v>RVERMA31</v>
      </c>
      <c r="C507" s="16" t="str">
        <f>VLOOKUP(B507,'Compiled Agents'!A:H,2,FALSE)</f>
        <v>Platform</v>
      </c>
      <c r="D507" s="16" t="str">
        <f>VLOOKUP(B507,'Compiled Agents'!A:H,4,FALSE)</f>
        <v>Noida</v>
      </c>
      <c r="E507" s="16" t="str">
        <f>VLOOKUP(B507,'Compiled Agents'!A:H,5,FALSE)</f>
        <v>Wave2</v>
      </c>
      <c r="F507" s="16" t="str">
        <f>VLOOKUP(B507,'Compiled Agents'!A:H,6,FALSE)</f>
        <v>Orange</v>
      </c>
      <c r="G507" s="16">
        <f>VLOOKUP($A507,'SurveyRpt_20150223 (1)'!$A$34:$AN$735,6,FALSE)</f>
        <v>16</v>
      </c>
      <c r="H507" s="16" t="str">
        <f>VLOOKUP($A507,'SurveyRpt_20150223 (1)'!$A$34:$AN$735,8,FALSE)</f>
        <v>Yes</v>
      </c>
      <c r="I507" s="16" t="str">
        <f>VLOOKUP($A507,'SurveyRpt_20150223 (1)'!$A$34:$AN$735,10,FALSE)</f>
        <v>Yes</v>
      </c>
      <c r="J507" s="16" t="str">
        <f>VLOOKUP($A507,'SurveyRpt_20150223 (1)'!$A$34:$AN$735,12,FALSE)</f>
        <v>Yes</v>
      </c>
      <c r="K507" s="16" t="str">
        <f>VLOOKUP($A507,'SurveyRpt_20150223 (1)'!$A$34:$AN$735,14,FALSE)</f>
        <v>Yes</v>
      </c>
      <c r="L507" s="16" t="str">
        <f>VLOOKUP($A507,'SurveyRpt_20150223 (1)'!$A$34:$AN$735,16,FALSE)</f>
        <v>Yes</v>
      </c>
      <c r="M507" s="16" t="str">
        <f>VLOOKUP($A507,'SurveyRpt_20150223 (1)'!$A$34:$AN$735,18,FALSE)</f>
        <v>Yes</v>
      </c>
      <c r="N507" s="16" t="str">
        <f>VLOOKUP($A507,'SurveyRpt_20150223 (1)'!$A$34:$AN$735,20,FALSE)</f>
        <v>Yes</v>
      </c>
      <c r="O507" s="16" t="str">
        <f>VLOOKUP($A507,'SurveyRpt_20150223 (1)'!$A$34:$AN$735,22,FALSE)</f>
        <v>Yes</v>
      </c>
      <c r="P507" s="16" t="str">
        <f>VLOOKUP($A507,'SurveyRpt_20150223 (1)'!$A$34:$AN$735,24,FALSE)</f>
        <v>Yes</v>
      </c>
      <c r="Q507" s="16" t="str">
        <f>VLOOKUP($A507,'SurveyRpt_20150223 (1)'!$A$34:$AN$735,26,FALSE)</f>
        <v>Yes</v>
      </c>
      <c r="R507" s="16" t="str">
        <f>VLOOKUP($A507,'SurveyRpt_20150223 (1)'!$A$34:$AN$735,28,FALSE)</f>
        <v>Yes</v>
      </c>
      <c r="S507" s="16" t="str">
        <f>VLOOKUP($A507,'SurveyRpt_20150223 (1)'!$A$34:$AN$735,30,FALSE)</f>
        <v>Yes</v>
      </c>
      <c r="T507" s="16" t="str">
        <f>VLOOKUP($A507,'SurveyRpt_20150223 (1)'!$A$34:$AN$735,32,FALSE)</f>
        <v>Yes</v>
      </c>
      <c r="U507" s="16" t="str">
        <f>VLOOKUP($A507,'SurveyRpt_20150223 (1)'!$A$34:$AN$735,34,FALSE)</f>
        <v>Yes</v>
      </c>
      <c r="V507" s="16" t="str">
        <f>VLOOKUP($A507,'SurveyRpt_20150223 (1)'!$A$34:$AN$735,36,FALSE)</f>
        <v>Yes</v>
      </c>
      <c r="W507" s="16" t="str">
        <f>VLOOKUP($A507,'SurveyRpt_20150223 (1)'!$A$34:$AN$735,38,FALSE)</f>
        <v>Yes</v>
      </c>
    </row>
    <row r="508" spans="1:23" ht="13.5" customHeight="1" x14ac:dyDescent="0.25">
      <c r="A508" s="19" t="s">
        <v>601</v>
      </c>
      <c r="B508" s="19" t="str">
        <f t="shared" si="7"/>
        <v>SKANOONGO</v>
      </c>
      <c r="C508" s="16" t="str">
        <f>VLOOKUP(B508,'Compiled Agents'!A:H,2,FALSE)</f>
        <v>Workplace</v>
      </c>
      <c r="D508" s="16" t="str">
        <f>VLOOKUP(B508,'Compiled Agents'!A:H,4,FALSE)</f>
        <v>Noida</v>
      </c>
      <c r="E508" s="16" t="str">
        <f>VLOOKUP(B508,'Compiled Agents'!A:H,5,FALSE)</f>
        <v>Wave2</v>
      </c>
      <c r="F508" s="16" t="str">
        <f>VLOOKUP(B508,'Compiled Agents'!A:H,6,FALSE)</f>
        <v>Blue</v>
      </c>
      <c r="G508" s="16">
        <f>VLOOKUP($A508,'SurveyRpt_20150223 (1)'!$A$34:$AN$735,6,FALSE)</f>
        <v>16</v>
      </c>
      <c r="H508" s="16" t="str">
        <f>VLOOKUP($A508,'SurveyRpt_20150223 (1)'!$A$34:$AN$735,8,FALSE)</f>
        <v>Yes</v>
      </c>
      <c r="I508" s="16" t="str">
        <f>VLOOKUP($A508,'SurveyRpt_20150223 (1)'!$A$34:$AN$735,10,FALSE)</f>
        <v>Yes</v>
      </c>
      <c r="J508" s="16" t="str">
        <f>VLOOKUP($A508,'SurveyRpt_20150223 (1)'!$A$34:$AN$735,12,FALSE)</f>
        <v>Yes</v>
      </c>
      <c r="K508" s="16" t="str">
        <f>VLOOKUP($A508,'SurveyRpt_20150223 (1)'!$A$34:$AN$735,14,FALSE)</f>
        <v>Yes</v>
      </c>
      <c r="L508" s="16" t="str">
        <f>VLOOKUP($A508,'SurveyRpt_20150223 (1)'!$A$34:$AN$735,16,FALSE)</f>
        <v>Yes</v>
      </c>
      <c r="M508" s="16" t="str">
        <f>VLOOKUP($A508,'SurveyRpt_20150223 (1)'!$A$34:$AN$735,18,FALSE)</f>
        <v>Yes</v>
      </c>
      <c r="N508" s="16" t="str">
        <f>VLOOKUP($A508,'SurveyRpt_20150223 (1)'!$A$34:$AN$735,20,FALSE)</f>
        <v>Yes</v>
      </c>
      <c r="O508" s="16" t="str">
        <f>VLOOKUP($A508,'SurveyRpt_20150223 (1)'!$A$34:$AN$735,22,FALSE)</f>
        <v>Yes</v>
      </c>
      <c r="P508" s="16" t="str">
        <f>VLOOKUP($A508,'SurveyRpt_20150223 (1)'!$A$34:$AN$735,24,FALSE)</f>
        <v>Yes</v>
      </c>
      <c r="Q508" s="16" t="str">
        <f>VLOOKUP($A508,'SurveyRpt_20150223 (1)'!$A$34:$AN$735,26,FALSE)</f>
        <v>Yes</v>
      </c>
      <c r="R508" s="16" t="str">
        <f>VLOOKUP($A508,'SurveyRpt_20150223 (1)'!$A$34:$AN$735,28,FALSE)</f>
        <v>Yes</v>
      </c>
      <c r="S508" s="16" t="str">
        <f>VLOOKUP($A508,'SurveyRpt_20150223 (1)'!$A$34:$AN$735,30,FALSE)</f>
        <v>Yes</v>
      </c>
      <c r="T508" s="16" t="str">
        <f>VLOOKUP($A508,'SurveyRpt_20150223 (1)'!$A$34:$AN$735,32,FALSE)</f>
        <v>Yes</v>
      </c>
      <c r="U508" s="16" t="str">
        <f>VLOOKUP($A508,'SurveyRpt_20150223 (1)'!$A$34:$AN$735,34,FALSE)</f>
        <v>Yes</v>
      </c>
      <c r="V508" s="16" t="str">
        <f>VLOOKUP($A508,'SurveyRpt_20150223 (1)'!$A$34:$AN$735,36,FALSE)</f>
        <v>Yes</v>
      </c>
      <c r="W508" s="16" t="str">
        <f>VLOOKUP($A508,'SurveyRpt_20150223 (1)'!$A$34:$AN$735,38,FALSE)</f>
        <v>Yes</v>
      </c>
    </row>
    <row r="509" spans="1:23" ht="13.5" customHeight="1" x14ac:dyDescent="0.25">
      <c r="A509" s="19" t="s">
        <v>602</v>
      </c>
      <c r="B509" s="19" t="str">
        <f t="shared" si="7"/>
        <v>NANILJAIN</v>
      </c>
      <c r="C509" s="16" t="str">
        <f>VLOOKUP(B509,'Compiled Agents'!A:H,2,FALSE)</f>
        <v>Workplace</v>
      </c>
      <c r="D509" s="16" t="str">
        <f>VLOOKUP(B509,'Compiled Agents'!A:H,4,FALSE)</f>
        <v>Noida</v>
      </c>
      <c r="E509" s="16" t="str">
        <f>VLOOKUP(B509,'Compiled Agents'!A:H,5,FALSE)</f>
        <v>Wave2</v>
      </c>
      <c r="F509" s="16" t="str">
        <f>VLOOKUP(B509,'Compiled Agents'!A:H,6,FALSE)</f>
        <v>Yellow</v>
      </c>
      <c r="G509" s="16">
        <f>VLOOKUP($A509,'SurveyRpt_20150223 (1)'!$A$34:$AN$735,6,FALSE)</f>
        <v>13</v>
      </c>
      <c r="H509" s="16" t="str">
        <f>VLOOKUP($A509,'SurveyRpt_20150223 (1)'!$A$34:$AN$735,8,FALSE)</f>
        <v>Yes</v>
      </c>
      <c r="I509" s="16" t="str">
        <f>VLOOKUP($A509,'SurveyRpt_20150223 (1)'!$A$34:$AN$735,10,FALSE)</f>
        <v>Yes</v>
      </c>
      <c r="J509" s="16" t="str">
        <f>VLOOKUP($A509,'SurveyRpt_20150223 (1)'!$A$34:$AN$735,12,FALSE)</f>
        <v>No</v>
      </c>
      <c r="K509" s="16" t="str">
        <f>VLOOKUP($A509,'SurveyRpt_20150223 (1)'!$A$34:$AN$735,14,FALSE)</f>
        <v>No</v>
      </c>
      <c r="L509" s="16" t="str">
        <f>VLOOKUP($A509,'SurveyRpt_20150223 (1)'!$A$34:$AN$735,16,FALSE)</f>
        <v>Yes</v>
      </c>
      <c r="M509" s="16" t="str">
        <f>VLOOKUP($A509,'SurveyRpt_20150223 (1)'!$A$34:$AN$735,18,FALSE)</f>
        <v>No</v>
      </c>
      <c r="N509" s="16" t="str">
        <f>VLOOKUP($A509,'SurveyRpt_20150223 (1)'!$A$34:$AN$735,20,FALSE)</f>
        <v>Yes</v>
      </c>
      <c r="O509" s="16" t="str">
        <f>VLOOKUP($A509,'SurveyRpt_20150223 (1)'!$A$34:$AN$735,22,FALSE)</f>
        <v>Yes</v>
      </c>
      <c r="P509" s="16" t="str">
        <f>VLOOKUP($A509,'SurveyRpt_20150223 (1)'!$A$34:$AN$735,24,FALSE)</f>
        <v>Yes</v>
      </c>
      <c r="Q509" s="16" t="str">
        <f>VLOOKUP($A509,'SurveyRpt_20150223 (1)'!$A$34:$AN$735,26,FALSE)</f>
        <v>Yes</v>
      </c>
      <c r="R509" s="16" t="str">
        <f>VLOOKUP($A509,'SurveyRpt_20150223 (1)'!$A$34:$AN$735,28,FALSE)</f>
        <v>Yes</v>
      </c>
      <c r="S509" s="16" t="str">
        <f>VLOOKUP($A509,'SurveyRpt_20150223 (1)'!$A$34:$AN$735,30,FALSE)</f>
        <v>Yes</v>
      </c>
      <c r="T509" s="16" t="str">
        <f>VLOOKUP($A509,'SurveyRpt_20150223 (1)'!$A$34:$AN$735,32,FALSE)</f>
        <v>Yes</v>
      </c>
      <c r="U509" s="16" t="str">
        <f>VLOOKUP($A509,'SurveyRpt_20150223 (1)'!$A$34:$AN$735,34,FALSE)</f>
        <v>Yes</v>
      </c>
      <c r="V509" s="16" t="str">
        <f>VLOOKUP($A509,'SurveyRpt_20150223 (1)'!$A$34:$AN$735,36,FALSE)</f>
        <v>Yes</v>
      </c>
      <c r="W509" s="16" t="str">
        <f>VLOOKUP($A509,'SurveyRpt_20150223 (1)'!$A$34:$AN$735,38,FALSE)</f>
        <v>Yes</v>
      </c>
    </row>
    <row r="510" spans="1:23" ht="13.5" customHeight="1" x14ac:dyDescent="0.25">
      <c r="A510" s="19" t="s">
        <v>603</v>
      </c>
      <c r="B510" s="19" t="str">
        <f t="shared" si="7"/>
        <v>cvillabrille</v>
      </c>
      <c r="C510" s="16" t="str">
        <f>VLOOKUP(B510,'Compiled Agents'!A:H,2,FALSE)</f>
        <v>Platform</v>
      </c>
      <c r="D510" s="16" t="str">
        <f>VLOOKUP(B510,'Compiled Agents'!A:H,4,FALSE)</f>
        <v>Spain</v>
      </c>
      <c r="E510" s="16" t="str">
        <f>VLOOKUP(B510,'Compiled Agents'!A:H,5,FALSE)</f>
        <v>Wave1</v>
      </c>
      <c r="F510" s="16" t="str">
        <f>VLOOKUP(B510,'Compiled Agents'!A:H,6,FALSE)</f>
        <v>Blue</v>
      </c>
      <c r="G510" s="16">
        <f>VLOOKUP($A510,'SurveyRpt_20150223 (1)'!$A$34:$AN$735,6,FALSE)</f>
        <v>6</v>
      </c>
      <c r="H510" s="16" t="str">
        <f>VLOOKUP($A510,'SurveyRpt_20150223 (1)'!$A$34:$AN$735,8,FALSE)</f>
        <v>No</v>
      </c>
      <c r="I510" s="16" t="str">
        <f>VLOOKUP($A510,'SurveyRpt_20150223 (1)'!$A$34:$AN$735,10,FALSE)</f>
        <v>No</v>
      </c>
      <c r="J510" s="16" t="str">
        <f>VLOOKUP($A510,'SurveyRpt_20150223 (1)'!$A$34:$AN$735,12,FALSE)</f>
        <v>No</v>
      </c>
      <c r="K510" s="16" t="str">
        <f>VLOOKUP($A510,'SurveyRpt_20150223 (1)'!$A$34:$AN$735,14,FALSE)</f>
        <v>No</v>
      </c>
      <c r="L510" s="16" t="str">
        <f>VLOOKUP($A510,'SurveyRpt_20150223 (1)'!$A$34:$AN$735,16,FALSE)</f>
        <v>No</v>
      </c>
      <c r="M510" s="16" t="str">
        <f>VLOOKUP($A510,'SurveyRpt_20150223 (1)'!$A$34:$AN$735,18,FALSE)</f>
        <v>Yes</v>
      </c>
      <c r="N510" s="16" t="str">
        <f>VLOOKUP($A510,'SurveyRpt_20150223 (1)'!$A$34:$AN$735,20,FALSE)</f>
        <v>No</v>
      </c>
      <c r="O510" s="16" t="str">
        <f>VLOOKUP($A510,'SurveyRpt_20150223 (1)'!$A$34:$AN$735,22,FALSE)</f>
        <v>Yes</v>
      </c>
      <c r="P510" s="16" t="str">
        <f>VLOOKUP($A510,'SurveyRpt_20150223 (1)'!$A$34:$AN$735,24,FALSE)</f>
        <v>No</v>
      </c>
      <c r="Q510" s="16" t="str">
        <f>VLOOKUP($A510,'SurveyRpt_20150223 (1)'!$A$34:$AN$735,26,FALSE)</f>
        <v>Yes</v>
      </c>
      <c r="R510" s="16" t="str">
        <f>VLOOKUP($A510,'SurveyRpt_20150223 (1)'!$A$34:$AN$735,28,FALSE)</f>
        <v>Yes</v>
      </c>
      <c r="S510" s="16" t="str">
        <f>VLOOKUP($A510,'SurveyRpt_20150223 (1)'!$A$34:$AN$735,30,FALSE)</f>
        <v>Yes</v>
      </c>
      <c r="T510" s="16" t="str">
        <f>VLOOKUP($A510,'SurveyRpt_20150223 (1)'!$A$34:$AN$735,32,FALSE)</f>
        <v>No</v>
      </c>
      <c r="U510" s="16" t="str">
        <f>VLOOKUP($A510,'SurveyRpt_20150223 (1)'!$A$34:$AN$735,34,FALSE)</f>
        <v>Yes</v>
      </c>
      <c r="V510" s="16" t="str">
        <f>VLOOKUP($A510,'SurveyRpt_20150223 (1)'!$A$34:$AN$735,36,FALSE)</f>
        <v>No</v>
      </c>
      <c r="W510" s="16" t="str">
        <f>VLOOKUP($A510,'SurveyRpt_20150223 (1)'!$A$34:$AN$735,38,FALSE)</f>
        <v>No</v>
      </c>
    </row>
    <row r="511" spans="1:23" ht="13.5" customHeight="1" x14ac:dyDescent="0.25">
      <c r="A511" s="19" t="s">
        <v>604</v>
      </c>
      <c r="B511" s="19" t="str">
        <f t="shared" si="7"/>
        <v>ajeelani</v>
      </c>
      <c r="C511" s="16" t="str">
        <f>VLOOKUP(B511,'Compiled Agents'!A:H,2,FALSE)</f>
        <v>Workplace</v>
      </c>
      <c r="D511" s="16" t="str">
        <f>VLOOKUP(B511,'Compiled Agents'!A:H,4,FALSE)</f>
        <v>Hyderabad</v>
      </c>
      <c r="E511" s="16" t="str">
        <f>VLOOKUP(B511,'Compiled Agents'!A:H,5,FALSE)</f>
        <v>Wave2</v>
      </c>
      <c r="F511" s="16" t="str">
        <f>VLOOKUP(B511,'Compiled Agents'!A:H,6,FALSE)</f>
        <v>Purple</v>
      </c>
      <c r="G511" s="16">
        <f>VLOOKUP($A511,'SurveyRpt_20150223 (1)'!$A$34:$AN$735,6,FALSE)</f>
        <v>16</v>
      </c>
      <c r="H511" s="16" t="str">
        <f>VLOOKUP($A511,'SurveyRpt_20150223 (1)'!$A$34:$AN$735,8,FALSE)</f>
        <v>Yes</v>
      </c>
      <c r="I511" s="16" t="str">
        <f>VLOOKUP($A511,'SurveyRpt_20150223 (1)'!$A$34:$AN$735,10,FALSE)</f>
        <v>Yes</v>
      </c>
      <c r="J511" s="16" t="str">
        <f>VLOOKUP($A511,'SurveyRpt_20150223 (1)'!$A$34:$AN$735,12,FALSE)</f>
        <v>Yes</v>
      </c>
      <c r="K511" s="16" t="str">
        <f>VLOOKUP($A511,'SurveyRpt_20150223 (1)'!$A$34:$AN$735,14,FALSE)</f>
        <v>Yes</v>
      </c>
      <c r="L511" s="16" t="str">
        <f>VLOOKUP($A511,'SurveyRpt_20150223 (1)'!$A$34:$AN$735,16,FALSE)</f>
        <v>Yes</v>
      </c>
      <c r="M511" s="16" t="str">
        <f>VLOOKUP($A511,'SurveyRpt_20150223 (1)'!$A$34:$AN$735,18,FALSE)</f>
        <v>Yes</v>
      </c>
      <c r="N511" s="16" t="str">
        <f>VLOOKUP($A511,'SurveyRpt_20150223 (1)'!$A$34:$AN$735,20,FALSE)</f>
        <v>Yes</v>
      </c>
      <c r="O511" s="16" t="str">
        <f>VLOOKUP($A511,'SurveyRpt_20150223 (1)'!$A$34:$AN$735,22,FALSE)</f>
        <v>Yes</v>
      </c>
      <c r="P511" s="16" t="str">
        <f>VLOOKUP($A511,'SurveyRpt_20150223 (1)'!$A$34:$AN$735,24,FALSE)</f>
        <v>Yes</v>
      </c>
      <c r="Q511" s="16" t="str">
        <f>VLOOKUP($A511,'SurveyRpt_20150223 (1)'!$A$34:$AN$735,26,FALSE)</f>
        <v>Yes</v>
      </c>
      <c r="R511" s="16" t="str">
        <f>VLOOKUP($A511,'SurveyRpt_20150223 (1)'!$A$34:$AN$735,28,FALSE)</f>
        <v>Yes</v>
      </c>
      <c r="S511" s="16" t="str">
        <f>VLOOKUP($A511,'SurveyRpt_20150223 (1)'!$A$34:$AN$735,30,FALSE)</f>
        <v>Yes</v>
      </c>
      <c r="T511" s="16" t="str">
        <f>VLOOKUP($A511,'SurveyRpt_20150223 (1)'!$A$34:$AN$735,32,FALSE)</f>
        <v>Yes</v>
      </c>
      <c r="U511" s="16" t="str">
        <f>VLOOKUP($A511,'SurveyRpt_20150223 (1)'!$A$34:$AN$735,34,FALSE)</f>
        <v>Yes</v>
      </c>
      <c r="V511" s="16" t="str">
        <f>VLOOKUP($A511,'SurveyRpt_20150223 (1)'!$A$34:$AN$735,36,FALSE)</f>
        <v>Yes</v>
      </c>
      <c r="W511" s="16" t="str">
        <f>VLOOKUP($A511,'SurveyRpt_20150223 (1)'!$A$34:$AN$735,38,FALSE)</f>
        <v>Yes</v>
      </c>
    </row>
    <row r="512" spans="1:23" ht="13.5" customHeight="1" x14ac:dyDescent="0.25">
      <c r="A512" s="19" t="s">
        <v>605</v>
      </c>
      <c r="B512" s="19" t="str">
        <f t="shared" si="7"/>
        <v>RSINGH279</v>
      </c>
      <c r="C512" s="16" t="str">
        <f>VLOOKUP(B512,'Compiled Agents'!A:H,2,FALSE)</f>
        <v>Platform</v>
      </c>
      <c r="D512" s="16" t="str">
        <f>VLOOKUP(B512,'Compiled Agents'!A:H,4,FALSE)</f>
        <v>Noida</v>
      </c>
      <c r="E512" s="16" t="str">
        <f>VLOOKUP(B512,'Compiled Agents'!A:H,5,FALSE)</f>
        <v>Wave2</v>
      </c>
      <c r="F512" s="16" t="str">
        <f>VLOOKUP(B512,'Compiled Agents'!A:H,6,FALSE)</f>
        <v>Yellow</v>
      </c>
      <c r="G512" s="16">
        <f>VLOOKUP($A512,'SurveyRpt_20150223 (1)'!$A$34:$AN$735,6,FALSE)</f>
        <v>16</v>
      </c>
      <c r="H512" s="16" t="str">
        <f>VLOOKUP($A512,'SurveyRpt_20150223 (1)'!$A$34:$AN$735,8,FALSE)</f>
        <v>Yes</v>
      </c>
      <c r="I512" s="16" t="str">
        <f>VLOOKUP($A512,'SurveyRpt_20150223 (1)'!$A$34:$AN$735,10,FALSE)</f>
        <v>Yes</v>
      </c>
      <c r="J512" s="16" t="str">
        <f>VLOOKUP($A512,'SurveyRpt_20150223 (1)'!$A$34:$AN$735,12,FALSE)</f>
        <v>Yes</v>
      </c>
      <c r="K512" s="16" t="str">
        <f>VLOOKUP($A512,'SurveyRpt_20150223 (1)'!$A$34:$AN$735,14,FALSE)</f>
        <v>Yes</v>
      </c>
      <c r="L512" s="16" t="str">
        <f>VLOOKUP($A512,'SurveyRpt_20150223 (1)'!$A$34:$AN$735,16,FALSE)</f>
        <v>Yes</v>
      </c>
      <c r="M512" s="16" t="str">
        <f>VLOOKUP($A512,'SurveyRpt_20150223 (1)'!$A$34:$AN$735,18,FALSE)</f>
        <v>Yes</v>
      </c>
      <c r="N512" s="16" t="str">
        <f>VLOOKUP($A512,'SurveyRpt_20150223 (1)'!$A$34:$AN$735,20,FALSE)</f>
        <v>Yes</v>
      </c>
      <c r="O512" s="16" t="str">
        <f>VLOOKUP($A512,'SurveyRpt_20150223 (1)'!$A$34:$AN$735,22,FALSE)</f>
        <v>Yes</v>
      </c>
      <c r="P512" s="16" t="str">
        <f>VLOOKUP($A512,'SurveyRpt_20150223 (1)'!$A$34:$AN$735,24,FALSE)</f>
        <v>Yes</v>
      </c>
      <c r="Q512" s="16" t="str">
        <f>VLOOKUP($A512,'SurveyRpt_20150223 (1)'!$A$34:$AN$735,26,FALSE)</f>
        <v>Yes</v>
      </c>
      <c r="R512" s="16" t="str">
        <f>VLOOKUP($A512,'SurveyRpt_20150223 (1)'!$A$34:$AN$735,28,FALSE)</f>
        <v>Yes</v>
      </c>
      <c r="S512" s="16" t="str">
        <f>VLOOKUP($A512,'SurveyRpt_20150223 (1)'!$A$34:$AN$735,30,FALSE)</f>
        <v>Yes</v>
      </c>
      <c r="T512" s="16" t="str">
        <f>VLOOKUP($A512,'SurveyRpt_20150223 (1)'!$A$34:$AN$735,32,FALSE)</f>
        <v>Yes</v>
      </c>
      <c r="U512" s="16" t="str">
        <f>VLOOKUP($A512,'SurveyRpt_20150223 (1)'!$A$34:$AN$735,34,FALSE)</f>
        <v>Yes</v>
      </c>
      <c r="V512" s="16" t="str">
        <f>VLOOKUP($A512,'SurveyRpt_20150223 (1)'!$A$34:$AN$735,36,FALSE)</f>
        <v>Yes</v>
      </c>
      <c r="W512" s="16" t="str">
        <f>VLOOKUP($A512,'SurveyRpt_20150223 (1)'!$A$34:$AN$735,38,FALSE)</f>
        <v>Yes</v>
      </c>
    </row>
    <row r="513" spans="1:23" ht="13.5" customHeight="1" x14ac:dyDescent="0.25">
      <c r="A513" s="19" t="s">
        <v>606</v>
      </c>
      <c r="B513" s="19" t="str">
        <f t="shared" si="7"/>
        <v>vsingh23</v>
      </c>
      <c r="C513" s="16" t="str">
        <f>VLOOKUP(B513,'Compiled Agents'!A:H,2,FALSE)</f>
        <v>Platform</v>
      </c>
      <c r="D513" s="16" t="str">
        <f>VLOOKUP(B513,'Compiled Agents'!A:H,4,FALSE)</f>
        <v>Noida</v>
      </c>
      <c r="E513" s="16" t="str">
        <f>VLOOKUP(B513,'Compiled Agents'!A:H,5,FALSE)</f>
        <v>Wave1</v>
      </c>
      <c r="F513" s="16" t="str">
        <f>VLOOKUP(B513,'Compiled Agents'!A:H,6,FALSE)</f>
        <v>Blue</v>
      </c>
      <c r="G513" s="16">
        <f>VLOOKUP($A513,'SurveyRpt_20150223 (1)'!$A$34:$AN$735,6,FALSE)</f>
        <v>9</v>
      </c>
      <c r="H513" s="16" t="str">
        <f>VLOOKUP($A513,'SurveyRpt_20150223 (1)'!$A$34:$AN$735,8,FALSE)</f>
        <v>No</v>
      </c>
      <c r="I513" s="16" t="str">
        <f>VLOOKUP($A513,'SurveyRpt_20150223 (1)'!$A$34:$AN$735,10,FALSE)</f>
        <v>Yes</v>
      </c>
      <c r="J513" s="16" t="str">
        <f>VLOOKUP($A513,'SurveyRpt_20150223 (1)'!$A$34:$AN$735,12,FALSE)</f>
        <v>Yes</v>
      </c>
      <c r="K513" s="16" t="str">
        <f>VLOOKUP($A513,'SurveyRpt_20150223 (1)'!$A$34:$AN$735,14,FALSE)</f>
        <v>Yes</v>
      </c>
      <c r="L513" s="16" t="str">
        <f>VLOOKUP($A513,'SurveyRpt_20150223 (1)'!$A$34:$AN$735,16,FALSE)</f>
        <v>Yes</v>
      </c>
      <c r="M513" s="16" t="str">
        <f>VLOOKUP($A513,'SurveyRpt_20150223 (1)'!$A$34:$AN$735,18,FALSE)</f>
        <v>Yes</v>
      </c>
      <c r="N513" s="16" t="str">
        <f>VLOOKUP($A513,'SurveyRpt_20150223 (1)'!$A$34:$AN$735,20,FALSE)</f>
        <v>No</v>
      </c>
      <c r="O513" s="16" t="str">
        <f>VLOOKUP($A513,'SurveyRpt_20150223 (1)'!$A$34:$AN$735,22,FALSE)</f>
        <v>Yes</v>
      </c>
      <c r="P513" s="16" t="str">
        <f>VLOOKUP($A513,'SurveyRpt_20150223 (1)'!$A$34:$AN$735,24,FALSE)</f>
        <v>No</v>
      </c>
      <c r="Q513" s="16" t="str">
        <f>VLOOKUP($A513,'SurveyRpt_20150223 (1)'!$A$34:$AN$735,26,FALSE)</f>
        <v>No</v>
      </c>
      <c r="R513" s="16" t="str">
        <f>VLOOKUP($A513,'SurveyRpt_20150223 (1)'!$A$34:$AN$735,28,FALSE)</f>
        <v>No</v>
      </c>
      <c r="S513" s="16" t="str">
        <f>VLOOKUP($A513,'SurveyRpt_20150223 (1)'!$A$34:$AN$735,30,FALSE)</f>
        <v>Yes</v>
      </c>
      <c r="T513" s="16" t="str">
        <f>VLOOKUP($A513,'SurveyRpt_20150223 (1)'!$A$34:$AN$735,32,FALSE)</f>
        <v>No</v>
      </c>
      <c r="U513" s="16" t="str">
        <f>VLOOKUP($A513,'SurveyRpt_20150223 (1)'!$A$34:$AN$735,34,FALSE)</f>
        <v>Yes</v>
      </c>
      <c r="V513" s="16" t="str">
        <f>VLOOKUP($A513,'SurveyRpt_20150223 (1)'!$A$34:$AN$735,36,FALSE)</f>
        <v>Yes</v>
      </c>
      <c r="W513" s="16" t="str">
        <f>VLOOKUP($A513,'SurveyRpt_20150223 (1)'!$A$34:$AN$735,38,FALSE)</f>
        <v>No</v>
      </c>
    </row>
    <row r="514" spans="1:23" ht="13.5" customHeight="1" x14ac:dyDescent="0.25">
      <c r="A514" s="19" t="s">
        <v>607</v>
      </c>
      <c r="B514" s="19" t="str">
        <f t="shared" si="7"/>
        <v>RDEVKAL</v>
      </c>
      <c r="C514" s="16" t="str">
        <f>VLOOKUP(B514,'Compiled Agents'!A:H,2,FALSE)</f>
        <v>Platform</v>
      </c>
      <c r="D514" s="16" t="str">
        <f>VLOOKUP(B514,'Compiled Agents'!A:H,4,FALSE)</f>
        <v>Noida</v>
      </c>
      <c r="E514" s="16" t="str">
        <f>VLOOKUP(B514,'Compiled Agents'!A:H,5,FALSE)</f>
        <v>Wave2</v>
      </c>
      <c r="F514" s="16" t="str">
        <f>VLOOKUP(B514,'Compiled Agents'!A:H,6,FALSE)</f>
        <v>Yellow</v>
      </c>
      <c r="G514" s="16">
        <f>VLOOKUP($A514,'SurveyRpt_20150223 (1)'!$A$34:$AN$735,6,FALSE)</f>
        <v>16</v>
      </c>
      <c r="H514" s="16" t="str">
        <f>VLOOKUP($A514,'SurveyRpt_20150223 (1)'!$A$34:$AN$735,8,FALSE)</f>
        <v>Yes</v>
      </c>
      <c r="I514" s="16" t="str">
        <f>VLOOKUP($A514,'SurveyRpt_20150223 (1)'!$A$34:$AN$735,10,FALSE)</f>
        <v>Yes</v>
      </c>
      <c r="J514" s="16" t="str">
        <f>VLOOKUP($A514,'SurveyRpt_20150223 (1)'!$A$34:$AN$735,12,FALSE)</f>
        <v>Yes</v>
      </c>
      <c r="K514" s="16" t="str">
        <f>VLOOKUP($A514,'SurveyRpt_20150223 (1)'!$A$34:$AN$735,14,FALSE)</f>
        <v>Yes</v>
      </c>
      <c r="L514" s="16" t="str">
        <f>VLOOKUP($A514,'SurveyRpt_20150223 (1)'!$A$34:$AN$735,16,FALSE)</f>
        <v>Yes</v>
      </c>
      <c r="M514" s="16" t="str">
        <f>VLOOKUP($A514,'SurveyRpt_20150223 (1)'!$A$34:$AN$735,18,FALSE)</f>
        <v>Yes</v>
      </c>
      <c r="N514" s="16" t="str">
        <f>VLOOKUP($A514,'SurveyRpt_20150223 (1)'!$A$34:$AN$735,20,FALSE)</f>
        <v>Yes</v>
      </c>
      <c r="O514" s="16" t="str">
        <f>VLOOKUP($A514,'SurveyRpt_20150223 (1)'!$A$34:$AN$735,22,FALSE)</f>
        <v>Yes</v>
      </c>
      <c r="P514" s="16" t="str">
        <f>VLOOKUP($A514,'SurveyRpt_20150223 (1)'!$A$34:$AN$735,24,FALSE)</f>
        <v>Yes</v>
      </c>
      <c r="Q514" s="16" t="str">
        <f>VLOOKUP($A514,'SurveyRpt_20150223 (1)'!$A$34:$AN$735,26,FALSE)</f>
        <v>Yes</v>
      </c>
      <c r="R514" s="16" t="str">
        <f>VLOOKUP($A514,'SurveyRpt_20150223 (1)'!$A$34:$AN$735,28,FALSE)</f>
        <v>Yes</v>
      </c>
      <c r="S514" s="16" t="str">
        <f>VLOOKUP($A514,'SurveyRpt_20150223 (1)'!$A$34:$AN$735,30,FALSE)</f>
        <v>Yes</v>
      </c>
      <c r="T514" s="16" t="str">
        <f>VLOOKUP($A514,'SurveyRpt_20150223 (1)'!$A$34:$AN$735,32,FALSE)</f>
        <v>Yes</v>
      </c>
      <c r="U514" s="16" t="str">
        <f>VLOOKUP($A514,'SurveyRpt_20150223 (1)'!$A$34:$AN$735,34,FALSE)</f>
        <v>Yes</v>
      </c>
      <c r="V514" s="16" t="str">
        <f>VLOOKUP($A514,'SurveyRpt_20150223 (1)'!$A$34:$AN$735,36,FALSE)</f>
        <v>Yes</v>
      </c>
      <c r="W514" s="16" t="str">
        <f>VLOOKUP($A514,'SurveyRpt_20150223 (1)'!$A$34:$AN$735,38,FALSE)</f>
        <v>Yes</v>
      </c>
    </row>
    <row r="515" spans="1:23" ht="13.5" customHeight="1" x14ac:dyDescent="0.25">
      <c r="A515" s="19" t="s">
        <v>608</v>
      </c>
      <c r="B515" s="19" t="str">
        <f t="shared" ref="B515:B578" si="8">TRIM(LEFT(A515,FIND("@",A515)-1))</f>
        <v>AMEHTA27</v>
      </c>
      <c r="C515" s="16" t="str">
        <f>VLOOKUP(B515,'Compiled Agents'!A:H,2,FALSE)</f>
        <v>Workplace</v>
      </c>
      <c r="D515" s="16" t="str">
        <f>VLOOKUP(B515,'Compiled Agents'!A:H,4,FALSE)</f>
        <v>Noida</v>
      </c>
      <c r="E515" s="16" t="str">
        <f>VLOOKUP(B515,'Compiled Agents'!A:H,5,FALSE)</f>
        <v>Wave1</v>
      </c>
      <c r="F515" s="16" t="str">
        <f>VLOOKUP(B515,'Compiled Agents'!A:H,6,FALSE)</f>
        <v>Yellow</v>
      </c>
      <c r="G515" s="16">
        <f>VLOOKUP($A515,'SurveyRpt_20150223 (1)'!$A$34:$AN$735,6,FALSE)</f>
        <v>14</v>
      </c>
      <c r="H515" s="16" t="str">
        <f>VLOOKUP($A515,'SurveyRpt_20150223 (1)'!$A$34:$AN$735,8,FALSE)</f>
        <v>Yes</v>
      </c>
      <c r="I515" s="16" t="str">
        <f>VLOOKUP($A515,'SurveyRpt_20150223 (1)'!$A$34:$AN$735,10,FALSE)</f>
        <v>Yes</v>
      </c>
      <c r="J515" s="16" t="str">
        <f>VLOOKUP($A515,'SurveyRpt_20150223 (1)'!$A$34:$AN$735,12,FALSE)</f>
        <v>Yes</v>
      </c>
      <c r="K515" s="16" t="str">
        <f>VLOOKUP($A515,'SurveyRpt_20150223 (1)'!$A$34:$AN$735,14,FALSE)</f>
        <v>Yes</v>
      </c>
      <c r="L515" s="16" t="str">
        <f>VLOOKUP($A515,'SurveyRpt_20150223 (1)'!$A$34:$AN$735,16,FALSE)</f>
        <v>Yes</v>
      </c>
      <c r="M515" s="16" t="str">
        <f>VLOOKUP($A515,'SurveyRpt_20150223 (1)'!$A$34:$AN$735,18,FALSE)</f>
        <v>Yes</v>
      </c>
      <c r="N515" s="16" t="str">
        <f>VLOOKUP($A515,'SurveyRpt_20150223 (1)'!$A$34:$AN$735,20,FALSE)</f>
        <v>Yes</v>
      </c>
      <c r="O515" s="16" t="str">
        <f>VLOOKUP($A515,'SurveyRpt_20150223 (1)'!$A$34:$AN$735,22,FALSE)</f>
        <v>Yes</v>
      </c>
      <c r="P515" s="16" t="str">
        <f>VLOOKUP($A515,'SurveyRpt_20150223 (1)'!$A$34:$AN$735,24,FALSE)</f>
        <v>Yes</v>
      </c>
      <c r="Q515" s="16" t="str">
        <f>VLOOKUP($A515,'SurveyRpt_20150223 (1)'!$A$34:$AN$735,26,FALSE)</f>
        <v>Yes</v>
      </c>
      <c r="R515" s="16" t="str">
        <f>VLOOKUP($A515,'SurveyRpt_20150223 (1)'!$A$34:$AN$735,28,FALSE)</f>
        <v>Yes</v>
      </c>
      <c r="S515" s="16" t="str">
        <f>VLOOKUP($A515,'SurveyRpt_20150223 (1)'!$A$34:$AN$735,30,FALSE)</f>
        <v>Yes</v>
      </c>
      <c r="T515" s="16" t="str">
        <f>VLOOKUP($A515,'SurveyRpt_20150223 (1)'!$A$34:$AN$735,32,FALSE)</f>
        <v>No</v>
      </c>
      <c r="U515" s="16" t="str">
        <f>VLOOKUP($A515,'SurveyRpt_20150223 (1)'!$A$34:$AN$735,34,FALSE)</f>
        <v>Yes</v>
      </c>
      <c r="V515" s="16" t="str">
        <f>VLOOKUP($A515,'SurveyRpt_20150223 (1)'!$A$34:$AN$735,36,FALSE)</f>
        <v>Yes</v>
      </c>
      <c r="W515" s="16" t="str">
        <f>VLOOKUP($A515,'SurveyRpt_20150223 (1)'!$A$34:$AN$735,38,FALSE)</f>
        <v>No</v>
      </c>
    </row>
    <row r="516" spans="1:23" ht="13.5" customHeight="1" x14ac:dyDescent="0.25">
      <c r="A516" s="19" t="s">
        <v>609</v>
      </c>
      <c r="B516" s="19" t="str">
        <f t="shared" si="8"/>
        <v>MVEERWANI</v>
      </c>
      <c r="C516" s="16" t="str">
        <f>VLOOKUP(B516,'Compiled Agents'!A:H,2,FALSE)</f>
        <v>Workplace</v>
      </c>
      <c r="D516" s="16" t="str">
        <f>VLOOKUP(B516,'Compiled Agents'!A:H,4,FALSE)</f>
        <v>Hyderabad</v>
      </c>
      <c r="E516" s="16" t="str">
        <f>VLOOKUP(B516,'Compiled Agents'!A:H,5,FALSE)</f>
        <v>Wave2</v>
      </c>
      <c r="F516" s="16" t="str">
        <f>VLOOKUP(B516,'Compiled Agents'!A:H,6,FALSE)</f>
        <v>Blue</v>
      </c>
      <c r="G516" s="16">
        <f>VLOOKUP($A516,'SurveyRpt_20150223 (1)'!$A$34:$AN$735,6,FALSE)</f>
        <v>16</v>
      </c>
      <c r="H516" s="16" t="str">
        <f>VLOOKUP($A516,'SurveyRpt_20150223 (1)'!$A$34:$AN$735,8,FALSE)</f>
        <v>Yes</v>
      </c>
      <c r="I516" s="16" t="str">
        <f>VLOOKUP($A516,'SurveyRpt_20150223 (1)'!$A$34:$AN$735,10,FALSE)</f>
        <v>Yes</v>
      </c>
      <c r="J516" s="16" t="str">
        <f>VLOOKUP($A516,'SurveyRpt_20150223 (1)'!$A$34:$AN$735,12,FALSE)</f>
        <v>Yes</v>
      </c>
      <c r="K516" s="16" t="str">
        <f>VLOOKUP($A516,'SurveyRpt_20150223 (1)'!$A$34:$AN$735,14,FALSE)</f>
        <v>Yes</v>
      </c>
      <c r="L516" s="16" t="str">
        <f>VLOOKUP($A516,'SurveyRpt_20150223 (1)'!$A$34:$AN$735,16,FALSE)</f>
        <v>Yes</v>
      </c>
      <c r="M516" s="16" t="str">
        <f>VLOOKUP($A516,'SurveyRpt_20150223 (1)'!$A$34:$AN$735,18,FALSE)</f>
        <v>Yes</v>
      </c>
      <c r="N516" s="16" t="str">
        <f>VLOOKUP($A516,'SurveyRpt_20150223 (1)'!$A$34:$AN$735,20,FALSE)</f>
        <v>Yes</v>
      </c>
      <c r="O516" s="16" t="str">
        <f>VLOOKUP($A516,'SurveyRpt_20150223 (1)'!$A$34:$AN$735,22,FALSE)</f>
        <v>Yes</v>
      </c>
      <c r="P516" s="16" t="str">
        <f>VLOOKUP($A516,'SurveyRpt_20150223 (1)'!$A$34:$AN$735,24,FALSE)</f>
        <v>Yes</v>
      </c>
      <c r="Q516" s="16" t="str">
        <f>VLOOKUP($A516,'SurveyRpt_20150223 (1)'!$A$34:$AN$735,26,FALSE)</f>
        <v>Yes</v>
      </c>
      <c r="R516" s="16" t="str">
        <f>VLOOKUP($A516,'SurveyRpt_20150223 (1)'!$A$34:$AN$735,28,FALSE)</f>
        <v>Yes</v>
      </c>
      <c r="S516" s="16" t="str">
        <f>VLOOKUP($A516,'SurveyRpt_20150223 (1)'!$A$34:$AN$735,30,FALSE)</f>
        <v>Yes</v>
      </c>
      <c r="T516" s="16" t="str">
        <f>VLOOKUP($A516,'SurveyRpt_20150223 (1)'!$A$34:$AN$735,32,FALSE)</f>
        <v>Yes</v>
      </c>
      <c r="U516" s="16" t="str">
        <f>VLOOKUP($A516,'SurveyRpt_20150223 (1)'!$A$34:$AN$735,34,FALSE)</f>
        <v>Yes</v>
      </c>
      <c r="V516" s="16" t="str">
        <f>VLOOKUP($A516,'SurveyRpt_20150223 (1)'!$A$34:$AN$735,36,FALSE)</f>
        <v>Yes</v>
      </c>
      <c r="W516" s="16" t="str">
        <f>VLOOKUP($A516,'SurveyRpt_20150223 (1)'!$A$34:$AN$735,38,FALSE)</f>
        <v>Yes</v>
      </c>
    </row>
    <row r="517" spans="1:23" ht="13.5" customHeight="1" x14ac:dyDescent="0.25">
      <c r="A517" s="19" t="s">
        <v>610</v>
      </c>
      <c r="B517" s="19" t="str">
        <f t="shared" si="8"/>
        <v>VKAFALTIYA</v>
      </c>
      <c r="C517" s="16" t="str">
        <f>VLOOKUP(B517,'Compiled Agents'!A:H,2,FALSE)</f>
        <v>Platform</v>
      </c>
      <c r="D517" s="16" t="str">
        <f>VLOOKUP(B517,'Compiled Agents'!A:H,4,FALSE)</f>
        <v>Noida</v>
      </c>
      <c r="E517" s="16" t="str">
        <f>VLOOKUP(B517,'Compiled Agents'!A:H,5,FALSE)</f>
        <v>Wave2</v>
      </c>
      <c r="F517" s="16" t="str">
        <f>VLOOKUP(B517,'Compiled Agents'!A:H,6,FALSE)</f>
        <v>Purple</v>
      </c>
      <c r="G517" s="16">
        <f>VLOOKUP($A517,'SurveyRpt_20150223 (1)'!$A$34:$AN$735,6,FALSE)</f>
        <v>16</v>
      </c>
      <c r="H517" s="16" t="str">
        <f>VLOOKUP($A517,'SurveyRpt_20150223 (1)'!$A$34:$AN$735,8,FALSE)</f>
        <v>Yes</v>
      </c>
      <c r="I517" s="16" t="str">
        <f>VLOOKUP($A517,'SurveyRpt_20150223 (1)'!$A$34:$AN$735,10,FALSE)</f>
        <v>Yes</v>
      </c>
      <c r="J517" s="16" t="str">
        <f>VLOOKUP($A517,'SurveyRpt_20150223 (1)'!$A$34:$AN$735,12,FALSE)</f>
        <v>Yes</v>
      </c>
      <c r="K517" s="16" t="str">
        <f>VLOOKUP($A517,'SurveyRpt_20150223 (1)'!$A$34:$AN$735,14,FALSE)</f>
        <v>Yes</v>
      </c>
      <c r="L517" s="16" t="str">
        <f>VLOOKUP($A517,'SurveyRpt_20150223 (1)'!$A$34:$AN$735,16,FALSE)</f>
        <v>Yes</v>
      </c>
      <c r="M517" s="16" t="str">
        <f>VLOOKUP($A517,'SurveyRpt_20150223 (1)'!$A$34:$AN$735,18,FALSE)</f>
        <v>Yes</v>
      </c>
      <c r="N517" s="16" t="str">
        <f>VLOOKUP($A517,'SurveyRpt_20150223 (1)'!$A$34:$AN$735,20,FALSE)</f>
        <v>Yes</v>
      </c>
      <c r="O517" s="16" t="str">
        <f>VLOOKUP($A517,'SurveyRpt_20150223 (1)'!$A$34:$AN$735,22,FALSE)</f>
        <v>Yes</v>
      </c>
      <c r="P517" s="16" t="str">
        <f>VLOOKUP($A517,'SurveyRpt_20150223 (1)'!$A$34:$AN$735,24,FALSE)</f>
        <v>Yes</v>
      </c>
      <c r="Q517" s="16" t="str">
        <f>VLOOKUP($A517,'SurveyRpt_20150223 (1)'!$A$34:$AN$735,26,FALSE)</f>
        <v>Yes</v>
      </c>
      <c r="R517" s="16" t="str">
        <f>VLOOKUP($A517,'SurveyRpt_20150223 (1)'!$A$34:$AN$735,28,FALSE)</f>
        <v>Yes</v>
      </c>
      <c r="S517" s="16" t="str">
        <f>VLOOKUP($A517,'SurveyRpt_20150223 (1)'!$A$34:$AN$735,30,FALSE)</f>
        <v>Yes</v>
      </c>
      <c r="T517" s="16" t="str">
        <f>VLOOKUP($A517,'SurveyRpt_20150223 (1)'!$A$34:$AN$735,32,FALSE)</f>
        <v>Yes</v>
      </c>
      <c r="U517" s="16" t="str">
        <f>VLOOKUP($A517,'SurveyRpt_20150223 (1)'!$A$34:$AN$735,34,FALSE)</f>
        <v>Yes</v>
      </c>
      <c r="V517" s="16" t="str">
        <f>VLOOKUP($A517,'SurveyRpt_20150223 (1)'!$A$34:$AN$735,36,FALSE)</f>
        <v>Yes</v>
      </c>
      <c r="W517" s="16" t="str">
        <f>VLOOKUP($A517,'SurveyRpt_20150223 (1)'!$A$34:$AN$735,38,FALSE)</f>
        <v>Yes</v>
      </c>
    </row>
    <row r="518" spans="1:23" ht="13.5" customHeight="1" x14ac:dyDescent="0.25">
      <c r="A518" s="19" t="s">
        <v>611</v>
      </c>
      <c r="B518" s="19" t="str">
        <f t="shared" si="8"/>
        <v>SMANNE7</v>
      </c>
      <c r="C518" s="16" t="str">
        <f>VLOOKUP(B518,'Compiled Agents'!A:H,2,FALSE)</f>
        <v>Platform</v>
      </c>
      <c r="D518" s="16" t="str">
        <f>VLOOKUP(B518,'Compiled Agents'!A:H,4,FALSE)</f>
        <v>Hyderabad</v>
      </c>
      <c r="E518" s="16" t="str">
        <f>VLOOKUP(B518,'Compiled Agents'!A:H,5,FALSE)</f>
        <v>Wave1</v>
      </c>
      <c r="F518" s="16" t="str">
        <f>VLOOKUP(B518,'Compiled Agents'!A:H,6,FALSE)</f>
        <v>Orange</v>
      </c>
      <c r="G518" s="16">
        <f>VLOOKUP($A518,'SurveyRpt_20150223 (1)'!$A$34:$AN$735,6,FALSE)</f>
        <v>8</v>
      </c>
      <c r="H518" s="16" t="str">
        <f>VLOOKUP($A518,'SurveyRpt_20150223 (1)'!$A$34:$AN$735,8,FALSE)</f>
        <v>No</v>
      </c>
      <c r="I518" s="16" t="str">
        <f>VLOOKUP($A518,'SurveyRpt_20150223 (1)'!$A$34:$AN$735,10,FALSE)</f>
        <v>Yes</v>
      </c>
      <c r="J518" s="16" t="str">
        <f>VLOOKUP($A518,'SurveyRpt_20150223 (1)'!$A$34:$AN$735,12,FALSE)</f>
        <v>No</v>
      </c>
      <c r="K518" s="16" t="str">
        <f>VLOOKUP($A518,'SurveyRpt_20150223 (1)'!$A$34:$AN$735,14,FALSE)</f>
        <v>No</v>
      </c>
      <c r="L518" s="16" t="str">
        <f>VLOOKUP($A518,'SurveyRpt_20150223 (1)'!$A$34:$AN$735,16,FALSE)</f>
        <v>No</v>
      </c>
      <c r="M518" s="16" t="str">
        <f>VLOOKUP($A518,'SurveyRpt_20150223 (1)'!$A$34:$AN$735,18,FALSE)</f>
        <v>No</v>
      </c>
      <c r="N518" s="16" t="str">
        <f>VLOOKUP($A518,'SurveyRpt_20150223 (1)'!$A$34:$AN$735,20,FALSE)</f>
        <v>No</v>
      </c>
      <c r="O518" s="16" t="str">
        <f>VLOOKUP($A518,'SurveyRpt_20150223 (1)'!$A$34:$AN$735,22,FALSE)</f>
        <v>No</v>
      </c>
      <c r="P518" s="16" t="str">
        <f>VLOOKUP($A518,'SurveyRpt_20150223 (1)'!$A$34:$AN$735,24,FALSE)</f>
        <v>No</v>
      </c>
      <c r="Q518" s="16" t="str">
        <f>VLOOKUP($A518,'SurveyRpt_20150223 (1)'!$A$34:$AN$735,26,FALSE)</f>
        <v>Yes</v>
      </c>
      <c r="R518" s="16" t="str">
        <f>VLOOKUP($A518,'SurveyRpt_20150223 (1)'!$A$34:$AN$735,28,FALSE)</f>
        <v>Yes</v>
      </c>
      <c r="S518" s="16" t="str">
        <f>VLOOKUP($A518,'SurveyRpt_20150223 (1)'!$A$34:$AN$735,30,FALSE)</f>
        <v>Yes</v>
      </c>
      <c r="T518" s="16" t="str">
        <f>VLOOKUP($A518,'SurveyRpt_20150223 (1)'!$A$34:$AN$735,32,FALSE)</f>
        <v>Yes</v>
      </c>
      <c r="U518" s="16" t="str">
        <f>VLOOKUP($A518,'SurveyRpt_20150223 (1)'!$A$34:$AN$735,34,FALSE)</f>
        <v>Yes</v>
      </c>
      <c r="V518" s="16" t="str">
        <f>VLOOKUP($A518,'SurveyRpt_20150223 (1)'!$A$34:$AN$735,36,FALSE)</f>
        <v>Yes</v>
      </c>
      <c r="W518" s="16" t="str">
        <f>VLOOKUP($A518,'SurveyRpt_20150223 (1)'!$A$34:$AN$735,38,FALSE)</f>
        <v>Yes</v>
      </c>
    </row>
    <row r="519" spans="1:23" ht="13.5" customHeight="1" x14ac:dyDescent="0.25">
      <c r="A519" s="19" t="s">
        <v>612</v>
      </c>
      <c r="B519" s="19" t="str">
        <f t="shared" si="8"/>
        <v>ARAYBAN</v>
      </c>
      <c r="C519" s="16" t="str">
        <f>VLOOKUP(B519,'Compiled Agents'!A:H,2,FALSE)</f>
        <v>Workplace</v>
      </c>
      <c r="D519" s="16" t="str">
        <f>VLOOKUP(B519,'Compiled Agents'!A:H,4,FALSE)</f>
        <v>Noida</v>
      </c>
      <c r="E519" s="16" t="str">
        <f>VLOOKUP(B519,'Compiled Agents'!A:H,5,FALSE)</f>
        <v>Wave2</v>
      </c>
      <c r="F519" s="16" t="str">
        <f>VLOOKUP(B519,'Compiled Agents'!A:H,6,FALSE)</f>
        <v>Blue</v>
      </c>
      <c r="G519" s="16">
        <f>VLOOKUP($A519,'SurveyRpt_20150223 (1)'!$A$34:$AN$735,6,FALSE)</f>
        <v>12</v>
      </c>
      <c r="H519" s="16" t="str">
        <f>VLOOKUP($A519,'SurveyRpt_20150223 (1)'!$A$34:$AN$735,8,FALSE)</f>
        <v>No</v>
      </c>
      <c r="I519" s="16" t="str">
        <f>VLOOKUP($A519,'SurveyRpt_20150223 (1)'!$A$34:$AN$735,10,FALSE)</f>
        <v>No</v>
      </c>
      <c r="J519" s="16" t="str">
        <f>VLOOKUP($A519,'SurveyRpt_20150223 (1)'!$A$34:$AN$735,12,FALSE)</f>
        <v>Yes</v>
      </c>
      <c r="K519" s="16" t="str">
        <f>VLOOKUP($A519,'SurveyRpt_20150223 (1)'!$A$34:$AN$735,14,FALSE)</f>
        <v>Yes</v>
      </c>
      <c r="L519" s="16" t="str">
        <f>VLOOKUP($A519,'SurveyRpt_20150223 (1)'!$A$34:$AN$735,16,FALSE)</f>
        <v>Yes</v>
      </c>
      <c r="M519" s="16" t="str">
        <f>VLOOKUP($A519,'SurveyRpt_20150223 (1)'!$A$34:$AN$735,18,FALSE)</f>
        <v>Yes</v>
      </c>
      <c r="N519" s="16" t="str">
        <f>VLOOKUP($A519,'SurveyRpt_20150223 (1)'!$A$34:$AN$735,20,FALSE)</f>
        <v>Yes</v>
      </c>
      <c r="O519" s="16" t="str">
        <f>VLOOKUP($A519,'SurveyRpt_20150223 (1)'!$A$34:$AN$735,22,FALSE)</f>
        <v>Yes</v>
      </c>
      <c r="P519" s="16" t="str">
        <f>VLOOKUP($A519,'SurveyRpt_20150223 (1)'!$A$34:$AN$735,24,FALSE)</f>
        <v>Yes</v>
      </c>
      <c r="Q519" s="16" t="str">
        <f>VLOOKUP($A519,'SurveyRpt_20150223 (1)'!$A$34:$AN$735,26,FALSE)</f>
        <v>Yes</v>
      </c>
      <c r="R519" s="16" t="str">
        <f>VLOOKUP($A519,'SurveyRpt_20150223 (1)'!$A$34:$AN$735,28,FALSE)</f>
        <v>Yes</v>
      </c>
      <c r="S519" s="16" t="str">
        <f>VLOOKUP($A519,'SurveyRpt_20150223 (1)'!$A$34:$AN$735,30,FALSE)</f>
        <v>Yes</v>
      </c>
      <c r="T519" s="16" t="str">
        <f>VLOOKUP($A519,'SurveyRpt_20150223 (1)'!$A$34:$AN$735,32,FALSE)</f>
        <v>No</v>
      </c>
      <c r="U519" s="16" t="str">
        <f>VLOOKUP($A519,'SurveyRpt_20150223 (1)'!$A$34:$AN$735,34,FALSE)</f>
        <v>Yes</v>
      </c>
      <c r="V519" s="16" t="str">
        <f>VLOOKUP($A519,'SurveyRpt_20150223 (1)'!$A$34:$AN$735,36,FALSE)</f>
        <v>Yes</v>
      </c>
      <c r="W519" s="16" t="str">
        <f>VLOOKUP($A519,'SurveyRpt_20150223 (1)'!$A$34:$AN$735,38,FALSE)</f>
        <v>No</v>
      </c>
    </row>
    <row r="520" spans="1:23" ht="13.5" customHeight="1" x14ac:dyDescent="0.25">
      <c r="A520" s="19" t="s">
        <v>613</v>
      </c>
      <c r="B520" s="19" t="str">
        <f t="shared" si="8"/>
        <v>SMADALA6</v>
      </c>
      <c r="C520" s="16" t="str">
        <f>VLOOKUP(B520,'Compiled Agents'!A:H,2,FALSE)</f>
        <v>Platform</v>
      </c>
      <c r="D520" s="16" t="str">
        <f>VLOOKUP(B520,'Compiled Agents'!A:H,4,FALSE)</f>
        <v>Noida</v>
      </c>
      <c r="E520" s="16" t="str">
        <f>VLOOKUP(B520,'Compiled Agents'!A:H,5,FALSE)</f>
        <v>Wave2</v>
      </c>
      <c r="F520" s="16" t="str">
        <f>VLOOKUP(B520,'Compiled Agents'!A:H,6,FALSE)</f>
        <v>Blue</v>
      </c>
      <c r="G520" s="16">
        <f>VLOOKUP($A520,'SurveyRpt_20150223 (1)'!$A$34:$AN$735,6,FALSE)</f>
        <v>11</v>
      </c>
      <c r="H520" s="16" t="str">
        <f>VLOOKUP($A520,'SurveyRpt_20150223 (1)'!$A$34:$AN$735,8,FALSE)</f>
        <v>Yes</v>
      </c>
      <c r="I520" s="16" t="str">
        <f>VLOOKUP($A520,'SurveyRpt_20150223 (1)'!$A$34:$AN$735,10,FALSE)</f>
        <v>Yes</v>
      </c>
      <c r="J520" s="16" t="str">
        <f>VLOOKUP($A520,'SurveyRpt_20150223 (1)'!$A$34:$AN$735,12,FALSE)</f>
        <v>Yes</v>
      </c>
      <c r="K520" s="16" t="str">
        <f>VLOOKUP($A520,'SurveyRpt_20150223 (1)'!$A$34:$AN$735,14,FALSE)</f>
        <v>No</v>
      </c>
      <c r="L520" s="16" t="str">
        <f>VLOOKUP($A520,'SurveyRpt_20150223 (1)'!$A$34:$AN$735,16,FALSE)</f>
        <v>Yes</v>
      </c>
      <c r="M520" s="16" t="str">
        <f>VLOOKUP($A520,'SurveyRpt_20150223 (1)'!$A$34:$AN$735,18,FALSE)</f>
        <v>Yes</v>
      </c>
      <c r="N520" s="16" t="str">
        <f>VLOOKUP($A520,'SurveyRpt_20150223 (1)'!$A$34:$AN$735,20,FALSE)</f>
        <v>No</v>
      </c>
      <c r="O520" s="16" t="str">
        <f>VLOOKUP($A520,'SurveyRpt_20150223 (1)'!$A$34:$AN$735,22,FALSE)</f>
        <v>Yes</v>
      </c>
      <c r="P520" s="16" t="str">
        <f>VLOOKUP($A520,'SurveyRpt_20150223 (1)'!$A$34:$AN$735,24,FALSE)</f>
        <v>No</v>
      </c>
      <c r="Q520" s="16" t="str">
        <f>VLOOKUP($A520,'SurveyRpt_20150223 (1)'!$A$34:$AN$735,26,FALSE)</f>
        <v>Yes</v>
      </c>
      <c r="R520" s="16" t="str">
        <f>VLOOKUP($A520,'SurveyRpt_20150223 (1)'!$A$34:$AN$735,28,FALSE)</f>
        <v>Yes</v>
      </c>
      <c r="S520" s="16" t="str">
        <f>VLOOKUP($A520,'SurveyRpt_20150223 (1)'!$A$34:$AN$735,30,FALSE)</f>
        <v>Yes</v>
      </c>
      <c r="T520" s="16" t="str">
        <f>VLOOKUP($A520,'SurveyRpt_20150223 (1)'!$A$34:$AN$735,32,FALSE)</f>
        <v>Yes</v>
      </c>
      <c r="U520" s="16" t="str">
        <f>VLOOKUP($A520,'SurveyRpt_20150223 (1)'!$A$34:$AN$735,34,FALSE)</f>
        <v>No</v>
      </c>
      <c r="V520" s="16" t="str">
        <f>VLOOKUP($A520,'SurveyRpt_20150223 (1)'!$A$34:$AN$735,36,FALSE)</f>
        <v>Yes</v>
      </c>
      <c r="W520" s="16" t="str">
        <f>VLOOKUP($A520,'SurveyRpt_20150223 (1)'!$A$34:$AN$735,38,FALSE)</f>
        <v>No</v>
      </c>
    </row>
    <row r="521" spans="1:23" ht="13.5" customHeight="1" x14ac:dyDescent="0.25">
      <c r="A521" s="19" t="s">
        <v>614</v>
      </c>
      <c r="B521" s="19" t="str">
        <f t="shared" si="8"/>
        <v>SVURE</v>
      </c>
      <c r="C521" s="16" t="str">
        <f>VLOOKUP(B521,'Compiled Agents'!A:H,2,FALSE)</f>
        <v>Platform</v>
      </c>
      <c r="D521" s="16" t="str">
        <f>VLOOKUP(B521,'Compiled Agents'!A:H,4,FALSE)</f>
        <v>Noida</v>
      </c>
      <c r="E521" s="16" t="str">
        <f>VLOOKUP(B521,'Compiled Agents'!A:H,5,FALSE)</f>
        <v>Wave1</v>
      </c>
      <c r="F521" s="16" t="str">
        <f>VLOOKUP(B521,'Compiled Agents'!A:H,6,FALSE)</f>
        <v>Purple</v>
      </c>
      <c r="G521" s="16">
        <f>VLOOKUP($A521,'SurveyRpt_20150223 (1)'!$A$34:$AN$735,6,FALSE)</f>
        <v>16</v>
      </c>
      <c r="H521" s="16" t="str">
        <f>VLOOKUP($A521,'SurveyRpt_20150223 (1)'!$A$34:$AN$735,8,FALSE)</f>
        <v>Yes</v>
      </c>
      <c r="I521" s="16" t="str">
        <f>VLOOKUP($A521,'SurveyRpt_20150223 (1)'!$A$34:$AN$735,10,FALSE)</f>
        <v>Yes</v>
      </c>
      <c r="J521" s="16" t="str">
        <f>VLOOKUP($A521,'SurveyRpt_20150223 (1)'!$A$34:$AN$735,12,FALSE)</f>
        <v>Yes</v>
      </c>
      <c r="K521" s="16" t="str">
        <f>VLOOKUP($A521,'SurveyRpt_20150223 (1)'!$A$34:$AN$735,14,FALSE)</f>
        <v>Yes</v>
      </c>
      <c r="L521" s="16" t="str">
        <f>VLOOKUP($A521,'SurveyRpt_20150223 (1)'!$A$34:$AN$735,16,FALSE)</f>
        <v>Yes</v>
      </c>
      <c r="M521" s="16" t="str">
        <f>VLOOKUP($A521,'SurveyRpt_20150223 (1)'!$A$34:$AN$735,18,FALSE)</f>
        <v>Yes</v>
      </c>
      <c r="N521" s="16" t="str">
        <f>VLOOKUP($A521,'SurveyRpt_20150223 (1)'!$A$34:$AN$735,20,FALSE)</f>
        <v>Yes</v>
      </c>
      <c r="O521" s="16" t="str">
        <f>VLOOKUP($A521,'SurveyRpt_20150223 (1)'!$A$34:$AN$735,22,FALSE)</f>
        <v>Yes</v>
      </c>
      <c r="P521" s="16" t="str">
        <f>VLOOKUP($A521,'SurveyRpt_20150223 (1)'!$A$34:$AN$735,24,FALSE)</f>
        <v>Yes</v>
      </c>
      <c r="Q521" s="16" t="str">
        <f>VLOOKUP($A521,'SurveyRpt_20150223 (1)'!$A$34:$AN$735,26,FALSE)</f>
        <v>Yes</v>
      </c>
      <c r="R521" s="16" t="str">
        <f>VLOOKUP($A521,'SurveyRpt_20150223 (1)'!$A$34:$AN$735,28,FALSE)</f>
        <v>Yes</v>
      </c>
      <c r="S521" s="16" t="str">
        <f>VLOOKUP($A521,'SurveyRpt_20150223 (1)'!$A$34:$AN$735,30,FALSE)</f>
        <v>Yes</v>
      </c>
      <c r="T521" s="16" t="str">
        <f>VLOOKUP($A521,'SurveyRpt_20150223 (1)'!$A$34:$AN$735,32,FALSE)</f>
        <v>Yes</v>
      </c>
      <c r="U521" s="16" t="str">
        <f>VLOOKUP($A521,'SurveyRpt_20150223 (1)'!$A$34:$AN$735,34,FALSE)</f>
        <v>Yes</v>
      </c>
      <c r="V521" s="16" t="str">
        <f>VLOOKUP($A521,'SurveyRpt_20150223 (1)'!$A$34:$AN$735,36,FALSE)</f>
        <v>Yes</v>
      </c>
      <c r="W521" s="16" t="str">
        <f>VLOOKUP($A521,'SurveyRpt_20150223 (1)'!$A$34:$AN$735,38,FALSE)</f>
        <v>Yes</v>
      </c>
    </row>
    <row r="522" spans="1:23" ht="13.5" customHeight="1" x14ac:dyDescent="0.25">
      <c r="A522" s="19" t="s">
        <v>615</v>
      </c>
      <c r="B522" s="19" t="str">
        <f t="shared" si="8"/>
        <v>PRAMACHAND25</v>
      </c>
      <c r="C522" s="16" t="str">
        <f>VLOOKUP(B522,'Compiled Agents'!A:H,2,FALSE)</f>
        <v>Workplace</v>
      </c>
      <c r="D522" s="16" t="str">
        <f>VLOOKUP(B522,'Compiled Agents'!A:H,4,FALSE)</f>
        <v>Hyderabad</v>
      </c>
      <c r="E522" s="16" t="str">
        <f>VLOOKUP(B522,'Compiled Agents'!A:H,5,FALSE)</f>
        <v>Wave2</v>
      </c>
      <c r="F522" s="16" t="str">
        <f>VLOOKUP(B522,'Compiled Agents'!A:H,6,FALSE)</f>
        <v>Orange</v>
      </c>
      <c r="G522" s="16">
        <f>VLOOKUP($A522,'SurveyRpt_20150223 (1)'!$A$34:$AN$735,6,FALSE)</f>
        <v>16</v>
      </c>
      <c r="H522" s="16" t="str">
        <f>VLOOKUP($A522,'SurveyRpt_20150223 (1)'!$A$34:$AN$735,8,FALSE)</f>
        <v>Yes</v>
      </c>
      <c r="I522" s="16" t="str">
        <f>VLOOKUP($A522,'SurveyRpt_20150223 (1)'!$A$34:$AN$735,10,FALSE)</f>
        <v>Yes</v>
      </c>
      <c r="J522" s="16" t="str">
        <f>VLOOKUP($A522,'SurveyRpt_20150223 (1)'!$A$34:$AN$735,12,FALSE)</f>
        <v>Yes</v>
      </c>
      <c r="K522" s="16" t="str">
        <f>VLOOKUP($A522,'SurveyRpt_20150223 (1)'!$A$34:$AN$735,14,FALSE)</f>
        <v>Yes</v>
      </c>
      <c r="L522" s="16" t="str">
        <f>VLOOKUP($A522,'SurveyRpt_20150223 (1)'!$A$34:$AN$735,16,FALSE)</f>
        <v>Yes</v>
      </c>
      <c r="M522" s="16" t="str">
        <f>VLOOKUP($A522,'SurveyRpt_20150223 (1)'!$A$34:$AN$735,18,FALSE)</f>
        <v>Yes</v>
      </c>
      <c r="N522" s="16" t="str">
        <f>VLOOKUP($A522,'SurveyRpt_20150223 (1)'!$A$34:$AN$735,20,FALSE)</f>
        <v>Yes</v>
      </c>
      <c r="O522" s="16" t="str">
        <f>VLOOKUP($A522,'SurveyRpt_20150223 (1)'!$A$34:$AN$735,22,FALSE)</f>
        <v>Yes</v>
      </c>
      <c r="P522" s="16" t="str">
        <f>VLOOKUP($A522,'SurveyRpt_20150223 (1)'!$A$34:$AN$735,24,FALSE)</f>
        <v>Yes</v>
      </c>
      <c r="Q522" s="16" t="str">
        <f>VLOOKUP($A522,'SurveyRpt_20150223 (1)'!$A$34:$AN$735,26,FALSE)</f>
        <v>Yes</v>
      </c>
      <c r="R522" s="16" t="str">
        <f>VLOOKUP($A522,'SurveyRpt_20150223 (1)'!$A$34:$AN$735,28,FALSE)</f>
        <v>Yes</v>
      </c>
      <c r="S522" s="16" t="str">
        <f>VLOOKUP($A522,'SurveyRpt_20150223 (1)'!$A$34:$AN$735,30,FALSE)</f>
        <v>Yes</v>
      </c>
      <c r="T522" s="16" t="str">
        <f>VLOOKUP($A522,'SurveyRpt_20150223 (1)'!$A$34:$AN$735,32,FALSE)</f>
        <v>Yes</v>
      </c>
      <c r="U522" s="16" t="str">
        <f>VLOOKUP($A522,'SurveyRpt_20150223 (1)'!$A$34:$AN$735,34,FALSE)</f>
        <v>Yes</v>
      </c>
      <c r="V522" s="16" t="str">
        <f>VLOOKUP($A522,'SurveyRpt_20150223 (1)'!$A$34:$AN$735,36,FALSE)</f>
        <v>Yes</v>
      </c>
      <c r="W522" s="16" t="str">
        <f>VLOOKUP($A522,'SurveyRpt_20150223 (1)'!$A$34:$AN$735,38,FALSE)</f>
        <v>Yes</v>
      </c>
    </row>
    <row r="523" spans="1:23" ht="13.5" customHeight="1" x14ac:dyDescent="0.25">
      <c r="A523" s="19" t="s">
        <v>616</v>
      </c>
      <c r="B523" s="19" t="str">
        <f t="shared" si="8"/>
        <v>TBEHERA</v>
      </c>
      <c r="C523" s="16" t="str">
        <f>VLOOKUP(B523,'Compiled Agents'!A:H,2,FALSE)</f>
        <v>Platform</v>
      </c>
      <c r="D523" s="16" t="str">
        <f>VLOOKUP(B523,'Compiled Agents'!A:H,4,FALSE)</f>
        <v>Noida</v>
      </c>
      <c r="E523" s="16" t="str">
        <f>VLOOKUP(B523,'Compiled Agents'!A:H,5,FALSE)</f>
        <v>Wave2</v>
      </c>
      <c r="F523" s="16" t="str">
        <f>VLOOKUP(B523,'Compiled Agents'!A:H,6,FALSE)</f>
        <v>Purple</v>
      </c>
      <c r="G523" s="16">
        <f>VLOOKUP($A523,'SurveyRpt_20150223 (1)'!$A$34:$AN$735,6,FALSE)</f>
        <v>16</v>
      </c>
      <c r="H523" s="16" t="str">
        <f>VLOOKUP($A523,'SurveyRpt_20150223 (1)'!$A$34:$AN$735,8,FALSE)</f>
        <v>Yes</v>
      </c>
      <c r="I523" s="16" t="str">
        <f>VLOOKUP($A523,'SurveyRpt_20150223 (1)'!$A$34:$AN$735,10,FALSE)</f>
        <v>Yes</v>
      </c>
      <c r="J523" s="16" t="str">
        <f>VLOOKUP($A523,'SurveyRpt_20150223 (1)'!$A$34:$AN$735,12,FALSE)</f>
        <v>Yes</v>
      </c>
      <c r="K523" s="16" t="str">
        <f>VLOOKUP($A523,'SurveyRpt_20150223 (1)'!$A$34:$AN$735,14,FALSE)</f>
        <v>Yes</v>
      </c>
      <c r="L523" s="16" t="str">
        <f>VLOOKUP($A523,'SurveyRpt_20150223 (1)'!$A$34:$AN$735,16,FALSE)</f>
        <v>Yes</v>
      </c>
      <c r="M523" s="16" t="str">
        <f>VLOOKUP($A523,'SurveyRpt_20150223 (1)'!$A$34:$AN$735,18,FALSE)</f>
        <v>Yes</v>
      </c>
      <c r="N523" s="16" t="str">
        <f>VLOOKUP($A523,'SurveyRpt_20150223 (1)'!$A$34:$AN$735,20,FALSE)</f>
        <v>Yes</v>
      </c>
      <c r="O523" s="16" t="str">
        <f>VLOOKUP($A523,'SurveyRpt_20150223 (1)'!$A$34:$AN$735,22,FALSE)</f>
        <v>Yes</v>
      </c>
      <c r="P523" s="16" t="str">
        <f>VLOOKUP($A523,'SurveyRpt_20150223 (1)'!$A$34:$AN$735,24,FALSE)</f>
        <v>Yes</v>
      </c>
      <c r="Q523" s="16" t="str">
        <f>VLOOKUP($A523,'SurveyRpt_20150223 (1)'!$A$34:$AN$735,26,FALSE)</f>
        <v>Yes</v>
      </c>
      <c r="R523" s="16" t="str">
        <f>VLOOKUP($A523,'SurveyRpt_20150223 (1)'!$A$34:$AN$735,28,FALSE)</f>
        <v>Yes</v>
      </c>
      <c r="S523" s="16" t="str">
        <f>VLOOKUP($A523,'SurveyRpt_20150223 (1)'!$A$34:$AN$735,30,FALSE)</f>
        <v>Yes</v>
      </c>
      <c r="T523" s="16" t="str">
        <f>VLOOKUP($A523,'SurveyRpt_20150223 (1)'!$A$34:$AN$735,32,FALSE)</f>
        <v>Yes</v>
      </c>
      <c r="U523" s="16" t="str">
        <f>VLOOKUP($A523,'SurveyRpt_20150223 (1)'!$A$34:$AN$735,34,FALSE)</f>
        <v>Yes</v>
      </c>
      <c r="V523" s="16" t="str">
        <f>VLOOKUP($A523,'SurveyRpt_20150223 (1)'!$A$34:$AN$735,36,FALSE)</f>
        <v>Yes</v>
      </c>
      <c r="W523" s="16" t="str">
        <f>VLOOKUP($A523,'SurveyRpt_20150223 (1)'!$A$34:$AN$735,38,FALSE)</f>
        <v>Yes</v>
      </c>
    </row>
    <row r="524" spans="1:23" ht="13.5" customHeight="1" x14ac:dyDescent="0.25">
      <c r="A524" s="19" t="s">
        <v>617</v>
      </c>
      <c r="B524" s="19" t="str">
        <f t="shared" si="8"/>
        <v>wbizoff2</v>
      </c>
      <c r="C524" s="16" t="str">
        <f>VLOOKUP(B524,'Compiled Agents'!A:H,2,FALSE)</f>
        <v>Platform</v>
      </c>
      <c r="D524" s="16" t="str">
        <f>VLOOKUP(B524,'Compiled Agents'!A:H,4,FALSE)</f>
        <v>MBC US</v>
      </c>
      <c r="E524" s="16" t="str">
        <f>VLOOKUP(B524,'Compiled Agents'!A:H,5,FALSE)</f>
        <v>Wave2</v>
      </c>
      <c r="F524" s="16" t="str">
        <f>VLOOKUP(B524,'Compiled Agents'!A:H,6,FALSE)</f>
        <v>Yellow</v>
      </c>
      <c r="G524" s="16">
        <f>VLOOKUP($A524,'SurveyRpt_20150223 (1)'!$A$34:$AN$735,6,FALSE)</f>
        <v>15</v>
      </c>
      <c r="H524" s="16" t="str">
        <f>VLOOKUP($A524,'SurveyRpt_20150223 (1)'!$A$34:$AN$735,8,FALSE)</f>
        <v>Yes</v>
      </c>
      <c r="I524" s="16" t="str">
        <f>VLOOKUP($A524,'SurveyRpt_20150223 (1)'!$A$34:$AN$735,10,FALSE)</f>
        <v>Yes</v>
      </c>
      <c r="J524" s="16" t="str">
        <f>VLOOKUP($A524,'SurveyRpt_20150223 (1)'!$A$34:$AN$735,12,FALSE)</f>
        <v>Yes</v>
      </c>
      <c r="K524" s="16" t="str">
        <f>VLOOKUP($A524,'SurveyRpt_20150223 (1)'!$A$34:$AN$735,14,FALSE)</f>
        <v>Yes</v>
      </c>
      <c r="L524" s="16" t="str">
        <f>VLOOKUP($A524,'SurveyRpt_20150223 (1)'!$A$34:$AN$735,16,FALSE)</f>
        <v>Yes</v>
      </c>
      <c r="M524" s="16" t="str">
        <f>VLOOKUP($A524,'SurveyRpt_20150223 (1)'!$A$34:$AN$735,18,FALSE)</f>
        <v>Yes</v>
      </c>
      <c r="N524" s="16" t="str">
        <f>VLOOKUP($A524,'SurveyRpt_20150223 (1)'!$A$34:$AN$735,20,FALSE)</f>
        <v>Yes</v>
      </c>
      <c r="O524" s="16" t="str">
        <f>VLOOKUP($A524,'SurveyRpt_20150223 (1)'!$A$34:$AN$735,22,FALSE)</f>
        <v>Yes</v>
      </c>
      <c r="P524" s="16" t="str">
        <f>VLOOKUP($A524,'SurveyRpt_20150223 (1)'!$A$34:$AN$735,24,FALSE)</f>
        <v>Yes</v>
      </c>
      <c r="Q524" s="16" t="str">
        <f>VLOOKUP($A524,'SurveyRpt_20150223 (1)'!$A$34:$AN$735,26,FALSE)</f>
        <v>Yes</v>
      </c>
      <c r="R524" s="16" t="str">
        <f>VLOOKUP($A524,'SurveyRpt_20150223 (1)'!$A$34:$AN$735,28,FALSE)</f>
        <v>Yes</v>
      </c>
      <c r="S524" s="16" t="str">
        <f>VLOOKUP($A524,'SurveyRpt_20150223 (1)'!$A$34:$AN$735,30,FALSE)</f>
        <v>Yes</v>
      </c>
      <c r="T524" s="16" t="str">
        <f>VLOOKUP($A524,'SurveyRpt_20150223 (1)'!$A$34:$AN$735,32,FALSE)</f>
        <v>Yes</v>
      </c>
      <c r="U524" s="16" t="str">
        <f>VLOOKUP($A524,'SurveyRpt_20150223 (1)'!$A$34:$AN$735,34,FALSE)</f>
        <v>Yes</v>
      </c>
      <c r="V524" s="16" t="str">
        <f>VLOOKUP($A524,'SurveyRpt_20150223 (1)'!$A$34:$AN$735,36,FALSE)</f>
        <v>Yes</v>
      </c>
      <c r="W524" s="16" t="str">
        <f>VLOOKUP($A524,'SurveyRpt_20150223 (1)'!$A$34:$AN$735,38,FALSE)</f>
        <v>No</v>
      </c>
    </row>
    <row r="525" spans="1:23" ht="13.5" customHeight="1" x14ac:dyDescent="0.25">
      <c r="A525" s="19" t="s">
        <v>618</v>
      </c>
      <c r="B525" s="19" t="str">
        <f t="shared" si="8"/>
        <v>AMADYALKAR</v>
      </c>
      <c r="C525" s="16" t="str">
        <f>VLOOKUP(B525,'Compiled Agents'!A:H,2,FALSE)</f>
        <v>Platform</v>
      </c>
      <c r="D525" s="16" t="str">
        <f>VLOOKUP(B525,'Compiled Agents'!A:H,4,FALSE)</f>
        <v>Hyderabad</v>
      </c>
      <c r="E525" s="16" t="str">
        <f>VLOOKUP(B525,'Compiled Agents'!A:H,5,FALSE)</f>
        <v>Wave1</v>
      </c>
      <c r="F525" s="16" t="str">
        <f>VLOOKUP(B525,'Compiled Agents'!A:H,6,FALSE)</f>
        <v>Orange</v>
      </c>
      <c r="G525" s="16">
        <f>VLOOKUP($A525,'SurveyRpt_20150223 (1)'!$A$34:$AN$735,6,FALSE)</f>
        <v>16</v>
      </c>
      <c r="H525" s="16" t="str">
        <f>VLOOKUP($A525,'SurveyRpt_20150223 (1)'!$A$34:$AN$735,8,FALSE)</f>
        <v>Yes</v>
      </c>
      <c r="I525" s="16" t="str">
        <f>VLOOKUP($A525,'SurveyRpt_20150223 (1)'!$A$34:$AN$735,10,FALSE)</f>
        <v>Yes</v>
      </c>
      <c r="J525" s="16" t="str">
        <f>VLOOKUP($A525,'SurveyRpt_20150223 (1)'!$A$34:$AN$735,12,FALSE)</f>
        <v>Yes</v>
      </c>
      <c r="K525" s="16" t="str">
        <f>VLOOKUP($A525,'SurveyRpt_20150223 (1)'!$A$34:$AN$735,14,FALSE)</f>
        <v>Yes</v>
      </c>
      <c r="L525" s="16" t="str">
        <f>VLOOKUP($A525,'SurveyRpt_20150223 (1)'!$A$34:$AN$735,16,FALSE)</f>
        <v>Yes</v>
      </c>
      <c r="M525" s="16" t="str">
        <f>VLOOKUP($A525,'SurveyRpt_20150223 (1)'!$A$34:$AN$735,18,FALSE)</f>
        <v>Yes</v>
      </c>
      <c r="N525" s="16" t="str">
        <f>VLOOKUP($A525,'SurveyRpt_20150223 (1)'!$A$34:$AN$735,20,FALSE)</f>
        <v>Yes</v>
      </c>
      <c r="O525" s="16" t="str">
        <f>VLOOKUP($A525,'SurveyRpt_20150223 (1)'!$A$34:$AN$735,22,FALSE)</f>
        <v>Yes</v>
      </c>
      <c r="P525" s="16" t="str">
        <f>VLOOKUP($A525,'SurveyRpt_20150223 (1)'!$A$34:$AN$735,24,FALSE)</f>
        <v>Yes</v>
      </c>
      <c r="Q525" s="16" t="str">
        <f>VLOOKUP($A525,'SurveyRpt_20150223 (1)'!$A$34:$AN$735,26,FALSE)</f>
        <v>Yes</v>
      </c>
      <c r="R525" s="16" t="str">
        <f>VLOOKUP($A525,'SurveyRpt_20150223 (1)'!$A$34:$AN$735,28,FALSE)</f>
        <v>Yes</v>
      </c>
      <c r="S525" s="16" t="str">
        <f>VLOOKUP($A525,'SurveyRpt_20150223 (1)'!$A$34:$AN$735,30,FALSE)</f>
        <v>Yes</v>
      </c>
      <c r="T525" s="16" t="str">
        <f>VLOOKUP($A525,'SurveyRpt_20150223 (1)'!$A$34:$AN$735,32,FALSE)</f>
        <v>Yes</v>
      </c>
      <c r="U525" s="16" t="str">
        <f>VLOOKUP($A525,'SurveyRpt_20150223 (1)'!$A$34:$AN$735,34,FALSE)</f>
        <v>Yes</v>
      </c>
      <c r="V525" s="16" t="str">
        <f>VLOOKUP($A525,'SurveyRpt_20150223 (1)'!$A$34:$AN$735,36,FALSE)</f>
        <v>Yes</v>
      </c>
      <c r="W525" s="16" t="str">
        <f>VLOOKUP($A525,'SurveyRpt_20150223 (1)'!$A$34:$AN$735,38,FALSE)</f>
        <v>Yes</v>
      </c>
    </row>
    <row r="526" spans="1:23" ht="13.5" customHeight="1" x14ac:dyDescent="0.25">
      <c r="A526" s="19" t="s">
        <v>619</v>
      </c>
      <c r="B526" s="19" t="str">
        <f t="shared" si="8"/>
        <v>MMISHRA34</v>
      </c>
      <c r="C526" s="16" t="str">
        <f>VLOOKUP(B526,'Compiled Agents'!A:H,2,FALSE)</f>
        <v>Workplace</v>
      </c>
      <c r="D526" s="16" t="str">
        <f>VLOOKUP(B526,'Compiled Agents'!A:H,4,FALSE)</f>
        <v>Noida</v>
      </c>
      <c r="E526" s="16" t="str">
        <f>VLOOKUP(B526,'Compiled Agents'!A:H,5,FALSE)</f>
        <v>Wave2</v>
      </c>
      <c r="F526" s="16" t="str">
        <f>VLOOKUP(B526,'Compiled Agents'!A:H,6,FALSE)</f>
        <v>Yellow</v>
      </c>
      <c r="G526" s="16">
        <f>VLOOKUP($A526,'SurveyRpt_20150223 (1)'!$A$34:$AN$735,6,FALSE)</f>
        <v>7</v>
      </c>
      <c r="H526" s="16" t="str">
        <f>VLOOKUP($A526,'SurveyRpt_20150223 (1)'!$A$34:$AN$735,8,FALSE)</f>
        <v>Yes</v>
      </c>
      <c r="I526" s="16" t="str">
        <f>VLOOKUP($A526,'SurveyRpt_20150223 (1)'!$A$34:$AN$735,10,FALSE)</f>
        <v>Yes</v>
      </c>
      <c r="J526" s="16" t="str">
        <f>VLOOKUP($A526,'SurveyRpt_20150223 (1)'!$A$34:$AN$735,12,FALSE)</f>
        <v>Yes</v>
      </c>
      <c r="K526" s="16" t="str">
        <f>VLOOKUP($A526,'SurveyRpt_20150223 (1)'!$A$34:$AN$735,14,FALSE)</f>
        <v>No</v>
      </c>
      <c r="L526" s="16" t="str">
        <f>VLOOKUP($A526,'SurveyRpt_20150223 (1)'!$A$34:$AN$735,16,FALSE)</f>
        <v>Yes</v>
      </c>
      <c r="M526" s="16" t="str">
        <f>VLOOKUP($A526,'SurveyRpt_20150223 (1)'!$A$34:$AN$735,18,FALSE)</f>
        <v>No</v>
      </c>
      <c r="N526" s="16" t="str">
        <f>VLOOKUP($A526,'SurveyRpt_20150223 (1)'!$A$34:$AN$735,20,FALSE)</f>
        <v>No</v>
      </c>
      <c r="O526" s="16" t="str">
        <f>VLOOKUP($A526,'SurveyRpt_20150223 (1)'!$A$34:$AN$735,22,FALSE)</f>
        <v>Yes</v>
      </c>
      <c r="P526" s="16" t="str">
        <f>VLOOKUP($A526,'SurveyRpt_20150223 (1)'!$A$34:$AN$735,24,FALSE)</f>
        <v>No</v>
      </c>
      <c r="Q526" s="16" t="str">
        <f>VLOOKUP($A526,'SurveyRpt_20150223 (1)'!$A$34:$AN$735,26,FALSE)</f>
        <v>No</v>
      </c>
      <c r="R526" s="16" t="str">
        <f>VLOOKUP($A526,'SurveyRpt_20150223 (1)'!$A$34:$AN$735,28,FALSE)</f>
        <v>No</v>
      </c>
      <c r="S526" s="16" t="str">
        <f>VLOOKUP($A526,'SurveyRpt_20150223 (1)'!$A$34:$AN$735,30,FALSE)</f>
        <v>No</v>
      </c>
      <c r="T526" s="16" t="str">
        <f>VLOOKUP($A526,'SurveyRpt_20150223 (1)'!$A$34:$AN$735,32,FALSE)</f>
        <v>Yes</v>
      </c>
      <c r="U526" s="16" t="str">
        <f>VLOOKUP($A526,'SurveyRpt_20150223 (1)'!$A$34:$AN$735,34,FALSE)</f>
        <v>Yes</v>
      </c>
      <c r="V526" s="16" t="str">
        <f>VLOOKUP($A526,'SurveyRpt_20150223 (1)'!$A$34:$AN$735,36,FALSE)</f>
        <v>No</v>
      </c>
      <c r="W526" s="16" t="str">
        <f>VLOOKUP($A526,'SurveyRpt_20150223 (1)'!$A$34:$AN$735,38,FALSE)</f>
        <v>No</v>
      </c>
    </row>
    <row r="527" spans="1:23" ht="13.5" customHeight="1" x14ac:dyDescent="0.25">
      <c r="A527" s="19" t="s">
        <v>620</v>
      </c>
      <c r="B527" s="19" t="str">
        <f t="shared" si="8"/>
        <v>SJHA33</v>
      </c>
      <c r="C527" s="16" t="str">
        <f>VLOOKUP(B527,'Compiled Agents'!A:H,2,FALSE)</f>
        <v>Platform</v>
      </c>
      <c r="D527" s="16" t="str">
        <f>VLOOKUP(B527,'Compiled Agents'!A:H,4,FALSE)</f>
        <v>Noida</v>
      </c>
      <c r="E527" s="16" t="str">
        <f>VLOOKUP(B527,'Compiled Agents'!A:H,5,FALSE)</f>
        <v>Wave2</v>
      </c>
      <c r="F527" s="16" t="str">
        <f>VLOOKUP(B527,'Compiled Agents'!A:H,6,FALSE)</f>
        <v>Purple</v>
      </c>
      <c r="G527" s="16">
        <f>VLOOKUP($A527,'SurveyRpt_20150223 (1)'!$A$34:$AN$735,6,FALSE)</f>
        <v>16</v>
      </c>
      <c r="H527" s="16" t="str">
        <f>VLOOKUP($A527,'SurveyRpt_20150223 (1)'!$A$34:$AN$735,8,FALSE)</f>
        <v>Yes</v>
      </c>
      <c r="I527" s="16" t="str">
        <f>VLOOKUP($A527,'SurveyRpt_20150223 (1)'!$A$34:$AN$735,10,FALSE)</f>
        <v>Yes</v>
      </c>
      <c r="J527" s="16" t="str">
        <f>VLOOKUP($A527,'SurveyRpt_20150223 (1)'!$A$34:$AN$735,12,FALSE)</f>
        <v>Yes</v>
      </c>
      <c r="K527" s="16" t="str">
        <f>VLOOKUP($A527,'SurveyRpt_20150223 (1)'!$A$34:$AN$735,14,FALSE)</f>
        <v>Yes</v>
      </c>
      <c r="L527" s="16" t="str">
        <f>VLOOKUP($A527,'SurveyRpt_20150223 (1)'!$A$34:$AN$735,16,FALSE)</f>
        <v>Yes</v>
      </c>
      <c r="M527" s="16" t="str">
        <f>VLOOKUP($A527,'SurveyRpt_20150223 (1)'!$A$34:$AN$735,18,FALSE)</f>
        <v>Yes</v>
      </c>
      <c r="N527" s="16" t="str">
        <f>VLOOKUP($A527,'SurveyRpt_20150223 (1)'!$A$34:$AN$735,20,FALSE)</f>
        <v>Yes</v>
      </c>
      <c r="O527" s="16" t="str">
        <f>VLOOKUP($A527,'SurveyRpt_20150223 (1)'!$A$34:$AN$735,22,FALSE)</f>
        <v>Yes</v>
      </c>
      <c r="P527" s="16" t="str">
        <f>VLOOKUP($A527,'SurveyRpt_20150223 (1)'!$A$34:$AN$735,24,FALSE)</f>
        <v>Yes</v>
      </c>
      <c r="Q527" s="16" t="str">
        <f>VLOOKUP($A527,'SurveyRpt_20150223 (1)'!$A$34:$AN$735,26,FALSE)</f>
        <v>Yes</v>
      </c>
      <c r="R527" s="16" t="str">
        <f>VLOOKUP($A527,'SurveyRpt_20150223 (1)'!$A$34:$AN$735,28,FALSE)</f>
        <v>Yes</v>
      </c>
      <c r="S527" s="16" t="str">
        <f>VLOOKUP($A527,'SurveyRpt_20150223 (1)'!$A$34:$AN$735,30,FALSE)</f>
        <v>Yes</v>
      </c>
      <c r="T527" s="16" t="str">
        <f>VLOOKUP($A527,'SurveyRpt_20150223 (1)'!$A$34:$AN$735,32,FALSE)</f>
        <v>Yes</v>
      </c>
      <c r="U527" s="16" t="str">
        <f>VLOOKUP($A527,'SurveyRpt_20150223 (1)'!$A$34:$AN$735,34,FALSE)</f>
        <v>Yes</v>
      </c>
      <c r="V527" s="16" t="str">
        <f>VLOOKUP($A527,'SurveyRpt_20150223 (1)'!$A$34:$AN$735,36,FALSE)</f>
        <v>Yes</v>
      </c>
      <c r="W527" s="16" t="str">
        <f>VLOOKUP($A527,'SurveyRpt_20150223 (1)'!$A$34:$AN$735,38,FALSE)</f>
        <v>Yes</v>
      </c>
    </row>
    <row r="528" spans="1:23" ht="13.5" customHeight="1" x14ac:dyDescent="0.25">
      <c r="A528" s="19" t="s">
        <v>621</v>
      </c>
      <c r="B528" s="19" t="str">
        <f t="shared" si="8"/>
        <v>MSHAMSULHAQ</v>
      </c>
      <c r="C528" s="16" t="str">
        <f>VLOOKUP(B528,'Compiled Agents'!A:H,2,FALSE)</f>
        <v>Workplace</v>
      </c>
      <c r="D528" s="16" t="str">
        <f>VLOOKUP(B528,'Compiled Agents'!A:H,4,FALSE)</f>
        <v>Noida</v>
      </c>
      <c r="E528" s="16" t="str">
        <f>VLOOKUP(B528,'Compiled Agents'!A:H,5,FALSE)</f>
        <v>Wave2</v>
      </c>
      <c r="F528" s="16" t="str">
        <f>VLOOKUP(B528,'Compiled Agents'!A:H,6,FALSE)</f>
        <v>Blue</v>
      </c>
      <c r="G528" s="16">
        <f>VLOOKUP($A528,'SurveyRpt_20150223 (1)'!$A$34:$AN$735,6,FALSE)</f>
        <v>15</v>
      </c>
      <c r="H528" s="16" t="str">
        <f>VLOOKUP($A528,'SurveyRpt_20150223 (1)'!$A$34:$AN$735,8,FALSE)</f>
        <v>Yes</v>
      </c>
      <c r="I528" s="16" t="str">
        <f>VLOOKUP($A528,'SurveyRpt_20150223 (1)'!$A$34:$AN$735,10,FALSE)</f>
        <v>Yes</v>
      </c>
      <c r="J528" s="16" t="str">
        <f>VLOOKUP($A528,'SurveyRpt_20150223 (1)'!$A$34:$AN$735,12,FALSE)</f>
        <v>Yes</v>
      </c>
      <c r="K528" s="16" t="str">
        <f>VLOOKUP($A528,'SurveyRpt_20150223 (1)'!$A$34:$AN$735,14,FALSE)</f>
        <v>Yes</v>
      </c>
      <c r="L528" s="16" t="str">
        <f>VLOOKUP($A528,'SurveyRpt_20150223 (1)'!$A$34:$AN$735,16,FALSE)</f>
        <v>Yes</v>
      </c>
      <c r="M528" s="16" t="str">
        <f>VLOOKUP($A528,'SurveyRpt_20150223 (1)'!$A$34:$AN$735,18,FALSE)</f>
        <v>Yes</v>
      </c>
      <c r="N528" s="16" t="str">
        <f>VLOOKUP($A528,'SurveyRpt_20150223 (1)'!$A$34:$AN$735,20,FALSE)</f>
        <v>Yes</v>
      </c>
      <c r="O528" s="16" t="str">
        <f>VLOOKUP($A528,'SurveyRpt_20150223 (1)'!$A$34:$AN$735,22,FALSE)</f>
        <v>Yes</v>
      </c>
      <c r="P528" s="16" t="str">
        <f>VLOOKUP($A528,'SurveyRpt_20150223 (1)'!$A$34:$AN$735,24,FALSE)</f>
        <v>Yes</v>
      </c>
      <c r="Q528" s="16" t="str">
        <f>VLOOKUP($A528,'SurveyRpt_20150223 (1)'!$A$34:$AN$735,26,FALSE)</f>
        <v>Yes</v>
      </c>
      <c r="R528" s="16" t="str">
        <f>VLOOKUP($A528,'SurveyRpt_20150223 (1)'!$A$34:$AN$735,28,FALSE)</f>
        <v>Yes</v>
      </c>
      <c r="S528" s="16" t="str">
        <f>VLOOKUP($A528,'SurveyRpt_20150223 (1)'!$A$34:$AN$735,30,FALSE)</f>
        <v>Yes</v>
      </c>
      <c r="T528" s="16" t="str">
        <f>VLOOKUP($A528,'SurveyRpt_20150223 (1)'!$A$34:$AN$735,32,FALSE)</f>
        <v>Yes</v>
      </c>
      <c r="U528" s="16" t="str">
        <f>VLOOKUP($A528,'SurveyRpt_20150223 (1)'!$A$34:$AN$735,34,FALSE)</f>
        <v>Yes</v>
      </c>
      <c r="V528" s="16" t="str">
        <f>VLOOKUP($A528,'SurveyRpt_20150223 (1)'!$A$34:$AN$735,36,FALSE)</f>
        <v>Yes</v>
      </c>
      <c r="W528" s="16" t="str">
        <f>VLOOKUP($A528,'SurveyRpt_20150223 (1)'!$A$34:$AN$735,38,FALSE)</f>
        <v>No</v>
      </c>
    </row>
    <row r="529" spans="1:23" ht="13.5" customHeight="1" x14ac:dyDescent="0.25">
      <c r="A529" s="19" t="s">
        <v>622</v>
      </c>
      <c r="B529" s="19" t="str">
        <f t="shared" si="8"/>
        <v>GJAYARAMANGO</v>
      </c>
      <c r="C529" s="16" t="str">
        <f>VLOOKUP(B529,'Compiled Agents'!A:H,2,FALSE)</f>
        <v>Platform</v>
      </c>
      <c r="D529" s="16" t="str">
        <f>VLOOKUP(B529,'Compiled Agents'!A:H,4,FALSE)</f>
        <v>Noida</v>
      </c>
      <c r="E529" s="16" t="str">
        <f>VLOOKUP(B529,'Compiled Agents'!A:H,5,FALSE)</f>
        <v>Wave1</v>
      </c>
      <c r="F529" s="16" t="str">
        <f>VLOOKUP(B529,'Compiled Agents'!A:H,6,FALSE)</f>
        <v>Purple</v>
      </c>
      <c r="G529" s="16">
        <f>VLOOKUP($A529,'SurveyRpt_20150223 (1)'!$A$34:$AN$735,6,FALSE)</f>
        <v>14</v>
      </c>
      <c r="H529" s="16" t="str">
        <f>VLOOKUP($A529,'SurveyRpt_20150223 (1)'!$A$34:$AN$735,8,FALSE)</f>
        <v>Yes</v>
      </c>
      <c r="I529" s="16" t="str">
        <f>VLOOKUP($A529,'SurveyRpt_20150223 (1)'!$A$34:$AN$735,10,FALSE)</f>
        <v>Yes</v>
      </c>
      <c r="J529" s="16" t="str">
        <f>VLOOKUP($A529,'SurveyRpt_20150223 (1)'!$A$34:$AN$735,12,FALSE)</f>
        <v>Yes</v>
      </c>
      <c r="K529" s="16" t="str">
        <f>VLOOKUP($A529,'SurveyRpt_20150223 (1)'!$A$34:$AN$735,14,FALSE)</f>
        <v>Yes</v>
      </c>
      <c r="L529" s="16" t="str">
        <f>VLOOKUP($A529,'SurveyRpt_20150223 (1)'!$A$34:$AN$735,16,FALSE)</f>
        <v>No</v>
      </c>
      <c r="M529" s="16" t="str">
        <f>VLOOKUP($A529,'SurveyRpt_20150223 (1)'!$A$34:$AN$735,18,FALSE)</f>
        <v>Yes</v>
      </c>
      <c r="N529" s="16" t="str">
        <f>VLOOKUP($A529,'SurveyRpt_20150223 (1)'!$A$34:$AN$735,20,FALSE)</f>
        <v>No</v>
      </c>
      <c r="O529" s="16" t="str">
        <f>VLOOKUP($A529,'SurveyRpt_20150223 (1)'!$A$34:$AN$735,22,FALSE)</f>
        <v>Yes</v>
      </c>
      <c r="P529" s="16" t="str">
        <f>VLOOKUP($A529,'SurveyRpt_20150223 (1)'!$A$34:$AN$735,24,FALSE)</f>
        <v>Yes</v>
      </c>
      <c r="Q529" s="16" t="str">
        <f>VLOOKUP($A529,'SurveyRpt_20150223 (1)'!$A$34:$AN$735,26,FALSE)</f>
        <v>Yes</v>
      </c>
      <c r="R529" s="16" t="str">
        <f>VLOOKUP($A529,'SurveyRpt_20150223 (1)'!$A$34:$AN$735,28,FALSE)</f>
        <v>Yes</v>
      </c>
      <c r="S529" s="16" t="str">
        <f>VLOOKUP($A529,'SurveyRpt_20150223 (1)'!$A$34:$AN$735,30,FALSE)</f>
        <v>Yes</v>
      </c>
      <c r="T529" s="16" t="str">
        <f>VLOOKUP($A529,'SurveyRpt_20150223 (1)'!$A$34:$AN$735,32,FALSE)</f>
        <v>Yes</v>
      </c>
      <c r="U529" s="16" t="str">
        <f>VLOOKUP($A529,'SurveyRpt_20150223 (1)'!$A$34:$AN$735,34,FALSE)</f>
        <v>Yes</v>
      </c>
      <c r="V529" s="16" t="str">
        <f>VLOOKUP($A529,'SurveyRpt_20150223 (1)'!$A$34:$AN$735,36,FALSE)</f>
        <v>Yes</v>
      </c>
      <c r="W529" s="16" t="str">
        <f>VLOOKUP($A529,'SurveyRpt_20150223 (1)'!$A$34:$AN$735,38,FALSE)</f>
        <v>Yes</v>
      </c>
    </row>
    <row r="530" spans="1:23" ht="13.5" customHeight="1" x14ac:dyDescent="0.25">
      <c r="A530" s="19" t="s">
        <v>623</v>
      </c>
      <c r="B530" s="19" t="str">
        <f t="shared" si="8"/>
        <v>DTEWARI</v>
      </c>
      <c r="C530" s="16" t="str">
        <f>VLOOKUP(B530,'Compiled Agents'!A:H,2,FALSE)</f>
        <v>Platform</v>
      </c>
      <c r="D530" s="16" t="str">
        <f>VLOOKUP(B530,'Compiled Agents'!A:H,4,FALSE)</f>
        <v>Noida</v>
      </c>
      <c r="E530" s="16" t="str">
        <f>VLOOKUP(B530,'Compiled Agents'!A:H,5,FALSE)</f>
        <v>Wave1</v>
      </c>
      <c r="F530" s="16" t="str">
        <f>VLOOKUP(B530,'Compiled Agents'!A:H,6,FALSE)</f>
        <v>Yellow</v>
      </c>
      <c r="G530" s="16">
        <f>VLOOKUP($A530,'SurveyRpt_20150223 (1)'!$A$34:$AN$735,6,FALSE)</f>
        <v>12</v>
      </c>
      <c r="H530" s="16" t="str">
        <f>VLOOKUP($A530,'SurveyRpt_20150223 (1)'!$A$34:$AN$735,8,FALSE)</f>
        <v>No</v>
      </c>
      <c r="I530" s="16" t="str">
        <f>VLOOKUP($A530,'SurveyRpt_20150223 (1)'!$A$34:$AN$735,10,FALSE)</f>
        <v>Yes</v>
      </c>
      <c r="J530" s="16" t="str">
        <f>VLOOKUP($A530,'SurveyRpt_20150223 (1)'!$A$34:$AN$735,12,FALSE)</f>
        <v>No</v>
      </c>
      <c r="K530" s="16" t="str">
        <f>VLOOKUP($A530,'SurveyRpt_20150223 (1)'!$A$34:$AN$735,14,FALSE)</f>
        <v>Yes</v>
      </c>
      <c r="L530" s="16" t="str">
        <f>VLOOKUP($A530,'SurveyRpt_20150223 (1)'!$A$34:$AN$735,16,FALSE)</f>
        <v>Yes</v>
      </c>
      <c r="M530" s="16" t="str">
        <f>VLOOKUP($A530,'SurveyRpt_20150223 (1)'!$A$34:$AN$735,18,FALSE)</f>
        <v>Yes</v>
      </c>
      <c r="N530" s="16" t="str">
        <f>VLOOKUP($A530,'SurveyRpt_20150223 (1)'!$A$34:$AN$735,20,FALSE)</f>
        <v>Yes</v>
      </c>
      <c r="O530" s="16" t="str">
        <f>VLOOKUP($A530,'SurveyRpt_20150223 (1)'!$A$34:$AN$735,22,FALSE)</f>
        <v>Yes</v>
      </c>
      <c r="P530" s="16" t="str">
        <f>VLOOKUP($A530,'SurveyRpt_20150223 (1)'!$A$34:$AN$735,24,FALSE)</f>
        <v>No</v>
      </c>
      <c r="Q530" s="16" t="str">
        <f>VLOOKUP($A530,'SurveyRpt_20150223 (1)'!$A$34:$AN$735,26,FALSE)</f>
        <v>Yes</v>
      </c>
      <c r="R530" s="16" t="str">
        <f>VLOOKUP($A530,'SurveyRpt_20150223 (1)'!$A$34:$AN$735,28,FALSE)</f>
        <v>Yes</v>
      </c>
      <c r="S530" s="16" t="str">
        <f>VLOOKUP($A530,'SurveyRpt_20150223 (1)'!$A$34:$AN$735,30,FALSE)</f>
        <v>Yes</v>
      </c>
      <c r="T530" s="16" t="str">
        <f>VLOOKUP($A530,'SurveyRpt_20150223 (1)'!$A$34:$AN$735,32,FALSE)</f>
        <v>No</v>
      </c>
      <c r="U530" s="16" t="str">
        <f>VLOOKUP($A530,'SurveyRpt_20150223 (1)'!$A$34:$AN$735,34,FALSE)</f>
        <v>Yes</v>
      </c>
      <c r="V530" s="16" t="str">
        <f>VLOOKUP($A530,'SurveyRpt_20150223 (1)'!$A$34:$AN$735,36,FALSE)</f>
        <v>Yes</v>
      </c>
      <c r="W530" s="16" t="str">
        <f>VLOOKUP($A530,'SurveyRpt_20150223 (1)'!$A$34:$AN$735,38,FALSE)</f>
        <v>Yes</v>
      </c>
    </row>
    <row r="531" spans="1:23" ht="13.5" customHeight="1" x14ac:dyDescent="0.25">
      <c r="A531" s="19" t="s">
        <v>624</v>
      </c>
      <c r="B531" s="19" t="str">
        <f t="shared" si="8"/>
        <v>ADUBEAU2</v>
      </c>
      <c r="C531" s="16" t="str">
        <f>VLOOKUP(B531,'Compiled Agents'!A:H,2,FALSE)</f>
        <v>Platform</v>
      </c>
      <c r="D531" s="16" t="str">
        <f>VLOOKUP(B531,'Compiled Agents'!A:H,4,FALSE)</f>
        <v>Hyderabad</v>
      </c>
      <c r="E531" s="16" t="str">
        <f>VLOOKUP(B531,'Compiled Agents'!A:H,5,FALSE)</f>
        <v>Wave1</v>
      </c>
      <c r="F531" s="16" t="str">
        <f>VLOOKUP(B531,'Compiled Agents'!A:H,6,FALSE)</f>
        <v>Blue</v>
      </c>
      <c r="G531" s="16">
        <f>VLOOKUP($A531,'SurveyRpt_20150223 (1)'!$A$34:$AN$735,6,FALSE)</f>
        <v>7</v>
      </c>
      <c r="H531" s="16" t="str">
        <f>VLOOKUP($A531,'SurveyRpt_20150223 (1)'!$A$34:$AN$735,8,FALSE)</f>
        <v>No</v>
      </c>
      <c r="I531" s="16" t="str">
        <f>VLOOKUP($A531,'SurveyRpt_20150223 (1)'!$A$34:$AN$735,10,FALSE)</f>
        <v>No</v>
      </c>
      <c r="J531" s="16" t="str">
        <f>VLOOKUP($A531,'SurveyRpt_20150223 (1)'!$A$34:$AN$735,12,FALSE)</f>
        <v>Yes</v>
      </c>
      <c r="K531" s="16" t="str">
        <f>VLOOKUP($A531,'SurveyRpt_20150223 (1)'!$A$34:$AN$735,14,FALSE)</f>
        <v>No</v>
      </c>
      <c r="L531" s="16" t="str">
        <f>VLOOKUP($A531,'SurveyRpt_20150223 (1)'!$A$34:$AN$735,16,FALSE)</f>
        <v>Yes</v>
      </c>
      <c r="M531" s="16" t="str">
        <f>VLOOKUP($A531,'SurveyRpt_20150223 (1)'!$A$34:$AN$735,18,FALSE)</f>
        <v>Yes</v>
      </c>
      <c r="N531" s="16" t="str">
        <f>VLOOKUP($A531,'SurveyRpt_20150223 (1)'!$A$34:$AN$735,20,FALSE)</f>
        <v>Yes</v>
      </c>
      <c r="O531" s="16" t="str">
        <f>VLOOKUP($A531,'SurveyRpt_20150223 (1)'!$A$34:$AN$735,22,FALSE)</f>
        <v>Yes</v>
      </c>
      <c r="P531" s="16" t="str">
        <f>VLOOKUP($A531,'SurveyRpt_20150223 (1)'!$A$34:$AN$735,24,FALSE)</f>
        <v>No</v>
      </c>
      <c r="Q531" s="16" t="str">
        <f>VLOOKUP($A531,'SurveyRpt_20150223 (1)'!$A$34:$AN$735,26,FALSE)</f>
        <v>No</v>
      </c>
      <c r="R531" s="16" t="str">
        <f>VLOOKUP($A531,'SurveyRpt_20150223 (1)'!$A$34:$AN$735,28,FALSE)</f>
        <v>No</v>
      </c>
      <c r="S531" s="16" t="str">
        <f>VLOOKUP($A531,'SurveyRpt_20150223 (1)'!$A$34:$AN$735,30,FALSE)</f>
        <v>No</v>
      </c>
      <c r="T531" s="16" t="str">
        <f>VLOOKUP($A531,'SurveyRpt_20150223 (1)'!$A$34:$AN$735,32,FALSE)</f>
        <v>No</v>
      </c>
      <c r="U531" s="16" t="str">
        <f>VLOOKUP($A531,'SurveyRpt_20150223 (1)'!$A$34:$AN$735,34,FALSE)</f>
        <v>Yes</v>
      </c>
      <c r="V531" s="16" t="str">
        <f>VLOOKUP($A531,'SurveyRpt_20150223 (1)'!$A$34:$AN$735,36,FALSE)</f>
        <v>Yes</v>
      </c>
      <c r="W531" s="16" t="str">
        <f>VLOOKUP($A531,'SurveyRpt_20150223 (1)'!$A$34:$AN$735,38,FALSE)</f>
        <v>No</v>
      </c>
    </row>
    <row r="532" spans="1:23" ht="13.5" customHeight="1" x14ac:dyDescent="0.25">
      <c r="A532" s="19" t="s">
        <v>625</v>
      </c>
      <c r="B532" s="19" t="str">
        <f t="shared" si="8"/>
        <v>VSRIVASTAV26</v>
      </c>
      <c r="C532" s="16" t="str">
        <f>VLOOKUP(B532,'Compiled Agents'!A:H,2,FALSE)</f>
        <v>Workplace</v>
      </c>
      <c r="D532" s="16" t="str">
        <f>VLOOKUP(B532,'Compiled Agents'!A:H,4,FALSE)</f>
        <v>Noida</v>
      </c>
      <c r="E532" s="16" t="str">
        <f>VLOOKUP(B532,'Compiled Agents'!A:H,5,FALSE)</f>
        <v>Wave2</v>
      </c>
      <c r="F532" s="16" t="str">
        <f>VLOOKUP(B532,'Compiled Agents'!A:H,6,FALSE)</f>
        <v>Yellow</v>
      </c>
      <c r="G532" s="16">
        <f>VLOOKUP($A532,'SurveyRpt_20150223 (1)'!$A$34:$AN$735,6,FALSE)</f>
        <v>14</v>
      </c>
      <c r="H532" s="16" t="str">
        <f>VLOOKUP($A532,'SurveyRpt_20150223 (1)'!$A$34:$AN$735,8,FALSE)</f>
        <v>Yes</v>
      </c>
      <c r="I532" s="16" t="str">
        <f>VLOOKUP($A532,'SurveyRpt_20150223 (1)'!$A$34:$AN$735,10,FALSE)</f>
        <v>Yes</v>
      </c>
      <c r="J532" s="16" t="str">
        <f>VLOOKUP($A532,'SurveyRpt_20150223 (1)'!$A$34:$AN$735,12,FALSE)</f>
        <v>Yes</v>
      </c>
      <c r="K532" s="16" t="str">
        <f>VLOOKUP($A532,'SurveyRpt_20150223 (1)'!$A$34:$AN$735,14,FALSE)</f>
        <v>Yes</v>
      </c>
      <c r="L532" s="16" t="str">
        <f>VLOOKUP($A532,'SurveyRpt_20150223 (1)'!$A$34:$AN$735,16,FALSE)</f>
        <v>No</v>
      </c>
      <c r="M532" s="16" t="str">
        <f>VLOOKUP($A532,'SurveyRpt_20150223 (1)'!$A$34:$AN$735,18,FALSE)</f>
        <v>Yes</v>
      </c>
      <c r="N532" s="16" t="str">
        <f>VLOOKUP($A532,'SurveyRpt_20150223 (1)'!$A$34:$AN$735,20,FALSE)</f>
        <v>Yes</v>
      </c>
      <c r="O532" s="16" t="str">
        <f>VLOOKUP($A532,'SurveyRpt_20150223 (1)'!$A$34:$AN$735,22,FALSE)</f>
        <v>Yes</v>
      </c>
      <c r="P532" s="16" t="str">
        <f>VLOOKUP($A532,'SurveyRpt_20150223 (1)'!$A$34:$AN$735,24,FALSE)</f>
        <v>Yes</v>
      </c>
      <c r="Q532" s="16" t="str">
        <f>VLOOKUP($A532,'SurveyRpt_20150223 (1)'!$A$34:$AN$735,26,FALSE)</f>
        <v>Yes</v>
      </c>
      <c r="R532" s="16" t="str">
        <f>VLOOKUP($A532,'SurveyRpt_20150223 (1)'!$A$34:$AN$735,28,FALSE)</f>
        <v>Yes</v>
      </c>
      <c r="S532" s="16" t="str">
        <f>VLOOKUP($A532,'SurveyRpt_20150223 (1)'!$A$34:$AN$735,30,FALSE)</f>
        <v>Yes</v>
      </c>
      <c r="T532" s="16" t="str">
        <f>VLOOKUP($A532,'SurveyRpt_20150223 (1)'!$A$34:$AN$735,32,FALSE)</f>
        <v>Yes</v>
      </c>
      <c r="U532" s="16" t="str">
        <f>VLOOKUP($A532,'SurveyRpt_20150223 (1)'!$A$34:$AN$735,34,FALSE)</f>
        <v>No</v>
      </c>
      <c r="V532" s="16" t="str">
        <f>VLOOKUP($A532,'SurveyRpt_20150223 (1)'!$A$34:$AN$735,36,FALSE)</f>
        <v>Yes</v>
      </c>
      <c r="W532" s="16" t="str">
        <f>VLOOKUP($A532,'SurveyRpt_20150223 (1)'!$A$34:$AN$735,38,FALSE)</f>
        <v>Yes</v>
      </c>
    </row>
    <row r="533" spans="1:23" ht="13.5" customHeight="1" x14ac:dyDescent="0.25">
      <c r="A533" s="19" t="s">
        <v>626</v>
      </c>
      <c r="B533" s="19" t="str">
        <f t="shared" si="8"/>
        <v>ATAMTA</v>
      </c>
      <c r="C533" s="16" t="str">
        <f>VLOOKUP(B533,'Compiled Agents'!A:H,2,FALSE)</f>
        <v>Workplace</v>
      </c>
      <c r="D533" s="16" t="str">
        <f>VLOOKUP(B533,'Compiled Agents'!A:H,4,FALSE)</f>
        <v>Noida</v>
      </c>
      <c r="E533" s="16" t="str">
        <f>VLOOKUP(B533,'Compiled Agents'!A:H,5,FALSE)</f>
        <v>Wave1</v>
      </c>
      <c r="F533" s="16" t="str">
        <f>VLOOKUP(B533,'Compiled Agents'!A:H,6,FALSE)</f>
        <v>Orange</v>
      </c>
      <c r="G533" s="16">
        <f>VLOOKUP($A533,'SurveyRpt_20150223 (1)'!$A$34:$AN$735,6,FALSE)</f>
        <v>14</v>
      </c>
      <c r="H533" s="16" t="str">
        <f>VLOOKUP($A533,'SurveyRpt_20150223 (1)'!$A$34:$AN$735,8,FALSE)</f>
        <v>Yes</v>
      </c>
      <c r="I533" s="16" t="str">
        <f>VLOOKUP($A533,'SurveyRpt_20150223 (1)'!$A$34:$AN$735,10,FALSE)</f>
        <v>Yes</v>
      </c>
      <c r="J533" s="16" t="str">
        <f>VLOOKUP($A533,'SurveyRpt_20150223 (1)'!$A$34:$AN$735,12,FALSE)</f>
        <v>No</v>
      </c>
      <c r="K533" s="16" t="str">
        <f>VLOOKUP($A533,'SurveyRpt_20150223 (1)'!$A$34:$AN$735,14,FALSE)</f>
        <v>Yes</v>
      </c>
      <c r="L533" s="16" t="str">
        <f>VLOOKUP($A533,'SurveyRpt_20150223 (1)'!$A$34:$AN$735,16,FALSE)</f>
        <v>Yes</v>
      </c>
      <c r="M533" s="16" t="str">
        <f>VLOOKUP($A533,'SurveyRpt_20150223 (1)'!$A$34:$AN$735,18,FALSE)</f>
        <v>Yes</v>
      </c>
      <c r="N533" s="16" t="str">
        <f>VLOOKUP($A533,'SurveyRpt_20150223 (1)'!$A$34:$AN$735,20,FALSE)</f>
        <v>Yes</v>
      </c>
      <c r="O533" s="16" t="str">
        <f>VLOOKUP($A533,'SurveyRpt_20150223 (1)'!$A$34:$AN$735,22,FALSE)</f>
        <v>Yes</v>
      </c>
      <c r="P533" s="16" t="str">
        <f>VLOOKUP($A533,'SurveyRpt_20150223 (1)'!$A$34:$AN$735,24,FALSE)</f>
        <v>Yes</v>
      </c>
      <c r="Q533" s="16" t="str">
        <f>VLOOKUP($A533,'SurveyRpt_20150223 (1)'!$A$34:$AN$735,26,FALSE)</f>
        <v>Yes</v>
      </c>
      <c r="R533" s="16" t="str">
        <f>VLOOKUP($A533,'SurveyRpt_20150223 (1)'!$A$34:$AN$735,28,FALSE)</f>
        <v>Yes</v>
      </c>
      <c r="S533" s="16" t="str">
        <f>VLOOKUP($A533,'SurveyRpt_20150223 (1)'!$A$34:$AN$735,30,FALSE)</f>
        <v>Yes</v>
      </c>
      <c r="T533" s="16" t="str">
        <f>VLOOKUP($A533,'SurveyRpt_20150223 (1)'!$A$34:$AN$735,32,FALSE)</f>
        <v>Yes</v>
      </c>
      <c r="U533" s="16" t="str">
        <f>VLOOKUP($A533,'SurveyRpt_20150223 (1)'!$A$34:$AN$735,34,FALSE)</f>
        <v>Yes</v>
      </c>
      <c r="V533" s="16" t="str">
        <f>VLOOKUP($A533,'SurveyRpt_20150223 (1)'!$A$34:$AN$735,36,FALSE)</f>
        <v>Yes</v>
      </c>
      <c r="W533" s="16" t="str">
        <f>VLOOKUP($A533,'SurveyRpt_20150223 (1)'!$A$34:$AN$735,38,FALSE)</f>
        <v>No</v>
      </c>
    </row>
    <row r="534" spans="1:23" ht="13.5" customHeight="1" x14ac:dyDescent="0.25">
      <c r="A534" s="19" t="s">
        <v>627</v>
      </c>
      <c r="B534" s="19" t="str">
        <f t="shared" si="8"/>
        <v>TBALAKRISHN6</v>
      </c>
      <c r="C534" s="16" t="str">
        <f>VLOOKUP(B534,'Compiled Agents'!A:H,2,FALSE)</f>
        <v>Workplace</v>
      </c>
      <c r="D534" s="16" t="str">
        <f>VLOOKUP(B534,'Compiled Agents'!A:H,4,FALSE)</f>
        <v>Hyderabad</v>
      </c>
      <c r="E534" s="16" t="str">
        <f>VLOOKUP(B534,'Compiled Agents'!A:H,5,FALSE)</f>
        <v>Wave2</v>
      </c>
      <c r="F534" s="16" t="str">
        <f>VLOOKUP(B534,'Compiled Agents'!A:H,6,FALSE)</f>
        <v>Purple</v>
      </c>
      <c r="G534" s="16">
        <f>VLOOKUP($A534,'SurveyRpt_20150223 (1)'!$A$34:$AN$735,6,FALSE)</f>
        <v>15</v>
      </c>
      <c r="H534" s="16" t="str">
        <f>VLOOKUP($A534,'SurveyRpt_20150223 (1)'!$A$34:$AN$735,8,FALSE)</f>
        <v>Yes</v>
      </c>
      <c r="I534" s="16" t="str">
        <f>VLOOKUP($A534,'SurveyRpt_20150223 (1)'!$A$34:$AN$735,10,FALSE)</f>
        <v>Yes</v>
      </c>
      <c r="J534" s="16" t="str">
        <f>VLOOKUP($A534,'SurveyRpt_20150223 (1)'!$A$34:$AN$735,12,FALSE)</f>
        <v>Yes</v>
      </c>
      <c r="K534" s="16" t="str">
        <f>VLOOKUP($A534,'SurveyRpt_20150223 (1)'!$A$34:$AN$735,14,FALSE)</f>
        <v>Yes</v>
      </c>
      <c r="L534" s="16" t="str">
        <f>VLOOKUP($A534,'SurveyRpt_20150223 (1)'!$A$34:$AN$735,16,FALSE)</f>
        <v>Yes</v>
      </c>
      <c r="M534" s="16" t="str">
        <f>VLOOKUP($A534,'SurveyRpt_20150223 (1)'!$A$34:$AN$735,18,FALSE)</f>
        <v>Yes</v>
      </c>
      <c r="N534" s="16" t="str">
        <f>VLOOKUP($A534,'SurveyRpt_20150223 (1)'!$A$34:$AN$735,20,FALSE)</f>
        <v>Yes</v>
      </c>
      <c r="O534" s="16" t="str">
        <f>VLOOKUP($A534,'SurveyRpt_20150223 (1)'!$A$34:$AN$735,22,FALSE)</f>
        <v>Yes</v>
      </c>
      <c r="P534" s="16" t="str">
        <f>VLOOKUP($A534,'SurveyRpt_20150223 (1)'!$A$34:$AN$735,24,FALSE)</f>
        <v>Yes</v>
      </c>
      <c r="Q534" s="16" t="str">
        <f>VLOOKUP($A534,'SurveyRpt_20150223 (1)'!$A$34:$AN$735,26,FALSE)</f>
        <v>Yes</v>
      </c>
      <c r="R534" s="16" t="str">
        <f>VLOOKUP($A534,'SurveyRpt_20150223 (1)'!$A$34:$AN$735,28,FALSE)</f>
        <v>Yes</v>
      </c>
      <c r="S534" s="16" t="str">
        <f>VLOOKUP($A534,'SurveyRpt_20150223 (1)'!$A$34:$AN$735,30,FALSE)</f>
        <v>Yes</v>
      </c>
      <c r="T534" s="16" t="str">
        <f>VLOOKUP($A534,'SurveyRpt_20150223 (1)'!$A$34:$AN$735,32,FALSE)</f>
        <v>No</v>
      </c>
      <c r="U534" s="16" t="str">
        <f>VLOOKUP($A534,'SurveyRpt_20150223 (1)'!$A$34:$AN$735,34,FALSE)</f>
        <v>Yes</v>
      </c>
      <c r="V534" s="16" t="str">
        <f>VLOOKUP($A534,'SurveyRpt_20150223 (1)'!$A$34:$AN$735,36,FALSE)</f>
        <v>Yes</v>
      </c>
      <c r="W534" s="16" t="str">
        <f>VLOOKUP($A534,'SurveyRpt_20150223 (1)'!$A$34:$AN$735,38,FALSE)</f>
        <v>Yes</v>
      </c>
    </row>
    <row r="535" spans="1:23" ht="13.5" customHeight="1" x14ac:dyDescent="0.25">
      <c r="A535" s="19" t="s">
        <v>628</v>
      </c>
      <c r="B535" s="19" t="str">
        <f t="shared" si="8"/>
        <v>rvelu</v>
      </c>
      <c r="C535" s="16" t="str">
        <f>VLOOKUP(B535,'Compiled Agents'!A:H,2,FALSE)</f>
        <v>Platform</v>
      </c>
      <c r="D535" s="16" t="str">
        <f>VLOOKUP(B535,'Compiled Agents'!A:H,4,FALSE)</f>
        <v>Hyderabad</v>
      </c>
      <c r="E535" s="16" t="str">
        <f>VLOOKUP(B535,'Compiled Agents'!A:H,5,FALSE)</f>
        <v>Wave1</v>
      </c>
      <c r="F535" s="16" t="str">
        <f>VLOOKUP(B535,'Compiled Agents'!A:H,6,FALSE)</f>
        <v>Orange</v>
      </c>
      <c r="G535" s="16">
        <f>VLOOKUP($A535,'SurveyRpt_20150223 (1)'!$A$34:$AN$735,6,FALSE)</f>
        <v>16</v>
      </c>
      <c r="H535" s="16" t="str">
        <f>VLOOKUP($A535,'SurveyRpt_20150223 (1)'!$A$34:$AN$735,8,FALSE)</f>
        <v>Yes</v>
      </c>
      <c r="I535" s="16" t="str">
        <f>VLOOKUP($A535,'SurveyRpt_20150223 (1)'!$A$34:$AN$735,10,FALSE)</f>
        <v>Yes</v>
      </c>
      <c r="J535" s="16" t="str">
        <f>VLOOKUP($A535,'SurveyRpt_20150223 (1)'!$A$34:$AN$735,12,FALSE)</f>
        <v>Yes</v>
      </c>
      <c r="K535" s="16" t="str">
        <f>VLOOKUP($A535,'SurveyRpt_20150223 (1)'!$A$34:$AN$735,14,FALSE)</f>
        <v>Yes</v>
      </c>
      <c r="L535" s="16" t="str">
        <f>VLOOKUP($A535,'SurveyRpt_20150223 (1)'!$A$34:$AN$735,16,FALSE)</f>
        <v>Yes</v>
      </c>
      <c r="M535" s="16" t="str">
        <f>VLOOKUP($A535,'SurveyRpt_20150223 (1)'!$A$34:$AN$735,18,FALSE)</f>
        <v>Yes</v>
      </c>
      <c r="N535" s="16" t="str">
        <f>VLOOKUP($A535,'SurveyRpt_20150223 (1)'!$A$34:$AN$735,20,FALSE)</f>
        <v>Yes</v>
      </c>
      <c r="O535" s="16" t="str">
        <f>VLOOKUP($A535,'SurveyRpt_20150223 (1)'!$A$34:$AN$735,22,FALSE)</f>
        <v>Yes</v>
      </c>
      <c r="P535" s="16" t="str">
        <f>VLOOKUP($A535,'SurveyRpt_20150223 (1)'!$A$34:$AN$735,24,FALSE)</f>
        <v>Yes</v>
      </c>
      <c r="Q535" s="16" t="str">
        <f>VLOOKUP($A535,'SurveyRpt_20150223 (1)'!$A$34:$AN$735,26,FALSE)</f>
        <v>Yes</v>
      </c>
      <c r="R535" s="16" t="str">
        <f>VLOOKUP($A535,'SurveyRpt_20150223 (1)'!$A$34:$AN$735,28,FALSE)</f>
        <v>Yes</v>
      </c>
      <c r="S535" s="16" t="str">
        <f>VLOOKUP($A535,'SurveyRpt_20150223 (1)'!$A$34:$AN$735,30,FALSE)</f>
        <v>Yes</v>
      </c>
      <c r="T535" s="16" t="str">
        <f>VLOOKUP($A535,'SurveyRpt_20150223 (1)'!$A$34:$AN$735,32,FALSE)</f>
        <v>Yes</v>
      </c>
      <c r="U535" s="16" t="str">
        <f>VLOOKUP($A535,'SurveyRpt_20150223 (1)'!$A$34:$AN$735,34,FALSE)</f>
        <v>Yes</v>
      </c>
      <c r="V535" s="16" t="str">
        <f>VLOOKUP($A535,'SurveyRpt_20150223 (1)'!$A$34:$AN$735,36,FALSE)</f>
        <v>Yes</v>
      </c>
      <c r="W535" s="16" t="str">
        <f>VLOOKUP($A535,'SurveyRpt_20150223 (1)'!$A$34:$AN$735,38,FALSE)</f>
        <v>Yes</v>
      </c>
    </row>
    <row r="536" spans="1:23" ht="13.5" customHeight="1" x14ac:dyDescent="0.25">
      <c r="A536" s="19" t="s">
        <v>629</v>
      </c>
      <c r="B536" s="19" t="str">
        <f t="shared" si="8"/>
        <v>SMADNANI</v>
      </c>
      <c r="C536" s="16" t="str">
        <f>VLOOKUP(B536,'Compiled Agents'!A:H,2,FALSE)</f>
        <v>Workplace</v>
      </c>
      <c r="D536" s="16" t="str">
        <f>VLOOKUP(B536,'Compiled Agents'!A:H,4,FALSE)</f>
        <v>Noida</v>
      </c>
      <c r="E536" s="16" t="str">
        <f>VLOOKUP(B536,'Compiled Agents'!A:H,5,FALSE)</f>
        <v>Wave2</v>
      </c>
      <c r="F536" s="16" t="str">
        <f>VLOOKUP(B536,'Compiled Agents'!A:H,6,FALSE)</f>
        <v>Orange</v>
      </c>
      <c r="G536" s="16">
        <f>VLOOKUP($A536,'SurveyRpt_20150223 (1)'!$A$34:$AN$735,6,FALSE)</f>
        <v>16</v>
      </c>
      <c r="H536" s="16" t="str">
        <f>VLOOKUP($A536,'SurveyRpt_20150223 (1)'!$A$34:$AN$735,8,FALSE)</f>
        <v>Yes</v>
      </c>
      <c r="I536" s="16" t="str">
        <f>VLOOKUP($A536,'SurveyRpt_20150223 (1)'!$A$34:$AN$735,10,FALSE)</f>
        <v>Yes</v>
      </c>
      <c r="J536" s="16" t="str">
        <f>VLOOKUP($A536,'SurveyRpt_20150223 (1)'!$A$34:$AN$735,12,FALSE)</f>
        <v>Yes</v>
      </c>
      <c r="K536" s="16" t="str">
        <f>VLOOKUP($A536,'SurveyRpt_20150223 (1)'!$A$34:$AN$735,14,FALSE)</f>
        <v>Yes</v>
      </c>
      <c r="L536" s="16" t="str">
        <f>VLOOKUP($A536,'SurveyRpt_20150223 (1)'!$A$34:$AN$735,16,FALSE)</f>
        <v>Yes</v>
      </c>
      <c r="M536" s="16" t="str">
        <f>VLOOKUP($A536,'SurveyRpt_20150223 (1)'!$A$34:$AN$735,18,FALSE)</f>
        <v>Yes</v>
      </c>
      <c r="N536" s="16" t="str">
        <f>VLOOKUP($A536,'SurveyRpt_20150223 (1)'!$A$34:$AN$735,20,FALSE)</f>
        <v>Yes</v>
      </c>
      <c r="O536" s="16" t="str">
        <f>VLOOKUP($A536,'SurveyRpt_20150223 (1)'!$A$34:$AN$735,22,FALSE)</f>
        <v>Yes</v>
      </c>
      <c r="P536" s="16" t="str">
        <f>VLOOKUP($A536,'SurveyRpt_20150223 (1)'!$A$34:$AN$735,24,FALSE)</f>
        <v>Yes</v>
      </c>
      <c r="Q536" s="16" t="str">
        <f>VLOOKUP($A536,'SurveyRpt_20150223 (1)'!$A$34:$AN$735,26,FALSE)</f>
        <v>Yes</v>
      </c>
      <c r="R536" s="16" t="str">
        <f>VLOOKUP($A536,'SurveyRpt_20150223 (1)'!$A$34:$AN$735,28,FALSE)</f>
        <v>Yes</v>
      </c>
      <c r="S536" s="16" t="str">
        <f>VLOOKUP($A536,'SurveyRpt_20150223 (1)'!$A$34:$AN$735,30,FALSE)</f>
        <v>Yes</v>
      </c>
      <c r="T536" s="16" t="str">
        <f>VLOOKUP($A536,'SurveyRpt_20150223 (1)'!$A$34:$AN$735,32,FALSE)</f>
        <v>Yes</v>
      </c>
      <c r="U536" s="16" t="str">
        <f>VLOOKUP($A536,'SurveyRpt_20150223 (1)'!$A$34:$AN$735,34,FALSE)</f>
        <v>Yes</v>
      </c>
      <c r="V536" s="16" t="str">
        <f>VLOOKUP($A536,'SurveyRpt_20150223 (1)'!$A$34:$AN$735,36,FALSE)</f>
        <v>Yes</v>
      </c>
      <c r="W536" s="16" t="str">
        <f>VLOOKUP($A536,'SurveyRpt_20150223 (1)'!$A$34:$AN$735,38,FALSE)</f>
        <v>Yes</v>
      </c>
    </row>
    <row r="537" spans="1:23" ht="13.5" customHeight="1" x14ac:dyDescent="0.25">
      <c r="A537" s="19" t="s">
        <v>630</v>
      </c>
      <c r="B537" s="19" t="str">
        <f t="shared" si="8"/>
        <v>SDEEP</v>
      </c>
      <c r="C537" s="16" t="str">
        <f>VLOOKUP(B537,'Compiled Agents'!A:H,2,FALSE)</f>
        <v>Platform</v>
      </c>
      <c r="D537" s="16" t="str">
        <f>VLOOKUP(B537,'Compiled Agents'!A:H,4,FALSE)</f>
        <v>Noida</v>
      </c>
      <c r="E537" s="16" t="str">
        <f>VLOOKUP(B537,'Compiled Agents'!A:H,5,FALSE)</f>
        <v>Wave1</v>
      </c>
      <c r="F537" s="16" t="str">
        <f>VLOOKUP(B537,'Compiled Agents'!A:H,6,FALSE)</f>
        <v>Yellow</v>
      </c>
      <c r="G537" s="16">
        <f>VLOOKUP($A537,'SurveyRpt_20150223 (1)'!$A$34:$AN$735,6,FALSE)</f>
        <v>16</v>
      </c>
      <c r="H537" s="16" t="str">
        <f>VLOOKUP($A537,'SurveyRpt_20150223 (1)'!$A$34:$AN$735,8,FALSE)</f>
        <v>Yes</v>
      </c>
      <c r="I537" s="16" t="str">
        <f>VLOOKUP($A537,'SurveyRpt_20150223 (1)'!$A$34:$AN$735,10,FALSE)</f>
        <v>Yes</v>
      </c>
      <c r="J537" s="16" t="str">
        <f>VLOOKUP($A537,'SurveyRpt_20150223 (1)'!$A$34:$AN$735,12,FALSE)</f>
        <v>Yes</v>
      </c>
      <c r="K537" s="16" t="str">
        <f>VLOOKUP($A537,'SurveyRpt_20150223 (1)'!$A$34:$AN$735,14,FALSE)</f>
        <v>Yes</v>
      </c>
      <c r="L537" s="16" t="str">
        <f>VLOOKUP($A537,'SurveyRpt_20150223 (1)'!$A$34:$AN$735,16,FALSE)</f>
        <v>Yes</v>
      </c>
      <c r="M537" s="16" t="str">
        <f>VLOOKUP($A537,'SurveyRpt_20150223 (1)'!$A$34:$AN$735,18,FALSE)</f>
        <v>Yes</v>
      </c>
      <c r="N537" s="16" t="str">
        <f>VLOOKUP($A537,'SurveyRpt_20150223 (1)'!$A$34:$AN$735,20,FALSE)</f>
        <v>Yes</v>
      </c>
      <c r="O537" s="16" t="str">
        <f>VLOOKUP($A537,'SurveyRpt_20150223 (1)'!$A$34:$AN$735,22,FALSE)</f>
        <v>Yes</v>
      </c>
      <c r="P537" s="16" t="str">
        <f>VLOOKUP($A537,'SurveyRpt_20150223 (1)'!$A$34:$AN$735,24,FALSE)</f>
        <v>Yes</v>
      </c>
      <c r="Q537" s="16" t="str">
        <f>VLOOKUP($A537,'SurveyRpt_20150223 (1)'!$A$34:$AN$735,26,FALSE)</f>
        <v>Yes</v>
      </c>
      <c r="R537" s="16" t="str">
        <f>VLOOKUP($A537,'SurveyRpt_20150223 (1)'!$A$34:$AN$735,28,FALSE)</f>
        <v>Yes</v>
      </c>
      <c r="S537" s="16" t="str">
        <f>VLOOKUP($A537,'SurveyRpt_20150223 (1)'!$A$34:$AN$735,30,FALSE)</f>
        <v>Yes</v>
      </c>
      <c r="T537" s="16" t="str">
        <f>VLOOKUP($A537,'SurveyRpt_20150223 (1)'!$A$34:$AN$735,32,FALSE)</f>
        <v>Yes</v>
      </c>
      <c r="U537" s="16" t="str">
        <f>VLOOKUP($A537,'SurveyRpt_20150223 (1)'!$A$34:$AN$735,34,FALSE)</f>
        <v>Yes</v>
      </c>
      <c r="V537" s="16" t="str">
        <f>VLOOKUP($A537,'SurveyRpt_20150223 (1)'!$A$34:$AN$735,36,FALSE)</f>
        <v>Yes</v>
      </c>
      <c r="W537" s="16" t="str">
        <f>VLOOKUP($A537,'SurveyRpt_20150223 (1)'!$A$34:$AN$735,38,FALSE)</f>
        <v>Yes</v>
      </c>
    </row>
    <row r="538" spans="1:23" ht="13.5" customHeight="1" x14ac:dyDescent="0.25">
      <c r="A538" s="19" t="s">
        <v>631</v>
      </c>
      <c r="B538" s="19" t="str">
        <f t="shared" si="8"/>
        <v>SNATARAJANRA</v>
      </c>
      <c r="C538" s="16" t="str">
        <f>VLOOKUP(B538,'Compiled Agents'!A:H,2,FALSE)</f>
        <v>Platform</v>
      </c>
      <c r="D538" s="16" t="str">
        <f>VLOOKUP(B538,'Compiled Agents'!A:H,4,FALSE)</f>
        <v>Hyderabad</v>
      </c>
      <c r="E538" s="16" t="str">
        <f>VLOOKUP(B538,'Compiled Agents'!A:H,5,FALSE)</f>
        <v>Wave1</v>
      </c>
      <c r="F538" s="16" t="str">
        <f>VLOOKUP(B538,'Compiled Agents'!A:H,6,FALSE)</f>
        <v>Blue</v>
      </c>
      <c r="G538" s="16">
        <f>VLOOKUP($A538,'SurveyRpt_20150223 (1)'!$A$34:$AN$735,6,FALSE)</f>
        <v>7</v>
      </c>
      <c r="H538" s="16" t="str">
        <f>VLOOKUP($A538,'SurveyRpt_20150223 (1)'!$A$34:$AN$735,8,FALSE)</f>
        <v>Yes</v>
      </c>
      <c r="I538" s="16" t="str">
        <f>VLOOKUP($A538,'SurveyRpt_20150223 (1)'!$A$34:$AN$735,10,FALSE)</f>
        <v>Yes</v>
      </c>
      <c r="J538" s="16" t="str">
        <f>VLOOKUP($A538,'SurveyRpt_20150223 (1)'!$A$34:$AN$735,12,FALSE)</f>
        <v>No</v>
      </c>
      <c r="K538" s="16" t="str">
        <f>VLOOKUP($A538,'SurveyRpt_20150223 (1)'!$A$34:$AN$735,14,FALSE)</f>
        <v>No</v>
      </c>
      <c r="L538" s="16" t="str">
        <f>VLOOKUP($A538,'SurveyRpt_20150223 (1)'!$A$34:$AN$735,16,FALSE)</f>
        <v>No</v>
      </c>
      <c r="M538" s="16" t="str">
        <f>VLOOKUP($A538,'SurveyRpt_20150223 (1)'!$A$34:$AN$735,18,FALSE)</f>
        <v>Yes</v>
      </c>
      <c r="N538" s="16" t="str">
        <f>VLOOKUP($A538,'SurveyRpt_20150223 (1)'!$A$34:$AN$735,20,FALSE)</f>
        <v>No</v>
      </c>
      <c r="O538" s="16" t="str">
        <f>VLOOKUP($A538,'SurveyRpt_20150223 (1)'!$A$34:$AN$735,22,FALSE)</f>
        <v>No</v>
      </c>
      <c r="P538" s="16" t="str">
        <f>VLOOKUP($A538,'SurveyRpt_20150223 (1)'!$A$34:$AN$735,24,FALSE)</f>
        <v>No</v>
      </c>
      <c r="Q538" s="16" t="str">
        <f>VLOOKUP($A538,'SurveyRpt_20150223 (1)'!$A$34:$AN$735,26,FALSE)</f>
        <v>No</v>
      </c>
      <c r="R538" s="16" t="str">
        <f>VLOOKUP($A538,'SurveyRpt_20150223 (1)'!$A$34:$AN$735,28,FALSE)</f>
        <v>Yes</v>
      </c>
      <c r="S538" s="16" t="str">
        <f>VLOOKUP($A538,'SurveyRpt_20150223 (1)'!$A$34:$AN$735,30,FALSE)</f>
        <v>Yes</v>
      </c>
      <c r="T538" s="16" t="str">
        <f>VLOOKUP($A538,'SurveyRpt_20150223 (1)'!$A$34:$AN$735,32,FALSE)</f>
        <v>Yes</v>
      </c>
      <c r="U538" s="16" t="str">
        <f>VLOOKUP($A538,'SurveyRpt_20150223 (1)'!$A$34:$AN$735,34,FALSE)</f>
        <v>No</v>
      </c>
      <c r="V538" s="16" t="str">
        <f>VLOOKUP($A538,'SurveyRpt_20150223 (1)'!$A$34:$AN$735,36,FALSE)</f>
        <v>No</v>
      </c>
      <c r="W538" s="16" t="str">
        <f>VLOOKUP($A538,'SurveyRpt_20150223 (1)'!$A$34:$AN$735,38,FALSE)</f>
        <v>Yes</v>
      </c>
    </row>
    <row r="539" spans="1:23" ht="13.5" customHeight="1" x14ac:dyDescent="0.25">
      <c r="A539" s="19" t="s">
        <v>632</v>
      </c>
      <c r="B539" s="19" t="str">
        <f t="shared" si="8"/>
        <v>STELU2</v>
      </c>
      <c r="C539" s="16" t="str">
        <f>VLOOKUP(B539,'Compiled Agents'!A:H,2,FALSE)</f>
        <v>Platform</v>
      </c>
      <c r="D539" s="16" t="str">
        <f>VLOOKUP(B539,'Compiled Agents'!A:H,4,FALSE)</f>
        <v>Noida</v>
      </c>
      <c r="E539" s="16" t="str">
        <f>VLOOKUP(B539,'Compiled Agents'!A:H,5,FALSE)</f>
        <v>Wave1</v>
      </c>
      <c r="F539" s="16" t="str">
        <f>VLOOKUP(B539,'Compiled Agents'!A:H,6,FALSE)</f>
        <v>Purple</v>
      </c>
      <c r="G539" s="16">
        <f>VLOOKUP($A539,'SurveyRpt_20150223 (1)'!$A$34:$AN$735,6,FALSE)</f>
        <v>16</v>
      </c>
      <c r="H539" s="16" t="str">
        <f>VLOOKUP($A539,'SurveyRpt_20150223 (1)'!$A$34:$AN$735,8,FALSE)</f>
        <v>Yes</v>
      </c>
      <c r="I539" s="16" t="str">
        <f>VLOOKUP($A539,'SurveyRpt_20150223 (1)'!$A$34:$AN$735,10,FALSE)</f>
        <v>Yes</v>
      </c>
      <c r="J539" s="16" t="str">
        <f>VLOOKUP($A539,'SurveyRpt_20150223 (1)'!$A$34:$AN$735,12,FALSE)</f>
        <v>Yes</v>
      </c>
      <c r="K539" s="16" t="str">
        <f>VLOOKUP($A539,'SurveyRpt_20150223 (1)'!$A$34:$AN$735,14,FALSE)</f>
        <v>Yes</v>
      </c>
      <c r="L539" s="16" t="str">
        <f>VLOOKUP($A539,'SurveyRpt_20150223 (1)'!$A$34:$AN$735,16,FALSE)</f>
        <v>Yes</v>
      </c>
      <c r="M539" s="16" t="str">
        <f>VLOOKUP($A539,'SurveyRpt_20150223 (1)'!$A$34:$AN$735,18,FALSE)</f>
        <v>Yes</v>
      </c>
      <c r="N539" s="16" t="str">
        <f>VLOOKUP($A539,'SurveyRpt_20150223 (1)'!$A$34:$AN$735,20,FALSE)</f>
        <v>Yes</v>
      </c>
      <c r="O539" s="16" t="str">
        <f>VLOOKUP($A539,'SurveyRpt_20150223 (1)'!$A$34:$AN$735,22,FALSE)</f>
        <v>Yes</v>
      </c>
      <c r="P539" s="16" t="str">
        <f>VLOOKUP($A539,'SurveyRpt_20150223 (1)'!$A$34:$AN$735,24,FALSE)</f>
        <v>Yes</v>
      </c>
      <c r="Q539" s="16" t="str">
        <f>VLOOKUP($A539,'SurveyRpt_20150223 (1)'!$A$34:$AN$735,26,FALSE)</f>
        <v>Yes</v>
      </c>
      <c r="R539" s="16" t="str">
        <f>VLOOKUP($A539,'SurveyRpt_20150223 (1)'!$A$34:$AN$735,28,FALSE)</f>
        <v>Yes</v>
      </c>
      <c r="S539" s="16" t="str">
        <f>VLOOKUP($A539,'SurveyRpt_20150223 (1)'!$A$34:$AN$735,30,FALSE)</f>
        <v>Yes</v>
      </c>
      <c r="T539" s="16" t="str">
        <f>VLOOKUP($A539,'SurveyRpt_20150223 (1)'!$A$34:$AN$735,32,FALSE)</f>
        <v>Yes</v>
      </c>
      <c r="U539" s="16" t="str">
        <f>VLOOKUP($A539,'SurveyRpt_20150223 (1)'!$A$34:$AN$735,34,FALSE)</f>
        <v>Yes</v>
      </c>
      <c r="V539" s="16" t="str">
        <f>VLOOKUP($A539,'SurveyRpt_20150223 (1)'!$A$34:$AN$735,36,FALSE)</f>
        <v>Yes</v>
      </c>
      <c r="W539" s="16" t="str">
        <f>VLOOKUP($A539,'SurveyRpt_20150223 (1)'!$A$34:$AN$735,38,FALSE)</f>
        <v>Yes</v>
      </c>
    </row>
    <row r="540" spans="1:23" ht="13.5" customHeight="1" x14ac:dyDescent="0.25">
      <c r="A540" s="19" t="s">
        <v>633</v>
      </c>
      <c r="B540" s="19" t="str">
        <f t="shared" si="8"/>
        <v>gbodel</v>
      </c>
      <c r="C540" s="16" t="str">
        <f>VLOOKUP(B540,'Compiled Agents'!A:H,2,FALSE)</f>
        <v>Workplace</v>
      </c>
      <c r="D540" s="16" t="str">
        <f>VLOOKUP(B540,'Compiled Agents'!A:H,4,FALSE)</f>
        <v>MBC US</v>
      </c>
      <c r="E540" s="16" t="str">
        <f>VLOOKUP(B540,'Compiled Agents'!A:H,5,FALSE)</f>
        <v>Wave2</v>
      </c>
      <c r="F540" s="16" t="str">
        <f>VLOOKUP(B540,'Compiled Agents'!A:H,6,FALSE)</f>
        <v>Blue</v>
      </c>
      <c r="G540" s="16">
        <f>VLOOKUP($A540,'SurveyRpt_20150223 (1)'!$A$34:$AN$735,6,FALSE)</f>
        <v>14</v>
      </c>
      <c r="H540" s="16" t="str">
        <f>VLOOKUP($A540,'SurveyRpt_20150223 (1)'!$A$34:$AN$735,8,FALSE)</f>
        <v>Yes</v>
      </c>
      <c r="I540" s="16" t="str">
        <f>VLOOKUP($A540,'SurveyRpt_20150223 (1)'!$A$34:$AN$735,10,FALSE)</f>
        <v>Yes</v>
      </c>
      <c r="J540" s="16" t="str">
        <f>VLOOKUP($A540,'SurveyRpt_20150223 (1)'!$A$34:$AN$735,12,FALSE)</f>
        <v>Yes</v>
      </c>
      <c r="K540" s="16" t="str">
        <f>VLOOKUP($A540,'SurveyRpt_20150223 (1)'!$A$34:$AN$735,14,FALSE)</f>
        <v>Yes</v>
      </c>
      <c r="L540" s="16" t="str">
        <f>VLOOKUP($A540,'SurveyRpt_20150223 (1)'!$A$34:$AN$735,16,FALSE)</f>
        <v>Yes</v>
      </c>
      <c r="M540" s="16" t="str">
        <f>VLOOKUP($A540,'SurveyRpt_20150223 (1)'!$A$34:$AN$735,18,FALSE)</f>
        <v>Yes</v>
      </c>
      <c r="N540" s="16" t="str">
        <f>VLOOKUP($A540,'SurveyRpt_20150223 (1)'!$A$34:$AN$735,20,FALSE)</f>
        <v>Yes</v>
      </c>
      <c r="O540" s="16" t="str">
        <f>VLOOKUP($A540,'SurveyRpt_20150223 (1)'!$A$34:$AN$735,22,FALSE)</f>
        <v>Yes</v>
      </c>
      <c r="P540" s="16" t="str">
        <f>VLOOKUP($A540,'SurveyRpt_20150223 (1)'!$A$34:$AN$735,24,FALSE)</f>
        <v>Yes</v>
      </c>
      <c r="Q540" s="16" t="str">
        <f>VLOOKUP($A540,'SurveyRpt_20150223 (1)'!$A$34:$AN$735,26,FALSE)</f>
        <v>Yes</v>
      </c>
      <c r="R540" s="16" t="str">
        <f>VLOOKUP($A540,'SurveyRpt_20150223 (1)'!$A$34:$AN$735,28,FALSE)</f>
        <v>Yes</v>
      </c>
      <c r="S540" s="16" t="str">
        <f>VLOOKUP($A540,'SurveyRpt_20150223 (1)'!$A$34:$AN$735,30,FALSE)</f>
        <v>Yes</v>
      </c>
      <c r="T540" s="16" t="str">
        <f>VLOOKUP($A540,'SurveyRpt_20150223 (1)'!$A$34:$AN$735,32,FALSE)</f>
        <v>No</v>
      </c>
      <c r="U540" s="16" t="str">
        <f>VLOOKUP($A540,'SurveyRpt_20150223 (1)'!$A$34:$AN$735,34,FALSE)</f>
        <v>Yes</v>
      </c>
      <c r="V540" s="16" t="str">
        <f>VLOOKUP($A540,'SurveyRpt_20150223 (1)'!$A$34:$AN$735,36,FALSE)</f>
        <v>Yes</v>
      </c>
      <c r="W540" s="16" t="str">
        <f>VLOOKUP($A540,'SurveyRpt_20150223 (1)'!$A$34:$AN$735,38,FALSE)</f>
        <v>No</v>
      </c>
    </row>
    <row r="541" spans="1:23" ht="13.5" customHeight="1" x14ac:dyDescent="0.25">
      <c r="A541" s="19" t="s">
        <v>634</v>
      </c>
      <c r="B541" s="19" t="str">
        <f t="shared" si="8"/>
        <v>RBAWA</v>
      </c>
      <c r="C541" s="16" t="str">
        <f>VLOOKUP(B541,'Compiled Agents'!A:H,2,FALSE)</f>
        <v>Platform</v>
      </c>
      <c r="D541" s="16" t="str">
        <f>VLOOKUP(B541,'Compiled Agents'!A:H,4,FALSE)</f>
        <v>Noida</v>
      </c>
      <c r="E541" s="16" t="str">
        <f>VLOOKUP(B541,'Compiled Agents'!A:H,5,FALSE)</f>
        <v>Wave1</v>
      </c>
      <c r="F541" s="16" t="str">
        <f>VLOOKUP(B541,'Compiled Agents'!A:H,6,FALSE)</f>
        <v>Orange</v>
      </c>
      <c r="G541" s="16">
        <f>VLOOKUP($A541,'SurveyRpt_20150223 (1)'!$A$34:$AN$735,6,FALSE)</f>
        <v>16</v>
      </c>
      <c r="H541" s="16" t="str">
        <f>VLOOKUP($A541,'SurveyRpt_20150223 (1)'!$A$34:$AN$735,8,FALSE)</f>
        <v>Yes</v>
      </c>
      <c r="I541" s="16" t="str">
        <f>VLOOKUP($A541,'SurveyRpt_20150223 (1)'!$A$34:$AN$735,10,FALSE)</f>
        <v>Yes</v>
      </c>
      <c r="J541" s="16" t="str">
        <f>VLOOKUP($A541,'SurveyRpt_20150223 (1)'!$A$34:$AN$735,12,FALSE)</f>
        <v>Yes</v>
      </c>
      <c r="K541" s="16" t="str">
        <f>VLOOKUP($A541,'SurveyRpt_20150223 (1)'!$A$34:$AN$735,14,FALSE)</f>
        <v>Yes</v>
      </c>
      <c r="L541" s="16" t="str">
        <f>VLOOKUP($A541,'SurveyRpt_20150223 (1)'!$A$34:$AN$735,16,FALSE)</f>
        <v>Yes</v>
      </c>
      <c r="M541" s="16" t="str">
        <f>VLOOKUP($A541,'SurveyRpt_20150223 (1)'!$A$34:$AN$735,18,FALSE)</f>
        <v>Yes</v>
      </c>
      <c r="N541" s="16" t="str">
        <f>VLOOKUP($A541,'SurveyRpt_20150223 (1)'!$A$34:$AN$735,20,FALSE)</f>
        <v>Yes</v>
      </c>
      <c r="O541" s="16" t="str">
        <f>VLOOKUP($A541,'SurveyRpt_20150223 (1)'!$A$34:$AN$735,22,FALSE)</f>
        <v>Yes</v>
      </c>
      <c r="P541" s="16" t="str">
        <f>VLOOKUP($A541,'SurveyRpt_20150223 (1)'!$A$34:$AN$735,24,FALSE)</f>
        <v>Yes</v>
      </c>
      <c r="Q541" s="16" t="str">
        <f>VLOOKUP($A541,'SurveyRpt_20150223 (1)'!$A$34:$AN$735,26,FALSE)</f>
        <v>Yes</v>
      </c>
      <c r="R541" s="16" t="str">
        <f>VLOOKUP($A541,'SurveyRpt_20150223 (1)'!$A$34:$AN$735,28,FALSE)</f>
        <v>Yes</v>
      </c>
      <c r="S541" s="16" t="str">
        <f>VLOOKUP($A541,'SurveyRpt_20150223 (1)'!$A$34:$AN$735,30,FALSE)</f>
        <v>Yes</v>
      </c>
      <c r="T541" s="16" t="str">
        <f>VLOOKUP($A541,'SurveyRpt_20150223 (1)'!$A$34:$AN$735,32,FALSE)</f>
        <v>Yes</v>
      </c>
      <c r="U541" s="16" t="str">
        <f>VLOOKUP($A541,'SurveyRpt_20150223 (1)'!$A$34:$AN$735,34,FALSE)</f>
        <v>Yes</v>
      </c>
      <c r="V541" s="16" t="str">
        <f>VLOOKUP($A541,'SurveyRpt_20150223 (1)'!$A$34:$AN$735,36,FALSE)</f>
        <v>Yes</v>
      </c>
      <c r="W541" s="16" t="str">
        <f>VLOOKUP($A541,'SurveyRpt_20150223 (1)'!$A$34:$AN$735,38,FALSE)</f>
        <v>Yes</v>
      </c>
    </row>
    <row r="542" spans="1:23" ht="13.5" customHeight="1" x14ac:dyDescent="0.25">
      <c r="A542" s="19" t="s">
        <v>635</v>
      </c>
      <c r="B542" s="19" t="str">
        <f t="shared" si="8"/>
        <v>mwhite33</v>
      </c>
      <c r="C542" s="16" t="str">
        <f>VLOOKUP(B542,'Compiled Agents'!A:H,2,FALSE)</f>
        <v>Workplace</v>
      </c>
      <c r="D542" s="16" t="str">
        <f>VLOOKUP(B542,'Compiled Agents'!A:H,4,FALSE)</f>
        <v>MBC US</v>
      </c>
      <c r="E542" s="16" t="str">
        <f>VLOOKUP(B542,'Compiled Agents'!A:H,5,FALSE)</f>
        <v>Wave2</v>
      </c>
      <c r="F542" s="16" t="str">
        <f>VLOOKUP(B542,'Compiled Agents'!A:H,6,FALSE)</f>
        <v>Blue</v>
      </c>
      <c r="G542" s="16">
        <f>VLOOKUP($A542,'SurveyRpt_20150223 (1)'!$A$34:$AN$735,6,FALSE)</f>
        <v>4</v>
      </c>
      <c r="H542" s="16" t="str">
        <f>VLOOKUP($A542,'SurveyRpt_20150223 (1)'!$A$34:$AN$735,8,FALSE)</f>
        <v>No</v>
      </c>
      <c r="I542" s="16" t="str">
        <f>VLOOKUP($A542,'SurveyRpt_20150223 (1)'!$A$34:$AN$735,10,FALSE)</f>
        <v>Yes</v>
      </c>
      <c r="J542" s="16" t="str">
        <f>VLOOKUP($A542,'SurveyRpt_20150223 (1)'!$A$34:$AN$735,12,FALSE)</f>
        <v>No</v>
      </c>
      <c r="K542" s="16" t="str">
        <f>VLOOKUP($A542,'SurveyRpt_20150223 (1)'!$A$34:$AN$735,14,FALSE)</f>
        <v>No</v>
      </c>
      <c r="L542" s="16" t="str">
        <f>VLOOKUP($A542,'SurveyRpt_20150223 (1)'!$A$34:$AN$735,16,FALSE)</f>
        <v>Yes</v>
      </c>
      <c r="M542" s="16" t="str">
        <f>VLOOKUP($A542,'SurveyRpt_20150223 (1)'!$A$34:$AN$735,18,FALSE)</f>
        <v>No</v>
      </c>
      <c r="N542" s="16" t="str">
        <f>VLOOKUP($A542,'SurveyRpt_20150223 (1)'!$A$34:$AN$735,20,FALSE)</f>
        <v>No</v>
      </c>
      <c r="O542" s="16" t="str">
        <f>VLOOKUP($A542,'SurveyRpt_20150223 (1)'!$A$34:$AN$735,22,FALSE)</f>
        <v>No</v>
      </c>
      <c r="P542" s="16" t="str">
        <f>VLOOKUP($A542,'SurveyRpt_20150223 (1)'!$A$34:$AN$735,24,FALSE)</f>
        <v>No</v>
      </c>
      <c r="Q542" s="16" t="str">
        <f>VLOOKUP($A542,'SurveyRpt_20150223 (1)'!$A$34:$AN$735,26,FALSE)</f>
        <v>No</v>
      </c>
      <c r="R542" s="16" t="str">
        <f>VLOOKUP($A542,'SurveyRpt_20150223 (1)'!$A$34:$AN$735,28,FALSE)</f>
        <v>No</v>
      </c>
      <c r="S542" s="16" t="str">
        <f>VLOOKUP($A542,'SurveyRpt_20150223 (1)'!$A$34:$AN$735,30,FALSE)</f>
        <v>Yes</v>
      </c>
      <c r="T542" s="16" t="str">
        <f>VLOOKUP($A542,'SurveyRpt_20150223 (1)'!$A$34:$AN$735,32,FALSE)</f>
        <v>Yes</v>
      </c>
      <c r="U542" s="16" t="str">
        <f>VLOOKUP($A542,'SurveyRpt_20150223 (1)'!$A$34:$AN$735,34,FALSE)</f>
        <v>No</v>
      </c>
      <c r="V542" s="16" t="str">
        <f>VLOOKUP($A542,'SurveyRpt_20150223 (1)'!$A$34:$AN$735,36,FALSE)</f>
        <v>No</v>
      </c>
      <c r="W542" s="16" t="str">
        <f>VLOOKUP($A542,'SurveyRpt_20150223 (1)'!$A$34:$AN$735,38,FALSE)</f>
        <v>No</v>
      </c>
    </row>
    <row r="543" spans="1:23" ht="13.5" customHeight="1" x14ac:dyDescent="0.25">
      <c r="A543" s="19" t="s">
        <v>636</v>
      </c>
      <c r="B543" s="19" t="str">
        <f t="shared" si="8"/>
        <v>GREGNIER</v>
      </c>
      <c r="C543" s="16" t="str">
        <f>VLOOKUP(B543,'Compiled Agents'!A:H,2,FALSE)</f>
        <v>Workplace</v>
      </c>
      <c r="D543" s="16" t="str">
        <f>VLOOKUP(B543,'Compiled Agents'!A:H,4,FALSE)</f>
        <v>MBC US</v>
      </c>
      <c r="E543" s="16" t="str">
        <f>VLOOKUP(B543,'Compiled Agents'!A:H,5,FALSE)</f>
        <v>Wave2</v>
      </c>
      <c r="F543" s="16" t="str">
        <f>VLOOKUP(B543,'Compiled Agents'!A:H,6,FALSE)</f>
        <v>Yellow</v>
      </c>
      <c r="G543" s="16">
        <f>VLOOKUP($A543,'SurveyRpt_20150223 (1)'!$A$34:$AN$735,6,FALSE)</f>
        <v>11</v>
      </c>
      <c r="H543" s="16" t="str">
        <f>VLOOKUP($A543,'SurveyRpt_20150223 (1)'!$A$34:$AN$735,8,FALSE)</f>
        <v>Yes</v>
      </c>
      <c r="I543" s="16" t="str">
        <f>VLOOKUP($A543,'SurveyRpt_20150223 (1)'!$A$34:$AN$735,10,FALSE)</f>
        <v>Yes</v>
      </c>
      <c r="J543" s="16" t="str">
        <f>VLOOKUP($A543,'SurveyRpt_20150223 (1)'!$A$34:$AN$735,12,FALSE)</f>
        <v>Yes</v>
      </c>
      <c r="K543" s="16" t="str">
        <f>VLOOKUP($A543,'SurveyRpt_20150223 (1)'!$A$34:$AN$735,14,FALSE)</f>
        <v>Yes</v>
      </c>
      <c r="L543" s="16" t="str">
        <f>VLOOKUP($A543,'SurveyRpt_20150223 (1)'!$A$34:$AN$735,16,FALSE)</f>
        <v>No</v>
      </c>
      <c r="M543" s="16" t="str">
        <f>VLOOKUP($A543,'SurveyRpt_20150223 (1)'!$A$34:$AN$735,18,FALSE)</f>
        <v>Yes</v>
      </c>
      <c r="N543" s="16" t="str">
        <f>VLOOKUP($A543,'SurveyRpt_20150223 (1)'!$A$34:$AN$735,20,FALSE)</f>
        <v>No</v>
      </c>
      <c r="O543" s="16" t="str">
        <f>VLOOKUP($A543,'SurveyRpt_20150223 (1)'!$A$34:$AN$735,22,FALSE)</f>
        <v>Yes</v>
      </c>
      <c r="P543" s="16" t="str">
        <f>VLOOKUP($A543,'SurveyRpt_20150223 (1)'!$A$34:$AN$735,24,FALSE)</f>
        <v>Yes</v>
      </c>
      <c r="Q543" s="16" t="str">
        <f>VLOOKUP($A543,'SurveyRpt_20150223 (1)'!$A$34:$AN$735,26,FALSE)</f>
        <v>Yes</v>
      </c>
      <c r="R543" s="16" t="str">
        <f>VLOOKUP($A543,'SurveyRpt_20150223 (1)'!$A$34:$AN$735,28,FALSE)</f>
        <v>Yes</v>
      </c>
      <c r="S543" s="16" t="str">
        <f>VLOOKUP($A543,'SurveyRpt_20150223 (1)'!$A$34:$AN$735,30,FALSE)</f>
        <v>No</v>
      </c>
      <c r="T543" s="16" t="str">
        <f>VLOOKUP($A543,'SurveyRpt_20150223 (1)'!$A$34:$AN$735,32,FALSE)</f>
        <v>No</v>
      </c>
      <c r="U543" s="16" t="str">
        <f>VLOOKUP($A543,'SurveyRpt_20150223 (1)'!$A$34:$AN$735,34,FALSE)</f>
        <v>Yes</v>
      </c>
      <c r="V543" s="16" t="str">
        <f>VLOOKUP($A543,'SurveyRpt_20150223 (1)'!$A$34:$AN$735,36,FALSE)</f>
        <v>Yes</v>
      </c>
      <c r="W543" s="16" t="str">
        <f>VLOOKUP($A543,'SurveyRpt_20150223 (1)'!$A$34:$AN$735,38,FALSE)</f>
        <v>No</v>
      </c>
    </row>
    <row r="544" spans="1:23" ht="13.5" customHeight="1" x14ac:dyDescent="0.25">
      <c r="A544" s="19" t="s">
        <v>637</v>
      </c>
      <c r="B544" s="19" t="str">
        <f t="shared" si="8"/>
        <v>SRAJ4</v>
      </c>
      <c r="C544" s="16" t="str">
        <f>VLOOKUP(B544,'Compiled Agents'!A:H,2,FALSE)</f>
        <v>Workplace</v>
      </c>
      <c r="D544" s="16" t="str">
        <f>VLOOKUP(B544,'Compiled Agents'!A:H,4,FALSE)</f>
        <v>Hyderabad</v>
      </c>
      <c r="E544" s="16" t="str">
        <f>VLOOKUP(B544,'Compiled Agents'!A:H,5,FALSE)</f>
        <v>Wave2</v>
      </c>
      <c r="F544" s="16" t="str">
        <f>VLOOKUP(B544,'Compiled Agents'!A:H,6,FALSE)</f>
        <v>Yellow</v>
      </c>
      <c r="G544" s="16">
        <f>VLOOKUP($A544,'SurveyRpt_20150223 (1)'!$A$34:$AN$735,6,FALSE)</f>
        <v>14</v>
      </c>
      <c r="H544" s="16" t="str">
        <f>VLOOKUP($A544,'SurveyRpt_20150223 (1)'!$A$34:$AN$735,8,FALSE)</f>
        <v>Yes</v>
      </c>
      <c r="I544" s="16" t="str">
        <f>VLOOKUP($A544,'SurveyRpt_20150223 (1)'!$A$34:$AN$735,10,FALSE)</f>
        <v>Yes</v>
      </c>
      <c r="J544" s="16" t="str">
        <f>VLOOKUP($A544,'SurveyRpt_20150223 (1)'!$A$34:$AN$735,12,FALSE)</f>
        <v>Yes</v>
      </c>
      <c r="K544" s="16" t="str">
        <f>VLOOKUP($A544,'SurveyRpt_20150223 (1)'!$A$34:$AN$735,14,FALSE)</f>
        <v>Yes</v>
      </c>
      <c r="L544" s="16" t="str">
        <f>VLOOKUP($A544,'SurveyRpt_20150223 (1)'!$A$34:$AN$735,16,FALSE)</f>
        <v>Yes</v>
      </c>
      <c r="M544" s="16" t="str">
        <f>VLOOKUP($A544,'SurveyRpt_20150223 (1)'!$A$34:$AN$735,18,FALSE)</f>
        <v>Yes</v>
      </c>
      <c r="N544" s="16" t="str">
        <f>VLOOKUP($A544,'SurveyRpt_20150223 (1)'!$A$34:$AN$735,20,FALSE)</f>
        <v>Yes</v>
      </c>
      <c r="O544" s="16" t="str">
        <f>VLOOKUP($A544,'SurveyRpt_20150223 (1)'!$A$34:$AN$735,22,FALSE)</f>
        <v>Yes</v>
      </c>
      <c r="P544" s="16" t="str">
        <f>VLOOKUP($A544,'SurveyRpt_20150223 (1)'!$A$34:$AN$735,24,FALSE)</f>
        <v>Yes</v>
      </c>
      <c r="Q544" s="16" t="str">
        <f>VLOOKUP($A544,'SurveyRpt_20150223 (1)'!$A$34:$AN$735,26,FALSE)</f>
        <v>Yes</v>
      </c>
      <c r="R544" s="16" t="str">
        <f>VLOOKUP($A544,'SurveyRpt_20150223 (1)'!$A$34:$AN$735,28,FALSE)</f>
        <v>Yes</v>
      </c>
      <c r="S544" s="16" t="str">
        <f>VLOOKUP($A544,'SurveyRpt_20150223 (1)'!$A$34:$AN$735,30,FALSE)</f>
        <v>No</v>
      </c>
      <c r="T544" s="16" t="str">
        <f>VLOOKUP($A544,'SurveyRpt_20150223 (1)'!$A$34:$AN$735,32,FALSE)</f>
        <v>Yes</v>
      </c>
      <c r="U544" s="16" t="str">
        <f>VLOOKUP($A544,'SurveyRpt_20150223 (1)'!$A$34:$AN$735,34,FALSE)</f>
        <v>Yes</v>
      </c>
      <c r="V544" s="16" t="str">
        <f>VLOOKUP($A544,'SurveyRpt_20150223 (1)'!$A$34:$AN$735,36,FALSE)</f>
        <v>Yes</v>
      </c>
      <c r="W544" s="16" t="str">
        <f>VLOOKUP($A544,'SurveyRpt_20150223 (1)'!$A$34:$AN$735,38,FALSE)</f>
        <v>No</v>
      </c>
    </row>
    <row r="545" spans="1:23" ht="13.5" customHeight="1" x14ac:dyDescent="0.25">
      <c r="A545" s="19" t="s">
        <v>638</v>
      </c>
      <c r="B545" s="19" t="str">
        <f t="shared" si="8"/>
        <v>SKUMARESAN3</v>
      </c>
      <c r="C545" s="16" t="str">
        <f>VLOOKUP(B545,'Compiled Agents'!A:H,2,FALSE)</f>
        <v>Platform</v>
      </c>
      <c r="D545" s="16" t="str">
        <f>VLOOKUP(B545,'Compiled Agents'!A:H,4,FALSE)</f>
        <v>Noida</v>
      </c>
      <c r="E545" s="16" t="str">
        <f>VLOOKUP(B545,'Compiled Agents'!A:H,5,FALSE)</f>
        <v>Wave1</v>
      </c>
      <c r="F545" s="16" t="str">
        <f>VLOOKUP(B545,'Compiled Agents'!A:H,6,FALSE)</f>
        <v>Purple</v>
      </c>
      <c r="G545" s="16">
        <f>VLOOKUP($A545,'SurveyRpt_20150223 (1)'!$A$34:$AN$735,6,FALSE)</f>
        <v>16</v>
      </c>
      <c r="H545" s="16" t="str">
        <f>VLOOKUP($A545,'SurveyRpt_20150223 (1)'!$A$34:$AN$735,8,FALSE)</f>
        <v>Yes</v>
      </c>
      <c r="I545" s="16" t="str">
        <f>VLOOKUP($A545,'SurveyRpt_20150223 (1)'!$A$34:$AN$735,10,FALSE)</f>
        <v>Yes</v>
      </c>
      <c r="J545" s="16" t="str">
        <f>VLOOKUP($A545,'SurveyRpt_20150223 (1)'!$A$34:$AN$735,12,FALSE)</f>
        <v>Yes</v>
      </c>
      <c r="K545" s="16" t="str">
        <f>VLOOKUP($A545,'SurveyRpt_20150223 (1)'!$A$34:$AN$735,14,FALSE)</f>
        <v>Yes</v>
      </c>
      <c r="L545" s="16" t="str">
        <f>VLOOKUP($A545,'SurveyRpt_20150223 (1)'!$A$34:$AN$735,16,FALSE)</f>
        <v>Yes</v>
      </c>
      <c r="M545" s="16" t="str">
        <f>VLOOKUP($A545,'SurveyRpt_20150223 (1)'!$A$34:$AN$735,18,FALSE)</f>
        <v>Yes</v>
      </c>
      <c r="N545" s="16" t="str">
        <f>VLOOKUP($A545,'SurveyRpt_20150223 (1)'!$A$34:$AN$735,20,FALSE)</f>
        <v>Yes</v>
      </c>
      <c r="O545" s="16" t="str">
        <f>VLOOKUP($A545,'SurveyRpt_20150223 (1)'!$A$34:$AN$735,22,FALSE)</f>
        <v>Yes</v>
      </c>
      <c r="P545" s="16" t="str">
        <f>VLOOKUP($A545,'SurveyRpt_20150223 (1)'!$A$34:$AN$735,24,FALSE)</f>
        <v>Yes</v>
      </c>
      <c r="Q545" s="16" t="str">
        <f>VLOOKUP($A545,'SurveyRpt_20150223 (1)'!$A$34:$AN$735,26,FALSE)</f>
        <v>Yes</v>
      </c>
      <c r="R545" s="16" t="str">
        <f>VLOOKUP($A545,'SurveyRpt_20150223 (1)'!$A$34:$AN$735,28,FALSE)</f>
        <v>Yes</v>
      </c>
      <c r="S545" s="16" t="str">
        <f>VLOOKUP($A545,'SurveyRpt_20150223 (1)'!$A$34:$AN$735,30,FALSE)</f>
        <v>Yes</v>
      </c>
      <c r="T545" s="16" t="str">
        <f>VLOOKUP($A545,'SurveyRpt_20150223 (1)'!$A$34:$AN$735,32,FALSE)</f>
        <v>Yes</v>
      </c>
      <c r="U545" s="16" t="str">
        <f>VLOOKUP($A545,'SurveyRpt_20150223 (1)'!$A$34:$AN$735,34,FALSE)</f>
        <v>Yes</v>
      </c>
      <c r="V545" s="16" t="str">
        <f>VLOOKUP($A545,'SurveyRpt_20150223 (1)'!$A$34:$AN$735,36,FALSE)</f>
        <v>Yes</v>
      </c>
      <c r="W545" s="16" t="str">
        <f>VLOOKUP($A545,'SurveyRpt_20150223 (1)'!$A$34:$AN$735,38,FALSE)</f>
        <v>Yes</v>
      </c>
    </row>
    <row r="546" spans="1:23" ht="13.5" customHeight="1" x14ac:dyDescent="0.25">
      <c r="A546" s="19" t="s">
        <v>639</v>
      </c>
      <c r="B546" s="19" t="str">
        <f t="shared" si="8"/>
        <v>cvela</v>
      </c>
      <c r="C546" s="16" t="str">
        <f>VLOOKUP(B546,'Compiled Agents'!A:H,2,FALSE)</f>
        <v>Platform</v>
      </c>
      <c r="D546" s="16" t="str">
        <f>VLOOKUP(B546,'Compiled Agents'!A:H,4,FALSE)</f>
        <v>Noida</v>
      </c>
      <c r="E546" s="16" t="str">
        <f>VLOOKUP(B546,'Compiled Agents'!A:H,5,FALSE)</f>
        <v>Wave1</v>
      </c>
      <c r="F546" s="16" t="str">
        <f>VLOOKUP(B546,'Compiled Agents'!A:H,6,FALSE)</f>
        <v>Purple</v>
      </c>
      <c r="G546" s="16">
        <f>VLOOKUP($A546,'SurveyRpt_20150223 (1)'!$A$34:$AN$735,6,FALSE)</f>
        <v>16</v>
      </c>
      <c r="H546" s="16" t="str">
        <f>VLOOKUP($A546,'SurveyRpt_20150223 (1)'!$A$34:$AN$735,8,FALSE)</f>
        <v>Yes</v>
      </c>
      <c r="I546" s="16" t="str">
        <f>VLOOKUP($A546,'SurveyRpt_20150223 (1)'!$A$34:$AN$735,10,FALSE)</f>
        <v>Yes</v>
      </c>
      <c r="J546" s="16" t="str">
        <f>VLOOKUP($A546,'SurveyRpt_20150223 (1)'!$A$34:$AN$735,12,FALSE)</f>
        <v>Yes</v>
      </c>
      <c r="K546" s="16" t="str">
        <f>VLOOKUP($A546,'SurveyRpt_20150223 (1)'!$A$34:$AN$735,14,FALSE)</f>
        <v>Yes</v>
      </c>
      <c r="L546" s="16" t="str">
        <f>VLOOKUP($A546,'SurveyRpt_20150223 (1)'!$A$34:$AN$735,16,FALSE)</f>
        <v>Yes</v>
      </c>
      <c r="M546" s="16" t="str">
        <f>VLOOKUP($A546,'SurveyRpt_20150223 (1)'!$A$34:$AN$735,18,FALSE)</f>
        <v>Yes</v>
      </c>
      <c r="N546" s="16" t="str">
        <f>VLOOKUP($A546,'SurveyRpt_20150223 (1)'!$A$34:$AN$735,20,FALSE)</f>
        <v>Yes</v>
      </c>
      <c r="O546" s="16" t="str">
        <f>VLOOKUP($A546,'SurveyRpt_20150223 (1)'!$A$34:$AN$735,22,FALSE)</f>
        <v>Yes</v>
      </c>
      <c r="P546" s="16" t="str">
        <f>VLOOKUP($A546,'SurveyRpt_20150223 (1)'!$A$34:$AN$735,24,FALSE)</f>
        <v>Yes</v>
      </c>
      <c r="Q546" s="16" t="str">
        <f>VLOOKUP($A546,'SurveyRpt_20150223 (1)'!$A$34:$AN$735,26,FALSE)</f>
        <v>Yes</v>
      </c>
      <c r="R546" s="16" t="str">
        <f>VLOOKUP($A546,'SurveyRpt_20150223 (1)'!$A$34:$AN$735,28,FALSE)</f>
        <v>Yes</v>
      </c>
      <c r="S546" s="16" t="str">
        <f>VLOOKUP($A546,'SurveyRpt_20150223 (1)'!$A$34:$AN$735,30,FALSE)</f>
        <v>Yes</v>
      </c>
      <c r="T546" s="16" t="str">
        <f>VLOOKUP($A546,'SurveyRpt_20150223 (1)'!$A$34:$AN$735,32,FALSE)</f>
        <v>Yes</v>
      </c>
      <c r="U546" s="16" t="str">
        <f>VLOOKUP($A546,'SurveyRpt_20150223 (1)'!$A$34:$AN$735,34,FALSE)</f>
        <v>Yes</v>
      </c>
      <c r="V546" s="16" t="str">
        <f>VLOOKUP($A546,'SurveyRpt_20150223 (1)'!$A$34:$AN$735,36,FALSE)</f>
        <v>Yes</v>
      </c>
      <c r="W546" s="16" t="str">
        <f>VLOOKUP($A546,'SurveyRpt_20150223 (1)'!$A$34:$AN$735,38,FALSE)</f>
        <v>Yes</v>
      </c>
    </row>
    <row r="547" spans="1:23" ht="13.5" customHeight="1" x14ac:dyDescent="0.25">
      <c r="A547" s="19" t="s">
        <v>640</v>
      </c>
      <c r="B547" s="19" t="str">
        <f t="shared" si="8"/>
        <v>HSHARMA33</v>
      </c>
      <c r="C547" s="16" t="str">
        <f>VLOOKUP(B547,'Compiled Agents'!A:H,2,FALSE)</f>
        <v>Workplace</v>
      </c>
      <c r="D547" s="16" t="str">
        <f>VLOOKUP(B547,'Compiled Agents'!A:H,4,FALSE)</f>
        <v>Noida</v>
      </c>
      <c r="E547" s="16" t="str">
        <f>VLOOKUP(B547,'Compiled Agents'!A:H,5,FALSE)</f>
        <v>Wave1</v>
      </c>
      <c r="F547" s="16" t="str">
        <f>VLOOKUP(B547,'Compiled Agents'!A:H,6,FALSE)</f>
        <v>Orange</v>
      </c>
      <c r="G547" s="16">
        <f>VLOOKUP($A547,'SurveyRpt_20150223 (1)'!$A$34:$AN$735,6,FALSE)</f>
        <v>16</v>
      </c>
      <c r="H547" s="16" t="str">
        <f>VLOOKUP($A547,'SurveyRpt_20150223 (1)'!$A$34:$AN$735,8,FALSE)</f>
        <v>Yes</v>
      </c>
      <c r="I547" s="16" t="str">
        <f>VLOOKUP($A547,'SurveyRpt_20150223 (1)'!$A$34:$AN$735,10,FALSE)</f>
        <v>Yes</v>
      </c>
      <c r="J547" s="16" t="str">
        <f>VLOOKUP($A547,'SurveyRpt_20150223 (1)'!$A$34:$AN$735,12,FALSE)</f>
        <v>Yes</v>
      </c>
      <c r="K547" s="16" t="str">
        <f>VLOOKUP($A547,'SurveyRpt_20150223 (1)'!$A$34:$AN$735,14,FALSE)</f>
        <v>Yes</v>
      </c>
      <c r="L547" s="16" t="str">
        <f>VLOOKUP($A547,'SurveyRpt_20150223 (1)'!$A$34:$AN$735,16,FALSE)</f>
        <v>Yes</v>
      </c>
      <c r="M547" s="16" t="str">
        <f>VLOOKUP($A547,'SurveyRpt_20150223 (1)'!$A$34:$AN$735,18,FALSE)</f>
        <v>Yes</v>
      </c>
      <c r="N547" s="16" t="str">
        <f>VLOOKUP($A547,'SurveyRpt_20150223 (1)'!$A$34:$AN$735,20,FALSE)</f>
        <v>Yes</v>
      </c>
      <c r="O547" s="16" t="str">
        <f>VLOOKUP($A547,'SurveyRpt_20150223 (1)'!$A$34:$AN$735,22,FALSE)</f>
        <v>Yes</v>
      </c>
      <c r="P547" s="16" t="str">
        <f>VLOOKUP($A547,'SurveyRpt_20150223 (1)'!$A$34:$AN$735,24,FALSE)</f>
        <v>Yes</v>
      </c>
      <c r="Q547" s="16" t="str">
        <f>VLOOKUP($A547,'SurveyRpt_20150223 (1)'!$A$34:$AN$735,26,FALSE)</f>
        <v>Yes</v>
      </c>
      <c r="R547" s="16" t="str">
        <f>VLOOKUP($A547,'SurveyRpt_20150223 (1)'!$A$34:$AN$735,28,FALSE)</f>
        <v>Yes</v>
      </c>
      <c r="S547" s="16" t="str">
        <f>VLOOKUP($A547,'SurveyRpt_20150223 (1)'!$A$34:$AN$735,30,FALSE)</f>
        <v>Yes</v>
      </c>
      <c r="T547" s="16" t="str">
        <f>VLOOKUP($A547,'SurveyRpt_20150223 (1)'!$A$34:$AN$735,32,FALSE)</f>
        <v>Yes</v>
      </c>
      <c r="U547" s="16" t="str">
        <f>VLOOKUP($A547,'SurveyRpt_20150223 (1)'!$A$34:$AN$735,34,FALSE)</f>
        <v>Yes</v>
      </c>
      <c r="V547" s="16" t="str">
        <f>VLOOKUP($A547,'SurveyRpt_20150223 (1)'!$A$34:$AN$735,36,FALSE)</f>
        <v>Yes</v>
      </c>
      <c r="W547" s="16" t="str">
        <f>VLOOKUP($A547,'SurveyRpt_20150223 (1)'!$A$34:$AN$735,38,FALSE)</f>
        <v>Yes</v>
      </c>
    </row>
    <row r="548" spans="1:23" ht="13.5" customHeight="1" x14ac:dyDescent="0.25">
      <c r="A548" s="19" t="s">
        <v>641</v>
      </c>
      <c r="B548" s="19" t="str">
        <f t="shared" si="8"/>
        <v>BDAS23</v>
      </c>
      <c r="C548" s="16" t="str">
        <f>VLOOKUP(B548,'Compiled Agents'!A:H,2,FALSE)</f>
        <v>Platform</v>
      </c>
      <c r="D548" s="16" t="str">
        <f>VLOOKUP(B548,'Compiled Agents'!A:H,4,FALSE)</f>
        <v>Hyderabad</v>
      </c>
      <c r="E548" s="16" t="str">
        <f>VLOOKUP(B548,'Compiled Agents'!A:H,5,FALSE)</f>
        <v>Wave1</v>
      </c>
      <c r="F548" s="16" t="str">
        <f>VLOOKUP(B548,'Compiled Agents'!A:H,6,FALSE)</f>
        <v>Orange</v>
      </c>
      <c r="G548" s="16">
        <f>VLOOKUP($A548,'SurveyRpt_20150223 (1)'!$A$34:$AN$735,6,FALSE)</f>
        <v>7</v>
      </c>
      <c r="H548" s="16" t="str">
        <f>VLOOKUP($A548,'SurveyRpt_20150223 (1)'!$A$34:$AN$735,8,FALSE)</f>
        <v>Yes</v>
      </c>
      <c r="I548" s="16" t="str">
        <f>VLOOKUP($A548,'SurveyRpt_20150223 (1)'!$A$34:$AN$735,10,FALSE)</f>
        <v>Yes</v>
      </c>
      <c r="J548" s="16" t="str">
        <f>VLOOKUP($A548,'SurveyRpt_20150223 (1)'!$A$34:$AN$735,12,FALSE)</f>
        <v>No</v>
      </c>
      <c r="K548" s="16" t="str">
        <f>VLOOKUP($A548,'SurveyRpt_20150223 (1)'!$A$34:$AN$735,14,FALSE)</f>
        <v>No</v>
      </c>
      <c r="L548" s="16" t="str">
        <f>VLOOKUP($A548,'SurveyRpt_20150223 (1)'!$A$34:$AN$735,16,FALSE)</f>
        <v>No</v>
      </c>
      <c r="M548" s="16" t="str">
        <f>VLOOKUP($A548,'SurveyRpt_20150223 (1)'!$A$34:$AN$735,18,FALSE)</f>
        <v>Yes</v>
      </c>
      <c r="N548" s="16" t="str">
        <f>VLOOKUP($A548,'SurveyRpt_20150223 (1)'!$A$34:$AN$735,20,FALSE)</f>
        <v>No</v>
      </c>
      <c r="O548" s="16" t="str">
        <f>VLOOKUP($A548,'SurveyRpt_20150223 (1)'!$A$34:$AN$735,22,FALSE)</f>
        <v>No</v>
      </c>
      <c r="P548" s="16" t="str">
        <f>VLOOKUP($A548,'SurveyRpt_20150223 (1)'!$A$34:$AN$735,24,FALSE)</f>
        <v>No</v>
      </c>
      <c r="Q548" s="16" t="str">
        <f>VLOOKUP($A548,'SurveyRpt_20150223 (1)'!$A$34:$AN$735,26,FALSE)</f>
        <v>Yes</v>
      </c>
      <c r="R548" s="16" t="str">
        <f>VLOOKUP($A548,'SurveyRpt_20150223 (1)'!$A$34:$AN$735,28,FALSE)</f>
        <v>Yes</v>
      </c>
      <c r="S548" s="16" t="str">
        <f>VLOOKUP($A548,'SurveyRpt_20150223 (1)'!$A$34:$AN$735,30,FALSE)</f>
        <v>Yes</v>
      </c>
      <c r="T548" s="16" t="str">
        <f>VLOOKUP($A548,'SurveyRpt_20150223 (1)'!$A$34:$AN$735,32,FALSE)</f>
        <v>Yes</v>
      </c>
      <c r="U548" s="16" t="str">
        <f>VLOOKUP($A548,'SurveyRpt_20150223 (1)'!$A$34:$AN$735,34,FALSE)</f>
        <v>No</v>
      </c>
      <c r="V548" s="16" t="str">
        <f>VLOOKUP($A548,'SurveyRpt_20150223 (1)'!$A$34:$AN$735,36,FALSE)</f>
        <v>No</v>
      </c>
      <c r="W548" s="16" t="str">
        <f>VLOOKUP($A548,'SurveyRpt_20150223 (1)'!$A$34:$AN$735,38,FALSE)</f>
        <v>No</v>
      </c>
    </row>
    <row r="549" spans="1:23" ht="13.5" customHeight="1" x14ac:dyDescent="0.25">
      <c r="A549" s="19" t="s">
        <v>642</v>
      </c>
      <c r="B549" s="19" t="str">
        <f t="shared" si="8"/>
        <v>VETURUVENKAT</v>
      </c>
      <c r="C549" s="16" t="str">
        <f>VLOOKUP(B549,'Compiled Agents'!A:H,2,FALSE)</f>
        <v>Platform</v>
      </c>
      <c r="D549" s="16" t="str">
        <f>VLOOKUP(B549,'Compiled Agents'!A:H,4,FALSE)</f>
        <v>Noida</v>
      </c>
      <c r="E549" s="16" t="str">
        <f>VLOOKUP(B549,'Compiled Agents'!A:H,5,FALSE)</f>
        <v>Wave2</v>
      </c>
      <c r="F549" s="16" t="str">
        <f>VLOOKUP(B549,'Compiled Agents'!A:H,6,FALSE)</f>
        <v>Yellow</v>
      </c>
      <c r="G549" s="16">
        <f>VLOOKUP($A549,'SurveyRpt_20150223 (1)'!$A$34:$AN$735,6,FALSE)</f>
        <v>16</v>
      </c>
      <c r="H549" s="16" t="str">
        <f>VLOOKUP($A549,'SurveyRpt_20150223 (1)'!$A$34:$AN$735,8,FALSE)</f>
        <v>Yes</v>
      </c>
      <c r="I549" s="16" t="str">
        <f>VLOOKUP($A549,'SurveyRpt_20150223 (1)'!$A$34:$AN$735,10,FALSE)</f>
        <v>Yes</v>
      </c>
      <c r="J549" s="16" t="str">
        <f>VLOOKUP($A549,'SurveyRpt_20150223 (1)'!$A$34:$AN$735,12,FALSE)</f>
        <v>Yes</v>
      </c>
      <c r="K549" s="16" t="str">
        <f>VLOOKUP($A549,'SurveyRpt_20150223 (1)'!$A$34:$AN$735,14,FALSE)</f>
        <v>Yes</v>
      </c>
      <c r="L549" s="16" t="str">
        <f>VLOOKUP($A549,'SurveyRpt_20150223 (1)'!$A$34:$AN$735,16,FALSE)</f>
        <v>Yes</v>
      </c>
      <c r="M549" s="16" t="str">
        <f>VLOOKUP($A549,'SurveyRpt_20150223 (1)'!$A$34:$AN$735,18,FALSE)</f>
        <v>Yes</v>
      </c>
      <c r="N549" s="16" t="str">
        <f>VLOOKUP($A549,'SurveyRpt_20150223 (1)'!$A$34:$AN$735,20,FALSE)</f>
        <v>Yes</v>
      </c>
      <c r="O549" s="16" t="str">
        <f>VLOOKUP($A549,'SurveyRpt_20150223 (1)'!$A$34:$AN$735,22,FALSE)</f>
        <v>Yes</v>
      </c>
      <c r="P549" s="16" t="str">
        <f>VLOOKUP($A549,'SurveyRpt_20150223 (1)'!$A$34:$AN$735,24,FALSE)</f>
        <v>Yes</v>
      </c>
      <c r="Q549" s="16" t="str">
        <f>VLOOKUP($A549,'SurveyRpt_20150223 (1)'!$A$34:$AN$735,26,FALSE)</f>
        <v>Yes</v>
      </c>
      <c r="R549" s="16" t="str">
        <f>VLOOKUP($A549,'SurveyRpt_20150223 (1)'!$A$34:$AN$735,28,FALSE)</f>
        <v>Yes</v>
      </c>
      <c r="S549" s="16" t="str">
        <f>VLOOKUP($A549,'SurveyRpt_20150223 (1)'!$A$34:$AN$735,30,FALSE)</f>
        <v>Yes</v>
      </c>
      <c r="T549" s="16" t="str">
        <f>VLOOKUP($A549,'SurveyRpt_20150223 (1)'!$A$34:$AN$735,32,FALSE)</f>
        <v>Yes</v>
      </c>
      <c r="U549" s="16" t="str">
        <f>VLOOKUP($A549,'SurveyRpt_20150223 (1)'!$A$34:$AN$735,34,FALSE)</f>
        <v>Yes</v>
      </c>
      <c r="V549" s="16" t="str">
        <f>VLOOKUP($A549,'SurveyRpt_20150223 (1)'!$A$34:$AN$735,36,FALSE)</f>
        <v>Yes</v>
      </c>
      <c r="W549" s="16" t="str">
        <f>VLOOKUP($A549,'SurveyRpt_20150223 (1)'!$A$34:$AN$735,38,FALSE)</f>
        <v>Yes</v>
      </c>
    </row>
    <row r="550" spans="1:23" ht="13.5" customHeight="1" x14ac:dyDescent="0.25">
      <c r="A550" s="19" t="s">
        <v>643</v>
      </c>
      <c r="B550" s="19" t="str">
        <f t="shared" si="8"/>
        <v>nsuter</v>
      </c>
      <c r="C550" s="16" t="str">
        <f>VLOOKUP(B550,'Compiled Agents'!A:H,2,FALSE)</f>
        <v>Platform</v>
      </c>
      <c r="D550" s="16" t="str">
        <f>VLOOKUP(B550,'Compiled Agents'!A:H,4,FALSE)</f>
        <v>MBC US</v>
      </c>
      <c r="E550" s="16" t="str">
        <f>VLOOKUP(B550,'Compiled Agents'!A:H,5,FALSE)</f>
        <v>Wave2</v>
      </c>
      <c r="F550" s="16" t="str">
        <f>VLOOKUP(B550,'Compiled Agents'!A:H,6,FALSE)</f>
        <v>Orange</v>
      </c>
      <c r="G550" s="16">
        <f>VLOOKUP($A550,'SurveyRpt_20150223 (1)'!$A$34:$AN$735,6,FALSE)</f>
        <v>0</v>
      </c>
      <c r="H550" s="16" t="str">
        <f>VLOOKUP($A550,'SurveyRpt_20150223 (1)'!$A$34:$AN$735,8,FALSE)</f>
        <v>No</v>
      </c>
      <c r="I550" s="16" t="str">
        <f>VLOOKUP($A550,'SurveyRpt_20150223 (1)'!$A$34:$AN$735,10,FALSE)</f>
        <v>No</v>
      </c>
      <c r="J550" s="16" t="str">
        <f>VLOOKUP($A550,'SurveyRpt_20150223 (1)'!$A$34:$AN$735,12,FALSE)</f>
        <v>No</v>
      </c>
      <c r="K550" s="16" t="str">
        <f>VLOOKUP($A550,'SurveyRpt_20150223 (1)'!$A$34:$AN$735,14,FALSE)</f>
        <v>No</v>
      </c>
      <c r="L550" s="16" t="str">
        <f>VLOOKUP($A550,'SurveyRpt_20150223 (1)'!$A$34:$AN$735,16,FALSE)</f>
        <v>No</v>
      </c>
      <c r="M550" s="16" t="str">
        <f>VLOOKUP($A550,'SurveyRpt_20150223 (1)'!$A$34:$AN$735,18,FALSE)</f>
        <v>No</v>
      </c>
      <c r="N550" s="16" t="str">
        <f>VLOOKUP($A550,'SurveyRpt_20150223 (1)'!$A$34:$AN$735,20,FALSE)</f>
        <v>No</v>
      </c>
      <c r="O550" s="16" t="str">
        <f>VLOOKUP($A550,'SurveyRpt_20150223 (1)'!$A$34:$AN$735,22,FALSE)</f>
        <v>No</v>
      </c>
      <c r="P550" s="16" t="str">
        <f>VLOOKUP($A550,'SurveyRpt_20150223 (1)'!$A$34:$AN$735,24,FALSE)</f>
        <v>No</v>
      </c>
      <c r="Q550" s="16" t="str">
        <f>VLOOKUP($A550,'SurveyRpt_20150223 (1)'!$A$34:$AN$735,26,FALSE)</f>
        <v>No</v>
      </c>
      <c r="R550" s="16" t="str">
        <f>VLOOKUP($A550,'SurveyRpt_20150223 (1)'!$A$34:$AN$735,28,FALSE)</f>
        <v>No</v>
      </c>
      <c r="S550" s="16" t="str">
        <f>VLOOKUP($A550,'SurveyRpt_20150223 (1)'!$A$34:$AN$735,30,FALSE)</f>
        <v>No</v>
      </c>
      <c r="T550" s="16" t="str">
        <f>VLOOKUP($A550,'SurveyRpt_20150223 (1)'!$A$34:$AN$735,32,FALSE)</f>
        <v>No</v>
      </c>
      <c r="U550" s="16" t="str">
        <f>VLOOKUP($A550,'SurveyRpt_20150223 (1)'!$A$34:$AN$735,34,FALSE)</f>
        <v>No</v>
      </c>
      <c r="V550" s="16" t="str">
        <f>VLOOKUP($A550,'SurveyRpt_20150223 (1)'!$A$34:$AN$735,36,FALSE)</f>
        <v>No</v>
      </c>
      <c r="W550" s="16" t="str">
        <f>VLOOKUP($A550,'SurveyRpt_20150223 (1)'!$A$34:$AN$735,38,FALSE)</f>
        <v>No</v>
      </c>
    </row>
    <row r="551" spans="1:23" ht="13.5" customHeight="1" x14ac:dyDescent="0.25">
      <c r="A551" s="19" t="s">
        <v>644</v>
      </c>
      <c r="B551" s="19" t="str">
        <f t="shared" si="8"/>
        <v>AKANDE3</v>
      </c>
      <c r="C551" s="16" t="str">
        <f>VLOOKUP(B551,'Compiled Agents'!A:H,2,FALSE)</f>
        <v>Platform</v>
      </c>
      <c r="D551" s="16" t="str">
        <f>VLOOKUP(B551,'Compiled Agents'!A:H,4,FALSE)</f>
        <v>Hyderabad</v>
      </c>
      <c r="E551" s="16" t="str">
        <f>VLOOKUP(B551,'Compiled Agents'!A:H,5,FALSE)</f>
        <v>Wave1</v>
      </c>
      <c r="F551" s="16" t="str">
        <f>VLOOKUP(B551,'Compiled Agents'!A:H,6,FALSE)</f>
        <v>Purple</v>
      </c>
      <c r="G551" s="16">
        <f>VLOOKUP($A551,'SurveyRpt_20150223 (1)'!$A$34:$AN$735,6,FALSE)</f>
        <v>16</v>
      </c>
      <c r="H551" s="16" t="str">
        <f>VLOOKUP($A551,'SurveyRpt_20150223 (1)'!$A$34:$AN$735,8,FALSE)</f>
        <v>Yes</v>
      </c>
      <c r="I551" s="16" t="str">
        <f>VLOOKUP($A551,'SurveyRpt_20150223 (1)'!$A$34:$AN$735,10,FALSE)</f>
        <v>Yes</v>
      </c>
      <c r="J551" s="16" t="str">
        <f>VLOOKUP($A551,'SurveyRpt_20150223 (1)'!$A$34:$AN$735,12,FALSE)</f>
        <v>Yes</v>
      </c>
      <c r="K551" s="16" t="str">
        <f>VLOOKUP($A551,'SurveyRpt_20150223 (1)'!$A$34:$AN$735,14,FALSE)</f>
        <v>Yes</v>
      </c>
      <c r="L551" s="16" t="str">
        <f>VLOOKUP($A551,'SurveyRpt_20150223 (1)'!$A$34:$AN$735,16,FALSE)</f>
        <v>Yes</v>
      </c>
      <c r="M551" s="16" t="str">
        <f>VLOOKUP($A551,'SurveyRpt_20150223 (1)'!$A$34:$AN$735,18,FALSE)</f>
        <v>Yes</v>
      </c>
      <c r="N551" s="16" t="str">
        <f>VLOOKUP($A551,'SurveyRpt_20150223 (1)'!$A$34:$AN$735,20,FALSE)</f>
        <v>Yes</v>
      </c>
      <c r="O551" s="16" t="str">
        <f>VLOOKUP($A551,'SurveyRpt_20150223 (1)'!$A$34:$AN$735,22,FALSE)</f>
        <v>Yes</v>
      </c>
      <c r="P551" s="16" t="str">
        <f>VLOOKUP($A551,'SurveyRpt_20150223 (1)'!$A$34:$AN$735,24,FALSE)</f>
        <v>Yes</v>
      </c>
      <c r="Q551" s="16" t="str">
        <f>VLOOKUP($A551,'SurveyRpt_20150223 (1)'!$A$34:$AN$735,26,FALSE)</f>
        <v>Yes</v>
      </c>
      <c r="R551" s="16" t="str">
        <f>VLOOKUP($A551,'SurveyRpt_20150223 (1)'!$A$34:$AN$735,28,FALSE)</f>
        <v>Yes</v>
      </c>
      <c r="S551" s="16" t="str">
        <f>VLOOKUP($A551,'SurveyRpt_20150223 (1)'!$A$34:$AN$735,30,FALSE)</f>
        <v>Yes</v>
      </c>
      <c r="T551" s="16" t="str">
        <f>VLOOKUP($A551,'SurveyRpt_20150223 (1)'!$A$34:$AN$735,32,FALSE)</f>
        <v>Yes</v>
      </c>
      <c r="U551" s="16" t="str">
        <f>VLOOKUP($A551,'SurveyRpt_20150223 (1)'!$A$34:$AN$735,34,FALSE)</f>
        <v>Yes</v>
      </c>
      <c r="V551" s="16" t="str">
        <f>VLOOKUP($A551,'SurveyRpt_20150223 (1)'!$A$34:$AN$735,36,FALSE)</f>
        <v>Yes</v>
      </c>
      <c r="W551" s="16" t="str">
        <f>VLOOKUP($A551,'SurveyRpt_20150223 (1)'!$A$34:$AN$735,38,FALSE)</f>
        <v>Yes</v>
      </c>
    </row>
    <row r="552" spans="1:23" ht="13.5" customHeight="1" x14ac:dyDescent="0.25">
      <c r="A552" s="19" t="s">
        <v>645</v>
      </c>
      <c r="B552" s="19" t="str">
        <f t="shared" si="8"/>
        <v>YRAJPUT</v>
      </c>
      <c r="C552" s="16" t="str">
        <f>VLOOKUP(B552,'Compiled Agents'!A:H,2,FALSE)</f>
        <v>Workplace</v>
      </c>
      <c r="D552" s="16" t="str">
        <f>VLOOKUP(B552,'Compiled Agents'!A:H,4,FALSE)</f>
        <v>Noida</v>
      </c>
      <c r="E552" s="16" t="str">
        <f>VLOOKUP(B552,'Compiled Agents'!A:H,5,FALSE)</f>
        <v>Wave1</v>
      </c>
      <c r="F552" s="16" t="str">
        <f>VLOOKUP(B552,'Compiled Agents'!A:H,6,FALSE)</f>
        <v>Blue</v>
      </c>
      <c r="G552" s="16">
        <f>VLOOKUP($A552,'SurveyRpt_20150223 (1)'!$A$34:$AN$735,6,FALSE)</f>
        <v>16</v>
      </c>
      <c r="H552" s="16" t="str">
        <f>VLOOKUP($A552,'SurveyRpt_20150223 (1)'!$A$34:$AN$735,8,FALSE)</f>
        <v>Yes</v>
      </c>
      <c r="I552" s="16" t="str">
        <f>VLOOKUP($A552,'SurveyRpt_20150223 (1)'!$A$34:$AN$735,10,FALSE)</f>
        <v>Yes</v>
      </c>
      <c r="J552" s="16" t="str">
        <f>VLOOKUP($A552,'SurveyRpt_20150223 (1)'!$A$34:$AN$735,12,FALSE)</f>
        <v>Yes</v>
      </c>
      <c r="K552" s="16" t="str">
        <f>VLOOKUP($A552,'SurveyRpt_20150223 (1)'!$A$34:$AN$735,14,FALSE)</f>
        <v>Yes</v>
      </c>
      <c r="L552" s="16" t="str">
        <f>VLOOKUP($A552,'SurveyRpt_20150223 (1)'!$A$34:$AN$735,16,FALSE)</f>
        <v>Yes</v>
      </c>
      <c r="M552" s="16" t="str">
        <f>VLOOKUP($A552,'SurveyRpt_20150223 (1)'!$A$34:$AN$735,18,FALSE)</f>
        <v>Yes</v>
      </c>
      <c r="N552" s="16" t="str">
        <f>VLOOKUP($A552,'SurveyRpt_20150223 (1)'!$A$34:$AN$735,20,FALSE)</f>
        <v>Yes</v>
      </c>
      <c r="O552" s="16" t="str">
        <f>VLOOKUP($A552,'SurveyRpt_20150223 (1)'!$A$34:$AN$735,22,FALSE)</f>
        <v>Yes</v>
      </c>
      <c r="P552" s="16" t="str">
        <f>VLOOKUP($A552,'SurveyRpt_20150223 (1)'!$A$34:$AN$735,24,FALSE)</f>
        <v>Yes</v>
      </c>
      <c r="Q552" s="16" t="str">
        <f>VLOOKUP($A552,'SurveyRpt_20150223 (1)'!$A$34:$AN$735,26,FALSE)</f>
        <v>Yes</v>
      </c>
      <c r="R552" s="16" t="str">
        <f>VLOOKUP($A552,'SurveyRpt_20150223 (1)'!$A$34:$AN$735,28,FALSE)</f>
        <v>Yes</v>
      </c>
      <c r="S552" s="16" t="str">
        <f>VLOOKUP($A552,'SurveyRpt_20150223 (1)'!$A$34:$AN$735,30,FALSE)</f>
        <v>Yes</v>
      </c>
      <c r="T552" s="16" t="str">
        <f>VLOOKUP($A552,'SurveyRpt_20150223 (1)'!$A$34:$AN$735,32,FALSE)</f>
        <v>Yes</v>
      </c>
      <c r="U552" s="16" t="str">
        <f>VLOOKUP($A552,'SurveyRpt_20150223 (1)'!$A$34:$AN$735,34,FALSE)</f>
        <v>Yes</v>
      </c>
      <c r="V552" s="16" t="str">
        <f>VLOOKUP($A552,'SurveyRpt_20150223 (1)'!$A$34:$AN$735,36,FALSE)</f>
        <v>Yes</v>
      </c>
      <c r="W552" s="16" t="str">
        <f>VLOOKUP($A552,'SurveyRpt_20150223 (1)'!$A$34:$AN$735,38,FALSE)</f>
        <v>Yes</v>
      </c>
    </row>
    <row r="553" spans="1:23" ht="13.5" customHeight="1" x14ac:dyDescent="0.25">
      <c r="A553" s="19" t="s">
        <v>646</v>
      </c>
      <c r="B553" s="19" t="str">
        <f t="shared" si="8"/>
        <v>SKUMAR353</v>
      </c>
      <c r="C553" s="16" t="str">
        <f>VLOOKUP(B553,'Compiled Agents'!A:H,2,FALSE)</f>
        <v>Workplace</v>
      </c>
      <c r="D553" s="16" t="str">
        <f>VLOOKUP(B553,'Compiled Agents'!A:H,4,FALSE)</f>
        <v>Hyderabad</v>
      </c>
      <c r="E553" s="16" t="str">
        <f>VLOOKUP(B553,'Compiled Agents'!A:H,5,FALSE)</f>
        <v>Wave2</v>
      </c>
      <c r="F553" s="16" t="str">
        <f>VLOOKUP(B553,'Compiled Agents'!A:H,6,FALSE)</f>
        <v>Yellow</v>
      </c>
      <c r="G553" s="16">
        <f>VLOOKUP($A553,'SurveyRpt_20150223 (1)'!$A$34:$AN$735,6,FALSE)</f>
        <v>16</v>
      </c>
      <c r="H553" s="16" t="str">
        <f>VLOOKUP($A553,'SurveyRpt_20150223 (1)'!$A$34:$AN$735,8,FALSE)</f>
        <v>Yes</v>
      </c>
      <c r="I553" s="16" t="str">
        <f>VLOOKUP($A553,'SurveyRpt_20150223 (1)'!$A$34:$AN$735,10,FALSE)</f>
        <v>Yes</v>
      </c>
      <c r="J553" s="16" t="str">
        <f>VLOOKUP($A553,'SurveyRpt_20150223 (1)'!$A$34:$AN$735,12,FALSE)</f>
        <v>Yes</v>
      </c>
      <c r="K553" s="16" t="str">
        <f>VLOOKUP($A553,'SurveyRpt_20150223 (1)'!$A$34:$AN$735,14,FALSE)</f>
        <v>Yes</v>
      </c>
      <c r="L553" s="16" t="str">
        <f>VLOOKUP($A553,'SurveyRpt_20150223 (1)'!$A$34:$AN$735,16,FALSE)</f>
        <v>Yes</v>
      </c>
      <c r="M553" s="16" t="str">
        <f>VLOOKUP($A553,'SurveyRpt_20150223 (1)'!$A$34:$AN$735,18,FALSE)</f>
        <v>Yes</v>
      </c>
      <c r="N553" s="16" t="str">
        <f>VLOOKUP($A553,'SurveyRpt_20150223 (1)'!$A$34:$AN$735,20,FALSE)</f>
        <v>Yes</v>
      </c>
      <c r="O553" s="16" t="str">
        <f>VLOOKUP($A553,'SurveyRpt_20150223 (1)'!$A$34:$AN$735,22,FALSE)</f>
        <v>Yes</v>
      </c>
      <c r="P553" s="16" t="str">
        <f>VLOOKUP($A553,'SurveyRpt_20150223 (1)'!$A$34:$AN$735,24,FALSE)</f>
        <v>Yes</v>
      </c>
      <c r="Q553" s="16" t="str">
        <f>VLOOKUP($A553,'SurveyRpt_20150223 (1)'!$A$34:$AN$735,26,FALSE)</f>
        <v>Yes</v>
      </c>
      <c r="R553" s="16" t="str">
        <f>VLOOKUP($A553,'SurveyRpt_20150223 (1)'!$A$34:$AN$735,28,FALSE)</f>
        <v>Yes</v>
      </c>
      <c r="S553" s="16" t="str">
        <f>VLOOKUP($A553,'SurveyRpt_20150223 (1)'!$A$34:$AN$735,30,FALSE)</f>
        <v>Yes</v>
      </c>
      <c r="T553" s="16" t="str">
        <f>VLOOKUP($A553,'SurveyRpt_20150223 (1)'!$A$34:$AN$735,32,FALSE)</f>
        <v>Yes</v>
      </c>
      <c r="U553" s="16" t="str">
        <f>VLOOKUP($A553,'SurveyRpt_20150223 (1)'!$A$34:$AN$735,34,FALSE)</f>
        <v>Yes</v>
      </c>
      <c r="V553" s="16" t="str">
        <f>VLOOKUP($A553,'SurveyRpt_20150223 (1)'!$A$34:$AN$735,36,FALSE)</f>
        <v>Yes</v>
      </c>
      <c r="W553" s="16" t="str">
        <f>VLOOKUP($A553,'SurveyRpt_20150223 (1)'!$A$34:$AN$735,38,FALSE)</f>
        <v>Yes</v>
      </c>
    </row>
    <row r="554" spans="1:23" ht="13.5" customHeight="1" x14ac:dyDescent="0.25">
      <c r="A554" s="19" t="s">
        <v>647</v>
      </c>
      <c r="B554" s="19" t="str">
        <f t="shared" si="8"/>
        <v>RSWAROOP</v>
      </c>
      <c r="C554" s="16" t="str">
        <f>VLOOKUP(B554,'Compiled Agents'!A:H,2,FALSE)</f>
        <v>Workplace</v>
      </c>
      <c r="D554" s="16" t="str">
        <f>VLOOKUP(B554,'Compiled Agents'!A:H,4,FALSE)</f>
        <v>Noida</v>
      </c>
      <c r="E554" s="16" t="str">
        <f>VLOOKUP(B554,'Compiled Agents'!A:H,5,FALSE)</f>
        <v>Wave2</v>
      </c>
      <c r="F554" s="16" t="str">
        <f>VLOOKUP(B554,'Compiled Agents'!A:H,6,FALSE)</f>
        <v>Purple</v>
      </c>
      <c r="G554" s="16">
        <f>VLOOKUP($A554,'SurveyRpt_20150223 (1)'!$A$34:$AN$735,6,FALSE)</f>
        <v>16</v>
      </c>
      <c r="H554" s="16" t="str">
        <f>VLOOKUP($A554,'SurveyRpt_20150223 (1)'!$A$34:$AN$735,8,FALSE)</f>
        <v>Yes</v>
      </c>
      <c r="I554" s="16" t="str">
        <f>VLOOKUP($A554,'SurveyRpt_20150223 (1)'!$A$34:$AN$735,10,FALSE)</f>
        <v>Yes</v>
      </c>
      <c r="J554" s="16" t="str">
        <f>VLOOKUP($A554,'SurveyRpt_20150223 (1)'!$A$34:$AN$735,12,FALSE)</f>
        <v>Yes</v>
      </c>
      <c r="K554" s="16" t="str">
        <f>VLOOKUP($A554,'SurveyRpt_20150223 (1)'!$A$34:$AN$735,14,FALSE)</f>
        <v>Yes</v>
      </c>
      <c r="L554" s="16" t="str">
        <f>VLOOKUP($A554,'SurveyRpt_20150223 (1)'!$A$34:$AN$735,16,FALSE)</f>
        <v>Yes</v>
      </c>
      <c r="M554" s="16" t="str">
        <f>VLOOKUP($A554,'SurveyRpt_20150223 (1)'!$A$34:$AN$735,18,FALSE)</f>
        <v>Yes</v>
      </c>
      <c r="N554" s="16" t="str">
        <f>VLOOKUP($A554,'SurveyRpt_20150223 (1)'!$A$34:$AN$735,20,FALSE)</f>
        <v>Yes</v>
      </c>
      <c r="O554" s="16" t="str">
        <f>VLOOKUP($A554,'SurveyRpt_20150223 (1)'!$A$34:$AN$735,22,FALSE)</f>
        <v>Yes</v>
      </c>
      <c r="P554" s="16" t="str">
        <f>VLOOKUP($A554,'SurveyRpt_20150223 (1)'!$A$34:$AN$735,24,FALSE)</f>
        <v>Yes</v>
      </c>
      <c r="Q554" s="16" t="str">
        <f>VLOOKUP($A554,'SurveyRpt_20150223 (1)'!$A$34:$AN$735,26,FALSE)</f>
        <v>Yes</v>
      </c>
      <c r="R554" s="16" t="str">
        <f>VLOOKUP($A554,'SurveyRpt_20150223 (1)'!$A$34:$AN$735,28,FALSE)</f>
        <v>Yes</v>
      </c>
      <c r="S554" s="16" t="str">
        <f>VLOOKUP($A554,'SurveyRpt_20150223 (1)'!$A$34:$AN$735,30,FALSE)</f>
        <v>Yes</v>
      </c>
      <c r="T554" s="16" t="str">
        <f>VLOOKUP($A554,'SurveyRpt_20150223 (1)'!$A$34:$AN$735,32,FALSE)</f>
        <v>Yes</v>
      </c>
      <c r="U554" s="16" t="str">
        <f>VLOOKUP($A554,'SurveyRpt_20150223 (1)'!$A$34:$AN$735,34,FALSE)</f>
        <v>Yes</v>
      </c>
      <c r="V554" s="16" t="str">
        <f>VLOOKUP($A554,'SurveyRpt_20150223 (1)'!$A$34:$AN$735,36,FALSE)</f>
        <v>Yes</v>
      </c>
      <c r="W554" s="16" t="str">
        <f>VLOOKUP($A554,'SurveyRpt_20150223 (1)'!$A$34:$AN$735,38,FALSE)</f>
        <v>Yes</v>
      </c>
    </row>
    <row r="555" spans="1:23" ht="13.5" customHeight="1" x14ac:dyDescent="0.25">
      <c r="A555" s="19" t="s">
        <v>648</v>
      </c>
      <c r="B555" s="19" t="str">
        <f t="shared" si="8"/>
        <v>acoppola</v>
      </c>
      <c r="C555" s="16" t="str">
        <f>VLOOKUP(B555,'Compiled Agents'!A:H,2,FALSE)</f>
        <v>Pod Manager</v>
      </c>
      <c r="D555" s="16" t="str">
        <f>VLOOKUP(B555,'Compiled Agents'!A:H,4,FALSE)</f>
        <v>MBC US</v>
      </c>
      <c r="E555" s="16" t="str">
        <f>VLOOKUP(B555,'Compiled Agents'!A:H,5,FALSE)</f>
        <v>Wave2</v>
      </c>
      <c r="F555" s="16" t="str">
        <f>VLOOKUP(B555,'Compiled Agents'!A:H,6,FALSE)</f>
        <v>POD Manager</v>
      </c>
      <c r="G555" s="16">
        <f>VLOOKUP($A555,'SurveyRpt_20150223 (1)'!$A$34:$AN$735,6,FALSE)</f>
        <v>16</v>
      </c>
      <c r="H555" s="16" t="str">
        <f>VLOOKUP($A555,'SurveyRpt_20150223 (1)'!$A$34:$AN$735,8,FALSE)</f>
        <v>Yes</v>
      </c>
      <c r="I555" s="16" t="str">
        <f>VLOOKUP($A555,'SurveyRpt_20150223 (1)'!$A$34:$AN$735,10,FALSE)</f>
        <v>Yes</v>
      </c>
      <c r="J555" s="16" t="str">
        <f>VLOOKUP($A555,'SurveyRpt_20150223 (1)'!$A$34:$AN$735,12,FALSE)</f>
        <v>Yes</v>
      </c>
      <c r="K555" s="16" t="str">
        <f>VLOOKUP($A555,'SurveyRpt_20150223 (1)'!$A$34:$AN$735,14,FALSE)</f>
        <v>Yes</v>
      </c>
      <c r="L555" s="16" t="str">
        <f>VLOOKUP($A555,'SurveyRpt_20150223 (1)'!$A$34:$AN$735,16,FALSE)</f>
        <v>Yes</v>
      </c>
      <c r="M555" s="16" t="str">
        <f>VLOOKUP($A555,'SurveyRpt_20150223 (1)'!$A$34:$AN$735,18,FALSE)</f>
        <v>Yes</v>
      </c>
      <c r="N555" s="16" t="str">
        <f>VLOOKUP($A555,'SurveyRpt_20150223 (1)'!$A$34:$AN$735,20,FALSE)</f>
        <v>Yes</v>
      </c>
      <c r="O555" s="16" t="str">
        <f>VLOOKUP($A555,'SurveyRpt_20150223 (1)'!$A$34:$AN$735,22,FALSE)</f>
        <v>Yes</v>
      </c>
      <c r="P555" s="16" t="str">
        <f>VLOOKUP($A555,'SurveyRpt_20150223 (1)'!$A$34:$AN$735,24,FALSE)</f>
        <v>Yes</v>
      </c>
      <c r="Q555" s="16" t="str">
        <f>VLOOKUP($A555,'SurveyRpt_20150223 (1)'!$A$34:$AN$735,26,FALSE)</f>
        <v>Yes</v>
      </c>
      <c r="R555" s="16" t="str">
        <f>VLOOKUP($A555,'SurveyRpt_20150223 (1)'!$A$34:$AN$735,28,FALSE)</f>
        <v>Yes</v>
      </c>
      <c r="S555" s="16" t="str">
        <f>VLOOKUP($A555,'SurveyRpt_20150223 (1)'!$A$34:$AN$735,30,FALSE)</f>
        <v>Yes</v>
      </c>
      <c r="T555" s="16" t="str">
        <f>VLOOKUP($A555,'SurveyRpt_20150223 (1)'!$A$34:$AN$735,32,FALSE)</f>
        <v>Yes</v>
      </c>
      <c r="U555" s="16" t="str">
        <f>VLOOKUP($A555,'SurveyRpt_20150223 (1)'!$A$34:$AN$735,34,FALSE)</f>
        <v>Yes</v>
      </c>
      <c r="V555" s="16" t="str">
        <f>VLOOKUP($A555,'SurveyRpt_20150223 (1)'!$A$34:$AN$735,36,FALSE)</f>
        <v>Yes</v>
      </c>
      <c r="W555" s="16" t="str">
        <f>VLOOKUP($A555,'SurveyRpt_20150223 (1)'!$A$34:$AN$735,38,FALSE)</f>
        <v>Yes</v>
      </c>
    </row>
    <row r="556" spans="1:23" ht="13.5" customHeight="1" x14ac:dyDescent="0.25">
      <c r="A556" s="19" t="s">
        <v>649</v>
      </c>
      <c r="B556" s="19" t="str">
        <f t="shared" si="8"/>
        <v>LMANICKAVAS2</v>
      </c>
      <c r="C556" s="16" t="str">
        <f>VLOOKUP(B556,'Compiled Agents'!A:H,2,FALSE)</f>
        <v>Workplace</v>
      </c>
      <c r="D556" s="16" t="str">
        <f>VLOOKUP(B556,'Compiled Agents'!A:H,4,FALSE)</f>
        <v>Hyderabad</v>
      </c>
      <c r="E556" s="16" t="str">
        <f>VLOOKUP(B556,'Compiled Agents'!A:H,5,FALSE)</f>
        <v>Wave2</v>
      </c>
      <c r="F556" s="16" t="str">
        <f>VLOOKUP(B556,'Compiled Agents'!A:H,6,FALSE)</f>
        <v>Purple</v>
      </c>
      <c r="G556" s="16">
        <f>VLOOKUP($A556,'SurveyRpt_20150223 (1)'!$A$34:$AN$735,6,FALSE)</f>
        <v>16</v>
      </c>
      <c r="H556" s="16" t="str">
        <f>VLOOKUP($A556,'SurveyRpt_20150223 (1)'!$A$34:$AN$735,8,FALSE)</f>
        <v>Yes</v>
      </c>
      <c r="I556" s="16" t="str">
        <f>VLOOKUP($A556,'SurveyRpt_20150223 (1)'!$A$34:$AN$735,10,FALSE)</f>
        <v>Yes</v>
      </c>
      <c r="J556" s="16" t="str">
        <f>VLOOKUP($A556,'SurveyRpt_20150223 (1)'!$A$34:$AN$735,12,FALSE)</f>
        <v>Yes</v>
      </c>
      <c r="K556" s="16" t="str">
        <f>VLOOKUP($A556,'SurveyRpt_20150223 (1)'!$A$34:$AN$735,14,FALSE)</f>
        <v>Yes</v>
      </c>
      <c r="L556" s="16" t="str">
        <f>VLOOKUP($A556,'SurveyRpt_20150223 (1)'!$A$34:$AN$735,16,FALSE)</f>
        <v>Yes</v>
      </c>
      <c r="M556" s="16" t="str">
        <f>VLOOKUP($A556,'SurveyRpt_20150223 (1)'!$A$34:$AN$735,18,FALSE)</f>
        <v>Yes</v>
      </c>
      <c r="N556" s="16" t="str">
        <f>VLOOKUP($A556,'SurveyRpt_20150223 (1)'!$A$34:$AN$735,20,FALSE)</f>
        <v>Yes</v>
      </c>
      <c r="O556" s="16" t="str">
        <f>VLOOKUP($A556,'SurveyRpt_20150223 (1)'!$A$34:$AN$735,22,FALSE)</f>
        <v>Yes</v>
      </c>
      <c r="P556" s="16" t="str">
        <f>VLOOKUP($A556,'SurveyRpt_20150223 (1)'!$A$34:$AN$735,24,FALSE)</f>
        <v>Yes</v>
      </c>
      <c r="Q556" s="16" t="str">
        <f>VLOOKUP($A556,'SurveyRpt_20150223 (1)'!$A$34:$AN$735,26,FALSE)</f>
        <v>Yes</v>
      </c>
      <c r="R556" s="16" t="str">
        <f>VLOOKUP($A556,'SurveyRpt_20150223 (1)'!$A$34:$AN$735,28,FALSE)</f>
        <v>Yes</v>
      </c>
      <c r="S556" s="16" t="str">
        <f>VLOOKUP($A556,'SurveyRpt_20150223 (1)'!$A$34:$AN$735,30,FALSE)</f>
        <v>Yes</v>
      </c>
      <c r="T556" s="16" t="str">
        <f>VLOOKUP($A556,'SurveyRpt_20150223 (1)'!$A$34:$AN$735,32,FALSE)</f>
        <v>Yes</v>
      </c>
      <c r="U556" s="16" t="str">
        <f>VLOOKUP($A556,'SurveyRpt_20150223 (1)'!$A$34:$AN$735,34,FALSE)</f>
        <v>Yes</v>
      </c>
      <c r="V556" s="16" t="str">
        <f>VLOOKUP($A556,'SurveyRpt_20150223 (1)'!$A$34:$AN$735,36,FALSE)</f>
        <v>Yes</v>
      </c>
      <c r="W556" s="16" t="str">
        <f>VLOOKUP($A556,'SurveyRpt_20150223 (1)'!$A$34:$AN$735,38,FALSE)</f>
        <v>Yes</v>
      </c>
    </row>
    <row r="557" spans="1:23" ht="13.5" customHeight="1" x14ac:dyDescent="0.25">
      <c r="A557" s="19" t="s">
        <v>650</v>
      </c>
      <c r="B557" s="19" t="str">
        <f t="shared" si="8"/>
        <v>PAGRAWAL21</v>
      </c>
      <c r="C557" s="16" t="str">
        <f>VLOOKUP(B557,'Compiled Agents'!A:H,2,FALSE)</f>
        <v>Platform</v>
      </c>
      <c r="D557" s="16" t="str">
        <f>VLOOKUP(B557,'Compiled Agents'!A:H,4,FALSE)</f>
        <v>Noida</v>
      </c>
      <c r="E557" s="16" t="str">
        <f>VLOOKUP(B557,'Compiled Agents'!A:H,5,FALSE)</f>
        <v>Wave2</v>
      </c>
      <c r="F557" s="16" t="str">
        <f>VLOOKUP(B557,'Compiled Agents'!A:H,6,FALSE)</f>
        <v>Orange</v>
      </c>
      <c r="G557" s="16">
        <f>VLOOKUP($A557,'SurveyRpt_20150223 (1)'!$A$34:$AN$735,6,FALSE)</f>
        <v>16</v>
      </c>
      <c r="H557" s="16" t="str">
        <f>VLOOKUP($A557,'SurveyRpt_20150223 (1)'!$A$34:$AN$735,8,FALSE)</f>
        <v>Yes</v>
      </c>
      <c r="I557" s="16" t="str">
        <f>VLOOKUP($A557,'SurveyRpt_20150223 (1)'!$A$34:$AN$735,10,FALSE)</f>
        <v>Yes</v>
      </c>
      <c r="J557" s="16" t="str">
        <f>VLOOKUP($A557,'SurveyRpt_20150223 (1)'!$A$34:$AN$735,12,FALSE)</f>
        <v>Yes</v>
      </c>
      <c r="K557" s="16" t="str">
        <f>VLOOKUP($A557,'SurveyRpt_20150223 (1)'!$A$34:$AN$735,14,FALSE)</f>
        <v>Yes</v>
      </c>
      <c r="L557" s="16" t="str">
        <f>VLOOKUP($A557,'SurveyRpt_20150223 (1)'!$A$34:$AN$735,16,FALSE)</f>
        <v>Yes</v>
      </c>
      <c r="M557" s="16" t="str">
        <f>VLOOKUP($A557,'SurveyRpt_20150223 (1)'!$A$34:$AN$735,18,FALSE)</f>
        <v>Yes</v>
      </c>
      <c r="N557" s="16" t="str">
        <f>VLOOKUP($A557,'SurveyRpt_20150223 (1)'!$A$34:$AN$735,20,FALSE)</f>
        <v>Yes</v>
      </c>
      <c r="O557" s="16" t="str">
        <f>VLOOKUP($A557,'SurveyRpt_20150223 (1)'!$A$34:$AN$735,22,FALSE)</f>
        <v>Yes</v>
      </c>
      <c r="P557" s="16" t="str">
        <f>VLOOKUP($A557,'SurveyRpt_20150223 (1)'!$A$34:$AN$735,24,FALSE)</f>
        <v>Yes</v>
      </c>
      <c r="Q557" s="16" t="str">
        <f>VLOOKUP($A557,'SurveyRpt_20150223 (1)'!$A$34:$AN$735,26,FALSE)</f>
        <v>Yes</v>
      </c>
      <c r="R557" s="16" t="str">
        <f>VLOOKUP($A557,'SurveyRpt_20150223 (1)'!$A$34:$AN$735,28,FALSE)</f>
        <v>Yes</v>
      </c>
      <c r="S557" s="16" t="str">
        <f>VLOOKUP($A557,'SurveyRpt_20150223 (1)'!$A$34:$AN$735,30,FALSE)</f>
        <v>Yes</v>
      </c>
      <c r="T557" s="16" t="str">
        <f>VLOOKUP($A557,'SurveyRpt_20150223 (1)'!$A$34:$AN$735,32,FALSE)</f>
        <v>Yes</v>
      </c>
      <c r="U557" s="16" t="str">
        <f>VLOOKUP($A557,'SurveyRpt_20150223 (1)'!$A$34:$AN$735,34,FALSE)</f>
        <v>Yes</v>
      </c>
      <c r="V557" s="16" t="str">
        <f>VLOOKUP($A557,'SurveyRpt_20150223 (1)'!$A$34:$AN$735,36,FALSE)</f>
        <v>Yes</v>
      </c>
      <c r="W557" s="16" t="str">
        <f>VLOOKUP($A557,'SurveyRpt_20150223 (1)'!$A$34:$AN$735,38,FALSE)</f>
        <v>Yes</v>
      </c>
    </row>
    <row r="558" spans="1:23" ht="13.5" customHeight="1" x14ac:dyDescent="0.25">
      <c r="A558" s="19" t="s">
        <v>651</v>
      </c>
      <c r="B558" s="19" t="str">
        <f t="shared" si="8"/>
        <v>atobolka</v>
      </c>
      <c r="C558" s="16" t="str">
        <f>VLOOKUP(B558,'Compiled Agents'!A:H,2,FALSE)</f>
        <v>Workplace</v>
      </c>
      <c r="D558" s="16" t="str">
        <f>VLOOKUP(B558,'Compiled Agents'!A:H,4,FALSE)</f>
        <v>Spain</v>
      </c>
      <c r="E558" s="16" t="str">
        <f>VLOOKUP(B558,'Compiled Agents'!A:H,5,FALSE)</f>
        <v>Wave1</v>
      </c>
      <c r="F558" s="16" t="str">
        <f>VLOOKUP(B558,'Compiled Agents'!A:H,6,FALSE)</f>
        <v>Yellow</v>
      </c>
      <c r="G558" s="16">
        <f>VLOOKUP($A558,'SurveyRpt_20150223 (1)'!$A$34:$AN$735,6,FALSE)</f>
        <v>15</v>
      </c>
      <c r="H558" s="16" t="str">
        <f>VLOOKUP($A558,'SurveyRpt_20150223 (1)'!$A$34:$AN$735,8,FALSE)</f>
        <v>Yes</v>
      </c>
      <c r="I558" s="16" t="str">
        <f>VLOOKUP($A558,'SurveyRpt_20150223 (1)'!$A$34:$AN$735,10,FALSE)</f>
        <v>Yes</v>
      </c>
      <c r="J558" s="16" t="str">
        <f>VLOOKUP($A558,'SurveyRpt_20150223 (1)'!$A$34:$AN$735,12,FALSE)</f>
        <v>Yes</v>
      </c>
      <c r="K558" s="16" t="str">
        <f>VLOOKUP($A558,'SurveyRpt_20150223 (1)'!$A$34:$AN$735,14,FALSE)</f>
        <v>Yes</v>
      </c>
      <c r="L558" s="16" t="str">
        <f>VLOOKUP($A558,'SurveyRpt_20150223 (1)'!$A$34:$AN$735,16,FALSE)</f>
        <v>Yes</v>
      </c>
      <c r="M558" s="16" t="str">
        <f>VLOOKUP($A558,'SurveyRpt_20150223 (1)'!$A$34:$AN$735,18,FALSE)</f>
        <v>Yes</v>
      </c>
      <c r="N558" s="16" t="str">
        <f>VLOOKUP($A558,'SurveyRpt_20150223 (1)'!$A$34:$AN$735,20,FALSE)</f>
        <v>Yes</v>
      </c>
      <c r="O558" s="16" t="str">
        <f>VLOOKUP($A558,'SurveyRpt_20150223 (1)'!$A$34:$AN$735,22,FALSE)</f>
        <v>Yes</v>
      </c>
      <c r="P558" s="16" t="str">
        <f>VLOOKUP($A558,'SurveyRpt_20150223 (1)'!$A$34:$AN$735,24,FALSE)</f>
        <v>Yes</v>
      </c>
      <c r="Q558" s="16" t="str">
        <f>VLOOKUP($A558,'SurveyRpt_20150223 (1)'!$A$34:$AN$735,26,FALSE)</f>
        <v>Yes</v>
      </c>
      <c r="R558" s="16" t="str">
        <f>VLOOKUP($A558,'SurveyRpt_20150223 (1)'!$A$34:$AN$735,28,FALSE)</f>
        <v>Yes</v>
      </c>
      <c r="S558" s="16" t="str">
        <f>VLOOKUP($A558,'SurveyRpt_20150223 (1)'!$A$34:$AN$735,30,FALSE)</f>
        <v>Yes</v>
      </c>
      <c r="T558" s="16" t="str">
        <f>VLOOKUP($A558,'SurveyRpt_20150223 (1)'!$A$34:$AN$735,32,FALSE)</f>
        <v>Yes</v>
      </c>
      <c r="U558" s="16" t="str">
        <f>VLOOKUP($A558,'SurveyRpt_20150223 (1)'!$A$34:$AN$735,34,FALSE)</f>
        <v>Yes</v>
      </c>
      <c r="V558" s="16" t="str">
        <f>VLOOKUP($A558,'SurveyRpt_20150223 (1)'!$A$34:$AN$735,36,FALSE)</f>
        <v>Yes</v>
      </c>
      <c r="W558" s="16" t="str">
        <f>VLOOKUP($A558,'SurveyRpt_20150223 (1)'!$A$34:$AN$735,38,FALSE)</f>
        <v>No</v>
      </c>
    </row>
    <row r="559" spans="1:23" ht="13.5" customHeight="1" x14ac:dyDescent="0.25">
      <c r="A559" s="19" t="s">
        <v>652</v>
      </c>
      <c r="B559" s="19" t="str">
        <f t="shared" si="8"/>
        <v>ZALAM2</v>
      </c>
      <c r="C559" s="16" t="str">
        <f>VLOOKUP(B559,'Compiled Agents'!A:H,2,FALSE)</f>
        <v>Platform</v>
      </c>
      <c r="D559" s="16" t="str">
        <f>VLOOKUP(B559,'Compiled Agents'!A:H,4,FALSE)</f>
        <v>Noida</v>
      </c>
      <c r="E559" s="16" t="str">
        <f>VLOOKUP(B559,'Compiled Agents'!A:H,5,FALSE)</f>
        <v>Wave2</v>
      </c>
      <c r="F559" s="16" t="str">
        <f>VLOOKUP(B559,'Compiled Agents'!A:H,6,FALSE)</f>
        <v>Blue</v>
      </c>
      <c r="G559" s="16">
        <f>VLOOKUP($A559,'SurveyRpt_20150223 (1)'!$A$34:$AN$735,6,FALSE)</f>
        <v>16</v>
      </c>
      <c r="H559" s="16" t="str">
        <f>VLOOKUP($A559,'SurveyRpt_20150223 (1)'!$A$34:$AN$735,8,FALSE)</f>
        <v>Yes</v>
      </c>
      <c r="I559" s="16" t="str">
        <f>VLOOKUP($A559,'SurveyRpt_20150223 (1)'!$A$34:$AN$735,10,FALSE)</f>
        <v>Yes</v>
      </c>
      <c r="J559" s="16" t="str">
        <f>VLOOKUP($A559,'SurveyRpt_20150223 (1)'!$A$34:$AN$735,12,FALSE)</f>
        <v>Yes</v>
      </c>
      <c r="K559" s="16" t="str">
        <f>VLOOKUP($A559,'SurveyRpt_20150223 (1)'!$A$34:$AN$735,14,FALSE)</f>
        <v>Yes</v>
      </c>
      <c r="L559" s="16" t="str">
        <f>VLOOKUP($A559,'SurveyRpt_20150223 (1)'!$A$34:$AN$735,16,FALSE)</f>
        <v>Yes</v>
      </c>
      <c r="M559" s="16" t="str">
        <f>VLOOKUP($A559,'SurveyRpt_20150223 (1)'!$A$34:$AN$735,18,FALSE)</f>
        <v>Yes</v>
      </c>
      <c r="N559" s="16" t="str">
        <f>VLOOKUP($A559,'SurveyRpt_20150223 (1)'!$A$34:$AN$735,20,FALSE)</f>
        <v>Yes</v>
      </c>
      <c r="O559" s="16" t="str">
        <f>VLOOKUP($A559,'SurveyRpt_20150223 (1)'!$A$34:$AN$735,22,FALSE)</f>
        <v>Yes</v>
      </c>
      <c r="P559" s="16" t="str">
        <f>VLOOKUP($A559,'SurveyRpt_20150223 (1)'!$A$34:$AN$735,24,FALSE)</f>
        <v>Yes</v>
      </c>
      <c r="Q559" s="16" t="str">
        <f>VLOOKUP($A559,'SurveyRpt_20150223 (1)'!$A$34:$AN$735,26,FALSE)</f>
        <v>Yes</v>
      </c>
      <c r="R559" s="16" t="str">
        <f>VLOOKUP($A559,'SurveyRpt_20150223 (1)'!$A$34:$AN$735,28,FALSE)</f>
        <v>Yes</v>
      </c>
      <c r="S559" s="16" t="str">
        <f>VLOOKUP($A559,'SurveyRpt_20150223 (1)'!$A$34:$AN$735,30,FALSE)</f>
        <v>Yes</v>
      </c>
      <c r="T559" s="16" t="str">
        <f>VLOOKUP($A559,'SurveyRpt_20150223 (1)'!$A$34:$AN$735,32,FALSE)</f>
        <v>Yes</v>
      </c>
      <c r="U559" s="16" t="str">
        <f>VLOOKUP($A559,'SurveyRpt_20150223 (1)'!$A$34:$AN$735,34,FALSE)</f>
        <v>Yes</v>
      </c>
      <c r="V559" s="16" t="str">
        <f>VLOOKUP($A559,'SurveyRpt_20150223 (1)'!$A$34:$AN$735,36,FALSE)</f>
        <v>Yes</v>
      </c>
      <c r="W559" s="16" t="str">
        <f>VLOOKUP($A559,'SurveyRpt_20150223 (1)'!$A$34:$AN$735,38,FALSE)</f>
        <v>Yes</v>
      </c>
    </row>
    <row r="560" spans="1:23" ht="13.5" customHeight="1" x14ac:dyDescent="0.25">
      <c r="A560" s="19" t="s">
        <v>653</v>
      </c>
      <c r="B560" s="19" t="str">
        <f t="shared" si="8"/>
        <v>ASHARMA354</v>
      </c>
      <c r="C560" s="16" t="str">
        <f>VLOOKUP(B560,'Compiled Agents'!A:H,2,FALSE)</f>
        <v>Workplace</v>
      </c>
      <c r="D560" s="16" t="str">
        <f>VLOOKUP(B560,'Compiled Agents'!A:H,4,FALSE)</f>
        <v>Noida</v>
      </c>
      <c r="E560" s="16" t="str">
        <f>VLOOKUP(B560,'Compiled Agents'!A:H,5,FALSE)</f>
        <v>Wave2</v>
      </c>
      <c r="F560" s="16" t="str">
        <f>VLOOKUP(B560,'Compiled Agents'!A:H,6,FALSE)</f>
        <v>Yellow</v>
      </c>
      <c r="G560" s="16">
        <f>VLOOKUP($A560,'SurveyRpt_20150223 (1)'!$A$34:$AN$735,6,FALSE)</f>
        <v>16</v>
      </c>
      <c r="H560" s="16" t="str">
        <f>VLOOKUP($A560,'SurveyRpt_20150223 (1)'!$A$34:$AN$735,8,FALSE)</f>
        <v>Yes</v>
      </c>
      <c r="I560" s="16" t="str">
        <f>VLOOKUP($A560,'SurveyRpt_20150223 (1)'!$A$34:$AN$735,10,FALSE)</f>
        <v>Yes</v>
      </c>
      <c r="J560" s="16" t="str">
        <f>VLOOKUP($A560,'SurveyRpt_20150223 (1)'!$A$34:$AN$735,12,FALSE)</f>
        <v>Yes</v>
      </c>
      <c r="K560" s="16" t="str">
        <f>VLOOKUP($A560,'SurveyRpt_20150223 (1)'!$A$34:$AN$735,14,FALSE)</f>
        <v>Yes</v>
      </c>
      <c r="L560" s="16" t="str">
        <f>VLOOKUP($A560,'SurveyRpt_20150223 (1)'!$A$34:$AN$735,16,FALSE)</f>
        <v>Yes</v>
      </c>
      <c r="M560" s="16" t="str">
        <f>VLOOKUP($A560,'SurveyRpt_20150223 (1)'!$A$34:$AN$735,18,FALSE)</f>
        <v>Yes</v>
      </c>
      <c r="N560" s="16" t="str">
        <f>VLOOKUP($A560,'SurveyRpt_20150223 (1)'!$A$34:$AN$735,20,FALSE)</f>
        <v>Yes</v>
      </c>
      <c r="O560" s="16" t="str">
        <f>VLOOKUP($A560,'SurveyRpt_20150223 (1)'!$A$34:$AN$735,22,FALSE)</f>
        <v>Yes</v>
      </c>
      <c r="P560" s="16" t="str">
        <f>VLOOKUP($A560,'SurveyRpt_20150223 (1)'!$A$34:$AN$735,24,FALSE)</f>
        <v>Yes</v>
      </c>
      <c r="Q560" s="16" t="str">
        <f>VLOOKUP($A560,'SurveyRpt_20150223 (1)'!$A$34:$AN$735,26,FALSE)</f>
        <v>Yes</v>
      </c>
      <c r="R560" s="16" t="str">
        <f>VLOOKUP($A560,'SurveyRpt_20150223 (1)'!$A$34:$AN$735,28,FALSE)</f>
        <v>Yes</v>
      </c>
      <c r="S560" s="16" t="str">
        <f>VLOOKUP($A560,'SurveyRpt_20150223 (1)'!$A$34:$AN$735,30,FALSE)</f>
        <v>Yes</v>
      </c>
      <c r="T560" s="16" t="str">
        <f>VLOOKUP($A560,'SurveyRpt_20150223 (1)'!$A$34:$AN$735,32,FALSE)</f>
        <v>Yes</v>
      </c>
      <c r="U560" s="16" t="str">
        <f>VLOOKUP($A560,'SurveyRpt_20150223 (1)'!$A$34:$AN$735,34,FALSE)</f>
        <v>Yes</v>
      </c>
      <c r="V560" s="16" t="str">
        <f>VLOOKUP($A560,'SurveyRpt_20150223 (1)'!$A$34:$AN$735,36,FALSE)</f>
        <v>Yes</v>
      </c>
      <c r="W560" s="16" t="str">
        <f>VLOOKUP($A560,'SurveyRpt_20150223 (1)'!$A$34:$AN$735,38,FALSE)</f>
        <v>Yes</v>
      </c>
    </row>
    <row r="561" spans="1:23" ht="13.5" customHeight="1" x14ac:dyDescent="0.25">
      <c r="A561" s="19" t="s">
        <v>654</v>
      </c>
      <c r="B561" s="19" t="str">
        <f t="shared" si="8"/>
        <v>RANTONYSAMY</v>
      </c>
      <c r="C561" s="16" t="str">
        <f>VLOOKUP(B561,'Compiled Agents'!A:H,2,FALSE)</f>
        <v>Workplace</v>
      </c>
      <c r="D561" s="16" t="str">
        <f>VLOOKUP(B561,'Compiled Agents'!A:H,4,FALSE)</f>
        <v>Noida</v>
      </c>
      <c r="E561" s="16" t="str">
        <f>VLOOKUP(B561,'Compiled Agents'!A:H,5,FALSE)</f>
        <v>Wave2</v>
      </c>
      <c r="F561" s="16" t="str">
        <f>VLOOKUP(B561,'Compiled Agents'!A:H,6,FALSE)</f>
        <v>Yellow</v>
      </c>
      <c r="G561" s="16">
        <f>VLOOKUP($A561,'SurveyRpt_20150223 (1)'!$A$34:$AN$735,6,FALSE)</f>
        <v>16</v>
      </c>
      <c r="H561" s="16" t="str">
        <f>VLOOKUP($A561,'SurveyRpt_20150223 (1)'!$A$34:$AN$735,8,FALSE)</f>
        <v>Yes</v>
      </c>
      <c r="I561" s="16" t="str">
        <f>VLOOKUP($A561,'SurveyRpt_20150223 (1)'!$A$34:$AN$735,10,FALSE)</f>
        <v>Yes</v>
      </c>
      <c r="J561" s="16" t="str">
        <f>VLOOKUP($A561,'SurveyRpt_20150223 (1)'!$A$34:$AN$735,12,FALSE)</f>
        <v>Yes</v>
      </c>
      <c r="K561" s="16" t="str">
        <f>VLOOKUP($A561,'SurveyRpt_20150223 (1)'!$A$34:$AN$735,14,FALSE)</f>
        <v>Yes</v>
      </c>
      <c r="L561" s="16" t="str">
        <f>VLOOKUP($A561,'SurveyRpt_20150223 (1)'!$A$34:$AN$735,16,FALSE)</f>
        <v>Yes</v>
      </c>
      <c r="M561" s="16" t="str">
        <f>VLOOKUP($A561,'SurveyRpt_20150223 (1)'!$A$34:$AN$735,18,FALSE)</f>
        <v>Yes</v>
      </c>
      <c r="N561" s="16" t="str">
        <f>VLOOKUP($A561,'SurveyRpt_20150223 (1)'!$A$34:$AN$735,20,FALSE)</f>
        <v>Yes</v>
      </c>
      <c r="O561" s="16" t="str">
        <f>VLOOKUP($A561,'SurveyRpt_20150223 (1)'!$A$34:$AN$735,22,FALSE)</f>
        <v>Yes</v>
      </c>
      <c r="P561" s="16" t="str">
        <f>VLOOKUP($A561,'SurveyRpt_20150223 (1)'!$A$34:$AN$735,24,FALSE)</f>
        <v>Yes</v>
      </c>
      <c r="Q561" s="16" t="str">
        <f>VLOOKUP($A561,'SurveyRpt_20150223 (1)'!$A$34:$AN$735,26,FALSE)</f>
        <v>Yes</v>
      </c>
      <c r="R561" s="16" t="str">
        <f>VLOOKUP($A561,'SurveyRpt_20150223 (1)'!$A$34:$AN$735,28,FALSE)</f>
        <v>Yes</v>
      </c>
      <c r="S561" s="16" t="str">
        <f>VLOOKUP($A561,'SurveyRpt_20150223 (1)'!$A$34:$AN$735,30,FALSE)</f>
        <v>Yes</v>
      </c>
      <c r="T561" s="16" t="str">
        <f>VLOOKUP($A561,'SurveyRpt_20150223 (1)'!$A$34:$AN$735,32,FALSE)</f>
        <v>Yes</v>
      </c>
      <c r="U561" s="16" t="str">
        <f>VLOOKUP($A561,'SurveyRpt_20150223 (1)'!$A$34:$AN$735,34,FALSE)</f>
        <v>Yes</v>
      </c>
      <c r="V561" s="16" t="str">
        <f>VLOOKUP($A561,'SurveyRpt_20150223 (1)'!$A$34:$AN$735,36,FALSE)</f>
        <v>Yes</v>
      </c>
      <c r="W561" s="16" t="str">
        <f>VLOOKUP($A561,'SurveyRpt_20150223 (1)'!$A$34:$AN$735,38,FALSE)</f>
        <v>Yes</v>
      </c>
    </row>
    <row r="562" spans="1:23" ht="13.5" customHeight="1" x14ac:dyDescent="0.25">
      <c r="A562" s="19" t="s">
        <v>655</v>
      </c>
      <c r="B562" s="19" t="str">
        <f t="shared" si="8"/>
        <v>SKUMAR254</v>
      </c>
      <c r="C562" s="16" t="str">
        <f>VLOOKUP(B562,'Compiled Agents'!A:H,2,FALSE)</f>
        <v>Workplace</v>
      </c>
      <c r="D562" s="16" t="str">
        <f>VLOOKUP(B562,'Compiled Agents'!A:H,4,FALSE)</f>
        <v>Hyderabad</v>
      </c>
      <c r="E562" s="16" t="str">
        <f>VLOOKUP(B562,'Compiled Agents'!A:H,5,FALSE)</f>
        <v>Wave2</v>
      </c>
      <c r="F562" s="16" t="str">
        <f>VLOOKUP(B562,'Compiled Agents'!A:H,6,FALSE)</f>
        <v>Purple</v>
      </c>
      <c r="G562" s="16">
        <f>VLOOKUP($A562,'SurveyRpt_20150223 (1)'!$A$34:$AN$735,6,FALSE)</f>
        <v>16</v>
      </c>
      <c r="H562" s="16" t="str">
        <f>VLOOKUP($A562,'SurveyRpt_20150223 (1)'!$A$34:$AN$735,8,FALSE)</f>
        <v>Yes</v>
      </c>
      <c r="I562" s="16" t="str">
        <f>VLOOKUP($A562,'SurveyRpt_20150223 (1)'!$A$34:$AN$735,10,FALSE)</f>
        <v>Yes</v>
      </c>
      <c r="J562" s="16" t="str">
        <f>VLOOKUP($A562,'SurveyRpt_20150223 (1)'!$A$34:$AN$735,12,FALSE)</f>
        <v>Yes</v>
      </c>
      <c r="K562" s="16" t="str">
        <f>VLOOKUP($A562,'SurveyRpt_20150223 (1)'!$A$34:$AN$735,14,FALSE)</f>
        <v>Yes</v>
      </c>
      <c r="L562" s="16" t="str">
        <f>VLOOKUP($A562,'SurveyRpt_20150223 (1)'!$A$34:$AN$735,16,FALSE)</f>
        <v>Yes</v>
      </c>
      <c r="M562" s="16" t="str">
        <f>VLOOKUP($A562,'SurveyRpt_20150223 (1)'!$A$34:$AN$735,18,FALSE)</f>
        <v>Yes</v>
      </c>
      <c r="N562" s="16" t="str">
        <f>VLOOKUP($A562,'SurveyRpt_20150223 (1)'!$A$34:$AN$735,20,FALSE)</f>
        <v>Yes</v>
      </c>
      <c r="O562" s="16" t="str">
        <f>VLOOKUP($A562,'SurveyRpt_20150223 (1)'!$A$34:$AN$735,22,FALSE)</f>
        <v>Yes</v>
      </c>
      <c r="P562" s="16" t="str">
        <f>VLOOKUP($A562,'SurveyRpt_20150223 (1)'!$A$34:$AN$735,24,FALSE)</f>
        <v>Yes</v>
      </c>
      <c r="Q562" s="16" t="str">
        <f>VLOOKUP($A562,'SurveyRpt_20150223 (1)'!$A$34:$AN$735,26,FALSE)</f>
        <v>Yes</v>
      </c>
      <c r="R562" s="16" t="str">
        <f>VLOOKUP($A562,'SurveyRpt_20150223 (1)'!$A$34:$AN$735,28,FALSE)</f>
        <v>Yes</v>
      </c>
      <c r="S562" s="16" t="str">
        <f>VLOOKUP($A562,'SurveyRpt_20150223 (1)'!$A$34:$AN$735,30,FALSE)</f>
        <v>Yes</v>
      </c>
      <c r="T562" s="16" t="str">
        <f>VLOOKUP($A562,'SurveyRpt_20150223 (1)'!$A$34:$AN$735,32,FALSE)</f>
        <v>Yes</v>
      </c>
      <c r="U562" s="16" t="str">
        <f>VLOOKUP($A562,'SurveyRpt_20150223 (1)'!$A$34:$AN$735,34,FALSE)</f>
        <v>Yes</v>
      </c>
      <c r="V562" s="16" t="str">
        <f>VLOOKUP($A562,'SurveyRpt_20150223 (1)'!$A$34:$AN$735,36,FALSE)</f>
        <v>Yes</v>
      </c>
      <c r="W562" s="16" t="str">
        <f>VLOOKUP($A562,'SurveyRpt_20150223 (1)'!$A$34:$AN$735,38,FALSE)</f>
        <v>Yes</v>
      </c>
    </row>
    <row r="563" spans="1:23" ht="13.5" customHeight="1" x14ac:dyDescent="0.25">
      <c r="A563" s="19" t="s">
        <v>656</v>
      </c>
      <c r="B563" s="19" t="str">
        <f t="shared" si="8"/>
        <v>BPALANIAPPAN</v>
      </c>
      <c r="C563" s="16" t="str">
        <f>VLOOKUP(B563,'Compiled Agents'!A:H,2,FALSE)</f>
        <v>Platform</v>
      </c>
      <c r="D563" s="16" t="str">
        <f>VLOOKUP(B563,'Compiled Agents'!A:H,4,FALSE)</f>
        <v>Noida</v>
      </c>
      <c r="E563" s="16" t="str">
        <f>VLOOKUP(B563,'Compiled Agents'!A:H,5,FALSE)</f>
        <v>Wave2</v>
      </c>
      <c r="F563" s="16" t="str">
        <f>VLOOKUP(B563,'Compiled Agents'!A:H,6,FALSE)</f>
        <v>Yellow</v>
      </c>
      <c r="G563" s="16">
        <f>VLOOKUP($A563,'SurveyRpt_20150223 (1)'!$A$34:$AN$735,6,FALSE)</f>
        <v>1</v>
      </c>
      <c r="H563" s="16" t="str">
        <f>VLOOKUP($A563,'SurveyRpt_20150223 (1)'!$A$34:$AN$735,8,FALSE)</f>
        <v>No</v>
      </c>
      <c r="I563" s="16" t="str">
        <f>VLOOKUP($A563,'SurveyRpt_20150223 (1)'!$A$34:$AN$735,10,FALSE)</f>
        <v>No</v>
      </c>
      <c r="J563" s="16" t="str">
        <f>VLOOKUP($A563,'SurveyRpt_20150223 (1)'!$A$34:$AN$735,12,FALSE)</f>
        <v>No</v>
      </c>
      <c r="K563" s="16" t="str">
        <f>VLOOKUP($A563,'SurveyRpt_20150223 (1)'!$A$34:$AN$735,14,FALSE)</f>
        <v>No</v>
      </c>
      <c r="L563" s="16" t="str">
        <f>VLOOKUP($A563,'SurveyRpt_20150223 (1)'!$A$34:$AN$735,16,FALSE)</f>
        <v>No</v>
      </c>
      <c r="M563" s="16" t="str">
        <f>VLOOKUP($A563,'SurveyRpt_20150223 (1)'!$A$34:$AN$735,18,FALSE)</f>
        <v>No</v>
      </c>
      <c r="N563" s="16" t="str">
        <f>VLOOKUP($A563,'SurveyRpt_20150223 (1)'!$A$34:$AN$735,20,FALSE)</f>
        <v>No</v>
      </c>
      <c r="O563" s="16" t="str">
        <f>VLOOKUP($A563,'SurveyRpt_20150223 (1)'!$A$34:$AN$735,22,FALSE)</f>
        <v>No</v>
      </c>
      <c r="P563" s="16" t="str">
        <f>VLOOKUP($A563,'SurveyRpt_20150223 (1)'!$A$34:$AN$735,24,FALSE)</f>
        <v>No</v>
      </c>
      <c r="Q563" s="16" t="str">
        <f>VLOOKUP($A563,'SurveyRpt_20150223 (1)'!$A$34:$AN$735,26,FALSE)</f>
        <v>No</v>
      </c>
      <c r="R563" s="16" t="str">
        <f>VLOOKUP($A563,'SurveyRpt_20150223 (1)'!$A$34:$AN$735,28,FALSE)</f>
        <v>No</v>
      </c>
      <c r="S563" s="16" t="str">
        <f>VLOOKUP($A563,'SurveyRpt_20150223 (1)'!$A$34:$AN$735,30,FALSE)</f>
        <v>Yes</v>
      </c>
      <c r="T563" s="16" t="str">
        <f>VLOOKUP($A563,'SurveyRpt_20150223 (1)'!$A$34:$AN$735,32,FALSE)</f>
        <v>No</v>
      </c>
      <c r="U563" s="16" t="str">
        <f>VLOOKUP($A563,'SurveyRpt_20150223 (1)'!$A$34:$AN$735,34,FALSE)</f>
        <v>No</v>
      </c>
      <c r="V563" s="16" t="str">
        <f>VLOOKUP($A563,'SurveyRpt_20150223 (1)'!$A$34:$AN$735,36,FALSE)</f>
        <v>No</v>
      </c>
      <c r="W563" s="16" t="str">
        <f>VLOOKUP($A563,'SurveyRpt_20150223 (1)'!$A$34:$AN$735,38,FALSE)</f>
        <v>No</v>
      </c>
    </row>
    <row r="564" spans="1:23" ht="13.5" customHeight="1" x14ac:dyDescent="0.25">
      <c r="A564" s="19" t="s">
        <v>657</v>
      </c>
      <c r="B564" s="19" t="str">
        <f t="shared" si="8"/>
        <v>PVERMA21</v>
      </c>
      <c r="C564" s="16" t="str">
        <f>VLOOKUP(B564,'Compiled Agents'!A:H,2,FALSE)</f>
        <v>Platform</v>
      </c>
      <c r="D564" s="16" t="str">
        <f>VLOOKUP(B564,'Compiled Agents'!A:H,4,FALSE)</f>
        <v>Noida</v>
      </c>
      <c r="E564" s="16" t="str">
        <f>VLOOKUP(B564,'Compiled Agents'!A:H,5,FALSE)</f>
        <v>Wave1</v>
      </c>
      <c r="F564" s="16" t="str">
        <f>VLOOKUP(B564,'Compiled Agents'!A:H,6,FALSE)</f>
        <v>Yellow</v>
      </c>
      <c r="G564" s="16">
        <f>VLOOKUP($A564,'SurveyRpt_20150223 (1)'!$A$34:$AN$735,6,FALSE)</f>
        <v>16</v>
      </c>
      <c r="H564" s="16" t="str">
        <f>VLOOKUP($A564,'SurveyRpt_20150223 (1)'!$A$34:$AN$735,8,FALSE)</f>
        <v>Yes</v>
      </c>
      <c r="I564" s="16" t="str">
        <f>VLOOKUP($A564,'SurveyRpt_20150223 (1)'!$A$34:$AN$735,10,FALSE)</f>
        <v>Yes</v>
      </c>
      <c r="J564" s="16" t="str">
        <f>VLOOKUP($A564,'SurveyRpt_20150223 (1)'!$A$34:$AN$735,12,FALSE)</f>
        <v>Yes</v>
      </c>
      <c r="K564" s="16" t="str">
        <f>VLOOKUP($A564,'SurveyRpt_20150223 (1)'!$A$34:$AN$735,14,FALSE)</f>
        <v>Yes</v>
      </c>
      <c r="L564" s="16" t="str">
        <f>VLOOKUP($A564,'SurveyRpt_20150223 (1)'!$A$34:$AN$735,16,FALSE)</f>
        <v>Yes</v>
      </c>
      <c r="M564" s="16" t="str">
        <f>VLOOKUP($A564,'SurveyRpt_20150223 (1)'!$A$34:$AN$735,18,FALSE)</f>
        <v>Yes</v>
      </c>
      <c r="N564" s="16" t="str">
        <f>VLOOKUP($A564,'SurveyRpt_20150223 (1)'!$A$34:$AN$735,20,FALSE)</f>
        <v>Yes</v>
      </c>
      <c r="O564" s="16" t="str">
        <f>VLOOKUP($A564,'SurveyRpt_20150223 (1)'!$A$34:$AN$735,22,FALSE)</f>
        <v>Yes</v>
      </c>
      <c r="P564" s="16" t="str">
        <f>VLOOKUP($A564,'SurveyRpt_20150223 (1)'!$A$34:$AN$735,24,FALSE)</f>
        <v>Yes</v>
      </c>
      <c r="Q564" s="16" t="str">
        <f>VLOOKUP($A564,'SurveyRpt_20150223 (1)'!$A$34:$AN$735,26,FALSE)</f>
        <v>Yes</v>
      </c>
      <c r="R564" s="16" t="str">
        <f>VLOOKUP($A564,'SurveyRpt_20150223 (1)'!$A$34:$AN$735,28,FALSE)</f>
        <v>Yes</v>
      </c>
      <c r="S564" s="16" t="str">
        <f>VLOOKUP($A564,'SurveyRpt_20150223 (1)'!$A$34:$AN$735,30,FALSE)</f>
        <v>Yes</v>
      </c>
      <c r="T564" s="16" t="str">
        <f>VLOOKUP($A564,'SurveyRpt_20150223 (1)'!$A$34:$AN$735,32,FALSE)</f>
        <v>Yes</v>
      </c>
      <c r="U564" s="16" t="str">
        <f>VLOOKUP($A564,'SurveyRpt_20150223 (1)'!$A$34:$AN$735,34,FALSE)</f>
        <v>Yes</v>
      </c>
      <c r="V564" s="16" t="str">
        <f>VLOOKUP($A564,'SurveyRpt_20150223 (1)'!$A$34:$AN$735,36,FALSE)</f>
        <v>Yes</v>
      </c>
      <c r="W564" s="16" t="str">
        <f>VLOOKUP($A564,'SurveyRpt_20150223 (1)'!$A$34:$AN$735,38,FALSE)</f>
        <v>Yes</v>
      </c>
    </row>
    <row r="565" spans="1:23" ht="13.5" customHeight="1" x14ac:dyDescent="0.25">
      <c r="A565" s="19" t="s">
        <v>658</v>
      </c>
      <c r="B565" s="19" t="str">
        <f t="shared" si="8"/>
        <v>MJHA5</v>
      </c>
      <c r="C565" s="16" t="str">
        <f>VLOOKUP(B565,'Compiled Agents'!A:H,2,FALSE)</f>
        <v>Workplace</v>
      </c>
      <c r="D565" s="16" t="str">
        <f>VLOOKUP(B565,'Compiled Agents'!A:H,4,FALSE)</f>
        <v>Noida</v>
      </c>
      <c r="E565" s="16" t="str">
        <f>VLOOKUP(B565,'Compiled Agents'!A:H,5,FALSE)</f>
        <v>Wave2</v>
      </c>
      <c r="F565" s="16" t="str">
        <f>VLOOKUP(B565,'Compiled Agents'!A:H,6,FALSE)</f>
        <v>Yellow</v>
      </c>
      <c r="G565" s="16">
        <f>VLOOKUP($A565,'SurveyRpt_20150223 (1)'!$A$34:$AN$735,6,FALSE)</f>
        <v>7</v>
      </c>
      <c r="H565" s="16" t="str">
        <f>VLOOKUP($A565,'SurveyRpt_20150223 (1)'!$A$34:$AN$735,8,FALSE)</f>
        <v>No</v>
      </c>
      <c r="I565" s="16" t="str">
        <f>VLOOKUP($A565,'SurveyRpt_20150223 (1)'!$A$34:$AN$735,10,FALSE)</f>
        <v>Yes</v>
      </c>
      <c r="J565" s="16" t="str">
        <f>VLOOKUP($A565,'SurveyRpt_20150223 (1)'!$A$34:$AN$735,12,FALSE)</f>
        <v>No</v>
      </c>
      <c r="K565" s="16" t="str">
        <f>VLOOKUP($A565,'SurveyRpt_20150223 (1)'!$A$34:$AN$735,14,FALSE)</f>
        <v>No</v>
      </c>
      <c r="L565" s="16" t="str">
        <f>VLOOKUP($A565,'SurveyRpt_20150223 (1)'!$A$34:$AN$735,16,FALSE)</f>
        <v>No</v>
      </c>
      <c r="M565" s="16" t="str">
        <f>VLOOKUP($A565,'SurveyRpt_20150223 (1)'!$A$34:$AN$735,18,FALSE)</f>
        <v>No</v>
      </c>
      <c r="N565" s="16" t="str">
        <f>VLOOKUP($A565,'SurveyRpt_20150223 (1)'!$A$34:$AN$735,20,FALSE)</f>
        <v>No</v>
      </c>
      <c r="O565" s="16" t="str">
        <f>VLOOKUP($A565,'SurveyRpt_20150223 (1)'!$A$34:$AN$735,22,FALSE)</f>
        <v>No</v>
      </c>
      <c r="P565" s="16" t="str">
        <f>VLOOKUP($A565,'SurveyRpt_20150223 (1)'!$A$34:$AN$735,24,FALSE)</f>
        <v>Yes</v>
      </c>
      <c r="Q565" s="16" t="str">
        <f>VLOOKUP($A565,'SurveyRpt_20150223 (1)'!$A$34:$AN$735,26,FALSE)</f>
        <v>Yes</v>
      </c>
      <c r="R565" s="16" t="str">
        <f>VLOOKUP($A565,'SurveyRpt_20150223 (1)'!$A$34:$AN$735,28,FALSE)</f>
        <v>Yes</v>
      </c>
      <c r="S565" s="16" t="str">
        <f>VLOOKUP($A565,'SurveyRpt_20150223 (1)'!$A$34:$AN$735,30,FALSE)</f>
        <v>Yes</v>
      </c>
      <c r="T565" s="16" t="str">
        <f>VLOOKUP($A565,'SurveyRpt_20150223 (1)'!$A$34:$AN$735,32,FALSE)</f>
        <v>Yes</v>
      </c>
      <c r="U565" s="16" t="str">
        <f>VLOOKUP($A565,'SurveyRpt_20150223 (1)'!$A$34:$AN$735,34,FALSE)</f>
        <v>No</v>
      </c>
      <c r="V565" s="16" t="str">
        <f>VLOOKUP($A565,'SurveyRpt_20150223 (1)'!$A$34:$AN$735,36,FALSE)</f>
        <v>No</v>
      </c>
      <c r="W565" s="16" t="str">
        <f>VLOOKUP($A565,'SurveyRpt_20150223 (1)'!$A$34:$AN$735,38,FALSE)</f>
        <v>Yes</v>
      </c>
    </row>
    <row r="566" spans="1:23" ht="13.5" customHeight="1" x14ac:dyDescent="0.25">
      <c r="A566" s="19" t="s">
        <v>659</v>
      </c>
      <c r="B566" s="19" t="str">
        <f t="shared" si="8"/>
        <v>VDUBEY4</v>
      </c>
      <c r="C566" s="16" t="str">
        <f>VLOOKUP(B566,'Compiled Agents'!A:H,2,FALSE)</f>
        <v>Platform</v>
      </c>
      <c r="D566" s="16" t="str">
        <f>VLOOKUP(B566,'Compiled Agents'!A:H,4,FALSE)</f>
        <v>Noida</v>
      </c>
      <c r="E566" s="16" t="str">
        <f>VLOOKUP(B566,'Compiled Agents'!A:H,5,FALSE)</f>
        <v>Wave1</v>
      </c>
      <c r="F566" s="16" t="str">
        <f>VLOOKUP(B566,'Compiled Agents'!A:H,6,FALSE)</f>
        <v>Yellow</v>
      </c>
      <c r="G566" s="16">
        <f>VLOOKUP($A566,'SurveyRpt_20150223 (1)'!$A$34:$AN$735,6,FALSE)</f>
        <v>16</v>
      </c>
      <c r="H566" s="16" t="str">
        <f>VLOOKUP($A566,'SurveyRpt_20150223 (1)'!$A$34:$AN$735,8,FALSE)</f>
        <v>Yes</v>
      </c>
      <c r="I566" s="16" t="str">
        <f>VLOOKUP($A566,'SurveyRpt_20150223 (1)'!$A$34:$AN$735,10,FALSE)</f>
        <v>Yes</v>
      </c>
      <c r="J566" s="16" t="str">
        <f>VLOOKUP($A566,'SurveyRpt_20150223 (1)'!$A$34:$AN$735,12,FALSE)</f>
        <v>Yes</v>
      </c>
      <c r="K566" s="16" t="str">
        <f>VLOOKUP($A566,'SurveyRpt_20150223 (1)'!$A$34:$AN$735,14,FALSE)</f>
        <v>Yes</v>
      </c>
      <c r="L566" s="16" t="str">
        <f>VLOOKUP($A566,'SurveyRpt_20150223 (1)'!$A$34:$AN$735,16,FALSE)</f>
        <v>Yes</v>
      </c>
      <c r="M566" s="16" t="str">
        <f>VLOOKUP($A566,'SurveyRpt_20150223 (1)'!$A$34:$AN$735,18,FALSE)</f>
        <v>Yes</v>
      </c>
      <c r="N566" s="16" t="str">
        <f>VLOOKUP($A566,'SurveyRpt_20150223 (1)'!$A$34:$AN$735,20,FALSE)</f>
        <v>Yes</v>
      </c>
      <c r="O566" s="16" t="str">
        <f>VLOOKUP($A566,'SurveyRpt_20150223 (1)'!$A$34:$AN$735,22,FALSE)</f>
        <v>Yes</v>
      </c>
      <c r="P566" s="16" t="str">
        <f>VLOOKUP($A566,'SurveyRpt_20150223 (1)'!$A$34:$AN$735,24,FALSE)</f>
        <v>Yes</v>
      </c>
      <c r="Q566" s="16" t="str">
        <f>VLOOKUP($A566,'SurveyRpt_20150223 (1)'!$A$34:$AN$735,26,FALSE)</f>
        <v>Yes</v>
      </c>
      <c r="R566" s="16" t="str">
        <f>VLOOKUP($A566,'SurveyRpt_20150223 (1)'!$A$34:$AN$735,28,FALSE)</f>
        <v>Yes</v>
      </c>
      <c r="S566" s="16" t="str">
        <f>VLOOKUP($A566,'SurveyRpt_20150223 (1)'!$A$34:$AN$735,30,FALSE)</f>
        <v>Yes</v>
      </c>
      <c r="T566" s="16" t="str">
        <f>VLOOKUP($A566,'SurveyRpt_20150223 (1)'!$A$34:$AN$735,32,FALSE)</f>
        <v>Yes</v>
      </c>
      <c r="U566" s="16" t="str">
        <f>VLOOKUP($A566,'SurveyRpt_20150223 (1)'!$A$34:$AN$735,34,FALSE)</f>
        <v>Yes</v>
      </c>
      <c r="V566" s="16" t="str">
        <f>VLOOKUP($A566,'SurveyRpt_20150223 (1)'!$A$34:$AN$735,36,FALSE)</f>
        <v>Yes</v>
      </c>
      <c r="W566" s="16" t="str">
        <f>VLOOKUP($A566,'SurveyRpt_20150223 (1)'!$A$34:$AN$735,38,FALSE)</f>
        <v>Yes</v>
      </c>
    </row>
    <row r="567" spans="1:23" ht="13.5" customHeight="1" x14ac:dyDescent="0.25">
      <c r="A567" s="19" t="s">
        <v>660</v>
      </c>
      <c r="B567" s="19" t="str">
        <f t="shared" si="8"/>
        <v>HKUMAR39</v>
      </c>
      <c r="C567" s="16" t="str">
        <f>VLOOKUP(B567,'Compiled Agents'!A:H,2,FALSE)</f>
        <v>Workplace</v>
      </c>
      <c r="D567" s="16" t="str">
        <f>VLOOKUP(B567,'Compiled Agents'!A:H,4,FALSE)</f>
        <v>Noida</v>
      </c>
      <c r="E567" s="16" t="str">
        <f>VLOOKUP(B567,'Compiled Agents'!A:H,5,FALSE)</f>
        <v>Wave2</v>
      </c>
      <c r="F567" s="16" t="str">
        <f>VLOOKUP(B567,'Compiled Agents'!A:H,6,FALSE)</f>
        <v>Yellow</v>
      </c>
      <c r="G567" s="16">
        <f>VLOOKUP($A567,'SurveyRpt_20150223 (1)'!$A$34:$AN$735,6,FALSE)</f>
        <v>16</v>
      </c>
      <c r="H567" s="16" t="str">
        <f>VLOOKUP($A567,'SurveyRpt_20150223 (1)'!$A$34:$AN$735,8,FALSE)</f>
        <v>Yes</v>
      </c>
      <c r="I567" s="16" t="str">
        <f>VLOOKUP($A567,'SurveyRpt_20150223 (1)'!$A$34:$AN$735,10,FALSE)</f>
        <v>Yes</v>
      </c>
      <c r="J567" s="16" t="str">
        <f>VLOOKUP($A567,'SurveyRpt_20150223 (1)'!$A$34:$AN$735,12,FALSE)</f>
        <v>Yes</v>
      </c>
      <c r="K567" s="16" t="str">
        <f>VLOOKUP($A567,'SurveyRpt_20150223 (1)'!$A$34:$AN$735,14,FALSE)</f>
        <v>Yes</v>
      </c>
      <c r="L567" s="16" t="str">
        <f>VLOOKUP($A567,'SurveyRpt_20150223 (1)'!$A$34:$AN$735,16,FALSE)</f>
        <v>Yes</v>
      </c>
      <c r="M567" s="16" t="str">
        <f>VLOOKUP($A567,'SurveyRpt_20150223 (1)'!$A$34:$AN$735,18,FALSE)</f>
        <v>Yes</v>
      </c>
      <c r="N567" s="16" t="str">
        <f>VLOOKUP($A567,'SurveyRpt_20150223 (1)'!$A$34:$AN$735,20,FALSE)</f>
        <v>Yes</v>
      </c>
      <c r="O567" s="16" t="str">
        <f>VLOOKUP($A567,'SurveyRpt_20150223 (1)'!$A$34:$AN$735,22,FALSE)</f>
        <v>Yes</v>
      </c>
      <c r="P567" s="16" t="str">
        <f>VLOOKUP($A567,'SurveyRpt_20150223 (1)'!$A$34:$AN$735,24,FALSE)</f>
        <v>Yes</v>
      </c>
      <c r="Q567" s="16" t="str">
        <f>VLOOKUP($A567,'SurveyRpt_20150223 (1)'!$A$34:$AN$735,26,FALSE)</f>
        <v>Yes</v>
      </c>
      <c r="R567" s="16" t="str">
        <f>VLOOKUP($A567,'SurveyRpt_20150223 (1)'!$A$34:$AN$735,28,FALSE)</f>
        <v>Yes</v>
      </c>
      <c r="S567" s="16" t="str">
        <f>VLOOKUP($A567,'SurveyRpt_20150223 (1)'!$A$34:$AN$735,30,FALSE)</f>
        <v>Yes</v>
      </c>
      <c r="T567" s="16" t="str">
        <f>VLOOKUP($A567,'SurveyRpt_20150223 (1)'!$A$34:$AN$735,32,FALSE)</f>
        <v>Yes</v>
      </c>
      <c r="U567" s="16" t="str">
        <f>VLOOKUP($A567,'SurveyRpt_20150223 (1)'!$A$34:$AN$735,34,FALSE)</f>
        <v>Yes</v>
      </c>
      <c r="V567" s="16" t="str">
        <f>VLOOKUP($A567,'SurveyRpt_20150223 (1)'!$A$34:$AN$735,36,FALSE)</f>
        <v>Yes</v>
      </c>
      <c r="W567" s="16" t="str">
        <f>VLOOKUP($A567,'SurveyRpt_20150223 (1)'!$A$34:$AN$735,38,FALSE)</f>
        <v>Yes</v>
      </c>
    </row>
    <row r="568" spans="1:23" ht="13.5" customHeight="1" x14ac:dyDescent="0.25">
      <c r="A568" s="19" t="s">
        <v>661</v>
      </c>
      <c r="B568" s="19" t="str">
        <f t="shared" si="8"/>
        <v>HKUMAR41</v>
      </c>
      <c r="C568" s="16" t="str">
        <f>VLOOKUP(B568,'Compiled Agents'!A:H,2,FALSE)</f>
        <v>Workplace</v>
      </c>
      <c r="D568" s="16" t="str">
        <f>VLOOKUP(B568,'Compiled Agents'!A:H,4,FALSE)</f>
        <v>Noida</v>
      </c>
      <c r="E568" s="16" t="str">
        <f>VLOOKUP(B568,'Compiled Agents'!A:H,5,FALSE)</f>
        <v>Wave2</v>
      </c>
      <c r="F568" s="16" t="str">
        <f>VLOOKUP(B568,'Compiled Agents'!A:H,6,FALSE)</f>
        <v>Orange</v>
      </c>
      <c r="G568" s="16">
        <f>VLOOKUP($A568,'SurveyRpt_20150223 (1)'!$A$34:$AN$735,6,FALSE)</f>
        <v>16</v>
      </c>
      <c r="H568" s="16" t="str">
        <f>VLOOKUP($A568,'SurveyRpt_20150223 (1)'!$A$34:$AN$735,8,FALSE)</f>
        <v>Yes</v>
      </c>
      <c r="I568" s="16" t="str">
        <f>VLOOKUP($A568,'SurveyRpt_20150223 (1)'!$A$34:$AN$735,10,FALSE)</f>
        <v>Yes</v>
      </c>
      <c r="J568" s="16" t="str">
        <f>VLOOKUP($A568,'SurveyRpt_20150223 (1)'!$A$34:$AN$735,12,FALSE)</f>
        <v>Yes</v>
      </c>
      <c r="K568" s="16" t="str">
        <f>VLOOKUP($A568,'SurveyRpt_20150223 (1)'!$A$34:$AN$735,14,FALSE)</f>
        <v>Yes</v>
      </c>
      <c r="L568" s="16" t="str">
        <f>VLOOKUP($A568,'SurveyRpt_20150223 (1)'!$A$34:$AN$735,16,FALSE)</f>
        <v>Yes</v>
      </c>
      <c r="M568" s="16" t="str">
        <f>VLOOKUP($A568,'SurveyRpt_20150223 (1)'!$A$34:$AN$735,18,FALSE)</f>
        <v>Yes</v>
      </c>
      <c r="N568" s="16" t="str">
        <f>VLOOKUP($A568,'SurveyRpt_20150223 (1)'!$A$34:$AN$735,20,FALSE)</f>
        <v>Yes</v>
      </c>
      <c r="O568" s="16" t="str">
        <f>VLOOKUP($A568,'SurveyRpt_20150223 (1)'!$A$34:$AN$735,22,FALSE)</f>
        <v>Yes</v>
      </c>
      <c r="P568" s="16" t="str">
        <f>VLOOKUP($A568,'SurveyRpt_20150223 (1)'!$A$34:$AN$735,24,FALSE)</f>
        <v>Yes</v>
      </c>
      <c r="Q568" s="16" t="str">
        <f>VLOOKUP($A568,'SurveyRpt_20150223 (1)'!$A$34:$AN$735,26,FALSE)</f>
        <v>Yes</v>
      </c>
      <c r="R568" s="16" t="str">
        <f>VLOOKUP($A568,'SurveyRpt_20150223 (1)'!$A$34:$AN$735,28,FALSE)</f>
        <v>Yes</v>
      </c>
      <c r="S568" s="16" t="str">
        <f>VLOOKUP($A568,'SurveyRpt_20150223 (1)'!$A$34:$AN$735,30,FALSE)</f>
        <v>Yes</v>
      </c>
      <c r="T568" s="16" t="str">
        <f>VLOOKUP($A568,'SurveyRpt_20150223 (1)'!$A$34:$AN$735,32,FALSE)</f>
        <v>Yes</v>
      </c>
      <c r="U568" s="16" t="str">
        <f>VLOOKUP($A568,'SurveyRpt_20150223 (1)'!$A$34:$AN$735,34,FALSE)</f>
        <v>Yes</v>
      </c>
      <c r="V568" s="16" t="str">
        <f>VLOOKUP($A568,'SurveyRpt_20150223 (1)'!$A$34:$AN$735,36,FALSE)</f>
        <v>Yes</v>
      </c>
      <c r="W568" s="16" t="str">
        <f>VLOOKUP($A568,'SurveyRpt_20150223 (1)'!$A$34:$AN$735,38,FALSE)</f>
        <v>Yes</v>
      </c>
    </row>
    <row r="569" spans="1:23" ht="13.5" customHeight="1" x14ac:dyDescent="0.25">
      <c r="A569" s="19" t="s">
        <v>662</v>
      </c>
      <c r="B569" s="19" t="str">
        <f t="shared" si="8"/>
        <v>SPARASHER</v>
      </c>
      <c r="C569" s="16" t="str">
        <f>VLOOKUP(B569,'Compiled Agents'!A:H,2,FALSE)</f>
        <v>Workplace</v>
      </c>
      <c r="D569" s="16" t="str">
        <f>VLOOKUP(B569,'Compiled Agents'!A:H,4,FALSE)</f>
        <v>Noida</v>
      </c>
      <c r="E569" s="16" t="str">
        <f>VLOOKUP(B569,'Compiled Agents'!A:H,5,FALSE)</f>
        <v>Wave2</v>
      </c>
      <c r="F569" s="16" t="str">
        <f>VLOOKUP(B569,'Compiled Agents'!A:H,6,FALSE)</f>
        <v>Yellow</v>
      </c>
      <c r="G569" s="16">
        <f>VLOOKUP($A569,'SurveyRpt_20150223 (1)'!$A$34:$AN$735,6,FALSE)</f>
        <v>16</v>
      </c>
      <c r="H569" s="16" t="str">
        <f>VLOOKUP($A569,'SurveyRpt_20150223 (1)'!$A$34:$AN$735,8,FALSE)</f>
        <v>Yes</v>
      </c>
      <c r="I569" s="16" t="str">
        <f>VLOOKUP($A569,'SurveyRpt_20150223 (1)'!$A$34:$AN$735,10,FALSE)</f>
        <v>Yes</v>
      </c>
      <c r="J569" s="16" t="str">
        <f>VLOOKUP($A569,'SurveyRpt_20150223 (1)'!$A$34:$AN$735,12,FALSE)</f>
        <v>Yes</v>
      </c>
      <c r="K569" s="16" t="str">
        <f>VLOOKUP($A569,'SurveyRpt_20150223 (1)'!$A$34:$AN$735,14,FALSE)</f>
        <v>Yes</v>
      </c>
      <c r="L569" s="16" t="str">
        <f>VLOOKUP($A569,'SurveyRpt_20150223 (1)'!$A$34:$AN$735,16,FALSE)</f>
        <v>Yes</v>
      </c>
      <c r="M569" s="16" t="str">
        <f>VLOOKUP($A569,'SurveyRpt_20150223 (1)'!$A$34:$AN$735,18,FALSE)</f>
        <v>Yes</v>
      </c>
      <c r="N569" s="16" t="str">
        <f>VLOOKUP($A569,'SurveyRpt_20150223 (1)'!$A$34:$AN$735,20,FALSE)</f>
        <v>Yes</v>
      </c>
      <c r="O569" s="16" t="str">
        <f>VLOOKUP($A569,'SurveyRpt_20150223 (1)'!$A$34:$AN$735,22,FALSE)</f>
        <v>Yes</v>
      </c>
      <c r="P569" s="16" t="str">
        <f>VLOOKUP($A569,'SurveyRpt_20150223 (1)'!$A$34:$AN$735,24,FALSE)</f>
        <v>Yes</v>
      </c>
      <c r="Q569" s="16" t="str">
        <f>VLOOKUP($A569,'SurveyRpt_20150223 (1)'!$A$34:$AN$735,26,FALSE)</f>
        <v>Yes</v>
      </c>
      <c r="R569" s="16" t="str">
        <f>VLOOKUP($A569,'SurveyRpt_20150223 (1)'!$A$34:$AN$735,28,FALSE)</f>
        <v>Yes</v>
      </c>
      <c r="S569" s="16" t="str">
        <f>VLOOKUP($A569,'SurveyRpt_20150223 (1)'!$A$34:$AN$735,30,FALSE)</f>
        <v>Yes</v>
      </c>
      <c r="T569" s="16" t="str">
        <f>VLOOKUP($A569,'SurveyRpt_20150223 (1)'!$A$34:$AN$735,32,FALSE)</f>
        <v>Yes</v>
      </c>
      <c r="U569" s="16" t="str">
        <f>VLOOKUP($A569,'SurveyRpt_20150223 (1)'!$A$34:$AN$735,34,FALSE)</f>
        <v>Yes</v>
      </c>
      <c r="V569" s="16" t="str">
        <f>VLOOKUP($A569,'SurveyRpt_20150223 (1)'!$A$34:$AN$735,36,FALSE)</f>
        <v>Yes</v>
      </c>
      <c r="W569" s="16" t="str">
        <f>VLOOKUP($A569,'SurveyRpt_20150223 (1)'!$A$34:$AN$735,38,FALSE)</f>
        <v>Yes</v>
      </c>
    </row>
    <row r="570" spans="1:23" ht="13.5" customHeight="1" x14ac:dyDescent="0.25">
      <c r="A570" s="19" t="s">
        <v>663</v>
      </c>
      <c r="B570" s="19" t="str">
        <f t="shared" si="8"/>
        <v>ASINGH67</v>
      </c>
      <c r="C570" s="16" t="str">
        <f>VLOOKUP(B570,'Compiled Agents'!A:H,2,FALSE)</f>
        <v>Workplace</v>
      </c>
      <c r="D570" s="16" t="str">
        <f>VLOOKUP(B570,'Compiled Agents'!A:H,4,FALSE)</f>
        <v>Hyderabad</v>
      </c>
      <c r="E570" s="16" t="str">
        <f>VLOOKUP(B570,'Compiled Agents'!A:H,5,FALSE)</f>
        <v>Wave2</v>
      </c>
      <c r="F570" s="16" t="str">
        <f>VLOOKUP(B570,'Compiled Agents'!A:H,6,FALSE)</f>
        <v>Purple</v>
      </c>
      <c r="G570" s="16">
        <f>VLOOKUP($A570,'SurveyRpt_20150223 (1)'!$A$34:$AN$735,6,FALSE)</f>
        <v>11</v>
      </c>
      <c r="H570" s="16" t="str">
        <f>VLOOKUP($A570,'SurveyRpt_20150223 (1)'!$A$34:$AN$735,8,FALSE)</f>
        <v>Yes</v>
      </c>
      <c r="I570" s="16" t="str">
        <f>VLOOKUP($A570,'SurveyRpt_20150223 (1)'!$A$34:$AN$735,10,FALSE)</f>
        <v>Yes</v>
      </c>
      <c r="J570" s="16" t="str">
        <f>VLOOKUP($A570,'SurveyRpt_20150223 (1)'!$A$34:$AN$735,12,FALSE)</f>
        <v>Yes</v>
      </c>
      <c r="K570" s="16" t="str">
        <f>VLOOKUP($A570,'SurveyRpt_20150223 (1)'!$A$34:$AN$735,14,FALSE)</f>
        <v>No</v>
      </c>
      <c r="L570" s="16" t="str">
        <f>VLOOKUP($A570,'SurveyRpt_20150223 (1)'!$A$34:$AN$735,16,FALSE)</f>
        <v>Yes</v>
      </c>
      <c r="M570" s="16" t="str">
        <f>VLOOKUP($A570,'SurveyRpt_20150223 (1)'!$A$34:$AN$735,18,FALSE)</f>
        <v>No</v>
      </c>
      <c r="N570" s="16" t="str">
        <f>VLOOKUP($A570,'SurveyRpt_20150223 (1)'!$A$34:$AN$735,20,FALSE)</f>
        <v>No</v>
      </c>
      <c r="O570" s="16" t="str">
        <f>VLOOKUP($A570,'SurveyRpt_20150223 (1)'!$A$34:$AN$735,22,FALSE)</f>
        <v>Yes</v>
      </c>
      <c r="P570" s="16" t="str">
        <f>VLOOKUP($A570,'SurveyRpt_20150223 (1)'!$A$34:$AN$735,24,FALSE)</f>
        <v>Yes</v>
      </c>
      <c r="Q570" s="16" t="str">
        <f>VLOOKUP($A570,'SurveyRpt_20150223 (1)'!$A$34:$AN$735,26,FALSE)</f>
        <v>Yes</v>
      </c>
      <c r="R570" s="16" t="str">
        <f>VLOOKUP($A570,'SurveyRpt_20150223 (1)'!$A$34:$AN$735,28,FALSE)</f>
        <v>Yes</v>
      </c>
      <c r="S570" s="16" t="str">
        <f>VLOOKUP($A570,'SurveyRpt_20150223 (1)'!$A$34:$AN$735,30,FALSE)</f>
        <v>Yes</v>
      </c>
      <c r="T570" s="16" t="str">
        <f>VLOOKUP($A570,'SurveyRpt_20150223 (1)'!$A$34:$AN$735,32,FALSE)</f>
        <v>No</v>
      </c>
      <c r="U570" s="16" t="str">
        <f>VLOOKUP($A570,'SurveyRpt_20150223 (1)'!$A$34:$AN$735,34,FALSE)</f>
        <v>No</v>
      </c>
      <c r="V570" s="16" t="str">
        <f>VLOOKUP($A570,'SurveyRpt_20150223 (1)'!$A$34:$AN$735,36,FALSE)</f>
        <v>Yes</v>
      </c>
      <c r="W570" s="16" t="str">
        <f>VLOOKUP($A570,'SurveyRpt_20150223 (1)'!$A$34:$AN$735,38,FALSE)</f>
        <v>Yes</v>
      </c>
    </row>
    <row r="571" spans="1:23" ht="13.5" customHeight="1" x14ac:dyDescent="0.25">
      <c r="A571" s="19" t="s">
        <v>664</v>
      </c>
      <c r="B571" s="19" t="str">
        <f t="shared" si="8"/>
        <v>RRIGINA</v>
      </c>
      <c r="C571" s="16" t="str">
        <f>VLOOKUP(B571,'Compiled Agents'!A:H,2,FALSE)</f>
        <v>Platform</v>
      </c>
      <c r="D571" s="16" t="str">
        <f>VLOOKUP(B571,'Compiled Agents'!A:H,4,FALSE)</f>
        <v>Noida</v>
      </c>
      <c r="E571" s="16" t="str">
        <f>VLOOKUP(B571,'Compiled Agents'!A:H,5,FALSE)</f>
        <v>Wave2</v>
      </c>
      <c r="F571" s="16" t="str">
        <f>VLOOKUP(B571,'Compiled Agents'!A:H,6,FALSE)</f>
        <v>Orange</v>
      </c>
      <c r="G571" s="16">
        <f>VLOOKUP($A571,'SurveyRpt_20150223 (1)'!$A$34:$AN$735,6,FALSE)</f>
        <v>13</v>
      </c>
      <c r="H571" s="16" t="str">
        <f>VLOOKUP($A571,'SurveyRpt_20150223 (1)'!$A$34:$AN$735,8,FALSE)</f>
        <v>No</v>
      </c>
      <c r="I571" s="16" t="str">
        <f>VLOOKUP($A571,'SurveyRpt_20150223 (1)'!$A$34:$AN$735,10,FALSE)</f>
        <v>No</v>
      </c>
      <c r="J571" s="16" t="str">
        <f>VLOOKUP($A571,'SurveyRpt_20150223 (1)'!$A$34:$AN$735,12,FALSE)</f>
        <v>Yes</v>
      </c>
      <c r="K571" s="16" t="str">
        <f>VLOOKUP($A571,'SurveyRpt_20150223 (1)'!$A$34:$AN$735,14,FALSE)</f>
        <v>Yes</v>
      </c>
      <c r="L571" s="16" t="str">
        <f>VLOOKUP($A571,'SurveyRpt_20150223 (1)'!$A$34:$AN$735,16,FALSE)</f>
        <v>Yes</v>
      </c>
      <c r="M571" s="16" t="str">
        <f>VLOOKUP($A571,'SurveyRpt_20150223 (1)'!$A$34:$AN$735,18,FALSE)</f>
        <v>Yes</v>
      </c>
      <c r="N571" s="16" t="str">
        <f>VLOOKUP($A571,'SurveyRpt_20150223 (1)'!$A$34:$AN$735,20,FALSE)</f>
        <v>Yes</v>
      </c>
      <c r="O571" s="16" t="str">
        <f>VLOOKUP($A571,'SurveyRpt_20150223 (1)'!$A$34:$AN$735,22,FALSE)</f>
        <v>Yes</v>
      </c>
      <c r="P571" s="16" t="str">
        <f>VLOOKUP($A571,'SurveyRpt_20150223 (1)'!$A$34:$AN$735,24,FALSE)</f>
        <v>Yes</v>
      </c>
      <c r="Q571" s="16" t="str">
        <f>VLOOKUP($A571,'SurveyRpt_20150223 (1)'!$A$34:$AN$735,26,FALSE)</f>
        <v>Yes</v>
      </c>
      <c r="R571" s="16" t="str">
        <f>VLOOKUP($A571,'SurveyRpt_20150223 (1)'!$A$34:$AN$735,28,FALSE)</f>
        <v>Yes</v>
      </c>
      <c r="S571" s="16" t="str">
        <f>VLOOKUP($A571,'SurveyRpt_20150223 (1)'!$A$34:$AN$735,30,FALSE)</f>
        <v>Yes</v>
      </c>
      <c r="T571" s="16" t="str">
        <f>VLOOKUP($A571,'SurveyRpt_20150223 (1)'!$A$34:$AN$735,32,FALSE)</f>
        <v>Yes</v>
      </c>
      <c r="U571" s="16" t="str">
        <f>VLOOKUP($A571,'SurveyRpt_20150223 (1)'!$A$34:$AN$735,34,FALSE)</f>
        <v>Yes</v>
      </c>
      <c r="V571" s="16" t="str">
        <f>VLOOKUP($A571,'SurveyRpt_20150223 (1)'!$A$34:$AN$735,36,FALSE)</f>
        <v>No</v>
      </c>
      <c r="W571" s="16" t="str">
        <f>VLOOKUP($A571,'SurveyRpt_20150223 (1)'!$A$34:$AN$735,38,FALSE)</f>
        <v>Yes</v>
      </c>
    </row>
    <row r="572" spans="1:23" ht="13.5" customHeight="1" x14ac:dyDescent="0.25">
      <c r="A572" s="19" t="s">
        <v>665</v>
      </c>
      <c r="B572" s="19" t="str">
        <f t="shared" si="8"/>
        <v>DVISHWANATHP</v>
      </c>
      <c r="C572" s="16" t="str">
        <f>VLOOKUP(B572,'Compiled Agents'!A:H,2,FALSE)</f>
        <v>Platform</v>
      </c>
      <c r="D572" s="16" t="str">
        <f>VLOOKUP(B572,'Compiled Agents'!A:H,4,FALSE)</f>
        <v>Noida</v>
      </c>
      <c r="E572" s="16" t="str">
        <f>VLOOKUP(B572,'Compiled Agents'!A:H,5,FALSE)</f>
        <v>Wave1</v>
      </c>
      <c r="F572" s="16" t="str">
        <f>VLOOKUP(B572,'Compiled Agents'!A:H,6,FALSE)</f>
        <v>Yellow</v>
      </c>
      <c r="G572" s="16">
        <f>VLOOKUP($A572,'SurveyRpt_20150223 (1)'!$A$34:$AN$735,6,FALSE)</f>
        <v>14</v>
      </c>
      <c r="H572" s="16" t="str">
        <f>VLOOKUP($A572,'SurveyRpt_20150223 (1)'!$A$34:$AN$735,8,FALSE)</f>
        <v>Yes</v>
      </c>
      <c r="I572" s="16" t="str">
        <f>VLOOKUP($A572,'SurveyRpt_20150223 (1)'!$A$34:$AN$735,10,FALSE)</f>
        <v>Yes</v>
      </c>
      <c r="J572" s="16" t="str">
        <f>VLOOKUP($A572,'SurveyRpt_20150223 (1)'!$A$34:$AN$735,12,FALSE)</f>
        <v>No</v>
      </c>
      <c r="K572" s="16" t="str">
        <f>VLOOKUP($A572,'SurveyRpt_20150223 (1)'!$A$34:$AN$735,14,FALSE)</f>
        <v>Yes</v>
      </c>
      <c r="L572" s="16" t="str">
        <f>VLOOKUP($A572,'SurveyRpt_20150223 (1)'!$A$34:$AN$735,16,FALSE)</f>
        <v>Yes</v>
      </c>
      <c r="M572" s="16" t="str">
        <f>VLOOKUP($A572,'SurveyRpt_20150223 (1)'!$A$34:$AN$735,18,FALSE)</f>
        <v>Yes</v>
      </c>
      <c r="N572" s="16" t="str">
        <f>VLOOKUP($A572,'SurveyRpt_20150223 (1)'!$A$34:$AN$735,20,FALSE)</f>
        <v>Yes</v>
      </c>
      <c r="O572" s="16" t="str">
        <f>VLOOKUP($A572,'SurveyRpt_20150223 (1)'!$A$34:$AN$735,22,FALSE)</f>
        <v>Yes</v>
      </c>
      <c r="P572" s="16" t="str">
        <f>VLOOKUP($A572,'SurveyRpt_20150223 (1)'!$A$34:$AN$735,24,FALSE)</f>
        <v>Yes</v>
      </c>
      <c r="Q572" s="16" t="str">
        <f>VLOOKUP($A572,'SurveyRpt_20150223 (1)'!$A$34:$AN$735,26,FALSE)</f>
        <v>Yes</v>
      </c>
      <c r="R572" s="16" t="str">
        <f>VLOOKUP($A572,'SurveyRpt_20150223 (1)'!$A$34:$AN$735,28,FALSE)</f>
        <v>Yes</v>
      </c>
      <c r="S572" s="16" t="str">
        <f>VLOOKUP($A572,'SurveyRpt_20150223 (1)'!$A$34:$AN$735,30,FALSE)</f>
        <v>Yes</v>
      </c>
      <c r="T572" s="16" t="str">
        <f>VLOOKUP($A572,'SurveyRpt_20150223 (1)'!$A$34:$AN$735,32,FALSE)</f>
        <v>Yes</v>
      </c>
      <c r="U572" s="16" t="str">
        <f>VLOOKUP($A572,'SurveyRpt_20150223 (1)'!$A$34:$AN$735,34,FALSE)</f>
        <v>Yes</v>
      </c>
      <c r="V572" s="16" t="str">
        <f>VLOOKUP($A572,'SurveyRpt_20150223 (1)'!$A$34:$AN$735,36,FALSE)</f>
        <v>Yes</v>
      </c>
      <c r="W572" s="16" t="str">
        <f>VLOOKUP($A572,'SurveyRpt_20150223 (1)'!$A$34:$AN$735,38,FALSE)</f>
        <v>No</v>
      </c>
    </row>
    <row r="573" spans="1:23" ht="13.5" customHeight="1" x14ac:dyDescent="0.25">
      <c r="A573" s="19" t="s">
        <v>666</v>
      </c>
      <c r="B573" s="19" t="str">
        <f t="shared" si="8"/>
        <v>SBHANDARI20</v>
      </c>
      <c r="C573" s="16" t="str">
        <f>VLOOKUP(B573,'Compiled Agents'!A:H,2,FALSE)</f>
        <v>Workplace</v>
      </c>
      <c r="D573" s="16" t="str">
        <f>VLOOKUP(B573,'Compiled Agents'!A:H,4,FALSE)</f>
        <v>Hyderabad</v>
      </c>
      <c r="E573" s="16" t="str">
        <f>VLOOKUP(B573,'Compiled Agents'!A:H,5,FALSE)</f>
        <v>Wave2</v>
      </c>
      <c r="F573" s="16" t="str">
        <f>VLOOKUP(B573,'Compiled Agents'!A:H,6,FALSE)</f>
        <v>Yellow</v>
      </c>
      <c r="G573" s="16">
        <f>VLOOKUP($A573,'SurveyRpt_20150223 (1)'!$A$34:$AN$735,6,FALSE)</f>
        <v>14</v>
      </c>
      <c r="H573" s="16" t="str">
        <f>VLOOKUP($A573,'SurveyRpt_20150223 (1)'!$A$34:$AN$735,8,FALSE)</f>
        <v>Yes</v>
      </c>
      <c r="I573" s="16" t="str">
        <f>VLOOKUP($A573,'SurveyRpt_20150223 (1)'!$A$34:$AN$735,10,FALSE)</f>
        <v>Yes</v>
      </c>
      <c r="J573" s="16" t="str">
        <f>VLOOKUP($A573,'SurveyRpt_20150223 (1)'!$A$34:$AN$735,12,FALSE)</f>
        <v>Yes</v>
      </c>
      <c r="K573" s="16" t="str">
        <f>VLOOKUP($A573,'SurveyRpt_20150223 (1)'!$A$34:$AN$735,14,FALSE)</f>
        <v>Yes</v>
      </c>
      <c r="L573" s="16" t="str">
        <f>VLOOKUP($A573,'SurveyRpt_20150223 (1)'!$A$34:$AN$735,16,FALSE)</f>
        <v>Yes</v>
      </c>
      <c r="M573" s="16" t="str">
        <f>VLOOKUP($A573,'SurveyRpt_20150223 (1)'!$A$34:$AN$735,18,FALSE)</f>
        <v>Yes</v>
      </c>
      <c r="N573" s="16" t="str">
        <f>VLOOKUP($A573,'SurveyRpt_20150223 (1)'!$A$34:$AN$735,20,FALSE)</f>
        <v>Yes</v>
      </c>
      <c r="O573" s="16" t="str">
        <f>VLOOKUP($A573,'SurveyRpt_20150223 (1)'!$A$34:$AN$735,22,FALSE)</f>
        <v>Yes</v>
      </c>
      <c r="P573" s="16" t="str">
        <f>VLOOKUP($A573,'SurveyRpt_20150223 (1)'!$A$34:$AN$735,24,FALSE)</f>
        <v>Yes</v>
      </c>
      <c r="Q573" s="16" t="str">
        <f>VLOOKUP($A573,'SurveyRpt_20150223 (1)'!$A$34:$AN$735,26,FALSE)</f>
        <v>Yes</v>
      </c>
      <c r="R573" s="16" t="str">
        <f>VLOOKUP($A573,'SurveyRpt_20150223 (1)'!$A$34:$AN$735,28,FALSE)</f>
        <v>Yes</v>
      </c>
      <c r="S573" s="16" t="str">
        <f>VLOOKUP($A573,'SurveyRpt_20150223 (1)'!$A$34:$AN$735,30,FALSE)</f>
        <v>Yes</v>
      </c>
      <c r="T573" s="16" t="str">
        <f>VLOOKUP($A573,'SurveyRpt_20150223 (1)'!$A$34:$AN$735,32,FALSE)</f>
        <v>No</v>
      </c>
      <c r="U573" s="16" t="str">
        <f>VLOOKUP($A573,'SurveyRpt_20150223 (1)'!$A$34:$AN$735,34,FALSE)</f>
        <v>Yes</v>
      </c>
      <c r="V573" s="16" t="str">
        <f>VLOOKUP($A573,'SurveyRpt_20150223 (1)'!$A$34:$AN$735,36,FALSE)</f>
        <v>Yes</v>
      </c>
      <c r="W573" s="16" t="str">
        <f>VLOOKUP($A573,'SurveyRpt_20150223 (1)'!$A$34:$AN$735,38,FALSE)</f>
        <v>No</v>
      </c>
    </row>
    <row r="574" spans="1:23" ht="13.5" customHeight="1" x14ac:dyDescent="0.25">
      <c r="A574" s="19" t="s">
        <v>667</v>
      </c>
      <c r="B574" s="19" t="str">
        <f t="shared" si="8"/>
        <v>GPATRO</v>
      </c>
      <c r="C574" s="16" t="str">
        <f>VLOOKUP(B574,'Compiled Agents'!A:H,2,FALSE)</f>
        <v>Workplace</v>
      </c>
      <c r="D574" s="16" t="str">
        <f>VLOOKUP(B574,'Compiled Agents'!A:H,4,FALSE)</f>
        <v>Hyderabad</v>
      </c>
      <c r="E574" s="16" t="str">
        <f>VLOOKUP(B574,'Compiled Agents'!A:H,5,FALSE)</f>
        <v>Wave2</v>
      </c>
      <c r="F574" s="16" t="str">
        <f>VLOOKUP(B574,'Compiled Agents'!A:H,6,FALSE)</f>
        <v>Yellow</v>
      </c>
      <c r="G574" s="16">
        <f>VLOOKUP($A574,'SurveyRpt_20150223 (1)'!$A$34:$AN$735,6,FALSE)</f>
        <v>16</v>
      </c>
      <c r="H574" s="16" t="str">
        <f>VLOOKUP($A574,'SurveyRpt_20150223 (1)'!$A$34:$AN$735,8,FALSE)</f>
        <v>Yes</v>
      </c>
      <c r="I574" s="16" t="str">
        <f>VLOOKUP($A574,'SurveyRpt_20150223 (1)'!$A$34:$AN$735,10,FALSE)</f>
        <v>Yes</v>
      </c>
      <c r="J574" s="16" t="str">
        <f>VLOOKUP($A574,'SurveyRpt_20150223 (1)'!$A$34:$AN$735,12,FALSE)</f>
        <v>Yes</v>
      </c>
      <c r="K574" s="16" t="str">
        <f>VLOOKUP($A574,'SurveyRpt_20150223 (1)'!$A$34:$AN$735,14,FALSE)</f>
        <v>Yes</v>
      </c>
      <c r="L574" s="16" t="str">
        <f>VLOOKUP($A574,'SurveyRpt_20150223 (1)'!$A$34:$AN$735,16,FALSE)</f>
        <v>Yes</v>
      </c>
      <c r="M574" s="16" t="str">
        <f>VLOOKUP($A574,'SurveyRpt_20150223 (1)'!$A$34:$AN$735,18,FALSE)</f>
        <v>Yes</v>
      </c>
      <c r="N574" s="16" t="str">
        <f>VLOOKUP($A574,'SurveyRpt_20150223 (1)'!$A$34:$AN$735,20,FALSE)</f>
        <v>Yes</v>
      </c>
      <c r="O574" s="16" t="str">
        <f>VLOOKUP($A574,'SurveyRpt_20150223 (1)'!$A$34:$AN$735,22,FALSE)</f>
        <v>Yes</v>
      </c>
      <c r="P574" s="16" t="str">
        <f>VLOOKUP($A574,'SurveyRpt_20150223 (1)'!$A$34:$AN$735,24,FALSE)</f>
        <v>Yes</v>
      </c>
      <c r="Q574" s="16" t="str">
        <f>VLOOKUP($A574,'SurveyRpt_20150223 (1)'!$A$34:$AN$735,26,FALSE)</f>
        <v>Yes</v>
      </c>
      <c r="R574" s="16" t="str">
        <f>VLOOKUP($A574,'SurveyRpt_20150223 (1)'!$A$34:$AN$735,28,FALSE)</f>
        <v>Yes</v>
      </c>
      <c r="S574" s="16" t="str">
        <f>VLOOKUP($A574,'SurveyRpt_20150223 (1)'!$A$34:$AN$735,30,FALSE)</f>
        <v>Yes</v>
      </c>
      <c r="T574" s="16" t="str">
        <f>VLOOKUP($A574,'SurveyRpt_20150223 (1)'!$A$34:$AN$735,32,FALSE)</f>
        <v>Yes</v>
      </c>
      <c r="U574" s="16" t="str">
        <f>VLOOKUP($A574,'SurveyRpt_20150223 (1)'!$A$34:$AN$735,34,FALSE)</f>
        <v>Yes</v>
      </c>
      <c r="V574" s="16" t="str">
        <f>VLOOKUP($A574,'SurveyRpt_20150223 (1)'!$A$34:$AN$735,36,FALSE)</f>
        <v>Yes</v>
      </c>
      <c r="W574" s="16" t="str">
        <f>VLOOKUP($A574,'SurveyRpt_20150223 (1)'!$A$34:$AN$735,38,FALSE)</f>
        <v>Yes</v>
      </c>
    </row>
    <row r="575" spans="1:23" ht="13.5" customHeight="1" x14ac:dyDescent="0.25">
      <c r="A575" s="19" t="s">
        <v>668</v>
      </c>
      <c r="B575" s="19" t="str">
        <f t="shared" si="8"/>
        <v>MSHRIVASTAV4</v>
      </c>
      <c r="C575" s="16" t="str">
        <f>VLOOKUP(B575,'Compiled Agents'!A:H,2,FALSE)</f>
        <v>Platform</v>
      </c>
      <c r="D575" s="16" t="str">
        <f>VLOOKUP(B575,'Compiled Agents'!A:H,4,FALSE)</f>
        <v>Noida</v>
      </c>
      <c r="E575" s="16" t="str">
        <f>VLOOKUP(B575,'Compiled Agents'!A:H,5,FALSE)</f>
        <v>Wave2</v>
      </c>
      <c r="F575" s="16" t="str">
        <f>VLOOKUP(B575,'Compiled Agents'!A:H,6,FALSE)</f>
        <v>Purple</v>
      </c>
      <c r="G575" s="16">
        <f>VLOOKUP($A575,'SurveyRpt_20150223 (1)'!$A$34:$AN$735,6,FALSE)</f>
        <v>12</v>
      </c>
      <c r="H575" s="16" t="str">
        <f>VLOOKUP($A575,'SurveyRpt_20150223 (1)'!$A$34:$AN$735,8,FALSE)</f>
        <v>Yes</v>
      </c>
      <c r="I575" s="16" t="str">
        <f>VLOOKUP($A575,'SurveyRpt_20150223 (1)'!$A$34:$AN$735,10,FALSE)</f>
        <v>Yes</v>
      </c>
      <c r="J575" s="16" t="str">
        <f>VLOOKUP($A575,'SurveyRpt_20150223 (1)'!$A$34:$AN$735,12,FALSE)</f>
        <v>No</v>
      </c>
      <c r="K575" s="16" t="str">
        <f>VLOOKUP($A575,'SurveyRpt_20150223 (1)'!$A$34:$AN$735,14,FALSE)</f>
        <v>No</v>
      </c>
      <c r="L575" s="16" t="str">
        <f>VLOOKUP($A575,'SurveyRpt_20150223 (1)'!$A$34:$AN$735,16,FALSE)</f>
        <v>Yes</v>
      </c>
      <c r="M575" s="16" t="str">
        <f>VLOOKUP($A575,'SurveyRpt_20150223 (1)'!$A$34:$AN$735,18,FALSE)</f>
        <v>Yes</v>
      </c>
      <c r="N575" s="16" t="str">
        <f>VLOOKUP($A575,'SurveyRpt_20150223 (1)'!$A$34:$AN$735,20,FALSE)</f>
        <v>Yes</v>
      </c>
      <c r="O575" s="16" t="str">
        <f>VLOOKUP($A575,'SurveyRpt_20150223 (1)'!$A$34:$AN$735,22,FALSE)</f>
        <v>Yes</v>
      </c>
      <c r="P575" s="16" t="str">
        <f>VLOOKUP($A575,'SurveyRpt_20150223 (1)'!$A$34:$AN$735,24,FALSE)</f>
        <v>Yes</v>
      </c>
      <c r="Q575" s="16" t="str">
        <f>VLOOKUP($A575,'SurveyRpt_20150223 (1)'!$A$34:$AN$735,26,FALSE)</f>
        <v>Yes</v>
      </c>
      <c r="R575" s="16" t="str">
        <f>VLOOKUP($A575,'SurveyRpt_20150223 (1)'!$A$34:$AN$735,28,FALSE)</f>
        <v>Yes</v>
      </c>
      <c r="S575" s="16" t="str">
        <f>VLOOKUP($A575,'SurveyRpt_20150223 (1)'!$A$34:$AN$735,30,FALSE)</f>
        <v>Yes</v>
      </c>
      <c r="T575" s="16" t="str">
        <f>VLOOKUP($A575,'SurveyRpt_20150223 (1)'!$A$34:$AN$735,32,FALSE)</f>
        <v>No</v>
      </c>
      <c r="U575" s="16" t="str">
        <f>VLOOKUP($A575,'SurveyRpt_20150223 (1)'!$A$34:$AN$735,34,FALSE)</f>
        <v>Yes</v>
      </c>
      <c r="V575" s="16" t="str">
        <f>VLOOKUP($A575,'SurveyRpt_20150223 (1)'!$A$34:$AN$735,36,FALSE)</f>
        <v>Yes</v>
      </c>
      <c r="W575" s="16" t="str">
        <f>VLOOKUP($A575,'SurveyRpt_20150223 (1)'!$A$34:$AN$735,38,FALSE)</f>
        <v>No</v>
      </c>
    </row>
    <row r="576" spans="1:23" ht="13.5" customHeight="1" x14ac:dyDescent="0.25">
      <c r="A576" s="19" t="s">
        <v>669</v>
      </c>
      <c r="B576" s="19" t="str">
        <f t="shared" si="8"/>
        <v>PAKULA2</v>
      </c>
      <c r="C576" s="16" t="str">
        <f>VLOOKUP(B576,'Compiled Agents'!A:H,2,FALSE)</f>
        <v>Platform</v>
      </c>
      <c r="D576" s="16" t="str">
        <f>VLOOKUP(B576,'Compiled Agents'!A:H,4,FALSE)</f>
        <v>Hyderabad</v>
      </c>
      <c r="E576" s="16" t="str">
        <f>VLOOKUP(B576,'Compiled Agents'!A:H,5,FALSE)</f>
        <v>Wave1</v>
      </c>
      <c r="F576" s="16" t="str">
        <f>VLOOKUP(B576,'Compiled Agents'!A:H,6,FALSE)</f>
        <v>Blue</v>
      </c>
      <c r="G576" s="16">
        <f>VLOOKUP($A576,'SurveyRpt_20150223 (1)'!$A$34:$AN$735,6,FALSE)</f>
        <v>9</v>
      </c>
      <c r="H576" s="16" t="str">
        <f>VLOOKUP($A576,'SurveyRpt_20150223 (1)'!$A$34:$AN$735,8,FALSE)</f>
        <v>Yes</v>
      </c>
      <c r="I576" s="16" t="str">
        <f>VLOOKUP($A576,'SurveyRpt_20150223 (1)'!$A$34:$AN$735,10,FALSE)</f>
        <v>Yes</v>
      </c>
      <c r="J576" s="16" t="str">
        <f>VLOOKUP($A576,'SurveyRpt_20150223 (1)'!$A$34:$AN$735,12,FALSE)</f>
        <v>Yes</v>
      </c>
      <c r="K576" s="16" t="str">
        <f>VLOOKUP($A576,'SurveyRpt_20150223 (1)'!$A$34:$AN$735,14,FALSE)</f>
        <v>Yes</v>
      </c>
      <c r="L576" s="16" t="str">
        <f>VLOOKUP($A576,'SurveyRpt_20150223 (1)'!$A$34:$AN$735,16,FALSE)</f>
        <v>No</v>
      </c>
      <c r="M576" s="16" t="str">
        <f>VLOOKUP($A576,'SurveyRpt_20150223 (1)'!$A$34:$AN$735,18,FALSE)</f>
        <v>No</v>
      </c>
      <c r="N576" s="16" t="str">
        <f>VLOOKUP($A576,'SurveyRpt_20150223 (1)'!$A$34:$AN$735,20,FALSE)</f>
        <v>Yes</v>
      </c>
      <c r="O576" s="16" t="str">
        <f>VLOOKUP($A576,'SurveyRpt_20150223 (1)'!$A$34:$AN$735,22,FALSE)</f>
        <v>No</v>
      </c>
      <c r="P576" s="16" t="str">
        <f>VLOOKUP($A576,'SurveyRpt_20150223 (1)'!$A$34:$AN$735,24,FALSE)</f>
        <v>No</v>
      </c>
      <c r="Q576" s="16" t="str">
        <f>VLOOKUP($A576,'SurveyRpt_20150223 (1)'!$A$34:$AN$735,26,FALSE)</f>
        <v>Yes</v>
      </c>
      <c r="R576" s="16" t="str">
        <f>VLOOKUP($A576,'SurveyRpt_20150223 (1)'!$A$34:$AN$735,28,FALSE)</f>
        <v>Yes</v>
      </c>
      <c r="S576" s="16" t="str">
        <f>VLOOKUP($A576,'SurveyRpt_20150223 (1)'!$A$34:$AN$735,30,FALSE)</f>
        <v>Yes</v>
      </c>
      <c r="T576" s="16" t="str">
        <f>VLOOKUP($A576,'SurveyRpt_20150223 (1)'!$A$34:$AN$735,32,FALSE)</f>
        <v>Yes</v>
      </c>
      <c r="U576" s="16" t="str">
        <f>VLOOKUP($A576,'SurveyRpt_20150223 (1)'!$A$34:$AN$735,34,FALSE)</f>
        <v>No</v>
      </c>
      <c r="V576" s="16" t="str">
        <f>VLOOKUP($A576,'SurveyRpt_20150223 (1)'!$A$34:$AN$735,36,FALSE)</f>
        <v>No</v>
      </c>
      <c r="W576" s="16" t="str">
        <f>VLOOKUP($A576,'SurveyRpt_20150223 (1)'!$A$34:$AN$735,38,FALSE)</f>
        <v>No</v>
      </c>
    </row>
    <row r="577" spans="1:23" ht="13.5" customHeight="1" x14ac:dyDescent="0.25">
      <c r="A577" s="19" t="s">
        <v>670</v>
      </c>
      <c r="B577" s="19" t="str">
        <f t="shared" si="8"/>
        <v>LRAO7</v>
      </c>
      <c r="C577" s="16" t="str">
        <f>VLOOKUP(B577,'Compiled Agents'!A:H,2,FALSE)</f>
        <v>Workplace</v>
      </c>
      <c r="D577" s="16" t="str">
        <f>VLOOKUP(B577,'Compiled Agents'!A:H,4,FALSE)</f>
        <v>Hyderabad</v>
      </c>
      <c r="E577" s="16" t="str">
        <f>VLOOKUP(B577,'Compiled Agents'!A:H,5,FALSE)</f>
        <v>Wave2</v>
      </c>
      <c r="F577" s="16" t="str">
        <f>VLOOKUP(B577,'Compiled Agents'!A:H,6,FALSE)</f>
        <v>Yellow</v>
      </c>
      <c r="G577" s="16">
        <f>VLOOKUP($A577,'SurveyRpt_20150223 (1)'!$A$34:$AN$735,6,FALSE)</f>
        <v>15</v>
      </c>
      <c r="H577" s="16" t="str">
        <f>VLOOKUP($A577,'SurveyRpt_20150223 (1)'!$A$34:$AN$735,8,FALSE)</f>
        <v>Yes</v>
      </c>
      <c r="I577" s="16" t="str">
        <f>VLOOKUP($A577,'SurveyRpt_20150223 (1)'!$A$34:$AN$735,10,FALSE)</f>
        <v>Yes</v>
      </c>
      <c r="J577" s="16" t="str">
        <f>VLOOKUP($A577,'SurveyRpt_20150223 (1)'!$A$34:$AN$735,12,FALSE)</f>
        <v>Yes</v>
      </c>
      <c r="K577" s="16" t="str">
        <f>VLOOKUP($A577,'SurveyRpt_20150223 (1)'!$A$34:$AN$735,14,FALSE)</f>
        <v>Yes</v>
      </c>
      <c r="L577" s="16" t="str">
        <f>VLOOKUP($A577,'SurveyRpt_20150223 (1)'!$A$34:$AN$735,16,FALSE)</f>
        <v>Yes</v>
      </c>
      <c r="M577" s="16" t="str">
        <f>VLOOKUP($A577,'SurveyRpt_20150223 (1)'!$A$34:$AN$735,18,FALSE)</f>
        <v>Yes</v>
      </c>
      <c r="N577" s="16" t="str">
        <f>VLOOKUP($A577,'SurveyRpt_20150223 (1)'!$A$34:$AN$735,20,FALSE)</f>
        <v>No</v>
      </c>
      <c r="O577" s="16" t="str">
        <f>VLOOKUP($A577,'SurveyRpt_20150223 (1)'!$A$34:$AN$735,22,FALSE)</f>
        <v>Yes</v>
      </c>
      <c r="P577" s="16" t="str">
        <f>VLOOKUP($A577,'SurveyRpt_20150223 (1)'!$A$34:$AN$735,24,FALSE)</f>
        <v>Yes</v>
      </c>
      <c r="Q577" s="16" t="str">
        <f>VLOOKUP($A577,'SurveyRpt_20150223 (1)'!$A$34:$AN$735,26,FALSE)</f>
        <v>Yes</v>
      </c>
      <c r="R577" s="16" t="str">
        <f>VLOOKUP($A577,'SurveyRpt_20150223 (1)'!$A$34:$AN$735,28,FALSE)</f>
        <v>Yes</v>
      </c>
      <c r="S577" s="16" t="str">
        <f>VLOOKUP($A577,'SurveyRpt_20150223 (1)'!$A$34:$AN$735,30,FALSE)</f>
        <v>Yes</v>
      </c>
      <c r="T577" s="16" t="str">
        <f>VLOOKUP($A577,'SurveyRpt_20150223 (1)'!$A$34:$AN$735,32,FALSE)</f>
        <v>Yes</v>
      </c>
      <c r="U577" s="16" t="str">
        <f>VLOOKUP($A577,'SurveyRpt_20150223 (1)'!$A$34:$AN$735,34,FALSE)</f>
        <v>Yes</v>
      </c>
      <c r="V577" s="16" t="str">
        <f>VLOOKUP($A577,'SurveyRpt_20150223 (1)'!$A$34:$AN$735,36,FALSE)</f>
        <v>Yes</v>
      </c>
      <c r="W577" s="16" t="str">
        <f>VLOOKUP($A577,'SurveyRpt_20150223 (1)'!$A$34:$AN$735,38,FALSE)</f>
        <v>Yes</v>
      </c>
    </row>
    <row r="578" spans="1:23" ht="13.5" customHeight="1" x14ac:dyDescent="0.25">
      <c r="A578" s="19" t="s">
        <v>671</v>
      </c>
      <c r="B578" s="19" t="str">
        <f t="shared" si="8"/>
        <v>SSREEJA</v>
      </c>
      <c r="C578" s="16" t="str">
        <f>VLOOKUP(B578,'Compiled Agents'!A:H,2,FALSE)</f>
        <v>Platform</v>
      </c>
      <c r="D578" s="16" t="str">
        <f>VLOOKUP(B578,'Compiled Agents'!A:H,4,FALSE)</f>
        <v>Noida</v>
      </c>
      <c r="E578" s="16" t="str">
        <f>VLOOKUP(B578,'Compiled Agents'!A:H,5,FALSE)</f>
        <v>Wave1</v>
      </c>
      <c r="F578" s="16" t="str">
        <f>VLOOKUP(B578,'Compiled Agents'!A:H,6,FALSE)</f>
        <v>Yellow</v>
      </c>
      <c r="G578" s="16">
        <f>VLOOKUP($A578,'SurveyRpt_20150223 (1)'!$A$34:$AN$735,6,FALSE)</f>
        <v>16</v>
      </c>
      <c r="H578" s="16" t="str">
        <f>VLOOKUP($A578,'SurveyRpt_20150223 (1)'!$A$34:$AN$735,8,FALSE)</f>
        <v>Yes</v>
      </c>
      <c r="I578" s="16" t="str">
        <f>VLOOKUP($A578,'SurveyRpt_20150223 (1)'!$A$34:$AN$735,10,FALSE)</f>
        <v>Yes</v>
      </c>
      <c r="J578" s="16" t="str">
        <f>VLOOKUP($A578,'SurveyRpt_20150223 (1)'!$A$34:$AN$735,12,FALSE)</f>
        <v>Yes</v>
      </c>
      <c r="K578" s="16" t="str">
        <f>VLOOKUP($A578,'SurveyRpt_20150223 (1)'!$A$34:$AN$735,14,FALSE)</f>
        <v>Yes</v>
      </c>
      <c r="L578" s="16" t="str">
        <f>VLOOKUP($A578,'SurveyRpt_20150223 (1)'!$A$34:$AN$735,16,FALSE)</f>
        <v>Yes</v>
      </c>
      <c r="M578" s="16" t="str">
        <f>VLOOKUP($A578,'SurveyRpt_20150223 (1)'!$A$34:$AN$735,18,FALSE)</f>
        <v>Yes</v>
      </c>
      <c r="N578" s="16" t="str">
        <f>VLOOKUP($A578,'SurveyRpt_20150223 (1)'!$A$34:$AN$735,20,FALSE)</f>
        <v>Yes</v>
      </c>
      <c r="O578" s="16" t="str">
        <f>VLOOKUP($A578,'SurveyRpt_20150223 (1)'!$A$34:$AN$735,22,FALSE)</f>
        <v>Yes</v>
      </c>
      <c r="P578" s="16" t="str">
        <f>VLOOKUP($A578,'SurveyRpt_20150223 (1)'!$A$34:$AN$735,24,FALSE)</f>
        <v>Yes</v>
      </c>
      <c r="Q578" s="16" t="str">
        <f>VLOOKUP($A578,'SurveyRpt_20150223 (1)'!$A$34:$AN$735,26,FALSE)</f>
        <v>Yes</v>
      </c>
      <c r="R578" s="16" t="str">
        <f>VLOOKUP($A578,'SurveyRpt_20150223 (1)'!$A$34:$AN$735,28,FALSE)</f>
        <v>Yes</v>
      </c>
      <c r="S578" s="16" t="str">
        <f>VLOOKUP($A578,'SurveyRpt_20150223 (1)'!$A$34:$AN$735,30,FALSE)</f>
        <v>Yes</v>
      </c>
      <c r="T578" s="16" t="str">
        <f>VLOOKUP($A578,'SurveyRpt_20150223 (1)'!$A$34:$AN$735,32,FALSE)</f>
        <v>Yes</v>
      </c>
      <c r="U578" s="16" t="str">
        <f>VLOOKUP($A578,'SurveyRpt_20150223 (1)'!$A$34:$AN$735,34,FALSE)</f>
        <v>Yes</v>
      </c>
      <c r="V578" s="16" t="str">
        <f>VLOOKUP($A578,'SurveyRpt_20150223 (1)'!$A$34:$AN$735,36,FALSE)</f>
        <v>Yes</v>
      </c>
      <c r="W578" s="16" t="str">
        <f>VLOOKUP($A578,'SurveyRpt_20150223 (1)'!$A$34:$AN$735,38,FALSE)</f>
        <v>Yes</v>
      </c>
    </row>
    <row r="579" spans="1:23" ht="13.5" customHeight="1" x14ac:dyDescent="0.25">
      <c r="A579" s="19" t="s">
        <v>672</v>
      </c>
      <c r="B579" s="19" t="str">
        <f t="shared" ref="B579:B642" si="9">TRIM(LEFT(A579,FIND("@",A579)-1))</f>
        <v>SGEDDAM2</v>
      </c>
      <c r="C579" s="16" t="str">
        <f>VLOOKUP(B579,'Compiled Agents'!A:H,2,FALSE)</f>
        <v>Platform</v>
      </c>
      <c r="D579" s="16" t="str">
        <f>VLOOKUP(B579,'Compiled Agents'!A:H,4,FALSE)</f>
        <v>Hyderabad</v>
      </c>
      <c r="E579" s="16" t="str">
        <f>VLOOKUP(B579,'Compiled Agents'!A:H,5,FALSE)</f>
        <v>Wave1</v>
      </c>
      <c r="F579" s="16" t="str">
        <f>VLOOKUP(B579,'Compiled Agents'!A:H,6,FALSE)</f>
        <v>Orange</v>
      </c>
      <c r="G579" s="16">
        <f>VLOOKUP($A579,'SurveyRpt_20150223 (1)'!$A$34:$AN$735,6,FALSE)</f>
        <v>15</v>
      </c>
      <c r="H579" s="16" t="str">
        <f>VLOOKUP($A579,'SurveyRpt_20150223 (1)'!$A$34:$AN$735,8,FALSE)</f>
        <v>Yes</v>
      </c>
      <c r="I579" s="16" t="str">
        <f>VLOOKUP($A579,'SurveyRpt_20150223 (1)'!$A$34:$AN$735,10,FALSE)</f>
        <v>Yes</v>
      </c>
      <c r="J579" s="16" t="str">
        <f>VLOOKUP($A579,'SurveyRpt_20150223 (1)'!$A$34:$AN$735,12,FALSE)</f>
        <v>Yes</v>
      </c>
      <c r="K579" s="16" t="str">
        <f>VLOOKUP($A579,'SurveyRpt_20150223 (1)'!$A$34:$AN$735,14,FALSE)</f>
        <v>No</v>
      </c>
      <c r="L579" s="16" t="str">
        <f>VLOOKUP($A579,'SurveyRpt_20150223 (1)'!$A$34:$AN$735,16,FALSE)</f>
        <v>Yes</v>
      </c>
      <c r="M579" s="16" t="str">
        <f>VLOOKUP($A579,'SurveyRpt_20150223 (1)'!$A$34:$AN$735,18,FALSE)</f>
        <v>Yes</v>
      </c>
      <c r="N579" s="16" t="str">
        <f>VLOOKUP($A579,'SurveyRpt_20150223 (1)'!$A$34:$AN$735,20,FALSE)</f>
        <v>Yes</v>
      </c>
      <c r="O579" s="16" t="str">
        <f>VLOOKUP($A579,'SurveyRpt_20150223 (1)'!$A$34:$AN$735,22,FALSE)</f>
        <v>Yes</v>
      </c>
      <c r="P579" s="16" t="str">
        <f>VLOOKUP($A579,'SurveyRpt_20150223 (1)'!$A$34:$AN$735,24,FALSE)</f>
        <v>Yes</v>
      </c>
      <c r="Q579" s="16" t="str">
        <f>VLOOKUP($A579,'SurveyRpt_20150223 (1)'!$A$34:$AN$735,26,FALSE)</f>
        <v>Yes</v>
      </c>
      <c r="R579" s="16" t="str">
        <f>VLOOKUP($A579,'SurveyRpt_20150223 (1)'!$A$34:$AN$735,28,FALSE)</f>
        <v>Yes</v>
      </c>
      <c r="S579" s="16" t="str">
        <f>VLOOKUP($A579,'SurveyRpt_20150223 (1)'!$A$34:$AN$735,30,FALSE)</f>
        <v>Yes</v>
      </c>
      <c r="T579" s="16" t="str">
        <f>VLOOKUP($A579,'SurveyRpt_20150223 (1)'!$A$34:$AN$735,32,FALSE)</f>
        <v>Yes</v>
      </c>
      <c r="U579" s="16" t="str">
        <f>VLOOKUP($A579,'SurveyRpt_20150223 (1)'!$A$34:$AN$735,34,FALSE)</f>
        <v>Yes</v>
      </c>
      <c r="V579" s="16" t="str">
        <f>VLOOKUP($A579,'SurveyRpt_20150223 (1)'!$A$34:$AN$735,36,FALSE)</f>
        <v>Yes</v>
      </c>
      <c r="W579" s="16" t="str">
        <f>VLOOKUP($A579,'SurveyRpt_20150223 (1)'!$A$34:$AN$735,38,FALSE)</f>
        <v>Yes</v>
      </c>
    </row>
    <row r="580" spans="1:23" ht="13.5" customHeight="1" x14ac:dyDescent="0.25">
      <c r="A580" s="19" t="s">
        <v>673</v>
      </c>
      <c r="B580" s="19" t="str">
        <f t="shared" si="9"/>
        <v>SGUJJALA</v>
      </c>
      <c r="C580" s="16" t="str">
        <f>VLOOKUP(B580,'Compiled Agents'!A:H,2,FALSE)</f>
        <v>Platform</v>
      </c>
      <c r="D580" s="16" t="str">
        <f>VLOOKUP(B580,'Compiled Agents'!A:H,4,FALSE)</f>
        <v>Hyderabad</v>
      </c>
      <c r="E580" s="16" t="str">
        <f>VLOOKUP(B580,'Compiled Agents'!A:H,5,FALSE)</f>
        <v>Wave1</v>
      </c>
      <c r="F580" s="16" t="str">
        <f>VLOOKUP(B580,'Compiled Agents'!A:H,6,FALSE)</f>
        <v>Purple</v>
      </c>
      <c r="G580" s="16">
        <f>VLOOKUP($A580,'SurveyRpt_20150223 (1)'!$A$34:$AN$735,6,FALSE)</f>
        <v>16</v>
      </c>
      <c r="H580" s="16" t="str">
        <f>VLOOKUP($A580,'SurveyRpt_20150223 (1)'!$A$34:$AN$735,8,FALSE)</f>
        <v>Yes</v>
      </c>
      <c r="I580" s="16" t="str">
        <f>VLOOKUP($A580,'SurveyRpt_20150223 (1)'!$A$34:$AN$735,10,FALSE)</f>
        <v>Yes</v>
      </c>
      <c r="J580" s="16" t="str">
        <f>VLOOKUP($A580,'SurveyRpt_20150223 (1)'!$A$34:$AN$735,12,FALSE)</f>
        <v>Yes</v>
      </c>
      <c r="K580" s="16" t="str">
        <f>VLOOKUP($A580,'SurveyRpt_20150223 (1)'!$A$34:$AN$735,14,FALSE)</f>
        <v>Yes</v>
      </c>
      <c r="L580" s="16" t="str">
        <f>VLOOKUP($A580,'SurveyRpt_20150223 (1)'!$A$34:$AN$735,16,FALSE)</f>
        <v>Yes</v>
      </c>
      <c r="M580" s="16" t="str">
        <f>VLOOKUP($A580,'SurveyRpt_20150223 (1)'!$A$34:$AN$735,18,FALSE)</f>
        <v>Yes</v>
      </c>
      <c r="N580" s="16" t="str">
        <f>VLOOKUP($A580,'SurveyRpt_20150223 (1)'!$A$34:$AN$735,20,FALSE)</f>
        <v>Yes</v>
      </c>
      <c r="O580" s="16" t="str">
        <f>VLOOKUP($A580,'SurveyRpt_20150223 (1)'!$A$34:$AN$735,22,FALSE)</f>
        <v>Yes</v>
      </c>
      <c r="P580" s="16" t="str">
        <f>VLOOKUP($A580,'SurveyRpt_20150223 (1)'!$A$34:$AN$735,24,FALSE)</f>
        <v>Yes</v>
      </c>
      <c r="Q580" s="16" t="str">
        <f>VLOOKUP($A580,'SurveyRpt_20150223 (1)'!$A$34:$AN$735,26,FALSE)</f>
        <v>Yes</v>
      </c>
      <c r="R580" s="16" t="str">
        <f>VLOOKUP($A580,'SurveyRpt_20150223 (1)'!$A$34:$AN$735,28,FALSE)</f>
        <v>Yes</v>
      </c>
      <c r="S580" s="16" t="str">
        <f>VLOOKUP($A580,'SurveyRpt_20150223 (1)'!$A$34:$AN$735,30,FALSE)</f>
        <v>Yes</v>
      </c>
      <c r="T580" s="16" t="str">
        <f>VLOOKUP($A580,'SurveyRpt_20150223 (1)'!$A$34:$AN$735,32,FALSE)</f>
        <v>Yes</v>
      </c>
      <c r="U580" s="16" t="str">
        <f>VLOOKUP($A580,'SurveyRpt_20150223 (1)'!$A$34:$AN$735,34,FALSE)</f>
        <v>Yes</v>
      </c>
      <c r="V580" s="16" t="str">
        <f>VLOOKUP($A580,'SurveyRpt_20150223 (1)'!$A$34:$AN$735,36,FALSE)</f>
        <v>Yes</v>
      </c>
      <c r="W580" s="16" t="str">
        <f>VLOOKUP($A580,'SurveyRpt_20150223 (1)'!$A$34:$AN$735,38,FALSE)</f>
        <v>Yes</v>
      </c>
    </row>
    <row r="581" spans="1:23" ht="13.5" customHeight="1" x14ac:dyDescent="0.25">
      <c r="A581" s="19" t="s">
        <v>674</v>
      </c>
      <c r="B581" s="19" t="str">
        <f t="shared" si="9"/>
        <v>tmccullough</v>
      </c>
      <c r="C581" s="16" t="str">
        <f>VLOOKUP(B581,'Compiled Agents'!A:H,2,FALSE)</f>
        <v>Workplace</v>
      </c>
      <c r="D581" s="16" t="str">
        <f>VLOOKUP(B581,'Compiled Agents'!A:H,4,FALSE)</f>
        <v>MBC US</v>
      </c>
      <c r="E581" s="16" t="str">
        <f>VLOOKUP(B581,'Compiled Agents'!A:H,5,FALSE)</f>
        <v>Wave2</v>
      </c>
      <c r="F581" s="16" t="str">
        <f>VLOOKUP(B581,'Compiled Agents'!A:H,6,FALSE)</f>
        <v>Blue</v>
      </c>
      <c r="G581" s="16">
        <f>VLOOKUP($A581,'SurveyRpt_20150223 (1)'!$A$34:$AN$735,6,FALSE)</f>
        <v>16</v>
      </c>
      <c r="H581" s="16" t="str">
        <f>VLOOKUP($A581,'SurveyRpt_20150223 (1)'!$A$34:$AN$735,8,FALSE)</f>
        <v>Yes</v>
      </c>
      <c r="I581" s="16" t="str">
        <f>VLOOKUP($A581,'SurveyRpt_20150223 (1)'!$A$34:$AN$735,10,FALSE)</f>
        <v>Yes</v>
      </c>
      <c r="J581" s="16" t="str">
        <f>VLOOKUP($A581,'SurveyRpt_20150223 (1)'!$A$34:$AN$735,12,FALSE)</f>
        <v>Yes</v>
      </c>
      <c r="K581" s="16" t="str">
        <f>VLOOKUP($A581,'SurveyRpt_20150223 (1)'!$A$34:$AN$735,14,FALSE)</f>
        <v>Yes</v>
      </c>
      <c r="L581" s="16" t="str">
        <f>VLOOKUP($A581,'SurveyRpt_20150223 (1)'!$A$34:$AN$735,16,FALSE)</f>
        <v>Yes</v>
      </c>
      <c r="M581" s="16" t="str">
        <f>VLOOKUP($A581,'SurveyRpt_20150223 (1)'!$A$34:$AN$735,18,FALSE)</f>
        <v>Yes</v>
      </c>
      <c r="N581" s="16" t="str">
        <f>VLOOKUP($A581,'SurveyRpt_20150223 (1)'!$A$34:$AN$735,20,FALSE)</f>
        <v>Yes</v>
      </c>
      <c r="O581" s="16" t="str">
        <f>VLOOKUP($A581,'SurveyRpt_20150223 (1)'!$A$34:$AN$735,22,FALSE)</f>
        <v>Yes</v>
      </c>
      <c r="P581" s="16" t="str">
        <f>VLOOKUP($A581,'SurveyRpt_20150223 (1)'!$A$34:$AN$735,24,FALSE)</f>
        <v>Yes</v>
      </c>
      <c r="Q581" s="16" t="str">
        <f>VLOOKUP($A581,'SurveyRpt_20150223 (1)'!$A$34:$AN$735,26,FALSE)</f>
        <v>Yes</v>
      </c>
      <c r="R581" s="16" t="str">
        <f>VLOOKUP($A581,'SurveyRpt_20150223 (1)'!$A$34:$AN$735,28,FALSE)</f>
        <v>Yes</v>
      </c>
      <c r="S581" s="16" t="str">
        <f>VLOOKUP($A581,'SurveyRpt_20150223 (1)'!$A$34:$AN$735,30,FALSE)</f>
        <v>Yes</v>
      </c>
      <c r="T581" s="16" t="str">
        <f>VLOOKUP($A581,'SurveyRpt_20150223 (1)'!$A$34:$AN$735,32,FALSE)</f>
        <v>Yes</v>
      </c>
      <c r="U581" s="16" t="str">
        <f>VLOOKUP($A581,'SurveyRpt_20150223 (1)'!$A$34:$AN$735,34,FALSE)</f>
        <v>Yes</v>
      </c>
      <c r="V581" s="16" t="str">
        <f>VLOOKUP($A581,'SurveyRpt_20150223 (1)'!$A$34:$AN$735,36,FALSE)</f>
        <v>Yes</v>
      </c>
      <c r="W581" s="16" t="str">
        <f>VLOOKUP($A581,'SurveyRpt_20150223 (1)'!$A$34:$AN$735,38,FALSE)</f>
        <v>Yes</v>
      </c>
    </row>
    <row r="582" spans="1:23" ht="13.5" customHeight="1" x14ac:dyDescent="0.25">
      <c r="A582" s="19" t="s">
        <v>675</v>
      </c>
      <c r="B582" s="19" t="str">
        <f t="shared" si="9"/>
        <v>rsainzpando</v>
      </c>
      <c r="C582" s="16" t="str">
        <f>VLOOKUP(B582,'Compiled Agents'!A:H,2,FALSE)</f>
        <v>Platform</v>
      </c>
      <c r="D582" s="16" t="str">
        <f>VLOOKUP(B582,'Compiled Agents'!A:H,4,FALSE)</f>
        <v>Spain</v>
      </c>
      <c r="E582" s="16" t="str">
        <f>VLOOKUP(B582,'Compiled Agents'!A:H,5,FALSE)</f>
        <v>Wave1</v>
      </c>
      <c r="F582" s="16" t="str">
        <f>VLOOKUP(B582,'Compiled Agents'!A:H,6,FALSE)</f>
        <v>Blue</v>
      </c>
      <c r="G582" s="16">
        <f>VLOOKUP($A582,'SurveyRpt_20150223 (1)'!$A$34:$AN$735,6,FALSE)</f>
        <v>0</v>
      </c>
      <c r="H582" s="16" t="str">
        <f>VLOOKUP($A582,'SurveyRpt_20150223 (1)'!$A$34:$AN$735,8,FALSE)</f>
        <v>No</v>
      </c>
      <c r="I582" s="16" t="str">
        <f>VLOOKUP($A582,'SurveyRpt_20150223 (1)'!$A$34:$AN$735,10,FALSE)</f>
        <v>No</v>
      </c>
      <c r="J582" s="16" t="str">
        <f>VLOOKUP($A582,'SurveyRpt_20150223 (1)'!$A$34:$AN$735,12,FALSE)</f>
        <v>No</v>
      </c>
      <c r="K582" s="16" t="str">
        <f>VLOOKUP($A582,'SurveyRpt_20150223 (1)'!$A$34:$AN$735,14,FALSE)</f>
        <v>No</v>
      </c>
      <c r="L582" s="16" t="str">
        <f>VLOOKUP($A582,'SurveyRpt_20150223 (1)'!$A$34:$AN$735,16,FALSE)</f>
        <v>No</v>
      </c>
      <c r="M582" s="16" t="str">
        <f>VLOOKUP($A582,'SurveyRpt_20150223 (1)'!$A$34:$AN$735,18,FALSE)</f>
        <v>No</v>
      </c>
      <c r="N582" s="16" t="str">
        <f>VLOOKUP($A582,'SurveyRpt_20150223 (1)'!$A$34:$AN$735,20,FALSE)</f>
        <v>No</v>
      </c>
      <c r="O582" s="16" t="str">
        <f>VLOOKUP($A582,'SurveyRpt_20150223 (1)'!$A$34:$AN$735,22,FALSE)</f>
        <v>No</v>
      </c>
      <c r="P582" s="16" t="str">
        <f>VLOOKUP($A582,'SurveyRpt_20150223 (1)'!$A$34:$AN$735,24,FALSE)</f>
        <v>No</v>
      </c>
      <c r="Q582" s="16" t="str">
        <f>VLOOKUP($A582,'SurveyRpt_20150223 (1)'!$A$34:$AN$735,26,FALSE)</f>
        <v>No</v>
      </c>
      <c r="R582" s="16" t="str">
        <f>VLOOKUP($A582,'SurveyRpt_20150223 (1)'!$A$34:$AN$735,28,FALSE)</f>
        <v>No</v>
      </c>
      <c r="S582" s="16" t="str">
        <f>VLOOKUP($A582,'SurveyRpt_20150223 (1)'!$A$34:$AN$735,30,FALSE)</f>
        <v>No</v>
      </c>
      <c r="T582" s="16" t="str">
        <f>VLOOKUP($A582,'SurveyRpt_20150223 (1)'!$A$34:$AN$735,32,FALSE)</f>
        <v>No</v>
      </c>
      <c r="U582" s="16" t="str">
        <f>VLOOKUP($A582,'SurveyRpt_20150223 (1)'!$A$34:$AN$735,34,FALSE)</f>
        <v>No</v>
      </c>
      <c r="V582" s="16" t="str">
        <f>VLOOKUP($A582,'SurveyRpt_20150223 (1)'!$A$34:$AN$735,36,FALSE)</f>
        <v>No</v>
      </c>
      <c r="W582" s="16" t="str">
        <f>VLOOKUP($A582,'SurveyRpt_20150223 (1)'!$A$34:$AN$735,38,FALSE)</f>
        <v>No</v>
      </c>
    </row>
    <row r="583" spans="1:23" ht="13.5" customHeight="1" x14ac:dyDescent="0.25">
      <c r="A583" s="19" t="s">
        <v>676</v>
      </c>
      <c r="B583" s="19" t="str">
        <f t="shared" si="9"/>
        <v>HKUMARKAKKAR</v>
      </c>
      <c r="C583" s="16" t="str">
        <f>VLOOKUP(B583,'Compiled Agents'!A:H,2,FALSE)</f>
        <v>Workplace</v>
      </c>
      <c r="D583" s="16" t="str">
        <f>VLOOKUP(B583,'Compiled Agents'!A:H,4,FALSE)</f>
        <v>Noida</v>
      </c>
      <c r="E583" s="16" t="str">
        <f>VLOOKUP(B583,'Compiled Agents'!A:H,5,FALSE)</f>
        <v>Wave1</v>
      </c>
      <c r="F583" s="16" t="str">
        <f>VLOOKUP(B583,'Compiled Agents'!A:H,6,FALSE)</f>
        <v>Orange</v>
      </c>
      <c r="G583" s="16">
        <f>VLOOKUP($A583,'SurveyRpt_20150223 (1)'!$A$34:$AN$735,6,FALSE)</f>
        <v>15</v>
      </c>
      <c r="H583" s="16" t="str">
        <f>VLOOKUP($A583,'SurveyRpt_20150223 (1)'!$A$34:$AN$735,8,FALSE)</f>
        <v>Yes</v>
      </c>
      <c r="I583" s="16" t="str">
        <f>VLOOKUP($A583,'SurveyRpt_20150223 (1)'!$A$34:$AN$735,10,FALSE)</f>
        <v>Yes</v>
      </c>
      <c r="J583" s="16" t="str">
        <f>VLOOKUP($A583,'SurveyRpt_20150223 (1)'!$A$34:$AN$735,12,FALSE)</f>
        <v>Yes</v>
      </c>
      <c r="K583" s="16" t="str">
        <f>VLOOKUP($A583,'SurveyRpt_20150223 (1)'!$A$34:$AN$735,14,FALSE)</f>
        <v>Yes</v>
      </c>
      <c r="L583" s="16" t="str">
        <f>VLOOKUP($A583,'SurveyRpt_20150223 (1)'!$A$34:$AN$735,16,FALSE)</f>
        <v>Yes</v>
      </c>
      <c r="M583" s="16" t="str">
        <f>VLOOKUP($A583,'SurveyRpt_20150223 (1)'!$A$34:$AN$735,18,FALSE)</f>
        <v>No</v>
      </c>
      <c r="N583" s="16" t="str">
        <f>VLOOKUP($A583,'SurveyRpt_20150223 (1)'!$A$34:$AN$735,20,FALSE)</f>
        <v>Yes</v>
      </c>
      <c r="O583" s="16" t="str">
        <f>VLOOKUP($A583,'SurveyRpt_20150223 (1)'!$A$34:$AN$735,22,FALSE)</f>
        <v>Yes</v>
      </c>
      <c r="P583" s="16" t="str">
        <f>VLOOKUP($A583,'SurveyRpt_20150223 (1)'!$A$34:$AN$735,24,FALSE)</f>
        <v>Yes</v>
      </c>
      <c r="Q583" s="16" t="str">
        <f>VLOOKUP($A583,'SurveyRpt_20150223 (1)'!$A$34:$AN$735,26,FALSE)</f>
        <v>Yes</v>
      </c>
      <c r="R583" s="16" t="str">
        <f>VLOOKUP($A583,'SurveyRpt_20150223 (1)'!$A$34:$AN$735,28,FALSE)</f>
        <v>Yes</v>
      </c>
      <c r="S583" s="16" t="str">
        <f>VLOOKUP($A583,'SurveyRpt_20150223 (1)'!$A$34:$AN$735,30,FALSE)</f>
        <v>Yes</v>
      </c>
      <c r="T583" s="16" t="str">
        <f>VLOOKUP($A583,'SurveyRpt_20150223 (1)'!$A$34:$AN$735,32,FALSE)</f>
        <v>Yes</v>
      </c>
      <c r="U583" s="16" t="str">
        <f>VLOOKUP($A583,'SurveyRpt_20150223 (1)'!$A$34:$AN$735,34,FALSE)</f>
        <v>Yes</v>
      </c>
      <c r="V583" s="16" t="str">
        <f>VLOOKUP($A583,'SurveyRpt_20150223 (1)'!$A$34:$AN$735,36,FALSE)</f>
        <v>Yes</v>
      </c>
      <c r="W583" s="16" t="str">
        <f>VLOOKUP($A583,'SurveyRpt_20150223 (1)'!$A$34:$AN$735,38,FALSE)</f>
        <v>Yes</v>
      </c>
    </row>
    <row r="584" spans="1:23" ht="13.5" customHeight="1" x14ac:dyDescent="0.25">
      <c r="A584" s="19" t="s">
        <v>677</v>
      </c>
      <c r="B584" s="19" t="str">
        <f t="shared" si="9"/>
        <v>nsoni9</v>
      </c>
      <c r="C584" s="16" t="str">
        <f>VLOOKUP(B584,'Compiled Agents'!A:H,2,FALSE)</f>
        <v>Platform</v>
      </c>
      <c r="D584" s="16" t="str">
        <f>VLOOKUP(B584,'Compiled Agents'!A:H,4,FALSE)</f>
        <v>MBC US</v>
      </c>
      <c r="E584" s="16" t="str">
        <f>VLOOKUP(B584,'Compiled Agents'!A:H,5,FALSE)</f>
        <v>Wave2</v>
      </c>
      <c r="F584" s="16" t="str">
        <f>VLOOKUP(B584,'Compiled Agents'!A:H,6,FALSE)</f>
        <v>Orange</v>
      </c>
      <c r="G584" s="16">
        <f>VLOOKUP($A584,'SurveyRpt_20150223 (1)'!$A$34:$AN$735,6,FALSE)</f>
        <v>16</v>
      </c>
      <c r="H584" s="16" t="str">
        <f>VLOOKUP($A584,'SurveyRpt_20150223 (1)'!$A$34:$AN$735,8,FALSE)</f>
        <v>Yes</v>
      </c>
      <c r="I584" s="16" t="str">
        <f>VLOOKUP($A584,'SurveyRpt_20150223 (1)'!$A$34:$AN$735,10,FALSE)</f>
        <v>Yes</v>
      </c>
      <c r="J584" s="16" t="str">
        <f>VLOOKUP($A584,'SurveyRpt_20150223 (1)'!$A$34:$AN$735,12,FALSE)</f>
        <v>Yes</v>
      </c>
      <c r="K584" s="16" t="str">
        <f>VLOOKUP($A584,'SurveyRpt_20150223 (1)'!$A$34:$AN$735,14,FALSE)</f>
        <v>Yes</v>
      </c>
      <c r="L584" s="16" t="str">
        <f>VLOOKUP($A584,'SurveyRpt_20150223 (1)'!$A$34:$AN$735,16,FALSE)</f>
        <v>Yes</v>
      </c>
      <c r="M584" s="16" t="str">
        <f>VLOOKUP($A584,'SurveyRpt_20150223 (1)'!$A$34:$AN$735,18,FALSE)</f>
        <v>Yes</v>
      </c>
      <c r="N584" s="16" t="str">
        <f>VLOOKUP($A584,'SurveyRpt_20150223 (1)'!$A$34:$AN$735,20,FALSE)</f>
        <v>Yes</v>
      </c>
      <c r="O584" s="16" t="str">
        <f>VLOOKUP($A584,'SurveyRpt_20150223 (1)'!$A$34:$AN$735,22,FALSE)</f>
        <v>Yes</v>
      </c>
      <c r="P584" s="16" t="str">
        <f>VLOOKUP($A584,'SurveyRpt_20150223 (1)'!$A$34:$AN$735,24,FALSE)</f>
        <v>Yes</v>
      </c>
      <c r="Q584" s="16" t="str">
        <f>VLOOKUP($A584,'SurveyRpt_20150223 (1)'!$A$34:$AN$735,26,FALSE)</f>
        <v>Yes</v>
      </c>
      <c r="R584" s="16" t="str">
        <f>VLOOKUP($A584,'SurveyRpt_20150223 (1)'!$A$34:$AN$735,28,FALSE)</f>
        <v>Yes</v>
      </c>
      <c r="S584" s="16" t="str">
        <f>VLOOKUP($A584,'SurveyRpt_20150223 (1)'!$A$34:$AN$735,30,FALSE)</f>
        <v>Yes</v>
      </c>
      <c r="T584" s="16" t="str">
        <f>VLOOKUP($A584,'SurveyRpt_20150223 (1)'!$A$34:$AN$735,32,FALSE)</f>
        <v>Yes</v>
      </c>
      <c r="U584" s="16" t="str">
        <f>VLOOKUP($A584,'SurveyRpt_20150223 (1)'!$A$34:$AN$735,34,FALSE)</f>
        <v>Yes</v>
      </c>
      <c r="V584" s="16" t="str">
        <f>VLOOKUP($A584,'SurveyRpt_20150223 (1)'!$A$34:$AN$735,36,FALSE)</f>
        <v>Yes</v>
      </c>
      <c r="W584" s="16" t="str">
        <f>VLOOKUP($A584,'SurveyRpt_20150223 (1)'!$A$34:$AN$735,38,FALSE)</f>
        <v>Yes</v>
      </c>
    </row>
    <row r="585" spans="1:23" ht="13.5" customHeight="1" x14ac:dyDescent="0.25">
      <c r="A585" s="19" t="s">
        <v>678</v>
      </c>
      <c r="B585" s="19" t="str">
        <f t="shared" si="9"/>
        <v>ssasidharan2</v>
      </c>
      <c r="C585" s="16" t="str">
        <f>VLOOKUP(B585,'Compiled Agents'!A:H,2,FALSE)</f>
        <v>Platform</v>
      </c>
      <c r="D585" s="16" t="str">
        <f>VLOOKUP(B585,'Compiled Agents'!A:H,4,FALSE)</f>
        <v>Noida</v>
      </c>
      <c r="E585" s="16" t="str">
        <f>VLOOKUP(B585,'Compiled Agents'!A:H,5,FALSE)</f>
        <v>Wave2</v>
      </c>
      <c r="F585" s="16" t="str">
        <f>VLOOKUP(B585,'Compiled Agents'!A:H,6,FALSE)</f>
        <v>Purple</v>
      </c>
      <c r="G585" s="16">
        <f>VLOOKUP($A585,'SurveyRpt_20150223 (1)'!$A$34:$AN$735,6,FALSE)</f>
        <v>13</v>
      </c>
      <c r="H585" s="16" t="str">
        <f>VLOOKUP($A585,'SurveyRpt_20150223 (1)'!$A$34:$AN$735,8,FALSE)</f>
        <v>Yes</v>
      </c>
      <c r="I585" s="16" t="str">
        <f>VLOOKUP($A585,'SurveyRpt_20150223 (1)'!$A$34:$AN$735,10,FALSE)</f>
        <v>Yes</v>
      </c>
      <c r="J585" s="16" t="str">
        <f>VLOOKUP($A585,'SurveyRpt_20150223 (1)'!$A$34:$AN$735,12,FALSE)</f>
        <v>Yes</v>
      </c>
      <c r="K585" s="16" t="str">
        <f>VLOOKUP($A585,'SurveyRpt_20150223 (1)'!$A$34:$AN$735,14,FALSE)</f>
        <v>Yes</v>
      </c>
      <c r="L585" s="16" t="str">
        <f>VLOOKUP($A585,'SurveyRpt_20150223 (1)'!$A$34:$AN$735,16,FALSE)</f>
        <v>Yes</v>
      </c>
      <c r="M585" s="16" t="str">
        <f>VLOOKUP($A585,'SurveyRpt_20150223 (1)'!$A$34:$AN$735,18,FALSE)</f>
        <v>Yes</v>
      </c>
      <c r="N585" s="16" t="str">
        <f>VLOOKUP($A585,'SurveyRpt_20150223 (1)'!$A$34:$AN$735,20,FALSE)</f>
        <v>Yes</v>
      </c>
      <c r="O585" s="16" t="str">
        <f>VLOOKUP($A585,'SurveyRpt_20150223 (1)'!$A$34:$AN$735,22,FALSE)</f>
        <v>Yes</v>
      </c>
      <c r="P585" s="16" t="str">
        <f>VLOOKUP($A585,'SurveyRpt_20150223 (1)'!$A$34:$AN$735,24,FALSE)</f>
        <v>Yes</v>
      </c>
      <c r="Q585" s="16" t="str">
        <f>VLOOKUP($A585,'SurveyRpt_20150223 (1)'!$A$34:$AN$735,26,FALSE)</f>
        <v>Yes</v>
      </c>
      <c r="R585" s="16" t="str">
        <f>VLOOKUP($A585,'SurveyRpt_20150223 (1)'!$A$34:$AN$735,28,FALSE)</f>
        <v>Yes</v>
      </c>
      <c r="S585" s="16" t="str">
        <f>VLOOKUP($A585,'SurveyRpt_20150223 (1)'!$A$34:$AN$735,30,FALSE)</f>
        <v>No</v>
      </c>
      <c r="T585" s="16" t="str">
        <f>VLOOKUP($A585,'SurveyRpt_20150223 (1)'!$A$34:$AN$735,32,FALSE)</f>
        <v>No</v>
      </c>
      <c r="U585" s="16" t="str">
        <f>VLOOKUP($A585,'SurveyRpt_20150223 (1)'!$A$34:$AN$735,34,FALSE)</f>
        <v>Yes</v>
      </c>
      <c r="V585" s="16" t="str">
        <f>VLOOKUP($A585,'SurveyRpt_20150223 (1)'!$A$34:$AN$735,36,FALSE)</f>
        <v>Yes</v>
      </c>
      <c r="W585" s="16" t="str">
        <f>VLOOKUP($A585,'SurveyRpt_20150223 (1)'!$A$34:$AN$735,38,FALSE)</f>
        <v>No</v>
      </c>
    </row>
    <row r="586" spans="1:23" ht="13.5" customHeight="1" x14ac:dyDescent="0.25">
      <c r="A586" s="19" t="s">
        <v>679</v>
      </c>
      <c r="B586" s="19" t="str">
        <f t="shared" si="9"/>
        <v>SRAMACHAND25</v>
      </c>
      <c r="C586" s="16" t="str">
        <f>VLOOKUP(B586,'Compiled Agents'!A:H,2,FALSE)</f>
        <v>Workplace</v>
      </c>
      <c r="D586" s="16" t="str">
        <f>VLOOKUP(B586,'Compiled Agents'!A:H,4,FALSE)</f>
        <v>Noida</v>
      </c>
      <c r="E586" s="16" t="str">
        <f>VLOOKUP(B586,'Compiled Agents'!A:H,5,FALSE)</f>
        <v>Wave2</v>
      </c>
      <c r="F586" s="16" t="str">
        <f>VLOOKUP(B586,'Compiled Agents'!A:H,6,FALSE)</f>
        <v>Yellow</v>
      </c>
      <c r="G586" s="16">
        <f>VLOOKUP($A586,'SurveyRpt_20150223 (1)'!$A$34:$AN$735,6,FALSE)</f>
        <v>13</v>
      </c>
      <c r="H586" s="16" t="str">
        <f>VLOOKUP($A586,'SurveyRpt_20150223 (1)'!$A$34:$AN$735,8,FALSE)</f>
        <v>No</v>
      </c>
      <c r="I586" s="16" t="str">
        <f>VLOOKUP($A586,'SurveyRpt_20150223 (1)'!$A$34:$AN$735,10,FALSE)</f>
        <v>Yes</v>
      </c>
      <c r="J586" s="16" t="str">
        <f>VLOOKUP($A586,'SurveyRpt_20150223 (1)'!$A$34:$AN$735,12,FALSE)</f>
        <v>Yes</v>
      </c>
      <c r="K586" s="16" t="str">
        <f>VLOOKUP($A586,'SurveyRpt_20150223 (1)'!$A$34:$AN$735,14,FALSE)</f>
        <v>No</v>
      </c>
      <c r="L586" s="16" t="str">
        <f>VLOOKUP($A586,'SurveyRpt_20150223 (1)'!$A$34:$AN$735,16,FALSE)</f>
        <v>Yes</v>
      </c>
      <c r="M586" s="16" t="str">
        <f>VLOOKUP($A586,'SurveyRpt_20150223 (1)'!$A$34:$AN$735,18,FALSE)</f>
        <v>No</v>
      </c>
      <c r="N586" s="16" t="str">
        <f>VLOOKUP($A586,'SurveyRpt_20150223 (1)'!$A$34:$AN$735,20,FALSE)</f>
        <v>Yes</v>
      </c>
      <c r="O586" s="16" t="str">
        <f>VLOOKUP($A586,'SurveyRpt_20150223 (1)'!$A$34:$AN$735,22,FALSE)</f>
        <v>Yes</v>
      </c>
      <c r="P586" s="16" t="str">
        <f>VLOOKUP($A586,'SurveyRpt_20150223 (1)'!$A$34:$AN$735,24,FALSE)</f>
        <v>Yes</v>
      </c>
      <c r="Q586" s="16" t="str">
        <f>VLOOKUP($A586,'SurveyRpt_20150223 (1)'!$A$34:$AN$735,26,FALSE)</f>
        <v>Yes</v>
      </c>
      <c r="R586" s="16" t="str">
        <f>VLOOKUP($A586,'SurveyRpt_20150223 (1)'!$A$34:$AN$735,28,FALSE)</f>
        <v>Yes</v>
      </c>
      <c r="S586" s="16" t="str">
        <f>VLOOKUP($A586,'SurveyRpt_20150223 (1)'!$A$34:$AN$735,30,FALSE)</f>
        <v>Yes</v>
      </c>
      <c r="T586" s="16" t="str">
        <f>VLOOKUP($A586,'SurveyRpt_20150223 (1)'!$A$34:$AN$735,32,FALSE)</f>
        <v>Yes</v>
      </c>
      <c r="U586" s="16" t="str">
        <f>VLOOKUP($A586,'SurveyRpt_20150223 (1)'!$A$34:$AN$735,34,FALSE)</f>
        <v>Yes</v>
      </c>
      <c r="V586" s="16" t="str">
        <f>VLOOKUP($A586,'SurveyRpt_20150223 (1)'!$A$34:$AN$735,36,FALSE)</f>
        <v>Yes</v>
      </c>
      <c r="W586" s="16" t="str">
        <f>VLOOKUP($A586,'SurveyRpt_20150223 (1)'!$A$34:$AN$735,38,FALSE)</f>
        <v>Yes</v>
      </c>
    </row>
    <row r="587" spans="1:23" ht="13.5" customHeight="1" x14ac:dyDescent="0.25">
      <c r="A587" s="19" t="s">
        <v>680</v>
      </c>
      <c r="B587" s="19" t="str">
        <f t="shared" si="9"/>
        <v>DBHAVSAR</v>
      </c>
      <c r="C587" s="16" t="str">
        <f>VLOOKUP(B587,'Compiled Agents'!A:H,2,FALSE)</f>
        <v>Workplace</v>
      </c>
      <c r="D587" s="16" t="str">
        <f>VLOOKUP(B587,'Compiled Agents'!A:H,4,FALSE)</f>
        <v>Noida</v>
      </c>
      <c r="E587" s="16" t="str">
        <f>VLOOKUP(B587,'Compiled Agents'!A:H,5,FALSE)</f>
        <v>Wave2</v>
      </c>
      <c r="F587" s="16" t="str">
        <f>VLOOKUP(B587,'Compiled Agents'!A:H,6,FALSE)</f>
        <v>Blue</v>
      </c>
      <c r="G587" s="16">
        <f>VLOOKUP($A587,'SurveyRpt_20150223 (1)'!$A$34:$AN$735,6,FALSE)</f>
        <v>15</v>
      </c>
      <c r="H587" s="16" t="str">
        <f>VLOOKUP($A587,'SurveyRpt_20150223 (1)'!$A$34:$AN$735,8,FALSE)</f>
        <v>Yes</v>
      </c>
      <c r="I587" s="16" t="str">
        <f>VLOOKUP($A587,'SurveyRpt_20150223 (1)'!$A$34:$AN$735,10,FALSE)</f>
        <v>Yes</v>
      </c>
      <c r="J587" s="16" t="str">
        <f>VLOOKUP($A587,'SurveyRpt_20150223 (1)'!$A$34:$AN$735,12,FALSE)</f>
        <v>Yes</v>
      </c>
      <c r="K587" s="16" t="str">
        <f>VLOOKUP($A587,'SurveyRpt_20150223 (1)'!$A$34:$AN$735,14,FALSE)</f>
        <v>Yes</v>
      </c>
      <c r="L587" s="16" t="str">
        <f>VLOOKUP($A587,'SurveyRpt_20150223 (1)'!$A$34:$AN$735,16,FALSE)</f>
        <v>Yes</v>
      </c>
      <c r="M587" s="16" t="str">
        <f>VLOOKUP($A587,'SurveyRpt_20150223 (1)'!$A$34:$AN$735,18,FALSE)</f>
        <v>Yes</v>
      </c>
      <c r="N587" s="16" t="str">
        <f>VLOOKUP($A587,'SurveyRpt_20150223 (1)'!$A$34:$AN$735,20,FALSE)</f>
        <v>Yes</v>
      </c>
      <c r="O587" s="16" t="str">
        <f>VLOOKUP($A587,'SurveyRpt_20150223 (1)'!$A$34:$AN$735,22,FALSE)</f>
        <v>Yes</v>
      </c>
      <c r="P587" s="16" t="str">
        <f>VLOOKUP($A587,'SurveyRpt_20150223 (1)'!$A$34:$AN$735,24,FALSE)</f>
        <v>Yes</v>
      </c>
      <c r="Q587" s="16" t="str">
        <f>VLOOKUP($A587,'SurveyRpt_20150223 (1)'!$A$34:$AN$735,26,FALSE)</f>
        <v>Yes</v>
      </c>
      <c r="R587" s="16" t="str">
        <f>VLOOKUP($A587,'SurveyRpt_20150223 (1)'!$A$34:$AN$735,28,FALSE)</f>
        <v>Yes</v>
      </c>
      <c r="S587" s="16" t="str">
        <f>VLOOKUP($A587,'SurveyRpt_20150223 (1)'!$A$34:$AN$735,30,FALSE)</f>
        <v>Yes</v>
      </c>
      <c r="T587" s="16" t="str">
        <f>VLOOKUP($A587,'SurveyRpt_20150223 (1)'!$A$34:$AN$735,32,FALSE)</f>
        <v>Yes</v>
      </c>
      <c r="U587" s="16" t="str">
        <f>VLOOKUP($A587,'SurveyRpt_20150223 (1)'!$A$34:$AN$735,34,FALSE)</f>
        <v>Yes</v>
      </c>
      <c r="V587" s="16" t="str">
        <f>VLOOKUP($A587,'SurveyRpt_20150223 (1)'!$A$34:$AN$735,36,FALSE)</f>
        <v>Yes</v>
      </c>
      <c r="W587" s="16" t="str">
        <f>VLOOKUP($A587,'SurveyRpt_20150223 (1)'!$A$34:$AN$735,38,FALSE)</f>
        <v>No</v>
      </c>
    </row>
    <row r="588" spans="1:23" ht="13.5" customHeight="1" x14ac:dyDescent="0.25">
      <c r="A588" s="19" t="s">
        <v>681</v>
      </c>
      <c r="B588" s="19" t="str">
        <f t="shared" si="9"/>
        <v>NVARSHNEY3</v>
      </c>
      <c r="C588" s="16" t="str">
        <f>VLOOKUP(B588,'Compiled Agents'!A:H,2,FALSE)</f>
        <v>Platform</v>
      </c>
      <c r="D588" s="16" t="str">
        <f>VLOOKUP(B588,'Compiled Agents'!A:H,4,FALSE)</f>
        <v>Noida</v>
      </c>
      <c r="E588" s="16" t="str">
        <f>VLOOKUP(B588,'Compiled Agents'!A:H,5,FALSE)</f>
        <v>Wave1</v>
      </c>
      <c r="F588" s="16" t="str">
        <f>VLOOKUP(B588,'Compiled Agents'!A:H,6,FALSE)</f>
        <v>Yellow</v>
      </c>
      <c r="G588" s="16">
        <f>VLOOKUP($A588,'SurveyRpt_20150223 (1)'!$A$34:$AN$735,6,FALSE)</f>
        <v>14</v>
      </c>
      <c r="H588" s="16" t="str">
        <f>VLOOKUP($A588,'SurveyRpt_20150223 (1)'!$A$34:$AN$735,8,FALSE)</f>
        <v>Yes</v>
      </c>
      <c r="I588" s="16" t="str">
        <f>VLOOKUP($A588,'SurveyRpt_20150223 (1)'!$A$34:$AN$735,10,FALSE)</f>
        <v>Yes</v>
      </c>
      <c r="J588" s="16" t="str">
        <f>VLOOKUP($A588,'SurveyRpt_20150223 (1)'!$A$34:$AN$735,12,FALSE)</f>
        <v>No</v>
      </c>
      <c r="K588" s="16" t="str">
        <f>VLOOKUP($A588,'SurveyRpt_20150223 (1)'!$A$34:$AN$735,14,FALSE)</f>
        <v>No</v>
      </c>
      <c r="L588" s="16" t="str">
        <f>VLOOKUP($A588,'SurveyRpt_20150223 (1)'!$A$34:$AN$735,16,FALSE)</f>
        <v>Yes</v>
      </c>
      <c r="M588" s="16" t="str">
        <f>VLOOKUP($A588,'SurveyRpt_20150223 (1)'!$A$34:$AN$735,18,FALSE)</f>
        <v>Yes</v>
      </c>
      <c r="N588" s="16" t="str">
        <f>VLOOKUP($A588,'SurveyRpt_20150223 (1)'!$A$34:$AN$735,20,FALSE)</f>
        <v>Yes</v>
      </c>
      <c r="O588" s="16" t="str">
        <f>VLOOKUP($A588,'SurveyRpt_20150223 (1)'!$A$34:$AN$735,22,FALSE)</f>
        <v>Yes</v>
      </c>
      <c r="P588" s="16" t="str">
        <f>VLOOKUP($A588,'SurveyRpt_20150223 (1)'!$A$34:$AN$735,24,FALSE)</f>
        <v>Yes</v>
      </c>
      <c r="Q588" s="16" t="str">
        <f>VLOOKUP($A588,'SurveyRpt_20150223 (1)'!$A$34:$AN$735,26,FALSE)</f>
        <v>Yes</v>
      </c>
      <c r="R588" s="16" t="str">
        <f>VLOOKUP($A588,'SurveyRpt_20150223 (1)'!$A$34:$AN$735,28,FALSE)</f>
        <v>Yes</v>
      </c>
      <c r="S588" s="16" t="str">
        <f>VLOOKUP($A588,'SurveyRpt_20150223 (1)'!$A$34:$AN$735,30,FALSE)</f>
        <v>Yes</v>
      </c>
      <c r="T588" s="16" t="str">
        <f>VLOOKUP($A588,'SurveyRpt_20150223 (1)'!$A$34:$AN$735,32,FALSE)</f>
        <v>Yes</v>
      </c>
      <c r="U588" s="16" t="str">
        <f>VLOOKUP($A588,'SurveyRpt_20150223 (1)'!$A$34:$AN$735,34,FALSE)</f>
        <v>Yes</v>
      </c>
      <c r="V588" s="16" t="str">
        <f>VLOOKUP($A588,'SurveyRpt_20150223 (1)'!$A$34:$AN$735,36,FALSE)</f>
        <v>Yes</v>
      </c>
      <c r="W588" s="16" t="str">
        <f>VLOOKUP($A588,'SurveyRpt_20150223 (1)'!$A$34:$AN$735,38,FALSE)</f>
        <v>Yes</v>
      </c>
    </row>
    <row r="589" spans="1:23" ht="13.5" customHeight="1" x14ac:dyDescent="0.25">
      <c r="A589" s="19" t="s">
        <v>682</v>
      </c>
      <c r="B589" s="19" t="str">
        <f t="shared" si="9"/>
        <v>khendri5</v>
      </c>
      <c r="C589" s="16" t="str">
        <f>VLOOKUP(B589,'Compiled Agents'!A:H,2,FALSE)</f>
        <v>Platform</v>
      </c>
      <c r="D589" s="16" t="str">
        <f>VLOOKUP(B589,'Compiled Agents'!A:H,4,FALSE)</f>
        <v>MBC US</v>
      </c>
      <c r="E589" s="16" t="str">
        <f>VLOOKUP(B589,'Compiled Agents'!A:H,5,FALSE)</f>
        <v>Wave2</v>
      </c>
      <c r="F589" s="16" t="str">
        <f>VLOOKUP(B589,'Compiled Agents'!A:H,6,FALSE)</f>
        <v>Orange</v>
      </c>
      <c r="G589" s="16">
        <f>VLOOKUP($A589,'SurveyRpt_20150223 (1)'!$A$34:$AN$735,6,FALSE)</f>
        <v>11</v>
      </c>
      <c r="H589" s="16" t="str">
        <f>VLOOKUP($A589,'SurveyRpt_20150223 (1)'!$A$34:$AN$735,8,FALSE)</f>
        <v>Yes</v>
      </c>
      <c r="I589" s="16" t="str">
        <f>VLOOKUP($A589,'SurveyRpt_20150223 (1)'!$A$34:$AN$735,10,FALSE)</f>
        <v>No</v>
      </c>
      <c r="J589" s="16" t="str">
        <f>VLOOKUP($A589,'SurveyRpt_20150223 (1)'!$A$34:$AN$735,12,FALSE)</f>
        <v>Yes</v>
      </c>
      <c r="K589" s="16" t="str">
        <f>VLOOKUP($A589,'SurveyRpt_20150223 (1)'!$A$34:$AN$735,14,FALSE)</f>
        <v>Yes</v>
      </c>
      <c r="L589" s="16" t="str">
        <f>VLOOKUP($A589,'SurveyRpt_20150223 (1)'!$A$34:$AN$735,16,FALSE)</f>
        <v>Yes</v>
      </c>
      <c r="M589" s="16" t="str">
        <f>VLOOKUP($A589,'SurveyRpt_20150223 (1)'!$A$34:$AN$735,18,FALSE)</f>
        <v>Yes</v>
      </c>
      <c r="N589" s="16" t="str">
        <f>VLOOKUP($A589,'SurveyRpt_20150223 (1)'!$A$34:$AN$735,20,FALSE)</f>
        <v>Yes</v>
      </c>
      <c r="O589" s="16" t="str">
        <f>VLOOKUP($A589,'SurveyRpt_20150223 (1)'!$A$34:$AN$735,22,FALSE)</f>
        <v>Yes</v>
      </c>
      <c r="P589" s="16" t="str">
        <f>VLOOKUP($A589,'SurveyRpt_20150223 (1)'!$A$34:$AN$735,24,FALSE)</f>
        <v>No</v>
      </c>
      <c r="Q589" s="16" t="str">
        <f>VLOOKUP($A589,'SurveyRpt_20150223 (1)'!$A$34:$AN$735,26,FALSE)</f>
        <v>No</v>
      </c>
      <c r="R589" s="16" t="str">
        <f>VLOOKUP($A589,'SurveyRpt_20150223 (1)'!$A$34:$AN$735,28,FALSE)</f>
        <v>Yes</v>
      </c>
      <c r="S589" s="16" t="str">
        <f>VLOOKUP($A589,'SurveyRpt_20150223 (1)'!$A$34:$AN$735,30,FALSE)</f>
        <v>No</v>
      </c>
      <c r="T589" s="16" t="str">
        <f>VLOOKUP($A589,'SurveyRpt_20150223 (1)'!$A$34:$AN$735,32,FALSE)</f>
        <v>No</v>
      </c>
      <c r="U589" s="16" t="str">
        <f>VLOOKUP($A589,'SurveyRpt_20150223 (1)'!$A$34:$AN$735,34,FALSE)</f>
        <v>Yes</v>
      </c>
      <c r="V589" s="16" t="str">
        <f>VLOOKUP($A589,'SurveyRpt_20150223 (1)'!$A$34:$AN$735,36,FALSE)</f>
        <v>Yes</v>
      </c>
      <c r="W589" s="16" t="str">
        <f>VLOOKUP($A589,'SurveyRpt_20150223 (1)'!$A$34:$AN$735,38,FALSE)</f>
        <v>Yes</v>
      </c>
    </row>
    <row r="590" spans="1:23" ht="13.5" customHeight="1" x14ac:dyDescent="0.25">
      <c r="A590" s="19" t="s">
        <v>683</v>
      </c>
      <c r="B590" s="19" t="str">
        <f t="shared" si="9"/>
        <v>IISHRADALIKH</v>
      </c>
      <c r="C590" s="16" t="str">
        <f>VLOOKUP(B590,'Compiled Agents'!A:H,2,FALSE)</f>
        <v>Workplace</v>
      </c>
      <c r="D590" s="16" t="str">
        <f>VLOOKUP(B590,'Compiled Agents'!A:H,4,FALSE)</f>
        <v>Noida</v>
      </c>
      <c r="E590" s="16" t="str">
        <f>VLOOKUP(B590,'Compiled Agents'!A:H,5,FALSE)</f>
        <v>Wave1</v>
      </c>
      <c r="F590" s="16" t="str">
        <f>VLOOKUP(B590,'Compiled Agents'!A:H,6,FALSE)</f>
        <v>Yellow</v>
      </c>
      <c r="G590" s="16">
        <f>VLOOKUP($A590,'SurveyRpt_20150223 (1)'!$A$34:$AN$735,6,FALSE)</f>
        <v>16</v>
      </c>
      <c r="H590" s="16" t="str">
        <f>VLOOKUP($A590,'SurveyRpt_20150223 (1)'!$A$34:$AN$735,8,FALSE)</f>
        <v>Yes</v>
      </c>
      <c r="I590" s="16" t="str">
        <f>VLOOKUP($A590,'SurveyRpt_20150223 (1)'!$A$34:$AN$735,10,FALSE)</f>
        <v>Yes</v>
      </c>
      <c r="J590" s="16" t="str">
        <f>VLOOKUP($A590,'SurveyRpt_20150223 (1)'!$A$34:$AN$735,12,FALSE)</f>
        <v>Yes</v>
      </c>
      <c r="K590" s="16" t="str">
        <f>VLOOKUP($A590,'SurveyRpt_20150223 (1)'!$A$34:$AN$735,14,FALSE)</f>
        <v>Yes</v>
      </c>
      <c r="L590" s="16" t="str">
        <f>VLOOKUP($A590,'SurveyRpt_20150223 (1)'!$A$34:$AN$735,16,FALSE)</f>
        <v>Yes</v>
      </c>
      <c r="M590" s="16" t="str">
        <f>VLOOKUP($A590,'SurveyRpt_20150223 (1)'!$A$34:$AN$735,18,FALSE)</f>
        <v>Yes</v>
      </c>
      <c r="N590" s="16" t="str">
        <f>VLOOKUP($A590,'SurveyRpt_20150223 (1)'!$A$34:$AN$735,20,FALSE)</f>
        <v>Yes</v>
      </c>
      <c r="O590" s="16" t="str">
        <f>VLOOKUP($A590,'SurveyRpt_20150223 (1)'!$A$34:$AN$735,22,FALSE)</f>
        <v>Yes</v>
      </c>
      <c r="P590" s="16" t="str">
        <f>VLOOKUP($A590,'SurveyRpt_20150223 (1)'!$A$34:$AN$735,24,FALSE)</f>
        <v>Yes</v>
      </c>
      <c r="Q590" s="16" t="str">
        <f>VLOOKUP($A590,'SurveyRpt_20150223 (1)'!$A$34:$AN$735,26,FALSE)</f>
        <v>Yes</v>
      </c>
      <c r="R590" s="16" t="str">
        <f>VLOOKUP($A590,'SurveyRpt_20150223 (1)'!$A$34:$AN$735,28,FALSE)</f>
        <v>Yes</v>
      </c>
      <c r="S590" s="16" t="str">
        <f>VLOOKUP($A590,'SurveyRpt_20150223 (1)'!$A$34:$AN$735,30,FALSE)</f>
        <v>Yes</v>
      </c>
      <c r="T590" s="16" t="str">
        <f>VLOOKUP($A590,'SurveyRpt_20150223 (1)'!$A$34:$AN$735,32,FALSE)</f>
        <v>Yes</v>
      </c>
      <c r="U590" s="16" t="str">
        <f>VLOOKUP($A590,'SurveyRpt_20150223 (1)'!$A$34:$AN$735,34,FALSE)</f>
        <v>Yes</v>
      </c>
      <c r="V590" s="16" t="str">
        <f>VLOOKUP($A590,'SurveyRpt_20150223 (1)'!$A$34:$AN$735,36,FALSE)</f>
        <v>Yes</v>
      </c>
      <c r="W590" s="16" t="str">
        <f>VLOOKUP($A590,'SurveyRpt_20150223 (1)'!$A$34:$AN$735,38,FALSE)</f>
        <v>Yes</v>
      </c>
    </row>
    <row r="591" spans="1:23" ht="13.5" customHeight="1" x14ac:dyDescent="0.25">
      <c r="A591" s="19" t="s">
        <v>684</v>
      </c>
      <c r="B591" s="19" t="str">
        <f t="shared" si="9"/>
        <v>hbadalkhan</v>
      </c>
      <c r="C591" s="16" t="str">
        <f>VLOOKUP(B591,'Compiled Agents'!A:H,2,FALSE)</f>
        <v>Platform</v>
      </c>
      <c r="D591" s="16" t="str">
        <f>VLOOKUP(B591,'Compiled Agents'!A:H,4,FALSE)</f>
        <v>Noida</v>
      </c>
      <c r="E591" s="16" t="str">
        <f>VLOOKUP(B591,'Compiled Agents'!A:H,5,FALSE)</f>
        <v>Wave2</v>
      </c>
      <c r="F591" s="16" t="str">
        <f>VLOOKUP(B591,'Compiled Agents'!A:H,6,FALSE)</f>
        <v>Purple</v>
      </c>
      <c r="G591" s="16">
        <f>VLOOKUP($A591,'SurveyRpt_20150223 (1)'!$A$34:$AN$735,6,FALSE)</f>
        <v>16</v>
      </c>
      <c r="H591" s="16" t="str">
        <f>VLOOKUP($A591,'SurveyRpt_20150223 (1)'!$A$34:$AN$735,8,FALSE)</f>
        <v>Yes</v>
      </c>
      <c r="I591" s="16" t="str">
        <f>VLOOKUP($A591,'SurveyRpt_20150223 (1)'!$A$34:$AN$735,10,FALSE)</f>
        <v>Yes</v>
      </c>
      <c r="J591" s="16" t="str">
        <f>VLOOKUP($A591,'SurveyRpt_20150223 (1)'!$A$34:$AN$735,12,FALSE)</f>
        <v>Yes</v>
      </c>
      <c r="K591" s="16" t="str">
        <f>VLOOKUP($A591,'SurveyRpt_20150223 (1)'!$A$34:$AN$735,14,FALSE)</f>
        <v>Yes</v>
      </c>
      <c r="L591" s="16" t="str">
        <f>VLOOKUP($A591,'SurveyRpt_20150223 (1)'!$A$34:$AN$735,16,FALSE)</f>
        <v>Yes</v>
      </c>
      <c r="M591" s="16" t="str">
        <f>VLOOKUP($A591,'SurveyRpt_20150223 (1)'!$A$34:$AN$735,18,FALSE)</f>
        <v>Yes</v>
      </c>
      <c r="N591" s="16" t="str">
        <f>VLOOKUP($A591,'SurveyRpt_20150223 (1)'!$A$34:$AN$735,20,FALSE)</f>
        <v>Yes</v>
      </c>
      <c r="O591" s="16" t="str">
        <f>VLOOKUP($A591,'SurveyRpt_20150223 (1)'!$A$34:$AN$735,22,FALSE)</f>
        <v>Yes</v>
      </c>
      <c r="P591" s="16" t="str">
        <f>VLOOKUP($A591,'SurveyRpt_20150223 (1)'!$A$34:$AN$735,24,FALSE)</f>
        <v>Yes</v>
      </c>
      <c r="Q591" s="16" t="str">
        <f>VLOOKUP($A591,'SurveyRpt_20150223 (1)'!$A$34:$AN$735,26,FALSE)</f>
        <v>Yes</v>
      </c>
      <c r="R591" s="16" t="str">
        <f>VLOOKUP($A591,'SurveyRpt_20150223 (1)'!$A$34:$AN$735,28,FALSE)</f>
        <v>Yes</v>
      </c>
      <c r="S591" s="16" t="str">
        <f>VLOOKUP($A591,'SurveyRpt_20150223 (1)'!$A$34:$AN$735,30,FALSE)</f>
        <v>Yes</v>
      </c>
      <c r="T591" s="16" t="str">
        <f>VLOOKUP($A591,'SurveyRpt_20150223 (1)'!$A$34:$AN$735,32,FALSE)</f>
        <v>Yes</v>
      </c>
      <c r="U591" s="16" t="str">
        <f>VLOOKUP($A591,'SurveyRpt_20150223 (1)'!$A$34:$AN$735,34,FALSE)</f>
        <v>Yes</v>
      </c>
      <c r="V591" s="16" t="str">
        <f>VLOOKUP($A591,'SurveyRpt_20150223 (1)'!$A$34:$AN$735,36,FALSE)</f>
        <v>Yes</v>
      </c>
      <c r="W591" s="16" t="str">
        <f>VLOOKUP($A591,'SurveyRpt_20150223 (1)'!$A$34:$AN$735,38,FALSE)</f>
        <v>Yes</v>
      </c>
    </row>
    <row r="592" spans="1:23" ht="13.5" customHeight="1" x14ac:dyDescent="0.25">
      <c r="A592" s="19" t="s">
        <v>685</v>
      </c>
      <c r="B592" s="19" t="str">
        <f t="shared" si="9"/>
        <v>AFATHIMA</v>
      </c>
      <c r="C592" s="16" t="str">
        <f>VLOOKUP(B592,'Compiled Agents'!A:H,2,FALSE)</f>
        <v>Workplace</v>
      </c>
      <c r="D592" s="16" t="str">
        <f>VLOOKUP(B592,'Compiled Agents'!A:H,4,FALSE)</f>
        <v>Hyderabad</v>
      </c>
      <c r="E592" s="16" t="str">
        <f>VLOOKUP(B592,'Compiled Agents'!A:H,5,FALSE)</f>
        <v>Wave2</v>
      </c>
      <c r="F592" s="16" t="str">
        <f>VLOOKUP(B592,'Compiled Agents'!A:H,6,FALSE)</f>
        <v>Orange</v>
      </c>
      <c r="G592" s="16">
        <f>VLOOKUP($A592,'SurveyRpt_20150223 (1)'!$A$34:$AN$735,6,FALSE)</f>
        <v>16</v>
      </c>
      <c r="H592" s="16" t="str">
        <f>VLOOKUP($A592,'SurveyRpt_20150223 (1)'!$A$34:$AN$735,8,FALSE)</f>
        <v>Yes</v>
      </c>
      <c r="I592" s="16" t="str">
        <f>VLOOKUP($A592,'SurveyRpt_20150223 (1)'!$A$34:$AN$735,10,FALSE)</f>
        <v>Yes</v>
      </c>
      <c r="J592" s="16" t="str">
        <f>VLOOKUP($A592,'SurveyRpt_20150223 (1)'!$A$34:$AN$735,12,FALSE)</f>
        <v>Yes</v>
      </c>
      <c r="K592" s="16" t="str">
        <f>VLOOKUP($A592,'SurveyRpt_20150223 (1)'!$A$34:$AN$735,14,FALSE)</f>
        <v>Yes</v>
      </c>
      <c r="L592" s="16" t="str">
        <f>VLOOKUP($A592,'SurveyRpt_20150223 (1)'!$A$34:$AN$735,16,FALSE)</f>
        <v>Yes</v>
      </c>
      <c r="M592" s="16" t="str">
        <f>VLOOKUP($A592,'SurveyRpt_20150223 (1)'!$A$34:$AN$735,18,FALSE)</f>
        <v>Yes</v>
      </c>
      <c r="N592" s="16" t="str">
        <f>VLOOKUP($A592,'SurveyRpt_20150223 (1)'!$A$34:$AN$735,20,FALSE)</f>
        <v>Yes</v>
      </c>
      <c r="O592" s="16" t="str">
        <f>VLOOKUP($A592,'SurveyRpt_20150223 (1)'!$A$34:$AN$735,22,FALSE)</f>
        <v>Yes</v>
      </c>
      <c r="P592" s="16" t="str">
        <f>VLOOKUP($A592,'SurveyRpt_20150223 (1)'!$A$34:$AN$735,24,FALSE)</f>
        <v>Yes</v>
      </c>
      <c r="Q592" s="16" t="str">
        <f>VLOOKUP($A592,'SurveyRpt_20150223 (1)'!$A$34:$AN$735,26,FALSE)</f>
        <v>Yes</v>
      </c>
      <c r="R592" s="16" t="str">
        <f>VLOOKUP($A592,'SurveyRpt_20150223 (1)'!$A$34:$AN$735,28,FALSE)</f>
        <v>Yes</v>
      </c>
      <c r="S592" s="16" t="str">
        <f>VLOOKUP($A592,'SurveyRpt_20150223 (1)'!$A$34:$AN$735,30,FALSE)</f>
        <v>Yes</v>
      </c>
      <c r="T592" s="16" t="str">
        <f>VLOOKUP($A592,'SurveyRpt_20150223 (1)'!$A$34:$AN$735,32,FALSE)</f>
        <v>Yes</v>
      </c>
      <c r="U592" s="16" t="str">
        <f>VLOOKUP($A592,'SurveyRpt_20150223 (1)'!$A$34:$AN$735,34,FALSE)</f>
        <v>Yes</v>
      </c>
      <c r="V592" s="16" t="str">
        <f>VLOOKUP($A592,'SurveyRpt_20150223 (1)'!$A$34:$AN$735,36,FALSE)</f>
        <v>Yes</v>
      </c>
      <c r="W592" s="16" t="str">
        <f>VLOOKUP($A592,'SurveyRpt_20150223 (1)'!$A$34:$AN$735,38,FALSE)</f>
        <v>Yes</v>
      </c>
    </row>
    <row r="593" spans="1:23" ht="13.5" customHeight="1" x14ac:dyDescent="0.25">
      <c r="A593" s="19" t="s">
        <v>686</v>
      </c>
      <c r="B593" s="19" t="str">
        <f t="shared" si="9"/>
        <v>AGUPTA240</v>
      </c>
      <c r="C593" s="16" t="str">
        <f>VLOOKUP(B593,'Compiled Agents'!A:H,2,FALSE)</f>
        <v>Platform</v>
      </c>
      <c r="D593" s="16" t="str">
        <f>VLOOKUP(B593,'Compiled Agents'!A:H,4,FALSE)</f>
        <v>Hyderabad</v>
      </c>
      <c r="E593" s="16" t="str">
        <f>VLOOKUP(B593,'Compiled Agents'!A:H,5,FALSE)</f>
        <v>Wave1</v>
      </c>
      <c r="F593" s="16" t="str">
        <f>VLOOKUP(B593,'Compiled Agents'!A:H,6,FALSE)</f>
        <v>Yellow</v>
      </c>
      <c r="G593" s="16">
        <f>VLOOKUP($A593,'SurveyRpt_20150223 (1)'!$A$34:$AN$735,6,FALSE)</f>
        <v>16</v>
      </c>
      <c r="H593" s="16" t="str">
        <f>VLOOKUP($A593,'SurveyRpt_20150223 (1)'!$A$34:$AN$735,8,FALSE)</f>
        <v>Yes</v>
      </c>
      <c r="I593" s="16" t="str">
        <f>VLOOKUP($A593,'SurveyRpt_20150223 (1)'!$A$34:$AN$735,10,FALSE)</f>
        <v>Yes</v>
      </c>
      <c r="J593" s="16" t="str">
        <f>VLOOKUP($A593,'SurveyRpt_20150223 (1)'!$A$34:$AN$735,12,FALSE)</f>
        <v>Yes</v>
      </c>
      <c r="K593" s="16" t="str">
        <f>VLOOKUP($A593,'SurveyRpt_20150223 (1)'!$A$34:$AN$735,14,FALSE)</f>
        <v>Yes</v>
      </c>
      <c r="L593" s="16" t="str">
        <f>VLOOKUP($A593,'SurveyRpt_20150223 (1)'!$A$34:$AN$735,16,FALSE)</f>
        <v>Yes</v>
      </c>
      <c r="M593" s="16" t="str">
        <f>VLOOKUP($A593,'SurveyRpt_20150223 (1)'!$A$34:$AN$735,18,FALSE)</f>
        <v>Yes</v>
      </c>
      <c r="N593" s="16" t="str">
        <f>VLOOKUP($A593,'SurveyRpt_20150223 (1)'!$A$34:$AN$735,20,FALSE)</f>
        <v>Yes</v>
      </c>
      <c r="O593" s="16" t="str">
        <f>VLOOKUP($A593,'SurveyRpt_20150223 (1)'!$A$34:$AN$735,22,FALSE)</f>
        <v>Yes</v>
      </c>
      <c r="P593" s="16" t="str">
        <f>VLOOKUP($A593,'SurveyRpt_20150223 (1)'!$A$34:$AN$735,24,FALSE)</f>
        <v>Yes</v>
      </c>
      <c r="Q593" s="16" t="str">
        <f>VLOOKUP($A593,'SurveyRpt_20150223 (1)'!$A$34:$AN$735,26,FALSE)</f>
        <v>Yes</v>
      </c>
      <c r="R593" s="16" t="str">
        <f>VLOOKUP($A593,'SurveyRpt_20150223 (1)'!$A$34:$AN$735,28,FALSE)</f>
        <v>Yes</v>
      </c>
      <c r="S593" s="16" t="str">
        <f>VLOOKUP($A593,'SurveyRpt_20150223 (1)'!$A$34:$AN$735,30,FALSE)</f>
        <v>Yes</v>
      </c>
      <c r="T593" s="16" t="str">
        <f>VLOOKUP($A593,'SurveyRpt_20150223 (1)'!$A$34:$AN$735,32,FALSE)</f>
        <v>Yes</v>
      </c>
      <c r="U593" s="16" t="str">
        <f>VLOOKUP($A593,'SurveyRpt_20150223 (1)'!$A$34:$AN$735,34,FALSE)</f>
        <v>Yes</v>
      </c>
      <c r="V593" s="16" t="str">
        <f>VLOOKUP($A593,'SurveyRpt_20150223 (1)'!$A$34:$AN$735,36,FALSE)</f>
        <v>Yes</v>
      </c>
      <c r="W593" s="16" t="str">
        <f>VLOOKUP($A593,'SurveyRpt_20150223 (1)'!$A$34:$AN$735,38,FALSE)</f>
        <v>Yes</v>
      </c>
    </row>
    <row r="594" spans="1:23" ht="13.5" customHeight="1" x14ac:dyDescent="0.25">
      <c r="A594" s="19" t="s">
        <v>687</v>
      </c>
      <c r="B594" s="19" t="str">
        <f t="shared" si="9"/>
        <v>PVASU</v>
      </c>
      <c r="C594" s="16" t="str">
        <f>VLOOKUP(B594,'Compiled Agents'!A:H,2,FALSE)</f>
        <v>Workplace</v>
      </c>
      <c r="D594" s="16" t="str">
        <f>VLOOKUP(B594,'Compiled Agents'!A:H,4,FALSE)</f>
        <v>Hyderabad</v>
      </c>
      <c r="E594" s="16" t="str">
        <f>VLOOKUP(B594,'Compiled Agents'!A:H,5,FALSE)</f>
        <v>Wave2</v>
      </c>
      <c r="F594" s="16" t="str">
        <f>VLOOKUP(B594,'Compiled Agents'!A:H,6,FALSE)</f>
        <v>Yellow</v>
      </c>
      <c r="G594" s="16">
        <f>VLOOKUP($A594,'SurveyRpt_20150223 (1)'!$A$34:$AN$735,6,FALSE)</f>
        <v>15</v>
      </c>
      <c r="H594" s="16" t="str">
        <f>VLOOKUP($A594,'SurveyRpt_20150223 (1)'!$A$34:$AN$735,8,FALSE)</f>
        <v>Yes</v>
      </c>
      <c r="I594" s="16" t="str">
        <f>VLOOKUP($A594,'SurveyRpt_20150223 (1)'!$A$34:$AN$735,10,FALSE)</f>
        <v>Yes</v>
      </c>
      <c r="J594" s="16" t="str">
        <f>VLOOKUP($A594,'SurveyRpt_20150223 (1)'!$A$34:$AN$735,12,FALSE)</f>
        <v>Yes</v>
      </c>
      <c r="K594" s="16" t="str">
        <f>VLOOKUP($A594,'SurveyRpt_20150223 (1)'!$A$34:$AN$735,14,FALSE)</f>
        <v>Yes</v>
      </c>
      <c r="L594" s="16" t="str">
        <f>VLOOKUP($A594,'SurveyRpt_20150223 (1)'!$A$34:$AN$735,16,FALSE)</f>
        <v>Yes</v>
      </c>
      <c r="M594" s="16" t="str">
        <f>VLOOKUP($A594,'SurveyRpt_20150223 (1)'!$A$34:$AN$735,18,FALSE)</f>
        <v>Yes</v>
      </c>
      <c r="N594" s="16" t="str">
        <f>VLOOKUP($A594,'SurveyRpt_20150223 (1)'!$A$34:$AN$735,20,FALSE)</f>
        <v>No</v>
      </c>
      <c r="O594" s="16" t="str">
        <f>VLOOKUP($A594,'SurveyRpt_20150223 (1)'!$A$34:$AN$735,22,FALSE)</f>
        <v>Yes</v>
      </c>
      <c r="P594" s="16" t="str">
        <f>VLOOKUP($A594,'SurveyRpt_20150223 (1)'!$A$34:$AN$735,24,FALSE)</f>
        <v>Yes</v>
      </c>
      <c r="Q594" s="16" t="str">
        <f>VLOOKUP($A594,'SurveyRpt_20150223 (1)'!$A$34:$AN$735,26,FALSE)</f>
        <v>Yes</v>
      </c>
      <c r="R594" s="16" t="str">
        <f>VLOOKUP($A594,'SurveyRpt_20150223 (1)'!$A$34:$AN$735,28,FALSE)</f>
        <v>Yes</v>
      </c>
      <c r="S594" s="16" t="str">
        <f>VLOOKUP($A594,'SurveyRpt_20150223 (1)'!$A$34:$AN$735,30,FALSE)</f>
        <v>Yes</v>
      </c>
      <c r="T594" s="16" t="str">
        <f>VLOOKUP($A594,'SurveyRpt_20150223 (1)'!$A$34:$AN$735,32,FALSE)</f>
        <v>Yes</v>
      </c>
      <c r="U594" s="16" t="str">
        <f>VLOOKUP($A594,'SurveyRpt_20150223 (1)'!$A$34:$AN$735,34,FALSE)</f>
        <v>Yes</v>
      </c>
      <c r="V594" s="16" t="str">
        <f>VLOOKUP($A594,'SurveyRpt_20150223 (1)'!$A$34:$AN$735,36,FALSE)</f>
        <v>Yes</v>
      </c>
      <c r="W594" s="16" t="str">
        <f>VLOOKUP($A594,'SurveyRpt_20150223 (1)'!$A$34:$AN$735,38,FALSE)</f>
        <v>Yes</v>
      </c>
    </row>
    <row r="595" spans="1:23" ht="13.5" customHeight="1" x14ac:dyDescent="0.25">
      <c r="A595" s="19" t="s">
        <v>688</v>
      </c>
      <c r="B595" s="19" t="str">
        <f t="shared" si="9"/>
        <v>JSINGH56</v>
      </c>
      <c r="C595" s="16" t="str">
        <f>VLOOKUP(B595,'Compiled Agents'!A:H,2,FALSE)</f>
        <v>Platform</v>
      </c>
      <c r="D595" s="16" t="str">
        <f>VLOOKUP(B595,'Compiled Agents'!A:H,4,FALSE)</f>
        <v>Noida</v>
      </c>
      <c r="E595" s="16" t="str">
        <f>VLOOKUP(B595,'Compiled Agents'!A:H,5,FALSE)</f>
        <v>Wave1</v>
      </c>
      <c r="F595" s="16" t="str">
        <f>VLOOKUP(B595,'Compiled Agents'!A:H,6,FALSE)</f>
        <v>Purple</v>
      </c>
      <c r="G595" s="16">
        <f>VLOOKUP($A595,'SurveyRpt_20150223 (1)'!$A$34:$AN$735,6,FALSE)</f>
        <v>12</v>
      </c>
      <c r="H595" s="16" t="str">
        <f>VLOOKUP($A595,'SurveyRpt_20150223 (1)'!$A$34:$AN$735,8,FALSE)</f>
        <v>Yes</v>
      </c>
      <c r="I595" s="16" t="str">
        <f>VLOOKUP($A595,'SurveyRpt_20150223 (1)'!$A$34:$AN$735,10,FALSE)</f>
        <v>Yes</v>
      </c>
      <c r="J595" s="16" t="str">
        <f>VLOOKUP($A595,'SurveyRpt_20150223 (1)'!$A$34:$AN$735,12,FALSE)</f>
        <v>No</v>
      </c>
      <c r="K595" s="16" t="str">
        <f>VLOOKUP($A595,'SurveyRpt_20150223 (1)'!$A$34:$AN$735,14,FALSE)</f>
        <v>Yes</v>
      </c>
      <c r="L595" s="16" t="str">
        <f>VLOOKUP($A595,'SurveyRpt_20150223 (1)'!$A$34:$AN$735,16,FALSE)</f>
        <v>Yes</v>
      </c>
      <c r="M595" s="16" t="str">
        <f>VLOOKUP($A595,'SurveyRpt_20150223 (1)'!$A$34:$AN$735,18,FALSE)</f>
        <v>Yes</v>
      </c>
      <c r="N595" s="16" t="str">
        <f>VLOOKUP($A595,'SurveyRpt_20150223 (1)'!$A$34:$AN$735,20,FALSE)</f>
        <v>Yes</v>
      </c>
      <c r="O595" s="16" t="str">
        <f>VLOOKUP($A595,'SurveyRpt_20150223 (1)'!$A$34:$AN$735,22,FALSE)</f>
        <v>No</v>
      </c>
      <c r="P595" s="16" t="str">
        <f>VLOOKUP($A595,'SurveyRpt_20150223 (1)'!$A$34:$AN$735,24,FALSE)</f>
        <v>Yes</v>
      </c>
      <c r="Q595" s="16" t="str">
        <f>VLOOKUP($A595,'SurveyRpt_20150223 (1)'!$A$34:$AN$735,26,FALSE)</f>
        <v>No</v>
      </c>
      <c r="R595" s="16" t="str">
        <f>VLOOKUP($A595,'SurveyRpt_20150223 (1)'!$A$34:$AN$735,28,FALSE)</f>
        <v>Yes</v>
      </c>
      <c r="S595" s="16" t="str">
        <f>VLOOKUP($A595,'SurveyRpt_20150223 (1)'!$A$34:$AN$735,30,FALSE)</f>
        <v>Yes</v>
      </c>
      <c r="T595" s="16" t="str">
        <f>VLOOKUP($A595,'SurveyRpt_20150223 (1)'!$A$34:$AN$735,32,FALSE)</f>
        <v>Yes</v>
      </c>
      <c r="U595" s="16" t="str">
        <f>VLOOKUP($A595,'SurveyRpt_20150223 (1)'!$A$34:$AN$735,34,FALSE)</f>
        <v>No</v>
      </c>
      <c r="V595" s="16" t="str">
        <f>VLOOKUP($A595,'SurveyRpt_20150223 (1)'!$A$34:$AN$735,36,FALSE)</f>
        <v>Yes</v>
      </c>
      <c r="W595" s="16" t="str">
        <f>VLOOKUP($A595,'SurveyRpt_20150223 (1)'!$A$34:$AN$735,38,FALSE)</f>
        <v>Yes</v>
      </c>
    </row>
    <row r="596" spans="1:23" ht="13.5" customHeight="1" x14ac:dyDescent="0.25">
      <c r="A596" s="19" t="s">
        <v>689</v>
      </c>
      <c r="B596" s="19" t="str">
        <f t="shared" si="9"/>
        <v>LGRANDHI</v>
      </c>
      <c r="C596" s="16" t="str">
        <f>VLOOKUP(B596,'Compiled Agents'!A:H,2,FALSE)</f>
        <v>Platform</v>
      </c>
      <c r="D596" s="16" t="str">
        <f>VLOOKUP(B596,'Compiled Agents'!A:H,4,FALSE)</f>
        <v>Hyderabad</v>
      </c>
      <c r="E596" s="16" t="str">
        <f>VLOOKUP(B596,'Compiled Agents'!A:H,5,FALSE)</f>
        <v>Wave1</v>
      </c>
      <c r="F596" s="16" t="str">
        <f>VLOOKUP(B596,'Compiled Agents'!A:H,6,FALSE)</f>
        <v>Yellow</v>
      </c>
      <c r="G596" s="16">
        <f>VLOOKUP($A596,'SurveyRpt_20150223 (1)'!$A$34:$AN$735,6,FALSE)</f>
        <v>16</v>
      </c>
      <c r="H596" s="16" t="str">
        <f>VLOOKUP($A596,'SurveyRpt_20150223 (1)'!$A$34:$AN$735,8,FALSE)</f>
        <v>Yes</v>
      </c>
      <c r="I596" s="16" t="str">
        <f>VLOOKUP($A596,'SurveyRpt_20150223 (1)'!$A$34:$AN$735,10,FALSE)</f>
        <v>Yes</v>
      </c>
      <c r="J596" s="16" t="str">
        <f>VLOOKUP($A596,'SurveyRpt_20150223 (1)'!$A$34:$AN$735,12,FALSE)</f>
        <v>Yes</v>
      </c>
      <c r="K596" s="16" t="str">
        <f>VLOOKUP($A596,'SurveyRpt_20150223 (1)'!$A$34:$AN$735,14,FALSE)</f>
        <v>Yes</v>
      </c>
      <c r="L596" s="16" t="str">
        <f>VLOOKUP($A596,'SurveyRpt_20150223 (1)'!$A$34:$AN$735,16,FALSE)</f>
        <v>Yes</v>
      </c>
      <c r="M596" s="16" t="str">
        <f>VLOOKUP($A596,'SurveyRpt_20150223 (1)'!$A$34:$AN$735,18,FALSE)</f>
        <v>Yes</v>
      </c>
      <c r="N596" s="16" t="str">
        <f>VLOOKUP($A596,'SurveyRpt_20150223 (1)'!$A$34:$AN$735,20,FALSE)</f>
        <v>Yes</v>
      </c>
      <c r="O596" s="16" t="str">
        <f>VLOOKUP($A596,'SurveyRpt_20150223 (1)'!$A$34:$AN$735,22,FALSE)</f>
        <v>Yes</v>
      </c>
      <c r="P596" s="16" t="str">
        <f>VLOOKUP($A596,'SurveyRpt_20150223 (1)'!$A$34:$AN$735,24,FALSE)</f>
        <v>Yes</v>
      </c>
      <c r="Q596" s="16" t="str">
        <f>VLOOKUP($A596,'SurveyRpt_20150223 (1)'!$A$34:$AN$735,26,FALSE)</f>
        <v>Yes</v>
      </c>
      <c r="R596" s="16" t="str">
        <f>VLOOKUP($A596,'SurveyRpt_20150223 (1)'!$A$34:$AN$735,28,FALSE)</f>
        <v>Yes</v>
      </c>
      <c r="S596" s="16" t="str">
        <f>VLOOKUP($A596,'SurveyRpt_20150223 (1)'!$A$34:$AN$735,30,FALSE)</f>
        <v>Yes</v>
      </c>
      <c r="T596" s="16" t="str">
        <f>VLOOKUP($A596,'SurveyRpt_20150223 (1)'!$A$34:$AN$735,32,FALSE)</f>
        <v>Yes</v>
      </c>
      <c r="U596" s="16" t="str">
        <f>VLOOKUP($A596,'SurveyRpt_20150223 (1)'!$A$34:$AN$735,34,FALSE)</f>
        <v>Yes</v>
      </c>
      <c r="V596" s="16" t="str">
        <f>VLOOKUP($A596,'SurveyRpt_20150223 (1)'!$A$34:$AN$735,36,FALSE)</f>
        <v>Yes</v>
      </c>
      <c r="W596" s="16" t="str">
        <f>VLOOKUP($A596,'SurveyRpt_20150223 (1)'!$A$34:$AN$735,38,FALSE)</f>
        <v>Yes</v>
      </c>
    </row>
    <row r="597" spans="1:23" ht="13.5" customHeight="1" x14ac:dyDescent="0.25">
      <c r="A597" s="19" t="s">
        <v>690</v>
      </c>
      <c r="B597" s="19" t="str">
        <f t="shared" si="9"/>
        <v>ABHARATI2</v>
      </c>
      <c r="C597" s="16" t="str">
        <f>VLOOKUP(B597,'Compiled Agents'!A:H,2,FALSE)</f>
        <v>Platform</v>
      </c>
      <c r="D597" s="16" t="str">
        <f>VLOOKUP(B597,'Compiled Agents'!A:H,4,FALSE)</f>
        <v>Noida</v>
      </c>
      <c r="E597" s="16" t="str">
        <f>VLOOKUP(B597,'Compiled Agents'!A:H,5,FALSE)</f>
        <v>Wave2</v>
      </c>
      <c r="F597" s="16" t="str">
        <f>VLOOKUP(B597,'Compiled Agents'!A:H,6,FALSE)</f>
        <v>Yellow</v>
      </c>
      <c r="G597" s="16">
        <f>VLOOKUP($A597,'SurveyRpt_20150223 (1)'!$A$34:$AN$735,6,FALSE)</f>
        <v>14</v>
      </c>
      <c r="H597" s="16" t="str">
        <f>VLOOKUP($A597,'SurveyRpt_20150223 (1)'!$A$34:$AN$735,8,FALSE)</f>
        <v>Yes</v>
      </c>
      <c r="I597" s="16" t="str">
        <f>VLOOKUP($A597,'SurveyRpt_20150223 (1)'!$A$34:$AN$735,10,FALSE)</f>
        <v>Yes</v>
      </c>
      <c r="J597" s="16" t="str">
        <f>VLOOKUP($A597,'SurveyRpt_20150223 (1)'!$A$34:$AN$735,12,FALSE)</f>
        <v>Yes</v>
      </c>
      <c r="K597" s="16" t="str">
        <f>VLOOKUP($A597,'SurveyRpt_20150223 (1)'!$A$34:$AN$735,14,FALSE)</f>
        <v>Yes</v>
      </c>
      <c r="L597" s="16" t="str">
        <f>VLOOKUP($A597,'SurveyRpt_20150223 (1)'!$A$34:$AN$735,16,FALSE)</f>
        <v>Yes</v>
      </c>
      <c r="M597" s="16" t="str">
        <f>VLOOKUP($A597,'SurveyRpt_20150223 (1)'!$A$34:$AN$735,18,FALSE)</f>
        <v>Yes</v>
      </c>
      <c r="N597" s="16" t="str">
        <f>VLOOKUP($A597,'SurveyRpt_20150223 (1)'!$A$34:$AN$735,20,FALSE)</f>
        <v>Yes</v>
      </c>
      <c r="O597" s="16" t="str">
        <f>VLOOKUP($A597,'SurveyRpt_20150223 (1)'!$A$34:$AN$735,22,FALSE)</f>
        <v>Yes</v>
      </c>
      <c r="P597" s="16" t="str">
        <f>VLOOKUP($A597,'SurveyRpt_20150223 (1)'!$A$34:$AN$735,24,FALSE)</f>
        <v>Yes</v>
      </c>
      <c r="Q597" s="16" t="str">
        <f>VLOOKUP($A597,'SurveyRpt_20150223 (1)'!$A$34:$AN$735,26,FALSE)</f>
        <v>Yes</v>
      </c>
      <c r="R597" s="16" t="str">
        <f>VLOOKUP($A597,'SurveyRpt_20150223 (1)'!$A$34:$AN$735,28,FALSE)</f>
        <v>Yes</v>
      </c>
      <c r="S597" s="16" t="str">
        <f>VLOOKUP($A597,'SurveyRpt_20150223 (1)'!$A$34:$AN$735,30,FALSE)</f>
        <v>Yes</v>
      </c>
      <c r="T597" s="16" t="str">
        <f>VLOOKUP($A597,'SurveyRpt_20150223 (1)'!$A$34:$AN$735,32,FALSE)</f>
        <v>No</v>
      </c>
      <c r="U597" s="16" t="str">
        <f>VLOOKUP($A597,'SurveyRpt_20150223 (1)'!$A$34:$AN$735,34,FALSE)</f>
        <v>Yes</v>
      </c>
      <c r="V597" s="16" t="str">
        <f>VLOOKUP($A597,'SurveyRpt_20150223 (1)'!$A$34:$AN$735,36,FALSE)</f>
        <v>Yes</v>
      </c>
      <c r="W597" s="16" t="str">
        <f>VLOOKUP($A597,'SurveyRpt_20150223 (1)'!$A$34:$AN$735,38,FALSE)</f>
        <v>No</v>
      </c>
    </row>
    <row r="598" spans="1:23" ht="13.5" customHeight="1" x14ac:dyDescent="0.25">
      <c r="A598" s="19" t="s">
        <v>691</v>
      </c>
      <c r="B598" s="19" t="str">
        <f t="shared" si="9"/>
        <v>KVASHISHT</v>
      </c>
      <c r="C598" s="16" t="str">
        <f>VLOOKUP(B598,'Compiled Agents'!A:H,2,FALSE)</f>
        <v>Platform</v>
      </c>
      <c r="D598" s="16" t="str">
        <f>VLOOKUP(B598,'Compiled Agents'!A:H,4,FALSE)</f>
        <v>Noida</v>
      </c>
      <c r="E598" s="16" t="str">
        <f>VLOOKUP(B598,'Compiled Agents'!A:H,5,FALSE)</f>
        <v>Wave1</v>
      </c>
      <c r="F598" s="16" t="str">
        <f>VLOOKUP(B598,'Compiled Agents'!A:H,6,FALSE)</f>
        <v>Yellow</v>
      </c>
      <c r="G598" s="16">
        <f>VLOOKUP($A598,'SurveyRpt_20150223 (1)'!$A$34:$AN$735,6,FALSE)</f>
        <v>16</v>
      </c>
      <c r="H598" s="16" t="str">
        <f>VLOOKUP($A598,'SurveyRpt_20150223 (1)'!$A$34:$AN$735,8,FALSE)</f>
        <v>Yes</v>
      </c>
      <c r="I598" s="16" t="str">
        <f>VLOOKUP($A598,'SurveyRpt_20150223 (1)'!$A$34:$AN$735,10,FALSE)</f>
        <v>Yes</v>
      </c>
      <c r="J598" s="16" t="str">
        <f>VLOOKUP($A598,'SurveyRpt_20150223 (1)'!$A$34:$AN$735,12,FALSE)</f>
        <v>Yes</v>
      </c>
      <c r="K598" s="16" t="str">
        <f>VLOOKUP($A598,'SurveyRpt_20150223 (1)'!$A$34:$AN$735,14,FALSE)</f>
        <v>Yes</v>
      </c>
      <c r="L598" s="16" t="str">
        <f>VLOOKUP($A598,'SurveyRpt_20150223 (1)'!$A$34:$AN$735,16,FALSE)</f>
        <v>Yes</v>
      </c>
      <c r="M598" s="16" t="str">
        <f>VLOOKUP($A598,'SurveyRpt_20150223 (1)'!$A$34:$AN$735,18,FALSE)</f>
        <v>Yes</v>
      </c>
      <c r="N598" s="16" t="str">
        <f>VLOOKUP($A598,'SurveyRpt_20150223 (1)'!$A$34:$AN$735,20,FALSE)</f>
        <v>Yes</v>
      </c>
      <c r="O598" s="16" t="str">
        <f>VLOOKUP($A598,'SurveyRpt_20150223 (1)'!$A$34:$AN$735,22,FALSE)</f>
        <v>Yes</v>
      </c>
      <c r="P598" s="16" t="str">
        <f>VLOOKUP($A598,'SurveyRpt_20150223 (1)'!$A$34:$AN$735,24,FALSE)</f>
        <v>Yes</v>
      </c>
      <c r="Q598" s="16" t="str">
        <f>VLOOKUP($A598,'SurveyRpt_20150223 (1)'!$A$34:$AN$735,26,FALSE)</f>
        <v>Yes</v>
      </c>
      <c r="R598" s="16" t="str">
        <f>VLOOKUP($A598,'SurveyRpt_20150223 (1)'!$A$34:$AN$735,28,FALSE)</f>
        <v>Yes</v>
      </c>
      <c r="S598" s="16" t="str">
        <f>VLOOKUP($A598,'SurveyRpt_20150223 (1)'!$A$34:$AN$735,30,FALSE)</f>
        <v>Yes</v>
      </c>
      <c r="T598" s="16" t="str">
        <f>VLOOKUP($A598,'SurveyRpt_20150223 (1)'!$A$34:$AN$735,32,FALSE)</f>
        <v>Yes</v>
      </c>
      <c r="U598" s="16" t="str">
        <f>VLOOKUP($A598,'SurveyRpt_20150223 (1)'!$A$34:$AN$735,34,FALSE)</f>
        <v>Yes</v>
      </c>
      <c r="V598" s="16" t="str">
        <f>VLOOKUP($A598,'SurveyRpt_20150223 (1)'!$A$34:$AN$735,36,FALSE)</f>
        <v>Yes</v>
      </c>
      <c r="W598" s="16" t="str">
        <f>VLOOKUP($A598,'SurveyRpt_20150223 (1)'!$A$34:$AN$735,38,FALSE)</f>
        <v>Yes</v>
      </c>
    </row>
    <row r="599" spans="1:23" ht="13.5" customHeight="1" x14ac:dyDescent="0.25">
      <c r="A599" s="19" t="s">
        <v>692</v>
      </c>
      <c r="B599" s="19" t="str">
        <f t="shared" si="9"/>
        <v>PPRIY</v>
      </c>
      <c r="C599" s="16" t="str">
        <f>VLOOKUP(B599,'Compiled Agents'!A:H,2,FALSE)</f>
        <v>Platform</v>
      </c>
      <c r="D599" s="16" t="str">
        <f>VLOOKUP(B599,'Compiled Agents'!A:H,4,FALSE)</f>
        <v>Noida</v>
      </c>
      <c r="E599" s="16" t="str">
        <f>VLOOKUP(B599,'Compiled Agents'!A:H,5,FALSE)</f>
        <v>Wave1</v>
      </c>
      <c r="F599" s="16" t="str">
        <f>VLOOKUP(B599,'Compiled Agents'!A:H,6,FALSE)</f>
        <v>Yellow</v>
      </c>
      <c r="G599" s="16">
        <f>VLOOKUP($A599,'SurveyRpt_20150223 (1)'!$A$34:$AN$735,6,FALSE)</f>
        <v>16</v>
      </c>
      <c r="H599" s="16" t="str">
        <f>VLOOKUP($A599,'SurveyRpt_20150223 (1)'!$A$34:$AN$735,8,FALSE)</f>
        <v>Yes</v>
      </c>
      <c r="I599" s="16" t="str">
        <f>VLOOKUP($A599,'SurveyRpt_20150223 (1)'!$A$34:$AN$735,10,FALSE)</f>
        <v>Yes</v>
      </c>
      <c r="J599" s="16" t="str">
        <f>VLOOKUP($A599,'SurveyRpt_20150223 (1)'!$A$34:$AN$735,12,FALSE)</f>
        <v>Yes</v>
      </c>
      <c r="K599" s="16" t="str">
        <f>VLOOKUP($A599,'SurveyRpt_20150223 (1)'!$A$34:$AN$735,14,FALSE)</f>
        <v>Yes</v>
      </c>
      <c r="L599" s="16" t="str">
        <f>VLOOKUP($A599,'SurveyRpt_20150223 (1)'!$A$34:$AN$735,16,FALSE)</f>
        <v>Yes</v>
      </c>
      <c r="M599" s="16" t="str">
        <f>VLOOKUP($A599,'SurveyRpt_20150223 (1)'!$A$34:$AN$735,18,FALSE)</f>
        <v>Yes</v>
      </c>
      <c r="N599" s="16" t="str">
        <f>VLOOKUP($A599,'SurveyRpt_20150223 (1)'!$A$34:$AN$735,20,FALSE)</f>
        <v>Yes</v>
      </c>
      <c r="O599" s="16" t="str">
        <f>VLOOKUP($A599,'SurveyRpt_20150223 (1)'!$A$34:$AN$735,22,FALSE)</f>
        <v>Yes</v>
      </c>
      <c r="P599" s="16" t="str">
        <f>VLOOKUP($A599,'SurveyRpt_20150223 (1)'!$A$34:$AN$735,24,FALSE)</f>
        <v>Yes</v>
      </c>
      <c r="Q599" s="16" t="str">
        <f>VLOOKUP($A599,'SurveyRpt_20150223 (1)'!$A$34:$AN$735,26,FALSE)</f>
        <v>Yes</v>
      </c>
      <c r="R599" s="16" t="str">
        <f>VLOOKUP($A599,'SurveyRpt_20150223 (1)'!$A$34:$AN$735,28,FALSE)</f>
        <v>Yes</v>
      </c>
      <c r="S599" s="16" t="str">
        <f>VLOOKUP($A599,'SurveyRpt_20150223 (1)'!$A$34:$AN$735,30,FALSE)</f>
        <v>Yes</v>
      </c>
      <c r="T599" s="16" t="str">
        <f>VLOOKUP($A599,'SurveyRpt_20150223 (1)'!$A$34:$AN$735,32,FALSE)</f>
        <v>Yes</v>
      </c>
      <c r="U599" s="16" t="str">
        <f>VLOOKUP($A599,'SurveyRpt_20150223 (1)'!$A$34:$AN$735,34,FALSE)</f>
        <v>Yes</v>
      </c>
      <c r="V599" s="16" t="str">
        <f>VLOOKUP($A599,'SurveyRpt_20150223 (1)'!$A$34:$AN$735,36,FALSE)</f>
        <v>Yes</v>
      </c>
      <c r="W599" s="16" t="str">
        <f>VLOOKUP($A599,'SurveyRpt_20150223 (1)'!$A$34:$AN$735,38,FALSE)</f>
        <v>Yes</v>
      </c>
    </row>
    <row r="600" spans="1:23" ht="13.5" customHeight="1" x14ac:dyDescent="0.25">
      <c r="A600" s="19" t="s">
        <v>693</v>
      </c>
      <c r="B600" s="19" t="str">
        <f t="shared" si="9"/>
        <v>RRAWAT25</v>
      </c>
      <c r="C600" s="16" t="str">
        <f>VLOOKUP(B600,'Compiled Agents'!A:H,2,FALSE)</f>
        <v>Platform</v>
      </c>
      <c r="D600" s="16" t="str">
        <f>VLOOKUP(B600,'Compiled Agents'!A:H,4,FALSE)</f>
        <v>Noida</v>
      </c>
      <c r="E600" s="16" t="str">
        <f>VLOOKUP(B600,'Compiled Agents'!A:H,5,FALSE)</f>
        <v>Wave2</v>
      </c>
      <c r="F600" s="16" t="str">
        <f>VLOOKUP(B600,'Compiled Agents'!A:H,6,FALSE)</f>
        <v>Yellow</v>
      </c>
      <c r="G600" s="16">
        <f>VLOOKUP($A600,'SurveyRpt_20150223 (1)'!$A$34:$AN$735,6,FALSE)</f>
        <v>16</v>
      </c>
      <c r="H600" s="16" t="str">
        <f>VLOOKUP($A600,'SurveyRpt_20150223 (1)'!$A$34:$AN$735,8,FALSE)</f>
        <v>Yes</v>
      </c>
      <c r="I600" s="16" t="str">
        <f>VLOOKUP($A600,'SurveyRpt_20150223 (1)'!$A$34:$AN$735,10,FALSE)</f>
        <v>Yes</v>
      </c>
      <c r="J600" s="16" t="str">
        <f>VLOOKUP($A600,'SurveyRpt_20150223 (1)'!$A$34:$AN$735,12,FALSE)</f>
        <v>Yes</v>
      </c>
      <c r="K600" s="16" t="str">
        <f>VLOOKUP($A600,'SurveyRpt_20150223 (1)'!$A$34:$AN$735,14,FALSE)</f>
        <v>Yes</v>
      </c>
      <c r="L600" s="16" t="str">
        <f>VLOOKUP($A600,'SurveyRpt_20150223 (1)'!$A$34:$AN$735,16,FALSE)</f>
        <v>Yes</v>
      </c>
      <c r="M600" s="16" t="str">
        <f>VLOOKUP($A600,'SurveyRpt_20150223 (1)'!$A$34:$AN$735,18,FALSE)</f>
        <v>Yes</v>
      </c>
      <c r="N600" s="16" t="str">
        <f>VLOOKUP($A600,'SurveyRpt_20150223 (1)'!$A$34:$AN$735,20,FALSE)</f>
        <v>Yes</v>
      </c>
      <c r="O600" s="16" t="str">
        <f>VLOOKUP($A600,'SurveyRpt_20150223 (1)'!$A$34:$AN$735,22,FALSE)</f>
        <v>Yes</v>
      </c>
      <c r="P600" s="16" t="str">
        <f>VLOOKUP($A600,'SurveyRpt_20150223 (1)'!$A$34:$AN$735,24,FALSE)</f>
        <v>Yes</v>
      </c>
      <c r="Q600" s="16" t="str">
        <f>VLOOKUP($A600,'SurveyRpt_20150223 (1)'!$A$34:$AN$735,26,FALSE)</f>
        <v>Yes</v>
      </c>
      <c r="R600" s="16" t="str">
        <f>VLOOKUP($A600,'SurveyRpt_20150223 (1)'!$A$34:$AN$735,28,FALSE)</f>
        <v>Yes</v>
      </c>
      <c r="S600" s="16" t="str">
        <f>VLOOKUP($A600,'SurveyRpt_20150223 (1)'!$A$34:$AN$735,30,FALSE)</f>
        <v>Yes</v>
      </c>
      <c r="T600" s="16" t="str">
        <f>VLOOKUP($A600,'SurveyRpt_20150223 (1)'!$A$34:$AN$735,32,FALSE)</f>
        <v>Yes</v>
      </c>
      <c r="U600" s="16" t="str">
        <f>VLOOKUP($A600,'SurveyRpt_20150223 (1)'!$A$34:$AN$735,34,FALSE)</f>
        <v>Yes</v>
      </c>
      <c r="V600" s="16" t="str">
        <f>VLOOKUP($A600,'SurveyRpt_20150223 (1)'!$A$34:$AN$735,36,FALSE)</f>
        <v>Yes</v>
      </c>
      <c r="W600" s="16" t="str">
        <f>VLOOKUP($A600,'SurveyRpt_20150223 (1)'!$A$34:$AN$735,38,FALSE)</f>
        <v>Yes</v>
      </c>
    </row>
    <row r="601" spans="1:23" ht="13.5" customHeight="1" x14ac:dyDescent="0.25">
      <c r="A601" s="19" t="s">
        <v>694</v>
      </c>
      <c r="B601" s="19" t="str">
        <f t="shared" si="9"/>
        <v>gsolomon3</v>
      </c>
      <c r="C601" s="16" t="str">
        <f>VLOOKUP(B601,'Compiled Agents'!A:H,2,FALSE)</f>
        <v>Platform</v>
      </c>
      <c r="D601" s="16" t="str">
        <f>VLOOKUP(B601,'Compiled Agents'!A:H,4,FALSE)</f>
        <v>Noida</v>
      </c>
      <c r="E601" s="16" t="str">
        <f>VLOOKUP(B601,'Compiled Agents'!A:H,5,FALSE)</f>
        <v>Wave2</v>
      </c>
      <c r="F601" s="16" t="str">
        <f>VLOOKUP(B601,'Compiled Agents'!A:H,6,FALSE)</f>
        <v>Yellow</v>
      </c>
      <c r="G601" s="16">
        <f>VLOOKUP($A601,'SurveyRpt_20150223 (1)'!$A$34:$AN$735,6,FALSE)</f>
        <v>16</v>
      </c>
      <c r="H601" s="16" t="str">
        <f>VLOOKUP($A601,'SurveyRpt_20150223 (1)'!$A$34:$AN$735,8,FALSE)</f>
        <v>Yes</v>
      </c>
      <c r="I601" s="16" t="str">
        <f>VLOOKUP($A601,'SurveyRpt_20150223 (1)'!$A$34:$AN$735,10,FALSE)</f>
        <v>Yes</v>
      </c>
      <c r="J601" s="16" t="str">
        <f>VLOOKUP($A601,'SurveyRpt_20150223 (1)'!$A$34:$AN$735,12,FALSE)</f>
        <v>Yes</v>
      </c>
      <c r="K601" s="16" t="str">
        <f>VLOOKUP($A601,'SurveyRpt_20150223 (1)'!$A$34:$AN$735,14,FALSE)</f>
        <v>Yes</v>
      </c>
      <c r="L601" s="16" t="str">
        <f>VLOOKUP($A601,'SurveyRpt_20150223 (1)'!$A$34:$AN$735,16,FALSE)</f>
        <v>Yes</v>
      </c>
      <c r="M601" s="16" t="str">
        <f>VLOOKUP($A601,'SurveyRpt_20150223 (1)'!$A$34:$AN$735,18,FALSE)</f>
        <v>Yes</v>
      </c>
      <c r="N601" s="16" t="str">
        <f>VLOOKUP($A601,'SurveyRpt_20150223 (1)'!$A$34:$AN$735,20,FALSE)</f>
        <v>Yes</v>
      </c>
      <c r="O601" s="16" t="str">
        <f>VLOOKUP($A601,'SurveyRpt_20150223 (1)'!$A$34:$AN$735,22,FALSE)</f>
        <v>Yes</v>
      </c>
      <c r="P601" s="16" t="str">
        <f>VLOOKUP($A601,'SurveyRpt_20150223 (1)'!$A$34:$AN$735,24,FALSE)</f>
        <v>Yes</v>
      </c>
      <c r="Q601" s="16" t="str">
        <f>VLOOKUP($A601,'SurveyRpt_20150223 (1)'!$A$34:$AN$735,26,FALSE)</f>
        <v>Yes</v>
      </c>
      <c r="R601" s="16" t="str">
        <f>VLOOKUP($A601,'SurveyRpt_20150223 (1)'!$A$34:$AN$735,28,FALSE)</f>
        <v>Yes</v>
      </c>
      <c r="S601" s="16" t="str">
        <f>VLOOKUP($A601,'SurveyRpt_20150223 (1)'!$A$34:$AN$735,30,FALSE)</f>
        <v>Yes</v>
      </c>
      <c r="T601" s="16" t="str">
        <f>VLOOKUP($A601,'SurveyRpt_20150223 (1)'!$A$34:$AN$735,32,FALSE)</f>
        <v>Yes</v>
      </c>
      <c r="U601" s="16" t="str">
        <f>VLOOKUP($A601,'SurveyRpt_20150223 (1)'!$A$34:$AN$735,34,FALSE)</f>
        <v>Yes</v>
      </c>
      <c r="V601" s="16" t="str">
        <f>VLOOKUP($A601,'SurveyRpt_20150223 (1)'!$A$34:$AN$735,36,FALSE)</f>
        <v>Yes</v>
      </c>
      <c r="W601" s="16" t="str">
        <f>VLOOKUP($A601,'SurveyRpt_20150223 (1)'!$A$34:$AN$735,38,FALSE)</f>
        <v>Yes</v>
      </c>
    </row>
    <row r="602" spans="1:23" ht="13.5" customHeight="1" x14ac:dyDescent="0.25">
      <c r="A602" s="19" t="s">
        <v>695</v>
      </c>
      <c r="B602" s="19" t="str">
        <f t="shared" si="9"/>
        <v>PSINHAL</v>
      </c>
      <c r="C602" s="16" t="str">
        <f>VLOOKUP(B602,'Compiled Agents'!A:H,2,FALSE)</f>
        <v>Workplace</v>
      </c>
      <c r="D602" s="16" t="str">
        <f>VLOOKUP(B602,'Compiled Agents'!A:H,4,FALSE)</f>
        <v>Hyderabad</v>
      </c>
      <c r="E602" s="16" t="str">
        <f>VLOOKUP(B602,'Compiled Agents'!A:H,5,FALSE)</f>
        <v>Wave2</v>
      </c>
      <c r="F602" s="16" t="str">
        <f>VLOOKUP(B602,'Compiled Agents'!A:H,6,FALSE)</f>
        <v>Blue</v>
      </c>
      <c r="G602" s="16">
        <f>VLOOKUP($A602,'SurveyRpt_20150223 (1)'!$A$34:$AN$735,6,FALSE)</f>
        <v>13</v>
      </c>
      <c r="H602" s="16" t="str">
        <f>VLOOKUP($A602,'SurveyRpt_20150223 (1)'!$A$34:$AN$735,8,FALSE)</f>
        <v>Yes</v>
      </c>
      <c r="I602" s="16" t="str">
        <f>VLOOKUP($A602,'SurveyRpt_20150223 (1)'!$A$34:$AN$735,10,FALSE)</f>
        <v>Yes</v>
      </c>
      <c r="J602" s="16" t="str">
        <f>VLOOKUP($A602,'SurveyRpt_20150223 (1)'!$A$34:$AN$735,12,FALSE)</f>
        <v>Yes</v>
      </c>
      <c r="K602" s="16" t="str">
        <f>VLOOKUP($A602,'SurveyRpt_20150223 (1)'!$A$34:$AN$735,14,FALSE)</f>
        <v>Yes</v>
      </c>
      <c r="L602" s="16" t="str">
        <f>VLOOKUP($A602,'SurveyRpt_20150223 (1)'!$A$34:$AN$735,16,FALSE)</f>
        <v>Yes</v>
      </c>
      <c r="M602" s="16" t="str">
        <f>VLOOKUP($A602,'SurveyRpt_20150223 (1)'!$A$34:$AN$735,18,FALSE)</f>
        <v>Yes</v>
      </c>
      <c r="N602" s="16" t="str">
        <f>VLOOKUP($A602,'SurveyRpt_20150223 (1)'!$A$34:$AN$735,20,FALSE)</f>
        <v>Yes</v>
      </c>
      <c r="O602" s="16" t="str">
        <f>VLOOKUP($A602,'SurveyRpt_20150223 (1)'!$A$34:$AN$735,22,FALSE)</f>
        <v>No</v>
      </c>
      <c r="P602" s="16" t="str">
        <f>VLOOKUP($A602,'SurveyRpt_20150223 (1)'!$A$34:$AN$735,24,FALSE)</f>
        <v>Yes</v>
      </c>
      <c r="Q602" s="16" t="str">
        <f>VLOOKUP($A602,'SurveyRpt_20150223 (1)'!$A$34:$AN$735,26,FALSE)</f>
        <v>Yes</v>
      </c>
      <c r="R602" s="16" t="str">
        <f>VLOOKUP($A602,'SurveyRpt_20150223 (1)'!$A$34:$AN$735,28,FALSE)</f>
        <v>Yes</v>
      </c>
      <c r="S602" s="16" t="str">
        <f>VLOOKUP($A602,'SurveyRpt_20150223 (1)'!$A$34:$AN$735,30,FALSE)</f>
        <v>Yes</v>
      </c>
      <c r="T602" s="16" t="str">
        <f>VLOOKUP($A602,'SurveyRpt_20150223 (1)'!$A$34:$AN$735,32,FALSE)</f>
        <v>No</v>
      </c>
      <c r="U602" s="16" t="str">
        <f>VLOOKUP($A602,'SurveyRpt_20150223 (1)'!$A$34:$AN$735,34,FALSE)</f>
        <v>Yes</v>
      </c>
      <c r="V602" s="16" t="str">
        <f>VLOOKUP($A602,'SurveyRpt_20150223 (1)'!$A$34:$AN$735,36,FALSE)</f>
        <v>Yes</v>
      </c>
      <c r="W602" s="16" t="str">
        <f>VLOOKUP($A602,'SurveyRpt_20150223 (1)'!$A$34:$AN$735,38,FALSE)</f>
        <v>No</v>
      </c>
    </row>
    <row r="603" spans="1:23" ht="13.5" customHeight="1" x14ac:dyDescent="0.25">
      <c r="A603" s="19" t="s">
        <v>696</v>
      </c>
      <c r="B603" s="19" t="str">
        <f t="shared" si="9"/>
        <v>VPANWAR6</v>
      </c>
      <c r="C603" s="16" t="str">
        <f>VLOOKUP(B603,'Compiled Agents'!A:H,2,FALSE)</f>
        <v>Workplace</v>
      </c>
      <c r="D603" s="16" t="str">
        <f>VLOOKUP(B603,'Compiled Agents'!A:H,4,FALSE)</f>
        <v>Hyderabad</v>
      </c>
      <c r="E603" s="16" t="str">
        <f>VLOOKUP(B603,'Compiled Agents'!A:H,5,FALSE)</f>
        <v>Wave2</v>
      </c>
      <c r="F603" s="16" t="str">
        <f>VLOOKUP(B603,'Compiled Agents'!A:H,6,FALSE)</f>
        <v>Orange</v>
      </c>
      <c r="G603" s="16">
        <f>VLOOKUP($A603,'SurveyRpt_20150223 (1)'!$A$34:$AN$735,6,FALSE)</f>
        <v>16</v>
      </c>
      <c r="H603" s="16" t="str">
        <f>VLOOKUP($A603,'SurveyRpt_20150223 (1)'!$A$34:$AN$735,8,FALSE)</f>
        <v>Yes</v>
      </c>
      <c r="I603" s="16" t="str">
        <f>VLOOKUP($A603,'SurveyRpt_20150223 (1)'!$A$34:$AN$735,10,FALSE)</f>
        <v>Yes</v>
      </c>
      <c r="J603" s="16" t="str">
        <f>VLOOKUP($A603,'SurveyRpt_20150223 (1)'!$A$34:$AN$735,12,FALSE)</f>
        <v>Yes</v>
      </c>
      <c r="K603" s="16" t="str">
        <f>VLOOKUP($A603,'SurveyRpt_20150223 (1)'!$A$34:$AN$735,14,FALSE)</f>
        <v>Yes</v>
      </c>
      <c r="L603" s="16" t="str">
        <f>VLOOKUP($A603,'SurveyRpt_20150223 (1)'!$A$34:$AN$735,16,FALSE)</f>
        <v>Yes</v>
      </c>
      <c r="M603" s="16" t="str">
        <f>VLOOKUP($A603,'SurveyRpt_20150223 (1)'!$A$34:$AN$735,18,FALSE)</f>
        <v>Yes</v>
      </c>
      <c r="N603" s="16" t="str">
        <f>VLOOKUP($A603,'SurveyRpt_20150223 (1)'!$A$34:$AN$735,20,FALSE)</f>
        <v>Yes</v>
      </c>
      <c r="O603" s="16" t="str">
        <f>VLOOKUP($A603,'SurveyRpt_20150223 (1)'!$A$34:$AN$735,22,FALSE)</f>
        <v>Yes</v>
      </c>
      <c r="P603" s="16" t="str">
        <f>VLOOKUP($A603,'SurveyRpt_20150223 (1)'!$A$34:$AN$735,24,FALSE)</f>
        <v>Yes</v>
      </c>
      <c r="Q603" s="16" t="str">
        <f>VLOOKUP($A603,'SurveyRpt_20150223 (1)'!$A$34:$AN$735,26,FALSE)</f>
        <v>Yes</v>
      </c>
      <c r="R603" s="16" t="str">
        <f>VLOOKUP($A603,'SurveyRpt_20150223 (1)'!$A$34:$AN$735,28,FALSE)</f>
        <v>Yes</v>
      </c>
      <c r="S603" s="16" t="str">
        <f>VLOOKUP($A603,'SurveyRpt_20150223 (1)'!$A$34:$AN$735,30,FALSE)</f>
        <v>Yes</v>
      </c>
      <c r="T603" s="16" t="str">
        <f>VLOOKUP($A603,'SurveyRpt_20150223 (1)'!$A$34:$AN$735,32,FALSE)</f>
        <v>Yes</v>
      </c>
      <c r="U603" s="16" t="str">
        <f>VLOOKUP($A603,'SurveyRpt_20150223 (1)'!$A$34:$AN$735,34,FALSE)</f>
        <v>Yes</v>
      </c>
      <c r="V603" s="16" t="str">
        <f>VLOOKUP($A603,'SurveyRpt_20150223 (1)'!$A$34:$AN$735,36,FALSE)</f>
        <v>Yes</v>
      </c>
      <c r="W603" s="16" t="str">
        <f>VLOOKUP($A603,'SurveyRpt_20150223 (1)'!$A$34:$AN$735,38,FALSE)</f>
        <v>Yes</v>
      </c>
    </row>
    <row r="604" spans="1:23" ht="13.5" customHeight="1" x14ac:dyDescent="0.25">
      <c r="A604" s="19" t="s">
        <v>697</v>
      </c>
      <c r="B604" s="19" t="str">
        <f t="shared" si="9"/>
        <v>VPALAVARAPU</v>
      </c>
      <c r="C604" s="16" t="str">
        <f>VLOOKUP(B604,'Compiled Agents'!A:H,2,FALSE)</f>
        <v>Platform</v>
      </c>
      <c r="D604" s="16" t="str">
        <f>VLOOKUP(B604,'Compiled Agents'!A:H,4,FALSE)</f>
        <v>Noida</v>
      </c>
      <c r="E604" s="16" t="str">
        <f>VLOOKUP(B604,'Compiled Agents'!A:H,5,FALSE)</f>
        <v>Wave2</v>
      </c>
      <c r="F604" s="16" t="str">
        <f>VLOOKUP(B604,'Compiled Agents'!A:H,6,FALSE)</f>
        <v>Purple</v>
      </c>
      <c r="G604" s="16">
        <f>VLOOKUP($A604,'SurveyRpt_20150223 (1)'!$A$34:$AN$735,6,FALSE)</f>
        <v>3</v>
      </c>
      <c r="H604" s="16" t="str">
        <f>VLOOKUP($A604,'SurveyRpt_20150223 (1)'!$A$34:$AN$735,8,FALSE)</f>
        <v>No</v>
      </c>
      <c r="I604" s="16" t="str">
        <f>VLOOKUP($A604,'SurveyRpt_20150223 (1)'!$A$34:$AN$735,10,FALSE)</f>
        <v>No</v>
      </c>
      <c r="J604" s="16" t="str">
        <f>VLOOKUP($A604,'SurveyRpt_20150223 (1)'!$A$34:$AN$735,12,FALSE)</f>
        <v>No</v>
      </c>
      <c r="K604" s="16" t="str">
        <f>VLOOKUP($A604,'SurveyRpt_20150223 (1)'!$A$34:$AN$735,14,FALSE)</f>
        <v>No</v>
      </c>
      <c r="L604" s="16" t="str">
        <f>VLOOKUP($A604,'SurveyRpt_20150223 (1)'!$A$34:$AN$735,16,FALSE)</f>
        <v>No</v>
      </c>
      <c r="M604" s="16" t="str">
        <f>VLOOKUP($A604,'SurveyRpt_20150223 (1)'!$A$34:$AN$735,18,FALSE)</f>
        <v>No</v>
      </c>
      <c r="N604" s="16" t="str">
        <f>VLOOKUP($A604,'SurveyRpt_20150223 (1)'!$A$34:$AN$735,20,FALSE)</f>
        <v>No</v>
      </c>
      <c r="O604" s="16" t="str">
        <f>VLOOKUP($A604,'SurveyRpt_20150223 (1)'!$A$34:$AN$735,22,FALSE)</f>
        <v>Yes</v>
      </c>
      <c r="P604" s="16" t="str">
        <f>VLOOKUP($A604,'SurveyRpt_20150223 (1)'!$A$34:$AN$735,24,FALSE)</f>
        <v>No</v>
      </c>
      <c r="Q604" s="16" t="str">
        <f>VLOOKUP($A604,'SurveyRpt_20150223 (1)'!$A$34:$AN$735,26,FALSE)</f>
        <v>No</v>
      </c>
      <c r="R604" s="16" t="str">
        <f>VLOOKUP($A604,'SurveyRpt_20150223 (1)'!$A$34:$AN$735,28,FALSE)</f>
        <v>No</v>
      </c>
      <c r="S604" s="16" t="str">
        <f>VLOOKUP($A604,'SurveyRpt_20150223 (1)'!$A$34:$AN$735,30,FALSE)</f>
        <v>Yes</v>
      </c>
      <c r="T604" s="16" t="str">
        <f>VLOOKUP($A604,'SurveyRpt_20150223 (1)'!$A$34:$AN$735,32,FALSE)</f>
        <v>No</v>
      </c>
      <c r="U604" s="16" t="str">
        <f>VLOOKUP($A604,'SurveyRpt_20150223 (1)'!$A$34:$AN$735,34,FALSE)</f>
        <v>No</v>
      </c>
      <c r="V604" s="16" t="str">
        <f>VLOOKUP($A604,'SurveyRpt_20150223 (1)'!$A$34:$AN$735,36,FALSE)</f>
        <v>Yes</v>
      </c>
      <c r="W604" s="16" t="str">
        <f>VLOOKUP($A604,'SurveyRpt_20150223 (1)'!$A$34:$AN$735,38,FALSE)</f>
        <v>No</v>
      </c>
    </row>
    <row r="605" spans="1:23" ht="13.5" customHeight="1" x14ac:dyDescent="0.25">
      <c r="A605" s="19" t="s">
        <v>698</v>
      </c>
      <c r="B605" s="19" t="str">
        <f t="shared" si="9"/>
        <v>ashivhare</v>
      </c>
      <c r="C605" s="16" t="str">
        <f>VLOOKUP(B605,'Compiled Agents'!A:H,2,FALSE)</f>
        <v>Platform</v>
      </c>
      <c r="D605" s="16" t="str">
        <f>VLOOKUP(B605,'Compiled Agents'!A:H,4,FALSE)</f>
        <v>Noida</v>
      </c>
      <c r="E605" s="16" t="str">
        <f>VLOOKUP(B605,'Compiled Agents'!A:H,5,FALSE)</f>
        <v>Wave1</v>
      </c>
      <c r="F605" s="16" t="str">
        <f>VLOOKUP(B605,'Compiled Agents'!A:H,6,FALSE)</f>
        <v>Blue</v>
      </c>
      <c r="G605" s="16">
        <f>VLOOKUP($A605,'SurveyRpt_20150223 (1)'!$A$34:$AN$735,6,FALSE)</f>
        <v>4</v>
      </c>
      <c r="H605" s="16" t="str">
        <f>VLOOKUP($A605,'SurveyRpt_20150223 (1)'!$A$34:$AN$735,8,FALSE)</f>
        <v>No</v>
      </c>
      <c r="I605" s="16" t="str">
        <f>VLOOKUP($A605,'SurveyRpt_20150223 (1)'!$A$34:$AN$735,10,FALSE)</f>
        <v>No</v>
      </c>
      <c r="J605" s="16" t="str">
        <f>VLOOKUP($A605,'SurveyRpt_20150223 (1)'!$A$34:$AN$735,12,FALSE)</f>
        <v>No</v>
      </c>
      <c r="K605" s="16" t="str">
        <f>VLOOKUP($A605,'SurveyRpt_20150223 (1)'!$A$34:$AN$735,14,FALSE)</f>
        <v>No</v>
      </c>
      <c r="L605" s="16" t="str">
        <f>VLOOKUP($A605,'SurveyRpt_20150223 (1)'!$A$34:$AN$735,16,FALSE)</f>
        <v>No</v>
      </c>
      <c r="M605" s="16" t="str">
        <f>VLOOKUP($A605,'SurveyRpt_20150223 (1)'!$A$34:$AN$735,18,FALSE)</f>
        <v>Yes</v>
      </c>
      <c r="N605" s="16" t="str">
        <f>VLOOKUP($A605,'SurveyRpt_20150223 (1)'!$A$34:$AN$735,20,FALSE)</f>
        <v>No</v>
      </c>
      <c r="O605" s="16" t="str">
        <f>VLOOKUP($A605,'SurveyRpt_20150223 (1)'!$A$34:$AN$735,22,FALSE)</f>
        <v>No</v>
      </c>
      <c r="P605" s="16" t="str">
        <f>VLOOKUP($A605,'SurveyRpt_20150223 (1)'!$A$34:$AN$735,24,FALSE)</f>
        <v>No</v>
      </c>
      <c r="Q605" s="16" t="str">
        <f>VLOOKUP($A605,'SurveyRpt_20150223 (1)'!$A$34:$AN$735,26,FALSE)</f>
        <v>Yes</v>
      </c>
      <c r="R605" s="16" t="str">
        <f>VLOOKUP($A605,'SurveyRpt_20150223 (1)'!$A$34:$AN$735,28,FALSE)</f>
        <v>No</v>
      </c>
      <c r="S605" s="16" t="str">
        <f>VLOOKUP($A605,'SurveyRpt_20150223 (1)'!$A$34:$AN$735,30,FALSE)</f>
        <v>Yes</v>
      </c>
      <c r="T605" s="16" t="str">
        <f>VLOOKUP($A605,'SurveyRpt_20150223 (1)'!$A$34:$AN$735,32,FALSE)</f>
        <v>Yes</v>
      </c>
      <c r="U605" s="16" t="str">
        <f>VLOOKUP($A605,'SurveyRpt_20150223 (1)'!$A$34:$AN$735,34,FALSE)</f>
        <v>No</v>
      </c>
      <c r="V605" s="16" t="str">
        <f>VLOOKUP($A605,'SurveyRpt_20150223 (1)'!$A$34:$AN$735,36,FALSE)</f>
        <v>No</v>
      </c>
      <c r="W605" s="16" t="str">
        <f>VLOOKUP($A605,'SurveyRpt_20150223 (1)'!$A$34:$AN$735,38,FALSE)</f>
        <v>No</v>
      </c>
    </row>
    <row r="606" spans="1:23" ht="13.5" customHeight="1" x14ac:dyDescent="0.25">
      <c r="A606" s="19" t="s">
        <v>699</v>
      </c>
      <c r="B606" s="19" t="str">
        <f t="shared" si="9"/>
        <v>SMAGGEGOVIND</v>
      </c>
      <c r="C606" s="16" t="str">
        <f>VLOOKUP(B606,'Compiled Agents'!A:H,2,FALSE)</f>
        <v>Platform</v>
      </c>
      <c r="D606" s="16" t="str">
        <f>VLOOKUP(B606,'Compiled Agents'!A:H,4,FALSE)</f>
        <v>Noida</v>
      </c>
      <c r="E606" s="16" t="str">
        <f>VLOOKUP(B606,'Compiled Agents'!A:H,5,FALSE)</f>
        <v>Wave2</v>
      </c>
      <c r="F606" s="16" t="str">
        <f>VLOOKUP(B606,'Compiled Agents'!A:H,6,FALSE)</f>
        <v>Purple</v>
      </c>
      <c r="G606" s="16">
        <f>VLOOKUP($A606,'SurveyRpt_20150223 (1)'!$A$34:$AN$735,6,FALSE)</f>
        <v>4</v>
      </c>
      <c r="H606" s="16" t="str">
        <f>VLOOKUP($A606,'SurveyRpt_20150223 (1)'!$A$34:$AN$735,8,FALSE)</f>
        <v>No</v>
      </c>
      <c r="I606" s="16" t="str">
        <f>VLOOKUP($A606,'SurveyRpt_20150223 (1)'!$A$34:$AN$735,10,FALSE)</f>
        <v>No</v>
      </c>
      <c r="J606" s="16" t="str">
        <f>VLOOKUP($A606,'SurveyRpt_20150223 (1)'!$A$34:$AN$735,12,FALSE)</f>
        <v>No</v>
      </c>
      <c r="K606" s="16" t="str">
        <f>VLOOKUP($A606,'SurveyRpt_20150223 (1)'!$A$34:$AN$735,14,FALSE)</f>
        <v>No</v>
      </c>
      <c r="L606" s="16" t="str">
        <f>VLOOKUP($A606,'SurveyRpt_20150223 (1)'!$A$34:$AN$735,16,FALSE)</f>
        <v>No</v>
      </c>
      <c r="M606" s="16" t="str">
        <f>VLOOKUP($A606,'SurveyRpt_20150223 (1)'!$A$34:$AN$735,18,FALSE)</f>
        <v>Yes</v>
      </c>
      <c r="N606" s="16" t="str">
        <f>VLOOKUP($A606,'SurveyRpt_20150223 (1)'!$A$34:$AN$735,20,FALSE)</f>
        <v>No</v>
      </c>
      <c r="O606" s="16" t="str">
        <f>VLOOKUP($A606,'SurveyRpt_20150223 (1)'!$A$34:$AN$735,22,FALSE)</f>
        <v>Yes</v>
      </c>
      <c r="P606" s="16" t="str">
        <f>VLOOKUP($A606,'SurveyRpt_20150223 (1)'!$A$34:$AN$735,24,FALSE)</f>
        <v>No</v>
      </c>
      <c r="Q606" s="16" t="str">
        <f>VLOOKUP($A606,'SurveyRpt_20150223 (1)'!$A$34:$AN$735,26,FALSE)</f>
        <v>No</v>
      </c>
      <c r="R606" s="16" t="str">
        <f>VLOOKUP($A606,'SurveyRpt_20150223 (1)'!$A$34:$AN$735,28,FALSE)</f>
        <v>No</v>
      </c>
      <c r="S606" s="16" t="str">
        <f>VLOOKUP($A606,'SurveyRpt_20150223 (1)'!$A$34:$AN$735,30,FALSE)</f>
        <v>Yes</v>
      </c>
      <c r="T606" s="16" t="str">
        <f>VLOOKUP($A606,'SurveyRpt_20150223 (1)'!$A$34:$AN$735,32,FALSE)</f>
        <v>No</v>
      </c>
      <c r="U606" s="16" t="str">
        <f>VLOOKUP($A606,'SurveyRpt_20150223 (1)'!$A$34:$AN$735,34,FALSE)</f>
        <v>No</v>
      </c>
      <c r="V606" s="16" t="str">
        <f>VLOOKUP($A606,'SurveyRpt_20150223 (1)'!$A$34:$AN$735,36,FALSE)</f>
        <v>Yes</v>
      </c>
      <c r="W606" s="16" t="str">
        <f>VLOOKUP($A606,'SurveyRpt_20150223 (1)'!$A$34:$AN$735,38,FALSE)</f>
        <v>No</v>
      </c>
    </row>
    <row r="607" spans="1:23" ht="13.5" customHeight="1" x14ac:dyDescent="0.25">
      <c r="A607" s="19" t="s">
        <v>700</v>
      </c>
      <c r="B607" s="19" t="str">
        <f t="shared" si="9"/>
        <v>SSHISHODIA</v>
      </c>
      <c r="C607" s="16" t="str">
        <f>VLOOKUP(B607,'Compiled Agents'!A:H,2,FALSE)</f>
        <v>Workplace</v>
      </c>
      <c r="D607" s="16" t="str">
        <f>VLOOKUP(B607,'Compiled Agents'!A:H,4,FALSE)</f>
        <v>Noida</v>
      </c>
      <c r="E607" s="16" t="str">
        <f>VLOOKUP(B607,'Compiled Agents'!A:H,5,FALSE)</f>
        <v>Wave1</v>
      </c>
      <c r="F607" s="16" t="str">
        <f>VLOOKUP(B607,'Compiled Agents'!A:H,6,FALSE)</f>
        <v>Purple</v>
      </c>
      <c r="G607" s="16">
        <f>VLOOKUP($A607,'SurveyRpt_20150223 (1)'!$A$34:$AN$735,6,FALSE)</f>
        <v>15</v>
      </c>
      <c r="H607" s="16" t="str">
        <f>VLOOKUP($A607,'SurveyRpt_20150223 (1)'!$A$34:$AN$735,8,FALSE)</f>
        <v>Yes</v>
      </c>
      <c r="I607" s="16" t="str">
        <f>VLOOKUP($A607,'SurveyRpt_20150223 (1)'!$A$34:$AN$735,10,FALSE)</f>
        <v>Yes</v>
      </c>
      <c r="J607" s="16" t="str">
        <f>VLOOKUP($A607,'SurveyRpt_20150223 (1)'!$A$34:$AN$735,12,FALSE)</f>
        <v>No</v>
      </c>
      <c r="K607" s="16" t="str">
        <f>VLOOKUP($A607,'SurveyRpt_20150223 (1)'!$A$34:$AN$735,14,FALSE)</f>
        <v>Yes</v>
      </c>
      <c r="L607" s="16" t="str">
        <f>VLOOKUP($A607,'SurveyRpt_20150223 (1)'!$A$34:$AN$735,16,FALSE)</f>
        <v>Yes</v>
      </c>
      <c r="M607" s="16" t="str">
        <f>VLOOKUP($A607,'SurveyRpt_20150223 (1)'!$A$34:$AN$735,18,FALSE)</f>
        <v>Yes</v>
      </c>
      <c r="N607" s="16" t="str">
        <f>VLOOKUP($A607,'SurveyRpt_20150223 (1)'!$A$34:$AN$735,20,FALSE)</f>
        <v>Yes</v>
      </c>
      <c r="O607" s="16" t="str">
        <f>VLOOKUP($A607,'SurveyRpt_20150223 (1)'!$A$34:$AN$735,22,FALSE)</f>
        <v>Yes</v>
      </c>
      <c r="P607" s="16" t="str">
        <f>VLOOKUP($A607,'SurveyRpt_20150223 (1)'!$A$34:$AN$735,24,FALSE)</f>
        <v>Yes</v>
      </c>
      <c r="Q607" s="16" t="str">
        <f>VLOOKUP($A607,'SurveyRpt_20150223 (1)'!$A$34:$AN$735,26,FALSE)</f>
        <v>Yes</v>
      </c>
      <c r="R607" s="16" t="str">
        <f>VLOOKUP($A607,'SurveyRpt_20150223 (1)'!$A$34:$AN$735,28,FALSE)</f>
        <v>Yes</v>
      </c>
      <c r="S607" s="16" t="str">
        <f>VLOOKUP($A607,'SurveyRpt_20150223 (1)'!$A$34:$AN$735,30,FALSE)</f>
        <v>Yes</v>
      </c>
      <c r="T607" s="16" t="str">
        <f>VLOOKUP($A607,'SurveyRpt_20150223 (1)'!$A$34:$AN$735,32,FALSE)</f>
        <v>Yes</v>
      </c>
      <c r="U607" s="16" t="str">
        <f>VLOOKUP($A607,'SurveyRpt_20150223 (1)'!$A$34:$AN$735,34,FALSE)</f>
        <v>Yes</v>
      </c>
      <c r="V607" s="16" t="str">
        <f>VLOOKUP($A607,'SurveyRpt_20150223 (1)'!$A$34:$AN$735,36,FALSE)</f>
        <v>Yes</v>
      </c>
      <c r="W607" s="16" t="str">
        <f>VLOOKUP($A607,'SurveyRpt_20150223 (1)'!$A$34:$AN$735,38,FALSE)</f>
        <v>Yes</v>
      </c>
    </row>
    <row r="608" spans="1:23" ht="13.5" customHeight="1" x14ac:dyDescent="0.25">
      <c r="A608" s="19" t="s">
        <v>701</v>
      </c>
      <c r="B608" s="19" t="str">
        <f t="shared" si="9"/>
        <v>MKUMAR86</v>
      </c>
      <c r="C608" s="16" t="str">
        <f>VLOOKUP(B608,'Compiled Agents'!A:H,2,FALSE)</f>
        <v>Platform</v>
      </c>
      <c r="D608" s="16" t="str">
        <f>VLOOKUP(B608,'Compiled Agents'!A:H,4,FALSE)</f>
        <v>Noida</v>
      </c>
      <c r="E608" s="16" t="str">
        <f>VLOOKUP(B608,'Compiled Agents'!A:H,5,FALSE)</f>
        <v>Wave1</v>
      </c>
      <c r="F608" s="16" t="str">
        <f>VLOOKUP(B608,'Compiled Agents'!A:H,6,FALSE)</f>
        <v>Purple</v>
      </c>
      <c r="G608" s="16">
        <f>VLOOKUP($A608,'SurveyRpt_20150223 (1)'!$A$34:$AN$735,6,FALSE)</f>
        <v>0</v>
      </c>
      <c r="H608" s="16" t="str">
        <f>VLOOKUP($A608,'SurveyRpt_20150223 (1)'!$A$34:$AN$735,8,FALSE)</f>
        <v>No</v>
      </c>
      <c r="I608" s="16" t="str">
        <f>VLOOKUP($A608,'SurveyRpt_20150223 (1)'!$A$34:$AN$735,10,FALSE)</f>
        <v>No</v>
      </c>
      <c r="J608" s="16" t="str">
        <f>VLOOKUP($A608,'SurveyRpt_20150223 (1)'!$A$34:$AN$735,12,FALSE)</f>
        <v>No</v>
      </c>
      <c r="K608" s="16" t="str">
        <f>VLOOKUP($A608,'SurveyRpt_20150223 (1)'!$A$34:$AN$735,14,FALSE)</f>
        <v>No</v>
      </c>
      <c r="L608" s="16" t="str">
        <f>VLOOKUP($A608,'SurveyRpt_20150223 (1)'!$A$34:$AN$735,16,FALSE)</f>
        <v>No</v>
      </c>
      <c r="M608" s="16" t="str">
        <f>VLOOKUP($A608,'SurveyRpt_20150223 (1)'!$A$34:$AN$735,18,FALSE)</f>
        <v>No</v>
      </c>
      <c r="N608" s="16" t="str">
        <f>VLOOKUP($A608,'SurveyRpt_20150223 (1)'!$A$34:$AN$735,20,FALSE)</f>
        <v>No</v>
      </c>
      <c r="O608" s="16" t="str">
        <f>VLOOKUP($A608,'SurveyRpt_20150223 (1)'!$A$34:$AN$735,22,FALSE)</f>
        <v>No</v>
      </c>
      <c r="P608" s="16" t="str">
        <f>VLOOKUP($A608,'SurveyRpt_20150223 (1)'!$A$34:$AN$735,24,FALSE)</f>
        <v>No</v>
      </c>
      <c r="Q608" s="16" t="str">
        <f>VLOOKUP($A608,'SurveyRpt_20150223 (1)'!$A$34:$AN$735,26,FALSE)</f>
        <v>No</v>
      </c>
      <c r="R608" s="16" t="str">
        <f>VLOOKUP($A608,'SurveyRpt_20150223 (1)'!$A$34:$AN$735,28,FALSE)</f>
        <v>No</v>
      </c>
      <c r="S608" s="16" t="str">
        <f>VLOOKUP($A608,'SurveyRpt_20150223 (1)'!$A$34:$AN$735,30,FALSE)</f>
        <v>No</v>
      </c>
      <c r="T608" s="16" t="str">
        <f>VLOOKUP($A608,'SurveyRpt_20150223 (1)'!$A$34:$AN$735,32,FALSE)</f>
        <v>No</v>
      </c>
      <c r="U608" s="16" t="str">
        <f>VLOOKUP($A608,'SurveyRpt_20150223 (1)'!$A$34:$AN$735,34,FALSE)</f>
        <v>No</v>
      </c>
      <c r="V608" s="16" t="str">
        <f>VLOOKUP($A608,'SurveyRpt_20150223 (1)'!$A$34:$AN$735,36,FALSE)</f>
        <v>No</v>
      </c>
      <c r="W608" s="16" t="str">
        <f>VLOOKUP($A608,'SurveyRpt_20150223 (1)'!$A$34:$AN$735,38,FALSE)</f>
        <v>No</v>
      </c>
    </row>
    <row r="609" spans="1:23" ht="13.5" customHeight="1" x14ac:dyDescent="0.25">
      <c r="A609" s="19" t="s">
        <v>702</v>
      </c>
      <c r="B609" s="19" t="str">
        <f t="shared" si="9"/>
        <v>VDAMERA4</v>
      </c>
      <c r="C609" s="16" t="str">
        <f>VLOOKUP(B609,'Compiled Agents'!A:H,2,FALSE)</f>
        <v>Platform</v>
      </c>
      <c r="D609" s="16" t="str">
        <f>VLOOKUP(B609,'Compiled Agents'!A:H,4,FALSE)</f>
        <v>Hyderabad</v>
      </c>
      <c r="E609" s="16" t="str">
        <f>VLOOKUP(B609,'Compiled Agents'!A:H,5,FALSE)</f>
        <v>Wave1</v>
      </c>
      <c r="F609" s="16" t="str">
        <f>VLOOKUP(B609,'Compiled Agents'!A:H,6,FALSE)</f>
        <v>Orange</v>
      </c>
      <c r="G609" s="16">
        <f>VLOOKUP($A609,'SurveyRpt_20150223 (1)'!$A$34:$AN$735,6,FALSE)</f>
        <v>16</v>
      </c>
      <c r="H609" s="16" t="str">
        <f>VLOOKUP($A609,'SurveyRpt_20150223 (1)'!$A$34:$AN$735,8,FALSE)</f>
        <v>Yes</v>
      </c>
      <c r="I609" s="16" t="str">
        <f>VLOOKUP($A609,'SurveyRpt_20150223 (1)'!$A$34:$AN$735,10,FALSE)</f>
        <v>Yes</v>
      </c>
      <c r="J609" s="16" t="str">
        <f>VLOOKUP($A609,'SurveyRpt_20150223 (1)'!$A$34:$AN$735,12,FALSE)</f>
        <v>Yes</v>
      </c>
      <c r="K609" s="16" t="str">
        <f>VLOOKUP($A609,'SurveyRpt_20150223 (1)'!$A$34:$AN$735,14,FALSE)</f>
        <v>Yes</v>
      </c>
      <c r="L609" s="16" t="str">
        <f>VLOOKUP($A609,'SurveyRpt_20150223 (1)'!$A$34:$AN$735,16,FALSE)</f>
        <v>Yes</v>
      </c>
      <c r="M609" s="16" t="str">
        <f>VLOOKUP($A609,'SurveyRpt_20150223 (1)'!$A$34:$AN$735,18,FALSE)</f>
        <v>Yes</v>
      </c>
      <c r="N609" s="16" t="str">
        <f>VLOOKUP($A609,'SurveyRpt_20150223 (1)'!$A$34:$AN$735,20,FALSE)</f>
        <v>Yes</v>
      </c>
      <c r="O609" s="16" t="str">
        <f>VLOOKUP($A609,'SurveyRpt_20150223 (1)'!$A$34:$AN$735,22,FALSE)</f>
        <v>Yes</v>
      </c>
      <c r="P609" s="16" t="str">
        <f>VLOOKUP($A609,'SurveyRpt_20150223 (1)'!$A$34:$AN$735,24,FALSE)</f>
        <v>Yes</v>
      </c>
      <c r="Q609" s="16" t="str">
        <f>VLOOKUP($A609,'SurveyRpt_20150223 (1)'!$A$34:$AN$735,26,FALSE)</f>
        <v>Yes</v>
      </c>
      <c r="R609" s="16" t="str">
        <f>VLOOKUP($A609,'SurveyRpt_20150223 (1)'!$A$34:$AN$735,28,FALSE)</f>
        <v>Yes</v>
      </c>
      <c r="S609" s="16" t="str">
        <f>VLOOKUP($A609,'SurveyRpt_20150223 (1)'!$A$34:$AN$735,30,FALSE)</f>
        <v>Yes</v>
      </c>
      <c r="T609" s="16" t="str">
        <f>VLOOKUP($A609,'SurveyRpt_20150223 (1)'!$A$34:$AN$735,32,FALSE)</f>
        <v>Yes</v>
      </c>
      <c r="U609" s="16" t="str">
        <f>VLOOKUP($A609,'SurveyRpt_20150223 (1)'!$A$34:$AN$735,34,FALSE)</f>
        <v>Yes</v>
      </c>
      <c r="V609" s="16" t="str">
        <f>VLOOKUP($A609,'SurveyRpt_20150223 (1)'!$A$34:$AN$735,36,FALSE)</f>
        <v>Yes</v>
      </c>
      <c r="W609" s="16" t="str">
        <f>VLOOKUP($A609,'SurveyRpt_20150223 (1)'!$A$34:$AN$735,38,FALSE)</f>
        <v>Yes</v>
      </c>
    </row>
    <row r="610" spans="1:23" ht="13.5" customHeight="1" x14ac:dyDescent="0.25">
      <c r="A610" s="19" t="s">
        <v>703</v>
      </c>
      <c r="B610" s="19" t="str">
        <f t="shared" si="9"/>
        <v>RPAUL21</v>
      </c>
      <c r="C610" s="16" t="str">
        <f>VLOOKUP(B610,'Compiled Agents'!A:H,2,FALSE)</f>
        <v>Workplace</v>
      </c>
      <c r="D610" s="16" t="str">
        <f>VLOOKUP(B610,'Compiled Agents'!A:H,4,FALSE)</f>
        <v>Noida</v>
      </c>
      <c r="E610" s="16" t="str">
        <f>VLOOKUP(B610,'Compiled Agents'!A:H,5,FALSE)</f>
        <v>Wave1</v>
      </c>
      <c r="F610" s="16" t="str">
        <f>VLOOKUP(B610,'Compiled Agents'!A:H,6,FALSE)</f>
        <v>Yellow</v>
      </c>
      <c r="G610" s="16">
        <f>VLOOKUP($A610,'SurveyRpt_20150223 (1)'!$A$34:$AN$735,6,FALSE)</f>
        <v>3</v>
      </c>
      <c r="H610" s="16" t="str">
        <f>VLOOKUP($A610,'SurveyRpt_20150223 (1)'!$A$34:$AN$735,8,FALSE)</f>
        <v>Yes</v>
      </c>
      <c r="I610" s="16" t="str">
        <f>VLOOKUP($A610,'SurveyRpt_20150223 (1)'!$A$34:$AN$735,10,FALSE)</f>
        <v>Yes</v>
      </c>
      <c r="J610" s="16" t="str">
        <f>VLOOKUP($A610,'SurveyRpt_20150223 (1)'!$A$34:$AN$735,12,FALSE)</f>
        <v>No</v>
      </c>
      <c r="K610" s="16" t="str">
        <f>VLOOKUP($A610,'SurveyRpt_20150223 (1)'!$A$34:$AN$735,14,FALSE)</f>
        <v>No</v>
      </c>
      <c r="L610" s="16" t="str">
        <f>VLOOKUP($A610,'SurveyRpt_20150223 (1)'!$A$34:$AN$735,16,FALSE)</f>
        <v>No</v>
      </c>
      <c r="M610" s="16" t="str">
        <f>VLOOKUP($A610,'SurveyRpt_20150223 (1)'!$A$34:$AN$735,18,FALSE)</f>
        <v>No</v>
      </c>
      <c r="N610" s="16" t="str">
        <f>VLOOKUP($A610,'SurveyRpt_20150223 (1)'!$A$34:$AN$735,20,FALSE)</f>
        <v>No</v>
      </c>
      <c r="O610" s="16" t="str">
        <f>VLOOKUP($A610,'SurveyRpt_20150223 (1)'!$A$34:$AN$735,22,FALSE)</f>
        <v>No</v>
      </c>
      <c r="P610" s="16" t="str">
        <f>VLOOKUP($A610,'SurveyRpt_20150223 (1)'!$A$34:$AN$735,24,FALSE)</f>
        <v>No</v>
      </c>
      <c r="Q610" s="16" t="str">
        <f>VLOOKUP($A610,'SurveyRpt_20150223 (1)'!$A$34:$AN$735,26,FALSE)</f>
        <v>No</v>
      </c>
      <c r="R610" s="16" t="str">
        <f>VLOOKUP($A610,'SurveyRpt_20150223 (1)'!$A$34:$AN$735,28,FALSE)</f>
        <v>No</v>
      </c>
      <c r="S610" s="16" t="str">
        <f>VLOOKUP($A610,'SurveyRpt_20150223 (1)'!$A$34:$AN$735,30,FALSE)</f>
        <v>Yes</v>
      </c>
      <c r="T610" s="16" t="str">
        <f>VLOOKUP($A610,'SurveyRpt_20150223 (1)'!$A$34:$AN$735,32,FALSE)</f>
        <v>No</v>
      </c>
      <c r="U610" s="16" t="str">
        <f>VLOOKUP($A610,'SurveyRpt_20150223 (1)'!$A$34:$AN$735,34,FALSE)</f>
        <v>No</v>
      </c>
      <c r="V610" s="16" t="str">
        <f>VLOOKUP($A610,'SurveyRpt_20150223 (1)'!$A$34:$AN$735,36,FALSE)</f>
        <v>No</v>
      </c>
      <c r="W610" s="16" t="str">
        <f>VLOOKUP($A610,'SurveyRpt_20150223 (1)'!$A$34:$AN$735,38,FALSE)</f>
        <v>No</v>
      </c>
    </row>
    <row r="611" spans="1:23" ht="13.5" customHeight="1" x14ac:dyDescent="0.25">
      <c r="A611" s="19" t="s">
        <v>704</v>
      </c>
      <c r="B611" s="19" t="str">
        <f t="shared" si="9"/>
        <v>LANJANAPPA</v>
      </c>
      <c r="C611" s="16" t="str">
        <f>VLOOKUP(B611,'Compiled Agents'!A:H,2,FALSE)</f>
        <v>Platform</v>
      </c>
      <c r="D611" s="16" t="str">
        <f>VLOOKUP(B611,'Compiled Agents'!A:H,4,FALSE)</f>
        <v>Noida</v>
      </c>
      <c r="E611" s="16" t="str">
        <f>VLOOKUP(B611,'Compiled Agents'!A:H,5,FALSE)</f>
        <v>Wave2</v>
      </c>
      <c r="F611" s="16" t="str">
        <f>VLOOKUP(B611,'Compiled Agents'!A:H,6,FALSE)</f>
        <v>Purple</v>
      </c>
      <c r="G611" s="16">
        <f>VLOOKUP($A611,'SurveyRpt_20150223 (1)'!$A$34:$AN$735,6,FALSE)</f>
        <v>16</v>
      </c>
      <c r="H611" s="16" t="str">
        <f>VLOOKUP($A611,'SurveyRpt_20150223 (1)'!$A$34:$AN$735,8,FALSE)</f>
        <v>Yes</v>
      </c>
      <c r="I611" s="16" t="str">
        <f>VLOOKUP($A611,'SurveyRpt_20150223 (1)'!$A$34:$AN$735,10,FALSE)</f>
        <v>Yes</v>
      </c>
      <c r="J611" s="16" t="str">
        <f>VLOOKUP($A611,'SurveyRpt_20150223 (1)'!$A$34:$AN$735,12,FALSE)</f>
        <v>Yes</v>
      </c>
      <c r="K611" s="16" t="str">
        <f>VLOOKUP($A611,'SurveyRpt_20150223 (1)'!$A$34:$AN$735,14,FALSE)</f>
        <v>Yes</v>
      </c>
      <c r="L611" s="16" t="str">
        <f>VLOOKUP($A611,'SurveyRpt_20150223 (1)'!$A$34:$AN$735,16,FALSE)</f>
        <v>Yes</v>
      </c>
      <c r="M611" s="16" t="str">
        <f>VLOOKUP($A611,'SurveyRpt_20150223 (1)'!$A$34:$AN$735,18,FALSE)</f>
        <v>Yes</v>
      </c>
      <c r="N611" s="16" t="str">
        <f>VLOOKUP($A611,'SurveyRpt_20150223 (1)'!$A$34:$AN$735,20,FALSE)</f>
        <v>Yes</v>
      </c>
      <c r="O611" s="16" t="str">
        <f>VLOOKUP($A611,'SurveyRpt_20150223 (1)'!$A$34:$AN$735,22,FALSE)</f>
        <v>Yes</v>
      </c>
      <c r="P611" s="16" t="str">
        <f>VLOOKUP($A611,'SurveyRpt_20150223 (1)'!$A$34:$AN$735,24,FALSE)</f>
        <v>Yes</v>
      </c>
      <c r="Q611" s="16" t="str">
        <f>VLOOKUP($A611,'SurveyRpt_20150223 (1)'!$A$34:$AN$735,26,FALSE)</f>
        <v>Yes</v>
      </c>
      <c r="R611" s="16" t="str">
        <f>VLOOKUP($A611,'SurveyRpt_20150223 (1)'!$A$34:$AN$735,28,FALSE)</f>
        <v>Yes</v>
      </c>
      <c r="S611" s="16" t="str">
        <f>VLOOKUP($A611,'SurveyRpt_20150223 (1)'!$A$34:$AN$735,30,FALSE)</f>
        <v>Yes</v>
      </c>
      <c r="T611" s="16" t="str">
        <f>VLOOKUP($A611,'SurveyRpt_20150223 (1)'!$A$34:$AN$735,32,FALSE)</f>
        <v>Yes</v>
      </c>
      <c r="U611" s="16" t="str">
        <f>VLOOKUP($A611,'SurveyRpt_20150223 (1)'!$A$34:$AN$735,34,FALSE)</f>
        <v>Yes</v>
      </c>
      <c r="V611" s="16" t="str">
        <f>VLOOKUP($A611,'SurveyRpt_20150223 (1)'!$A$34:$AN$735,36,FALSE)</f>
        <v>Yes</v>
      </c>
      <c r="W611" s="16" t="str">
        <f>VLOOKUP($A611,'SurveyRpt_20150223 (1)'!$A$34:$AN$735,38,FALSE)</f>
        <v>Yes</v>
      </c>
    </row>
    <row r="612" spans="1:23" ht="13.5" customHeight="1" x14ac:dyDescent="0.25">
      <c r="A612" s="19" t="s">
        <v>705</v>
      </c>
      <c r="B612" s="19" t="str">
        <f t="shared" si="9"/>
        <v>AKHANNA23</v>
      </c>
      <c r="C612" s="16" t="str">
        <f>VLOOKUP(B612,'Compiled Agents'!A:H,2,FALSE)</f>
        <v>Platform</v>
      </c>
      <c r="D612" s="16" t="str">
        <f>VLOOKUP(B612,'Compiled Agents'!A:H,4,FALSE)</f>
        <v>Noida</v>
      </c>
      <c r="E612" s="16" t="str">
        <f>VLOOKUP(B612,'Compiled Agents'!A:H,5,FALSE)</f>
        <v>Wave2</v>
      </c>
      <c r="F612" s="16" t="str">
        <f>VLOOKUP(B612,'Compiled Agents'!A:H,6,FALSE)</f>
        <v>Yellow</v>
      </c>
      <c r="G612" s="16">
        <f>VLOOKUP($A612,'SurveyRpt_20150223 (1)'!$A$34:$AN$735,6,FALSE)</f>
        <v>16</v>
      </c>
      <c r="H612" s="16" t="str">
        <f>VLOOKUP($A612,'SurveyRpt_20150223 (1)'!$A$34:$AN$735,8,FALSE)</f>
        <v>Yes</v>
      </c>
      <c r="I612" s="16" t="str">
        <f>VLOOKUP($A612,'SurveyRpt_20150223 (1)'!$A$34:$AN$735,10,FALSE)</f>
        <v>Yes</v>
      </c>
      <c r="J612" s="16" t="str">
        <f>VLOOKUP($A612,'SurveyRpt_20150223 (1)'!$A$34:$AN$735,12,FALSE)</f>
        <v>Yes</v>
      </c>
      <c r="K612" s="16" t="str">
        <f>VLOOKUP($A612,'SurveyRpt_20150223 (1)'!$A$34:$AN$735,14,FALSE)</f>
        <v>Yes</v>
      </c>
      <c r="L612" s="16" t="str">
        <f>VLOOKUP($A612,'SurveyRpt_20150223 (1)'!$A$34:$AN$735,16,FALSE)</f>
        <v>Yes</v>
      </c>
      <c r="M612" s="16" t="str">
        <f>VLOOKUP($A612,'SurveyRpt_20150223 (1)'!$A$34:$AN$735,18,FALSE)</f>
        <v>Yes</v>
      </c>
      <c r="N612" s="16" t="str">
        <f>VLOOKUP($A612,'SurveyRpt_20150223 (1)'!$A$34:$AN$735,20,FALSE)</f>
        <v>Yes</v>
      </c>
      <c r="O612" s="16" t="str">
        <f>VLOOKUP($A612,'SurveyRpt_20150223 (1)'!$A$34:$AN$735,22,FALSE)</f>
        <v>Yes</v>
      </c>
      <c r="P612" s="16" t="str">
        <f>VLOOKUP($A612,'SurveyRpt_20150223 (1)'!$A$34:$AN$735,24,FALSE)</f>
        <v>Yes</v>
      </c>
      <c r="Q612" s="16" t="str">
        <f>VLOOKUP($A612,'SurveyRpt_20150223 (1)'!$A$34:$AN$735,26,FALSE)</f>
        <v>Yes</v>
      </c>
      <c r="R612" s="16" t="str">
        <f>VLOOKUP($A612,'SurveyRpt_20150223 (1)'!$A$34:$AN$735,28,FALSE)</f>
        <v>Yes</v>
      </c>
      <c r="S612" s="16" t="str">
        <f>VLOOKUP($A612,'SurveyRpt_20150223 (1)'!$A$34:$AN$735,30,FALSE)</f>
        <v>Yes</v>
      </c>
      <c r="T612" s="16" t="str">
        <f>VLOOKUP($A612,'SurveyRpt_20150223 (1)'!$A$34:$AN$735,32,FALSE)</f>
        <v>Yes</v>
      </c>
      <c r="U612" s="16" t="str">
        <f>VLOOKUP($A612,'SurveyRpt_20150223 (1)'!$A$34:$AN$735,34,FALSE)</f>
        <v>Yes</v>
      </c>
      <c r="V612" s="16" t="str">
        <f>VLOOKUP($A612,'SurveyRpt_20150223 (1)'!$A$34:$AN$735,36,FALSE)</f>
        <v>Yes</v>
      </c>
      <c r="W612" s="16" t="str">
        <f>VLOOKUP($A612,'SurveyRpt_20150223 (1)'!$A$34:$AN$735,38,FALSE)</f>
        <v>Yes</v>
      </c>
    </row>
    <row r="613" spans="1:23" ht="13.5" customHeight="1" x14ac:dyDescent="0.25">
      <c r="A613" s="19" t="s">
        <v>706</v>
      </c>
      <c r="B613" s="19" t="str">
        <f t="shared" si="9"/>
        <v>SSAINISHREE</v>
      </c>
      <c r="C613" s="16" t="str">
        <f>VLOOKUP(B613,'Compiled Agents'!A:H,2,FALSE)</f>
        <v>Platform</v>
      </c>
      <c r="D613" s="16" t="str">
        <f>VLOOKUP(B613,'Compiled Agents'!A:H,4,FALSE)</f>
        <v>Hyderabad</v>
      </c>
      <c r="E613" s="16" t="str">
        <f>VLOOKUP(B613,'Compiled Agents'!A:H,5,FALSE)</f>
        <v>Wave1</v>
      </c>
      <c r="F613" s="16" t="str">
        <f>VLOOKUP(B613,'Compiled Agents'!A:H,6,FALSE)</f>
        <v>Purple</v>
      </c>
      <c r="G613" s="16">
        <f>VLOOKUP($A613,'SurveyRpt_20150223 (1)'!$A$34:$AN$735,6,FALSE)</f>
        <v>16</v>
      </c>
      <c r="H613" s="16" t="str">
        <f>VLOOKUP($A613,'SurveyRpt_20150223 (1)'!$A$34:$AN$735,8,FALSE)</f>
        <v>Yes</v>
      </c>
      <c r="I613" s="16" t="str">
        <f>VLOOKUP($A613,'SurveyRpt_20150223 (1)'!$A$34:$AN$735,10,FALSE)</f>
        <v>Yes</v>
      </c>
      <c r="J613" s="16" t="str">
        <f>VLOOKUP($A613,'SurveyRpt_20150223 (1)'!$A$34:$AN$735,12,FALSE)</f>
        <v>Yes</v>
      </c>
      <c r="K613" s="16" t="str">
        <f>VLOOKUP($A613,'SurveyRpt_20150223 (1)'!$A$34:$AN$735,14,FALSE)</f>
        <v>Yes</v>
      </c>
      <c r="L613" s="16" t="str">
        <f>VLOOKUP($A613,'SurveyRpt_20150223 (1)'!$A$34:$AN$735,16,FALSE)</f>
        <v>Yes</v>
      </c>
      <c r="M613" s="16" t="str">
        <f>VLOOKUP($A613,'SurveyRpt_20150223 (1)'!$A$34:$AN$735,18,FALSE)</f>
        <v>Yes</v>
      </c>
      <c r="N613" s="16" t="str">
        <f>VLOOKUP($A613,'SurveyRpt_20150223 (1)'!$A$34:$AN$735,20,FALSE)</f>
        <v>Yes</v>
      </c>
      <c r="O613" s="16" t="str">
        <f>VLOOKUP($A613,'SurveyRpt_20150223 (1)'!$A$34:$AN$735,22,FALSE)</f>
        <v>Yes</v>
      </c>
      <c r="P613" s="16" t="str">
        <f>VLOOKUP($A613,'SurveyRpt_20150223 (1)'!$A$34:$AN$735,24,FALSE)</f>
        <v>Yes</v>
      </c>
      <c r="Q613" s="16" t="str">
        <f>VLOOKUP($A613,'SurveyRpt_20150223 (1)'!$A$34:$AN$735,26,FALSE)</f>
        <v>Yes</v>
      </c>
      <c r="R613" s="16" t="str">
        <f>VLOOKUP($A613,'SurveyRpt_20150223 (1)'!$A$34:$AN$735,28,FALSE)</f>
        <v>Yes</v>
      </c>
      <c r="S613" s="16" t="str">
        <f>VLOOKUP($A613,'SurveyRpt_20150223 (1)'!$A$34:$AN$735,30,FALSE)</f>
        <v>Yes</v>
      </c>
      <c r="T613" s="16" t="str">
        <f>VLOOKUP($A613,'SurveyRpt_20150223 (1)'!$A$34:$AN$735,32,FALSE)</f>
        <v>Yes</v>
      </c>
      <c r="U613" s="16" t="str">
        <f>VLOOKUP($A613,'SurveyRpt_20150223 (1)'!$A$34:$AN$735,34,FALSE)</f>
        <v>Yes</v>
      </c>
      <c r="V613" s="16" t="str">
        <f>VLOOKUP($A613,'SurveyRpt_20150223 (1)'!$A$34:$AN$735,36,FALSE)</f>
        <v>Yes</v>
      </c>
      <c r="W613" s="16" t="str">
        <f>VLOOKUP($A613,'SurveyRpt_20150223 (1)'!$A$34:$AN$735,38,FALSE)</f>
        <v>Yes</v>
      </c>
    </row>
    <row r="614" spans="1:23" ht="13.5" customHeight="1" x14ac:dyDescent="0.25">
      <c r="A614" s="19" t="s">
        <v>707</v>
      </c>
      <c r="B614" s="19" t="str">
        <f t="shared" si="9"/>
        <v>GSUREDDY</v>
      </c>
      <c r="C614" s="16" t="str">
        <f>VLOOKUP(B614,'Compiled Agents'!A:H,2,FALSE)</f>
        <v>Platform</v>
      </c>
      <c r="D614" s="16" t="str">
        <f>VLOOKUP(B614,'Compiled Agents'!A:H,4,FALSE)</f>
        <v>Hyderabad</v>
      </c>
      <c r="E614" s="16" t="str">
        <f>VLOOKUP(B614,'Compiled Agents'!A:H,5,FALSE)</f>
        <v>Wave1</v>
      </c>
      <c r="F614" s="16" t="str">
        <f>VLOOKUP(B614,'Compiled Agents'!A:H,6,FALSE)</f>
        <v>Orange</v>
      </c>
      <c r="G614" s="16">
        <f>VLOOKUP($A614,'SurveyRpt_20150223 (1)'!$A$34:$AN$735,6,FALSE)</f>
        <v>16</v>
      </c>
      <c r="H614" s="16" t="str">
        <f>VLOOKUP($A614,'SurveyRpt_20150223 (1)'!$A$34:$AN$735,8,FALSE)</f>
        <v>Yes</v>
      </c>
      <c r="I614" s="16" t="str">
        <f>VLOOKUP($A614,'SurveyRpt_20150223 (1)'!$A$34:$AN$735,10,FALSE)</f>
        <v>Yes</v>
      </c>
      <c r="J614" s="16" t="str">
        <f>VLOOKUP($A614,'SurveyRpt_20150223 (1)'!$A$34:$AN$735,12,FALSE)</f>
        <v>Yes</v>
      </c>
      <c r="K614" s="16" t="str">
        <f>VLOOKUP($A614,'SurveyRpt_20150223 (1)'!$A$34:$AN$735,14,FALSE)</f>
        <v>Yes</v>
      </c>
      <c r="L614" s="16" t="str">
        <f>VLOOKUP($A614,'SurveyRpt_20150223 (1)'!$A$34:$AN$735,16,FALSE)</f>
        <v>Yes</v>
      </c>
      <c r="M614" s="16" t="str">
        <f>VLOOKUP($A614,'SurveyRpt_20150223 (1)'!$A$34:$AN$735,18,FALSE)</f>
        <v>Yes</v>
      </c>
      <c r="N614" s="16" t="str">
        <f>VLOOKUP($A614,'SurveyRpt_20150223 (1)'!$A$34:$AN$735,20,FALSE)</f>
        <v>Yes</v>
      </c>
      <c r="O614" s="16" t="str">
        <f>VLOOKUP($A614,'SurveyRpt_20150223 (1)'!$A$34:$AN$735,22,FALSE)</f>
        <v>Yes</v>
      </c>
      <c r="P614" s="16" t="str">
        <f>VLOOKUP($A614,'SurveyRpt_20150223 (1)'!$A$34:$AN$735,24,FALSE)</f>
        <v>Yes</v>
      </c>
      <c r="Q614" s="16" t="str">
        <f>VLOOKUP($A614,'SurveyRpt_20150223 (1)'!$A$34:$AN$735,26,FALSE)</f>
        <v>Yes</v>
      </c>
      <c r="R614" s="16" t="str">
        <f>VLOOKUP($A614,'SurveyRpt_20150223 (1)'!$A$34:$AN$735,28,FALSE)</f>
        <v>Yes</v>
      </c>
      <c r="S614" s="16" t="str">
        <f>VLOOKUP($A614,'SurveyRpt_20150223 (1)'!$A$34:$AN$735,30,FALSE)</f>
        <v>Yes</v>
      </c>
      <c r="T614" s="16" t="str">
        <f>VLOOKUP($A614,'SurveyRpt_20150223 (1)'!$A$34:$AN$735,32,FALSE)</f>
        <v>Yes</v>
      </c>
      <c r="U614" s="16" t="str">
        <f>VLOOKUP($A614,'SurveyRpt_20150223 (1)'!$A$34:$AN$735,34,FALSE)</f>
        <v>Yes</v>
      </c>
      <c r="V614" s="16" t="str">
        <f>VLOOKUP($A614,'SurveyRpt_20150223 (1)'!$A$34:$AN$735,36,FALSE)</f>
        <v>Yes</v>
      </c>
      <c r="W614" s="16" t="str">
        <f>VLOOKUP($A614,'SurveyRpt_20150223 (1)'!$A$34:$AN$735,38,FALSE)</f>
        <v>Yes</v>
      </c>
    </row>
    <row r="615" spans="1:23" ht="13.5" customHeight="1" x14ac:dyDescent="0.25">
      <c r="A615" s="19" t="s">
        <v>708</v>
      </c>
      <c r="B615" s="19" t="str">
        <f t="shared" si="9"/>
        <v>SSATAPATHY</v>
      </c>
      <c r="C615" s="16" t="str">
        <f>VLOOKUP(B615,'Compiled Agents'!A:H,2,FALSE)</f>
        <v>Platform</v>
      </c>
      <c r="D615" s="16" t="str">
        <f>VLOOKUP(B615,'Compiled Agents'!A:H,4,FALSE)</f>
        <v>Noida</v>
      </c>
      <c r="E615" s="16" t="str">
        <f>VLOOKUP(B615,'Compiled Agents'!A:H,5,FALSE)</f>
        <v>Wave2</v>
      </c>
      <c r="F615" s="16" t="str">
        <f>VLOOKUP(B615,'Compiled Agents'!A:H,6,FALSE)</f>
        <v>Blue</v>
      </c>
      <c r="G615" s="16">
        <f>VLOOKUP($A615,'SurveyRpt_20150223 (1)'!$A$34:$AN$735,6,FALSE)</f>
        <v>10</v>
      </c>
      <c r="H615" s="16" t="str">
        <f>VLOOKUP($A615,'SurveyRpt_20150223 (1)'!$A$34:$AN$735,8,FALSE)</f>
        <v>Yes</v>
      </c>
      <c r="I615" s="16" t="str">
        <f>VLOOKUP($A615,'SurveyRpt_20150223 (1)'!$A$34:$AN$735,10,FALSE)</f>
        <v>Yes</v>
      </c>
      <c r="J615" s="16" t="str">
        <f>VLOOKUP($A615,'SurveyRpt_20150223 (1)'!$A$34:$AN$735,12,FALSE)</f>
        <v>No</v>
      </c>
      <c r="K615" s="16" t="str">
        <f>VLOOKUP($A615,'SurveyRpt_20150223 (1)'!$A$34:$AN$735,14,FALSE)</f>
        <v>No</v>
      </c>
      <c r="L615" s="16" t="str">
        <f>VLOOKUP($A615,'SurveyRpt_20150223 (1)'!$A$34:$AN$735,16,FALSE)</f>
        <v>Yes</v>
      </c>
      <c r="M615" s="16" t="str">
        <f>VLOOKUP($A615,'SurveyRpt_20150223 (1)'!$A$34:$AN$735,18,FALSE)</f>
        <v>Yes</v>
      </c>
      <c r="N615" s="16" t="str">
        <f>VLOOKUP($A615,'SurveyRpt_20150223 (1)'!$A$34:$AN$735,20,FALSE)</f>
        <v>No</v>
      </c>
      <c r="O615" s="16" t="str">
        <f>VLOOKUP($A615,'SurveyRpt_20150223 (1)'!$A$34:$AN$735,22,FALSE)</f>
        <v>Yes</v>
      </c>
      <c r="P615" s="16" t="str">
        <f>VLOOKUP($A615,'SurveyRpt_20150223 (1)'!$A$34:$AN$735,24,FALSE)</f>
        <v>Yes</v>
      </c>
      <c r="Q615" s="16" t="str">
        <f>VLOOKUP($A615,'SurveyRpt_20150223 (1)'!$A$34:$AN$735,26,FALSE)</f>
        <v>Yes</v>
      </c>
      <c r="R615" s="16" t="str">
        <f>VLOOKUP($A615,'SurveyRpt_20150223 (1)'!$A$34:$AN$735,28,FALSE)</f>
        <v>Yes</v>
      </c>
      <c r="S615" s="16" t="str">
        <f>VLOOKUP($A615,'SurveyRpt_20150223 (1)'!$A$34:$AN$735,30,FALSE)</f>
        <v>Yes</v>
      </c>
      <c r="T615" s="16" t="str">
        <f>VLOOKUP($A615,'SurveyRpt_20150223 (1)'!$A$34:$AN$735,32,FALSE)</f>
        <v>Yes</v>
      </c>
      <c r="U615" s="16" t="str">
        <f>VLOOKUP($A615,'SurveyRpt_20150223 (1)'!$A$34:$AN$735,34,FALSE)</f>
        <v>No</v>
      </c>
      <c r="V615" s="16" t="str">
        <f>VLOOKUP($A615,'SurveyRpt_20150223 (1)'!$A$34:$AN$735,36,FALSE)</f>
        <v>No</v>
      </c>
      <c r="W615" s="16" t="str">
        <f>VLOOKUP($A615,'SurveyRpt_20150223 (1)'!$A$34:$AN$735,38,FALSE)</f>
        <v>No</v>
      </c>
    </row>
    <row r="616" spans="1:23" ht="13.5" customHeight="1" x14ac:dyDescent="0.25">
      <c r="A616" s="19" t="s">
        <v>709</v>
      </c>
      <c r="B616" s="19" t="str">
        <f t="shared" si="9"/>
        <v>NKALKAR</v>
      </c>
      <c r="C616" s="16" t="str">
        <f>VLOOKUP(B616,'Compiled Agents'!A:H,2,FALSE)</f>
        <v>Platform</v>
      </c>
      <c r="D616" s="16" t="str">
        <f>VLOOKUP(B616,'Compiled Agents'!A:H,4,FALSE)</f>
        <v>Noida</v>
      </c>
      <c r="E616" s="16" t="str">
        <f>VLOOKUP(B616,'Compiled Agents'!A:H,5,FALSE)</f>
        <v>Wave1</v>
      </c>
      <c r="F616" s="16" t="str">
        <f>VLOOKUP(B616,'Compiled Agents'!A:H,6,FALSE)</f>
        <v>Yellow</v>
      </c>
      <c r="G616" s="16">
        <f>VLOOKUP($A616,'SurveyRpt_20150223 (1)'!$A$34:$AN$735,6,FALSE)</f>
        <v>5</v>
      </c>
      <c r="H616" s="16" t="str">
        <f>VLOOKUP($A616,'SurveyRpt_20150223 (1)'!$A$34:$AN$735,8,FALSE)</f>
        <v>No</v>
      </c>
      <c r="I616" s="16" t="str">
        <f>VLOOKUP($A616,'SurveyRpt_20150223 (1)'!$A$34:$AN$735,10,FALSE)</f>
        <v>Yes</v>
      </c>
      <c r="J616" s="16" t="str">
        <f>VLOOKUP($A616,'SurveyRpt_20150223 (1)'!$A$34:$AN$735,12,FALSE)</f>
        <v>Yes</v>
      </c>
      <c r="K616" s="16" t="str">
        <f>VLOOKUP($A616,'SurveyRpt_20150223 (1)'!$A$34:$AN$735,14,FALSE)</f>
        <v>No</v>
      </c>
      <c r="L616" s="16" t="str">
        <f>VLOOKUP($A616,'SurveyRpt_20150223 (1)'!$A$34:$AN$735,16,FALSE)</f>
        <v>No</v>
      </c>
      <c r="M616" s="16" t="str">
        <f>VLOOKUP($A616,'SurveyRpt_20150223 (1)'!$A$34:$AN$735,18,FALSE)</f>
        <v>Yes</v>
      </c>
      <c r="N616" s="16" t="str">
        <f>VLOOKUP($A616,'SurveyRpt_20150223 (1)'!$A$34:$AN$735,20,FALSE)</f>
        <v>No</v>
      </c>
      <c r="O616" s="16" t="str">
        <f>VLOOKUP($A616,'SurveyRpt_20150223 (1)'!$A$34:$AN$735,22,FALSE)</f>
        <v>No</v>
      </c>
      <c r="P616" s="16" t="str">
        <f>VLOOKUP($A616,'SurveyRpt_20150223 (1)'!$A$34:$AN$735,24,FALSE)</f>
        <v>No</v>
      </c>
      <c r="Q616" s="16" t="str">
        <f>VLOOKUP($A616,'SurveyRpt_20150223 (1)'!$A$34:$AN$735,26,FALSE)</f>
        <v>Yes</v>
      </c>
      <c r="R616" s="16" t="str">
        <f>VLOOKUP($A616,'SurveyRpt_20150223 (1)'!$A$34:$AN$735,28,FALSE)</f>
        <v>No</v>
      </c>
      <c r="S616" s="16" t="str">
        <f>VLOOKUP($A616,'SurveyRpt_20150223 (1)'!$A$34:$AN$735,30,FALSE)</f>
        <v>Yes</v>
      </c>
      <c r="T616" s="16" t="str">
        <f>VLOOKUP($A616,'SurveyRpt_20150223 (1)'!$A$34:$AN$735,32,FALSE)</f>
        <v>No</v>
      </c>
      <c r="U616" s="16" t="str">
        <f>VLOOKUP($A616,'SurveyRpt_20150223 (1)'!$A$34:$AN$735,34,FALSE)</f>
        <v>No</v>
      </c>
      <c r="V616" s="16" t="str">
        <f>VLOOKUP($A616,'SurveyRpt_20150223 (1)'!$A$34:$AN$735,36,FALSE)</f>
        <v>No</v>
      </c>
      <c r="W616" s="16" t="str">
        <f>VLOOKUP($A616,'SurveyRpt_20150223 (1)'!$A$34:$AN$735,38,FALSE)</f>
        <v>No</v>
      </c>
    </row>
    <row r="617" spans="1:23" ht="13.5" customHeight="1" x14ac:dyDescent="0.25">
      <c r="A617" s="19" t="s">
        <v>710</v>
      </c>
      <c r="B617" s="19" t="str">
        <f t="shared" si="9"/>
        <v>OPRAKASH2</v>
      </c>
      <c r="C617" s="16" t="str">
        <f>VLOOKUP(B617,'Compiled Agents'!A:H,2,FALSE)</f>
        <v>Platform</v>
      </c>
      <c r="D617" s="16" t="str">
        <f>VLOOKUP(B617,'Compiled Agents'!A:H,4,FALSE)</f>
        <v>Noida</v>
      </c>
      <c r="E617" s="16" t="str">
        <f>VLOOKUP(B617,'Compiled Agents'!A:H,5,FALSE)</f>
        <v>Wave1</v>
      </c>
      <c r="F617" s="16" t="str">
        <f>VLOOKUP(B617,'Compiled Agents'!A:H,6,FALSE)</f>
        <v>Purple</v>
      </c>
      <c r="G617" s="16">
        <f>VLOOKUP($A617,'SurveyRpt_20150223 (1)'!$A$34:$AN$735,6,FALSE)</f>
        <v>13</v>
      </c>
      <c r="H617" s="16" t="str">
        <f>VLOOKUP($A617,'SurveyRpt_20150223 (1)'!$A$34:$AN$735,8,FALSE)</f>
        <v>Yes</v>
      </c>
      <c r="I617" s="16" t="str">
        <f>VLOOKUP($A617,'SurveyRpt_20150223 (1)'!$A$34:$AN$735,10,FALSE)</f>
        <v>No</v>
      </c>
      <c r="J617" s="16" t="str">
        <f>VLOOKUP($A617,'SurveyRpt_20150223 (1)'!$A$34:$AN$735,12,FALSE)</f>
        <v>Yes</v>
      </c>
      <c r="K617" s="16" t="str">
        <f>VLOOKUP($A617,'SurveyRpt_20150223 (1)'!$A$34:$AN$735,14,FALSE)</f>
        <v>Yes</v>
      </c>
      <c r="L617" s="16" t="str">
        <f>VLOOKUP($A617,'SurveyRpt_20150223 (1)'!$A$34:$AN$735,16,FALSE)</f>
        <v>Yes</v>
      </c>
      <c r="M617" s="16" t="str">
        <f>VLOOKUP($A617,'SurveyRpt_20150223 (1)'!$A$34:$AN$735,18,FALSE)</f>
        <v>Yes</v>
      </c>
      <c r="N617" s="16" t="str">
        <f>VLOOKUP($A617,'SurveyRpt_20150223 (1)'!$A$34:$AN$735,20,FALSE)</f>
        <v>Yes</v>
      </c>
      <c r="O617" s="16" t="str">
        <f>VLOOKUP($A617,'SurveyRpt_20150223 (1)'!$A$34:$AN$735,22,FALSE)</f>
        <v>Yes</v>
      </c>
      <c r="P617" s="16" t="str">
        <f>VLOOKUP($A617,'SurveyRpt_20150223 (1)'!$A$34:$AN$735,24,FALSE)</f>
        <v>Yes</v>
      </c>
      <c r="Q617" s="16" t="str">
        <f>VLOOKUP($A617,'SurveyRpt_20150223 (1)'!$A$34:$AN$735,26,FALSE)</f>
        <v>Yes</v>
      </c>
      <c r="R617" s="16" t="str">
        <f>VLOOKUP($A617,'SurveyRpt_20150223 (1)'!$A$34:$AN$735,28,FALSE)</f>
        <v>Yes</v>
      </c>
      <c r="S617" s="16" t="str">
        <f>VLOOKUP($A617,'SurveyRpt_20150223 (1)'!$A$34:$AN$735,30,FALSE)</f>
        <v>Yes</v>
      </c>
      <c r="T617" s="16" t="str">
        <f>VLOOKUP($A617,'SurveyRpt_20150223 (1)'!$A$34:$AN$735,32,FALSE)</f>
        <v>No</v>
      </c>
      <c r="U617" s="16" t="str">
        <f>VLOOKUP($A617,'SurveyRpt_20150223 (1)'!$A$34:$AN$735,34,FALSE)</f>
        <v>Yes</v>
      </c>
      <c r="V617" s="16" t="str">
        <f>VLOOKUP($A617,'SurveyRpt_20150223 (1)'!$A$34:$AN$735,36,FALSE)</f>
        <v>Yes</v>
      </c>
      <c r="W617" s="16" t="str">
        <f>VLOOKUP($A617,'SurveyRpt_20150223 (1)'!$A$34:$AN$735,38,FALSE)</f>
        <v>No</v>
      </c>
    </row>
    <row r="618" spans="1:23" ht="13.5" customHeight="1" x14ac:dyDescent="0.25">
      <c r="A618" s="19" t="s">
        <v>711</v>
      </c>
      <c r="B618" s="19" t="str">
        <f t="shared" si="9"/>
        <v>PKOCHERLA</v>
      </c>
      <c r="C618" s="16" t="str">
        <f>VLOOKUP(B618,'Compiled Agents'!A:H,2,FALSE)</f>
        <v>Workplace</v>
      </c>
      <c r="D618" s="16" t="str">
        <f>VLOOKUP(B618,'Compiled Agents'!A:H,4,FALSE)</f>
        <v>Hyderabad</v>
      </c>
      <c r="E618" s="16" t="str">
        <f>VLOOKUP(B618,'Compiled Agents'!A:H,5,FALSE)</f>
        <v>Wave2</v>
      </c>
      <c r="F618" s="16" t="str">
        <f>VLOOKUP(B618,'Compiled Agents'!A:H,6,FALSE)</f>
        <v>Purple</v>
      </c>
      <c r="G618" s="16">
        <f>VLOOKUP($A618,'SurveyRpt_20150223 (1)'!$A$34:$AN$735,6,FALSE)</f>
        <v>16</v>
      </c>
      <c r="H618" s="16" t="str">
        <f>VLOOKUP($A618,'SurveyRpt_20150223 (1)'!$A$34:$AN$735,8,FALSE)</f>
        <v>Yes</v>
      </c>
      <c r="I618" s="16" t="str">
        <f>VLOOKUP($A618,'SurveyRpt_20150223 (1)'!$A$34:$AN$735,10,FALSE)</f>
        <v>Yes</v>
      </c>
      <c r="J618" s="16" t="str">
        <f>VLOOKUP($A618,'SurveyRpt_20150223 (1)'!$A$34:$AN$735,12,FALSE)</f>
        <v>Yes</v>
      </c>
      <c r="K618" s="16" t="str">
        <f>VLOOKUP($A618,'SurveyRpt_20150223 (1)'!$A$34:$AN$735,14,FALSE)</f>
        <v>Yes</v>
      </c>
      <c r="L618" s="16" t="str">
        <f>VLOOKUP($A618,'SurveyRpt_20150223 (1)'!$A$34:$AN$735,16,FALSE)</f>
        <v>Yes</v>
      </c>
      <c r="M618" s="16" t="str">
        <f>VLOOKUP($A618,'SurveyRpt_20150223 (1)'!$A$34:$AN$735,18,FALSE)</f>
        <v>Yes</v>
      </c>
      <c r="N618" s="16" t="str">
        <f>VLOOKUP($A618,'SurveyRpt_20150223 (1)'!$A$34:$AN$735,20,FALSE)</f>
        <v>Yes</v>
      </c>
      <c r="O618" s="16" t="str">
        <f>VLOOKUP($A618,'SurveyRpt_20150223 (1)'!$A$34:$AN$735,22,FALSE)</f>
        <v>Yes</v>
      </c>
      <c r="P618" s="16" t="str">
        <f>VLOOKUP($A618,'SurveyRpt_20150223 (1)'!$A$34:$AN$735,24,FALSE)</f>
        <v>Yes</v>
      </c>
      <c r="Q618" s="16" t="str">
        <f>VLOOKUP($A618,'SurveyRpt_20150223 (1)'!$A$34:$AN$735,26,FALSE)</f>
        <v>Yes</v>
      </c>
      <c r="R618" s="16" t="str">
        <f>VLOOKUP($A618,'SurveyRpt_20150223 (1)'!$A$34:$AN$735,28,FALSE)</f>
        <v>Yes</v>
      </c>
      <c r="S618" s="16" t="str">
        <f>VLOOKUP($A618,'SurveyRpt_20150223 (1)'!$A$34:$AN$735,30,FALSE)</f>
        <v>Yes</v>
      </c>
      <c r="T618" s="16" t="str">
        <f>VLOOKUP($A618,'SurveyRpt_20150223 (1)'!$A$34:$AN$735,32,FALSE)</f>
        <v>Yes</v>
      </c>
      <c r="U618" s="16" t="str">
        <f>VLOOKUP($A618,'SurveyRpt_20150223 (1)'!$A$34:$AN$735,34,FALSE)</f>
        <v>Yes</v>
      </c>
      <c r="V618" s="16" t="str">
        <f>VLOOKUP($A618,'SurveyRpt_20150223 (1)'!$A$34:$AN$735,36,FALSE)</f>
        <v>Yes</v>
      </c>
      <c r="W618" s="16" t="str">
        <f>VLOOKUP($A618,'SurveyRpt_20150223 (1)'!$A$34:$AN$735,38,FALSE)</f>
        <v>Yes</v>
      </c>
    </row>
    <row r="619" spans="1:23" ht="13.5" customHeight="1" x14ac:dyDescent="0.25">
      <c r="A619" s="19" t="s">
        <v>712</v>
      </c>
      <c r="B619" s="19" t="str">
        <f t="shared" si="9"/>
        <v>AKOZHIKKODAN</v>
      </c>
      <c r="C619" s="16" t="str">
        <f>VLOOKUP(B619,'Compiled Agents'!A:H,2,FALSE)</f>
        <v>Platform</v>
      </c>
      <c r="D619" s="16" t="str">
        <f>VLOOKUP(B619,'Compiled Agents'!A:H,4,FALSE)</f>
        <v>Hyderabad</v>
      </c>
      <c r="E619" s="16" t="str">
        <f>VLOOKUP(B619,'Compiled Agents'!A:H,5,FALSE)</f>
        <v>Wave1</v>
      </c>
      <c r="F619" s="16" t="str">
        <f>VLOOKUP(B619,'Compiled Agents'!A:H,6,FALSE)</f>
        <v>Purple</v>
      </c>
      <c r="G619" s="16">
        <f>VLOOKUP($A619,'SurveyRpt_20150223 (1)'!$A$34:$AN$735,6,FALSE)</f>
        <v>16</v>
      </c>
      <c r="H619" s="16" t="str">
        <f>VLOOKUP($A619,'SurveyRpt_20150223 (1)'!$A$34:$AN$735,8,FALSE)</f>
        <v>Yes</v>
      </c>
      <c r="I619" s="16" t="str">
        <f>VLOOKUP($A619,'SurveyRpt_20150223 (1)'!$A$34:$AN$735,10,FALSE)</f>
        <v>Yes</v>
      </c>
      <c r="J619" s="16" t="str">
        <f>VLOOKUP($A619,'SurveyRpt_20150223 (1)'!$A$34:$AN$735,12,FALSE)</f>
        <v>Yes</v>
      </c>
      <c r="K619" s="16" t="str">
        <f>VLOOKUP($A619,'SurveyRpt_20150223 (1)'!$A$34:$AN$735,14,FALSE)</f>
        <v>Yes</v>
      </c>
      <c r="L619" s="16" t="str">
        <f>VLOOKUP($A619,'SurveyRpt_20150223 (1)'!$A$34:$AN$735,16,FALSE)</f>
        <v>Yes</v>
      </c>
      <c r="M619" s="16" t="str">
        <f>VLOOKUP($A619,'SurveyRpt_20150223 (1)'!$A$34:$AN$735,18,FALSE)</f>
        <v>Yes</v>
      </c>
      <c r="N619" s="16" t="str">
        <f>VLOOKUP($A619,'SurveyRpt_20150223 (1)'!$A$34:$AN$735,20,FALSE)</f>
        <v>Yes</v>
      </c>
      <c r="O619" s="16" t="str">
        <f>VLOOKUP($A619,'SurveyRpt_20150223 (1)'!$A$34:$AN$735,22,FALSE)</f>
        <v>Yes</v>
      </c>
      <c r="P619" s="16" t="str">
        <f>VLOOKUP($A619,'SurveyRpt_20150223 (1)'!$A$34:$AN$735,24,FALSE)</f>
        <v>Yes</v>
      </c>
      <c r="Q619" s="16" t="str">
        <f>VLOOKUP($A619,'SurveyRpt_20150223 (1)'!$A$34:$AN$735,26,FALSE)</f>
        <v>Yes</v>
      </c>
      <c r="R619" s="16" t="str">
        <f>VLOOKUP($A619,'SurveyRpt_20150223 (1)'!$A$34:$AN$735,28,FALSE)</f>
        <v>Yes</v>
      </c>
      <c r="S619" s="16" t="str">
        <f>VLOOKUP($A619,'SurveyRpt_20150223 (1)'!$A$34:$AN$735,30,FALSE)</f>
        <v>Yes</v>
      </c>
      <c r="T619" s="16" t="str">
        <f>VLOOKUP($A619,'SurveyRpt_20150223 (1)'!$A$34:$AN$735,32,FALSE)</f>
        <v>Yes</v>
      </c>
      <c r="U619" s="16" t="str">
        <f>VLOOKUP($A619,'SurveyRpt_20150223 (1)'!$A$34:$AN$735,34,FALSE)</f>
        <v>Yes</v>
      </c>
      <c r="V619" s="16" t="str">
        <f>VLOOKUP($A619,'SurveyRpt_20150223 (1)'!$A$34:$AN$735,36,FALSE)</f>
        <v>Yes</v>
      </c>
      <c r="W619" s="16" t="str">
        <f>VLOOKUP($A619,'SurveyRpt_20150223 (1)'!$A$34:$AN$735,38,FALSE)</f>
        <v>Yes</v>
      </c>
    </row>
    <row r="620" spans="1:23" ht="13.5" customHeight="1" x14ac:dyDescent="0.25">
      <c r="A620" s="19" t="s">
        <v>713</v>
      </c>
      <c r="B620" s="19" t="str">
        <f t="shared" si="9"/>
        <v>ASHARMA248</v>
      </c>
      <c r="C620" s="16" t="str">
        <f>VLOOKUP(B620,'Compiled Agents'!A:H,2,FALSE)</f>
        <v>Platform</v>
      </c>
      <c r="D620" s="16" t="str">
        <f>VLOOKUP(B620,'Compiled Agents'!A:H,4,FALSE)</f>
        <v>Noida</v>
      </c>
      <c r="E620" s="16" t="str">
        <f>VLOOKUP(B620,'Compiled Agents'!A:H,5,FALSE)</f>
        <v>Wave2</v>
      </c>
      <c r="F620" s="16" t="str">
        <f>VLOOKUP(B620,'Compiled Agents'!A:H,6,FALSE)</f>
        <v>Purple</v>
      </c>
      <c r="G620" s="16">
        <f>VLOOKUP($A620,'SurveyRpt_20150223 (1)'!$A$34:$AN$735,6,FALSE)</f>
        <v>13</v>
      </c>
      <c r="H620" s="16" t="str">
        <f>VLOOKUP($A620,'SurveyRpt_20150223 (1)'!$A$34:$AN$735,8,FALSE)</f>
        <v>Yes</v>
      </c>
      <c r="I620" s="16" t="str">
        <f>VLOOKUP($A620,'SurveyRpt_20150223 (1)'!$A$34:$AN$735,10,FALSE)</f>
        <v>Yes</v>
      </c>
      <c r="J620" s="16" t="str">
        <f>VLOOKUP($A620,'SurveyRpt_20150223 (1)'!$A$34:$AN$735,12,FALSE)</f>
        <v>No</v>
      </c>
      <c r="K620" s="16" t="str">
        <f>VLOOKUP($A620,'SurveyRpt_20150223 (1)'!$A$34:$AN$735,14,FALSE)</f>
        <v>No</v>
      </c>
      <c r="L620" s="16" t="str">
        <f>VLOOKUP($A620,'SurveyRpt_20150223 (1)'!$A$34:$AN$735,16,FALSE)</f>
        <v>Yes</v>
      </c>
      <c r="M620" s="16" t="str">
        <f>VLOOKUP($A620,'SurveyRpt_20150223 (1)'!$A$34:$AN$735,18,FALSE)</f>
        <v>No</v>
      </c>
      <c r="N620" s="16" t="str">
        <f>VLOOKUP($A620,'SurveyRpt_20150223 (1)'!$A$34:$AN$735,20,FALSE)</f>
        <v>Yes</v>
      </c>
      <c r="O620" s="16" t="str">
        <f>VLOOKUP($A620,'SurveyRpt_20150223 (1)'!$A$34:$AN$735,22,FALSE)</f>
        <v>Yes</v>
      </c>
      <c r="P620" s="16" t="str">
        <f>VLOOKUP($A620,'SurveyRpt_20150223 (1)'!$A$34:$AN$735,24,FALSE)</f>
        <v>Yes</v>
      </c>
      <c r="Q620" s="16" t="str">
        <f>VLOOKUP($A620,'SurveyRpt_20150223 (1)'!$A$34:$AN$735,26,FALSE)</f>
        <v>Yes</v>
      </c>
      <c r="R620" s="16" t="str">
        <f>VLOOKUP($A620,'SurveyRpt_20150223 (1)'!$A$34:$AN$735,28,FALSE)</f>
        <v>Yes</v>
      </c>
      <c r="S620" s="16" t="str">
        <f>VLOOKUP($A620,'SurveyRpt_20150223 (1)'!$A$34:$AN$735,30,FALSE)</f>
        <v>Yes</v>
      </c>
      <c r="T620" s="16" t="str">
        <f>VLOOKUP($A620,'SurveyRpt_20150223 (1)'!$A$34:$AN$735,32,FALSE)</f>
        <v>Yes</v>
      </c>
      <c r="U620" s="16" t="str">
        <f>VLOOKUP($A620,'SurveyRpt_20150223 (1)'!$A$34:$AN$735,34,FALSE)</f>
        <v>Yes</v>
      </c>
      <c r="V620" s="16" t="str">
        <f>VLOOKUP($A620,'SurveyRpt_20150223 (1)'!$A$34:$AN$735,36,FALSE)</f>
        <v>Yes</v>
      </c>
      <c r="W620" s="16" t="str">
        <f>VLOOKUP($A620,'SurveyRpt_20150223 (1)'!$A$34:$AN$735,38,FALSE)</f>
        <v>Yes</v>
      </c>
    </row>
    <row r="621" spans="1:23" ht="13.5" customHeight="1" x14ac:dyDescent="0.25">
      <c r="A621" s="19" t="s">
        <v>714</v>
      </c>
      <c r="B621" s="19" t="str">
        <f t="shared" si="9"/>
        <v>SOMAR3</v>
      </c>
      <c r="C621" s="16" t="str">
        <f>VLOOKUP(B621,'Compiled Agents'!A:H,2,FALSE)</f>
        <v>Workplace</v>
      </c>
      <c r="D621" s="16" t="str">
        <f>VLOOKUP(B621,'Compiled Agents'!A:H,4,FALSE)</f>
        <v>Noida</v>
      </c>
      <c r="E621" s="16" t="str">
        <f>VLOOKUP(B621,'Compiled Agents'!A:H,5,FALSE)</f>
        <v>Wave1</v>
      </c>
      <c r="F621" s="16" t="str">
        <f>VLOOKUP(B621,'Compiled Agents'!A:H,6,FALSE)</f>
        <v>Yellow</v>
      </c>
      <c r="G621" s="16">
        <f>VLOOKUP($A621,'SurveyRpt_20150223 (1)'!$A$34:$AN$735,6,FALSE)</f>
        <v>10</v>
      </c>
      <c r="H621" s="16" t="str">
        <f>VLOOKUP($A621,'SurveyRpt_20150223 (1)'!$A$34:$AN$735,8,FALSE)</f>
        <v>Yes</v>
      </c>
      <c r="I621" s="16" t="str">
        <f>VLOOKUP($A621,'SurveyRpt_20150223 (1)'!$A$34:$AN$735,10,FALSE)</f>
        <v>Yes</v>
      </c>
      <c r="J621" s="16" t="str">
        <f>VLOOKUP($A621,'SurveyRpt_20150223 (1)'!$A$34:$AN$735,12,FALSE)</f>
        <v>Yes</v>
      </c>
      <c r="K621" s="16" t="str">
        <f>VLOOKUP($A621,'SurveyRpt_20150223 (1)'!$A$34:$AN$735,14,FALSE)</f>
        <v>Yes</v>
      </c>
      <c r="L621" s="16" t="str">
        <f>VLOOKUP($A621,'SurveyRpt_20150223 (1)'!$A$34:$AN$735,16,FALSE)</f>
        <v>No</v>
      </c>
      <c r="M621" s="16" t="str">
        <f>VLOOKUP($A621,'SurveyRpt_20150223 (1)'!$A$34:$AN$735,18,FALSE)</f>
        <v>Yes</v>
      </c>
      <c r="N621" s="16" t="str">
        <f>VLOOKUP($A621,'SurveyRpt_20150223 (1)'!$A$34:$AN$735,20,FALSE)</f>
        <v>No</v>
      </c>
      <c r="O621" s="16" t="str">
        <f>VLOOKUP($A621,'SurveyRpt_20150223 (1)'!$A$34:$AN$735,22,FALSE)</f>
        <v>No</v>
      </c>
      <c r="P621" s="16" t="str">
        <f>VLOOKUP($A621,'SurveyRpt_20150223 (1)'!$A$34:$AN$735,24,FALSE)</f>
        <v>Yes</v>
      </c>
      <c r="Q621" s="16" t="str">
        <f>VLOOKUP($A621,'SurveyRpt_20150223 (1)'!$A$34:$AN$735,26,FALSE)</f>
        <v>Yes</v>
      </c>
      <c r="R621" s="16" t="str">
        <f>VLOOKUP($A621,'SurveyRpt_20150223 (1)'!$A$34:$AN$735,28,FALSE)</f>
        <v>Yes</v>
      </c>
      <c r="S621" s="16" t="str">
        <f>VLOOKUP($A621,'SurveyRpt_20150223 (1)'!$A$34:$AN$735,30,FALSE)</f>
        <v>Yes</v>
      </c>
      <c r="T621" s="16" t="str">
        <f>VLOOKUP($A621,'SurveyRpt_20150223 (1)'!$A$34:$AN$735,32,FALSE)</f>
        <v>Yes</v>
      </c>
      <c r="U621" s="16" t="str">
        <f>VLOOKUP($A621,'SurveyRpt_20150223 (1)'!$A$34:$AN$735,34,FALSE)</f>
        <v>No</v>
      </c>
      <c r="V621" s="16" t="str">
        <f>VLOOKUP($A621,'SurveyRpt_20150223 (1)'!$A$34:$AN$735,36,FALSE)</f>
        <v>No</v>
      </c>
      <c r="W621" s="16" t="str">
        <f>VLOOKUP($A621,'SurveyRpt_20150223 (1)'!$A$34:$AN$735,38,FALSE)</f>
        <v>No</v>
      </c>
    </row>
    <row r="622" spans="1:23" ht="13.5" customHeight="1" x14ac:dyDescent="0.25">
      <c r="A622" s="19" t="s">
        <v>715</v>
      </c>
      <c r="B622" s="19" t="str">
        <f t="shared" si="9"/>
        <v>VGK</v>
      </c>
      <c r="C622" s="16" t="str">
        <f>VLOOKUP(B622,'Compiled Agents'!A:H,2,FALSE)</f>
        <v>Platform</v>
      </c>
      <c r="D622" s="16" t="str">
        <f>VLOOKUP(B622,'Compiled Agents'!A:H,4,FALSE)</f>
        <v>Noida</v>
      </c>
      <c r="E622" s="16" t="str">
        <f>VLOOKUP(B622,'Compiled Agents'!A:H,5,FALSE)</f>
        <v>Wave2</v>
      </c>
      <c r="F622" s="16" t="str">
        <f>VLOOKUP(B622,'Compiled Agents'!A:H,6,FALSE)</f>
        <v>Blue</v>
      </c>
      <c r="G622" s="16">
        <f>VLOOKUP($A622,'SurveyRpt_20150223 (1)'!$A$34:$AN$735,6,FALSE)</f>
        <v>16</v>
      </c>
      <c r="H622" s="16" t="str">
        <f>VLOOKUP($A622,'SurveyRpt_20150223 (1)'!$A$34:$AN$735,8,FALSE)</f>
        <v>Yes</v>
      </c>
      <c r="I622" s="16" t="str">
        <f>VLOOKUP($A622,'SurveyRpt_20150223 (1)'!$A$34:$AN$735,10,FALSE)</f>
        <v>Yes</v>
      </c>
      <c r="J622" s="16" t="str">
        <f>VLOOKUP($A622,'SurveyRpt_20150223 (1)'!$A$34:$AN$735,12,FALSE)</f>
        <v>Yes</v>
      </c>
      <c r="K622" s="16" t="str">
        <f>VLOOKUP($A622,'SurveyRpt_20150223 (1)'!$A$34:$AN$735,14,FALSE)</f>
        <v>Yes</v>
      </c>
      <c r="L622" s="16" t="str">
        <f>VLOOKUP($A622,'SurveyRpt_20150223 (1)'!$A$34:$AN$735,16,FALSE)</f>
        <v>Yes</v>
      </c>
      <c r="M622" s="16" t="str">
        <f>VLOOKUP($A622,'SurveyRpt_20150223 (1)'!$A$34:$AN$735,18,FALSE)</f>
        <v>Yes</v>
      </c>
      <c r="N622" s="16" t="str">
        <f>VLOOKUP($A622,'SurveyRpt_20150223 (1)'!$A$34:$AN$735,20,FALSE)</f>
        <v>Yes</v>
      </c>
      <c r="O622" s="16" t="str">
        <f>VLOOKUP($A622,'SurveyRpt_20150223 (1)'!$A$34:$AN$735,22,FALSE)</f>
        <v>Yes</v>
      </c>
      <c r="P622" s="16" t="str">
        <f>VLOOKUP($A622,'SurveyRpt_20150223 (1)'!$A$34:$AN$735,24,FALSE)</f>
        <v>Yes</v>
      </c>
      <c r="Q622" s="16" t="str">
        <f>VLOOKUP($A622,'SurveyRpt_20150223 (1)'!$A$34:$AN$735,26,FALSE)</f>
        <v>Yes</v>
      </c>
      <c r="R622" s="16" t="str">
        <f>VLOOKUP($A622,'SurveyRpt_20150223 (1)'!$A$34:$AN$735,28,FALSE)</f>
        <v>Yes</v>
      </c>
      <c r="S622" s="16" t="str">
        <f>VLOOKUP($A622,'SurveyRpt_20150223 (1)'!$A$34:$AN$735,30,FALSE)</f>
        <v>Yes</v>
      </c>
      <c r="T622" s="16" t="str">
        <f>VLOOKUP($A622,'SurveyRpt_20150223 (1)'!$A$34:$AN$735,32,FALSE)</f>
        <v>Yes</v>
      </c>
      <c r="U622" s="16" t="str">
        <f>VLOOKUP($A622,'SurveyRpt_20150223 (1)'!$A$34:$AN$735,34,FALSE)</f>
        <v>Yes</v>
      </c>
      <c r="V622" s="16" t="str">
        <f>VLOOKUP($A622,'SurveyRpt_20150223 (1)'!$A$34:$AN$735,36,FALSE)</f>
        <v>Yes</v>
      </c>
      <c r="W622" s="16" t="str">
        <f>VLOOKUP($A622,'SurveyRpt_20150223 (1)'!$A$34:$AN$735,38,FALSE)</f>
        <v>Yes</v>
      </c>
    </row>
    <row r="623" spans="1:23" ht="13.5" customHeight="1" x14ac:dyDescent="0.25">
      <c r="A623" s="19" t="s">
        <v>716</v>
      </c>
      <c r="B623" s="19" t="str">
        <f t="shared" si="9"/>
        <v>GSHARMA46</v>
      </c>
      <c r="C623" s="16" t="str">
        <f>VLOOKUP(B623,'Compiled Agents'!A:H,2,FALSE)</f>
        <v>Platform</v>
      </c>
      <c r="D623" s="16" t="str">
        <f>VLOOKUP(B623,'Compiled Agents'!A:H,4,FALSE)</f>
        <v>Noida</v>
      </c>
      <c r="E623" s="16" t="str">
        <f>VLOOKUP(B623,'Compiled Agents'!A:H,5,FALSE)</f>
        <v>Wave1</v>
      </c>
      <c r="F623" s="16" t="str">
        <f>VLOOKUP(B623,'Compiled Agents'!A:H,6,FALSE)</f>
        <v>Yellow</v>
      </c>
      <c r="G623" s="16">
        <f>VLOOKUP($A623,'SurveyRpt_20150223 (1)'!$A$34:$AN$735,6,FALSE)</f>
        <v>0</v>
      </c>
      <c r="H623" s="16" t="str">
        <f>VLOOKUP($A623,'SurveyRpt_20150223 (1)'!$A$34:$AN$735,8,FALSE)</f>
        <v>No</v>
      </c>
      <c r="I623" s="16" t="str">
        <f>VLOOKUP($A623,'SurveyRpt_20150223 (1)'!$A$34:$AN$735,10,FALSE)</f>
        <v>No</v>
      </c>
      <c r="J623" s="16" t="str">
        <f>VLOOKUP($A623,'SurveyRpt_20150223 (1)'!$A$34:$AN$735,12,FALSE)</f>
        <v>No</v>
      </c>
      <c r="K623" s="16" t="str">
        <f>VLOOKUP($A623,'SurveyRpt_20150223 (1)'!$A$34:$AN$735,14,FALSE)</f>
        <v>No</v>
      </c>
      <c r="L623" s="16" t="str">
        <f>VLOOKUP($A623,'SurveyRpt_20150223 (1)'!$A$34:$AN$735,16,FALSE)</f>
        <v>No</v>
      </c>
      <c r="M623" s="16" t="str">
        <f>VLOOKUP($A623,'SurveyRpt_20150223 (1)'!$A$34:$AN$735,18,FALSE)</f>
        <v>No</v>
      </c>
      <c r="N623" s="16" t="str">
        <f>VLOOKUP($A623,'SurveyRpt_20150223 (1)'!$A$34:$AN$735,20,FALSE)</f>
        <v>No</v>
      </c>
      <c r="O623" s="16" t="str">
        <f>VLOOKUP($A623,'SurveyRpt_20150223 (1)'!$A$34:$AN$735,22,FALSE)</f>
        <v>No</v>
      </c>
      <c r="P623" s="16" t="str">
        <f>VLOOKUP($A623,'SurveyRpt_20150223 (1)'!$A$34:$AN$735,24,FALSE)</f>
        <v>No</v>
      </c>
      <c r="Q623" s="16" t="str">
        <f>VLOOKUP($A623,'SurveyRpt_20150223 (1)'!$A$34:$AN$735,26,FALSE)</f>
        <v>No</v>
      </c>
      <c r="R623" s="16" t="str">
        <f>VLOOKUP($A623,'SurveyRpt_20150223 (1)'!$A$34:$AN$735,28,FALSE)</f>
        <v>No</v>
      </c>
      <c r="S623" s="16" t="str">
        <f>VLOOKUP($A623,'SurveyRpt_20150223 (1)'!$A$34:$AN$735,30,FALSE)</f>
        <v>No</v>
      </c>
      <c r="T623" s="16" t="str">
        <f>VLOOKUP($A623,'SurveyRpt_20150223 (1)'!$A$34:$AN$735,32,FALSE)</f>
        <v>No</v>
      </c>
      <c r="U623" s="16" t="str">
        <f>VLOOKUP($A623,'SurveyRpt_20150223 (1)'!$A$34:$AN$735,34,FALSE)</f>
        <v>No</v>
      </c>
      <c r="V623" s="16" t="str">
        <f>VLOOKUP($A623,'SurveyRpt_20150223 (1)'!$A$34:$AN$735,36,FALSE)</f>
        <v>No</v>
      </c>
      <c r="W623" s="16" t="str">
        <f>VLOOKUP($A623,'SurveyRpt_20150223 (1)'!$A$34:$AN$735,38,FALSE)</f>
        <v>No</v>
      </c>
    </row>
    <row r="624" spans="1:23" ht="13.5" customHeight="1" x14ac:dyDescent="0.25">
      <c r="A624" s="19" t="s">
        <v>717</v>
      </c>
      <c r="B624" s="19" t="str">
        <f t="shared" si="9"/>
        <v>RSHARIER</v>
      </c>
      <c r="C624" s="16" t="str">
        <f>VLOOKUP(B624,'Compiled Agents'!A:H,2,FALSE)</f>
        <v>Platform</v>
      </c>
      <c r="D624" s="16" t="str">
        <f>VLOOKUP(B624,'Compiled Agents'!A:H,4,FALSE)</f>
        <v>MBC US</v>
      </c>
      <c r="E624" s="16" t="str">
        <f>VLOOKUP(B624,'Compiled Agents'!A:H,5,FALSE)</f>
        <v>Wave2</v>
      </c>
      <c r="F624" s="16" t="str">
        <f>VLOOKUP(B624,'Compiled Agents'!A:H,6,FALSE)</f>
        <v>Orange</v>
      </c>
      <c r="G624" s="16">
        <f>VLOOKUP($A624,'SurveyRpt_20150223 (1)'!$A$34:$AN$735,6,FALSE)</f>
        <v>10</v>
      </c>
      <c r="H624" s="16" t="str">
        <f>VLOOKUP($A624,'SurveyRpt_20150223 (1)'!$A$34:$AN$735,8,FALSE)</f>
        <v>No</v>
      </c>
      <c r="I624" s="16" t="str">
        <f>VLOOKUP($A624,'SurveyRpt_20150223 (1)'!$A$34:$AN$735,10,FALSE)</f>
        <v>Yes</v>
      </c>
      <c r="J624" s="16" t="str">
        <f>VLOOKUP($A624,'SurveyRpt_20150223 (1)'!$A$34:$AN$735,12,FALSE)</f>
        <v>No</v>
      </c>
      <c r="K624" s="16" t="str">
        <f>VLOOKUP($A624,'SurveyRpt_20150223 (1)'!$A$34:$AN$735,14,FALSE)</f>
        <v>No</v>
      </c>
      <c r="L624" s="16" t="str">
        <f>VLOOKUP($A624,'SurveyRpt_20150223 (1)'!$A$34:$AN$735,16,FALSE)</f>
        <v>Yes</v>
      </c>
      <c r="M624" s="16" t="str">
        <f>VLOOKUP($A624,'SurveyRpt_20150223 (1)'!$A$34:$AN$735,18,FALSE)</f>
        <v>Yes</v>
      </c>
      <c r="N624" s="16" t="str">
        <f>VLOOKUP($A624,'SurveyRpt_20150223 (1)'!$A$34:$AN$735,20,FALSE)</f>
        <v>No</v>
      </c>
      <c r="O624" s="16" t="str">
        <f>VLOOKUP($A624,'SurveyRpt_20150223 (1)'!$A$34:$AN$735,22,FALSE)</f>
        <v>Yes</v>
      </c>
      <c r="P624" s="16" t="str">
        <f>VLOOKUP($A624,'SurveyRpt_20150223 (1)'!$A$34:$AN$735,24,FALSE)</f>
        <v>Yes</v>
      </c>
      <c r="Q624" s="16" t="str">
        <f>VLOOKUP($A624,'SurveyRpt_20150223 (1)'!$A$34:$AN$735,26,FALSE)</f>
        <v>Yes</v>
      </c>
      <c r="R624" s="16" t="str">
        <f>VLOOKUP($A624,'SurveyRpt_20150223 (1)'!$A$34:$AN$735,28,FALSE)</f>
        <v>Yes</v>
      </c>
      <c r="S624" s="16" t="str">
        <f>VLOOKUP($A624,'SurveyRpt_20150223 (1)'!$A$34:$AN$735,30,FALSE)</f>
        <v>No</v>
      </c>
      <c r="T624" s="16" t="str">
        <f>VLOOKUP($A624,'SurveyRpt_20150223 (1)'!$A$34:$AN$735,32,FALSE)</f>
        <v>No</v>
      </c>
      <c r="U624" s="16" t="str">
        <f>VLOOKUP($A624,'SurveyRpt_20150223 (1)'!$A$34:$AN$735,34,FALSE)</f>
        <v>Yes</v>
      </c>
      <c r="V624" s="16" t="str">
        <f>VLOOKUP($A624,'SurveyRpt_20150223 (1)'!$A$34:$AN$735,36,FALSE)</f>
        <v>Yes</v>
      </c>
      <c r="W624" s="16" t="str">
        <f>VLOOKUP($A624,'SurveyRpt_20150223 (1)'!$A$34:$AN$735,38,FALSE)</f>
        <v>Yes</v>
      </c>
    </row>
    <row r="625" spans="1:23" ht="13.5" customHeight="1" x14ac:dyDescent="0.25">
      <c r="A625" s="19" t="s">
        <v>718</v>
      </c>
      <c r="B625" s="19" t="str">
        <f t="shared" si="9"/>
        <v>RPAUL23</v>
      </c>
      <c r="C625" s="16" t="str">
        <f>VLOOKUP(B625,'Compiled Agents'!A:H,2,FALSE)</f>
        <v>Platform</v>
      </c>
      <c r="D625" s="16" t="str">
        <f>VLOOKUP(B625,'Compiled Agents'!A:H,4,FALSE)</f>
        <v>Hyderabad</v>
      </c>
      <c r="E625" s="16" t="str">
        <f>VLOOKUP(B625,'Compiled Agents'!A:H,5,FALSE)</f>
        <v>Wave1</v>
      </c>
      <c r="F625" s="16" t="str">
        <f>VLOOKUP(B625,'Compiled Agents'!A:H,6,FALSE)</f>
        <v>Purple</v>
      </c>
      <c r="G625" s="16">
        <f>VLOOKUP($A625,'SurveyRpt_20150223 (1)'!$A$34:$AN$735,6,FALSE)</f>
        <v>16</v>
      </c>
      <c r="H625" s="16" t="str">
        <f>VLOOKUP($A625,'SurveyRpt_20150223 (1)'!$A$34:$AN$735,8,FALSE)</f>
        <v>Yes</v>
      </c>
      <c r="I625" s="16" t="str">
        <f>VLOOKUP($A625,'SurveyRpt_20150223 (1)'!$A$34:$AN$735,10,FALSE)</f>
        <v>Yes</v>
      </c>
      <c r="J625" s="16" t="str">
        <f>VLOOKUP($A625,'SurveyRpt_20150223 (1)'!$A$34:$AN$735,12,FALSE)</f>
        <v>Yes</v>
      </c>
      <c r="K625" s="16" t="str">
        <f>VLOOKUP($A625,'SurveyRpt_20150223 (1)'!$A$34:$AN$735,14,FALSE)</f>
        <v>Yes</v>
      </c>
      <c r="L625" s="16" t="str">
        <f>VLOOKUP($A625,'SurveyRpt_20150223 (1)'!$A$34:$AN$735,16,FALSE)</f>
        <v>Yes</v>
      </c>
      <c r="M625" s="16" t="str">
        <f>VLOOKUP($A625,'SurveyRpt_20150223 (1)'!$A$34:$AN$735,18,FALSE)</f>
        <v>Yes</v>
      </c>
      <c r="N625" s="16" t="str">
        <f>VLOOKUP($A625,'SurveyRpt_20150223 (1)'!$A$34:$AN$735,20,FALSE)</f>
        <v>Yes</v>
      </c>
      <c r="O625" s="16" t="str">
        <f>VLOOKUP($A625,'SurveyRpt_20150223 (1)'!$A$34:$AN$735,22,FALSE)</f>
        <v>Yes</v>
      </c>
      <c r="P625" s="16" t="str">
        <f>VLOOKUP($A625,'SurveyRpt_20150223 (1)'!$A$34:$AN$735,24,FALSE)</f>
        <v>Yes</v>
      </c>
      <c r="Q625" s="16" t="str">
        <f>VLOOKUP($A625,'SurveyRpt_20150223 (1)'!$A$34:$AN$735,26,FALSE)</f>
        <v>Yes</v>
      </c>
      <c r="R625" s="16" t="str">
        <f>VLOOKUP($A625,'SurveyRpt_20150223 (1)'!$A$34:$AN$735,28,FALSE)</f>
        <v>Yes</v>
      </c>
      <c r="S625" s="16" t="str">
        <f>VLOOKUP($A625,'SurveyRpt_20150223 (1)'!$A$34:$AN$735,30,FALSE)</f>
        <v>Yes</v>
      </c>
      <c r="T625" s="16" t="str">
        <f>VLOOKUP($A625,'SurveyRpt_20150223 (1)'!$A$34:$AN$735,32,FALSE)</f>
        <v>Yes</v>
      </c>
      <c r="U625" s="16" t="str">
        <f>VLOOKUP($A625,'SurveyRpt_20150223 (1)'!$A$34:$AN$735,34,FALSE)</f>
        <v>Yes</v>
      </c>
      <c r="V625" s="16" t="str">
        <f>VLOOKUP($A625,'SurveyRpt_20150223 (1)'!$A$34:$AN$735,36,FALSE)</f>
        <v>Yes</v>
      </c>
      <c r="W625" s="16" t="str">
        <f>VLOOKUP($A625,'SurveyRpt_20150223 (1)'!$A$34:$AN$735,38,FALSE)</f>
        <v>Yes</v>
      </c>
    </row>
    <row r="626" spans="1:23" ht="13.5" customHeight="1" x14ac:dyDescent="0.25">
      <c r="A626" s="19" t="s">
        <v>719</v>
      </c>
      <c r="B626" s="19" t="str">
        <f t="shared" si="9"/>
        <v>VYUVARAJ</v>
      </c>
      <c r="C626" s="16" t="str">
        <f>VLOOKUP(B626,'Compiled Agents'!A:H,2,FALSE)</f>
        <v>Workplace</v>
      </c>
      <c r="D626" s="16" t="str">
        <f>VLOOKUP(B626,'Compiled Agents'!A:H,4,FALSE)</f>
        <v>Noida</v>
      </c>
      <c r="E626" s="16" t="str">
        <f>VLOOKUP(B626,'Compiled Agents'!A:H,5,FALSE)</f>
        <v>Wave2</v>
      </c>
      <c r="F626" s="16" t="str">
        <f>VLOOKUP(B626,'Compiled Agents'!A:H,6,FALSE)</f>
        <v>Purple</v>
      </c>
      <c r="G626" s="16">
        <f>VLOOKUP($A626,'SurveyRpt_20150223 (1)'!$A$34:$AN$735,6,FALSE)</f>
        <v>10</v>
      </c>
      <c r="H626" s="16" t="str">
        <f>VLOOKUP($A626,'SurveyRpt_20150223 (1)'!$A$34:$AN$735,8,FALSE)</f>
        <v>No</v>
      </c>
      <c r="I626" s="16" t="str">
        <f>VLOOKUP($A626,'SurveyRpt_20150223 (1)'!$A$34:$AN$735,10,FALSE)</f>
        <v>No</v>
      </c>
      <c r="J626" s="16" t="str">
        <f>VLOOKUP($A626,'SurveyRpt_20150223 (1)'!$A$34:$AN$735,12,FALSE)</f>
        <v>No</v>
      </c>
      <c r="K626" s="16" t="str">
        <f>VLOOKUP($A626,'SurveyRpt_20150223 (1)'!$A$34:$AN$735,14,FALSE)</f>
        <v>No</v>
      </c>
      <c r="L626" s="16" t="str">
        <f>VLOOKUP($A626,'SurveyRpt_20150223 (1)'!$A$34:$AN$735,16,FALSE)</f>
        <v>Yes</v>
      </c>
      <c r="M626" s="16" t="str">
        <f>VLOOKUP($A626,'SurveyRpt_20150223 (1)'!$A$34:$AN$735,18,FALSE)</f>
        <v>Yes</v>
      </c>
      <c r="N626" s="16" t="str">
        <f>VLOOKUP($A626,'SurveyRpt_20150223 (1)'!$A$34:$AN$735,20,FALSE)</f>
        <v>No</v>
      </c>
      <c r="O626" s="16" t="str">
        <f>VLOOKUP($A626,'SurveyRpt_20150223 (1)'!$A$34:$AN$735,22,FALSE)</f>
        <v>Yes</v>
      </c>
      <c r="P626" s="16" t="str">
        <f>VLOOKUP($A626,'SurveyRpt_20150223 (1)'!$A$34:$AN$735,24,FALSE)</f>
        <v>Yes</v>
      </c>
      <c r="Q626" s="16" t="str">
        <f>VLOOKUP($A626,'SurveyRpt_20150223 (1)'!$A$34:$AN$735,26,FALSE)</f>
        <v>Yes</v>
      </c>
      <c r="R626" s="16" t="str">
        <f>VLOOKUP($A626,'SurveyRpt_20150223 (1)'!$A$34:$AN$735,28,FALSE)</f>
        <v>Yes</v>
      </c>
      <c r="S626" s="16" t="str">
        <f>VLOOKUP($A626,'SurveyRpt_20150223 (1)'!$A$34:$AN$735,30,FALSE)</f>
        <v>Yes</v>
      </c>
      <c r="T626" s="16" t="str">
        <f>VLOOKUP($A626,'SurveyRpt_20150223 (1)'!$A$34:$AN$735,32,FALSE)</f>
        <v>Yes</v>
      </c>
      <c r="U626" s="16" t="str">
        <f>VLOOKUP($A626,'SurveyRpt_20150223 (1)'!$A$34:$AN$735,34,FALSE)</f>
        <v>Yes</v>
      </c>
      <c r="V626" s="16" t="str">
        <f>VLOOKUP($A626,'SurveyRpt_20150223 (1)'!$A$34:$AN$735,36,FALSE)</f>
        <v>Yes</v>
      </c>
      <c r="W626" s="16" t="str">
        <f>VLOOKUP($A626,'SurveyRpt_20150223 (1)'!$A$34:$AN$735,38,FALSE)</f>
        <v>No</v>
      </c>
    </row>
    <row r="627" spans="1:23" ht="13.5" customHeight="1" x14ac:dyDescent="0.25">
      <c r="A627" s="19" t="s">
        <v>720</v>
      </c>
      <c r="B627" s="19" t="str">
        <f t="shared" si="9"/>
        <v>gjanardhanan</v>
      </c>
      <c r="C627" s="16" t="str">
        <f>VLOOKUP(B627,'Compiled Agents'!A:H,2,FALSE)</f>
        <v>Workplace</v>
      </c>
      <c r="D627" s="16" t="str">
        <f>VLOOKUP(B627,'Compiled Agents'!A:H,4,FALSE)</f>
        <v>Noida</v>
      </c>
      <c r="E627" s="16" t="str">
        <f>VLOOKUP(B627,'Compiled Agents'!A:H,5,FALSE)</f>
        <v>Wave1</v>
      </c>
      <c r="F627" s="16" t="str">
        <f>VLOOKUP(B627,'Compiled Agents'!A:H,6,FALSE)</f>
        <v>Blue</v>
      </c>
      <c r="G627" s="16">
        <f>VLOOKUP($A627,'SurveyRpt_20150223 (1)'!$A$34:$AN$735,6,FALSE)</f>
        <v>14</v>
      </c>
      <c r="H627" s="16" t="str">
        <f>VLOOKUP($A627,'SurveyRpt_20150223 (1)'!$A$34:$AN$735,8,FALSE)</f>
        <v>Yes</v>
      </c>
      <c r="I627" s="16" t="str">
        <f>VLOOKUP($A627,'SurveyRpt_20150223 (1)'!$A$34:$AN$735,10,FALSE)</f>
        <v>Yes</v>
      </c>
      <c r="J627" s="16" t="str">
        <f>VLOOKUP($A627,'SurveyRpt_20150223 (1)'!$A$34:$AN$735,12,FALSE)</f>
        <v>Yes</v>
      </c>
      <c r="K627" s="16" t="str">
        <f>VLOOKUP($A627,'SurveyRpt_20150223 (1)'!$A$34:$AN$735,14,FALSE)</f>
        <v>Yes</v>
      </c>
      <c r="L627" s="16" t="str">
        <f>VLOOKUP($A627,'SurveyRpt_20150223 (1)'!$A$34:$AN$735,16,FALSE)</f>
        <v>Yes</v>
      </c>
      <c r="M627" s="16" t="str">
        <f>VLOOKUP($A627,'SurveyRpt_20150223 (1)'!$A$34:$AN$735,18,FALSE)</f>
        <v>Yes</v>
      </c>
      <c r="N627" s="16" t="str">
        <f>VLOOKUP($A627,'SurveyRpt_20150223 (1)'!$A$34:$AN$735,20,FALSE)</f>
        <v>Yes</v>
      </c>
      <c r="O627" s="16" t="str">
        <f>VLOOKUP($A627,'SurveyRpt_20150223 (1)'!$A$34:$AN$735,22,FALSE)</f>
        <v>Yes</v>
      </c>
      <c r="P627" s="16" t="str">
        <f>VLOOKUP($A627,'SurveyRpt_20150223 (1)'!$A$34:$AN$735,24,FALSE)</f>
        <v>Yes</v>
      </c>
      <c r="Q627" s="16" t="str">
        <f>VLOOKUP($A627,'SurveyRpt_20150223 (1)'!$A$34:$AN$735,26,FALSE)</f>
        <v>Yes</v>
      </c>
      <c r="R627" s="16" t="str">
        <f>VLOOKUP($A627,'SurveyRpt_20150223 (1)'!$A$34:$AN$735,28,FALSE)</f>
        <v>Yes</v>
      </c>
      <c r="S627" s="16" t="str">
        <f>VLOOKUP($A627,'SurveyRpt_20150223 (1)'!$A$34:$AN$735,30,FALSE)</f>
        <v>Yes</v>
      </c>
      <c r="T627" s="16" t="str">
        <f>VLOOKUP($A627,'SurveyRpt_20150223 (1)'!$A$34:$AN$735,32,FALSE)</f>
        <v>No</v>
      </c>
      <c r="U627" s="16" t="str">
        <f>VLOOKUP($A627,'SurveyRpt_20150223 (1)'!$A$34:$AN$735,34,FALSE)</f>
        <v>Yes</v>
      </c>
      <c r="V627" s="16" t="str">
        <f>VLOOKUP($A627,'SurveyRpt_20150223 (1)'!$A$34:$AN$735,36,FALSE)</f>
        <v>Yes</v>
      </c>
      <c r="W627" s="16" t="str">
        <f>VLOOKUP($A627,'SurveyRpt_20150223 (1)'!$A$34:$AN$735,38,FALSE)</f>
        <v>No</v>
      </c>
    </row>
    <row r="628" spans="1:23" ht="13.5" customHeight="1" x14ac:dyDescent="0.25">
      <c r="A628" s="19" t="s">
        <v>721</v>
      </c>
      <c r="B628" s="19" t="str">
        <f t="shared" si="9"/>
        <v>cshea3</v>
      </c>
      <c r="C628" s="16" t="str">
        <f>VLOOKUP(B628,'Compiled Agents'!A:H,2,FALSE)</f>
        <v>Workplace</v>
      </c>
      <c r="D628" s="16" t="str">
        <f>VLOOKUP(B628,'Compiled Agents'!A:H,4,FALSE)</f>
        <v>MBC US</v>
      </c>
      <c r="E628" s="16" t="str">
        <f>VLOOKUP(B628,'Compiled Agents'!A:H,5,FALSE)</f>
        <v>Wave2</v>
      </c>
      <c r="F628" s="16" t="str">
        <f>VLOOKUP(B628,'Compiled Agents'!A:H,6,FALSE)</f>
        <v>Brown</v>
      </c>
      <c r="G628" s="16">
        <f>VLOOKUP($A628,'SurveyRpt_20150223 (1)'!$A$34:$AN$735,6,FALSE)</f>
        <v>10</v>
      </c>
      <c r="H628" s="16" t="str">
        <f>VLOOKUP($A628,'SurveyRpt_20150223 (1)'!$A$34:$AN$735,8,FALSE)</f>
        <v>Yes</v>
      </c>
      <c r="I628" s="16" t="str">
        <f>VLOOKUP($A628,'SurveyRpt_20150223 (1)'!$A$34:$AN$735,10,FALSE)</f>
        <v>Yes</v>
      </c>
      <c r="J628" s="16" t="str">
        <f>VLOOKUP($A628,'SurveyRpt_20150223 (1)'!$A$34:$AN$735,12,FALSE)</f>
        <v>Yes</v>
      </c>
      <c r="K628" s="16" t="str">
        <f>VLOOKUP($A628,'SurveyRpt_20150223 (1)'!$A$34:$AN$735,14,FALSE)</f>
        <v>No</v>
      </c>
      <c r="L628" s="16" t="str">
        <f>VLOOKUP($A628,'SurveyRpt_20150223 (1)'!$A$34:$AN$735,16,FALSE)</f>
        <v>Yes</v>
      </c>
      <c r="M628" s="16" t="str">
        <f>VLOOKUP($A628,'SurveyRpt_20150223 (1)'!$A$34:$AN$735,18,FALSE)</f>
        <v>No</v>
      </c>
      <c r="N628" s="16" t="str">
        <f>VLOOKUP($A628,'SurveyRpt_20150223 (1)'!$A$34:$AN$735,20,FALSE)</f>
        <v>No</v>
      </c>
      <c r="O628" s="16" t="str">
        <f>VLOOKUP($A628,'SurveyRpt_20150223 (1)'!$A$34:$AN$735,22,FALSE)</f>
        <v>Yes</v>
      </c>
      <c r="P628" s="16" t="str">
        <f>VLOOKUP($A628,'SurveyRpt_20150223 (1)'!$A$34:$AN$735,24,FALSE)</f>
        <v>Yes</v>
      </c>
      <c r="Q628" s="16" t="str">
        <f>VLOOKUP($A628,'SurveyRpt_20150223 (1)'!$A$34:$AN$735,26,FALSE)</f>
        <v>Yes</v>
      </c>
      <c r="R628" s="16" t="str">
        <f>VLOOKUP($A628,'SurveyRpt_20150223 (1)'!$A$34:$AN$735,28,FALSE)</f>
        <v>Yes</v>
      </c>
      <c r="S628" s="16" t="str">
        <f>VLOOKUP($A628,'SurveyRpt_20150223 (1)'!$A$34:$AN$735,30,FALSE)</f>
        <v>Yes</v>
      </c>
      <c r="T628" s="16" t="str">
        <f>VLOOKUP($A628,'SurveyRpt_20150223 (1)'!$A$34:$AN$735,32,FALSE)</f>
        <v>No</v>
      </c>
      <c r="U628" s="16" t="str">
        <f>VLOOKUP($A628,'SurveyRpt_20150223 (1)'!$A$34:$AN$735,34,FALSE)</f>
        <v>No</v>
      </c>
      <c r="V628" s="16" t="str">
        <f>VLOOKUP($A628,'SurveyRpt_20150223 (1)'!$A$34:$AN$735,36,FALSE)</f>
        <v>Yes</v>
      </c>
      <c r="W628" s="16" t="str">
        <f>VLOOKUP($A628,'SurveyRpt_20150223 (1)'!$A$34:$AN$735,38,FALSE)</f>
        <v>No</v>
      </c>
    </row>
    <row r="629" spans="1:23" ht="13.5" customHeight="1" x14ac:dyDescent="0.25">
      <c r="A629" s="19" t="s">
        <v>722</v>
      </c>
      <c r="B629" s="19" t="str">
        <f t="shared" si="9"/>
        <v>LTANEJA</v>
      </c>
      <c r="C629" s="16" t="str">
        <f>VLOOKUP(B629,'Compiled Agents'!A:H,2,FALSE)</f>
        <v>Workplace</v>
      </c>
      <c r="D629" s="16" t="str">
        <f>VLOOKUP(B629,'Compiled Agents'!A:H,4,FALSE)</f>
        <v>Noida</v>
      </c>
      <c r="E629" s="16" t="str">
        <f>VLOOKUP(B629,'Compiled Agents'!A:H,5,FALSE)</f>
        <v>Wave2</v>
      </c>
      <c r="F629" s="16" t="str">
        <f>VLOOKUP(B629,'Compiled Agents'!A:H,6,FALSE)</f>
        <v>Yellow</v>
      </c>
      <c r="G629" s="16">
        <f>VLOOKUP($A629,'SurveyRpt_20150223 (1)'!$A$34:$AN$735,6,FALSE)</f>
        <v>16</v>
      </c>
      <c r="H629" s="16" t="str">
        <f>VLOOKUP($A629,'SurveyRpt_20150223 (1)'!$A$34:$AN$735,8,FALSE)</f>
        <v>Yes</v>
      </c>
      <c r="I629" s="16" t="str">
        <f>VLOOKUP($A629,'SurveyRpt_20150223 (1)'!$A$34:$AN$735,10,FALSE)</f>
        <v>Yes</v>
      </c>
      <c r="J629" s="16" t="str">
        <f>VLOOKUP($A629,'SurveyRpt_20150223 (1)'!$A$34:$AN$735,12,FALSE)</f>
        <v>Yes</v>
      </c>
      <c r="K629" s="16" t="str">
        <f>VLOOKUP($A629,'SurveyRpt_20150223 (1)'!$A$34:$AN$735,14,FALSE)</f>
        <v>Yes</v>
      </c>
      <c r="L629" s="16" t="str">
        <f>VLOOKUP($A629,'SurveyRpt_20150223 (1)'!$A$34:$AN$735,16,FALSE)</f>
        <v>Yes</v>
      </c>
      <c r="M629" s="16" t="str">
        <f>VLOOKUP($A629,'SurveyRpt_20150223 (1)'!$A$34:$AN$735,18,FALSE)</f>
        <v>Yes</v>
      </c>
      <c r="N629" s="16" t="str">
        <f>VLOOKUP($A629,'SurveyRpt_20150223 (1)'!$A$34:$AN$735,20,FALSE)</f>
        <v>Yes</v>
      </c>
      <c r="O629" s="16" t="str">
        <f>VLOOKUP($A629,'SurveyRpt_20150223 (1)'!$A$34:$AN$735,22,FALSE)</f>
        <v>Yes</v>
      </c>
      <c r="P629" s="16" t="str">
        <f>VLOOKUP($A629,'SurveyRpt_20150223 (1)'!$A$34:$AN$735,24,FALSE)</f>
        <v>Yes</v>
      </c>
      <c r="Q629" s="16" t="str">
        <f>VLOOKUP($A629,'SurveyRpt_20150223 (1)'!$A$34:$AN$735,26,FALSE)</f>
        <v>Yes</v>
      </c>
      <c r="R629" s="16" t="str">
        <f>VLOOKUP($A629,'SurveyRpt_20150223 (1)'!$A$34:$AN$735,28,FALSE)</f>
        <v>Yes</v>
      </c>
      <c r="S629" s="16" t="str">
        <f>VLOOKUP($A629,'SurveyRpt_20150223 (1)'!$A$34:$AN$735,30,FALSE)</f>
        <v>Yes</v>
      </c>
      <c r="T629" s="16" t="str">
        <f>VLOOKUP($A629,'SurveyRpt_20150223 (1)'!$A$34:$AN$735,32,FALSE)</f>
        <v>Yes</v>
      </c>
      <c r="U629" s="16" t="str">
        <f>VLOOKUP($A629,'SurveyRpt_20150223 (1)'!$A$34:$AN$735,34,FALSE)</f>
        <v>Yes</v>
      </c>
      <c r="V629" s="16" t="str">
        <f>VLOOKUP($A629,'SurveyRpt_20150223 (1)'!$A$34:$AN$735,36,FALSE)</f>
        <v>Yes</v>
      </c>
      <c r="W629" s="16" t="str">
        <f>VLOOKUP($A629,'SurveyRpt_20150223 (1)'!$A$34:$AN$735,38,FALSE)</f>
        <v>Yes</v>
      </c>
    </row>
    <row r="630" spans="1:23" ht="13.5" customHeight="1" x14ac:dyDescent="0.25">
      <c r="A630" s="19" t="s">
        <v>723</v>
      </c>
      <c r="B630" s="19" t="str">
        <f t="shared" si="9"/>
        <v>NRAI6</v>
      </c>
      <c r="C630" s="16" t="str">
        <f>VLOOKUP(B630,'Compiled Agents'!A:H,2,FALSE)</f>
        <v>Workplace</v>
      </c>
      <c r="D630" s="16" t="str">
        <f>VLOOKUP(B630,'Compiled Agents'!A:H,4,FALSE)</f>
        <v>Hyderabad</v>
      </c>
      <c r="E630" s="16" t="str">
        <f>VLOOKUP(B630,'Compiled Agents'!A:H,5,FALSE)</f>
        <v>Wave2</v>
      </c>
      <c r="F630" s="16" t="str">
        <f>VLOOKUP(B630,'Compiled Agents'!A:H,6,FALSE)</f>
        <v>Yellow</v>
      </c>
      <c r="G630" s="16">
        <f>VLOOKUP($A630,'SurveyRpt_20150223 (1)'!$A$34:$AN$735,6,FALSE)</f>
        <v>16</v>
      </c>
      <c r="H630" s="16" t="str">
        <f>VLOOKUP($A630,'SurveyRpt_20150223 (1)'!$A$34:$AN$735,8,FALSE)</f>
        <v>Yes</v>
      </c>
      <c r="I630" s="16" t="str">
        <f>VLOOKUP($A630,'SurveyRpt_20150223 (1)'!$A$34:$AN$735,10,FALSE)</f>
        <v>Yes</v>
      </c>
      <c r="J630" s="16" t="str">
        <f>VLOOKUP($A630,'SurveyRpt_20150223 (1)'!$A$34:$AN$735,12,FALSE)</f>
        <v>Yes</v>
      </c>
      <c r="K630" s="16" t="str">
        <f>VLOOKUP($A630,'SurveyRpt_20150223 (1)'!$A$34:$AN$735,14,FALSE)</f>
        <v>Yes</v>
      </c>
      <c r="L630" s="16" t="str">
        <f>VLOOKUP($A630,'SurveyRpt_20150223 (1)'!$A$34:$AN$735,16,FALSE)</f>
        <v>Yes</v>
      </c>
      <c r="M630" s="16" t="str">
        <f>VLOOKUP($A630,'SurveyRpt_20150223 (1)'!$A$34:$AN$735,18,FALSE)</f>
        <v>Yes</v>
      </c>
      <c r="N630" s="16" t="str">
        <f>VLOOKUP($A630,'SurveyRpt_20150223 (1)'!$A$34:$AN$735,20,FALSE)</f>
        <v>Yes</v>
      </c>
      <c r="O630" s="16" t="str">
        <f>VLOOKUP($A630,'SurveyRpt_20150223 (1)'!$A$34:$AN$735,22,FALSE)</f>
        <v>Yes</v>
      </c>
      <c r="P630" s="16" t="str">
        <f>VLOOKUP($A630,'SurveyRpt_20150223 (1)'!$A$34:$AN$735,24,FALSE)</f>
        <v>Yes</v>
      </c>
      <c r="Q630" s="16" t="str">
        <f>VLOOKUP($A630,'SurveyRpt_20150223 (1)'!$A$34:$AN$735,26,FALSE)</f>
        <v>Yes</v>
      </c>
      <c r="R630" s="16" t="str">
        <f>VLOOKUP($A630,'SurveyRpt_20150223 (1)'!$A$34:$AN$735,28,FALSE)</f>
        <v>Yes</v>
      </c>
      <c r="S630" s="16" t="str">
        <f>VLOOKUP($A630,'SurveyRpt_20150223 (1)'!$A$34:$AN$735,30,FALSE)</f>
        <v>Yes</v>
      </c>
      <c r="T630" s="16" t="str">
        <f>VLOOKUP($A630,'SurveyRpt_20150223 (1)'!$A$34:$AN$735,32,FALSE)</f>
        <v>Yes</v>
      </c>
      <c r="U630" s="16" t="str">
        <f>VLOOKUP($A630,'SurveyRpt_20150223 (1)'!$A$34:$AN$735,34,FALSE)</f>
        <v>Yes</v>
      </c>
      <c r="V630" s="16" t="str">
        <f>VLOOKUP($A630,'SurveyRpt_20150223 (1)'!$A$34:$AN$735,36,FALSE)</f>
        <v>Yes</v>
      </c>
      <c r="W630" s="16" t="str">
        <f>VLOOKUP($A630,'SurveyRpt_20150223 (1)'!$A$34:$AN$735,38,FALSE)</f>
        <v>Yes</v>
      </c>
    </row>
    <row r="631" spans="1:23" ht="13.5" customHeight="1" x14ac:dyDescent="0.25">
      <c r="A631" s="19" t="s">
        <v>724</v>
      </c>
      <c r="B631" s="19" t="str">
        <f t="shared" si="9"/>
        <v>MAKULA2</v>
      </c>
      <c r="C631" s="16" t="str">
        <f>VLOOKUP(B631,'Compiled Agents'!A:H,2,FALSE)</f>
        <v>Platform</v>
      </c>
      <c r="D631" s="16" t="str">
        <f>VLOOKUP(B631,'Compiled Agents'!A:H,4,FALSE)</f>
        <v>Hyderabad</v>
      </c>
      <c r="E631" s="16" t="str">
        <f>VLOOKUP(B631,'Compiled Agents'!A:H,5,FALSE)</f>
        <v>Wave1</v>
      </c>
      <c r="F631" s="16" t="str">
        <f>VLOOKUP(B631,'Compiled Agents'!A:H,6,FALSE)</f>
        <v>Blue</v>
      </c>
      <c r="G631" s="16">
        <f>VLOOKUP($A631,'SurveyRpt_20150223 (1)'!$A$34:$AN$735,6,FALSE)</f>
        <v>16</v>
      </c>
      <c r="H631" s="16" t="str">
        <f>VLOOKUP($A631,'SurveyRpt_20150223 (1)'!$A$34:$AN$735,8,FALSE)</f>
        <v>Yes</v>
      </c>
      <c r="I631" s="16" t="str">
        <f>VLOOKUP($A631,'SurveyRpt_20150223 (1)'!$A$34:$AN$735,10,FALSE)</f>
        <v>Yes</v>
      </c>
      <c r="J631" s="16" t="str">
        <f>VLOOKUP($A631,'SurveyRpt_20150223 (1)'!$A$34:$AN$735,12,FALSE)</f>
        <v>Yes</v>
      </c>
      <c r="K631" s="16" t="str">
        <f>VLOOKUP($A631,'SurveyRpt_20150223 (1)'!$A$34:$AN$735,14,FALSE)</f>
        <v>Yes</v>
      </c>
      <c r="L631" s="16" t="str">
        <f>VLOOKUP($A631,'SurveyRpt_20150223 (1)'!$A$34:$AN$735,16,FALSE)</f>
        <v>Yes</v>
      </c>
      <c r="M631" s="16" t="str">
        <f>VLOOKUP($A631,'SurveyRpt_20150223 (1)'!$A$34:$AN$735,18,FALSE)</f>
        <v>Yes</v>
      </c>
      <c r="N631" s="16" t="str">
        <f>VLOOKUP($A631,'SurveyRpt_20150223 (1)'!$A$34:$AN$735,20,FALSE)</f>
        <v>Yes</v>
      </c>
      <c r="O631" s="16" t="str">
        <f>VLOOKUP($A631,'SurveyRpt_20150223 (1)'!$A$34:$AN$735,22,FALSE)</f>
        <v>Yes</v>
      </c>
      <c r="P631" s="16" t="str">
        <f>VLOOKUP($A631,'SurveyRpt_20150223 (1)'!$A$34:$AN$735,24,FALSE)</f>
        <v>Yes</v>
      </c>
      <c r="Q631" s="16" t="str">
        <f>VLOOKUP($A631,'SurveyRpt_20150223 (1)'!$A$34:$AN$735,26,FALSE)</f>
        <v>Yes</v>
      </c>
      <c r="R631" s="16" t="str">
        <f>VLOOKUP($A631,'SurveyRpt_20150223 (1)'!$A$34:$AN$735,28,FALSE)</f>
        <v>Yes</v>
      </c>
      <c r="S631" s="16" t="str">
        <f>VLOOKUP($A631,'SurveyRpt_20150223 (1)'!$A$34:$AN$735,30,FALSE)</f>
        <v>Yes</v>
      </c>
      <c r="T631" s="16" t="str">
        <f>VLOOKUP($A631,'SurveyRpt_20150223 (1)'!$A$34:$AN$735,32,FALSE)</f>
        <v>Yes</v>
      </c>
      <c r="U631" s="16" t="str">
        <f>VLOOKUP($A631,'SurveyRpt_20150223 (1)'!$A$34:$AN$735,34,FALSE)</f>
        <v>Yes</v>
      </c>
      <c r="V631" s="16" t="str">
        <f>VLOOKUP($A631,'SurveyRpt_20150223 (1)'!$A$34:$AN$735,36,FALSE)</f>
        <v>Yes</v>
      </c>
      <c r="W631" s="16" t="str">
        <f>VLOOKUP($A631,'SurveyRpt_20150223 (1)'!$A$34:$AN$735,38,FALSE)</f>
        <v>Yes</v>
      </c>
    </row>
    <row r="632" spans="1:23" ht="13.5" customHeight="1" x14ac:dyDescent="0.25">
      <c r="A632" s="19" t="s">
        <v>725</v>
      </c>
      <c r="B632" s="19" t="str">
        <f t="shared" si="9"/>
        <v>PNAYYAR</v>
      </c>
      <c r="C632" s="16" t="str">
        <f>VLOOKUP(B632,'Compiled Agents'!A:H,2,FALSE)</f>
        <v>Platform</v>
      </c>
      <c r="D632" s="16" t="str">
        <f>VLOOKUP(B632,'Compiled Agents'!A:H,4,FALSE)</f>
        <v>Noida</v>
      </c>
      <c r="E632" s="16" t="str">
        <f>VLOOKUP(B632,'Compiled Agents'!A:H,5,FALSE)</f>
        <v>Wave1</v>
      </c>
      <c r="F632" s="16" t="str">
        <f>VLOOKUP(B632,'Compiled Agents'!A:H,6,FALSE)</f>
        <v>Yellow</v>
      </c>
      <c r="G632" s="16">
        <f>VLOOKUP($A632,'SurveyRpt_20150223 (1)'!$A$34:$AN$735,6,FALSE)</f>
        <v>9</v>
      </c>
      <c r="H632" s="16" t="str">
        <f>VLOOKUP($A632,'SurveyRpt_20150223 (1)'!$A$34:$AN$735,8,FALSE)</f>
        <v>Yes</v>
      </c>
      <c r="I632" s="16" t="str">
        <f>VLOOKUP($A632,'SurveyRpt_20150223 (1)'!$A$34:$AN$735,10,FALSE)</f>
        <v>No</v>
      </c>
      <c r="J632" s="16" t="str">
        <f>VLOOKUP($A632,'SurveyRpt_20150223 (1)'!$A$34:$AN$735,12,FALSE)</f>
        <v>No</v>
      </c>
      <c r="K632" s="16" t="str">
        <f>VLOOKUP($A632,'SurveyRpt_20150223 (1)'!$A$34:$AN$735,14,FALSE)</f>
        <v>No</v>
      </c>
      <c r="L632" s="16" t="str">
        <f>VLOOKUP($A632,'SurveyRpt_20150223 (1)'!$A$34:$AN$735,16,FALSE)</f>
        <v>Yes</v>
      </c>
      <c r="M632" s="16" t="str">
        <f>VLOOKUP($A632,'SurveyRpt_20150223 (1)'!$A$34:$AN$735,18,FALSE)</f>
        <v>Yes</v>
      </c>
      <c r="N632" s="16" t="str">
        <f>VLOOKUP($A632,'SurveyRpt_20150223 (1)'!$A$34:$AN$735,20,FALSE)</f>
        <v>Yes</v>
      </c>
      <c r="O632" s="16" t="str">
        <f>VLOOKUP($A632,'SurveyRpt_20150223 (1)'!$A$34:$AN$735,22,FALSE)</f>
        <v>Yes</v>
      </c>
      <c r="P632" s="16" t="str">
        <f>VLOOKUP($A632,'SurveyRpt_20150223 (1)'!$A$34:$AN$735,24,FALSE)</f>
        <v>Yes</v>
      </c>
      <c r="Q632" s="16" t="str">
        <f>VLOOKUP($A632,'SurveyRpt_20150223 (1)'!$A$34:$AN$735,26,FALSE)</f>
        <v>No</v>
      </c>
      <c r="R632" s="16" t="str">
        <f>VLOOKUP($A632,'SurveyRpt_20150223 (1)'!$A$34:$AN$735,28,FALSE)</f>
        <v>No</v>
      </c>
      <c r="S632" s="16" t="str">
        <f>VLOOKUP($A632,'SurveyRpt_20150223 (1)'!$A$34:$AN$735,30,FALSE)</f>
        <v>No</v>
      </c>
      <c r="T632" s="16" t="str">
        <f>VLOOKUP($A632,'SurveyRpt_20150223 (1)'!$A$34:$AN$735,32,FALSE)</f>
        <v>Yes</v>
      </c>
      <c r="U632" s="16" t="str">
        <f>VLOOKUP($A632,'SurveyRpt_20150223 (1)'!$A$34:$AN$735,34,FALSE)</f>
        <v>Yes</v>
      </c>
      <c r="V632" s="16" t="str">
        <f>VLOOKUP($A632,'SurveyRpt_20150223 (1)'!$A$34:$AN$735,36,FALSE)</f>
        <v>Yes</v>
      </c>
      <c r="W632" s="16" t="str">
        <f>VLOOKUP($A632,'SurveyRpt_20150223 (1)'!$A$34:$AN$735,38,FALSE)</f>
        <v>No</v>
      </c>
    </row>
    <row r="633" spans="1:23" ht="13.5" customHeight="1" x14ac:dyDescent="0.25">
      <c r="A633" s="19" t="s">
        <v>726</v>
      </c>
      <c r="B633" s="19" t="str">
        <f t="shared" si="9"/>
        <v>BRAJ2</v>
      </c>
      <c r="C633" s="16" t="str">
        <f>VLOOKUP(B633,'Compiled Agents'!A:H,2,FALSE)</f>
        <v>Workplace</v>
      </c>
      <c r="D633" s="16" t="str">
        <f>VLOOKUP(B633,'Compiled Agents'!A:H,4,FALSE)</f>
        <v>Noida</v>
      </c>
      <c r="E633" s="16" t="str">
        <f>VLOOKUP(B633,'Compiled Agents'!A:H,5,FALSE)</f>
        <v>Wave1</v>
      </c>
      <c r="F633" s="16" t="str">
        <f>VLOOKUP(B633,'Compiled Agents'!A:H,6,FALSE)</f>
        <v>Yellow</v>
      </c>
      <c r="G633" s="16">
        <f>VLOOKUP($A633,'SurveyRpt_20150223 (1)'!$A$34:$AN$735,6,FALSE)</f>
        <v>15</v>
      </c>
      <c r="H633" s="16" t="str">
        <f>VLOOKUP($A633,'SurveyRpt_20150223 (1)'!$A$34:$AN$735,8,FALSE)</f>
        <v>Yes</v>
      </c>
      <c r="I633" s="16" t="str">
        <f>VLOOKUP($A633,'SurveyRpt_20150223 (1)'!$A$34:$AN$735,10,FALSE)</f>
        <v>Yes</v>
      </c>
      <c r="J633" s="16" t="str">
        <f>VLOOKUP($A633,'SurveyRpt_20150223 (1)'!$A$34:$AN$735,12,FALSE)</f>
        <v>Yes</v>
      </c>
      <c r="K633" s="16" t="str">
        <f>VLOOKUP($A633,'SurveyRpt_20150223 (1)'!$A$34:$AN$735,14,FALSE)</f>
        <v>Yes</v>
      </c>
      <c r="L633" s="16" t="str">
        <f>VLOOKUP($A633,'SurveyRpt_20150223 (1)'!$A$34:$AN$735,16,FALSE)</f>
        <v>Yes</v>
      </c>
      <c r="M633" s="16" t="str">
        <f>VLOOKUP($A633,'SurveyRpt_20150223 (1)'!$A$34:$AN$735,18,FALSE)</f>
        <v>Yes</v>
      </c>
      <c r="N633" s="16" t="str">
        <f>VLOOKUP($A633,'SurveyRpt_20150223 (1)'!$A$34:$AN$735,20,FALSE)</f>
        <v>Yes</v>
      </c>
      <c r="O633" s="16" t="str">
        <f>VLOOKUP($A633,'SurveyRpt_20150223 (1)'!$A$34:$AN$735,22,FALSE)</f>
        <v>Yes</v>
      </c>
      <c r="P633" s="16" t="str">
        <f>VLOOKUP($A633,'SurveyRpt_20150223 (1)'!$A$34:$AN$735,24,FALSE)</f>
        <v>Yes</v>
      </c>
      <c r="Q633" s="16" t="str">
        <f>VLOOKUP($A633,'SurveyRpt_20150223 (1)'!$A$34:$AN$735,26,FALSE)</f>
        <v>Yes</v>
      </c>
      <c r="R633" s="16" t="str">
        <f>VLOOKUP($A633,'SurveyRpt_20150223 (1)'!$A$34:$AN$735,28,FALSE)</f>
        <v>Yes</v>
      </c>
      <c r="S633" s="16" t="str">
        <f>VLOOKUP($A633,'SurveyRpt_20150223 (1)'!$A$34:$AN$735,30,FALSE)</f>
        <v>Yes</v>
      </c>
      <c r="T633" s="16" t="str">
        <f>VLOOKUP($A633,'SurveyRpt_20150223 (1)'!$A$34:$AN$735,32,FALSE)</f>
        <v>Yes</v>
      </c>
      <c r="U633" s="16" t="str">
        <f>VLOOKUP($A633,'SurveyRpt_20150223 (1)'!$A$34:$AN$735,34,FALSE)</f>
        <v>Yes</v>
      </c>
      <c r="V633" s="16" t="str">
        <f>VLOOKUP($A633,'SurveyRpt_20150223 (1)'!$A$34:$AN$735,36,FALSE)</f>
        <v>Yes</v>
      </c>
      <c r="W633" s="16" t="str">
        <f>VLOOKUP($A633,'SurveyRpt_20150223 (1)'!$A$34:$AN$735,38,FALSE)</f>
        <v>No</v>
      </c>
    </row>
    <row r="634" spans="1:23" ht="13.5" customHeight="1" x14ac:dyDescent="0.25">
      <c r="A634" s="19" t="s">
        <v>727</v>
      </c>
      <c r="B634" s="19" t="str">
        <f t="shared" si="9"/>
        <v>cgaffney2</v>
      </c>
      <c r="C634" s="16" t="str">
        <f>VLOOKUP(B634,'Compiled Agents'!A:H,2,FALSE)</f>
        <v>Workplace</v>
      </c>
      <c r="D634" s="16" t="str">
        <f>VLOOKUP(B634,'Compiled Agents'!A:H,4,FALSE)</f>
        <v>MBC US</v>
      </c>
      <c r="E634" s="16" t="str">
        <f>VLOOKUP(B634,'Compiled Agents'!A:H,5,FALSE)</f>
        <v>Wave2</v>
      </c>
      <c r="F634" s="16" t="str">
        <f>VLOOKUP(B634,'Compiled Agents'!A:H,6,FALSE)</f>
        <v>Orange</v>
      </c>
      <c r="G634" s="16">
        <f>VLOOKUP($A634,'SurveyRpt_20150223 (1)'!$A$34:$AN$735,6,FALSE)</f>
        <v>16</v>
      </c>
      <c r="H634" s="16" t="str">
        <f>VLOOKUP($A634,'SurveyRpt_20150223 (1)'!$A$34:$AN$735,8,FALSE)</f>
        <v>Yes</v>
      </c>
      <c r="I634" s="16" t="str">
        <f>VLOOKUP($A634,'SurveyRpt_20150223 (1)'!$A$34:$AN$735,10,FALSE)</f>
        <v>Yes</v>
      </c>
      <c r="J634" s="16" t="str">
        <f>VLOOKUP($A634,'SurveyRpt_20150223 (1)'!$A$34:$AN$735,12,FALSE)</f>
        <v>Yes</v>
      </c>
      <c r="K634" s="16" t="str">
        <f>VLOOKUP($A634,'SurveyRpt_20150223 (1)'!$A$34:$AN$735,14,FALSE)</f>
        <v>Yes</v>
      </c>
      <c r="L634" s="16" t="str">
        <f>VLOOKUP($A634,'SurveyRpt_20150223 (1)'!$A$34:$AN$735,16,FALSE)</f>
        <v>Yes</v>
      </c>
      <c r="M634" s="16" t="str">
        <f>VLOOKUP($A634,'SurveyRpt_20150223 (1)'!$A$34:$AN$735,18,FALSE)</f>
        <v>Yes</v>
      </c>
      <c r="N634" s="16" t="str">
        <f>VLOOKUP($A634,'SurveyRpt_20150223 (1)'!$A$34:$AN$735,20,FALSE)</f>
        <v>Yes</v>
      </c>
      <c r="O634" s="16" t="str">
        <f>VLOOKUP($A634,'SurveyRpt_20150223 (1)'!$A$34:$AN$735,22,FALSE)</f>
        <v>Yes</v>
      </c>
      <c r="P634" s="16" t="str">
        <f>VLOOKUP($A634,'SurveyRpt_20150223 (1)'!$A$34:$AN$735,24,FALSE)</f>
        <v>Yes</v>
      </c>
      <c r="Q634" s="16" t="str">
        <f>VLOOKUP($A634,'SurveyRpt_20150223 (1)'!$A$34:$AN$735,26,FALSE)</f>
        <v>Yes</v>
      </c>
      <c r="R634" s="16" t="str">
        <f>VLOOKUP($A634,'SurveyRpt_20150223 (1)'!$A$34:$AN$735,28,FALSE)</f>
        <v>Yes</v>
      </c>
      <c r="S634" s="16" t="str">
        <f>VLOOKUP($A634,'SurveyRpt_20150223 (1)'!$A$34:$AN$735,30,FALSE)</f>
        <v>Yes</v>
      </c>
      <c r="T634" s="16" t="str">
        <f>VLOOKUP($A634,'SurveyRpt_20150223 (1)'!$A$34:$AN$735,32,FALSE)</f>
        <v>Yes</v>
      </c>
      <c r="U634" s="16" t="str">
        <f>VLOOKUP($A634,'SurveyRpt_20150223 (1)'!$A$34:$AN$735,34,FALSE)</f>
        <v>Yes</v>
      </c>
      <c r="V634" s="16" t="str">
        <f>VLOOKUP($A634,'SurveyRpt_20150223 (1)'!$A$34:$AN$735,36,FALSE)</f>
        <v>Yes</v>
      </c>
      <c r="W634" s="16" t="str">
        <f>VLOOKUP($A634,'SurveyRpt_20150223 (1)'!$A$34:$AN$735,38,FALSE)</f>
        <v>Yes</v>
      </c>
    </row>
    <row r="635" spans="1:23" ht="13.5" customHeight="1" x14ac:dyDescent="0.25">
      <c r="A635" s="19" t="s">
        <v>728</v>
      </c>
      <c r="B635" s="19" t="str">
        <f t="shared" si="9"/>
        <v>DKUMAR84</v>
      </c>
      <c r="C635" s="16" t="str">
        <f>VLOOKUP(B635,'Compiled Agents'!A:H,2,FALSE)</f>
        <v>Platform</v>
      </c>
      <c r="D635" s="16" t="str">
        <f>VLOOKUP(B635,'Compiled Agents'!A:H,4,FALSE)</f>
        <v>Noida</v>
      </c>
      <c r="E635" s="16" t="str">
        <f>VLOOKUP(B635,'Compiled Agents'!A:H,5,FALSE)</f>
        <v>Wave2</v>
      </c>
      <c r="F635" s="16" t="str">
        <f>VLOOKUP(B635,'Compiled Agents'!A:H,6,FALSE)</f>
        <v>Orange</v>
      </c>
      <c r="G635" s="16">
        <f>VLOOKUP($A635,'SurveyRpt_20150223 (1)'!$A$34:$AN$735,6,FALSE)</f>
        <v>16</v>
      </c>
      <c r="H635" s="16" t="str">
        <f>VLOOKUP($A635,'SurveyRpt_20150223 (1)'!$A$34:$AN$735,8,FALSE)</f>
        <v>Yes</v>
      </c>
      <c r="I635" s="16" t="str">
        <f>VLOOKUP($A635,'SurveyRpt_20150223 (1)'!$A$34:$AN$735,10,FALSE)</f>
        <v>Yes</v>
      </c>
      <c r="J635" s="16" t="str">
        <f>VLOOKUP($A635,'SurveyRpt_20150223 (1)'!$A$34:$AN$735,12,FALSE)</f>
        <v>Yes</v>
      </c>
      <c r="K635" s="16" t="str">
        <f>VLOOKUP($A635,'SurveyRpt_20150223 (1)'!$A$34:$AN$735,14,FALSE)</f>
        <v>Yes</v>
      </c>
      <c r="L635" s="16" t="str">
        <f>VLOOKUP($A635,'SurveyRpt_20150223 (1)'!$A$34:$AN$735,16,FALSE)</f>
        <v>Yes</v>
      </c>
      <c r="M635" s="16" t="str">
        <f>VLOOKUP($A635,'SurveyRpt_20150223 (1)'!$A$34:$AN$735,18,FALSE)</f>
        <v>Yes</v>
      </c>
      <c r="N635" s="16" t="str">
        <f>VLOOKUP($A635,'SurveyRpt_20150223 (1)'!$A$34:$AN$735,20,FALSE)</f>
        <v>Yes</v>
      </c>
      <c r="O635" s="16" t="str">
        <f>VLOOKUP($A635,'SurveyRpt_20150223 (1)'!$A$34:$AN$735,22,FALSE)</f>
        <v>Yes</v>
      </c>
      <c r="P635" s="16" t="str">
        <f>VLOOKUP($A635,'SurveyRpt_20150223 (1)'!$A$34:$AN$735,24,FALSE)</f>
        <v>Yes</v>
      </c>
      <c r="Q635" s="16" t="str">
        <f>VLOOKUP($A635,'SurveyRpt_20150223 (1)'!$A$34:$AN$735,26,FALSE)</f>
        <v>Yes</v>
      </c>
      <c r="R635" s="16" t="str">
        <f>VLOOKUP($A635,'SurveyRpt_20150223 (1)'!$A$34:$AN$735,28,FALSE)</f>
        <v>Yes</v>
      </c>
      <c r="S635" s="16" t="str">
        <f>VLOOKUP($A635,'SurveyRpt_20150223 (1)'!$A$34:$AN$735,30,FALSE)</f>
        <v>Yes</v>
      </c>
      <c r="T635" s="16" t="str">
        <f>VLOOKUP($A635,'SurveyRpt_20150223 (1)'!$A$34:$AN$735,32,FALSE)</f>
        <v>Yes</v>
      </c>
      <c r="U635" s="16" t="str">
        <f>VLOOKUP($A635,'SurveyRpt_20150223 (1)'!$A$34:$AN$735,34,FALSE)</f>
        <v>Yes</v>
      </c>
      <c r="V635" s="16" t="str">
        <f>VLOOKUP($A635,'SurveyRpt_20150223 (1)'!$A$34:$AN$735,36,FALSE)</f>
        <v>Yes</v>
      </c>
      <c r="W635" s="16" t="str">
        <f>VLOOKUP($A635,'SurveyRpt_20150223 (1)'!$A$34:$AN$735,38,FALSE)</f>
        <v>Yes</v>
      </c>
    </row>
    <row r="636" spans="1:23" ht="13.5" customHeight="1" x14ac:dyDescent="0.25">
      <c r="A636" s="19" t="s">
        <v>729</v>
      </c>
      <c r="B636" s="19" t="str">
        <f t="shared" si="9"/>
        <v>navanesov</v>
      </c>
      <c r="C636" s="16" t="str">
        <f>VLOOKUP(B636,'Compiled Agents'!A:H,2,FALSE)</f>
        <v>Workplace</v>
      </c>
      <c r="D636" s="16" t="str">
        <f>VLOOKUP(B636,'Compiled Agents'!A:H,4,FALSE)</f>
        <v>MBC US</v>
      </c>
      <c r="E636" s="16" t="str">
        <f>VLOOKUP(B636,'Compiled Agents'!A:H,5,FALSE)</f>
        <v>Wave2</v>
      </c>
      <c r="F636" s="16" t="str">
        <f>VLOOKUP(B636,'Compiled Agents'!A:H,6,FALSE)</f>
        <v>Orange</v>
      </c>
      <c r="G636" s="16">
        <f>VLOOKUP($A636,'SurveyRpt_20150223 (1)'!$A$34:$AN$735,6,FALSE)</f>
        <v>13</v>
      </c>
      <c r="H636" s="16" t="str">
        <f>VLOOKUP($A636,'SurveyRpt_20150223 (1)'!$A$34:$AN$735,8,FALSE)</f>
        <v>Yes</v>
      </c>
      <c r="I636" s="16" t="str">
        <f>VLOOKUP($A636,'SurveyRpt_20150223 (1)'!$A$34:$AN$735,10,FALSE)</f>
        <v>Yes</v>
      </c>
      <c r="J636" s="16" t="str">
        <f>VLOOKUP($A636,'SurveyRpt_20150223 (1)'!$A$34:$AN$735,12,FALSE)</f>
        <v>Yes</v>
      </c>
      <c r="K636" s="16" t="str">
        <f>VLOOKUP($A636,'SurveyRpt_20150223 (1)'!$A$34:$AN$735,14,FALSE)</f>
        <v>Yes</v>
      </c>
      <c r="L636" s="16" t="str">
        <f>VLOOKUP($A636,'SurveyRpt_20150223 (1)'!$A$34:$AN$735,16,FALSE)</f>
        <v>Yes</v>
      </c>
      <c r="M636" s="16" t="str">
        <f>VLOOKUP($A636,'SurveyRpt_20150223 (1)'!$A$34:$AN$735,18,FALSE)</f>
        <v>Yes</v>
      </c>
      <c r="N636" s="16" t="str">
        <f>VLOOKUP($A636,'SurveyRpt_20150223 (1)'!$A$34:$AN$735,20,FALSE)</f>
        <v>Yes</v>
      </c>
      <c r="O636" s="16" t="str">
        <f>VLOOKUP($A636,'SurveyRpt_20150223 (1)'!$A$34:$AN$735,22,FALSE)</f>
        <v>Yes</v>
      </c>
      <c r="P636" s="16" t="str">
        <f>VLOOKUP($A636,'SurveyRpt_20150223 (1)'!$A$34:$AN$735,24,FALSE)</f>
        <v>Yes</v>
      </c>
      <c r="Q636" s="16" t="str">
        <f>VLOOKUP($A636,'SurveyRpt_20150223 (1)'!$A$34:$AN$735,26,FALSE)</f>
        <v>Yes</v>
      </c>
      <c r="R636" s="16" t="str">
        <f>VLOOKUP($A636,'SurveyRpt_20150223 (1)'!$A$34:$AN$735,28,FALSE)</f>
        <v>Yes</v>
      </c>
      <c r="S636" s="16" t="str">
        <f>VLOOKUP($A636,'SurveyRpt_20150223 (1)'!$A$34:$AN$735,30,FALSE)</f>
        <v>Yes</v>
      </c>
      <c r="T636" s="16" t="str">
        <f>VLOOKUP($A636,'SurveyRpt_20150223 (1)'!$A$34:$AN$735,32,FALSE)</f>
        <v>Yes</v>
      </c>
      <c r="U636" s="16" t="str">
        <f>VLOOKUP($A636,'SurveyRpt_20150223 (1)'!$A$34:$AN$735,34,FALSE)</f>
        <v>No</v>
      </c>
      <c r="V636" s="16" t="str">
        <f>VLOOKUP($A636,'SurveyRpt_20150223 (1)'!$A$34:$AN$735,36,FALSE)</f>
        <v>No</v>
      </c>
      <c r="W636" s="16" t="str">
        <f>VLOOKUP($A636,'SurveyRpt_20150223 (1)'!$A$34:$AN$735,38,FALSE)</f>
        <v>No</v>
      </c>
    </row>
    <row r="637" spans="1:23" ht="13.5" customHeight="1" x14ac:dyDescent="0.25">
      <c r="A637" s="19" t="s">
        <v>730</v>
      </c>
      <c r="B637" s="19" t="str">
        <f t="shared" si="9"/>
        <v>wgardner</v>
      </c>
      <c r="C637" s="16" t="str">
        <f>VLOOKUP(B637,'Compiled Agents'!A:H,2,FALSE)</f>
        <v>Platform</v>
      </c>
      <c r="D637" s="16" t="str">
        <f>VLOOKUP(B637,'Compiled Agents'!A:H,4,FALSE)</f>
        <v>MBC US</v>
      </c>
      <c r="E637" s="16" t="str">
        <f>VLOOKUP(B637,'Compiled Agents'!A:H,5,FALSE)</f>
        <v>Wave2</v>
      </c>
      <c r="F637" s="16" t="str">
        <f>VLOOKUP(B637,'Compiled Agents'!A:H,6,FALSE)</f>
        <v>Orange</v>
      </c>
      <c r="G637" s="16">
        <f>VLOOKUP($A637,'SurveyRpt_20150223 (1)'!$A$34:$AN$735,6,FALSE)</f>
        <v>0</v>
      </c>
      <c r="H637" s="16" t="str">
        <f>VLOOKUP($A637,'SurveyRpt_20150223 (1)'!$A$34:$AN$735,8,FALSE)</f>
        <v>No</v>
      </c>
      <c r="I637" s="16" t="str">
        <f>VLOOKUP($A637,'SurveyRpt_20150223 (1)'!$A$34:$AN$735,10,FALSE)</f>
        <v>No</v>
      </c>
      <c r="J637" s="16" t="str">
        <f>VLOOKUP($A637,'SurveyRpt_20150223 (1)'!$A$34:$AN$735,12,FALSE)</f>
        <v>No</v>
      </c>
      <c r="K637" s="16" t="str">
        <f>VLOOKUP($A637,'SurveyRpt_20150223 (1)'!$A$34:$AN$735,14,FALSE)</f>
        <v>No</v>
      </c>
      <c r="L637" s="16" t="str">
        <f>VLOOKUP($A637,'SurveyRpt_20150223 (1)'!$A$34:$AN$735,16,FALSE)</f>
        <v>No</v>
      </c>
      <c r="M637" s="16" t="str">
        <f>VLOOKUP($A637,'SurveyRpt_20150223 (1)'!$A$34:$AN$735,18,FALSE)</f>
        <v>No</v>
      </c>
      <c r="N637" s="16" t="str">
        <f>VLOOKUP($A637,'SurveyRpt_20150223 (1)'!$A$34:$AN$735,20,FALSE)</f>
        <v>No</v>
      </c>
      <c r="O637" s="16" t="str">
        <f>VLOOKUP($A637,'SurveyRpt_20150223 (1)'!$A$34:$AN$735,22,FALSE)</f>
        <v>No</v>
      </c>
      <c r="P637" s="16" t="str">
        <f>VLOOKUP($A637,'SurveyRpt_20150223 (1)'!$A$34:$AN$735,24,FALSE)</f>
        <v>No</v>
      </c>
      <c r="Q637" s="16" t="str">
        <f>VLOOKUP($A637,'SurveyRpt_20150223 (1)'!$A$34:$AN$735,26,FALSE)</f>
        <v>No</v>
      </c>
      <c r="R637" s="16" t="str">
        <f>VLOOKUP($A637,'SurveyRpt_20150223 (1)'!$A$34:$AN$735,28,FALSE)</f>
        <v>No</v>
      </c>
      <c r="S637" s="16" t="str">
        <f>VLOOKUP($A637,'SurveyRpt_20150223 (1)'!$A$34:$AN$735,30,FALSE)</f>
        <v>No</v>
      </c>
      <c r="T637" s="16" t="str">
        <f>VLOOKUP($A637,'SurveyRpt_20150223 (1)'!$A$34:$AN$735,32,FALSE)</f>
        <v>No</v>
      </c>
      <c r="U637" s="16" t="str">
        <f>VLOOKUP($A637,'SurveyRpt_20150223 (1)'!$A$34:$AN$735,34,FALSE)</f>
        <v>No</v>
      </c>
      <c r="V637" s="16" t="str">
        <f>VLOOKUP($A637,'SurveyRpt_20150223 (1)'!$A$34:$AN$735,36,FALSE)</f>
        <v>No</v>
      </c>
      <c r="W637" s="16" t="str">
        <f>VLOOKUP($A637,'SurveyRpt_20150223 (1)'!$A$34:$AN$735,38,FALSE)</f>
        <v>No</v>
      </c>
    </row>
    <row r="638" spans="1:23" ht="13.5" customHeight="1" x14ac:dyDescent="0.25">
      <c r="A638" s="19" t="s">
        <v>731</v>
      </c>
      <c r="B638" s="19" t="str">
        <f t="shared" si="9"/>
        <v>SDUTTA4</v>
      </c>
      <c r="C638" s="16" t="str">
        <f>VLOOKUP(B638,'Compiled Agents'!A:H,2,FALSE)</f>
        <v>Platform</v>
      </c>
      <c r="D638" s="16" t="str">
        <f>VLOOKUP(B638,'Compiled Agents'!A:H,4,FALSE)</f>
        <v>Hyderabad</v>
      </c>
      <c r="E638" s="16" t="str">
        <f>VLOOKUP(B638,'Compiled Agents'!A:H,5,FALSE)</f>
        <v>Wave1</v>
      </c>
      <c r="F638" s="16" t="str">
        <f>VLOOKUP(B638,'Compiled Agents'!A:H,6,FALSE)</f>
        <v>Orange</v>
      </c>
      <c r="G638" s="16">
        <f>VLOOKUP($A638,'SurveyRpt_20150223 (1)'!$A$34:$AN$735,6,FALSE)</f>
        <v>13</v>
      </c>
      <c r="H638" s="16" t="str">
        <f>VLOOKUP($A638,'SurveyRpt_20150223 (1)'!$A$34:$AN$735,8,FALSE)</f>
        <v>Yes</v>
      </c>
      <c r="I638" s="16" t="str">
        <f>VLOOKUP($A638,'SurveyRpt_20150223 (1)'!$A$34:$AN$735,10,FALSE)</f>
        <v>Yes</v>
      </c>
      <c r="J638" s="16" t="str">
        <f>VLOOKUP($A638,'SurveyRpt_20150223 (1)'!$A$34:$AN$735,12,FALSE)</f>
        <v>Yes</v>
      </c>
      <c r="K638" s="16" t="str">
        <f>VLOOKUP($A638,'SurveyRpt_20150223 (1)'!$A$34:$AN$735,14,FALSE)</f>
        <v>Yes</v>
      </c>
      <c r="L638" s="16" t="str">
        <f>VLOOKUP($A638,'SurveyRpt_20150223 (1)'!$A$34:$AN$735,16,FALSE)</f>
        <v>No</v>
      </c>
      <c r="M638" s="16" t="str">
        <f>VLOOKUP($A638,'SurveyRpt_20150223 (1)'!$A$34:$AN$735,18,FALSE)</f>
        <v>Yes</v>
      </c>
      <c r="N638" s="16" t="str">
        <f>VLOOKUP($A638,'SurveyRpt_20150223 (1)'!$A$34:$AN$735,20,FALSE)</f>
        <v>Yes</v>
      </c>
      <c r="O638" s="16" t="str">
        <f>VLOOKUP($A638,'SurveyRpt_20150223 (1)'!$A$34:$AN$735,22,FALSE)</f>
        <v>No</v>
      </c>
      <c r="P638" s="16" t="str">
        <f>VLOOKUP($A638,'SurveyRpt_20150223 (1)'!$A$34:$AN$735,24,FALSE)</f>
        <v>Yes</v>
      </c>
      <c r="Q638" s="16" t="str">
        <f>VLOOKUP($A638,'SurveyRpt_20150223 (1)'!$A$34:$AN$735,26,FALSE)</f>
        <v>Yes</v>
      </c>
      <c r="R638" s="16" t="str">
        <f>VLOOKUP($A638,'SurveyRpt_20150223 (1)'!$A$34:$AN$735,28,FALSE)</f>
        <v>Yes</v>
      </c>
      <c r="S638" s="16" t="str">
        <f>VLOOKUP($A638,'SurveyRpt_20150223 (1)'!$A$34:$AN$735,30,FALSE)</f>
        <v>Yes</v>
      </c>
      <c r="T638" s="16" t="str">
        <f>VLOOKUP($A638,'SurveyRpt_20150223 (1)'!$A$34:$AN$735,32,FALSE)</f>
        <v>Yes</v>
      </c>
      <c r="U638" s="16" t="str">
        <f>VLOOKUP($A638,'SurveyRpt_20150223 (1)'!$A$34:$AN$735,34,FALSE)</f>
        <v>Yes</v>
      </c>
      <c r="V638" s="16" t="str">
        <f>VLOOKUP($A638,'SurveyRpt_20150223 (1)'!$A$34:$AN$735,36,FALSE)</f>
        <v>Yes</v>
      </c>
      <c r="W638" s="16" t="str">
        <f>VLOOKUP($A638,'SurveyRpt_20150223 (1)'!$A$34:$AN$735,38,FALSE)</f>
        <v>No</v>
      </c>
    </row>
    <row r="639" spans="1:23" ht="13.5" customHeight="1" x14ac:dyDescent="0.25">
      <c r="A639" s="19" t="s">
        <v>732</v>
      </c>
      <c r="B639" s="19" t="str">
        <f t="shared" si="9"/>
        <v>rjones55</v>
      </c>
      <c r="C639" s="16" t="str">
        <f>VLOOKUP(B639,'Compiled Agents'!A:H,2,FALSE)</f>
        <v>Workplace</v>
      </c>
      <c r="D639" s="16" t="str">
        <f>VLOOKUP(B639,'Compiled Agents'!A:H,4,FALSE)</f>
        <v>MBC US</v>
      </c>
      <c r="E639" s="16" t="str">
        <f>VLOOKUP(B639,'Compiled Agents'!A:H,5,FALSE)</f>
        <v>Wave2</v>
      </c>
      <c r="F639" s="16" t="str">
        <f>VLOOKUP(B639,'Compiled Agents'!A:H,6,FALSE)</f>
        <v>Orange</v>
      </c>
      <c r="G639" s="16">
        <f>VLOOKUP($A639,'SurveyRpt_20150223 (1)'!$A$34:$AN$735,6,FALSE)</f>
        <v>6</v>
      </c>
      <c r="H639" s="16" t="str">
        <f>VLOOKUP($A639,'SurveyRpt_20150223 (1)'!$A$34:$AN$735,8,FALSE)</f>
        <v>Yes</v>
      </c>
      <c r="I639" s="16" t="str">
        <f>VLOOKUP($A639,'SurveyRpt_20150223 (1)'!$A$34:$AN$735,10,FALSE)</f>
        <v>No</v>
      </c>
      <c r="J639" s="16" t="str">
        <f>VLOOKUP($A639,'SurveyRpt_20150223 (1)'!$A$34:$AN$735,12,FALSE)</f>
        <v>No</v>
      </c>
      <c r="K639" s="16" t="str">
        <f>VLOOKUP($A639,'SurveyRpt_20150223 (1)'!$A$34:$AN$735,14,FALSE)</f>
        <v>No</v>
      </c>
      <c r="L639" s="16" t="str">
        <f>VLOOKUP($A639,'SurveyRpt_20150223 (1)'!$A$34:$AN$735,16,FALSE)</f>
        <v>Yes</v>
      </c>
      <c r="M639" s="16" t="str">
        <f>VLOOKUP($A639,'SurveyRpt_20150223 (1)'!$A$34:$AN$735,18,FALSE)</f>
        <v>No</v>
      </c>
      <c r="N639" s="16" t="str">
        <f>VLOOKUP($A639,'SurveyRpt_20150223 (1)'!$A$34:$AN$735,20,FALSE)</f>
        <v>No</v>
      </c>
      <c r="O639" s="16" t="str">
        <f>VLOOKUP($A639,'SurveyRpt_20150223 (1)'!$A$34:$AN$735,22,FALSE)</f>
        <v>Yes</v>
      </c>
      <c r="P639" s="16" t="str">
        <f>VLOOKUP($A639,'SurveyRpt_20150223 (1)'!$A$34:$AN$735,24,FALSE)</f>
        <v>Yes</v>
      </c>
      <c r="Q639" s="16" t="str">
        <f>VLOOKUP($A639,'SurveyRpt_20150223 (1)'!$A$34:$AN$735,26,FALSE)</f>
        <v>Yes</v>
      </c>
      <c r="R639" s="16" t="str">
        <f>VLOOKUP($A639,'SurveyRpt_20150223 (1)'!$A$34:$AN$735,28,FALSE)</f>
        <v>No</v>
      </c>
      <c r="S639" s="16" t="str">
        <f>VLOOKUP($A639,'SurveyRpt_20150223 (1)'!$A$34:$AN$735,30,FALSE)</f>
        <v>No</v>
      </c>
      <c r="T639" s="16" t="str">
        <f>VLOOKUP($A639,'SurveyRpt_20150223 (1)'!$A$34:$AN$735,32,FALSE)</f>
        <v>No</v>
      </c>
      <c r="U639" s="16" t="str">
        <f>VLOOKUP($A639,'SurveyRpt_20150223 (1)'!$A$34:$AN$735,34,FALSE)</f>
        <v>No</v>
      </c>
      <c r="V639" s="16" t="str">
        <f>VLOOKUP($A639,'SurveyRpt_20150223 (1)'!$A$34:$AN$735,36,FALSE)</f>
        <v>No</v>
      </c>
      <c r="W639" s="16" t="str">
        <f>VLOOKUP($A639,'SurveyRpt_20150223 (1)'!$A$34:$AN$735,38,FALSE)</f>
        <v>Yes</v>
      </c>
    </row>
    <row r="640" spans="1:23" ht="13.5" customHeight="1" x14ac:dyDescent="0.25">
      <c r="A640" s="19" t="s">
        <v>733</v>
      </c>
      <c r="B640" s="19" t="str">
        <f t="shared" si="9"/>
        <v>kliller2</v>
      </c>
      <c r="C640" s="16" t="str">
        <f>VLOOKUP(B640,'Compiled Agents'!A:H,2,FALSE)</f>
        <v>Platform</v>
      </c>
      <c r="D640" s="16" t="str">
        <f>VLOOKUP(B640,'Compiled Agents'!A:H,4,FALSE)</f>
        <v>MBC US</v>
      </c>
      <c r="E640" s="16" t="str">
        <f>VLOOKUP(B640,'Compiled Agents'!A:H,5,FALSE)</f>
        <v>Wave2</v>
      </c>
      <c r="F640" s="16" t="str">
        <f>VLOOKUP(B640,'Compiled Agents'!A:H,6,FALSE)</f>
        <v>Orange</v>
      </c>
      <c r="G640" s="16">
        <f>VLOOKUP($A640,'SurveyRpt_20150223 (1)'!$A$34:$AN$735,6,FALSE)</f>
        <v>15</v>
      </c>
      <c r="H640" s="16" t="str">
        <f>VLOOKUP($A640,'SurveyRpt_20150223 (1)'!$A$34:$AN$735,8,FALSE)</f>
        <v>No</v>
      </c>
      <c r="I640" s="16" t="str">
        <f>VLOOKUP($A640,'SurveyRpt_20150223 (1)'!$A$34:$AN$735,10,FALSE)</f>
        <v>Yes</v>
      </c>
      <c r="J640" s="16" t="str">
        <f>VLOOKUP($A640,'SurveyRpt_20150223 (1)'!$A$34:$AN$735,12,FALSE)</f>
        <v>Yes</v>
      </c>
      <c r="K640" s="16" t="str">
        <f>VLOOKUP($A640,'SurveyRpt_20150223 (1)'!$A$34:$AN$735,14,FALSE)</f>
        <v>Yes</v>
      </c>
      <c r="L640" s="16" t="str">
        <f>VLOOKUP($A640,'SurveyRpt_20150223 (1)'!$A$34:$AN$735,16,FALSE)</f>
        <v>Yes</v>
      </c>
      <c r="M640" s="16" t="str">
        <f>VLOOKUP($A640,'SurveyRpt_20150223 (1)'!$A$34:$AN$735,18,FALSE)</f>
        <v>Yes</v>
      </c>
      <c r="N640" s="16" t="str">
        <f>VLOOKUP($A640,'SurveyRpt_20150223 (1)'!$A$34:$AN$735,20,FALSE)</f>
        <v>Yes</v>
      </c>
      <c r="O640" s="16" t="str">
        <f>VLOOKUP($A640,'SurveyRpt_20150223 (1)'!$A$34:$AN$735,22,FALSE)</f>
        <v>Yes</v>
      </c>
      <c r="P640" s="16" t="str">
        <f>VLOOKUP($A640,'SurveyRpt_20150223 (1)'!$A$34:$AN$735,24,FALSE)</f>
        <v>Yes</v>
      </c>
      <c r="Q640" s="16" t="str">
        <f>VLOOKUP($A640,'SurveyRpt_20150223 (1)'!$A$34:$AN$735,26,FALSE)</f>
        <v>Yes</v>
      </c>
      <c r="R640" s="16" t="str">
        <f>VLOOKUP($A640,'SurveyRpt_20150223 (1)'!$A$34:$AN$735,28,FALSE)</f>
        <v>Yes</v>
      </c>
      <c r="S640" s="16" t="str">
        <f>VLOOKUP($A640,'SurveyRpt_20150223 (1)'!$A$34:$AN$735,30,FALSE)</f>
        <v>Yes</v>
      </c>
      <c r="T640" s="16" t="str">
        <f>VLOOKUP($A640,'SurveyRpt_20150223 (1)'!$A$34:$AN$735,32,FALSE)</f>
        <v>Yes</v>
      </c>
      <c r="U640" s="16" t="str">
        <f>VLOOKUP($A640,'SurveyRpt_20150223 (1)'!$A$34:$AN$735,34,FALSE)</f>
        <v>Yes</v>
      </c>
      <c r="V640" s="16" t="str">
        <f>VLOOKUP($A640,'SurveyRpt_20150223 (1)'!$A$34:$AN$735,36,FALSE)</f>
        <v>Yes</v>
      </c>
      <c r="W640" s="16" t="str">
        <f>VLOOKUP($A640,'SurveyRpt_20150223 (1)'!$A$34:$AN$735,38,FALSE)</f>
        <v>Yes</v>
      </c>
    </row>
    <row r="641" spans="1:23" ht="13.5" customHeight="1" x14ac:dyDescent="0.25">
      <c r="A641" s="19" t="s">
        <v>734</v>
      </c>
      <c r="B641" s="19" t="str">
        <f t="shared" si="9"/>
        <v>jdaley3</v>
      </c>
      <c r="C641" s="16" t="str">
        <f>VLOOKUP(B641,'Compiled Agents'!A:H,2,FALSE)</f>
        <v>Platform</v>
      </c>
      <c r="D641" s="16" t="str">
        <f>VLOOKUP(B641,'Compiled Agents'!A:H,4,FALSE)</f>
        <v>MBC US</v>
      </c>
      <c r="E641" s="16" t="str">
        <f>VLOOKUP(B641,'Compiled Agents'!A:H,5,FALSE)</f>
        <v>Wave2</v>
      </c>
      <c r="F641" s="16" t="str">
        <f>VLOOKUP(B641,'Compiled Agents'!A:H,6,FALSE)</f>
        <v>Orange</v>
      </c>
      <c r="G641" s="16">
        <f>VLOOKUP($A641,'SurveyRpt_20150223 (1)'!$A$34:$AN$735,6,FALSE)</f>
        <v>7</v>
      </c>
      <c r="H641" s="16" t="str">
        <f>VLOOKUP($A641,'SurveyRpt_20150223 (1)'!$A$34:$AN$735,8,FALSE)</f>
        <v>No</v>
      </c>
      <c r="I641" s="16" t="str">
        <f>VLOOKUP($A641,'SurveyRpt_20150223 (1)'!$A$34:$AN$735,10,FALSE)</f>
        <v>Yes</v>
      </c>
      <c r="J641" s="16" t="str">
        <f>VLOOKUP($A641,'SurveyRpt_20150223 (1)'!$A$34:$AN$735,12,FALSE)</f>
        <v>No</v>
      </c>
      <c r="K641" s="16" t="str">
        <f>VLOOKUP($A641,'SurveyRpt_20150223 (1)'!$A$34:$AN$735,14,FALSE)</f>
        <v>Yes</v>
      </c>
      <c r="L641" s="16" t="str">
        <f>VLOOKUP($A641,'SurveyRpt_20150223 (1)'!$A$34:$AN$735,16,FALSE)</f>
        <v>Yes</v>
      </c>
      <c r="M641" s="16" t="str">
        <f>VLOOKUP($A641,'SurveyRpt_20150223 (1)'!$A$34:$AN$735,18,FALSE)</f>
        <v>No</v>
      </c>
      <c r="N641" s="16" t="str">
        <f>VLOOKUP($A641,'SurveyRpt_20150223 (1)'!$A$34:$AN$735,20,FALSE)</f>
        <v>No</v>
      </c>
      <c r="O641" s="16" t="str">
        <f>VLOOKUP($A641,'SurveyRpt_20150223 (1)'!$A$34:$AN$735,22,FALSE)</f>
        <v>Yes</v>
      </c>
      <c r="P641" s="16" t="str">
        <f>VLOOKUP($A641,'SurveyRpt_20150223 (1)'!$A$34:$AN$735,24,FALSE)</f>
        <v>No</v>
      </c>
      <c r="Q641" s="16" t="str">
        <f>VLOOKUP($A641,'SurveyRpt_20150223 (1)'!$A$34:$AN$735,26,FALSE)</f>
        <v>Yes</v>
      </c>
      <c r="R641" s="16" t="str">
        <f>VLOOKUP($A641,'SurveyRpt_20150223 (1)'!$A$34:$AN$735,28,FALSE)</f>
        <v>Yes</v>
      </c>
      <c r="S641" s="16" t="str">
        <f>VLOOKUP($A641,'SurveyRpt_20150223 (1)'!$A$34:$AN$735,30,FALSE)</f>
        <v>Yes</v>
      </c>
      <c r="T641" s="16" t="str">
        <f>VLOOKUP($A641,'SurveyRpt_20150223 (1)'!$A$34:$AN$735,32,FALSE)</f>
        <v>No</v>
      </c>
      <c r="U641" s="16" t="str">
        <f>VLOOKUP($A641,'SurveyRpt_20150223 (1)'!$A$34:$AN$735,34,FALSE)</f>
        <v>No</v>
      </c>
      <c r="V641" s="16" t="str">
        <f>VLOOKUP($A641,'SurveyRpt_20150223 (1)'!$A$34:$AN$735,36,FALSE)</f>
        <v>No</v>
      </c>
      <c r="W641" s="16" t="str">
        <f>VLOOKUP($A641,'SurveyRpt_20150223 (1)'!$A$34:$AN$735,38,FALSE)</f>
        <v>No</v>
      </c>
    </row>
    <row r="642" spans="1:23" ht="13.5" customHeight="1" x14ac:dyDescent="0.25">
      <c r="A642" s="19" t="s">
        <v>735</v>
      </c>
      <c r="B642" s="19" t="str">
        <f t="shared" si="9"/>
        <v>ahunter6</v>
      </c>
      <c r="C642" s="16" t="str">
        <f>VLOOKUP(B642,'Compiled Agents'!A:H,2,FALSE)</f>
        <v>Workplace</v>
      </c>
      <c r="D642" s="16" t="str">
        <f>VLOOKUP(B642,'Compiled Agents'!A:H,4,FALSE)</f>
        <v>MBC US</v>
      </c>
      <c r="E642" s="16" t="str">
        <f>VLOOKUP(B642,'Compiled Agents'!A:H,5,FALSE)</f>
        <v>Wave2</v>
      </c>
      <c r="F642" s="16" t="str">
        <f>VLOOKUP(B642,'Compiled Agents'!A:H,6,FALSE)</f>
        <v>Yellow</v>
      </c>
      <c r="G642" s="16">
        <f>VLOOKUP($A642,'SurveyRpt_20150223 (1)'!$A$34:$AN$735,6,FALSE)</f>
        <v>13</v>
      </c>
      <c r="H642" s="16" t="str">
        <f>VLOOKUP($A642,'SurveyRpt_20150223 (1)'!$A$34:$AN$735,8,FALSE)</f>
        <v>Yes</v>
      </c>
      <c r="I642" s="16" t="str">
        <f>VLOOKUP($A642,'SurveyRpt_20150223 (1)'!$A$34:$AN$735,10,FALSE)</f>
        <v>Yes</v>
      </c>
      <c r="J642" s="16" t="str">
        <f>VLOOKUP($A642,'SurveyRpt_20150223 (1)'!$A$34:$AN$735,12,FALSE)</f>
        <v>Yes</v>
      </c>
      <c r="K642" s="16" t="str">
        <f>VLOOKUP($A642,'SurveyRpt_20150223 (1)'!$A$34:$AN$735,14,FALSE)</f>
        <v>Yes</v>
      </c>
      <c r="L642" s="16" t="str">
        <f>VLOOKUP($A642,'SurveyRpt_20150223 (1)'!$A$34:$AN$735,16,FALSE)</f>
        <v>Yes</v>
      </c>
      <c r="M642" s="16" t="str">
        <f>VLOOKUP($A642,'SurveyRpt_20150223 (1)'!$A$34:$AN$735,18,FALSE)</f>
        <v>No</v>
      </c>
      <c r="N642" s="16" t="str">
        <f>VLOOKUP($A642,'SurveyRpt_20150223 (1)'!$A$34:$AN$735,20,FALSE)</f>
        <v>Yes</v>
      </c>
      <c r="O642" s="16" t="str">
        <f>VLOOKUP($A642,'SurveyRpt_20150223 (1)'!$A$34:$AN$735,22,FALSE)</f>
        <v>Yes</v>
      </c>
      <c r="P642" s="16" t="str">
        <f>VLOOKUP($A642,'SurveyRpt_20150223 (1)'!$A$34:$AN$735,24,FALSE)</f>
        <v>Yes</v>
      </c>
      <c r="Q642" s="16" t="str">
        <f>VLOOKUP($A642,'SurveyRpt_20150223 (1)'!$A$34:$AN$735,26,FALSE)</f>
        <v>Yes</v>
      </c>
      <c r="R642" s="16" t="str">
        <f>VLOOKUP($A642,'SurveyRpt_20150223 (1)'!$A$34:$AN$735,28,FALSE)</f>
        <v>Yes</v>
      </c>
      <c r="S642" s="16" t="str">
        <f>VLOOKUP($A642,'SurveyRpt_20150223 (1)'!$A$34:$AN$735,30,FALSE)</f>
        <v>Yes</v>
      </c>
      <c r="T642" s="16" t="str">
        <f>VLOOKUP($A642,'SurveyRpt_20150223 (1)'!$A$34:$AN$735,32,FALSE)</f>
        <v>No</v>
      </c>
      <c r="U642" s="16" t="str">
        <f>VLOOKUP($A642,'SurveyRpt_20150223 (1)'!$A$34:$AN$735,34,FALSE)</f>
        <v>Yes</v>
      </c>
      <c r="V642" s="16" t="str">
        <f>VLOOKUP($A642,'SurveyRpt_20150223 (1)'!$A$34:$AN$735,36,FALSE)</f>
        <v>Yes</v>
      </c>
      <c r="W642" s="16" t="str">
        <f>VLOOKUP($A642,'SurveyRpt_20150223 (1)'!$A$34:$AN$735,38,FALSE)</f>
        <v>No</v>
      </c>
    </row>
    <row r="643" spans="1:23" ht="13.5" customHeight="1" x14ac:dyDescent="0.25">
      <c r="A643" s="19" t="s">
        <v>736</v>
      </c>
      <c r="B643" s="19" t="str">
        <f t="shared" ref="B643:B702" si="10">TRIM(LEFT(A643,FIND("@",A643)-1))</f>
        <v>bklubek</v>
      </c>
      <c r="C643" s="16" t="str">
        <f>VLOOKUP(B643,'Compiled Agents'!A:H,2,FALSE)</f>
        <v>Platform</v>
      </c>
      <c r="D643" s="16" t="str">
        <f>VLOOKUP(B643,'Compiled Agents'!A:H,4,FALSE)</f>
        <v>MBC US</v>
      </c>
      <c r="E643" s="16" t="str">
        <f>VLOOKUP(B643,'Compiled Agents'!A:H,5,FALSE)</f>
        <v>Wave2</v>
      </c>
      <c r="F643" s="16" t="str">
        <f>VLOOKUP(B643,'Compiled Agents'!A:H,6,FALSE)</f>
        <v>Orange</v>
      </c>
      <c r="G643" s="16">
        <f>VLOOKUP($A643,'SurveyRpt_20150223 (1)'!$A$34:$AN$735,6,FALSE)</f>
        <v>1</v>
      </c>
      <c r="H643" s="16" t="str">
        <f>VLOOKUP($A643,'SurveyRpt_20150223 (1)'!$A$34:$AN$735,8,FALSE)</f>
        <v>No</v>
      </c>
      <c r="I643" s="16" t="str">
        <f>VLOOKUP($A643,'SurveyRpt_20150223 (1)'!$A$34:$AN$735,10,FALSE)</f>
        <v>No</v>
      </c>
      <c r="J643" s="16" t="str">
        <f>VLOOKUP($A643,'SurveyRpt_20150223 (1)'!$A$34:$AN$735,12,FALSE)</f>
        <v>No</v>
      </c>
      <c r="K643" s="16" t="str">
        <f>VLOOKUP($A643,'SurveyRpt_20150223 (1)'!$A$34:$AN$735,14,FALSE)</f>
        <v>Yes</v>
      </c>
      <c r="L643" s="16" t="str">
        <f>VLOOKUP($A643,'SurveyRpt_20150223 (1)'!$A$34:$AN$735,16,FALSE)</f>
        <v>No</v>
      </c>
      <c r="M643" s="16" t="str">
        <f>VLOOKUP($A643,'SurveyRpt_20150223 (1)'!$A$34:$AN$735,18,FALSE)</f>
        <v>No</v>
      </c>
      <c r="N643" s="16" t="str">
        <f>VLOOKUP($A643,'SurveyRpt_20150223 (1)'!$A$34:$AN$735,20,FALSE)</f>
        <v>No</v>
      </c>
      <c r="O643" s="16" t="str">
        <f>VLOOKUP($A643,'SurveyRpt_20150223 (1)'!$A$34:$AN$735,22,FALSE)</f>
        <v>No</v>
      </c>
      <c r="P643" s="16" t="str">
        <f>VLOOKUP($A643,'SurveyRpt_20150223 (1)'!$A$34:$AN$735,24,FALSE)</f>
        <v>No</v>
      </c>
      <c r="Q643" s="16" t="str">
        <f>VLOOKUP($A643,'SurveyRpt_20150223 (1)'!$A$34:$AN$735,26,FALSE)</f>
        <v>No</v>
      </c>
      <c r="R643" s="16" t="str">
        <f>VLOOKUP($A643,'SurveyRpt_20150223 (1)'!$A$34:$AN$735,28,FALSE)</f>
        <v>No</v>
      </c>
      <c r="S643" s="16" t="str">
        <f>VLOOKUP($A643,'SurveyRpt_20150223 (1)'!$A$34:$AN$735,30,FALSE)</f>
        <v>No</v>
      </c>
      <c r="T643" s="16" t="str">
        <f>VLOOKUP($A643,'SurveyRpt_20150223 (1)'!$A$34:$AN$735,32,FALSE)</f>
        <v>No</v>
      </c>
      <c r="U643" s="16" t="str">
        <f>VLOOKUP($A643,'SurveyRpt_20150223 (1)'!$A$34:$AN$735,34,FALSE)</f>
        <v>No</v>
      </c>
      <c r="V643" s="16" t="str">
        <f>VLOOKUP($A643,'SurveyRpt_20150223 (1)'!$A$34:$AN$735,36,FALSE)</f>
        <v>No</v>
      </c>
      <c r="W643" s="16" t="str">
        <f>VLOOKUP($A643,'SurveyRpt_20150223 (1)'!$A$34:$AN$735,38,FALSE)</f>
        <v>No</v>
      </c>
    </row>
    <row r="644" spans="1:23" ht="13.5" customHeight="1" x14ac:dyDescent="0.25">
      <c r="A644" s="19" t="s">
        <v>737</v>
      </c>
      <c r="B644" s="19" t="str">
        <f t="shared" si="10"/>
        <v>RRAI5</v>
      </c>
      <c r="C644" s="16" t="str">
        <f>VLOOKUP(B644,'Compiled Agents'!A:H,2,FALSE)</f>
        <v>Platform</v>
      </c>
      <c r="D644" s="16" t="str">
        <f>VLOOKUP(B644,'Compiled Agents'!A:H,4,FALSE)</f>
        <v>Noida</v>
      </c>
      <c r="E644" s="16" t="str">
        <f>VLOOKUP(B644,'Compiled Agents'!A:H,5,FALSE)</f>
        <v>Wave2</v>
      </c>
      <c r="F644" s="16" t="str">
        <f>VLOOKUP(B644,'Compiled Agents'!A:H,6,FALSE)</f>
        <v>Yellow</v>
      </c>
      <c r="G644" s="16">
        <f>VLOOKUP($A644,'SurveyRpt_20150223 (1)'!$A$34:$AN$735,6,FALSE)</f>
        <v>9</v>
      </c>
      <c r="H644" s="16" t="str">
        <f>VLOOKUP($A644,'SurveyRpt_20150223 (1)'!$A$34:$AN$735,8,FALSE)</f>
        <v>No</v>
      </c>
      <c r="I644" s="16" t="str">
        <f>VLOOKUP($A644,'SurveyRpt_20150223 (1)'!$A$34:$AN$735,10,FALSE)</f>
        <v>Yes</v>
      </c>
      <c r="J644" s="16" t="str">
        <f>VLOOKUP($A644,'SurveyRpt_20150223 (1)'!$A$34:$AN$735,12,FALSE)</f>
        <v>Yes</v>
      </c>
      <c r="K644" s="16" t="str">
        <f>VLOOKUP($A644,'SurveyRpt_20150223 (1)'!$A$34:$AN$735,14,FALSE)</f>
        <v>Yes</v>
      </c>
      <c r="L644" s="16" t="str">
        <f>VLOOKUP($A644,'SurveyRpt_20150223 (1)'!$A$34:$AN$735,16,FALSE)</f>
        <v>No</v>
      </c>
      <c r="M644" s="16" t="str">
        <f>VLOOKUP($A644,'SurveyRpt_20150223 (1)'!$A$34:$AN$735,18,FALSE)</f>
        <v>Yes</v>
      </c>
      <c r="N644" s="16" t="str">
        <f>VLOOKUP($A644,'SurveyRpt_20150223 (1)'!$A$34:$AN$735,20,FALSE)</f>
        <v>No</v>
      </c>
      <c r="O644" s="16" t="str">
        <f>VLOOKUP($A644,'SurveyRpt_20150223 (1)'!$A$34:$AN$735,22,FALSE)</f>
        <v>No</v>
      </c>
      <c r="P644" s="16" t="str">
        <f>VLOOKUP($A644,'SurveyRpt_20150223 (1)'!$A$34:$AN$735,24,FALSE)</f>
        <v>No</v>
      </c>
      <c r="Q644" s="16" t="str">
        <f>VLOOKUP($A644,'SurveyRpt_20150223 (1)'!$A$34:$AN$735,26,FALSE)</f>
        <v>No</v>
      </c>
      <c r="R644" s="16" t="str">
        <f>VLOOKUP($A644,'SurveyRpt_20150223 (1)'!$A$34:$AN$735,28,FALSE)</f>
        <v>Yes</v>
      </c>
      <c r="S644" s="16" t="str">
        <f>VLOOKUP($A644,'SurveyRpt_20150223 (1)'!$A$34:$AN$735,30,FALSE)</f>
        <v>Yes</v>
      </c>
      <c r="T644" s="16" t="str">
        <f>VLOOKUP($A644,'SurveyRpt_20150223 (1)'!$A$34:$AN$735,32,FALSE)</f>
        <v>Yes</v>
      </c>
      <c r="U644" s="16" t="str">
        <f>VLOOKUP($A644,'SurveyRpt_20150223 (1)'!$A$34:$AN$735,34,FALSE)</f>
        <v>Yes</v>
      </c>
      <c r="V644" s="16" t="str">
        <f>VLOOKUP($A644,'SurveyRpt_20150223 (1)'!$A$34:$AN$735,36,FALSE)</f>
        <v>No</v>
      </c>
      <c r="W644" s="16" t="str">
        <f>VLOOKUP($A644,'SurveyRpt_20150223 (1)'!$A$34:$AN$735,38,FALSE)</f>
        <v>Yes</v>
      </c>
    </row>
    <row r="645" spans="1:23" ht="13.5" customHeight="1" x14ac:dyDescent="0.25">
      <c r="A645" s="19" t="s">
        <v>738</v>
      </c>
      <c r="B645" s="19" t="str">
        <f t="shared" si="10"/>
        <v>SMITTAL31</v>
      </c>
      <c r="C645" s="16" t="str">
        <f>VLOOKUP(B645,'Compiled Agents'!A:H,2,FALSE)</f>
        <v>Platform</v>
      </c>
      <c r="D645" s="16" t="str">
        <f>VLOOKUP(B645,'Compiled Agents'!A:H,4,FALSE)</f>
        <v>Noida</v>
      </c>
      <c r="E645" s="16" t="str">
        <f>VLOOKUP(B645,'Compiled Agents'!A:H,5,FALSE)</f>
        <v>Wave1</v>
      </c>
      <c r="F645" s="16" t="str">
        <f>VLOOKUP(B645,'Compiled Agents'!A:H,6,FALSE)</f>
        <v>Yellow</v>
      </c>
      <c r="G645" s="16">
        <f>VLOOKUP($A645,'SurveyRpt_20150223 (1)'!$A$34:$AN$735,6,FALSE)</f>
        <v>13</v>
      </c>
      <c r="H645" s="16" t="str">
        <f>VLOOKUP($A645,'SurveyRpt_20150223 (1)'!$A$34:$AN$735,8,FALSE)</f>
        <v>Yes</v>
      </c>
      <c r="I645" s="16" t="str">
        <f>VLOOKUP($A645,'SurveyRpt_20150223 (1)'!$A$34:$AN$735,10,FALSE)</f>
        <v>Yes</v>
      </c>
      <c r="J645" s="16" t="str">
        <f>VLOOKUP($A645,'SurveyRpt_20150223 (1)'!$A$34:$AN$735,12,FALSE)</f>
        <v>No</v>
      </c>
      <c r="K645" s="16" t="str">
        <f>VLOOKUP($A645,'SurveyRpt_20150223 (1)'!$A$34:$AN$735,14,FALSE)</f>
        <v>Yes</v>
      </c>
      <c r="L645" s="16" t="str">
        <f>VLOOKUP($A645,'SurveyRpt_20150223 (1)'!$A$34:$AN$735,16,FALSE)</f>
        <v>No</v>
      </c>
      <c r="M645" s="16" t="str">
        <f>VLOOKUP($A645,'SurveyRpt_20150223 (1)'!$A$34:$AN$735,18,FALSE)</f>
        <v>No</v>
      </c>
      <c r="N645" s="16" t="str">
        <f>VLOOKUP($A645,'SurveyRpt_20150223 (1)'!$A$34:$AN$735,20,FALSE)</f>
        <v>Yes</v>
      </c>
      <c r="O645" s="16" t="str">
        <f>VLOOKUP($A645,'SurveyRpt_20150223 (1)'!$A$34:$AN$735,22,FALSE)</f>
        <v>Yes</v>
      </c>
      <c r="P645" s="16" t="str">
        <f>VLOOKUP($A645,'SurveyRpt_20150223 (1)'!$A$34:$AN$735,24,FALSE)</f>
        <v>Yes</v>
      </c>
      <c r="Q645" s="16" t="str">
        <f>VLOOKUP($A645,'SurveyRpt_20150223 (1)'!$A$34:$AN$735,26,FALSE)</f>
        <v>Yes</v>
      </c>
      <c r="R645" s="16" t="str">
        <f>VLOOKUP($A645,'SurveyRpt_20150223 (1)'!$A$34:$AN$735,28,FALSE)</f>
        <v>Yes</v>
      </c>
      <c r="S645" s="16" t="str">
        <f>VLOOKUP($A645,'SurveyRpt_20150223 (1)'!$A$34:$AN$735,30,FALSE)</f>
        <v>Yes</v>
      </c>
      <c r="T645" s="16" t="str">
        <f>VLOOKUP($A645,'SurveyRpt_20150223 (1)'!$A$34:$AN$735,32,FALSE)</f>
        <v>Yes</v>
      </c>
      <c r="U645" s="16" t="str">
        <f>VLOOKUP($A645,'SurveyRpt_20150223 (1)'!$A$34:$AN$735,34,FALSE)</f>
        <v>Yes</v>
      </c>
      <c r="V645" s="16" t="str">
        <f>VLOOKUP($A645,'SurveyRpt_20150223 (1)'!$A$34:$AN$735,36,FALSE)</f>
        <v>Yes</v>
      </c>
      <c r="W645" s="16" t="str">
        <f>VLOOKUP($A645,'SurveyRpt_20150223 (1)'!$A$34:$AN$735,38,FALSE)</f>
        <v>Yes</v>
      </c>
    </row>
    <row r="646" spans="1:23" ht="13.5" customHeight="1" x14ac:dyDescent="0.25">
      <c r="A646" s="19" t="s">
        <v>739</v>
      </c>
      <c r="B646" s="19" t="str">
        <f t="shared" si="10"/>
        <v>SJAYAKUMAR5</v>
      </c>
      <c r="C646" s="16" t="str">
        <f>VLOOKUP(B646,'Compiled Agents'!A:H,2,FALSE)</f>
        <v>Workplace</v>
      </c>
      <c r="D646" s="16" t="str">
        <f>VLOOKUP(B646,'Compiled Agents'!A:H,4,FALSE)</f>
        <v>Noida</v>
      </c>
      <c r="E646" s="16" t="str">
        <f>VLOOKUP(B646,'Compiled Agents'!A:H,5,FALSE)</f>
        <v>Wave2</v>
      </c>
      <c r="F646" s="16" t="str">
        <f>VLOOKUP(B646,'Compiled Agents'!A:H,6,FALSE)</f>
        <v>Yellow</v>
      </c>
      <c r="G646" s="16">
        <f>VLOOKUP($A646,'SurveyRpt_20150223 (1)'!$A$34:$AN$735,6,FALSE)</f>
        <v>16</v>
      </c>
      <c r="H646" s="16" t="str">
        <f>VLOOKUP($A646,'SurveyRpt_20150223 (1)'!$A$34:$AN$735,8,FALSE)</f>
        <v>Yes</v>
      </c>
      <c r="I646" s="16" t="str">
        <f>VLOOKUP($A646,'SurveyRpt_20150223 (1)'!$A$34:$AN$735,10,FALSE)</f>
        <v>Yes</v>
      </c>
      <c r="J646" s="16" t="str">
        <f>VLOOKUP($A646,'SurveyRpt_20150223 (1)'!$A$34:$AN$735,12,FALSE)</f>
        <v>Yes</v>
      </c>
      <c r="K646" s="16" t="str">
        <f>VLOOKUP($A646,'SurveyRpt_20150223 (1)'!$A$34:$AN$735,14,FALSE)</f>
        <v>Yes</v>
      </c>
      <c r="L646" s="16" t="str">
        <f>VLOOKUP($A646,'SurveyRpt_20150223 (1)'!$A$34:$AN$735,16,FALSE)</f>
        <v>Yes</v>
      </c>
      <c r="M646" s="16" t="str">
        <f>VLOOKUP($A646,'SurveyRpt_20150223 (1)'!$A$34:$AN$735,18,FALSE)</f>
        <v>Yes</v>
      </c>
      <c r="N646" s="16" t="str">
        <f>VLOOKUP($A646,'SurveyRpt_20150223 (1)'!$A$34:$AN$735,20,FALSE)</f>
        <v>Yes</v>
      </c>
      <c r="O646" s="16" t="str">
        <f>VLOOKUP($A646,'SurveyRpt_20150223 (1)'!$A$34:$AN$735,22,FALSE)</f>
        <v>Yes</v>
      </c>
      <c r="P646" s="16" t="str">
        <f>VLOOKUP($A646,'SurveyRpt_20150223 (1)'!$A$34:$AN$735,24,FALSE)</f>
        <v>Yes</v>
      </c>
      <c r="Q646" s="16" t="str">
        <f>VLOOKUP($A646,'SurveyRpt_20150223 (1)'!$A$34:$AN$735,26,FALSE)</f>
        <v>Yes</v>
      </c>
      <c r="R646" s="16" t="str">
        <f>VLOOKUP($A646,'SurveyRpt_20150223 (1)'!$A$34:$AN$735,28,FALSE)</f>
        <v>Yes</v>
      </c>
      <c r="S646" s="16" t="str">
        <f>VLOOKUP($A646,'SurveyRpt_20150223 (1)'!$A$34:$AN$735,30,FALSE)</f>
        <v>Yes</v>
      </c>
      <c r="T646" s="16" t="str">
        <f>VLOOKUP($A646,'SurveyRpt_20150223 (1)'!$A$34:$AN$735,32,FALSE)</f>
        <v>Yes</v>
      </c>
      <c r="U646" s="16" t="str">
        <f>VLOOKUP($A646,'SurveyRpt_20150223 (1)'!$A$34:$AN$735,34,FALSE)</f>
        <v>Yes</v>
      </c>
      <c r="V646" s="16" t="str">
        <f>VLOOKUP($A646,'SurveyRpt_20150223 (1)'!$A$34:$AN$735,36,FALSE)</f>
        <v>Yes</v>
      </c>
      <c r="W646" s="16" t="str">
        <f>VLOOKUP($A646,'SurveyRpt_20150223 (1)'!$A$34:$AN$735,38,FALSE)</f>
        <v>Yes</v>
      </c>
    </row>
    <row r="647" spans="1:23" ht="13.5" customHeight="1" x14ac:dyDescent="0.25">
      <c r="A647" s="19" t="s">
        <v>740</v>
      </c>
      <c r="B647" s="19" t="str">
        <f t="shared" si="10"/>
        <v>SSONALINI</v>
      </c>
      <c r="C647" s="16" t="str">
        <f>VLOOKUP(B647,'Compiled Agents'!A:H,2,FALSE)</f>
        <v>Workplace</v>
      </c>
      <c r="D647" s="16" t="str">
        <f>VLOOKUP(B647,'Compiled Agents'!A:H,4,FALSE)</f>
        <v>Hyderabad</v>
      </c>
      <c r="E647" s="16" t="str">
        <f>VLOOKUP(B647,'Compiled Agents'!A:H,5,FALSE)</f>
        <v>Wave2</v>
      </c>
      <c r="F647" s="16" t="str">
        <f>VLOOKUP(B647,'Compiled Agents'!A:H,6,FALSE)</f>
        <v>Yellow</v>
      </c>
      <c r="G647" s="16">
        <f>VLOOKUP($A647,'SurveyRpt_20150223 (1)'!$A$34:$AN$735,6,FALSE)</f>
        <v>16</v>
      </c>
      <c r="H647" s="16" t="str">
        <f>VLOOKUP($A647,'SurveyRpt_20150223 (1)'!$A$34:$AN$735,8,FALSE)</f>
        <v>Yes</v>
      </c>
      <c r="I647" s="16" t="str">
        <f>VLOOKUP($A647,'SurveyRpt_20150223 (1)'!$A$34:$AN$735,10,FALSE)</f>
        <v>Yes</v>
      </c>
      <c r="J647" s="16" t="str">
        <f>VLOOKUP($A647,'SurveyRpt_20150223 (1)'!$A$34:$AN$735,12,FALSE)</f>
        <v>Yes</v>
      </c>
      <c r="K647" s="16" t="str">
        <f>VLOOKUP($A647,'SurveyRpt_20150223 (1)'!$A$34:$AN$735,14,FALSE)</f>
        <v>Yes</v>
      </c>
      <c r="L647" s="16" t="str">
        <f>VLOOKUP($A647,'SurveyRpt_20150223 (1)'!$A$34:$AN$735,16,FALSE)</f>
        <v>Yes</v>
      </c>
      <c r="M647" s="16" t="str">
        <f>VLOOKUP($A647,'SurveyRpt_20150223 (1)'!$A$34:$AN$735,18,FALSE)</f>
        <v>Yes</v>
      </c>
      <c r="N647" s="16" t="str">
        <f>VLOOKUP($A647,'SurveyRpt_20150223 (1)'!$A$34:$AN$735,20,FALSE)</f>
        <v>Yes</v>
      </c>
      <c r="O647" s="16" t="str">
        <f>VLOOKUP($A647,'SurveyRpt_20150223 (1)'!$A$34:$AN$735,22,FALSE)</f>
        <v>Yes</v>
      </c>
      <c r="P647" s="16" t="str">
        <f>VLOOKUP($A647,'SurveyRpt_20150223 (1)'!$A$34:$AN$735,24,FALSE)</f>
        <v>Yes</v>
      </c>
      <c r="Q647" s="16" t="str">
        <f>VLOOKUP($A647,'SurveyRpt_20150223 (1)'!$A$34:$AN$735,26,FALSE)</f>
        <v>Yes</v>
      </c>
      <c r="R647" s="16" t="str">
        <f>VLOOKUP($A647,'SurveyRpt_20150223 (1)'!$A$34:$AN$735,28,FALSE)</f>
        <v>Yes</v>
      </c>
      <c r="S647" s="16" t="str">
        <f>VLOOKUP($A647,'SurveyRpt_20150223 (1)'!$A$34:$AN$735,30,FALSE)</f>
        <v>Yes</v>
      </c>
      <c r="T647" s="16" t="str">
        <f>VLOOKUP($A647,'SurveyRpt_20150223 (1)'!$A$34:$AN$735,32,FALSE)</f>
        <v>Yes</v>
      </c>
      <c r="U647" s="16" t="str">
        <f>VLOOKUP($A647,'SurveyRpt_20150223 (1)'!$A$34:$AN$735,34,FALSE)</f>
        <v>Yes</v>
      </c>
      <c r="V647" s="16" t="str">
        <f>VLOOKUP($A647,'SurveyRpt_20150223 (1)'!$A$34:$AN$735,36,FALSE)</f>
        <v>Yes</v>
      </c>
      <c r="W647" s="16" t="str">
        <f>VLOOKUP($A647,'SurveyRpt_20150223 (1)'!$A$34:$AN$735,38,FALSE)</f>
        <v>Yes</v>
      </c>
    </row>
    <row r="648" spans="1:23" ht="13.5" customHeight="1" x14ac:dyDescent="0.25">
      <c r="A648" s="19" t="s">
        <v>741</v>
      </c>
      <c r="B648" s="19" t="str">
        <f t="shared" si="10"/>
        <v>ASHRIVASTA21</v>
      </c>
      <c r="C648" s="16" t="str">
        <f>VLOOKUP(B648,'Compiled Agents'!A:H,2,FALSE)</f>
        <v>Platform</v>
      </c>
      <c r="D648" s="16" t="str">
        <f>VLOOKUP(B648,'Compiled Agents'!A:H,4,FALSE)</f>
        <v>Noida</v>
      </c>
      <c r="E648" s="16" t="str">
        <f>VLOOKUP(B648,'Compiled Agents'!A:H,5,FALSE)</f>
        <v>Wave2</v>
      </c>
      <c r="F648" s="16" t="str">
        <f>VLOOKUP(B648,'Compiled Agents'!A:H,6,FALSE)</f>
        <v>Purple</v>
      </c>
      <c r="G648" s="16">
        <f>VLOOKUP($A648,'SurveyRpt_20150223 (1)'!$A$34:$AN$735,6,FALSE)</f>
        <v>16</v>
      </c>
      <c r="H648" s="16" t="str">
        <f>VLOOKUP($A648,'SurveyRpt_20150223 (1)'!$A$34:$AN$735,8,FALSE)</f>
        <v>Yes</v>
      </c>
      <c r="I648" s="16" t="str">
        <f>VLOOKUP($A648,'SurveyRpt_20150223 (1)'!$A$34:$AN$735,10,FALSE)</f>
        <v>Yes</v>
      </c>
      <c r="J648" s="16" t="str">
        <f>VLOOKUP($A648,'SurveyRpt_20150223 (1)'!$A$34:$AN$735,12,FALSE)</f>
        <v>Yes</v>
      </c>
      <c r="K648" s="16" t="str">
        <f>VLOOKUP($A648,'SurveyRpt_20150223 (1)'!$A$34:$AN$735,14,FALSE)</f>
        <v>Yes</v>
      </c>
      <c r="L648" s="16" t="str">
        <f>VLOOKUP($A648,'SurveyRpt_20150223 (1)'!$A$34:$AN$735,16,FALSE)</f>
        <v>Yes</v>
      </c>
      <c r="M648" s="16" t="str">
        <f>VLOOKUP($A648,'SurveyRpt_20150223 (1)'!$A$34:$AN$735,18,FALSE)</f>
        <v>Yes</v>
      </c>
      <c r="N648" s="16" t="str">
        <f>VLOOKUP($A648,'SurveyRpt_20150223 (1)'!$A$34:$AN$735,20,FALSE)</f>
        <v>Yes</v>
      </c>
      <c r="O648" s="16" t="str">
        <f>VLOOKUP($A648,'SurveyRpt_20150223 (1)'!$A$34:$AN$735,22,FALSE)</f>
        <v>Yes</v>
      </c>
      <c r="P648" s="16" t="str">
        <f>VLOOKUP($A648,'SurveyRpt_20150223 (1)'!$A$34:$AN$735,24,FALSE)</f>
        <v>Yes</v>
      </c>
      <c r="Q648" s="16" t="str">
        <f>VLOOKUP($A648,'SurveyRpt_20150223 (1)'!$A$34:$AN$735,26,FALSE)</f>
        <v>Yes</v>
      </c>
      <c r="R648" s="16" t="str">
        <f>VLOOKUP($A648,'SurveyRpt_20150223 (1)'!$A$34:$AN$735,28,FALSE)</f>
        <v>Yes</v>
      </c>
      <c r="S648" s="16" t="str">
        <f>VLOOKUP($A648,'SurveyRpt_20150223 (1)'!$A$34:$AN$735,30,FALSE)</f>
        <v>Yes</v>
      </c>
      <c r="T648" s="16" t="str">
        <f>VLOOKUP($A648,'SurveyRpt_20150223 (1)'!$A$34:$AN$735,32,FALSE)</f>
        <v>Yes</v>
      </c>
      <c r="U648" s="16" t="str">
        <f>VLOOKUP($A648,'SurveyRpt_20150223 (1)'!$A$34:$AN$735,34,FALSE)</f>
        <v>Yes</v>
      </c>
      <c r="V648" s="16" t="str">
        <f>VLOOKUP($A648,'SurveyRpt_20150223 (1)'!$A$34:$AN$735,36,FALSE)</f>
        <v>Yes</v>
      </c>
      <c r="W648" s="16" t="str">
        <f>VLOOKUP($A648,'SurveyRpt_20150223 (1)'!$A$34:$AN$735,38,FALSE)</f>
        <v>Yes</v>
      </c>
    </row>
    <row r="649" spans="1:23" ht="13.5" customHeight="1" x14ac:dyDescent="0.25">
      <c r="A649" s="19" t="s">
        <v>742</v>
      </c>
      <c r="B649" s="19" t="str">
        <f t="shared" si="10"/>
        <v>NSINGH68</v>
      </c>
      <c r="C649" s="16" t="str">
        <f>VLOOKUP(B649,'Compiled Agents'!A:H,2,FALSE)</f>
        <v>Workplace</v>
      </c>
      <c r="D649" s="16" t="str">
        <f>VLOOKUP(B649,'Compiled Agents'!A:H,4,FALSE)</f>
        <v>Hyderabad</v>
      </c>
      <c r="E649" s="16" t="str">
        <f>VLOOKUP(B649,'Compiled Agents'!A:H,5,FALSE)</f>
        <v>Wave2</v>
      </c>
      <c r="F649" s="16" t="str">
        <f>VLOOKUP(B649,'Compiled Agents'!A:H,6,FALSE)</f>
        <v>Orange</v>
      </c>
      <c r="G649" s="16">
        <f>VLOOKUP($A649,'SurveyRpt_20150223 (1)'!$A$34:$AN$735,6,FALSE)</f>
        <v>16</v>
      </c>
      <c r="H649" s="16" t="str">
        <f>VLOOKUP($A649,'SurveyRpt_20150223 (1)'!$A$34:$AN$735,8,FALSE)</f>
        <v>Yes</v>
      </c>
      <c r="I649" s="16" t="str">
        <f>VLOOKUP($A649,'SurveyRpt_20150223 (1)'!$A$34:$AN$735,10,FALSE)</f>
        <v>Yes</v>
      </c>
      <c r="J649" s="16" t="str">
        <f>VLOOKUP($A649,'SurveyRpt_20150223 (1)'!$A$34:$AN$735,12,FALSE)</f>
        <v>Yes</v>
      </c>
      <c r="K649" s="16" t="str">
        <f>VLOOKUP($A649,'SurveyRpt_20150223 (1)'!$A$34:$AN$735,14,FALSE)</f>
        <v>Yes</v>
      </c>
      <c r="L649" s="16" t="str">
        <f>VLOOKUP($A649,'SurveyRpt_20150223 (1)'!$A$34:$AN$735,16,FALSE)</f>
        <v>Yes</v>
      </c>
      <c r="M649" s="16" t="str">
        <f>VLOOKUP($A649,'SurveyRpt_20150223 (1)'!$A$34:$AN$735,18,FALSE)</f>
        <v>Yes</v>
      </c>
      <c r="N649" s="16" t="str">
        <f>VLOOKUP($A649,'SurveyRpt_20150223 (1)'!$A$34:$AN$735,20,FALSE)</f>
        <v>Yes</v>
      </c>
      <c r="O649" s="16" t="str">
        <f>VLOOKUP($A649,'SurveyRpt_20150223 (1)'!$A$34:$AN$735,22,FALSE)</f>
        <v>Yes</v>
      </c>
      <c r="P649" s="16" t="str">
        <f>VLOOKUP($A649,'SurveyRpt_20150223 (1)'!$A$34:$AN$735,24,FALSE)</f>
        <v>Yes</v>
      </c>
      <c r="Q649" s="16" t="str">
        <f>VLOOKUP($A649,'SurveyRpt_20150223 (1)'!$A$34:$AN$735,26,FALSE)</f>
        <v>Yes</v>
      </c>
      <c r="R649" s="16" t="str">
        <f>VLOOKUP($A649,'SurveyRpt_20150223 (1)'!$A$34:$AN$735,28,FALSE)</f>
        <v>Yes</v>
      </c>
      <c r="S649" s="16" t="str">
        <f>VLOOKUP($A649,'SurveyRpt_20150223 (1)'!$A$34:$AN$735,30,FALSE)</f>
        <v>Yes</v>
      </c>
      <c r="T649" s="16" t="str">
        <f>VLOOKUP($A649,'SurveyRpt_20150223 (1)'!$A$34:$AN$735,32,FALSE)</f>
        <v>Yes</v>
      </c>
      <c r="U649" s="16" t="str">
        <f>VLOOKUP($A649,'SurveyRpt_20150223 (1)'!$A$34:$AN$735,34,FALSE)</f>
        <v>Yes</v>
      </c>
      <c r="V649" s="16" t="str">
        <f>VLOOKUP($A649,'SurveyRpt_20150223 (1)'!$A$34:$AN$735,36,FALSE)</f>
        <v>Yes</v>
      </c>
      <c r="W649" s="16" t="str">
        <f>VLOOKUP($A649,'SurveyRpt_20150223 (1)'!$A$34:$AN$735,38,FALSE)</f>
        <v>Yes</v>
      </c>
    </row>
    <row r="650" spans="1:23" ht="13.5" customHeight="1" x14ac:dyDescent="0.25">
      <c r="A650" s="19" t="s">
        <v>743</v>
      </c>
      <c r="B650" s="19" t="str">
        <f t="shared" si="10"/>
        <v>VSIVASANKAR2</v>
      </c>
      <c r="C650" s="16" t="str">
        <f>VLOOKUP(B650,'Compiled Agents'!A:H,2,FALSE)</f>
        <v>Platform</v>
      </c>
      <c r="D650" s="16" t="str">
        <f>VLOOKUP(B650,'Compiled Agents'!A:H,4,FALSE)</f>
        <v>Noida</v>
      </c>
      <c r="E650" s="16" t="str">
        <f>VLOOKUP(B650,'Compiled Agents'!A:H,5,FALSE)</f>
        <v>Wave2</v>
      </c>
      <c r="F650" s="16" t="str">
        <f>VLOOKUP(B650,'Compiled Agents'!A:H,6,FALSE)</f>
        <v>Orange</v>
      </c>
      <c r="G650" s="16">
        <f>VLOOKUP($A650,'SurveyRpt_20150223 (1)'!$A$34:$AN$735,6,FALSE)</f>
        <v>10</v>
      </c>
      <c r="H650" s="16" t="str">
        <f>VLOOKUP($A650,'SurveyRpt_20150223 (1)'!$A$34:$AN$735,8,FALSE)</f>
        <v>Yes</v>
      </c>
      <c r="I650" s="16" t="str">
        <f>VLOOKUP($A650,'SurveyRpt_20150223 (1)'!$A$34:$AN$735,10,FALSE)</f>
        <v>Yes</v>
      </c>
      <c r="J650" s="16" t="str">
        <f>VLOOKUP($A650,'SurveyRpt_20150223 (1)'!$A$34:$AN$735,12,FALSE)</f>
        <v>Yes</v>
      </c>
      <c r="K650" s="16" t="str">
        <f>VLOOKUP($A650,'SurveyRpt_20150223 (1)'!$A$34:$AN$735,14,FALSE)</f>
        <v>No</v>
      </c>
      <c r="L650" s="16" t="str">
        <f>VLOOKUP($A650,'SurveyRpt_20150223 (1)'!$A$34:$AN$735,16,FALSE)</f>
        <v>No</v>
      </c>
      <c r="M650" s="16" t="str">
        <f>VLOOKUP($A650,'SurveyRpt_20150223 (1)'!$A$34:$AN$735,18,FALSE)</f>
        <v>Yes</v>
      </c>
      <c r="N650" s="16" t="str">
        <f>VLOOKUP($A650,'SurveyRpt_20150223 (1)'!$A$34:$AN$735,20,FALSE)</f>
        <v>No</v>
      </c>
      <c r="O650" s="16" t="str">
        <f>VLOOKUP($A650,'SurveyRpt_20150223 (1)'!$A$34:$AN$735,22,FALSE)</f>
        <v>No</v>
      </c>
      <c r="P650" s="16" t="str">
        <f>VLOOKUP($A650,'SurveyRpt_20150223 (1)'!$A$34:$AN$735,24,FALSE)</f>
        <v>Yes</v>
      </c>
      <c r="Q650" s="16" t="str">
        <f>VLOOKUP($A650,'SurveyRpt_20150223 (1)'!$A$34:$AN$735,26,FALSE)</f>
        <v>Yes</v>
      </c>
      <c r="R650" s="16" t="str">
        <f>VLOOKUP($A650,'SurveyRpt_20150223 (1)'!$A$34:$AN$735,28,FALSE)</f>
        <v>Yes</v>
      </c>
      <c r="S650" s="16" t="str">
        <f>VLOOKUP($A650,'SurveyRpt_20150223 (1)'!$A$34:$AN$735,30,FALSE)</f>
        <v>Yes</v>
      </c>
      <c r="T650" s="16" t="str">
        <f>VLOOKUP($A650,'SurveyRpt_20150223 (1)'!$A$34:$AN$735,32,FALSE)</f>
        <v>Yes</v>
      </c>
      <c r="U650" s="16" t="str">
        <f>VLOOKUP($A650,'SurveyRpt_20150223 (1)'!$A$34:$AN$735,34,FALSE)</f>
        <v>No</v>
      </c>
      <c r="V650" s="16" t="str">
        <f>VLOOKUP($A650,'SurveyRpt_20150223 (1)'!$A$34:$AN$735,36,FALSE)</f>
        <v>Yes</v>
      </c>
      <c r="W650" s="16" t="str">
        <f>VLOOKUP($A650,'SurveyRpt_20150223 (1)'!$A$34:$AN$735,38,FALSE)</f>
        <v>No</v>
      </c>
    </row>
    <row r="651" spans="1:23" ht="13.5" customHeight="1" x14ac:dyDescent="0.25">
      <c r="A651" s="19" t="s">
        <v>744</v>
      </c>
      <c r="B651" s="19" t="str">
        <f t="shared" si="10"/>
        <v>GHADI2</v>
      </c>
      <c r="C651" s="16" t="str">
        <f>VLOOKUP(B651,'Compiled Agents'!A:H,2,FALSE)</f>
        <v>Workplace</v>
      </c>
      <c r="D651" s="16" t="str">
        <f>VLOOKUP(B651,'Compiled Agents'!A:H,4,FALSE)</f>
        <v>Hyderabad</v>
      </c>
      <c r="E651" s="16" t="str">
        <f>VLOOKUP(B651,'Compiled Agents'!A:H,5,FALSE)</f>
        <v>Wave2</v>
      </c>
      <c r="F651" s="16" t="str">
        <f>VLOOKUP(B651,'Compiled Agents'!A:H,6,FALSE)</f>
        <v>Purple</v>
      </c>
      <c r="G651" s="16">
        <f>VLOOKUP($A651,'SurveyRpt_20150223 (1)'!$A$34:$AN$735,6,FALSE)</f>
        <v>16</v>
      </c>
      <c r="H651" s="16" t="str">
        <f>VLOOKUP($A651,'SurveyRpt_20150223 (1)'!$A$34:$AN$735,8,FALSE)</f>
        <v>Yes</v>
      </c>
      <c r="I651" s="16" t="str">
        <f>VLOOKUP($A651,'SurveyRpt_20150223 (1)'!$A$34:$AN$735,10,FALSE)</f>
        <v>Yes</v>
      </c>
      <c r="J651" s="16" t="str">
        <f>VLOOKUP($A651,'SurveyRpt_20150223 (1)'!$A$34:$AN$735,12,FALSE)</f>
        <v>Yes</v>
      </c>
      <c r="K651" s="16" t="str">
        <f>VLOOKUP($A651,'SurveyRpt_20150223 (1)'!$A$34:$AN$735,14,FALSE)</f>
        <v>Yes</v>
      </c>
      <c r="L651" s="16" t="str">
        <f>VLOOKUP($A651,'SurveyRpt_20150223 (1)'!$A$34:$AN$735,16,FALSE)</f>
        <v>Yes</v>
      </c>
      <c r="M651" s="16" t="str">
        <f>VLOOKUP($A651,'SurveyRpt_20150223 (1)'!$A$34:$AN$735,18,FALSE)</f>
        <v>Yes</v>
      </c>
      <c r="N651" s="16" t="str">
        <f>VLOOKUP($A651,'SurveyRpt_20150223 (1)'!$A$34:$AN$735,20,FALSE)</f>
        <v>Yes</v>
      </c>
      <c r="O651" s="16" t="str">
        <f>VLOOKUP($A651,'SurveyRpt_20150223 (1)'!$A$34:$AN$735,22,FALSE)</f>
        <v>Yes</v>
      </c>
      <c r="P651" s="16" t="str">
        <f>VLOOKUP($A651,'SurveyRpt_20150223 (1)'!$A$34:$AN$735,24,FALSE)</f>
        <v>Yes</v>
      </c>
      <c r="Q651" s="16" t="str">
        <f>VLOOKUP($A651,'SurveyRpt_20150223 (1)'!$A$34:$AN$735,26,FALSE)</f>
        <v>Yes</v>
      </c>
      <c r="R651" s="16" t="str">
        <f>VLOOKUP($A651,'SurveyRpt_20150223 (1)'!$A$34:$AN$735,28,FALSE)</f>
        <v>Yes</v>
      </c>
      <c r="S651" s="16" t="str">
        <f>VLOOKUP($A651,'SurveyRpt_20150223 (1)'!$A$34:$AN$735,30,FALSE)</f>
        <v>Yes</v>
      </c>
      <c r="T651" s="16" t="str">
        <f>VLOOKUP($A651,'SurveyRpt_20150223 (1)'!$A$34:$AN$735,32,FALSE)</f>
        <v>Yes</v>
      </c>
      <c r="U651" s="16" t="str">
        <f>VLOOKUP($A651,'SurveyRpt_20150223 (1)'!$A$34:$AN$735,34,FALSE)</f>
        <v>Yes</v>
      </c>
      <c r="V651" s="16" t="str">
        <f>VLOOKUP($A651,'SurveyRpt_20150223 (1)'!$A$34:$AN$735,36,FALSE)</f>
        <v>Yes</v>
      </c>
      <c r="W651" s="16" t="str">
        <f>VLOOKUP($A651,'SurveyRpt_20150223 (1)'!$A$34:$AN$735,38,FALSE)</f>
        <v>Yes</v>
      </c>
    </row>
    <row r="652" spans="1:23" ht="13.5" customHeight="1" x14ac:dyDescent="0.25">
      <c r="A652" s="19" t="s">
        <v>745</v>
      </c>
      <c r="B652" s="19" t="str">
        <f t="shared" si="10"/>
        <v>RKAPOOR8</v>
      </c>
      <c r="C652" s="16" t="str">
        <f>VLOOKUP(B652,'Compiled Agents'!A:H,2,FALSE)</f>
        <v>Workplace</v>
      </c>
      <c r="D652" s="16" t="str">
        <f>VLOOKUP(B652,'Compiled Agents'!A:H,4,FALSE)</f>
        <v>Hyderabad</v>
      </c>
      <c r="E652" s="16" t="str">
        <f>VLOOKUP(B652,'Compiled Agents'!A:H,5,FALSE)</f>
        <v>Wave2</v>
      </c>
      <c r="F652" s="16" t="str">
        <f>VLOOKUP(B652,'Compiled Agents'!A:H,6,FALSE)</f>
        <v>Purple</v>
      </c>
      <c r="G652" s="16">
        <f>VLOOKUP($A652,'SurveyRpt_20150223 (1)'!$A$34:$AN$735,6,FALSE)</f>
        <v>10</v>
      </c>
      <c r="H652" s="16" t="str">
        <f>VLOOKUP($A652,'SurveyRpt_20150223 (1)'!$A$34:$AN$735,8,FALSE)</f>
        <v>Yes</v>
      </c>
      <c r="I652" s="16" t="str">
        <f>VLOOKUP($A652,'SurveyRpt_20150223 (1)'!$A$34:$AN$735,10,FALSE)</f>
        <v>Yes</v>
      </c>
      <c r="J652" s="16" t="str">
        <f>VLOOKUP($A652,'SurveyRpt_20150223 (1)'!$A$34:$AN$735,12,FALSE)</f>
        <v>Yes</v>
      </c>
      <c r="K652" s="16" t="str">
        <f>VLOOKUP($A652,'SurveyRpt_20150223 (1)'!$A$34:$AN$735,14,FALSE)</f>
        <v>Yes</v>
      </c>
      <c r="L652" s="16" t="str">
        <f>VLOOKUP($A652,'SurveyRpt_20150223 (1)'!$A$34:$AN$735,16,FALSE)</f>
        <v>Yes</v>
      </c>
      <c r="M652" s="16" t="str">
        <f>VLOOKUP($A652,'SurveyRpt_20150223 (1)'!$A$34:$AN$735,18,FALSE)</f>
        <v>Yes</v>
      </c>
      <c r="N652" s="16" t="str">
        <f>VLOOKUP($A652,'SurveyRpt_20150223 (1)'!$A$34:$AN$735,20,FALSE)</f>
        <v>No</v>
      </c>
      <c r="O652" s="16" t="str">
        <f>VLOOKUP($A652,'SurveyRpt_20150223 (1)'!$A$34:$AN$735,22,FALSE)</f>
        <v>No</v>
      </c>
      <c r="P652" s="16" t="str">
        <f>VLOOKUP($A652,'SurveyRpt_20150223 (1)'!$A$34:$AN$735,24,FALSE)</f>
        <v>No</v>
      </c>
      <c r="Q652" s="16" t="str">
        <f>VLOOKUP($A652,'SurveyRpt_20150223 (1)'!$A$34:$AN$735,26,FALSE)</f>
        <v>No</v>
      </c>
      <c r="R652" s="16" t="str">
        <f>VLOOKUP($A652,'SurveyRpt_20150223 (1)'!$A$34:$AN$735,28,FALSE)</f>
        <v>Yes</v>
      </c>
      <c r="S652" s="16" t="str">
        <f>VLOOKUP($A652,'SurveyRpt_20150223 (1)'!$A$34:$AN$735,30,FALSE)</f>
        <v>Yes</v>
      </c>
      <c r="T652" s="16" t="str">
        <f>VLOOKUP($A652,'SurveyRpt_20150223 (1)'!$A$34:$AN$735,32,FALSE)</f>
        <v>Yes</v>
      </c>
      <c r="U652" s="16" t="str">
        <f>VLOOKUP($A652,'SurveyRpt_20150223 (1)'!$A$34:$AN$735,34,FALSE)</f>
        <v>No</v>
      </c>
      <c r="V652" s="16" t="str">
        <f>VLOOKUP($A652,'SurveyRpt_20150223 (1)'!$A$34:$AN$735,36,FALSE)</f>
        <v>Yes</v>
      </c>
      <c r="W652" s="16" t="str">
        <f>VLOOKUP($A652,'SurveyRpt_20150223 (1)'!$A$34:$AN$735,38,FALSE)</f>
        <v>No</v>
      </c>
    </row>
    <row r="653" spans="1:23" ht="13.5" customHeight="1" x14ac:dyDescent="0.25">
      <c r="A653" s="19" t="s">
        <v>746</v>
      </c>
      <c r="B653" s="19" t="str">
        <f t="shared" si="10"/>
        <v>SWAHEED3</v>
      </c>
      <c r="C653" s="16" t="str">
        <f>VLOOKUP(B653,'Compiled Agents'!A:H,2,FALSE)</f>
        <v>Platform</v>
      </c>
      <c r="D653" s="16" t="str">
        <f>VLOOKUP(B653,'Compiled Agents'!A:H,4,FALSE)</f>
        <v>Hyderabad</v>
      </c>
      <c r="E653" s="16" t="str">
        <f>VLOOKUP(B653,'Compiled Agents'!A:H,5,FALSE)</f>
        <v>Wave1</v>
      </c>
      <c r="F653" s="16" t="str">
        <f>VLOOKUP(B653,'Compiled Agents'!A:H,6,FALSE)</f>
        <v>Purple</v>
      </c>
      <c r="G653" s="16">
        <f>VLOOKUP($A653,'SurveyRpt_20150223 (1)'!$A$34:$AN$735,6,FALSE)</f>
        <v>13</v>
      </c>
      <c r="H653" s="16" t="str">
        <f>VLOOKUP($A653,'SurveyRpt_20150223 (1)'!$A$34:$AN$735,8,FALSE)</f>
        <v>Yes</v>
      </c>
      <c r="I653" s="16" t="str">
        <f>VLOOKUP($A653,'SurveyRpt_20150223 (1)'!$A$34:$AN$735,10,FALSE)</f>
        <v>Yes</v>
      </c>
      <c r="J653" s="16" t="str">
        <f>VLOOKUP($A653,'SurveyRpt_20150223 (1)'!$A$34:$AN$735,12,FALSE)</f>
        <v>Yes</v>
      </c>
      <c r="K653" s="16" t="str">
        <f>VLOOKUP($A653,'SurveyRpt_20150223 (1)'!$A$34:$AN$735,14,FALSE)</f>
        <v>Yes</v>
      </c>
      <c r="L653" s="16" t="str">
        <f>VLOOKUP($A653,'SurveyRpt_20150223 (1)'!$A$34:$AN$735,16,FALSE)</f>
        <v>Yes</v>
      </c>
      <c r="M653" s="16" t="str">
        <f>VLOOKUP($A653,'SurveyRpt_20150223 (1)'!$A$34:$AN$735,18,FALSE)</f>
        <v>Yes</v>
      </c>
      <c r="N653" s="16" t="str">
        <f>VLOOKUP($A653,'SurveyRpt_20150223 (1)'!$A$34:$AN$735,20,FALSE)</f>
        <v>Yes</v>
      </c>
      <c r="O653" s="16" t="str">
        <f>VLOOKUP($A653,'SurveyRpt_20150223 (1)'!$A$34:$AN$735,22,FALSE)</f>
        <v>Yes</v>
      </c>
      <c r="P653" s="16" t="str">
        <f>VLOOKUP($A653,'SurveyRpt_20150223 (1)'!$A$34:$AN$735,24,FALSE)</f>
        <v>Yes</v>
      </c>
      <c r="Q653" s="16" t="str">
        <f>VLOOKUP($A653,'SurveyRpt_20150223 (1)'!$A$34:$AN$735,26,FALSE)</f>
        <v>Yes</v>
      </c>
      <c r="R653" s="16" t="str">
        <f>VLOOKUP($A653,'SurveyRpt_20150223 (1)'!$A$34:$AN$735,28,FALSE)</f>
        <v>Yes</v>
      </c>
      <c r="S653" s="16" t="str">
        <f>VLOOKUP($A653,'SurveyRpt_20150223 (1)'!$A$34:$AN$735,30,FALSE)</f>
        <v>Yes</v>
      </c>
      <c r="T653" s="16" t="str">
        <f>VLOOKUP($A653,'SurveyRpt_20150223 (1)'!$A$34:$AN$735,32,FALSE)</f>
        <v>No</v>
      </c>
      <c r="U653" s="16" t="str">
        <f>VLOOKUP($A653,'SurveyRpt_20150223 (1)'!$A$34:$AN$735,34,FALSE)</f>
        <v>Yes</v>
      </c>
      <c r="V653" s="16" t="str">
        <f>VLOOKUP($A653,'SurveyRpt_20150223 (1)'!$A$34:$AN$735,36,FALSE)</f>
        <v>No</v>
      </c>
      <c r="W653" s="16" t="str">
        <f>VLOOKUP($A653,'SurveyRpt_20150223 (1)'!$A$34:$AN$735,38,FALSE)</f>
        <v>No</v>
      </c>
    </row>
    <row r="654" spans="1:23" ht="13.5" customHeight="1" x14ac:dyDescent="0.25">
      <c r="A654" s="19" t="s">
        <v>747</v>
      </c>
      <c r="B654" s="19" t="str">
        <f t="shared" si="10"/>
        <v>APRAVEENJAIN</v>
      </c>
      <c r="C654" s="16" t="str">
        <f>VLOOKUP(B654,'Compiled Agents'!A:H,2,FALSE)</f>
        <v>Workplace</v>
      </c>
      <c r="D654" s="16" t="str">
        <f>VLOOKUP(B654,'Compiled Agents'!A:H,4,FALSE)</f>
        <v>Noida</v>
      </c>
      <c r="E654" s="16" t="str">
        <f>VLOOKUP(B654,'Compiled Agents'!A:H,5,FALSE)</f>
        <v>Wave1</v>
      </c>
      <c r="F654" s="16" t="str">
        <f>VLOOKUP(B654,'Compiled Agents'!A:H,6,FALSE)</f>
        <v>Yellow</v>
      </c>
      <c r="G654" s="16">
        <f>VLOOKUP($A654,'SurveyRpt_20150223 (1)'!$A$34:$AN$735,6,FALSE)</f>
        <v>16</v>
      </c>
      <c r="H654" s="16" t="str">
        <f>VLOOKUP($A654,'SurveyRpt_20150223 (1)'!$A$34:$AN$735,8,FALSE)</f>
        <v>Yes</v>
      </c>
      <c r="I654" s="16" t="str">
        <f>VLOOKUP($A654,'SurveyRpt_20150223 (1)'!$A$34:$AN$735,10,FALSE)</f>
        <v>Yes</v>
      </c>
      <c r="J654" s="16" t="str">
        <f>VLOOKUP($A654,'SurveyRpt_20150223 (1)'!$A$34:$AN$735,12,FALSE)</f>
        <v>Yes</v>
      </c>
      <c r="K654" s="16" t="str">
        <f>VLOOKUP($A654,'SurveyRpt_20150223 (1)'!$A$34:$AN$735,14,FALSE)</f>
        <v>Yes</v>
      </c>
      <c r="L654" s="16" t="str">
        <f>VLOOKUP($A654,'SurveyRpt_20150223 (1)'!$A$34:$AN$735,16,FALSE)</f>
        <v>Yes</v>
      </c>
      <c r="M654" s="16" t="str">
        <f>VLOOKUP($A654,'SurveyRpt_20150223 (1)'!$A$34:$AN$735,18,FALSE)</f>
        <v>Yes</v>
      </c>
      <c r="N654" s="16" t="str">
        <f>VLOOKUP($A654,'SurveyRpt_20150223 (1)'!$A$34:$AN$735,20,FALSE)</f>
        <v>Yes</v>
      </c>
      <c r="O654" s="16" t="str">
        <f>VLOOKUP($A654,'SurveyRpt_20150223 (1)'!$A$34:$AN$735,22,FALSE)</f>
        <v>Yes</v>
      </c>
      <c r="P654" s="16" t="str">
        <f>VLOOKUP($A654,'SurveyRpt_20150223 (1)'!$A$34:$AN$735,24,FALSE)</f>
        <v>Yes</v>
      </c>
      <c r="Q654" s="16" t="str">
        <f>VLOOKUP($A654,'SurveyRpt_20150223 (1)'!$A$34:$AN$735,26,FALSE)</f>
        <v>Yes</v>
      </c>
      <c r="R654" s="16" t="str">
        <f>VLOOKUP($A654,'SurveyRpt_20150223 (1)'!$A$34:$AN$735,28,FALSE)</f>
        <v>Yes</v>
      </c>
      <c r="S654" s="16" t="str">
        <f>VLOOKUP($A654,'SurveyRpt_20150223 (1)'!$A$34:$AN$735,30,FALSE)</f>
        <v>Yes</v>
      </c>
      <c r="T654" s="16" t="str">
        <f>VLOOKUP($A654,'SurveyRpt_20150223 (1)'!$A$34:$AN$735,32,FALSE)</f>
        <v>Yes</v>
      </c>
      <c r="U654" s="16" t="str">
        <f>VLOOKUP($A654,'SurveyRpt_20150223 (1)'!$A$34:$AN$735,34,FALSE)</f>
        <v>Yes</v>
      </c>
      <c r="V654" s="16" t="str">
        <f>VLOOKUP($A654,'SurveyRpt_20150223 (1)'!$A$34:$AN$735,36,FALSE)</f>
        <v>Yes</v>
      </c>
      <c r="W654" s="16" t="str">
        <f>VLOOKUP($A654,'SurveyRpt_20150223 (1)'!$A$34:$AN$735,38,FALSE)</f>
        <v>Yes</v>
      </c>
    </row>
    <row r="655" spans="1:23" ht="13.5" customHeight="1" x14ac:dyDescent="0.25">
      <c r="A655" s="19" t="s">
        <v>748</v>
      </c>
      <c r="B655" s="19" t="str">
        <f t="shared" si="10"/>
        <v>SVORA2</v>
      </c>
      <c r="C655" s="16" t="str">
        <f>VLOOKUP(B655,'Compiled Agents'!A:H,2,FALSE)</f>
        <v>Platform</v>
      </c>
      <c r="D655" s="16" t="str">
        <f>VLOOKUP(B655,'Compiled Agents'!A:H,4,FALSE)</f>
        <v>Hyderabad</v>
      </c>
      <c r="E655" s="16" t="str">
        <f>VLOOKUP(B655,'Compiled Agents'!A:H,5,FALSE)</f>
        <v>Wave1</v>
      </c>
      <c r="F655" s="16" t="str">
        <f>VLOOKUP(B655,'Compiled Agents'!A:H,6,FALSE)</f>
        <v>Blue</v>
      </c>
      <c r="G655" s="16">
        <f>VLOOKUP($A655,'SurveyRpt_20150223 (1)'!$A$34:$AN$735,6,FALSE)</f>
        <v>9</v>
      </c>
      <c r="H655" s="16" t="str">
        <f>VLOOKUP($A655,'SurveyRpt_20150223 (1)'!$A$34:$AN$735,8,FALSE)</f>
        <v>Yes</v>
      </c>
      <c r="I655" s="16" t="str">
        <f>VLOOKUP($A655,'SurveyRpt_20150223 (1)'!$A$34:$AN$735,10,FALSE)</f>
        <v>Yes</v>
      </c>
      <c r="J655" s="16" t="str">
        <f>VLOOKUP($A655,'SurveyRpt_20150223 (1)'!$A$34:$AN$735,12,FALSE)</f>
        <v>Yes</v>
      </c>
      <c r="K655" s="16" t="str">
        <f>VLOOKUP($A655,'SurveyRpt_20150223 (1)'!$A$34:$AN$735,14,FALSE)</f>
        <v>Yes</v>
      </c>
      <c r="L655" s="16" t="str">
        <f>VLOOKUP($A655,'SurveyRpt_20150223 (1)'!$A$34:$AN$735,16,FALSE)</f>
        <v>No</v>
      </c>
      <c r="M655" s="16" t="str">
        <f>VLOOKUP($A655,'SurveyRpt_20150223 (1)'!$A$34:$AN$735,18,FALSE)</f>
        <v>No</v>
      </c>
      <c r="N655" s="16" t="str">
        <f>VLOOKUP($A655,'SurveyRpt_20150223 (1)'!$A$34:$AN$735,20,FALSE)</f>
        <v>No</v>
      </c>
      <c r="O655" s="16" t="str">
        <f>VLOOKUP($A655,'SurveyRpt_20150223 (1)'!$A$34:$AN$735,22,FALSE)</f>
        <v>No</v>
      </c>
      <c r="P655" s="16" t="str">
        <f>VLOOKUP($A655,'SurveyRpt_20150223 (1)'!$A$34:$AN$735,24,FALSE)</f>
        <v>Yes</v>
      </c>
      <c r="Q655" s="16" t="str">
        <f>VLOOKUP($A655,'SurveyRpt_20150223 (1)'!$A$34:$AN$735,26,FALSE)</f>
        <v>Yes</v>
      </c>
      <c r="R655" s="16" t="str">
        <f>VLOOKUP($A655,'SurveyRpt_20150223 (1)'!$A$34:$AN$735,28,FALSE)</f>
        <v>Yes</v>
      </c>
      <c r="S655" s="16" t="str">
        <f>VLOOKUP($A655,'SurveyRpt_20150223 (1)'!$A$34:$AN$735,30,FALSE)</f>
        <v>Yes</v>
      </c>
      <c r="T655" s="16" t="str">
        <f>VLOOKUP($A655,'SurveyRpt_20150223 (1)'!$A$34:$AN$735,32,FALSE)</f>
        <v>No</v>
      </c>
      <c r="U655" s="16" t="str">
        <f>VLOOKUP($A655,'SurveyRpt_20150223 (1)'!$A$34:$AN$735,34,FALSE)</f>
        <v>Yes</v>
      </c>
      <c r="V655" s="16" t="str">
        <f>VLOOKUP($A655,'SurveyRpt_20150223 (1)'!$A$34:$AN$735,36,FALSE)</f>
        <v>No</v>
      </c>
      <c r="W655" s="16" t="str">
        <f>VLOOKUP($A655,'SurveyRpt_20150223 (1)'!$A$34:$AN$735,38,FALSE)</f>
        <v>No</v>
      </c>
    </row>
    <row r="656" spans="1:23" ht="13.5" customHeight="1" x14ac:dyDescent="0.25">
      <c r="A656" s="19" t="s">
        <v>749</v>
      </c>
      <c r="B656" s="19" t="str">
        <f t="shared" si="10"/>
        <v>HRAJSHEKAR</v>
      </c>
      <c r="C656" s="16" t="str">
        <f>VLOOKUP(B656,'Compiled Agents'!A:H,2,FALSE)</f>
        <v>Workplace</v>
      </c>
      <c r="D656" s="16" t="str">
        <f>VLOOKUP(B656,'Compiled Agents'!A:H,4,FALSE)</f>
        <v>Noida</v>
      </c>
      <c r="E656" s="16" t="str">
        <f>VLOOKUP(B656,'Compiled Agents'!A:H,5,FALSE)</f>
        <v>Wave1</v>
      </c>
      <c r="F656" s="16" t="str">
        <f>VLOOKUP(B656,'Compiled Agents'!A:H,6,FALSE)</f>
        <v>Purple</v>
      </c>
      <c r="G656" s="16">
        <f>VLOOKUP($A656,'SurveyRpt_20150223 (1)'!$A$34:$AN$735,6,FALSE)</f>
        <v>16</v>
      </c>
      <c r="H656" s="16" t="str">
        <f>VLOOKUP($A656,'SurveyRpt_20150223 (1)'!$A$34:$AN$735,8,FALSE)</f>
        <v>Yes</v>
      </c>
      <c r="I656" s="16" t="str">
        <f>VLOOKUP($A656,'SurveyRpt_20150223 (1)'!$A$34:$AN$735,10,FALSE)</f>
        <v>Yes</v>
      </c>
      <c r="J656" s="16" t="str">
        <f>VLOOKUP($A656,'SurveyRpt_20150223 (1)'!$A$34:$AN$735,12,FALSE)</f>
        <v>Yes</v>
      </c>
      <c r="K656" s="16" t="str">
        <f>VLOOKUP($A656,'SurveyRpt_20150223 (1)'!$A$34:$AN$735,14,FALSE)</f>
        <v>Yes</v>
      </c>
      <c r="L656" s="16" t="str">
        <f>VLOOKUP($A656,'SurveyRpt_20150223 (1)'!$A$34:$AN$735,16,FALSE)</f>
        <v>Yes</v>
      </c>
      <c r="M656" s="16" t="str">
        <f>VLOOKUP($A656,'SurveyRpt_20150223 (1)'!$A$34:$AN$735,18,FALSE)</f>
        <v>Yes</v>
      </c>
      <c r="N656" s="16" t="str">
        <f>VLOOKUP($A656,'SurveyRpt_20150223 (1)'!$A$34:$AN$735,20,FALSE)</f>
        <v>Yes</v>
      </c>
      <c r="O656" s="16" t="str">
        <f>VLOOKUP($A656,'SurveyRpt_20150223 (1)'!$A$34:$AN$735,22,FALSE)</f>
        <v>Yes</v>
      </c>
      <c r="P656" s="16" t="str">
        <f>VLOOKUP($A656,'SurveyRpt_20150223 (1)'!$A$34:$AN$735,24,FALSE)</f>
        <v>Yes</v>
      </c>
      <c r="Q656" s="16" t="str">
        <f>VLOOKUP($A656,'SurveyRpt_20150223 (1)'!$A$34:$AN$735,26,FALSE)</f>
        <v>Yes</v>
      </c>
      <c r="R656" s="16" t="str">
        <f>VLOOKUP($A656,'SurveyRpt_20150223 (1)'!$A$34:$AN$735,28,FALSE)</f>
        <v>Yes</v>
      </c>
      <c r="S656" s="16" t="str">
        <f>VLOOKUP($A656,'SurveyRpt_20150223 (1)'!$A$34:$AN$735,30,FALSE)</f>
        <v>Yes</v>
      </c>
      <c r="T656" s="16" t="str">
        <f>VLOOKUP($A656,'SurveyRpt_20150223 (1)'!$A$34:$AN$735,32,FALSE)</f>
        <v>Yes</v>
      </c>
      <c r="U656" s="16" t="str">
        <f>VLOOKUP($A656,'SurveyRpt_20150223 (1)'!$A$34:$AN$735,34,FALSE)</f>
        <v>Yes</v>
      </c>
      <c r="V656" s="16" t="str">
        <f>VLOOKUP($A656,'SurveyRpt_20150223 (1)'!$A$34:$AN$735,36,FALSE)</f>
        <v>Yes</v>
      </c>
      <c r="W656" s="16" t="str">
        <f>VLOOKUP($A656,'SurveyRpt_20150223 (1)'!$A$34:$AN$735,38,FALSE)</f>
        <v>Yes</v>
      </c>
    </row>
    <row r="657" spans="1:23" ht="13.5" customHeight="1" x14ac:dyDescent="0.25">
      <c r="A657" s="19" t="s">
        <v>750</v>
      </c>
      <c r="B657" s="19" t="str">
        <f t="shared" si="10"/>
        <v>PGUPTA46</v>
      </c>
      <c r="C657" s="16" t="str">
        <f>VLOOKUP(B657,'Compiled Agents'!A:H,2,FALSE)</f>
        <v>Platform</v>
      </c>
      <c r="D657" s="16" t="str">
        <f>VLOOKUP(B657,'Compiled Agents'!A:H,4,FALSE)</f>
        <v>Noida</v>
      </c>
      <c r="E657" s="16" t="str">
        <f>VLOOKUP(B657,'Compiled Agents'!A:H,5,FALSE)</f>
        <v>Wave1</v>
      </c>
      <c r="F657" s="16" t="str">
        <f>VLOOKUP(B657,'Compiled Agents'!A:H,6,FALSE)</f>
        <v>Yellow</v>
      </c>
      <c r="G657" s="16">
        <f>VLOOKUP($A657,'SurveyRpt_20150223 (1)'!$A$34:$AN$735,6,FALSE)</f>
        <v>4</v>
      </c>
      <c r="H657" s="16" t="str">
        <f>VLOOKUP($A657,'SurveyRpt_20150223 (1)'!$A$34:$AN$735,8,FALSE)</f>
        <v>No</v>
      </c>
      <c r="I657" s="16" t="str">
        <f>VLOOKUP($A657,'SurveyRpt_20150223 (1)'!$A$34:$AN$735,10,FALSE)</f>
        <v>No</v>
      </c>
      <c r="J657" s="16" t="str">
        <f>VLOOKUP($A657,'SurveyRpt_20150223 (1)'!$A$34:$AN$735,12,FALSE)</f>
        <v>No</v>
      </c>
      <c r="K657" s="16" t="str">
        <f>VLOOKUP($A657,'SurveyRpt_20150223 (1)'!$A$34:$AN$735,14,FALSE)</f>
        <v>No</v>
      </c>
      <c r="L657" s="16" t="str">
        <f>VLOOKUP($A657,'SurveyRpt_20150223 (1)'!$A$34:$AN$735,16,FALSE)</f>
        <v>No</v>
      </c>
      <c r="M657" s="16" t="str">
        <f>VLOOKUP($A657,'SurveyRpt_20150223 (1)'!$A$34:$AN$735,18,FALSE)</f>
        <v>Yes</v>
      </c>
      <c r="N657" s="16" t="str">
        <f>VLOOKUP($A657,'SurveyRpt_20150223 (1)'!$A$34:$AN$735,20,FALSE)</f>
        <v>No</v>
      </c>
      <c r="O657" s="16" t="str">
        <f>VLOOKUP($A657,'SurveyRpt_20150223 (1)'!$A$34:$AN$735,22,FALSE)</f>
        <v>No</v>
      </c>
      <c r="P657" s="16" t="str">
        <f>VLOOKUP($A657,'SurveyRpt_20150223 (1)'!$A$34:$AN$735,24,FALSE)</f>
        <v>No</v>
      </c>
      <c r="Q657" s="16" t="str">
        <f>VLOOKUP($A657,'SurveyRpt_20150223 (1)'!$A$34:$AN$735,26,FALSE)</f>
        <v>Yes</v>
      </c>
      <c r="R657" s="16" t="str">
        <f>VLOOKUP($A657,'SurveyRpt_20150223 (1)'!$A$34:$AN$735,28,FALSE)</f>
        <v>Yes</v>
      </c>
      <c r="S657" s="16" t="str">
        <f>VLOOKUP($A657,'SurveyRpt_20150223 (1)'!$A$34:$AN$735,30,FALSE)</f>
        <v>Yes</v>
      </c>
      <c r="T657" s="16" t="str">
        <f>VLOOKUP($A657,'SurveyRpt_20150223 (1)'!$A$34:$AN$735,32,FALSE)</f>
        <v>No</v>
      </c>
      <c r="U657" s="16" t="str">
        <f>VLOOKUP($A657,'SurveyRpt_20150223 (1)'!$A$34:$AN$735,34,FALSE)</f>
        <v>No</v>
      </c>
      <c r="V657" s="16" t="str">
        <f>VLOOKUP($A657,'SurveyRpt_20150223 (1)'!$A$34:$AN$735,36,FALSE)</f>
        <v>No</v>
      </c>
      <c r="W657" s="16" t="str">
        <f>VLOOKUP($A657,'SurveyRpt_20150223 (1)'!$A$34:$AN$735,38,FALSE)</f>
        <v>No</v>
      </c>
    </row>
    <row r="658" spans="1:23" ht="13.5" customHeight="1" x14ac:dyDescent="0.25">
      <c r="A658" s="19" t="s">
        <v>751</v>
      </c>
      <c r="B658" s="19" t="str">
        <f t="shared" si="10"/>
        <v>NGOKARA</v>
      </c>
      <c r="C658" s="16" t="str">
        <f>VLOOKUP(B658,'Compiled Agents'!A:H,2,FALSE)</f>
        <v>Workplace</v>
      </c>
      <c r="D658" s="16" t="str">
        <f>VLOOKUP(B658,'Compiled Agents'!A:H,4,FALSE)</f>
        <v>Noida</v>
      </c>
      <c r="E658" s="16" t="str">
        <f>VLOOKUP(B658,'Compiled Agents'!A:H,5,FALSE)</f>
        <v>Wave2</v>
      </c>
      <c r="F658" s="16" t="str">
        <f>VLOOKUP(B658,'Compiled Agents'!A:H,6,FALSE)</f>
        <v>Blue</v>
      </c>
      <c r="G658" s="16">
        <f>VLOOKUP($A658,'SurveyRpt_20150223 (1)'!$A$34:$AN$735,6,FALSE)</f>
        <v>15</v>
      </c>
      <c r="H658" s="16" t="str">
        <f>VLOOKUP($A658,'SurveyRpt_20150223 (1)'!$A$34:$AN$735,8,FALSE)</f>
        <v>Yes</v>
      </c>
      <c r="I658" s="16" t="str">
        <f>VLOOKUP($A658,'SurveyRpt_20150223 (1)'!$A$34:$AN$735,10,FALSE)</f>
        <v>Yes</v>
      </c>
      <c r="J658" s="16" t="str">
        <f>VLOOKUP($A658,'SurveyRpt_20150223 (1)'!$A$34:$AN$735,12,FALSE)</f>
        <v>Yes</v>
      </c>
      <c r="K658" s="16" t="str">
        <f>VLOOKUP($A658,'SurveyRpt_20150223 (1)'!$A$34:$AN$735,14,FALSE)</f>
        <v>Yes</v>
      </c>
      <c r="L658" s="16" t="str">
        <f>VLOOKUP($A658,'SurveyRpt_20150223 (1)'!$A$34:$AN$735,16,FALSE)</f>
        <v>Yes</v>
      </c>
      <c r="M658" s="16" t="str">
        <f>VLOOKUP($A658,'SurveyRpt_20150223 (1)'!$A$34:$AN$735,18,FALSE)</f>
        <v>Yes</v>
      </c>
      <c r="N658" s="16" t="str">
        <f>VLOOKUP($A658,'SurveyRpt_20150223 (1)'!$A$34:$AN$735,20,FALSE)</f>
        <v>No</v>
      </c>
      <c r="O658" s="16" t="str">
        <f>VLOOKUP($A658,'SurveyRpt_20150223 (1)'!$A$34:$AN$735,22,FALSE)</f>
        <v>Yes</v>
      </c>
      <c r="P658" s="16" t="str">
        <f>VLOOKUP($A658,'SurveyRpt_20150223 (1)'!$A$34:$AN$735,24,FALSE)</f>
        <v>Yes</v>
      </c>
      <c r="Q658" s="16" t="str">
        <f>VLOOKUP($A658,'SurveyRpt_20150223 (1)'!$A$34:$AN$735,26,FALSE)</f>
        <v>Yes</v>
      </c>
      <c r="R658" s="16" t="str">
        <f>VLOOKUP($A658,'SurveyRpt_20150223 (1)'!$A$34:$AN$735,28,FALSE)</f>
        <v>Yes</v>
      </c>
      <c r="S658" s="16" t="str">
        <f>VLOOKUP($A658,'SurveyRpt_20150223 (1)'!$A$34:$AN$735,30,FALSE)</f>
        <v>Yes</v>
      </c>
      <c r="T658" s="16" t="str">
        <f>VLOOKUP($A658,'SurveyRpt_20150223 (1)'!$A$34:$AN$735,32,FALSE)</f>
        <v>Yes</v>
      </c>
      <c r="U658" s="16" t="str">
        <f>VLOOKUP($A658,'SurveyRpt_20150223 (1)'!$A$34:$AN$735,34,FALSE)</f>
        <v>Yes</v>
      </c>
      <c r="V658" s="16" t="str">
        <f>VLOOKUP($A658,'SurveyRpt_20150223 (1)'!$A$34:$AN$735,36,FALSE)</f>
        <v>Yes</v>
      </c>
      <c r="W658" s="16" t="str">
        <f>VLOOKUP($A658,'SurveyRpt_20150223 (1)'!$A$34:$AN$735,38,FALSE)</f>
        <v>Yes</v>
      </c>
    </row>
    <row r="659" spans="1:23" ht="13.5" customHeight="1" x14ac:dyDescent="0.25">
      <c r="A659" s="19" t="s">
        <v>752</v>
      </c>
      <c r="B659" s="19" t="str">
        <f t="shared" si="10"/>
        <v>JMHADGUT</v>
      </c>
      <c r="C659" s="16" t="str">
        <f>VLOOKUP(B659,'Compiled Agents'!A:H,2,FALSE)</f>
        <v>Workplace</v>
      </c>
      <c r="D659" s="16" t="str">
        <f>VLOOKUP(B659,'Compiled Agents'!A:H,4,FALSE)</f>
        <v>Hyderabad</v>
      </c>
      <c r="E659" s="16" t="str">
        <f>VLOOKUP(B659,'Compiled Agents'!A:H,5,FALSE)</f>
        <v>Wave2</v>
      </c>
      <c r="F659" s="16" t="str">
        <f>VLOOKUP(B659,'Compiled Agents'!A:H,6,FALSE)</f>
        <v>Blue</v>
      </c>
      <c r="G659" s="16">
        <f>VLOOKUP($A659,'SurveyRpt_20150223 (1)'!$A$34:$AN$735,6,FALSE)</f>
        <v>14</v>
      </c>
      <c r="H659" s="16" t="str">
        <f>VLOOKUP($A659,'SurveyRpt_20150223 (1)'!$A$34:$AN$735,8,FALSE)</f>
        <v>Yes</v>
      </c>
      <c r="I659" s="16" t="str">
        <f>VLOOKUP($A659,'SurveyRpt_20150223 (1)'!$A$34:$AN$735,10,FALSE)</f>
        <v>Yes</v>
      </c>
      <c r="J659" s="16" t="str">
        <f>VLOOKUP($A659,'SurveyRpt_20150223 (1)'!$A$34:$AN$735,12,FALSE)</f>
        <v>Yes</v>
      </c>
      <c r="K659" s="16" t="str">
        <f>VLOOKUP($A659,'SurveyRpt_20150223 (1)'!$A$34:$AN$735,14,FALSE)</f>
        <v>Yes</v>
      </c>
      <c r="L659" s="16" t="str">
        <f>VLOOKUP($A659,'SurveyRpt_20150223 (1)'!$A$34:$AN$735,16,FALSE)</f>
        <v>Yes</v>
      </c>
      <c r="M659" s="16" t="str">
        <f>VLOOKUP($A659,'SurveyRpt_20150223 (1)'!$A$34:$AN$735,18,FALSE)</f>
        <v>Yes</v>
      </c>
      <c r="N659" s="16" t="str">
        <f>VLOOKUP($A659,'SurveyRpt_20150223 (1)'!$A$34:$AN$735,20,FALSE)</f>
        <v>No</v>
      </c>
      <c r="O659" s="16" t="str">
        <f>VLOOKUP($A659,'SurveyRpt_20150223 (1)'!$A$34:$AN$735,22,FALSE)</f>
        <v>No</v>
      </c>
      <c r="P659" s="16" t="str">
        <f>VLOOKUP($A659,'SurveyRpt_20150223 (1)'!$A$34:$AN$735,24,FALSE)</f>
        <v>Yes</v>
      </c>
      <c r="Q659" s="16" t="str">
        <f>VLOOKUP($A659,'SurveyRpt_20150223 (1)'!$A$34:$AN$735,26,FALSE)</f>
        <v>Yes</v>
      </c>
      <c r="R659" s="16" t="str">
        <f>VLOOKUP($A659,'SurveyRpt_20150223 (1)'!$A$34:$AN$735,28,FALSE)</f>
        <v>Yes</v>
      </c>
      <c r="S659" s="16" t="str">
        <f>VLOOKUP($A659,'SurveyRpt_20150223 (1)'!$A$34:$AN$735,30,FALSE)</f>
        <v>Yes</v>
      </c>
      <c r="T659" s="16" t="str">
        <f>VLOOKUP($A659,'SurveyRpt_20150223 (1)'!$A$34:$AN$735,32,FALSE)</f>
        <v>Yes</v>
      </c>
      <c r="U659" s="16" t="str">
        <f>VLOOKUP($A659,'SurveyRpt_20150223 (1)'!$A$34:$AN$735,34,FALSE)</f>
        <v>Yes</v>
      </c>
      <c r="V659" s="16" t="str">
        <f>VLOOKUP($A659,'SurveyRpt_20150223 (1)'!$A$34:$AN$735,36,FALSE)</f>
        <v>Yes</v>
      </c>
      <c r="W659" s="16" t="str">
        <f>VLOOKUP($A659,'SurveyRpt_20150223 (1)'!$A$34:$AN$735,38,FALSE)</f>
        <v>Yes</v>
      </c>
    </row>
    <row r="660" spans="1:23" ht="13.5" customHeight="1" x14ac:dyDescent="0.25">
      <c r="A660" s="19" t="s">
        <v>753</v>
      </c>
      <c r="B660" s="19" t="str">
        <f t="shared" si="10"/>
        <v>NABRAHAM</v>
      </c>
      <c r="C660" s="16" t="str">
        <f>VLOOKUP(B660,'Compiled Agents'!A:H,2,FALSE)</f>
        <v>Workplace</v>
      </c>
      <c r="D660" s="16" t="str">
        <f>VLOOKUP(B660,'Compiled Agents'!A:H,4,FALSE)</f>
        <v>Noida</v>
      </c>
      <c r="E660" s="16" t="str">
        <f>VLOOKUP(B660,'Compiled Agents'!A:H,5,FALSE)</f>
        <v>Wave2</v>
      </c>
      <c r="F660" s="16" t="str">
        <f>VLOOKUP(B660,'Compiled Agents'!A:H,6,FALSE)</f>
        <v>Yellow</v>
      </c>
      <c r="G660" s="16">
        <f>VLOOKUP($A660,'SurveyRpt_20150223 (1)'!$A$34:$AN$735,6,FALSE)</f>
        <v>14</v>
      </c>
      <c r="H660" s="16" t="str">
        <f>VLOOKUP($A660,'SurveyRpt_20150223 (1)'!$A$34:$AN$735,8,FALSE)</f>
        <v>Yes</v>
      </c>
      <c r="I660" s="16" t="str">
        <f>VLOOKUP($A660,'SurveyRpt_20150223 (1)'!$A$34:$AN$735,10,FALSE)</f>
        <v>Yes</v>
      </c>
      <c r="J660" s="16" t="str">
        <f>VLOOKUP($A660,'SurveyRpt_20150223 (1)'!$A$34:$AN$735,12,FALSE)</f>
        <v>No</v>
      </c>
      <c r="K660" s="16" t="str">
        <f>VLOOKUP($A660,'SurveyRpt_20150223 (1)'!$A$34:$AN$735,14,FALSE)</f>
        <v>Yes</v>
      </c>
      <c r="L660" s="16" t="str">
        <f>VLOOKUP($A660,'SurveyRpt_20150223 (1)'!$A$34:$AN$735,16,FALSE)</f>
        <v>No</v>
      </c>
      <c r="M660" s="16" t="str">
        <f>VLOOKUP($A660,'SurveyRpt_20150223 (1)'!$A$34:$AN$735,18,FALSE)</f>
        <v>Yes</v>
      </c>
      <c r="N660" s="16" t="str">
        <f>VLOOKUP($A660,'SurveyRpt_20150223 (1)'!$A$34:$AN$735,20,FALSE)</f>
        <v>Yes</v>
      </c>
      <c r="O660" s="16" t="str">
        <f>VLOOKUP($A660,'SurveyRpt_20150223 (1)'!$A$34:$AN$735,22,FALSE)</f>
        <v>Yes</v>
      </c>
      <c r="P660" s="16" t="str">
        <f>VLOOKUP($A660,'SurveyRpt_20150223 (1)'!$A$34:$AN$735,24,FALSE)</f>
        <v>Yes</v>
      </c>
      <c r="Q660" s="16" t="str">
        <f>VLOOKUP($A660,'SurveyRpt_20150223 (1)'!$A$34:$AN$735,26,FALSE)</f>
        <v>Yes</v>
      </c>
      <c r="R660" s="16" t="str">
        <f>VLOOKUP($A660,'SurveyRpt_20150223 (1)'!$A$34:$AN$735,28,FALSE)</f>
        <v>Yes</v>
      </c>
      <c r="S660" s="16" t="str">
        <f>VLOOKUP($A660,'SurveyRpt_20150223 (1)'!$A$34:$AN$735,30,FALSE)</f>
        <v>Yes</v>
      </c>
      <c r="T660" s="16" t="str">
        <f>VLOOKUP($A660,'SurveyRpt_20150223 (1)'!$A$34:$AN$735,32,FALSE)</f>
        <v>Yes</v>
      </c>
      <c r="U660" s="16" t="str">
        <f>VLOOKUP($A660,'SurveyRpt_20150223 (1)'!$A$34:$AN$735,34,FALSE)</f>
        <v>Yes</v>
      </c>
      <c r="V660" s="16" t="str">
        <f>VLOOKUP($A660,'SurveyRpt_20150223 (1)'!$A$34:$AN$735,36,FALSE)</f>
        <v>Yes</v>
      </c>
      <c r="W660" s="16" t="str">
        <f>VLOOKUP($A660,'SurveyRpt_20150223 (1)'!$A$34:$AN$735,38,FALSE)</f>
        <v>Yes</v>
      </c>
    </row>
    <row r="661" spans="1:23" ht="13.5" customHeight="1" x14ac:dyDescent="0.25">
      <c r="A661" s="19" t="s">
        <v>754</v>
      </c>
      <c r="B661" s="19" t="str">
        <f t="shared" si="10"/>
        <v>CBALASEGARAN</v>
      </c>
      <c r="C661" s="16" t="str">
        <f>VLOOKUP(B661,'Compiled Agents'!A:H,2,FALSE)</f>
        <v>Workplace</v>
      </c>
      <c r="D661" s="16" t="str">
        <f>VLOOKUP(B661,'Compiled Agents'!A:H,4,FALSE)</f>
        <v>Hyderabad</v>
      </c>
      <c r="E661" s="16" t="str">
        <f>VLOOKUP(B661,'Compiled Agents'!A:H,5,FALSE)</f>
        <v>Wave2</v>
      </c>
      <c r="F661" s="16" t="str">
        <f>VLOOKUP(B661,'Compiled Agents'!A:H,6,FALSE)</f>
        <v>Blue</v>
      </c>
      <c r="G661" s="16">
        <f>VLOOKUP($A661,'SurveyRpt_20150223 (1)'!$A$34:$AN$735,6,FALSE)</f>
        <v>15</v>
      </c>
      <c r="H661" s="16" t="str">
        <f>VLOOKUP($A661,'SurveyRpt_20150223 (1)'!$A$34:$AN$735,8,FALSE)</f>
        <v>Yes</v>
      </c>
      <c r="I661" s="16" t="str">
        <f>VLOOKUP($A661,'SurveyRpt_20150223 (1)'!$A$34:$AN$735,10,FALSE)</f>
        <v>Yes</v>
      </c>
      <c r="J661" s="16" t="str">
        <f>VLOOKUP($A661,'SurveyRpt_20150223 (1)'!$A$34:$AN$735,12,FALSE)</f>
        <v>Yes</v>
      </c>
      <c r="K661" s="16" t="str">
        <f>VLOOKUP($A661,'SurveyRpt_20150223 (1)'!$A$34:$AN$735,14,FALSE)</f>
        <v>Yes</v>
      </c>
      <c r="L661" s="16" t="str">
        <f>VLOOKUP($A661,'SurveyRpt_20150223 (1)'!$A$34:$AN$735,16,FALSE)</f>
        <v>Yes</v>
      </c>
      <c r="M661" s="16" t="str">
        <f>VLOOKUP($A661,'SurveyRpt_20150223 (1)'!$A$34:$AN$735,18,FALSE)</f>
        <v>Yes</v>
      </c>
      <c r="N661" s="16" t="str">
        <f>VLOOKUP($A661,'SurveyRpt_20150223 (1)'!$A$34:$AN$735,20,FALSE)</f>
        <v>Yes</v>
      </c>
      <c r="O661" s="16" t="str">
        <f>VLOOKUP($A661,'SurveyRpt_20150223 (1)'!$A$34:$AN$735,22,FALSE)</f>
        <v>Yes</v>
      </c>
      <c r="P661" s="16" t="str">
        <f>VLOOKUP($A661,'SurveyRpt_20150223 (1)'!$A$34:$AN$735,24,FALSE)</f>
        <v>Yes</v>
      </c>
      <c r="Q661" s="16" t="str">
        <f>VLOOKUP($A661,'SurveyRpt_20150223 (1)'!$A$34:$AN$735,26,FALSE)</f>
        <v>Yes</v>
      </c>
      <c r="R661" s="16" t="str">
        <f>VLOOKUP($A661,'SurveyRpt_20150223 (1)'!$A$34:$AN$735,28,FALSE)</f>
        <v>Yes</v>
      </c>
      <c r="S661" s="16" t="str">
        <f>VLOOKUP($A661,'SurveyRpt_20150223 (1)'!$A$34:$AN$735,30,FALSE)</f>
        <v>Yes</v>
      </c>
      <c r="T661" s="16" t="str">
        <f>VLOOKUP($A661,'SurveyRpt_20150223 (1)'!$A$34:$AN$735,32,FALSE)</f>
        <v>Yes</v>
      </c>
      <c r="U661" s="16" t="str">
        <f>VLOOKUP($A661,'SurveyRpt_20150223 (1)'!$A$34:$AN$735,34,FALSE)</f>
        <v>Yes</v>
      </c>
      <c r="V661" s="16" t="str">
        <f>VLOOKUP($A661,'SurveyRpt_20150223 (1)'!$A$34:$AN$735,36,FALSE)</f>
        <v>Yes</v>
      </c>
      <c r="W661" s="16" t="str">
        <f>VLOOKUP($A661,'SurveyRpt_20150223 (1)'!$A$34:$AN$735,38,FALSE)</f>
        <v>No</v>
      </c>
    </row>
    <row r="662" spans="1:23" ht="13.5" customHeight="1" x14ac:dyDescent="0.25">
      <c r="A662" s="19" t="s">
        <v>755</v>
      </c>
      <c r="B662" s="19" t="str">
        <f t="shared" si="10"/>
        <v>lbryson</v>
      </c>
      <c r="C662" s="16" t="str">
        <f>VLOOKUP(B662,'Compiled Agents'!A:H,2,FALSE)</f>
        <v>Platform</v>
      </c>
      <c r="D662" s="16" t="str">
        <f>VLOOKUP(B662,'Compiled Agents'!A:H,4,FALSE)</f>
        <v>MBC US</v>
      </c>
      <c r="E662" s="16" t="str">
        <f>VLOOKUP(B662,'Compiled Agents'!A:H,5,FALSE)</f>
        <v>Wave2</v>
      </c>
      <c r="F662" s="16" t="str">
        <f>VLOOKUP(B662,'Compiled Agents'!A:H,6,FALSE)</f>
        <v>Orange</v>
      </c>
      <c r="G662" s="16">
        <f>VLOOKUP($A662,'SurveyRpt_20150223 (1)'!$A$34:$AN$735,6,FALSE)</f>
        <v>2</v>
      </c>
      <c r="H662" s="16" t="str">
        <f>VLOOKUP($A662,'SurveyRpt_20150223 (1)'!$A$34:$AN$735,8,FALSE)</f>
        <v>No</v>
      </c>
      <c r="I662" s="16" t="str">
        <f>VLOOKUP($A662,'SurveyRpt_20150223 (1)'!$A$34:$AN$735,10,FALSE)</f>
        <v>No</v>
      </c>
      <c r="J662" s="16" t="str">
        <f>VLOOKUP($A662,'SurveyRpt_20150223 (1)'!$A$34:$AN$735,12,FALSE)</f>
        <v>No</v>
      </c>
      <c r="K662" s="16" t="str">
        <f>VLOOKUP($A662,'SurveyRpt_20150223 (1)'!$A$34:$AN$735,14,FALSE)</f>
        <v>No</v>
      </c>
      <c r="L662" s="16" t="str">
        <f>VLOOKUP($A662,'SurveyRpt_20150223 (1)'!$A$34:$AN$735,16,FALSE)</f>
        <v>No</v>
      </c>
      <c r="M662" s="16" t="str">
        <f>VLOOKUP($A662,'SurveyRpt_20150223 (1)'!$A$34:$AN$735,18,FALSE)</f>
        <v>No</v>
      </c>
      <c r="N662" s="16" t="str">
        <f>VLOOKUP($A662,'SurveyRpt_20150223 (1)'!$A$34:$AN$735,20,FALSE)</f>
        <v>No</v>
      </c>
      <c r="O662" s="16" t="str">
        <f>VLOOKUP($A662,'SurveyRpt_20150223 (1)'!$A$34:$AN$735,22,FALSE)</f>
        <v>No</v>
      </c>
      <c r="P662" s="16" t="str">
        <f>VLOOKUP($A662,'SurveyRpt_20150223 (1)'!$A$34:$AN$735,24,FALSE)</f>
        <v>No</v>
      </c>
      <c r="Q662" s="16" t="str">
        <f>VLOOKUP($A662,'SurveyRpt_20150223 (1)'!$A$34:$AN$735,26,FALSE)</f>
        <v>No</v>
      </c>
      <c r="R662" s="16" t="str">
        <f>VLOOKUP($A662,'SurveyRpt_20150223 (1)'!$A$34:$AN$735,28,FALSE)</f>
        <v>No</v>
      </c>
      <c r="S662" s="16" t="str">
        <f>VLOOKUP($A662,'SurveyRpt_20150223 (1)'!$A$34:$AN$735,30,FALSE)</f>
        <v>Yes</v>
      </c>
      <c r="T662" s="16" t="str">
        <f>VLOOKUP($A662,'SurveyRpt_20150223 (1)'!$A$34:$AN$735,32,FALSE)</f>
        <v>No</v>
      </c>
      <c r="U662" s="16" t="str">
        <f>VLOOKUP($A662,'SurveyRpt_20150223 (1)'!$A$34:$AN$735,34,FALSE)</f>
        <v>Yes</v>
      </c>
      <c r="V662" s="16" t="str">
        <f>VLOOKUP($A662,'SurveyRpt_20150223 (1)'!$A$34:$AN$735,36,FALSE)</f>
        <v>No</v>
      </c>
      <c r="W662" s="16" t="str">
        <f>VLOOKUP($A662,'SurveyRpt_20150223 (1)'!$A$34:$AN$735,38,FALSE)</f>
        <v>No</v>
      </c>
    </row>
    <row r="663" spans="1:23" ht="13.5" customHeight="1" x14ac:dyDescent="0.25">
      <c r="A663" s="19" t="s">
        <v>756</v>
      </c>
      <c r="B663" s="19" t="str">
        <f t="shared" si="10"/>
        <v>dmckella</v>
      </c>
      <c r="C663" s="16" t="str">
        <f>VLOOKUP(B663,'Compiled Agents'!A:H,2,FALSE)</f>
        <v>Platform</v>
      </c>
      <c r="D663" s="16" t="str">
        <f>VLOOKUP(B663,'Compiled Agents'!A:H,4,FALSE)</f>
        <v>MBC US</v>
      </c>
      <c r="E663" s="16" t="str">
        <f>VLOOKUP(B663,'Compiled Agents'!A:H,5,FALSE)</f>
        <v>Wave2</v>
      </c>
      <c r="F663" s="16" t="str">
        <f>VLOOKUP(B663,'Compiled Agents'!A:H,6,FALSE)</f>
        <v>Blue</v>
      </c>
      <c r="G663" s="16">
        <f>VLOOKUP($A663,'SurveyRpt_20150223 (1)'!$A$34:$AN$735,6,FALSE)</f>
        <v>16</v>
      </c>
      <c r="H663" s="16" t="str">
        <f>VLOOKUP($A663,'SurveyRpt_20150223 (1)'!$A$34:$AN$735,8,FALSE)</f>
        <v>Yes</v>
      </c>
      <c r="I663" s="16" t="str">
        <f>VLOOKUP($A663,'SurveyRpt_20150223 (1)'!$A$34:$AN$735,10,FALSE)</f>
        <v>Yes</v>
      </c>
      <c r="J663" s="16" t="str">
        <f>VLOOKUP($A663,'SurveyRpt_20150223 (1)'!$A$34:$AN$735,12,FALSE)</f>
        <v>Yes</v>
      </c>
      <c r="K663" s="16" t="str">
        <f>VLOOKUP($A663,'SurveyRpt_20150223 (1)'!$A$34:$AN$735,14,FALSE)</f>
        <v>Yes</v>
      </c>
      <c r="L663" s="16" t="str">
        <f>VLOOKUP($A663,'SurveyRpt_20150223 (1)'!$A$34:$AN$735,16,FALSE)</f>
        <v>Yes</v>
      </c>
      <c r="M663" s="16" t="str">
        <f>VLOOKUP($A663,'SurveyRpt_20150223 (1)'!$A$34:$AN$735,18,FALSE)</f>
        <v>Yes</v>
      </c>
      <c r="N663" s="16" t="str">
        <f>VLOOKUP($A663,'SurveyRpt_20150223 (1)'!$A$34:$AN$735,20,FALSE)</f>
        <v>Yes</v>
      </c>
      <c r="O663" s="16" t="str">
        <f>VLOOKUP($A663,'SurveyRpt_20150223 (1)'!$A$34:$AN$735,22,FALSE)</f>
        <v>Yes</v>
      </c>
      <c r="P663" s="16" t="str">
        <f>VLOOKUP($A663,'SurveyRpt_20150223 (1)'!$A$34:$AN$735,24,FALSE)</f>
        <v>Yes</v>
      </c>
      <c r="Q663" s="16" t="str">
        <f>VLOOKUP($A663,'SurveyRpt_20150223 (1)'!$A$34:$AN$735,26,FALSE)</f>
        <v>Yes</v>
      </c>
      <c r="R663" s="16" t="str">
        <f>VLOOKUP($A663,'SurveyRpt_20150223 (1)'!$A$34:$AN$735,28,FALSE)</f>
        <v>Yes</v>
      </c>
      <c r="S663" s="16" t="str">
        <f>VLOOKUP($A663,'SurveyRpt_20150223 (1)'!$A$34:$AN$735,30,FALSE)</f>
        <v>Yes</v>
      </c>
      <c r="T663" s="16" t="str">
        <f>VLOOKUP($A663,'SurveyRpt_20150223 (1)'!$A$34:$AN$735,32,FALSE)</f>
        <v>Yes</v>
      </c>
      <c r="U663" s="16" t="str">
        <f>VLOOKUP($A663,'SurveyRpt_20150223 (1)'!$A$34:$AN$735,34,FALSE)</f>
        <v>Yes</v>
      </c>
      <c r="V663" s="16" t="str">
        <f>VLOOKUP($A663,'SurveyRpt_20150223 (1)'!$A$34:$AN$735,36,FALSE)</f>
        <v>Yes</v>
      </c>
      <c r="W663" s="16" t="str">
        <f>VLOOKUP($A663,'SurveyRpt_20150223 (1)'!$A$34:$AN$735,38,FALSE)</f>
        <v>Yes</v>
      </c>
    </row>
    <row r="664" spans="1:23" ht="13.5" customHeight="1" x14ac:dyDescent="0.25">
      <c r="A664" s="19" t="s">
        <v>757</v>
      </c>
      <c r="B664" s="19" t="str">
        <f t="shared" si="10"/>
        <v>JBERTELS</v>
      </c>
      <c r="C664" s="16" t="str">
        <f>VLOOKUP(B664,'Compiled Agents'!A:H,2,FALSE)</f>
        <v>Workplace</v>
      </c>
      <c r="D664" s="16" t="str">
        <f>VLOOKUP(B664,'Compiled Agents'!A:H,4,FALSE)</f>
        <v>MBC US</v>
      </c>
      <c r="E664" s="16" t="str">
        <f>VLOOKUP(B664,'Compiled Agents'!A:H,5,FALSE)</f>
        <v>Wave2</v>
      </c>
      <c r="F664" s="16" t="str">
        <f>VLOOKUP(B664,'Compiled Agents'!A:H,6,FALSE)</f>
        <v>Purple</v>
      </c>
      <c r="G664" s="16">
        <f>VLOOKUP($A664,'SurveyRpt_20150223 (1)'!$A$34:$AN$735,6,FALSE)</f>
        <v>11</v>
      </c>
      <c r="H664" s="16" t="str">
        <f>VLOOKUP($A664,'SurveyRpt_20150223 (1)'!$A$34:$AN$735,8,FALSE)</f>
        <v>Yes</v>
      </c>
      <c r="I664" s="16" t="str">
        <f>VLOOKUP($A664,'SurveyRpt_20150223 (1)'!$A$34:$AN$735,10,FALSE)</f>
        <v>Yes</v>
      </c>
      <c r="J664" s="16" t="str">
        <f>VLOOKUP($A664,'SurveyRpt_20150223 (1)'!$A$34:$AN$735,12,FALSE)</f>
        <v>No</v>
      </c>
      <c r="K664" s="16" t="str">
        <f>VLOOKUP($A664,'SurveyRpt_20150223 (1)'!$A$34:$AN$735,14,FALSE)</f>
        <v>No</v>
      </c>
      <c r="L664" s="16" t="str">
        <f>VLOOKUP($A664,'SurveyRpt_20150223 (1)'!$A$34:$AN$735,16,FALSE)</f>
        <v>Yes</v>
      </c>
      <c r="M664" s="16" t="str">
        <f>VLOOKUP($A664,'SurveyRpt_20150223 (1)'!$A$34:$AN$735,18,FALSE)</f>
        <v>Yes</v>
      </c>
      <c r="N664" s="16" t="str">
        <f>VLOOKUP($A664,'SurveyRpt_20150223 (1)'!$A$34:$AN$735,20,FALSE)</f>
        <v>No</v>
      </c>
      <c r="O664" s="16" t="str">
        <f>VLOOKUP($A664,'SurveyRpt_20150223 (1)'!$A$34:$AN$735,22,FALSE)</f>
        <v>Yes</v>
      </c>
      <c r="P664" s="16" t="str">
        <f>VLOOKUP($A664,'SurveyRpt_20150223 (1)'!$A$34:$AN$735,24,FALSE)</f>
        <v>No</v>
      </c>
      <c r="Q664" s="16" t="str">
        <f>VLOOKUP($A664,'SurveyRpt_20150223 (1)'!$A$34:$AN$735,26,FALSE)</f>
        <v>Yes</v>
      </c>
      <c r="R664" s="16" t="str">
        <f>VLOOKUP($A664,'SurveyRpt_20150223 (1)'!$A$34:$AN$735,28,FALSE)</f>
        <v>Yes</v>
      </c>
      <c r="S664" s="16" t="str">
        <f>VLOOKUP($A664,'SurveyRpt_20150223 (1)'!$A$34:$AN$735,30,FALSE)</f>
        <v>Yes</v>
      </c>
      <c r="T664" s="16" t="str">
        <f>VLOOKUP($A664,'SurveyRpt_20150223 (1)'!$A$34:$AN$735,32,FALSE)</f>
        <v>No</v>
      </c>
      <c r="U664" s="16" t="str">
        <f>VLOOKUP($A664,'SurveyRpt_20150223 (1)'!$A$34:$AN$735,34,FALSE)</f>
        <v>Yes</v>
      </c>
      <c r="V664" s="16" t="str">
        <f>VLOOKUP($A664,'SurveyRpt_20150223 (1)'!$A$34:$AN$735,36,FALSE)</f>
        <v>Yes</v>
      </c>
      <c r="W664" s="16" t="str">
        <f>VLOOKUP($A664,'SurveyRpt_20150223 (1)'!$A$34:$AN$735,38,FALSE)</f>
        <v>Yes</v>
      </c>
    </row>
    <row r="665" spans="1:23" ht="13.5" customHeight="1" x14ac:dyDescent="0.25">
      <c r="A665" s="19" t="s">
        <v>758</v>
      </c>
      <c r="B665" s="19" t="str">
        <f t="shared" si="10"/>
        <v>SBILLA3</v>
      </c>
      <c r="C665" s="16" t="str">
        <f>VLOOKUP(B665,'Compiled Agents'!A:H,2,FALSE)</f>
        <v>Workplace</v>
      </c>
      <c r="D665" s="16" t="str">
        <f>VLOOKUP(B665,'Compiled Agents'!A:H,4,FALSE)</f>
        <v>Hyderabad</v>
      </c>
      <c r="E665" s="16" t="str">
        <f>VLOOKUP(B665,'Compiled Agents'!A:H,5,FALSE)</f>
        <v>Wave2</v>
      </c>
      <c r="F665" s="16" t="str">
        <f>VLOOKUP(B665,'Compiled Agents'!A:H,6,FALSE)</f>
        <v>Blue</v>
      </c>
      <c r="G665" s="16">
        <f>VLOOKUP($A665,'SurveyRpt_20150223 (1)'!$A$34:$AN$735,6,FALSE)</f>
        <v>16</v>
      </c>
      <c r="H665" s="16" t="str">
        <f>VLOOKUP($A665,'SurveyRpt_20150223 (1)'!$A$34:$AN$735,8,FALSE)</f>
        <v>Yes</v>
      </c>
      <c r="I665" s="16" t="str">
        <f>VLOOKUP($A665,'SurveyRpt_20150223 (1)'!$A$34:$AN$735,10,FALSE)</f>
        <v>Yes</v>
      </c>
      <c r="J665" s="16" t="str">
        <f>VLOOKUP($A665,'SurveyRpt_20150223 (1)'!$A$34:$AN$735,12,FALSE)</f>
        <v>Yes</v>
      </c>
      <c r="K665" s="16" t="str">
        <f>VLOOKUP($A665,'SurveyRpt_20150223 (1)'!$A$34:$AN$735,14,FALSE)</f>
        <v>Yes</v>
      </c>
      <c r="L665" s="16" t="str">
        <f>VLOOKUP($A665,'SurveyRpt_20150223 (1)'!$A$34:$AN$735,16,FALSE)</f>
        <v>Yes</v>
      </c>
      <c r="M665" s="16" t="str">
        <f>VLOOKUP($A665,'SurveyRpt_20150223 (1)'!$A$34:$AN$735,18,FALSE)</f>
        <v>Yes</v>
      </c>
      <c r="N665" s="16" t="str">
        <f>VLOOKUP($A665,'SurveyRpt_20150223 (1)'!$A$34:$AN$735,20,FALSE)</f>
        <v>Yes</v>
      </c>
      <c r="O665" s="16" t="str">
        <f>VLOOKUP($A665,'SurveyRpt_20150223 (1)'!$A$34:$AN$735,22,FALSE)</f>
        <v>Yes</v>
      </c>
      <c r="P665" s="16" t="str">
        <f>VLOOKUP($A665,'SurveyRpt_20150223 (1)'!$A$34:$AN$735,24,FALSE)</f>
        <v>Yes</v>
      </c>
      <c r="Q665" s="16" t="str">
        <f>VLOOKUP($A665,'SurveyRpt_20150223 (1)'!$A$34:$AN$735,26,FALSE)</f>
        <v>Yes</v>
      </c>
      <c r="R665" s="16" t="str">
        <f>VLOOKUP($A665,'SurveyRpt_20150223 (1)'!$A$34:$AN$735,28,FALSE)</f>
        <v>Yes</v>
      </c>
      <c r="S665" s="16" t="str">
        <f>VLOOKUP($A665,'SurveyRpt_20150223 (1)'!$A$34:$AN$735,30,FALSE)</f>
        <v>Yes</v>
      </c>
      <c r="T665" s="16" t="str">
        <f>VLOOKUP($A665,'SurveyRpt_20150223 (1)'!$A$34:$AN$735,32,FALSE)</f>
        <v>Yes</v>
      </c>
      <c r="U665" s="16" t="str">
        <f>VLOOKUP($A665,'SurveyRpt_20150223 (1)'!$A$34:$AN$735,34,FALSE)</f>
        <v>Yes</v>
      </c>
      <c r="V665" s="16" t="str">
        <f>VLOOKUP($A665,'SurveyRpt_20150223 (1)'!$A$34:$AN$735,36,FALSE)</f>
        <v>Yes</v>
      </c>
      <c r="W665" s="16" t="str">
        <f>VLOOKUP($A665,'SurveyRpt_20150223 (1)'!$A$34:$AN$735,38,FALSE)</f>
        <v>Yes</v>
      </c>
    </row>
    <row r="666" spans="1:23" ht="13.5" customHeight="1" x14ac:dyDescent="0.25">
      <c r="A666" s="19" t="s">
        <v>759</v>
      </c>
      <c r="B666" s="19" t="str">
        <f t="shared" si="10"/>
        <v>fbarberio</v>
      </c>
      <c r="C666" s="16" t="str">
        <f>VLOOKUP(B666,'Compiled Agents'!A:H,2,FALSE)</f>
        <v>Workplace</v>
      </c>
      <c r="D666" s="16" t="str">
        <f>VLOOKUP(B666,'Compiled Agents'!A:H,4,FALSE)</f>
        <v>Spain</v>
      </c>
      <c r="E666" s="16" t="str">
        <f>VLOOKUP(B666,'Compiled Agents'!A:H,5,FALSE)</f>
        <v>Wave1</v>
      </c>
      <c r="F666" s="16" t="str">
        <f>VLOOKUP(B666,'Compiled Agents'!A:H,6,FALSE)</f>
        <v>Yellow</v>
      </c>
      <c r="G666" s="16">
        <f>VLOOKUP($A666,'SurveyRpt_20150223 (1)'!$A$34:$AN$735,6,FALSE)</f>
        <v>15</v>
      </c>
      <c r="H666" s="16" t="str">
        <f>VLOOKUP($A666,'SurveyRpt_20150223 (1)'!$A$34:$AN$735,8,FALSE)</f>
        <v>Yes</v>
      </c>
      <c r="I666" s="16" t="str">
        <f>VLOOKUP($A666,'SurveyRpt_20150223 (1)'!$A$34:$AN$735,10,FALSE)</f>
        <v>Yes</v>
      </c>
      <c r="J666" s="16" t="str">
        <f>VLOOKUP($A666,'SurveyRpt_20150223 (1)'!$A$34:$AN$735,12,FALSE)</f>
        <v>Yes</v>
      </c>
      <c r="K666" s="16" t="str">
        <f>VLOOKUP($A666,'SurveyRpt_20150223 (1)'!$A$34:$AN$735,14,FALSE)</f>
        <v>Yes</v>
      </c>
      <c r="L666" s="16" t="str">
        <f>VLOOKUP($A666,'SurveyRpt_20150223 (1)'!$A$34:$AN$735,16,FALSE)</f>
        <v>Yes</v>
      </c>
      <c r="M666" s="16" t="str">
        <f>VLOOKUP($A666,'SurveyRpt_20150223 (1)'!$A$34:$AN$735,18,FALSE)</f>
        <v>Yes</v>
      </c>
      <c r="N666" s="16" t="str">
        <f>VLOOKUP($A666,'SurveyRpt_20150223 (1)'!$A$34:$AN$735,20,FALSE)</f>
        <v>No</v>
      </c>
      <c r="O666" s="16" t="str">
        <f>VLOOKUP($A666,'SurveyRpt_20150223 (1)'!$A$34:$AN$735,22,FALSE)</f>
        <v>Yes</v>
      </c>
      <c r="P666" s="16" t="str">
        <f>VLOOKUP($A666,'SurveyRpt_20150223 (1)'!$A$34:$AN$735,24,FALSE)</f>
        <v>Yes</v>
      </c>
      <c r="Q666" s="16" t="str">
        <f>VLOOKUP($A666,'SurveyRpt_20150223 (1)'!$A$34:$AN$735,26,FALSE)</f>
        <v>Yes</v>
      </c>
      <c r="R666" s="16" t="str">
        <f>VLOOKUP($A666,'SurveyRpt_20150223 (1)'!$A$34:$AN$735,28,FALSE)</f>
        <v>Yes</v>
      </c>
      <c r="S666" s="16" t="str">
        <f>VLOOKUP($A666,'SurveyRpt_20150223 (1)'!$A$34:$AN$735,30,FALSE)</f>
        <v>Yes</v>
      </c>
      <c r="T666" s="16" t="str">
        <f>VLOOKUP($A666,'SurveyRpt_20150223 (1)'!$A$34:$AN$735,32,FALSE)</f>
        <v>Yes</v>
      </c>
      <c r="U666" s="16" t="str">
        <f>VLOOKUP($A666,'SurveyRpt_20150223 (1)'!$A$34:$AN$735,34,FALSE)</f>
        <v>Yes</v>
      </c>
      <c r="V666" s="16" t="str">
        <f>VLOOKUP($A666,'SurveyRpt_20150223 (1)'!$A$34:$AN$735,36,FALSE)</f>
        <v>Yes</v>
      </c>
      <c r="W666" s="16" t="str">
        <f>VLOOKUP($A666,'SurveyRpt_20150223 (1)'!$A$34:$AN$735,38,FALSE)</f>
        <v>Yes</v>
      </c>
    </row>
    <row r="667" spans="1:23" ht="13.5" customHeight="1" x14ac:dyDescent="0.25">
      <c r="A667" s="19" t="s">
        <v>760</v>
      </c>
      <c r="B667" s="19" t="str">
        <f t="shared" si="10"/>
        <v>bcox5</v>
      </c>
      <c r="C667" s="16" t="str">
        <f>VLOOKUP(B667,'Compiled Agents'!A:H,2,FALSE)</f>
        <v>Workplace</v>
      </c>
      <c r="D667" s="16" t="str">
        <f>VLOOKUP(B667,'Compiled Agents'!A:H,4,FALSE)</f>
        <v>MBC US</v>
      </c>
      <c r="E667" s="16" t="str">
        <f>VLOOKUP(B667,'Compiled Agents'!A:H,5,FALSE)</f>
        <v>Wave2</v>
      </c>
      <c r="F667" s="16" t="str">
        <f>VLOOKUP(B667,'Compiled Agents'!A:H,6,FALSE)</f>
        <v>Blue</v>
      </c>
      <c r="G667" s="16">
        <f>VLOOKUP($A667,'SurveyRpt_20150223 (1)'!$A$34:$AN$735,6,FALSE)</f>
        <v>11</v>
      </c>
      <c r="H667" s="16" t="str">
        <f>VLOOKUP($A667,'SurveyRpt_20150223 (1)'!$A$34:$AN$735,8,FALSE)</f>
        <v>Yes</v>
      </c>
      <c r="I667" s="16" t="str">
        <f>VLOOKUP($A667,'SurveyRpt_20150223 (1)'!$A$34:$AN$735,10,FALSE)</f>
        <v>Yes</v>
      </c>
      <c r="J667" s="16" t="str">
        <f>VLOOKUP($A667,'SurveyRpt_20150223 (1)'!$A$34:$AN$735,12,FALSE)</f>
        <v>No</v>
      </c>
      <c r="K667" s="16" t="str">
        <f>VLOOKUP($A667,'SurveyRpt_20150223 (1)'!$A$34:$AN$735,14,FALSE)</f>
        <v>Yes</v>
      </c>
      <c r="L667" s="16" t="str">
        <f>VLOOKUP($A667,'SurveyRpt_20150223 (1)'!$A$34:$AN$735,16,FALSE)</f>
        <v>Yes</v>
      </c>
      <c r="M667" s="16" t="str">
        <f>VLOOKUP($A667,'SurveyRpt_20150223 (1)'!$A$34:$AN$735,18,FALSE)</f>
        <v>Yes</v>
      </c>
      <c r="N667" s="16" t="str">
        <f>VLOOKUP($A667,'SurveyRpt_20150223 (1)'!$A$34:$AN$735,20,FALSE)</f>
        <v>No</v>
      </c>
      <c r="O667" s="16" t="str">
        <f>VLOOKUP($A667,'SurveyRpt_20150223 (1)'!$A$34:$AN$735,22,FALSE)</f>
        <v>Yes</v>
      </c>
      <c r="P667" s="16" t="str">
        <f>VLOOKUP($A667,'SurveyRpt_20150223 (1)'!$A$34:$AN$735,24,FALSE)</f>
        <v>No</v>
      </c>
      <c r="Q667" s="16" t="str">
        <f>VLOOKUP($A667,'SurveyRpt_20150223 (1)'!$A$34:$AN$735,26,FALSE)</f>
        <v>Yes</v>
      </c>
      <c r="R667" s="16" t="str">
        <f>VLOOKUP($A667,'SurveyRpt_20150223 (1)'!$A$34:$AN$735,28,FALSE)</f>
        <v>Yes</v>
      </c>
      <c r="S667" s="16" t="str">
        <f>VLOOKUP($A667,'SurveyRpt_20150223 (1)'!$A$34:$AN$735,30,FALSE)</f>
        <v>Yes</v>
      </c>
      <c r="T667" s="16" t="str">
        <f>VLOOKUP($A667,'SurveyRpt_20150223 (1)'!$A$34:$AN$735,32,FALSE)</f>
        <v>Yes</v>
      </c>
      <c r="U667" s="16" t="str">
        <f>VLOOKUP($A667,'SurveyRpt_20150223 (1)'!$A$34:$AN$735,34,FALSE)</f>
        <v>No</v>
      </c>
      <c r="V667" s="16" t="str">
        <f>VLOOKUP($A667,'SurveyRpt_20150223 (1)'!$A$34:$AN$735,36,FALSE)</f>
        <v>Yes</v>
      </c>
      <c r="W667" s="16" t="str">
        <f>VLOOKUP($A667,'SurveyRpt_20150223 (1)'!$A$34:$AN$735,38,FALSE)</f>
        <v>No</v>
      </c>
    </row>
    <row r="668" spans="1:23" ht="13.5" customHeight="1" x14ac:dyDescent="0.25">
      <c r="A668" s="19" t="s">
        <v>761</v>
      </c>
      <c r="B668" s="19" t="str">
        <f t="shared" si="10"/>
        <v>stilton</v>
      </c>
      <c r="C668" s="16" t="str">
        <f>VLOOKUP(B668,'Compiled Agents'!A:H,2,FALSE)</f>
        <v>Platform</v>
      </c>
      <c r="D668" s="16" t="str">
        <f>VLOOKUP(B668,'Compiled Agents'!A:H,4,FALSE)</f>
        <v>MBC US</v>
      </c>
      <c r="E668" s="16" t="str">
        <f>VLOOKUP(B668,'Compiled Agents'!A:H,5,FALSE)</f>
        <v>Wave2</v>
      </c>
      <c r="F668" s="16" t="str">
        <f>VLOOKUP(B668,'Compiled Agents'!A:H,6,FALSE)</f>
        <v>Blue</v>
      </c>
      <c r="G668" s="16">
        <f>VLOOKUP($A668,'SurveyRpt_20150223 (1)'!$A$34:$AN$735,6,FALSE)</f>
        <v>9</v>
      </c>
      <c r="H668" s="16" t="str">
        <f>VLOOKUP($A668,'SurveyRpt_20150223 (1)'!$A$34:$AN$735,8,FALSE)</f>
        <v>No</v>
      </c>
      <c r="I668" s="16" t="str">
        <f>VLOOKUP($A668,'SurveyRpt_20150223 (1)'!$A$34:$AN$735,10,FALSE)</f>
        <v>No</v>
      </c>
      <c r="J668" s="16" t="str">
        <f>VLOOKUP($A668,'SurveyRpt_20150223 (1)'!$A$34:$AN$735,12,FALSE)</f>
        <v>No</v>
      </c>
      <c r="K668" s="16" t="str">
        <f>VLOOKUP($A668,'SurveyRpt_20150223 (1)'!$A$34:$AN$735,14,FALSE)</f>
        <v>Yes</v>
      </c>
      <c r="L668" s="16" t="str">
        <f>VLOOKUP($A668,'SurveyRpt_20150223 (1)'!$A$34:$AN$735,16,FALSE)</f>
        <v>Yes</v>
      </c>
      <c r="M668" s="16" t="str">
        <f>VLOOKUP($A668,'SurveyRpt_20150223 (1)'!$A$34:$AN$735,18,FALSE)</f>
        <v>Yes</v>
      </c>
      <c r="N668" s="16" t="str">
        <f>VLOOKUP($A668,'SurveyRpt_20150223 (1)'!$A$34:$AN$735,20,FALSE)</f>
        <v>No</v>
      </c>
      <c r="O668" s="16" t="str">
        <f>VLOOKUP($A668,'SurveyRpt_20150223 (1)'!$A$34:$AN$735,22,FALSE)</f>
        <v>Yes</v>
      </c>
      <c r="P668" s="16" t="str">
        <f>VLOOKUP($A668,'SurveyRpt_20150223 (1)'!$A$34:$AN$735,24,FALSE)</f>
        <v>Yes</v>
      </c>
      <c r="Q668" s="16" t="str">
        <f>VLOOKUP($A668,'SurveyRpt_20150223 (1)'!$A$34:$AN$735,26,FALSE)</f>
        <v>Yes</v>
      </c>
      <c r="R668" s="16" t="str">
        <f>VLOOKUP($A668,'SurveyRpt_20150223 (1)'!$A$34:$AN$735,28,FALSE)</f>
        <v>Yes</v>
      </c>
      <c r="S668" s="16" t="str">
        <f>VLOOKUP($A668,'SurveyRpt_20150223 (1)'!$A$34:$AN$735,30,FALSE)</f>
        <v>Yes</v>
      </c>
      <c r="T668" s="16" t="str">
        <f>VLOOKUP($A668,'SurveyRpt_20150223 (1)'!$A$34:$AN$735,32,FALSE)</f>
        <v>No</v>
      </c>
      <c r="U668" s="16" t="str">
        <f>VLOOKUP($A668,'SurveyRpt_20150223 (1)'!$A$34:$AN$735,34,FALSE)</f>
        <v>No</v>
      </c>
      <c r="V668" s="16" t="str">
        <f>VLOOKUP($A668,'SurveyRpt_20150223 (1)'!$A$34:$AN$735,36,FALSE)</f>
        <v>Yes</v>
      </c>
      <c r="W668" s="16" t="str">
        <f>VLOOKUP($A668,'SurveyRpt_20150223 (1)'!$A$34:$AN$735,38,FALSE)</f>
        <v>No</v>
      </c>
    </row>
    <row r="669" spans="1:23" ht="13.5" customHeight="1" x14ac:dyDescent="0.25">
      <c r="A669" s="19" t="s">
        <v>762</v>
      </c>
      <c r="B669" s="19" t="str">
        <f t="shared" si="10"/>
        <v>PSRAVYA</v>
      </c>
      <c r="C669" s="16" t="str">
        <f>VLOOKUP(B669,'Compiled Agents'!A:H,2,FALSE)</f>
        <v>Platform</v>
      </c>
      <c r="D669" s="16" t="str">
        <f>VLOOKUP(B669,'Compiled Agents'!A:H,4,FALSE)</f>
        <v>Hyderabad</v>
      </c>
      <c r="E669" s="16" t="str">
        <f>VLOOKUP(B669,'Compiled Agents'!A:H,5,FALSE)</f>
        <v>Wave1</v>
      </c>
      <c r="F669" s="16" t="str">
        <f>VLOOKUP(B669,'Compiled Agents'!A:H,6,FALSE)</f>
        <v>Orange</v>
      </c>
      <c r="G669" s="16">
        <f>VLOOKUP($A669,'SurveyRpt_20150223 (1)'!$A$34:$AN$735,6,FALSE)</f>
        <v>16</v>
      </c>
      <c r="H669" s="16" t="str">
        <f>VLOOKUP($A669,'SurveyRpt_20150223 (1)'!$A$34:$AN$735,8,FALSE)</f>
        <v>Yes</v>
      </c>
      <c r="I669" s="16" t="str">
        <f>VLOOKUP($A669,'SurveyRpt_20150223 (1)'!$A$34:$AN$735,10,FALSE)</f>
        <v>Yes</v>
      </c>
      <c r="J669" s="16" t="str">
        <f>VLOOKUP($A669,'SurveyRpt_20150223 (1)'!$A$34:$AN$735,12,FALSE)</f>
        <v>Yes</v>
      </c>
      <c r="K669" s="16" t="str">
        <f>VLOOKUP($A669,'SurveyRpt_20150223 (1)'!$A$34:$AN$735,14,FALSE)</f>
        <v>Yes</v>
      </c>
      <c r="L669" s="16" t="str">
        <f>VLOOKUP($A669,'SurveyRpt_20150223 (1)'!$A$34:$AN$735,16,FALSE)</f>
        <v>Yes</v>
      </c>
      <c r="M669" s="16" t="str">
        <f>VLOOKUP($A669,'SurveyRpt_20150223 (1)'!$A$34:$AN$735,18,FALSE)</f>
        <v>Yes</v>
      </c>
      <c r="N669" s="16" t="str">
        <f>VLOOKUP($A669,'SurveyRpt_20150223 (1)'!$A$34:$AN$735,20,FALSE)</f>
        <v>Yes</v>
      </c>
      <c r="O669" s="16" t="str">
        <f>VLOOKUP($A669,'SurveyRpt_20150223 (1)'!$A$34:$AN$735,22,FALSE)</f>
        <v>Yes</v>
      </c>
      <c r="P669" s="16" t="str">
        <f>VLOOKUP($A669,'SurveyRpt_20150223 (1)'!$A$34:$AN$735,24,FALSE)</f>
        <v>Yes</v>
      </c>
      <c r="Q669" s="16" t="str">
        <f>VLOOKUP($A669,'SurveyRpt_20150223 (1)'!$A$34:$AN$735,26,FALSE)</f>
        <v>Yes</v>
      </c>
      <c r="R669" s="16" t="str">
        <f>VLOOKUP($A669,'SurveyRpt_20150223 (1)'!$A$34:$AN$735,28,FALSE)</f>
        <v>Yes</v>
      </c>
      <c r="S669" s="16" t="str">
        <f>VLOOKUP($A669,'SurveyRpt_20150223 (1)'!$A$34:$AN$735,30,FALSE)</f>
        <v>Yes</v>
      </c>
      <c r="T669" s="16" t="str">
        <f>VLOOKUP($A669,'SurveyRpt_20150223 (1)'!$A$34:$AN$735,32,FALSE)</f>
        <v>Yes</v>
      </c>
      <c r="U669" s="16" t="str">
        <f>VLOOKUP($A669,'SurveyRpt_20150223 (1)'!$A$34:$AN$735,34,FALSE)</f>
        <v>Yes</v>
      </c>
      <c r="V669" s="16" t="str">
        <f>VLOOKUP($A669,'SurveyRpt_20150223 (1)'!$A$34:$AN$735,36,FALSE)</f>
        <v>Yes</v>
      </c>
      <c r="W669" s="16" t="str">
        <f>VLOOKUP($A669,'SurveyRpt_20150223 (1)'!$A$34:$AN$735,38,FALSE)</f>
        <v>Yes</v>
      </c>
    </row>
    <row r="670" spans="1:23" ht="13.5" customHeight="1" x14ac:dyDescent="0.25">
      <c r="A670" s="19" t="s">
        <v>763</v>
      </c>
      <c r="B670" s="19" t="str">
        <f t="shared" si="10"/>
        <v>pondercin</v>
      </c>
      <c r="C670" s="16" t="str">
        <f>VLOOKUP(B670,'Compiled Agents'!A:H,2,FALSE)</f>
        <v>Platform</v>
      </c>
      <c r="D670" s="16" t="str">
        <f>VLOOKUP(B670,'Compiled Agents'!A:H,4,FALSE)</f>
        <v>MBC US</v>
      </c>
      <c r="E670" s="16" t="str">
        <f>VLOOKUP(B670,'Compiled Agents'!A:H,5,FALSE)</f>
        <v>Wave2</v>
      </c>
      <c r="F670" s="16" t="str">
        <f>VLOOKUP(B670,'Compiled Agents'!A:H,6,FALSE)</f>
        <v>Orange</v>
      </c>
      <c r="G670" s="16">
        <f>VLOOKUP($A670,'SurveyRpt_20150223 (1)'!$A$34:$AN$735,6,FALSE)</f>
        <v>5</v>
      </c>
      <c r="H670" s="16" t="str">
        <f>VLOOKUP($A670,'SurveyRpt_20150223 (1)'!$A$34:$AN$735,8,FALSE)</f>
        <v>No</v>
      </c>
      <c r="I670" s="16" t="str">
        <f>VLOOKUP($A670,'SurveyRpt_20150223 (1)'!$A$34:$AN$735,10,FALSE)</f>
        <v>No</v>
      </c>
      <c r="J670" s="16" t="str">
        <f>VLOOKUP($A670,'SurveyRpt_20150223 (1)'!$A$34:$AN$735,12,FALSE)</f>
        <v>Yes</v>
      </c>
      <c r="K670" s="16" t="str">
        <f>VLOOKUP($A670,'SurveyRpt_20150223 (1)'!$A$34:$AN$735,14,FALSE)</f>
        <v>No</v>
      </c>
      <c r="L670" s="16" t="str">
        <f>VLOOKUP($A670,'SurveyRpt_20150223 (1)'!$A$34:$AN$735,16,FALSE)</f>
        <v>Yes</v>
      </c>
      <c r="M670" s="16" t="str">
        <f>VLOOKUP($A670,'SurveyRpt_20150223 (1)'!$A$34:$AN$735,18,FALSE)</f>
        <v>No</v>
      </c>
      <c r="N670" s="16" t="str">
        <f>VLOOKUP($A670,'SurveyRpt_20150223 (1)'!$A$34:$AN$735,20,FALSE)</f>
        <v>No</v>
      </c>
      <c r="O670" s="16" t="str">
        <f>VLOOKUP($A670,'SurveyRpt_20150223 (1)'!$A$34:$AN$735,22,FALSE)</f>
        <v>No</v>
      </c>
      <c r="P670" s="16" t="str">
        <f>VLOOKUP($A670,'SurveyRpt_20150223 (1)'!$A$34:$AN$735,24,FALSE)</f>
        <v>No</v>
      </c>
      <c r="Q670" s="16" t="str">
        <f>VLOOKUP($A670,'SurveyRpt_20150223 (1)'!$A$34:$AN$735,26,FALSE)</f>
        <v>No</v>
      </c>
      <c r="R670" s="16" t="str">
        <f>VLOOKUP($A670,'SurveyRpt_20150223 (1)'!$A$34:$AN$735,28,FALSE)</f>
        <v>No</v>
      </c>
      <c r="S670" s="16" t="str">
        <f>VLOOKUP($A670,'SurveyRpt_20150223 (1)'!$A$34:$AN$735,30,FALSE)</f>
        <v>Yes</v>
      </c>
      <c r="T670" s="16" t="str">
        <f>VLOOKUP($A670,'SurveyRpt_20150223 (1)'!$A$34:$AN$735,32,FALSE)</f>
        <v>No</v>
      </c>
      <c r="U670" s="16" t="str">
        <f>VLOOKUP($A670,'SurveyRpt_20150223 (1)'!$A$34:$AN$735,34,FALSE)</f>
        <v>Yes</v>
      </c>
      <c r="V670" s="16" t="str">
        <f>VLOOKUP($A670,'SurveyRpt_20150223 (1)'!$A$34:$AN$735,36,FALSE)</f>
        <v>Yes</v>
      </c>
      <c r="W670" s="16" t="str">
        <f>VLOOKUP($A670,'SurveyRpt_20150223 (1)'!$A$34:$AN$735,38,FALSE)</f>
        <v>No</v>
      </c>
    </row>
    <row r="671" spans="1:23" ht="13.5" customHeight="1" x14ac:dyDescent="0.25">
      <c r="A671" s="19" t="s">
        <v>764</v>
      </c>
      <c r="B671" s="19" t="str">
        <f t="shared" si="10"/>
        <v>SMAKSOSY</v>
      </c>
      <c r="C671" s="16" t="str">
        <f>VLOOKUP(B671,'Compiled Agents'!A:H,2,FALSE)</f>
        <v>Workplace</v>
      </c>
      <c r="D671" s="16" t="str">
        <f>VLOOKUP(B671,'Compiled Agents'!A:H,4,FALSE)</f>
        <v>MBC US</v>
      </c>
      <c r="E671" s="16" t="str">
        <f>VLOOKUP(B671,'Compiled Agents'!A:H,5,FALSE)</f>
        <v>Wave2</v>
      </c>
      <c r="F671" s="16" t="str">
        <f>VLOOKUP(B671,'Compiled Agents'!A:H,6,FALSE)</f>
        <v>Yellow</v>
      </c>
      <c r="G671" s="16">
        <f>VLOOKUP($A671,'SurveyRpt_20150223 (1)'!$A$34:$AN$735,6,FALSE)</f>
        <v>13</v>
      </c>
      <c r="H671" s="16" t="str">
        <f>VLOOKUP($A671,'SurveyRpt_20150223 (1)'!$A$34:$AN$735,8,FALSE)</f>
        <v>Yes</v>
      </c>
      <c r="I671" s="16" t="str">
        <f>VLOOKUP($A671,'SurveyRpt_20150223 (1)'!$A$34:$AN$735,10,FALSE)</f>
        <v>Yes</v>
      </c>
      <c r="J671" s="16" t="str">
        <f>VLOOKUP($A671,'SurveyRpt_20150223 (1)'!$A$34:$AN$735,12,FALSE)</f>
        <v>Yes</v>
      </c>
      <c r="K671" s="16" t="str">
        <f>VLOOKUP($A671,'SurveyRpt_20150223 (1)'!$A$34:$AN$735,14,FALSE)</f>
        <v>Yes</v>
      </c>
      <c r="L671" s="16" t="str">
        <f>VLOOKUP($A671,'SurveyRpt_20150223 (1)'!$A$34:$AN$735,16,FALSE)</f>
        <v>Yes</v>
      </c>
      <c r="M671" s="16" t="str">
        <f>VLOOKUP($A671,'SurveyRpt_20150223 (1)'!$A$34:$AN$735,18,FALSE)</f>
        <v>Yes</v>
      </c>
      <c r="N671" s="16" t="str">
        <f>VLOOKUP($A671,'SurveyRpt_20150223 (1)'!$A$34:$AN$735,20,FALSE)</f>
        <v>Yes</v>
      </c>
      <c r="O671" s="16" t="str">
        <f>VLOOKUP($A671,'SurveyRpt_20150223 (1)'!$A$34:$AN$735,22,FALSE)</f>
        <v>Yes</v>
      </c>
      <c r="P671" s="16" t="str">
        <f>VLOOKUP($A671,'SurveyRpt_20150223 (1)'!$A$34:$AN$735,24,FALSE)</f>
        <v>Yes</v>
      </c>
      <c r="Q671" s="16" t="str">
        <f>VLOOKUP($A671,'SurveyRpt_20150223 (1)'!$A$34:$AN$735,26,FALSE)</f>
        <v>Yes</v>
      </c>
      <c r="R671" s="16" t="str">
        <f>VLOOKUP($A671,'SurveyRpt_20150223 (1)'!$A$34:$AN$735,28,FALSE)</f>
        <v>Yes</v>
      </c>
      <c r="S671" s="16" t="str">
        <f>VLOOKUP($A671,'SurveyRpt_20150223 (1)'!$A$34:$AN$735,30,FALSE)</f>
        <v>Yes</v>
      </c>
      <c r="T671" s="16" t="str">
        <f>VLOOKUP($A671,'SurveyRpt_20150223 (1)'!$A$34:$AN$735,32,FALSE)</f>
        <v>No</v>
      </c>
      <c r="U671" s="16" t="str">
        <f>VLOOKUP($A671,'SurveyRpt_20150223 (1)'!$A$34:$AN$735,34,FALSE)</f>
        <v>No</v>
      </c>
      <c r="V671" s="16" t="str">
        <f>VLOOKUP($A671,'SurveyRpt_20150223 (1)'!$A$34:$AN$735,36,FALSE)</f>
        <v>Yes</v>
      </c>
      <c r="W671" s="16" t="str">
        <f>VLOOKUP($A671,'SurveyRpt_20150223 (1)'!$A$34:$AN$735,38,FALSE)</f>
        <v>No</v>
      </c>
    </row>
    <row r="672" spans="1:23" ht="13.5" customHeight="1" x14ac:dyDescent="0.25">
      <c r="A672" s="19" t="s">
        <v>765</v>
      </c>
      <c r="B672" s="19" t="str">
        <f t="shared" si="10"/>
        <v>RMOHAN9</v>
      </c>
      <c r="C672" s="16" t="str">
        <f>VLOOKUP(B672,'Compiled Agents'!A:H,2,FALSE)</f>
        <v>Platform</v>
      </c>
      <c r="D672" s="16" t="str">
        <f>VLOOKUP(B672,'Compiled Agents'!A:H,4,FALSE)</f>
        <v>Noida</v>
      </c>
      <c r="E672" s="16" t="str">
        <f>VLOOKUP(B672,'Compiled Agents'!A:H,5,FALSE)</f>
        <v>Wave1</v>
      </c>
      <c r="F672" s="16" t="str">
        <f>VLOOKUP(B672,'Compiled Agents'!A:H,6,FALSE)</f>
        <v>Purple</v>
      </c>
      <c r="G672" s="16">
        <f>VLOOKUP($A672,'SurveyRpt_20150223 (1)'!$A$34:$AN$735,6,FALSE)</f>
        <v>12</v>
      </c>
      <c r="H672" s="16" t="str">
        <f>VLOOKUP($A672,'SurveyRpt_20150223 (1)'!$A$34:$AN$735,8,FALSE)</f>
        <v>Yes</v>
      </c>
      <c r="I672" s="16" t="str">
        <f>VLOOKUP($A672,'SurveyRpt_20150223 (1)'!$A$34:$AN$735,10,FALSE)</f>
        <v>Yes</v>
      </c>
      <c r="J672" s="16" t="str">
        <f>VLOOKUP($A672,'SurveyRpt_20150223 (1)'!$A$34:$AN$735,12,FALSE)</f>
        <v>No</v>
      </c>
      <c r="K672" s="16" t="str">
        <f>VLOOKUP($A672,'SurveyRpt_20150223 (1)'!$A$34:$AN$735,14,FALSE)</f>
        <v>No</v>
      </c>
      <c r="L672" s="16" t="str">
        <f>VLOOKUP($A672,'SurveyRpt_20150223 (1)'!$A$34:$AN$735,16,FALSE)</f>
        <v>Yes</v>
      </c>
      <c r="M672" s="16" t="str">
        <f>VLOOKUP($A672,'SurveyRpt_20150223 (1)'!$A$34:$AN$735,18,FALSE)</f>
        <v>No</v>
      </c>
      <c r="N672" s="16" t="str">
        <f>VLOOKUP($A672,'SurveyRpt_20150223 (1)'!$A$34:$AN$735,20,FALSE)</f>
        <v>No</v>
      </c>
      <c r="O672" s="16" t="str">
        <f>VLOOKUP($A672,'SurveyRpt_20150223 (1)'!$A$34:$AN$735,22,FALSE)</f>
        <v>Yes</v>
      </c>
      <c r="P672" s="16" t="str">
        <f>VLOOKUP($A672,'SurveyRpt_20150223 (1)'!$A$34:$AN$735,24,FALSE)</f>
        <v>Yes</v>
      </c>
      <c r="Q672" s="16" t="str">
        <f>VLOOKUP($A672,'SurveyRpt_20150223 (1)'!$A$34:$AN$735,26,FALSE)</f>
        <v>Yes</v>
      </c>
      <c r="R672" s="16" t="str">
        <f>VLOOKUP($A672,'SurveyRpt_20150223 (1)'!$A$34:$AN$735,28,FALSE)</f>
        <v>Yes</v>
      </c>
      <c r="S672" s="16" t="str">
        <f>VLOOKUP($A672,'SurveyRpt_20150223 (1)'!$A$34:$AN$735,30,FALSE)</f>
        <v>Yes</v>
      </c>
      <c r="T672" s="16" t="str">
        <f>VLOOKUP($A672,'SurveyRpt_20150223 (1)'!$A$34:$AN$735,32,FALSE)</f>
        <v>Yes</v>
      </c>
      <c r="U672" s="16" t="str">
        <f>VLOOKUP($A672,'SurveyRpt_20150223 (1)'!$A$34:$AN$735,34,FALSE)</f>
        <v>Yes</v>
      </c>
      <c r="V672" s="16" t="str">
        <f>VLOOKUP($A672,'SurveyRpt_20150223 (1)'!$A$34:$AN$735,36,FALSE)</f>
        <v>Yes</v>
      </c>
      <c r="W672" s="16" t="str">
        <f>VLOOKUP($A672,'SurveyRpt_20150223 (1)'!$A$34:$AN$735,38,FALSE)</f>
        <v>Yes</v>
      </c>
    </row>
    <row r="673" spans="1:23" ht="13.5" customHeight="1" x14ac:dyDescent="0.25">
      <c r="A673" s="19" t="s">
        <v>766</v>
      </c>
      <c r="B673" s="19" t="str">
        <f t="shared" si="10"/>
        <v>WLOWE2</v>
      </c>
      <c r="C673" s="16" t="str">
        <f>VLOOKUP(B673,'Compiled Agents'!A:H,2,FALSE)</f>
        <v>Workplace</v>
      </c>
      <c r="D673" s="16" t="str">
        <f>VLOOKUP(B673,'Compiled Agents'!A:H,4,FALSE)</f>
        <v>MBC US</v>
      </c>
      <c r="E673" s="16" t="str">
        <f>VLOOKUP(B673,'Compiled Agents'!A:H,5,FALSE)</f>
        <v>Wave2</v>
      </c>
      <c r="F673" s="16" t="str">
        <f>VLOOKUP(B673,'Compiled Agents'!A:H,6,FALSE)</f>
        <v>Yellow</v>
      </c>
      <c r="G673" s="16">
        <f>VLOOKUP($A673,'SurveyRpt_20150223 (1)'!$A$34:$AN$735,6,FALSE)</f>
        <v>2</v>
      </c>
      <c r="H673" s="16" t="str">
        <f>VLOOKUP($A673,'SurveyRpt_20150223 (1)'!$A$34:$AN$735,8,FALSE)</f>
        <v>No</v>
      </c>
      <c r="I673" s="16" t="str">
        <f>VLOOKUP($A673,'SurveyRpt_20150223 (1)'!$A$34:$AN$735,10,FALSE)</f>
        <v>No</v>
      </c>
      <c r="J673" s="16" t="str">
        <f>VLOOKUP($A673,'SurveyRpt_20150223 (1)'!$A$34:$AN$735,12,FALSE)</f>
        <v>No</v>
      </c>
      <c r="K673" s="16" t="str">
        <f>VLOOKUP($A673,'SurveyRpt_20150223 (1)'!$A$34:$AN$735,14,FALSE)</f>
        <v>No</v>
      </c>
      <c r="L673" s="16" t="str">
        <f>VLOOKUP($A673,'SurveyRpt_20150223 (1)'!$A$34:$AN$735,16,FALSE)</f>
        <v>No</v>
      </c>
      <c r="M673" s="16" t="str">
        <f>VLOOKUP($A673,'SurveyRpt_20150223 (1)'!$A$34:$AN$735,18,FALSE)</f>
        <v>No</v>
      </c>
      <c r="N673" s="16" t="str">
        <f>VLOOKUP($A673,'SurveyRpt_20150223 (1)'!$A$34:$AN$735,20,FALSE)</f>
        <v>No</v>
      </c>
      <c r="O673" s="16" t="str">
        <f>VLOOKUP($A673,'SurveyRpt_20150223 (1)'!$A$34:$AN$735,22,FALSE)</f>
        <v>No</v>
      </c>
      <c r="P673" s="16" t="str">
        <f>VLOOKUP($A673,'SurveyRpt_20150223 (1)'!$A$34:$AN$735,24,FALSE)</f>
        <v>No</v>
      </c>
      <c r="Q673" s="16" t="str">
        <f>VLOOKUP($A673,'SurveyRpt_20150223 (1)'!$A$34:$AN$735,26,FALSE)</f>
        <v>No</v>
      </c>
      <c r="R673" s="16" t="str">
        <f>VLOOKUP($A673,'SurveyRpt_20150223 (1)'!$A$34:$AN$735,28,FALSE)</f>
        <v>No</v>
      </c>
      <c r="S673" s="16" t="str">
        <f>VLOOKUP($A673,'SurveyRpt_20150223 (1)'!$A$34:$AN$735,30,FALSE)</f>
        <v>Yes</v>
      </c>
      <c r="T673" s="16" t="str">
        <f>VLOOKUP($A673,'SurveyRpt_20150223 (1)'!$A$34:$AN$735,32,FALSE)</f>
        <v>No</v>
      </c>
      <c r="U673" s="16" t="str">
        <f>VLOOKUP($A673,'SurveyRpt_20150223 (1)'!$A$34:$AN$735,34,FALSE)</f>
        <v>No</v>
      </c>
      <c r="V673" s="16" t="str">
        <f>VLOOKUP($A673,'SurveyRpt_20150223 (1)'!$A$34:$AN$735,36,FALSE)</f>
        <v>Yes</v>
      </c>
      <c r="W673" s="16" t="str">
        <f>VLOOKUP($A673,'SurveyRpt_20150223 (1)'!$A$34:$AN$735,38,FALSE)</f>
        <v>No</v>
      </c>
    </row>
    <row r="674" spans="1:23" ht="13.5" customHeight="1" x14ac:dyDescent="0.25">
      <c r="A674" s="19" t="s">
        <v>767</v>
      </c>
      <c r="B674" s="19" t="str">
        <f t="shared" si="10"/>
        <v>VKURIAKOSE</v>
      </c>
      <c r="C674" s="16" t="str">
        <f>VLOOKUP(B674,'Compiled Agents'!A:H,2,FALSE)</f>
        <v>Workplace</v>
      </c>
      <c r="D674" s="16" t="str">
        <f>VLOOKUP(B674,'Compiled Agents'!A:H,4,FALSE)</f>
        <v>Noida</v>
      </c>
      <c r="E674" s="16" t="str">
        <f>VLOOKUP(B674,'Compiled Agents'!A:H,5,FALSE)</f>
        <v>Wave1</v>
      </c>
      <c r="F674" s="16" t="str">
        <f>VLOOKUP(B674,'Compiled Agents'!A:H,6,FALSE)</f>
        <v>Yellow</v>
      </c>
      <c r="G674" s="16">
        <f>VLOOKUP($A674,'SurveyRpt_20150223 (1)'!$A$34:$AN$735,6,FALSE)</f>
        <v>14</v>
      </c>
      <c r="H674" s="16" t="str">
        <f>VLOOKUP($A674,'SurveyRpt_20150223 (1)'!$A$34:$AN$735,8,FALSE)</f>
        <v>Yes</v>
      </c>
      <c r="I674" s="16" t="str">
        <f>VLOOKUP($A674,'SurveyRpt_20150223 (1)'!$A$34:$AN$735,10,FALSE)</f>
        <v>Yes</v>
      </c>
      <c r="J674" s="16" t="str">
        <f>VLOOKUP($A674,'SurveyRpt_20150223 (1)'!$A$34:$AN$735,12,FALSE)</f>
        <v>Yes</v>
      </c>
      <c r="K674" s="16" t="str">
        <f>VLOOKUP($A674,'SurveyRpt_20150223 (1)'!$A$34:$AN$735,14,FALSE)</f>
        <v>Yes</v>
      </c>
      <c r="L674" s="16" t="str">
        <f>VLOOKUP($A674,'SurveyRpt_20150223 (1)'!$A$34:$AN$735,16,FALSE)</f>
        <v>Yes</v>
      </c>
      <c r="M674" s="16" t="str">
        <f>VLOOKUP($A674,'SurveyRpt_20150223 (1)'!$A$34:$AN$735,18,FALSE)</f>
        <v>Yes</v>
      </c>
      <c r="N674" s="16" t="str">
        <f>VLOOKUP($A674,'SurveyRpt_20150223 (1)'!$A$34:$AN$735,20,FALSE)</f>
        <v>Yes</v>
      </c>
      <c r="O674" s="16" t="str">
        <f>VLOOKUP($A674,'SurveyRpt_20150223 (1)'!$A$34:$AN$735,22,FALSE)</f>
        <v>Yes</v>
      </c>
      <c r="P674" s="16" t="str">
        <f>VLOOKUP($A674,'SurveyRpt_20150223 (1)'!$A$34:$AN$735,24,FALSE)</f>
        <v>Yes</v>
      </c>
      <c r="Q674" s="16" t="str">
        <f>VLOOKUP($A674,'SurveyRpt_20150223 (1)'!$A$34:$AN$735,26,FALSE)</f>
        <v>Yes</v>
      </c>
      <c r="R674" s="16" t="str">
        <f>VLOOKUP($A674,'SurveyRpt_20150223 (1)'!$A$34:$AN$735,28,FALSE)</f>
        <v>Yes</v>
      </c>
      <c r="S674" s="16" t="str">
        <f>VLOOKUP($A674,'SurveyRpt_20150223 (1)'!$A$34:$AN$735,30,FALSE)</f>
        <v>Yes</v>
      </c>
      <c r="T674" s="16" t="str">
        <f>VLOOKUP($A674,'SurveyRpt_20150223 (1)'!$A$34:$AN$735,32,FALSE)</f>
        <v>No</v>
      </c>
      <c r="U674" s="16" t="str">
        <f>VLOOKUP($A674,'SurveyRpt_20150223 (1)'!$A$34:$AN$735,34,FALSE)</f>
        <v>Yes</v>
      </c>
      <c r="V674" s="16" t="str">
        <f>VLOOKUP($A674,'SurveyRpt_20150223 (1)'!$A$34:$AN$735,36,FALSE)</f>
        <v>Yes</v>
      </c>
      <c r="W674" s="16" t="str">
        <f>VLOOKUP($A674,'SurveyRpt_20150223 (1)'!$A$34:$AN$735,38,FALSE)</f>
        <v>No</v>
      </c>
    </row>
    <row r="675" spans="1:23" ht="13.5" customHeight="1" x14ac:dyDescent="0.25">
      <c r="A675" s="19" t="s">
        <v>768</v>
      </c>
      <c r="B675" s="19" t="str">
        <f t="shared" si="10"/>
        <v>rverdi</v>
      </c>
      <c r="C675" s="16" t="str">
        <f>VLOOKUP(B675,'Compiled Agents'!A:H,2,FALSE)</f>
        <v>Platform</v>
      </c>
      <c r="D675" s="16" t="str">
        <f>VLOOKUP(B675,'Compiled Agents'!A:H,4,FALSE)</f>
        <v>MBC US</v>
      </c>
      <c r="E675" s="16" t="str">
        <f>VLOOKUP(B675,'Compiled Agents'!A:H,5,FALSE)</f>
        <v>Wave2</v>
      </c>
      <c r="F675" s="16" t="str">
        <f>VLOOKUP(B675,'Compiled Agents'!A:H,6,FALSE)</f>
        <v>Purple</v>
      </c>
      <c r="G675" s="16">
        <f>VLOOKUP($A675,'SurveyRpt_20150223 (1)'!$A$34:$AN$735,6,FALSE)</f>
        <v>16</v>
      </c>
      <c r="H675" s="16" t="str">
        <f>VLOOKUP($A675,'SurveyRpt_20150223 (1)'!$A$34:$AN$735,8,FALSE)</f>
        <v>Yes</v>
      </c>
      <c r="I675" s="16" t="str">
        <f>VLOOKUP($A675,'SurveyRpt_20150223 (1)'!$A$34:$AN$735,10,FALSE)</f>
        <v>Yes</v>
      </c>
      <c r="J675" s="16" t="str">
        <f>VLOOKUP($A675,'SurveyRpt_20150223 (1)'!$A$34:$AN$735,12,FALSE)</f>
        <v>Yes</v>
      </c>
      <c r="K675" s="16" t="str">
        <f>VLOOKUP($A675,'SurveyRpt_20150223 (1)'!$A$34:$AN$735,14,FALSE)</f>
        <v>Yes</v>
      </c>
      <c r="L675" s="16" t="str">
        <f>VLOOKUP($A675,'SurveyRpt_20150223 (1)'!$A$34:$AN$735,16,FALSE)</f>
        <v>Yes</v>
      </c>
      <c r="M675" s="16" t="str">
        <f>VLOOKUP($A675,'SurveyRpt_20150223 (1)'!$A$34:$AN$735,18,FALSE)</f>
        <v>Yes</v>
      </c>
      <c r="N675" s="16" t="str">
        <f>VLOOKUP($A675,'SurveyRpt_20150223 (1)'!$A$34:$AN$735,20,FALSE)</f>
        <v>Yes</v>
      </c>
      <c r="O675" s="16" t="str">
        <f>VLOOKUP($A675,'SurveyRpt_20150223 (1)'!$A$34:$AN$735,22,FALSE)</f>
        <v>Yes</v>
      </c>
      <c r="P675" s="16" t="str">
        <f>VLOOKUP($A675,'SurveyRpt_20150223 (1)'!$A$34:$AN$735,24,FALSE)</f>
        <v>Yes</v>
      </c>
      <c r="Q675" s="16" t="str">
        <f>VLOOKUP($A675,'SurveyRpt_20150223 (1)'!$A$34:$AN$735,26,FALSE)</f>
        <v>Yes</v>
      </c>
      <c r="R675" s="16" t="str">
        <f>VLOOKUP($A675,'SurveyRpt_20150223 (1)'!$A$34:$AN$735,28,FALSE)</f>
        <v>Yes</v>
      </c>
      <c r="S675" s="16" t="str">
        <f>VLOOKUP($A675,'SurveyRpt_20150223 (1)'!$A$34:$AN$735,30,FALSE)</f>
        <v>Yes</v>
      </c>
      <c r="T675" s="16" t="str">
        <f>VLOOKUP($A675,'SurveyRpt_20150223 (1)'!$A$34:$AN$735,32,FALSE)</f>
        <v>Yes</v>
      </c>
      <c r="U675" s="16" t="str">
        <f>VLOOKUP($A675,'SurveyRpt_20150223 (1)'!$A$34:$AN$735,34,FALSE)</f>
        <v>Yes</v>
      </c>
      <c r="V675" s="16" t="str">
        <f>VLOOKUP($A675,'SurveyRpt_20150223 (1)'!$A$34:$AN$735,36,FALSE)</f>
        <v>Yes</v>
      </c>
      <c r="W675" s="16" t="str">
        <f>VLOOKUP($A675,'SurveyRpt_20150223 (1)'!$A$34:$AN$735,38,FALSE)</f>
        <v>Yes</v>
      </c>
    </row>
    <row r="676" spans="1:23" ht="13.5" customHeight="1" x14ac:dyDescent="0.25">
      <c r="A676" s="19" t="s">
        <v>769</v>
      </c>
      <c r="B676" s="19" t="str">
        <f t="shared" si="10"/>
        <v>asaha7</v>
      </c>
      <c r="C676" s="16" t="str">
        <f>VLOOKUP(B676,'Compiled Agents'!A:H,2,FALSE)</f>
        <v>Platform</v>
      </c>
      <c r="D676" s="16" t="str">
        <f>VLOOKUP(B676,'Compiled Agents'!A:H,4,FALSE)</f>
        <v>Noida</v>
      </c>
      <c r="E676" s="16" t="str">
        <f>VLOOKUP(B676,'Compiled Agents'!A:H,5,FALSE)</f>
        <v>Wave2</v>
      </c>
      <c r="F676" s="16" t="str">
        <f>VLOOKUP(B676,'Compiled Agents'!A:H,6,FALSE)</f>
        <v>Purple</v>
      </c>
      <c r="G676" s="16">
        <f>VLOOKUP($A676,'SurveyRpt_20150223 (1)'!$A$34:$AN$735,6,FALSE)</f>
        <v>8</v>
      </c>
      <c r="H676" s="16" t="str">
        <f>VLOOKUP($A676,'SurveyRpt_20150223 (1)'!$A$34:$AN$735,8,FALSE)</f>
        <v>Yes</v>
      </c>
      <c r="I676" s="16" t="str">
        <f>VLOOKUP($A676,'SurveyRpt_20150223 (1)'!$A$34:$AN$735,10,FALSE)</f>
        <v>Yes</v>
      </c>
      <c r="J676" s="16" t="str">
        <f>VLOOKUP($A676,'SurveyRpt_20150223 (1)'!$A$34:$AN$735,12,FALSE)</f>
        <v>No</v>
      </c>
      <c r="K676" s="16" t="str">
        <f>VLOOKUP($A676,'SurveyRpt_20150223 (1)'!$A$34:$AN$735,14,FALSE)</f>
        <v>No</v>
      </c>
      <c r="L676" s="16" t="str">
        <f>VLOOKUP($A676,'SurveyRpt_20150223 (1)'!$A$34:$AN$735,16,FALSE)</f>
        <v>No</v>
      </c>
      <c r="M676" s="16" t="str">
        <f>VLOOKUP($A676,'SurveyRpt_20150223 (1)'!$A$34:$AN$735,18,FALSE)</f>
        <v>Yes</v>
      </c>
      <c r="N676" s="16" t="str">
        <f>VLOOKUP($A676,'SurveyRpt_20150223 (1)'!$A$34:$AN$735,20,FALSE)</f>
        <v>No</v>
      </c>
      <c r="O676" s="16" t="str">
        <f>VLOOKUP($A676,'SurveyRpt_20150223 (1)'!$A$34:$AN$735,22,FALSE)</f>
        <v>No</v>
      </c>
      <c r="P676" s="16" t="str">
        <f>VLOOKUP($A676,'SurveyRpt_20150223 (1)'!$A$34:$AN$735,24,FALSE)</f>
        <v>Yes</v>
      </c>
      <c r="Q676" s="16" t="str">
        <f>VLOOKUP($A676,'SurveyRpt_20150223 (1)'!$A$34:$AN$735,26,FALSE)</f>
        <v>Yes</v>
      </c>
      <c r="R676" s="16" t="str">
        <f>VLOOKUP($A676,'SurveyRpt_20150223 (1)'!$A$34:$AN$735,28,FALSE)</f>
        <v>Yes</v>
      </c>
      <c r="S676" s="16" t="str">
        <f>VLOOKUP($A676,'SurveyRpt_20150223 (1)'!$A$34:$AN$735,30,FALSE)</f>
        <v>Yes</v>
      </c>
      <c r="T676" s="16" t="str">
        <f>VLOOKUP($A676,'SurveyRpt_20150223 (1)'!$A$34:$AN$735,32,FALSE)</f>
        <v>No</v>
      </c>
      <c r="U676" s="16" t="str">
        <f>VLOOKUP($A676,'SurveyRpt_20150223 (1)'!$A$34:$AN$735,34,FALSE)</f>
        <v>No</v>
      </c>
      <c r="V676" s="16" t="str">
        <f>VLOOKUP($A676,'SurveyRpt_20150223 (1)'!$A$34:$AN$735,36,FALSE)</f>
        <v>Yes</v>
      </c>
      <c r="W676" s="16" t="str">
        <f>VLOOKUP($A676,'SurveyRpt_20150223 (1)'!$A$34:$AN$735,38,FALSE)</f>
        <v>No</v>
      </c>
    </row>
    <row r="677" spans="1:23" ht="13.5" customHeight="1" x14ac:dyDescent="0.25">
      <c r="A677" s="19" t="s">
        <v>770</v>
      </c>
      <c r="B677" s="19" t="str">
        <f t="shared" si="10"/>
        <v>SDAGGUMATI</v>
      </c>
      <c r="C677" s="16" t="str">
        <f>VLOOKUP(B677,'Compiled Agents'!A:H,2,FALSE)</f>
        <v>Workplace</v>
      </c>
      <c r="D677" s="16" t="str">
        <f>VLOOKUP(B677,'Compiled Agents'!A:H,4,FALSE)</f>
        <v>Noida</v>
      </c>
      <c r="E677" s="16" t="str">
        <f>VLOOKUP(B677,'Compiled Agents'!A:H,5,FALSE)</f>
        <v>Wave2</v>
      </c>
      <c r="F677" s="16" t="str">
        <f>VLOOKUP(B677,'Compiled Agents'!A:H,6,FALSE)</f>
        <v>Blue</v>
      </c>
      <c r="G677" s="16">
        <f>VLOOKUP($A677,'SurveyRpt_20150223 (1)'!$A$34:$AN$735,6,FALSE)</f>
        <v>16</v>
      </c>
      <c r="H677" s="16" t="str">
        <f>VLOOKUP($A677,'SurveyRpt_20150223 (1)'!$A$34:$AN$735,8,FALSE)</f>
        <v>Yes</v>
      </c>
      <c r="I677" s="16" t="str">
        <f>VLOOKUP($A677,'SurveyRpt_20150223 (1)'!$A$34:$AN$735,10,FALSE)</f>
        <v>Yes</v>
      </c>
      <c r="J677" s="16" t="str">
        <f>VLOOKUP($A677,'SurveyRpt_20150223 (1)'!$A$34:$AN$735,12,FALSE)</f>
        <v>Yes</v>
      </c>
      <c r="K677" s="16" t="str">
        <f>VLOOKUP($A677,'SurveyRpt_20150223 (1)'!$A$34:$AN$735,14,FALSE)</f>
        <v>Yes</v>
      </c>
      <c r="L677" s="16" t="str">
        <f>VLOOKUP($A677,'SurveyRpt_20150223 (1)'!$A$34:$AN$735,16,FALSE)</f>
        <v>Yes</v>
      </c>
      <c r="M677" s="16" t="str">
        <f>VLOOKUP($A677,'SurveyRpt_20150223 (1)'!$A$34:$AN$735,18,FALSE)</f>
        <v>Yes</v>
      </c>
      <c r="N677" s="16" t="str">
        <f>VLOOKUP($A677,'SurveyRpt_20150223 (1)'!$A$34:$AN$735,20,FALSE)</f>
        <v>Yes</v>
      </c>
      <c r="O677" s="16" t="str">
        <f>VLOOKUP($A677,'SurveyRpt_20150223 (1)'!$A$34:$AN$735,22,FALSE)</f>
        <v>Yes</v>
      </c>
      <c r="P677" s="16" t="str">
        <f>VLOOKUP($A677,'SurveyRpt_20150223 (1)'!$A$34:$AN$735,24,FALSE)</f>
        <v>Yes</v>
      </c>
      <c r="Q677" s="16" t="str">
        <f>VLOOKUP($A677,'SurveyRpt_20150223 (1)'!$A$34:$AN$735,26,FALSE)</f>
        <v>Yes</v>
      </c>
      <c r="R677" s="16" t="str">
        <f>VLOOKUP($A677,'SurveyRpt_20150223 (1)'!$A$34:$AN$735,28,FALSE)</f>
        <v>Yes</v>
      </c>
      <c r="S677" s="16" t="str">
        <f>VLOOKUP($A677,'SurveyRpt_20150223 (1)'!$A$34:$AN$735,30,FALSE)</f>
        <v>Yes</v>
      </c>
      <c r="T677" s="16" t="str">
        <f>VLOOKUP($A677,'SurveyRpt_20150223 (1)'!$A$34:$AN$735,32,FALSE)</f>
        <v>Yes</v>
      </c>
      <c r="U677" s="16" t="str">
        <f>VLOOKUP($A677,'SurveyRpt_20150223 (1)'!$A$34:$AN$735,34,FALSE)</f>
        <v>Yes</v>
      </c>
      <c r="V677" s="16" t="str">
        <f>VLOOKUP($A677,'SurveyRpt_20150223 (1)'!$A$34:$AN$735,36,FALSE)</f>
        <v>Yes</v>
      </c>
      <c r="W677" s="16" t="str">
        <f>VLOOKUP($A677,'SurveyRpt_20150223 (1)'!$A$34:$AN$735,38,FALSE)</f>
        <v>Yes</v>
      </c>
    </row>
    <row r="678" spans="1:23" ht="13.5" customHeight="1" x14ac:dyDescent="0.25">
      <c r="A678" s="19" t="s">
        <v>771</v>
      </c>
      <c r="B678" s="19" t="str">
        <f t="shared" si="10"/>
        <v>SAJ</v>
      </c>
      <c r="C678" s="16" t="str">
        <f>VLOOKUP(B678,'Compiled Agents'!A:H,2,FALSE)</f>
        <v>Workplace</v>
      </c>
      <c r="D678" s="16" t="str">
        <f>VLOOKUP(B678,'Compiled Agents'!A:H,4,FALSE)</f>
        <v>Noida</v>
      </c>
      <c r="E678" s="16" t="str">
        <f>VLOOKUP(B678,'Compiled Agents'!A:H,5,FALSE)</f>
        <v>Wave1</v>
      </c>
      <c r="F678" s="16" t="str">
        <f>VLOOKUP(B678,'Compiled Agents'!A:H,6,FALSE)</f>
        <v>Yellow</v>
      </c>
      <c r="G678" s="16">
        <f>VLOOKUP($A678,'SurveyRpt_20150223 (1)'!$A$34:$AN$735,6,FALSE)</f>
        <v>16</v>
      </c>
      <c r="H678" s="16" t="str">
        <f>VLOOKUP($A678,'SurveyRpt_20150223 (1)'!$A$34:$AN$735,8,FALSE)</f>
        <v>Yes</v>
      </c>
      <c r="I678" s="16" t="str">
        <f>VLOOKUP($A678,'SurveyRpt_20150223 (1)'!$A$34:$AN$735,10,FALSE)</f>
        <v>Yes</v>
      </c>
      <c r="J678" s="16" t="str">
        <f>VLOOKUP($A678,'SurveyRpt_20150223 (1)'!$A$34:$AN$735,12,FALSE)</f>
        <v>Yes</v>
      </c>
      <c r="K678" s="16" t="str">
        <f>VLOOKUP($A678,'SurveyRpt_20150223 (1)'!$A$34:$AN$735,14,FALSE)</f>
        <v>Yes</v>
      </c>
      <c r="L678" s="16" t="str">
        <f>VLOOKUP($A678,'SurveyRpt_20150223 (1)'!$A$34:$AN$735,16,FALSE)</f>
        <v>Yes</v>
      </c>
      <c r="M678" s="16" t="str">
        <f>VLOOKUP($A678,'SurveyRpt_20150223 (1)'!$A$34:$AN$735,18,FALSE)</f>
        <v>Yes</v>
      </c>
      <c r="N678" s="16" t="str">
        <f>VLOOKUP($A678,'SurveyRpt_20150223 (1)'!$A$34:$AN$735,20,FALSE)</f>
        <v>Yes</v>
      </c>
      <c r="O678" s="16" t="str">
        <f>VLOOKUP($A678,'SurveyRpt_20150223 (1)'!$A$34:$AN$735,22,FALSE)</f>
        <v>Yes</v>
      </c>
      <c r="P678" s="16" t="str">
        <f>VLOOKUP($A678,'SurveyRpt_20150223 (1)'!$A$34:$AN$735,24,FALSE)</f>
        <v>Yes</v>
      </c>
      <c r="Q678" s="16" t="str">
        <f>VLOOKUP($A678,'SurveyRpt_20150223 (1)'!$A$34:$AN$735,26,FALSE)</f>
        <v>Yes</v>
      </c>
      <c r="R678" s="16" t="str">
        <f>VLOOKUP($A678,'SurveyRpt_20150223 (1)'!$A$34:$AN$735,28,FALSE)</f>
        <v>Yes</v>
      </c>
      <c r="S678" s="16" t="str">
        <f>VLOOKUP($A678,'SurveyRpt_20150223 (1)'!$A$34:$AN$735,30,FALSE)</f>
        <v>Yes</v>
      </c>
      <c r="T678" s="16" t="str">
        <f>VLOOKUP($A678,'SurveyRpt_20150223 (1)'!$A$34:$AN$735,32,FALSE)</f>
        <v>Yes</v>
      </c>
      <c r="U678" s="16" t="str">
        <f>VLOOKUP($A678,'SurveyRpt_20150223 (1)'!$A$34:$AN$735,34,FALSE)</f>
        <v>Yes</v>
      </c>
      <c r="V678" s="16" t="str">
        <f>VLOOKUP($A678,'SurveyRpt_20150223 (1)'!$A$34:$AN$735,36,FALSE)</f>
        <v>Yes</v>
      </c>
      <c r="W678" s="16" t="str">
        <f>VLOOKUP($A678,'SurveyRpt_20150223 (1)'!$A$34:$AN$735,38,FALSE)</f>
        <v>Yes</v>
      </c>
    </row>
    <row r="679" spans="1:23" ht="13.5" customHeight="1" x14ac:dyDescent="0.25">
      <c r="A679" s="19" t="s">
        <v>772</v>
      </c>
      <c r="B679" s="19" t="str">
        <f t="shared" si="10"/>
        <v>DCHUKKA</v>
      </c>
      <c r="C679" s="16" t="str">
        <f>VLOOKUP(B679,'Compiled Agents'!A:H,2,FALSE)</f>
        <v>Platform</v>
      </c>
      <c r="D679" s="16" t="str">
        <f>VLOOKUP(B679,'Compiled Agents'!A:H,4,FALSE)</f>
        <v>Hyderabad</v>
      </c>
      <c r="E679" s="16" t="str">
        <f>VLOOKUP(B679,'Compiled Agents'!A:H,5,FALSE)</f>
        <v>Wave1</v>
      </c>
      <c r="F679" s="16" t="str">
        <f>VLOOKUP(B679,'Compiled Agents'!A:H,6,FALSE)</f>
        <v>Yellow</v>
      </c>
      <c r="G679" s="16">
        <f>VLOOKUP($A679,'SurveyRpt_20150223 (1)'!$A$34:$AN$735,6,FALSE)</f>
        <v>16</v>
      </c>
      <c r="H679" s="16" t="str">
        <f>VLOOKUP($A679,'SurveyRpt_20150223 (1)'!$A$34:$AN$735,8,FALSE)</f>
        <v>Yes</v>
      </c>
      <c r="I679" s="16" t="str">
        <f>VLOOKUP($A679,'SurveyRpt_20150223 (1)'!$A$34:$AN$735,10,FALSE)</f>
        <v>Yes</v>
      </c>
      <c r="J679" s="16" t="str">
        <f>VLOOKUP($A679,'SurveyRpt_20150223 (1)'!$A$34:$AN$735,12,FALSE)</f>
        <v>Yes</v>
      </c>
      <c r="K679" s="16" t="str">
        <f>VLOOKUP($A679,'SurveyRpt_20150223 (1)'!$A$34:$AN$735,14,FALSE)</f>
        <v>Yes</v>
      </c>
      <c r="L679" s="16" t="str">
        <f>VLOOKUP($A679,'SurveyRpt_20150223 (1)'!$A$34:$AN$735,16,FALSE)</f>
        <v>Yes</v>
      </c>
      <c r="M679" s="16" t="str">
        <f>VLOOKUP($A679,'SurveyRpt_20150223 (1)'!$A$34:$AN$735,18,FALSE)</f>
        <v>Yes</v>
      </c>
      <c r="N679" s="16" t="str">
        <f>VLOOKUP($A679,'SurveyRpt_20150223 (1)'!$A$34:$AN$735,20,FALSE)</f>
        <v>Yes</v>
      </c>
      <c r="O679" s="16" t="str">
        <f>VLOOKUP($A679,'SurveyRpt_20150223 (1)'!$A$34:$AN$735,22,FALSE)</f>
        <v>Yes</v>
      </c>
      <c r="P679" s="16" t="str">
        <f>VLOOKUP($A679,'SurveyRpt_20150223 (1)'!$A$34:$AN$735,24,FALSE)</f>
        <v>Yes</v>
      </c>
      <c r="Q679" s="16" t="str">
        <f>VLOOKUP($A679,'SurveyRpt_20150223 (1)'!$A$34:$AN$735,26,FALSE)</f>
        <v>Yes</v>
      </c>
      <c r="R679" s="16" t="str">
        <f>VLOOKUP($A679,'SurveyRpt_20150223 (1)'!$A$34:$AN$735,28,FALSE)</f>
        <v>Yes</v>
      </c>
      <c r="S679" s="16" t="str">
        <f>VLOOKUP($A679,'SurveyRpt_20150223 (1)'!$A$34:$AN$735,30,FALSE)</f>
        <v>Yes</v>
      </c>
      <c r="T679" s="16" t="str">
        <f>VLOOKUP($A679,'SurveyRpt_20150223 (1)'!$A$34:$AN$735,32,FALSE)</f>
        <v>Yes</v>
      </c>
      <c r="U679" s="16" t="str">
        <f>VLOOKUP($A679,'SurveyRpt_20150223 (1)'!$A$34:$AN$735,34,FALSE)</f>
        <v>Yes</v>
      </c>
      <c r="V679" s="16" t="str">
        <f>VLOOKUP($A679,'SurveyRpt_20150223 (1)'!$A$34:$AN$735,36,FALSE)</f>
        <v>Yes</v>
      </c>
      <c r="W679" s="16" t="str">
        <f>VLOOKUP($A679,'SurveyRpt_20150223 (1)'!$A$34:$AN$735,38,FALSE)</f>
        <v>Yes</v>
      </c>
    </row>
    <row r="680" spans="1:23" ht="13.5" customHeight="1" x14ac:dyDescent="0.25">
      <c r="A680" s="19" t="s">
        <v>773</v>
      </c>
      <c r="B680" s="19" t="str">
        <f t="shared" si="10"/>
        <v>DCHOUDHARY</v>
      </c>
      <c r="C680" s="16" t="str">
        <f>VLOOKUP(B680,'Compiled Agents'!A:H,2,FALSE)</f>
        <v>Workplace</v>
      </c>
      <c r="D680" s="16" t="str">
        <f>VLOOKUP(B680,'Compiled Agents'!A:H,4,FALSE)</f>
        <v>Noida</v>
      </c>
      <c r="E680" s="16" t="str">
        <f>VLOOKUP(B680,'Compiled Agents'!A:H,5,FALSE)</f>
        <v>Wave1</v>
      </c>
      <c r="F680" s="16" t="str">
        <f>VLOOKUP(B680,'Compiled Agents'!A:H,6,FALSE)</f>
        <v>Orange</v>
      </c>
      <c r="G680" s="16">
        <f>VLOOKUP($A680,'SurveyRpt_20150223 (1)'!$A$34:$AN$735,6,FALSE)</f>
        <v>15</v>
      </c>
      <c r="H680" s="16" t="str">
        <f>VLOOKUP($A680,'SurveyRpt_20150223 (1)'!$A$34:$AN$735,8,FALSE)</f>
        <v>Yes</v>
      </c>
      <c r="I680" s="16" t="str">
        <f>VLOOKUP($A680,'SurveyRpt_20150223 (1)'!$A$34:$AN$735,10,FALSE)</f>
        <v>Yes</v>
      </c>
      <c r="J680" s="16" t="str">
        <f>VLOOKUP($A680,'SurveyRpt_20150223 (1)'!$A$34:$AN$735,12,FALSE)</f>
        <v>Yes</v>
      </c>
      <c r="K680" s="16" t="str">
        <f>VLOOKUP($A680,'SurveyRpt_20150223 (1)'!$A$34:$AN$735,14,FALSE)</f>
        <v>Yes</v>
      </c>
      <c r="L680" s="16" t="str">
        <f>VLOOKUP($A680,'SurveyRpt_20150223 (1)'!$A$34:$AN$735,16,FALSE)</f>
        <v>Yes</v>
      </c>
      <c r="M680" s="16" t="str">
        <f>VLOOKUP($A680,'SurveyRpt_20150223 (1)'!$A$34:$AN$735,18,FALSE)</f>
        <v>No</v>
      </c>
      <c r="N680" s="16" t="str">
        <f>VLOOKUP($A680,'SurveyRpt_20150223 (1)'!$A$34:$AN$735,20,FALSE)</f>
        <v>Yes</v>
      </c>
      <c r="O680" s="16" t="str">
        <f>VLOOKUP($A680,'SurveyRpt_20150223 (1)'!$A$34:$AN$735,22,FALSE)</f>
        <v>Yes</v>
      </c>
      <c r="P680" s="16" t="str">
        <f>VLOOKUP($A680,'SurveyRpt_20150223 (1)'!$A$34:$AN$735,24,FALSE)</f>
        <v>Yes</v>
      </c>
      <c r="Q680" s="16" t="str">
        <f>VLOOKUP($A680,'SurveyRpt_20150223 (1)'!$A$34:$AN$735,26,FALSE)</f>
        <v>Yes</v>
      </c>
      <c r="R680" s="16" t="str">
        <f>VLOOKUP($A680,'SurveyRpt_20150223 (1)'!$A$34:$AN$735,28,FALSE)</f>
        <v>Yes</v>
      </c>
      <c r="S680" s="16" t="str">
        <f>VLOOKUP($A680,'SurveyRpt_20150223 (1)'!$A$34:$AN$735,30,FALSE)</f>
        <v>Yes</v>
      </c>
      <c r="T680" s="16" t="str">
        <f>VLOOKUP($A680,'SurveyRpt_20150223 (1)'!$A$34:$AN$735,32,FALSE)</f>
        <v>Yes</v>
      </c>
      <c r="U680" s="16" t="str">
        <f>VLOOKUP($A680,'SurveyRpt_20150223 (1)'!$A$34:$AN$735,34,FALSE)</f>
        <v>Yes</v>
      </c>
      <c r="V680" s="16" t="str">
        <f>VLOOKUP($A680,'SurveyRpt_20150223 (1)'!$A$34:$AN$735,36,FALSE)</f>
        <v>Yes</v>
      </c>
      <c r="W680" s="16" t="str">
        <f>VLOOKUP($A680,'SurveyRpt_20150223 (1)'!$A$34:$AN$735,38,FALSE)</f>
        <v>Yes</v>
      </c>
    </row>
    <row r="681" spans="1:23" ht="13.5" customHeight="1" x14ac:dyDescent="0.25">
      <c r="A681" s="19" t="s">
        <v>774</v>
      </c>
      <c r="B681" s="19" t="str">
        <f t="shared" si="10"/>
        <v>HBAJAJ</v>
      </c>
      <c r="C681" s="16" t="str">
        <f>VLOOKUP(B681,'Compiled Agents'!A:H,2,FALSE)</f>
        <v>Workplace</v>
      </c>
      <c r="D681" s="16" t="str">
        <f>VLOOKUP(B681,'Compiled Agents'!A:H,4,FALSE)</f>
        <v>Noida</v>
      </c>
      <c r="E681" s="16" t="str">
        <f>VLOOKUP(B681,'Compiled Agents'!A:H,5,FALSE)</f>
        <v>Wave2</v>
      </c>
      <c r="F681" s="16" t="str">
        <f>VLOOKUP(B681,'Compiled Agents'!A:H,6,FALSE)</f>
        <v>Purple</v>
      </c>
      <c r="G681" s="16">
        <f>VLOOKUP($A681,'SurveyRpt_20150223 (1)'!$A$34:$AN$735,6,FALSE)</f>
        <v>11</v>
      </c>
      <c r="H681" s="16" t="str">
        <f>VLOOKUP($A681,'SurveyRpt_20150223 (1)'!$A$34:$AN$735,8,FALSE)</f>
        <v>Yes</v>
      </c>
      <c r="I681" s="16" t="str">
        <f>VLOOKUP($A681,'SurveyRpt_20150223 (1)'!$A$34:$AN$735,10,FALSE)</f>
        <v>Yes</v>
      </c>
      <c r="J681" s="16" t="str">
        <f>VLOOKUP($A681,'SurveyRpt_20150223 (1)'!$A$34:$AN$735,12,FALSE)</f>
        <v>No</v>
      </c>
      <c r="K681" s="16" t="str">
        <f>VLOOKUP($A681,'SurveyRpt_20150223 (1)'!$A$34:$AN$735,14,FALSE)</f>
        <v>No</v>
      </c>
      <c r="L681" s="16" t="str">
        <f>VLOOKUP($A681,'SurveyRpt_20150223 (1)'!$A$34:$AN$735,16,FALSE)</f>
        <v>Yes</v>
      </c>
      <c r="M681" s="16" t="str">
        <f>VLOOKUP($A681,'SurveyRpt_20150223 (1)'!$A$34:$AN$735,18,FALSE)</f>
        <v>No</v>
      </c>
      <c r="N681" s="16" t="str">
        <f>VLOOKUP($A681,'SurveyRpt_20150223 (1)'!$A$34:$AN$735,20,FALSE)</f>
        <v>Yes</v>
      </c>
      <c r="O681" s="16" t="str">
        <f>VLOOKUP($A681,'SurveyRpt_20150223 (1)'!$A$34:$AN$735,22,FALSE)</f>
        <v>Yes</v>
      </c>
      <c r="P681" s="16" t="str">
        <f>VLOOKUP($A681,'SurveyRpt_20150223 (1)'!$A$34:$AN$735,24,FALSE)</f>
        <v>No</v>
      </c>
      <c r="Q681" s="16" t="str">
        <f>VLOOKUP($A681,'SurveyRpt_20150223 (1)'!$A$34:$AN$735,26,FALSE)</f>
        <v>Yes</v>
      </c>
      <c r="R681" s="16" t="str">
        <f>VLOOKUP($A681,'SurveyRpt_20150223 (1)'!$A$34:$AN$735,28,FALSE)</f>
        <v>Yes</v>
      </c>
      <c r="S681" s="16" t="str">
        <f>VLOOKUP($A681,'SurveyRpt_20150223 (1)'!$A$34:$AN$735,30,FALSE)</f>
        <v>Yes</v>
      </c>
      <c r="T681" s="16" t="str">
        <f>VLOOKUP($A681,'SurveyRpt_20150223 (1)'!$A$34:$AN$735,32,FALSE)</f>
        <v>Yes</v>
      </c>
      <c r="U681" s="16" t="str">
        <f>VLOOKUP($A681,'SurveyRpt_20150223 (1)'!$A$34:$AN$735,34,FALSE)</f>
        <v>Yes</v>
      </c>
      <c r="V681" s="16" t="str">
        <f>VLOOKUP($A681,'SurveyRpt_20150223 (1)'!$A$34:$AN$735,36,FALSE)</f>
        <v>Yes</v>
      </c>
      <c r="W681" s="16" t="str">
        <f>VLOOKUP($A681,'SurveyRpt_20150223 (1)'!$A$34:$AN$735,38,FALSE)</f>
        <v>No</v>
      </c>
    </row>
    <row r="682" spans="1:23" ht="13.5" customHeight="1" x14ac:dyDescent="0.25">
      <c r="A682" s="19" t="s">
        <v>775</v>
      </c>
      <c r="B682" s="19" t="str">
        <f t="shared" si="10"/>
        <v>bdedic</v>
      </c>
      <c r="C682" s="16" t="str">
        <f>VLOOKUP(B682,'Compiled Agents'!A:H,2,FALSE)</f>
        <v>Workplace</v>
      </c>
      <c r="D682" s="16" t="str">
        <f>VLOOKUP(B682,'Compiled Agents'!A:H,4,FALSE)</f>
        <v>Spain</v>
      </c>
      <c r="E682" s="16" t="str">
        <f>VLOOKUP(B682,'Compiled Agents'!A:H,5,FALSE)</f>
        <v>Wave1</v>
      </c>
      <c r="F682" s="16" t="str">
        <f>VLOOKUP(B682,'Compiled Agents'!A:H,6,FALSE)</f>
        <v>Yellow</v>
      </c>
      <c r="G682" s="16">
        <f>VLOOKUP($A682,'SurveyRpt_20150223 (1)'!$A$34:$AN$735,6,FALSE)</f>
        <v>16</v>
      </c>
      <c r="H682" s="16" t="str">
        <f>VLOOKUP($A682,'SurveyRpt_20150223 (1)'!$A$34:$AN$735,8,FALSE)</f>
        <v>Yes</v>
      </c>
      <c r="I682" s="16" t="str">
        <f>VLOOKUP($A682,'SurveyRpt_20150223 (1)'!$A$34:$AN$735,10,FALSE)</f>
        <v>Yes</v>
      </c>
      <c r="J682" s="16" t="str">
        <f>VLOOKUP($A682,'SurveyRpt_20150223 (1)'!$A$34:$AN$735,12,FALSE)</f>
        <v>Yes</v>
      </c>
      <c r="K682" s="16" t="str">
        <f>VLOOKUP($A682,'SurveyRpt_20150223 (1)'!$A$34:$AN$735,14,FALSE)</f>
        <v>Yes</v>
      </c>
      <c r="L682" s="16" t="str">
        <f>VLOOKUP($A682,'SurveyRpt_20150223 (1)'!$A$34:$AN$735,16,FALSE)</f>
        <v>Yes</v>
      </c>
      <c r="M682" s="16" t="str">
        <f>VLOOKUP($A682,'SurveyRpt_20150223 (1)'!$A$34:$AN$735,18,FALSE)</f>
        <v>Yes</v>
      </c>
      <c r="N682" s="16" t="str">
        <f>VLOOKUP($A682,'SurveyRpt_20150223 (1)'!$A$34:$AN$735,20,FALSE)</f>
        <v>Yes</v>
      </c>
      <c r="O682" s="16" t="str">
        <f>VLOOKUP($A682,'SurveyRpt_20150223 (1)'!$A$34:$AN$735,22,FALSE)</f>
        <v>Yes</v>
      </c>
      <c r="P682" s="16" t="str">
        <f>VLOOKUP($A682,'SurveyRpt_20150223 (1)'!$A$34:$AN$735,24,FALSE)</f>
        <v>Yes</v>
      </c>
      <c r="Q682" s="16" t="str">
        <f>VLOOKUP($A682,'SurveyRpt_20150223 (1)'!$A$34:$AN$735,26,FALSE)</f>
        <v>Yes</v>
      </c>
      <c r="R682" s="16" t="str">
        <f>VLOOKUP($A682,'SurveyRpt_20150223 (1)'!$A$34:$AN$735,28,FALSE)</f>
        <v>Yes</v>
      </c>
      <c r="S682" s="16" t="str">
        <f>VLOOKUP($A682,'SurveyRpt_20150223 (1)'!$A$34:$AN$735,30,FALSE)</f>
        <v>Yes</v>
      </c>
      <c r="T682" s="16" t="str">
        <f>VLOOKUP($A682,'SurveyRpt_20150223 (1)'!$A$34:$AN$735,32,FALSE)</f>
        <v>Yes</v>
      </c>
      <c r="U682" s="16" t="str">
        <f>VLOOKUP($A682,'SurveyRpt_20150223 (1)'!$A$34:$AN$735,34,FALSE)</f>
        <v>Yes</v>
      </c>
      <c r="V682" s="16" t="str">
        <f>VLOOKUP($A682,'SurveyRpt_20150223 (1)'!$A$34:$AN$735,36,FALSE)</f>
        <v>Yes</v>
      </c>
      <c r="W682" s="16" t="str">
        <f>VLOOKUP($A682,'SurveyRpt_20150223 (1)'!$A$34:$AN$735,38,FALSE)</f>
        <v>Yes</v>
      </c>
    </row>
    <row r="683" spans="1:23" ht="13.5" customHeight="1" x14ac:dyDescent="0.25">
      <c r="A683" s="19" t="s">
        <v>776</v>
      </c>
      <c r="B683" s="19" t="str">
        <f t="shared" si="10"/>
        <v>avallinalast</v>
      </c>
      <c r="C683" s="16" t="str">
        <f>VLOOKUP(B683,'Compiled Agents'!A:H,2,FALSE)</f>
        <v>Platform</v>
      </c>
      <c r="D683" s="16" t="str">
        <f>VLOOKUP(B683,'Compiled Agents'!A:H,4,FALSE)</f>
        <v>Spain</v>
      </c>
      <c r="E683" s="16" t="str">
        <f>VLOOKUP(B683,'Compiled Agents'!A:H,5,FALSE)</f>
        <v>Wave1</v>
      </c>
      <c r="F683" s="16" t="str">
        <f>VLOOKUP(B683,'Compiled Agents'!A:H,6,FALSE)</f>
        <v>Purple</v>
      </c>
      <c r="G683" s="16">
        <f>VLOOKUP($A683,'SurveyRpt_20150223 (1)'!$A$34:$AN$735,6,FALSE)</f>
        <v>0</v>
      </c>
      <c r="H683" s="16" t="str">
        <f>VLOOKUP($A683,'SurveyRpt_20150223 (1)'!$A$34:$AN$735,8,FALSE)</f>
        <v>No</v>
      </c>
      <c r="I683" s="16" t="str">
        <f>VLOOKUP($A683,'SurveyRpt_20150223 (1)'!$A$34:$AN$735,10,FALSE)</f>
        <v>No</v>
      </c>
      <c r="J683" s="16" t="str">
        <f>VLOOKUP($A683,'SurveyRpt_20150223 (1)'!$A$34:$AN$735,12,FALSE)</f>
        <v>No</v>
      </c>
      <c r="K683" s="16" t="str">
        <f>VLOOKUP($A683,'SurveyRpt_20150223 (1)'!$A$34:$AN$735,14,FALSE)</f>
        <v>No</v>
      </c>
      <c r="L683" s="16" t="str">
        <f>VLOOKUP($A683,'SurveyRpt_20150223 (1)'!$A$34:$AN$735,16,FALSE)</f>
        <v>No</v>
      </c>
      <c r="M683" s="16" t="str">
        <f>VLOOKUP($A683,'SurveyRpt_20150223 (1)'!$A$34:$AN$735,18,FALSE)</f>
        <v>No</v>
      </c>
      <c r="N683" s="16" t="str">
        <f>VLOOKUP($A683,'SurveyRpt_20150223 (1)'!$A$34:$AN$735,20,FALSE)</f>
        <v>No</v>
      </c>
      <c r="O683" s="16" t="str">
        <f>VLOOKUP($A683,'SurveyRpt_20150223 (1)'!$A$34:$AN$735,22,FALSE)</f>
        <v>No</v>
      </c>
      <c r="P683" s="16" t="str">
        <f>VLOOKUP($A683,'SurveyRpt_20150223 (1)'!$A$34:$AN$735,24,FALSE)</f>
        <v>No</v>
      </c>
      <c r="Q683" s="16" t="str">
        <f>VLOOKUP($A683,'SurveyRpt_20150223 (1)'!$A$34:$AN$735,26,FALSE)</f>
        <v>No</v>
      </c>
      <c r="R683" s="16" t="str">
        <f>VLOOKUP($A683,'SurveyRpt_20150223 (1)'!$A$34:$AN$735,28,FALSE)</f>
        <v>No</v>
      </c>
      <c r="S683" s="16" t="str">
        <f>VLOOKUP($A683,'SurveyRpt_20150223 (1)'!$A$34:$AN$735,30,FALSE)</f>
        <v>No</v>
      </c>
      <c r="T683" s="16" t="str">
        <f>VLOOKUP($A683,'SurveyRpt_20150223 (1)'!$A$34:$AN$735,32,FALSE)</f>
        <v>No</v>
      </c>
      <c r="U683" s="16" t="str">
        <f>VLOOKUP($A683,'SurveyRpt_20150223 (1)'!$A$34:$AN$735,34,FALSE)</f>
        <v>No</v>
      </c>
      <c r="V683" s="16" t="str">
        <f>VLOOKUP($A683,'SurveyRpt_20150223 (1)'!$A$34:$AN$735,36,FALSE)</f>
        <v>No</v>
      </c>
      <c r="W683" s="16" t="str">
        <f>VLOOKUP($A683,'SurveyRpt_20150223 (1)'!$A$34:$AN$735,38,FALSE)</f>
        <v>No</v>
      </c>
    </row>
    <row r="684" spans="1:23" ht="13.5" customHeight="1" x14ac:dyDescent="0.25">
      <c r="A684" s="19" t="s">
        <v>777</v>
      </c>
      <c r="B684" s="19" t="str">
        <f t="shared" si="10"/>
        <v>ozachar2</v>
      </c>
      <c r="C684" s="16" t="str">
        <f>VLOOKUP(B684,'Compiled Agents'!A:H,2,FALSE)</f>
        <v>Workplace</v>
      </c>
      <c r="D684" s="16" t="str">
        <f>VLOOKUP(B684,'Compiled Agents'!A:H,4,FALSE)</f>
        <v>Spain</v>
      </c>
      <c r="E684" s="16" t="str">
        <f>VLOOKUP(B684,'Compiled Agents'!A:H,5,FALSE)</f>
        <v>Wave1</v>
      </c>
      <c r="F684" s="16" t="str">
        <f>VLOOKUP(B684,'Compiled Agents'!A:H,6,FALSE)</f>
        <v>Yellow</v>
      </c>
      <c r="G684" s="16">
        <f>VLOOKUP($A684,'SurveyRpt_20150223 (1)'!$A$34:$AN$735,6,FALSE)</f>
        <v>6</v>
      </c>
      <c r="H684" s="16" t="str">
        <f>VLOOKUP($A684,'SurveyRpt_20150223 (1)'!$A$34:$AN$735,8,FALSE)</f>
        <v>No</v>
      </c>
      <c r="I684" s="16" t="str">
        <f>VLOOKUP($A684,'SurveyRpt_20150223 (1)'!$A$34:$AN$735,10,FALSE)</f>
        <v>Yes</v>
      </c>
      <c r="J684" s="16" t="str">
        <f>VLOOKUP($A684,'SurveyRpt_20150223 (1)'!$A$34:$AN$735,12,FALSE)</f>
        <v>No</v>
      </c>
      <c r="K684" s="16" t="str">
        <f>VLOOKUP($A684,'SurveyRpt_20150223 (1)'!$A$34:$AN$735,14,FALSE)</f>
        <v>No</v>
      </c>
      <c r="L684" s="16" t="str">
        <f>VLOOKUP($A684,'SurveyRpt_20150223 (1)'!$A$34:$AN$735,16,FALSE)</f>
        <v>No</v>
      </c>
      <c r="M684" s="16" t="str">
        <f>VLOOKUP($A684,'SurveyRpt_20150223 (1)'!$A$34:$AN$735,18,FALSE)</f>
        <v>No</v>
      </c>
      <c r="N684" s="16" t="str">
        <f>VLOOKUP($A684,'SurveyRpt_20150223 (1)'!$A$34:$AN$735,20,FALSE)</f>
        <v>No</v>
      </c>
      <c r="O684" s="16" t="str">
        <f>VLOOKUP($A684,'SurveyRpt_20150223 (1)'!$A$34:$AN$735,22,FALSE)</f>
        <v>Yes</v>
      </c>
      <c r="P684" s="16" t="str">
        <f>VLOOKUP($A684,'SurveyRpt_20150223 (1)'!$A$34:$AN$735,24,FALSE)</f>
        <v>Yes</v>
      </c>
      <c r="Q684" s="16" t="str">
        <f>VLOOKUP($A684,'SurveyRpt_20150223 (1)'!$A$34:$AN$735,26,FALSE)</f>
        <v>Yes</v>
      </c>
      <c r="R684" s="16" t="str">
        <f>VLOOKUP($A684,'SurveyRpt_20150223 (1)'!$A$34:$AN$735,28,FALSE)</f>
        <v>Yes</v>
      </c>
      <c r="S684" s="16" t="str">
        <f>VLOOKUP($A684,'SurveyRpt_20150223 (1)'!$A$34:$AN$735,30,FALSE)</f>
        <v>Yes</v>
      </c>
      <c r="T684" s="16" t="str">
        <f>VLOOKUP($A684,'SurveyRpt_20150223 (1)'!$A$34:$AN$735,32,FALSE)</f>
        <v>No</v>
      </c>
      <c r="U684" s="16" t="str">
        <f>VLOOKUP($A684,'SurveyRpt_20150223 (1)'!$A$34:$AN$735,34,FALSE)</f>
        <v>No</v>
      </c>
      <c r="V684" s="16" t="str">
        <f>VLOOKUP($A684,'SurveyRpt_20150223 (1)'!$A$34:$AN$735,36,FALSE)</f>
        <v>No</v>
      </c>
      <c r="W684" s="16" t="str">
        <f>VLOOKUP($A684,'SurveyRpt_20150223 (1)'!$A$34:$AN$735,38,FALSE)</f>
        <v>No</v>
      </c>
    </row>
    <row r="685" spans="1:23" ht="13.5" customHeight="1" x14ac:dyDescent="0.25">
      <c r="A685" s="19" t="s">
        <v>778</v>
      </c>
      <c r="B685" s="19" t="str">
        <f t="shared" si="10"/>
        <v>jadamek</v>
      </c>
      <c r="C685" s="16" t="str">
        <f>VLOOKUP(B685,'Compiled Agents'!A:H,2,FALSE)</f>
        <v>Workplace</v>
      </c>
      <c r="D685" s="16" t="str">
        <f>VLOOKUP(B685,'Compiled Agents'!A:H,4,FALSE)</f>
        <v>Spain</v>
      </c>
      <c r="E685" s="16" t="str">
        <f>VLOOKUP(B685,'Compiled Agents'!A:H,5,FALSE)</f>
        <v>Wave1</v>
      </c>
      <c r="F685" s="16" t="str">
        <f>VLOOKUP(B685,'Compiled Agents'!A:H,6,FALSE)</f>
        <v>Yellow</v>
      </c>
      <c r="G685" s="16">
        <f>VLOOKUP($A685,'SurveyRpt_20150223 (1)'!$A$34:$AN$735,6,FALSE)</f>
        <v>13</v>
      </c>
      <c r="H685" s="16" t="str">
        <f>VLOOKUP($A685,'SurveyRpt_20150223 (1)'!$A$34:$AN$735,8,FALSE)</f>
        <v>No</v>
      </c>
      <c r="I685" s="16" t="str">
        <f>VLOOKUP($A685,'SurveyRpt_20150223 (1)'!$A$34:$AN$735,10,FALSE)</f>
        <v>Yes</v>
      </c>
      <c r="J685" s="16" t="str">
        <f>VLOOKUP($A685,'SurveyRpt_20150223 (1)'!$A$34:$AN$735,12,FALSE)</f>
        <v>Yes</v>
      </c>
      <c r="K685" s="16" t="str">
        <f>VLOOKUP($A685,'SurveyRpt_20150223 (1)'!$A$34:$AN$735,14,FALSE)</f>
        <v>No</v>
      </c>
      <c r="L685" s="16" t="str">
        <f>VLOOKUP($A685,'SurveyRpt_20150223 (1)'!$A$34:$AN$735,16,FALSE)</f>
        <v>No</v>
      </c>
      <c r="M685" s="16" t="str">
        <f>VLOOKUP($A685,'SurveyRpt_20150223 (1)'!$A$34:$AN$735,18,FALSE)</f>
        <v>Yes</v>
      </c>
      <c r="N685" s="16" t="str">
        <f>VLOOKUP($A685,'SurveyRpt_20150223 (1)'!$A$34:$AN$735,20,FALSE)</f>
        <v>Yes</v>
      </c>
      <c r="O685" s="16" t="str">
        <f>VLOOKUP($A685,'SurveyRpt_20150223 (1)'!$A$34:$AN$735,22,FALSE)</f>
        <v>Yes</v>
      </c>
      <c r="P685" s="16" t="str">
        <f>VLOOKUP($A685,'SurveyRpt_20150223 (1)'!$A$34:$AN$735,24,FALSE)</f>
        <v>Yes</v>
      </c>
      <c r="Q685" s="16" t="str">
        <f>VLOOKUP($A685,'SurveyRpt_20150223 (1)'!$A$34:$AN$735,26,FALSE)</f>
        <v>Yes</v>
      </c>
      <c r="R685" s="16" t="str">
        <f>VLOOKUP($A685,'SurveyRpt_20150223 (1)'!$A$34:$AN$735,28,FALSE)</f>
        <v>Yes</v>
      </c>
      <c r="S685" s="16" t="str">
        <f>VLOOKUP($A685,'SurveyRpt_20150223 (1)'!$A$34:$AN$735,30,FALSE)</f>
        <v>Yes</v>
      </c>
      <c r="T685" s="16" t="str">
        <f>VLOOKUP($A685,'SurveyRpt_20150223 (1)'!$A$34:$AN$735,32,FALSE)</f>
        <v>Yes</v>
      </c>
      <c r="U685" s="16" t="str">
        <f>VLOOKUP($A685,'SurveyRpt_20150223 (1)'!$A$34:$AN$735,34,FALSE)</f>
        <v>Yes</v>
      </c>
      <c r="V685" s="16" t="str">
        <f>VLOOKUP($A685,'SurveyRpt_20150223 (1)'!$A$34:$AN$735,36,FALSE)</f>
        <v>Yes</v>
      </c>
      <c r="W685" s="16" t="str">
        <f>VLOOKUP($A685,'SurveyRpt_20150223 (1)'!$A$34:$AN$735,38,FALSE)</f>
        <v>Yes</v>
      </c>
    </row>
    <row r="686" spans="1:23" ht="13.5" customHeight="1" x14ac:dyDescent="0.25">
      <c r="A686" s="19" t="s">
        <v>779</v>
      </c>
      <c r="B686" s="19" t="str">
        <f t="shared" si="10"/>
        <v>PTHAPLIYAL</v>
      </c>
      <c r="C686" s="16" t="str">
        <f>VLOOKUP(B686,'Compiled Agents'!A:H,2,FALSE)</f>
        <v>Workplace</v>
      </c>
      <c r="D686" s="16" t="str">
        <f>VLOOKUP(B686,'Compiled Agents'!A:H,4,FALSE)</f>
        <v>Noida</v>
      </c>
      <c r="E686" s="16" t="str">
        <f>VLOOKUP(B686,'Compiled Agents'!A:H,5,FALSE)</f>
        <v>Wave1</v>
      </c>
      <c r="F686" s="16" t="str">
        <f>VLOOKUP(B686,'Compiled Agents'!A:H,6,FALSE)</f>
        <v>Yellow</v>
      </c>
      <c r="G686" s="16">
        <f>VLOOKUP($A686,'SurveyRpt_20150223 (1)'!$A$34:$AN$735,6,FALSE)</f>
        <v>16</v>
      </c>
      <c r="H686" s="16" t="str">
        <f>VLOOKUP($A686,'SurveyRpt_20150223 (1)'!$A$34:$AN$735,8,FALSE)</f>
        <v>Yes</v>
      </c>
      <c r="I686" s="16" t="str">
        <f>VLOOKUP($A686,'SurveyRpt_20150223 (1)'!$A$34:$AN$735,10,FALSE)</f>
        <v>Yes</v>
      </c>
      <c r="J686" s="16" t="str">
        <f>VLOOKUP($A686,'SurveyRpt_20150223 (1)'!$A$34:$AN$735,12,FALSE)</f>
        <v>Yes</v>
      </c>
      <c r="K686" s="16" t="str">
        <f>VLOOKUP($A686,'SurveyRpt_20150223 (1)'!$A$34:$AN$735,14,FALSE)</f>
        <v>Yes</v>
      </c>
      <c r="L686" s="16" t="str">
        <f>VLOOKUP($A686,'SurveyRpt_20150223 (1)'!$A$34:$AN$735,16,FALSE)</f>
        <v>Yes</v>
      </c>
      <c r="M686" s="16" t="str">
        <f>VLOOKUP($A686,'SurveyRpt_20150223 (1)'!$A$34:$AN$735,18,FALSE)</f>
        <v>Yes</v>
      </c>
      <c r="N686" s="16" t="str">
        <f>VLOOKUP($A686,'SurveyRpt_20150223 (1)'!$A$34:$AN$735,20,FALSE)</f>
        <v>Yes</v>
      </c>
      <c r="O686" s="16" t="str">
        <f>VLOOKUP($A686,'SurveyRpt_20150223 (1)'!$A$34:$AN$735,22,FALSE)</f>
        <v>Yes</v>
      </c>
      <c r="P686" s="16" t="str">
        <f>VLOOKUP($A686,'SurveyRpt_20150223 (1)'!$A$34:$AN$735,24,FALSE)</f>
        <v>Yes</v>
      </c>
      <c r="Q686" s="16" t="str">
        <f>VLOOKUP($A686,'SurveyRpt_20150223 (1)'!$A$34:$AN$735,26,FALSE)</f>
        <v>Yes</v>
      </c>
      <c r="R686" s="16" t="str">
        <f>VLOOKUP($A686,'SurveyRpt_20150223 (1)'!$A$34:$AN$735,28,FALSE)</f>
        <v>Yes</v>
      </c>
      <c r="S686" s="16" t="str">
        <f>VLOOKUP($A686,'SurveyRpt_20150223 (1)'!$A$34:$AN$735,30,FALSE)</f>
        <v>Yes</v>
      </c>
      <c r="T686" s="16" t="str">
        <f>VLOOKUP($A686,'SurveyRpt_20150223 (1)'!$A$34:$AN$735,32,FALSE)</f>
        <v>Yes</v>
      </c>
      <c r="U686" s="16" t="str">
        <f>VLOOKUP($A686,'SurveyRpt_20150223 (1)'!$A$34:$AN$735,34,FALSE)</f>
        <v>Yes</v>
      </c>
      <c r="V686" s="16" t="str">
        <f>VLOOKUP($A686,'SurveyRpt_20150223 (1)'!$A$34:$AN$735,36,FALSE)</f>
        <v>Yes</v>
      </c>
      <c r="W686" s="16" t="str">
        <f>VLOOKUP($A686,'SurveyRpt_20150223 (1)'!$A$34:$AN$735,38,FALSE)</f>
        <v>Yes</v>
      </c>
    </row>
    <row r="687" spans="1:23" ht="13.5" customHeight="1" x14ac:dyDescent="0.25">
      <c r="A687" s="19" t="s">
        <v>780</v>
      </c>
      <c r="B687" s="19" t="str">
        <f t="shared" si="10"/>
        <v>PSAMBASIVAN</v>
      </c>
      <c r="C687" s="16" t="str">
        <f>VLOOKUP(B687,'Compiled Agents'!A:H,2,FALSE)</f>
        <v>Workplace</v>
      </c>
      <c r="D687" s="16" t="str">
        <f>VLOOKUP(B687,'Compiled Agents'!A:H,4,FALSE)</f>
        <v>Noida</v>
      </c>
      <c r="E687" s="16" t="str">
        <f>VLOOKUP(B687,'Compiled Agents'!A:H,5,FALSE)</f>
        <v>Wave1</v>
      </c>
      <c r="F687" s="16" t="str">
        <f>VLOOKUP(B687,'Compiled Agents'!A:H,6,FALSE)</f>
        <v>Yellow</v>
      </c>
      <c r="G687" s="16">
        <f>VLOOKUP($A687,'SurveyRpt_20150223 (1)'!$A$34:$AN$735,6,FALSE)</f>
        <v>12</v>
      </c>
      <c r="H687" s="16" t="str">
        <f>VLOOKUP($A687,'SurveyRpt_20150223 (1)'!$A$34:$AN$735,8,FALSE)</f>
        <v>Yes</v>
      </c>
      <c r="I687" s="16" t="str">
        <f>VLOOKUP($A687,'SurveyRpt_20150223 (1)'!$A$34:$AN$735,10,FALSE)</f>
        <v>Yes</v>
      </c>
      <c r="J687" s="16" t="str">
        <f>VLOOKUP($A687,'SurveyRpt_20150223 (1)'!$A$34:$AN$735,12,FALSE)</f>
        <v>Yes</v>
      </c>
      <c r="K687" s="16" t="str">
        <f>VLOOKUP($A687,'SurveyRpt_20150223 (1)'!$A$34:$AN$735,14,FALSE)</f>
        <v>Yes</v>
      </c>
      <c r="L687" s="16" t="str">
        <f>VLOOKUP($A687,'SurveyRpt_20150223 (1)'!$A$34:$AN$735,16,FALSE)</f>
        <v>No</v>
      </c>
      <c r="M687" s="16" t="str">
        <f>VLOOKUP($A687,'SurveyRpt_20150223 (1)'!$A$34:$AN$735,18,FALSE)</f>
        <v>Yes</v>
      </c>
      <c r="N687" s="16" t="str">
        <f>VLOOKUP($A687,'SurveyRpt_20150223 (1)'!$A$34:$AN$735,20,FALSE)</f>
        <v>No</v>
      </c>
      <c r="O687" s="16" t="str">
        <f>VLOOKUP($A687,'SurveyRpt_20150223 (1)'!$A$34:$AN$735,22,FALSE)</f>
        <v>No</v>
      </c>
      <c r="P687" s="16" t="str">
        <f>VLOOKUP($A687,'SurveyRpt_20150223 (1)'!$A$34:$AN$735,24,FALSE)</f>
        <v>Yes</v>
      </c>
      <c r="Q687" s="16" t="str">
        <f>VLOOKUP($A687,'SurveyRpt_20150223 (1)'!$A$34:$AN$735,26,FALSE)</f>
        <v>Yes</v>
      </c>
      <c r="R687" s="16" t="str">
        <f>VLOOKUP($A687,'SurveyRpt_20150223 (1)'!$A$34:$AN$735,28,FALSE)</f>
        <v>Yes</v>
      </c>
      <c r="S687" s="16" t="str">
        <f>VLOOKUP($A687,'SurveyRpt_20150223 (1)'!$A$34:$AN$735,30,FALSE)</f>
        <v>Yes</v>
      </c>
      <c r="T687" s="16" t="str">
        <f>VLOOKUP($A687,'SurveyRpt_20150223 (1)'!$A$34:$AN$735,32,FALSE)</f>
        <v>Yes</v>
      </c>
      <c r="U687" s="16" t="str">
        <f>VLOOKUP($A687,'SurveyRpt_20150223 (1)'!$A$34:$AN$735,34,FALSE)</f>
        <v>No</v>
      </c>
      <c r="V687" s="16" t="str">
        <f>VLOOKUP($A687,'SurveyRpt_20150223 (1)'!$A$34:$AN$735,36,FALSE)</f>
        <v>Yes</v>
      </c>
      <c r="W687" s="16" t="str">
        <f>VLOOKUP($A687,'SurveyRpt_20150223 (1)'!$A$34:$AN$735,38,FALSE)</f>
        <v>Yes</v>
      </c>
    </row>
    <row r="688" spans="1:23" ht="13.5" customHeight="1" x14ac:dyDescent="0.25">
      <c r="A688" s="19" t="s">
        <v>781</v>
      </c>
      <c r="B688" s="19" t="str">
        <f t="shared" si="10"/>
        <v>rmenendezfer</v>
      </c>
      <c r="C688" s="16" t="str">
        <f>VLOOKUP(B688,'Compiled Agents'!A:H,2,FALSE)</f>
        <v>Platform</v>
      </c>
      <c r="D688" s="16" t="str">
        <f>VLOOKUP(B688,'Compiled Agents'!A:H,4,FALSE)</f>
        <v>Spain</v>
      </c>
      <c r="E688" s="16" t="str">
        <f>VLOOKUP(B688,'Compiled Agents'!A:H,5,FALSE)</f>
        <v>Wave1</v>
      </c>
      <c r="F688" s="16" t="str">
        <f>VLOOKUP(B688,'Compiled Agents'!A:H,6,FALSE)</f>
        <v>Yellow</v>
      </c>
      <c r="G688" s="16">
        <f>VLOOKUP($A688,'SurveyRpt_20150223 (1)'!$A$34:$AN$735,6,FALSE)</f>
        <v>9</v>
      </c>
      <c r="H688" s="16" t="str">
        <f>VLOOKUP($A688,'SurveyRpt_20150223 (1)'!$A$34:$AN$735,8,FALSE)</f>
        <v>Yes</v>
      </c>
      <c r="I688" s="16" t="str">
        <f>VLOOKUP($A688,'SurveyRpt_20150223 (1)'!$A$34:$AN$735,10,FALSE)</f>
        <v>Yes</v>
      </c>
      <c r="J688" s="16" t="str">
        <f>VLOOKUP($A688,'SurveyRpt_20150223 (1)'!$A$34:$AN$735,12,FALSE)</f>
        <v>Yes</v>
      </c>
      <c r="K688" s="16" t="str">
        <f>VLOOKUP($A688,'SurveyRpt_20150223 (1)'!$A$34:$AN$735,14,FALSE)</f>
        <v>Yes</v>
      </c>
      <c r="L688" s="16" t="str">
        <f>VLOOKUP($A688,'SurveyRpt_20150223 (1)'!$A$34:$AN$735,16,FALSE)</f>
        <v>No</v>
      </c>
      <c r="M688" s="16" t="str">
        <f>VLOOKUP($A688,'SurveyRpt_20150223 (1)'!$A$34:$AN$735,18,FALSE)</f>
        <v>Yes</v>
      </c>
      <c r="N688" s="16" t="str">
        <f>VLOOKUP($A688,'SurveyRpt_20150223 (1)'!$A$34:$AN$735,20,FALSE)</f>
        <v>No</v>
      </c>
      <c r="O688" s="16" t="str">
        <f>VLOOKUP($A688,'SurveyRpt_20150223 (1)'!$A$34:$AN$735,22,FALSE)</f>
        <v>No</v>
      </c>
      <c r="P688" s="16" t="str">
        <f>VLOOKUP($A688,'SurveyRpt_20150223 (1)'!$A$34:$AN$735,24,FALSE)</f>
        <v>Yes</v>
      </c>
      <c r="Q688" s="16" t="str">
        <f>VLOOKUP($A688,'SurveyRpt_20150223 (1)'!$A$34:$AN$735,26,FALSE)</f>
        <v>Yes</v>
      </c>
      <c r="R688" s="16" t="str">
        <f>VLOOKUP($A688,'SurveyRpt_20150223 (1)'!$A$34:$AN$735,28,FALSE)</f>
        <v>Yes</v>
      </c>
      <c r="S688" s="16" t="str">
        <f>VLOOKUP($A688,'SurveyRpt_20150223 (1)'!$A$34:$AN$735,30,FALSE)</f>
        <v>No</v>
      </c>
      <c r="T688" s="16" t="str">
        <f>VLOOKUP($A688,'SurveyRpt_20150223 (1)'!$A$34:$AN$735,32,FALSE)</f>
        <v>No</v>
      </c>
      <c r="U688" s="16" t="str">
        <f>VLOOKUP($A688,'SurveyRpt_20150223 (1)'!$A$34:$AN$735,34,FALSE)</f>
        <v>No</v>
      </c>
      <c r="V688" s="16" t="str">
        <f>VLOOKUP($A688,'SurveyRpt_20150223 (1)'!$A$34:$AN$735,36,FALSE)</f>
        <v>Yes</v>
      </c>
      <c r="W688" s="16" t="str">
        <f>VLOOKUP($A688,'SurveyRpt_20150223 (1)'!$A$34:$AN$735,38,FALSE)</f>
        <v>No</v>
      </c>
    </row>
    <row r="689" spans="1:23" ht="13.5" customHeight="1" x14ac:dyDescent="0.25">
      <c r="A689" s="19" t="s">
        <v>782</v>
      </c>
      <c r="B689" s="19" t="str">
        <f t="shared" si="10"/>
        <v>AGUPTA237</v>
      </c>
      <c r="C689" s="16" t="str">
        <f>VLOOKUP(B689,'Compiled Agents'!A:H,2,FALSE)</f>
        <v>Workplace</v>
      </c>
      <c r="D689" s="16" t="str">
        <f>VLOOKUP(B689,'Compiled Agents'!A:H,4,FALSE)</f>
        <v>Noida</v>
      </c>
      <c r="E689" s="16" t="str">
        <f>VLOOKUP(B689,'Compiled Agents'!A:H,5,FALSE)</f>
        <v>Wave1</v>
      </c>
      <c r="F689" s="16" t="str">
        <f>VLOOKUP(B689,'Compiled Agents'!A:H,6,FALSE)</f>
        <v>Purple</v>
      </c>
      <c r="G689" s="16">
        <f>VLOOKUP($A689,'SurveyRpt_20150223 (1)'!$A$34:$AN$735,6,FALSE)</f>
        <v>10</v>
      </c>
      <c r="H689" s="16" t="str">
        <f>VLOOKUP($A689,'SurveyRpt_20150223 (1)'!$A$34:$AN$735,8,FALSE)</f>
        <v>Yes</v>
      </c>
      <c r="I689" s="16" t="str">
        <f>VLOOKUP($A689,'SurveyRpt_20150223 (1)'!$A$34:$AN$735,10,FALSE)</f>
        <v>Yes</v>
      </c>
      <c r="J689" s="16" t="str">
        <f>VLOOKUP($A689,'SurveyRpt_20150223 (1)'!$A$34:$AN$735,12,FALSE)</f>
        <v>Yes</v>
      </c>
      <c r="K689" s="16" t="str">
        <f>VLOOKUP($A689,'SurveyRpt_20150223 (1)'!$A$34:$AN$735,14,FALSE)</f>
        <v>Yes</v>
      </c>
      <c r="L689" s="16" t="str">
        <f>VLOOKUP($A689,'SurveyRpt_20150223 (1)'!$A$34:$AN$735,16,FALSE)</f>
        <v>No</v>
      </c>
      <c r="M689" s="16" t="str">
        <f>VLOOKUP($A689,'SurveyRpt_20150223 (1)'!$A$34:$AN$735,18,FALSE)</f>
        <v>No</v>
      </c>
      <c r="N689" s="16" t="str">
        <f>VLOOKUP($A689,'SurveyRpt_20150223 (1)'!$A$34:$AN$735,20,FALSE)</f>
        <v>No</v>
      </c>
      <c r="O689" s="16" t="str">
        <f>VLOOKUP($A689,'SurveyRpt_20150223 (1)'!$A$34:$AN$735,22,FALSE)</f>
        <v>Yes</v>
      </c>
      <c r="P689" s="16" t="str">
        <f>VLOOKUP($A689,'SurveyRpt_20150223 (1)'!$A$34:$AN$735,24,FALSE)</f>
        <v>Yes</v>
      </c>
      <c r="Q689" s="16" t="str">
        <f>VLOOKUP($A689,'SurveyRpt_20150223 (1)'!$A$34:$AN$735,26,FALSE)</f>
        <v>Yes</v>
      </c>
      <c r="R689" s="16" t="str">
        <f>VLOOKUP($A689,'SurveyRpt_20150223 (1)'!$A$34:$AN$735,28,FALSE)</f>
        <v>Yes</v>
      </c>
      <c r="S689" s="16" t="str">
        <f>VLOOKUP($A689,'SurveyRpt_20150223 (1)'!$A$34:$AN$735,30,FALSE)</f>
        <v>Yes</v>
      </c>
      <c r="T689" s="16" t="str">
        <f>VLOOKUP($A689,'SurveyRpt_20150223 (1)'!$A$34:$AN$735,32,FALSE)</f>
        <v>No</v>
      </c>
      <c r="U689" s="16" t="str">
        <f>VLOOKUP($A689,'SurveyRpt_20150223 (1)'!$A$34:$AN$735,34,FALSE)</f>
        <v>No</v>
      </c>
      <c r="V689" s="16" t="str">
        <f>VLOOKUP($A689,'SurveyRpt_20150223 (1)'!$A$34:$AN$735,36,FALSE)</f>
        <v>Yes</v>
      </c>
      <c r="W689" s="16" t="str">
        <f>VLOOKUP($A689,'SurveyRpt_20150223 (1)'!$A$34:$AN$735,38,FALSE)</f>
        <v>No</v>
      </c>
    </row>
    <row r="690" spans="1:23" ht="13.5" customHeight="1" x14ac:dyDescent="0.25">
      <c r="A690" s="19" t="s">
        <v>783</v>
      </c>
      <c r="B690" s="19" t="str">
        <f t="shared" si="10"/>
        <v>kmoore43</v>
      </c>
      <c r="C690" s="16" t="str">
        <f>VLOOKUP(B690,'Compiled Agents'!A:H,2,FALSE)</f>
        <v>Platform</v>
      </c>
      <c r="D690" s="16" t="str">
        <f>VLOOKUP(B690,'Compiled Agents'!A:H,4,FALSE)</f>
        <v>MBC US</v>
      </c>
      <c r="E690" s="16" t="str">
        <f>VLOOKUP(B690,'Compiled Agents'!A:H,5,FALSE)</f>
        <v>Wave2</v>
      </c>
      <c r="F690" s="16" t="str">
        <f>VLOOKUP(B690,'Compiled Agents'!A:H,6,FALSE)</f>
        <v>Orange</v>
      </c>
      <c r="G690" s="16">
        <f>VLOOKUP($A690,'SurveyRpt_20150223 (1)'!$A$34:$AN$735,6,FALSE)</f>
        <v>5</v>
      </c>
      <c r="H690" s="16" t="str">
        <f>VLOOKUP($A690,'SurveyRpt_20150223 (1)'!$A$34:$AN$735,8,FALSE)</f>
        <v>No</v>
      </c>
      <c r="I690" s="16" t="str">
        <f>VLOOKUP($A690,'SurveyRpt_20150223 (1)'!$A$34:$AN$735,10,FALSE)</f>
        <v>No</v>
      </c>
      <c r="J690" s="16" t="str">
        <f>VLOOKUP($A690,'SurveyRpt_20150223 (1)'!$A$34:$AN$735,12,FALSE)</f>
        <v>No</v>
      </c>
      <c r="K690" s="16" t="str">
        <f>VLOOKUP($A690,'SurveyRpt_20150223 (1)'!$A$34:$AN$735,14,FALSE)</f>
        <v>No</v>
      </c>
      <c r="L690" s="16" t="str">
        <f>VLOOKUP($A690,'SurveyRpt_20150223 (1)'!$A$34:$AN$735,16,FALSE)</f>
        <v>No</v>
      </c>
      <c r="M690" s="16" t="str">
        <f>VLOOKUP($A690,'SurveyRpt_20150223 (1)'!$A$34:$AN$735,18,FALSE)</f>
        <v>Yes</v>
      </c>
      <c r="N690" s="16" t="str">
        <f>VLOOKUP($A690,'SurveyRpt_20150223 (1)'!$A$34:$AN$735,20,FALSE)</f>
        <v>No</v>
      </c>
      <c r="O690" s="16" t="str">
        <f>VLOOKUP($A690,'SurveyRpt_20150223 (1)'!$A$34:$AN$735,22,FALSE)</f>
        <v>No</v>
      </c>
      <c r="P690" s="16" t="str">
        <f>VLOOKUP($A690,'SurveyRpt_20150223 (1)'!$A$34:$AN$735,24,FALSE)</f>
        <v>No</v>
      </c>
      <c r="Q690" s="16" t="str">
        <f>VLOOKUP($A690,'SurveyRpt_20150223 (1)'!$A$34:$AN$735,26,FALSE)</f>
        <v>No</v>
      </c>
      <c r="R690" s="16" t="str">
        <f>VLOOKUP($A690,'SurveyRpt_20150223 (1)'!$A$34:$AN$735,28,FALSE)</f>
        <v>No</v>
      </c>
      <c r="S690" s="16" t="str">
        <f>VLOOKUP($A690,'SurveyRpt_20150223 (1)'!$A$34:$AN$735,30,FALSE)</f>
        <v>No</v>
      </c>
      <c r="T690" s="16" t="str">
        <f>VLOOKUP($A690,'SurveyRpt_20150223 (1)'!$A$34:$AN$735,32,FALSE)</f>
        <v>Yes</v>
      </c>
      <c r="U690" s="16" t="str">
        <f>VLOOKUP($A690,'SurveyRpt_20150223 (1)'!$A$34:$AN$735,34,FALSE)</f>
        <v>Yes</v>
      </c>
      <c r="V690" s="16" t="str">
        <f>VLOOKUP($A690,'SurveyRpt_20150223 (1)'!$A$34:$AN$735,36,FALSE)</f>
        <v>Yes</v>
      </c>
      <c r="W690" s="16" t="str">
        <f>VLOOKUP($A690,'SurveyRpt_20150223 (1)'!$A$34:$AN$735,38,FALSE)</f>
        <v>Yes</v>
      </c>
    </row>
    <row r="691" spans="1:23" ht="13.5" customHeight="1" x14ac:dyDescent="0.25">
      <c r="A691" s="19" t="s">
        <v>784</v>
      </c>
      <c r="B691" s="19" t="str">
        <f t="shared" si="10"/>
        <v>VVEMURI4</v>
      </c>
      <c r="C691" s="16" t="str">
        <f>VLOOKUP(B691,'Compiled Agents'!A:H,2,FALSE)</f>
        <v>Platform</v>
      </c>
      <c r="D691" s="16" t="str">
        <f>VLOOKUP(B691,'Compiled Agents'!A:H,4,FALSE)</f>
        <v>Hyderabad</v>
      </c>
      <c r="E691" s="16" t="str">
        <f>VLOOKUP(B691,'Compiled Agents'!A:H,5,FALSE)</f>
        <v>Wave1</v>
      </c>
      <c r="F691" s="16" t="str">
        <f>VLOOKUP(B691,'Compiled Agents'!A:H,6,FALSE)</f>
        <v>Yellow</v>
      </c>
      <c r="G691" s="16">
        <f>VLOOKUP($A691,'SurveyRpt_20150223 (1)'!$A$34:$AN$735,6,FALSE)</f>
        <v>16</v>
      </c>
      <c r="H691" s="16" t="str">
        <f>VLOOKUP($A691,'SurveyRpt_20150223 (1)'!$A$34:$AN$735,8,FALSE)</f>
        <v>Yes</v>
      </c>
      <c r="I691" s="16" t="str">
        <f>VLOOKUP($A691,'SurveyRpt_20150223 (1)'!$A$34:$AN$735,10,FALSE)</f>
        <v>Yes</v>
      </c>
      <c r="J691" s="16" t="str">
        <f>VLOOKUP($A691,'SurveyRpt_20150223 (1)'!$A$34:$AN$735,12,FALSE)</f>
        <v>Yes</v>
      </c>
      <c r="K691" s="16" t="str">
        <f>VLOOKUP($A691,'SurveyRpt_20150223 (1)'!$A$34:$AN$735,14,FALSE)</f>
        <v>Yes</v>
      </c>
      <c r="L691" s="16" t="str">
        <f>VLOOKUP($A691,'SurveyRpt_20150223 (1)'!$A$34:$AN$735,16,FALSE)</f>
        <v>Yes</v>
      </c>
      <c r="M691" s="16" t="str">
        <f>VLOOKUP($A691,'SurveyRpt_20150223 (1)'!$A$34:$AN$735,18,FALSE)</f>
        <v>Yes</v>
      </c>
      <c r="N691" s="16" t="str">
        <f>VLOOKUP($A691,'SurveyRpt_20150223 (1)'!$A$34:$AN$735,20,FALSE)</f>
        <v>Yes</v>
      </c>
      <c r="O691" s="16" t="str">
        <f>VLOOKUP($A691,'SurveyRpt_20150223 (1)'!$A$34:$AN$735,22,FALSE)</f>
        <v>Yes</v>
      </c>
      <c r="P691" s="16" t="str">
        <f>VLOOKUP($A691,'SurveyRpt_20150223 (1)'!$A$34:$AN$735,24,FALSE)</f>
        <v>Yes</v>
      </c>
      <c r="Q691" s="16" t="str">
        <f>VLOOKUP($A691,'SurveyRpt_20150223 (1)'!$A$34:$AN$735,26,FALSE)</f>
        <v>Yes</v>
      </c>
      <c r="R691" s="16" t="str">
        <f>VLOOKUP($A691,'SurveyRpt_20150223 (1)'!$A$34:$AN$735,28,FALSE)</f>
        <v>Yes</v>
      </c>
      <c r="S691" s="16" t="str">
        <f>VLOOKUP($A691,'SurveyRpt_20150223 (1)'!$A$34:$AN$735,30,FALSE)</f>
        <v>Yes</v>
      </c>
      <c r="T691" s="16" t="str">
        <f>VLOOKUP($A691,'SurveyRpt_20150223 (1)'!$A$34:$AN$735,32,FALSE)</f>
        <v>Yes</v>
      </c>
      <c r="U691" s="16" t="str">
        <f>VLOOKUP($A691,'SurveyRpt_20150223 (1)'!$A$34:$AN$735,34,FALSE)</f>
        <v>Yes</v>
      </c>
      <c r="V691" s="16" t="str">
        <f>VLOOKUP($A691,'SurveyRpt_20150223 (1)'!$A$34:$AN$735,36,FALSE)</f>
        <v>Yes</v>
      </c>
      <c r="W691" s="16" t="str">
        <f>VLOOKUP($A691,'SurveyRpt_20150223 (1)'!$A$34:$AN$735,38,FALSE)</f>
        <v>Yes</v>
      </c>
    </row>
    <row r="692" spans="1:23" ht="13.5" customHeight="1" x14ac:dyDescent="0.25">
      <c r="A692" s="19" t="s">
        <v>785</v>
      </c>
      <c r="B692" s="19" t="str">
        <f t="shared" si="10"/>
        <v>PRAJASEKAR2</v>
      </c>
      <c r="C692" s="16" t="str">
        <f>VLOOKUP(B692,'Compiled Agents'!A:H,2,FALSE)</f>
        <v>Workplace</v>
      </c>
      <c r="D692" s="16" t="str">
        <f>VLOOKUP(B692,'Compiled Agents'!A:H,4,FALSE)</f>
        <v>Noida</v>
      </c>
      <c r="E692" s="16" t="str">
        <f>VLOOKUP(B692,'Compiled Agents'!A:H,5,FALSE)</f>
        <v>Wave1</v>
      </c>
      <c r="F692" s="16" t="str">
        <f>VLOOKUP(B692,'Compiled Agents'!A:H,6,FALSE)</f>
        <v>Yellow</v>
      </c>
      <c r="G692" s="16">
        <f>VLOOKUP($A692,'SurveyRpt_20150223 (1)'!$A$34:$AN$735,6,FALSE)</f>
        <v>16</v>
      </c>
      <c r="H692" s="16" t="str">
        <f>VLOOKUP($A692,'SurveyRpt_20150223 (1)'!$A$34:$AN$735,8,FALSE)</f>
        <v>Yes</v>
      </c>
      <c r="I692" s="16" t="str">
        <f>VLOOKUP($A692,'SurveyRpt_20150223 (1)'!$A$34:$AN$735,10,FALSE)</f>
        <v>Yes</v>
      </c>
      <c r="J692" s="16" t="str">
        <f>VLOOKUP($A692,'SurveyRpt_20150223 (1)'!$A$34:$AN$735,12,FALSE)</f>
        <v>Yes</v>
      </c>
      <c r="K692" s="16" t="str">
        <f>VLOOKUP($A692,'SurveyRpt_20150223 (1)'!$A$34:$AN$735,14,FALSE)</f>
        <v>Yes</v>
      </c>
      <c r="L692" s="16" t="str">
        <f>VLOOKUP($A692,'SurveyRpt_20150223 (1)'!$A$34:$AN$735,16,FALSE)</f>
        <v>Yes</v>
      </c>
      <c r="M692" s="16" t="str">
        <f>VLOOKUP($A692,'SurveyRpt_20150223 (1)'!$A$34:$AN$735,18,FALSE)</f>
        <v>Yes</v>
      </c>
      <c r="N692" s="16" t="str">
        <f>VLOOKUP($A692,'SurveyRpt_20150223 (1)'!$A$34:$AN$735,20,FALSE)</f>
        <v>Yes</v>
      </c>
      <c r="O692" s="16" t="str">
        <f>VLOOKUP($A692,'SurveyRpt_20150223 (1)'!$A$34:$AN$735,22,FALSE)</f>
        <v>Yes</v>
      </c>
      <c r="P692" s="16" t="str">
        <f>VLOOKUP($A692,'SurveyRpt_20150223 (1)'!$A$34:$AN$735,24,FALSE)</f>
        <v>Yes</v>
      </c>
      <c r="Q692" s="16" t="str">
        <f>VLOOKUP($A692,'SurveyRpt_20150223 (1)'!$A$34:$AN$735,26,FALSE)</f>
        <v>Yes</v>
      </c>
      <c r="R692" s="16" t="str">
        <f>VLOOKUP($A692,'SurveyRpt_20150223 (1)'!$A$34:$AN$735,28,FALSE)</f>
        <v>Yes</v>
      </c>
      <c r="S692" s="16" t="str">
        <f>VLOOKUP($A692,'SurveyRpt_20150223 (1)'!$A$34:$AN$735,30,FALSE)</f>
        <v>Yes</v>
      </c>
      <c r="T692" s="16" t="str">
        <f>VLOOKUP($A692,'SurveyRpt_20150223 (1)'!$A$34:$AN$735,32,FALSE)</f>
        <v>Yes</v>
      </c>
      <c r="U692" s="16" t="str">
        <f>VLOOKUP($A692,'SurveyRpt_20150223 (1)'!$A$34:$AN$735,34,FALSE)</f>
        <v>Yes</v>
      </c>
      <c r="V692" s="16" t="str">
        <f>VLOOKUP($A692,'SurveyRpt_20150223 (1)'!$A$34:$AN$735,36,FALSE)</f>
        <v>Yes</v>
      </c>
      <c r="W692" s="16" t="str">
        <f>VLOOKUP($A692,'SurveyRpt_20150223 (1)'!$A$34:$AN$735,38,FALSE)</f>
        <v>Yes</v>
      </c>
    </row>
    <row r="693" spans="1:23" ht="13.5" customHeight="1" x14ac:dyDescent="0.25">
      <c r="A693" s="19" t="s">
        <v>786</v>
      </c>
      <c r="B693" s="19" t="str">
        <f t="shared" si="10"/>
        <v>BMATURI</v>
      </c>
      <c r="C693" s="16" t="str">
        <f>VLOOKUP(B693,'Compiled Agents'!A:H,2,FALSE)</f>
        <v>Platform</v>
      </c>
      <c r="D693" s="16" t="str">
        <f>VLOOKUP(B693,'Compiled Agents'!A:H,4,FALSE)</f>
        <v>Noida</v>
      </c>
      <c r="E693" s="16" t="str">
        <f>VLOOKUP(B693,'Compiled Agents'!A:H,5,FALSE)</f>
        <v>Wave1</v>
      </c>
      <c r="F693" s="16" t="str">
        <f>VLOOKUP(B693,'Compiled Agents'!A:H,6,FALSE)</f>
        <v>Yellow</v>
      </c>
      <c r="G693" s="16">
        <f>VLOOKUP($A693,'SurveyRpt_20150223 (1)'!$A$34:$AN$735,6,FALSE)</f>
        <v>15</v>
      </c>
      <c r="H693" s="16" t="str">
        <f>VLOOKUP($A693,'SurveyRpt_20150223 (1)'!$A$34:$AN$735,8,FALSE)</f>
        <v>Yes</v>
      </c>
      <c r="I693" s="16" t="str">
        <f>VLOOKUP($A693,'SurveyRpt_20150223 (1)'!$A$34:$AN$735,10,FALSE)</f>
        <v>Yes</v>
      </c>
      <c r="J693" s="16" t="str">
        <f>VLOOKUP($A693,'SurveyRpt_20150223 (1)'!$A$34:$AN$735,12,FALSE)</f>
        <v>Yes</v>
      </c>
      <c r="K693" s="16" t="str">
        <f>VLOOKUP($A693,'SurveyRpt_20150223 (1)'!$A$34:$AN$735,14,FALSE)</f>
        <v>Yes</v>
      </c>
      <c r="L693" s="16" t="str">
        <f>VLOOKUP($A693,'SurveyRpt_20150223 (1)'!$A$34:$AN$735,16,FALSE)</f>
        <v>Yes</v>
      </c>
      <c r="M693" s="16" t="str">
        <f>VLOOKUP($A693,'SurveyRpt_20150223 (1)'!$A$34:$AN$735,18,FALSE)</f>
        <v>Yes</v>
      </c>
      <c r="N693" s="16" t="str">
        <f>VLOOKUP($A693,'SurveyRpt_20150223 (1)'!$A$34:$AN$735,20,FALSE)</f>
        <v>No</v>
      </c>
      <c r="O693" s="16" t="str">
        <f>VLOOKUP($A693,'SurveyRpt_20150223 (1)'!$A$34:$AN$735,22,FALSE)</f>
        <v>Yes</v>
      </c>
      <c r="P693" s="16" t="str">
        <f>VLOOKUP($A693,'SurveyRpt_20150223 (1)'!$A$34:$AN$735,24,FALSE)</f>
        <v>Yes</v>
      </c>
      <c r="Q693" s="16" t="str">
        <f>VLOOKUP($A693,'SurveyRpt_20150223 (1)'!$A$34:$AN$735,26,FALSE)</f>
        <v>Yes</v>
      </c>
      <c r="R693" s="16" t="str">
        <f>VLOOKUP($A693,'SurveyRpt_20150223 (1)'!$A$34:$AN$735,28,FALSE)</f>
        <v>Yes</v>
      </c>
      <c r="S693" s="16" t="str">
        <f>VLOOKUP($A693,'SurveyRpt_20150223 (1)'!$A$34:$AN$735,30,FALSE)</f>
        <v>Yes</v>
      </c>
      <c r="T693" s="16" t="str">
        <f>VLOOKUP($A693,'SurveyRpt_20150223 (1)'!$A$34:$AN$735,32,FALSE)</f>
        <v>Yes</v>
      </c>
      <c r="U693" s="16" t="str">
        <f>VLOOKUP($A693,'SurveyRpt_20150223 (1)'!$A$34:$AN$735,34,FALSE)</f>
        <v>Yes</v>
      </c>
      <c r="V693" s="16" t="str">
        <f>VLOOKUP($A693,'SurveyRpt_20150223 (1)'!$A$34:$AN$735,36,FALSE)</f>
        <v>Yes</v>
      </c>
      <c r="W693" s="16" t="str">
        <f>VLOOKUP($A693,'SurveyRpt_20150223 (1)'!$A$34:$AN$735,38,FALSE)</f>
        <v>Yes</v>
      </c>
    </row>
    <row r="694" spans="1:23" ht="13.5" customHeight="1" x14ac:dyDescent="0.25">
      <c r="A694" s="19" t="s">
        <v>787</v>
      </c>
      <c r="B694" s="19" t="str">
        <f t="shared" si="10"/>
        <v>KKHANNA7</v>
      </c>
      <c r="C694" s="16" t="str">
        <f>VLOOKUP(B694,'Compiled Agents'!A:H,2,FALSE)</f>
        <v>Workplace</v>
      </c>
      <c r="D694" s="16" t="str">
        <f>VLOOKUP(B694,'Compiled Agents'!A:H,4,FALSE)</f>
        <v>Noida</v>
      </c>
      <c r="E694" s="16" t="str">
        <f>VLOOKUP(B694,'Compiled Agents'!A:H,5,FALSE)</f>
        <v>Wave1</v>
      </c>
      <c r="F694" s="16" t="str">
        <f>VLOOKUP(B694,'Compiled Agents'!A:H,6,FALSE)</f>
        <v>Yellow</v>
      </c>
      <c r="G694" s="16">
        <f>VLOOKUP($A694,'SurveyRpt_20150223 (1)'!$A$34:$AN$735,6,FALSE)</f>
        <v>16</v>
      </c>
      <c r="H694" s="16" t="str">
        <f>VLOOKUP($A694,'SurveyRpt_20150223 (1)'!$A$34:$AN$735,8,FALSE)</f>
        <v>Yes</v>
      </c>
      <c r="I694" s="16" t="str">
        <f>VLOOKUP($A694,'SurveyRpt_20150223 (1)'!$A$34:$AN$735,10,FALSE)</f>
        <v>Yes</v>
      </c>
      <c r="J694" s="16" t="str">
        <f>VLOOKUP($A694,'SurveyRpt_20150223 (1)'!$A$34:$AN$735,12,FALSE)</f>
        <v>Yes</v>
      </c>
      <c r="K694" s="16" t="str">
        <f>VLOOKUP($A694,'SurveyRpt_20150223 (1)'!$A$34:$AN$735,14,FALSE)</f>
        <v>Yes</v>
      </c>
      <c r="L694" s="16" t="str">
        <f>VLOOKUP($A694,'SurveyRpt_20150223 (1)'!$A$34:$AN$735,16,FALSE)</f>
        <v>Yes</v>
      </c>
      <c r="M694" s="16" t="str">
        <f>VLOOKUP($A694,'SurveyRpt_20150223 (1)'!$A$34:$AN$735,18,FALSE)</f>
        <v>Yes</v>
      </c>
      <c r="N694" s="16" t="str">
        <f>VLOOKUP($A694,'SurveyRpt_20150223 (1)'!$A$34:$AN$735,20,FALSE)</f>
        <v>Yes</v>
      </c>
      <c r="O694" s="16" t="str">
        <f>VLOOKUP($A694,'SurveyRpt_20150223 (1)'!$A$34:$AN$735,22,FALSE)</f>
        <v>Yes</v>
      </c>
      <c r="P694" s="16" t="str">
        <f>VLOOKUP($A694,'SurveyRpt_20150223 (1)'!$A$34:$AN$735,24,FALSE)</f>
        <v>Yes</v>
      </c>
      <c r="Q694" s="16" t="str">
        <f>VLOOKUP($A694,'SurveyRpt_20150223 (1)'!$A$34:$AN$735,26,FALSE)</f>
        <v>Yes</v>
      </c>
      <c r="R694" s="16" t="str">
        <f>VLOOKUP($A694,'SurveyRpt_20150223 (1)'!$A$34:$AN$735,28,FALSE)</f>
        <v>Yes</v>
      </c>
      <c r="S694" s="16" t="str">
        <f>VLOOKUP($A694,'SurveyRpt_20150223 (1)'!$A$34:$AN$735,30,FALSE)</f>
        <v>Yes</v>
      </c>
      <c r="T694" s="16" t="str">
        <f>VLOOKUP($A694,'SurveyRpt_20150223 (1)'!$A$34:$AN$735,32,FALSE)</f>
        <v>Yes</v>
      </c>
      <c r="U694" s="16" t="str">
        <f>VLOOKUP($A694,'SurveyRpt_20150223 (1)'!$A$34:$AN$735,34,FALSE)</f>
        <v>Yes</v>
      </c>
      <c r="V694" s="16" t="str">
        <f>VLOOKUP($A694,'SurveyRpt_20150223 (1)'!$A$34:$AN$735,36,FALSE)</f>
        <v>Yes</v>
      </c>
      <c r="W694" s="16" t="str">
        <f>VLOOKUP($A694,'SurveyRpt_20150223 (1)'!$A$34:$AN$735,38,FALSE)</f>
        <v>Yes</v>
      </c>
    </row>
    <row r="695" spans="1:23" ht="13.5" customHeight="1" x14ac:dyDescent="0.25">
      <c r="A695" s="19" t="s">
        <v>788</v>
      </c>
      <c r="B695" s="19" t="str">
        <f t="shared" si="10"/>
        <v>RBIALA</v>
      </c>
      <c r="C695" s="16" t="str">
        <f>VLOOKUP(B695,'Compiled Agents'!A:H,2,FALSE)</f>
        <v>Platform</v>
      </c>
      <c r="D695" s="16" t="str">
        <f>VLOOKUP(B695,'Compiled Agents'!A:H,4,FALSE)</f>
        <v>Hyderabad</v>
      </c>
      <c r="E695" s="16" t="str">
        <f>VLOOKUP(B695,'Compiled Agents'!A:H,5,FALSE)</f>
        <v>Wave1</v>
      </c>
      <c r="F695" s="16" t="str">
        <f>VLOOKUP(B695,'Compiled Agents'!A:H,6,FALSE)</f>
        <v>Yellow</v>
      </c>
      <c r="G695" s="16">
        <f>VLOOKUP($A695,'SurveyRpt_20150223 (1)'!$A$34:$AN$735,6,FALSE)</f>
        <v>14</v>
      </c>
      <c r="H695" s="16" t="str">
        <f>VLOOKUP($A695,'SurveyRpt_20150223 (1)'!$A$34:$AN$735,8,FALSE)</f>
        <v>Yes</v>
      </c>
      <c r="I695" s="16" t="str">
        <f>VLOOKUP($A695,'SurveyRpt_20150223 (1)'!$A$34:$AN$735,10,FALSE)</f>
        <v>Yes</v>
      </c>
      <c r="J695" s="16" t="str">
        <f>VLOOKUP($A695,'SurveyRpt_20150223 (1)'!$A$34:$AN$735,12,FALSE)</f>
        <v>Yes</v>
      </c>
      <c r="K695" s="16" t="str">
        <f>VLOOKUP($A695,'SurveyRpt_20150223 (1)'!$A$34:$AN$735,14,FALSE)</f>
        <v>Yes</v>
      </c>
      <c r="L695" s="16" t="str">
        <f>VLOOKUP($A695,'SurveyRpt_20150223 (1)'!$A$34:$AN$735,16,FALSE)</f>
        <v>Yes</v>
      </c>
      <c r="M695" s="16" t="str">
        <f>VLOOKUP($A695,'SurveyRpt_20150223 (1)'!$A$34:$AN$735,18,FALSE)</f>
        <v>Yes</v>
      </c>
      <c r="N695" s="16" t="str">
        <f>VLOOKUP($A695,'SurveyRpt_20150223 (1)'!$A$34:$AN$735,20,FALSE)</f>
        <v>Yes</v>
      </c>
      <c r="O695" s="16" t="str">
        <f>VLOOKUP($A695,'SurveyRpt_20150223 (1)'!$A$34:$AN$735,22,FALSE)</f>
        <v>No</v>
      </c>
      <c r="P695" s="16" t="str">
        <f>VLOOKUP($A695,'SurveyRpt_20150223 (1)'!$A$34:$AN$735,24,FALSE)</f>
        <v>Yes</v>
      </c>
      <c r="Q695" s="16" t="str">
        <f>VLOOKUP($A695,'SurveyRpt_20150223 (1)'!$A$34:$AN$735,26,FALSE)</f>
        <v>Yes</v>
      </c>
      <c r="R695" s="16" t="str">
        <f>VLOOKUP($A695,'SurveyRpt_20150223 (1)'!$A$34:$AN$735,28,FALSE)</f>
        <v>Yes</v>
      </c>
      <c r="S695" s="16" t="str">
        <f>VLOOKUP($A695,'SurveyRpt_20150223 (1)'!$A$34:$AN$735,30,FALSE)</f>
        <v>Yes</v>
      </c>
      <c r="T695" s="16" t="str">
        <f>VLOOKUP($A695,'SurveyRpt_20150223 (1)'!$A$34:$AN$735,32,FALSE)</f>
        <v>Yes</v>
      </c>
      <c r="U695" s="16" t="str">
        <f>VLOOKUP($A695,'SurveyRpt_20150223 (1)'!$A$34:$AN$735,34,FALSE)</f>
        <v>Yes</v>
      </c>
      <c r="V695" s="16" t="str">
        <f>VLOOKUP($A695,'SurveyRpt_20150223 (1)'!$A$34:$AN$735,36,FALSE)</f>
        <v>No</v>
      </c>
      <c r="W695" s="16" t="str">
        <f>VLOOKUP($A695,'SurveyRpt_20150223 (1)'!$A$34:$AN$735,38,FALSE)</f>
        <v>Yes</v>
      </c>
    </row>
    <row r="696" spans="1:23" ht="13.5" customHeight="1" x14ac:dyDescent="0.25">
      <c r="A696" s="19" t="s">
        <v>789</v>
      </c>
      <c r="B696" s="19" t="str">
        <f t="shared" si="10"/>
        <v>tkornmes</v>
      </c>
      <c r="C696" s="16" t="str">
        <f>VLOOKUP(B696,'Compiled Agents'!A:H,2,FALSE)</f>
        <v>Platform</v>
      </c>
      <c r="D696" s="16" t="str">
        <f>VLOOKUP(B696,'Compiled Agents'!A:H,4,FALSE)</f>
        <v>MBC US</v>
      </c>
      <c r="E696" s="16" t="str">
        <f>VLOOKUP(B696,'Compiled Agents'!A:H,5,FALSE)</f>
        <v>Wave2</v>
      </c>
      <c r="F696" s="16" t="str">
        <f>VLOOKUP(B696,'Compiled Agents'!A:H,6,FALSE)</f>
        <v>Blue</v>
      </c>
      <c r="G696" s="16">
        <f>VLOOKUP($A696,'SurveyRpt_20150223 (1)'!$A$34:$AN$735,6,FALSE)</f>
        <v>2</v>
      </c>
      <c r="H696" s="16" t="str">
        <f>VLOOKUP($A696,'SurveyRpt_20150223 (1)'!$A$34:$AN$735,8,FALSE)</f>
        <v>No</v>
      </c>
      <c r="I696" s="16" t="str">
        <f>VLOOKUP($A696,'SurveyRpt_20150223 (1)'!$A$34:$AN$735,10,FALSE)</f>
        <v>No</v>
      </c>
      <c r="J696" s="16" t="str">
        <f>VLOOKUP($A696,'SurveyRpt_20150223 (1)'!$A$34:$AN$735,12,FALSE)</f>
        <v>No</v>
      </c>
      <c r="K696" s="16" t="str">
        <f>VLOOKUP($A696,'SurveyRpt_20150223 (1)'!$A$34:$AN$735,14,FALSE)</f>
        <v>No</v>
      </c>
      <c r="L696" s="16" t="str">
        <f>VLOOKUP($A696,'SurveyRpt_20150223 (1)'!$A$34:$AN$735,16,FALSE)</f>
        <v>No</v>
      </c>
      <c r="M696" s="16" t="str">
        <f>VLOOKUP($A696,'SurveyRpt_20150223 (1)'!$A$34:$AN$735,18,FALSE)</f>
        <v>No</v>
      </c>
      <c r="N696" s="16" t="str">
        <f>VLOOKUP($A696,'SurveyRpt_20150223 (1)'!$A$34:$AN$735,20,FALSE)</f>
        <v>No</v>
      </c>
      <c r="O696" s="16" t="str">
        <f>VLOOKUP($A696,'SurveyRpt_20150223 (1)'!$A$34:$AN$735,22,FALSE)</f>
        <v>No</v>
      </c>
      <c r="P696" s="16" t="str">
        <f>VLOOKUP($A696,'SurveyRpt_20150223 (1)'!$A$34:$AN$735,24,FALSE)</f>
        <v>No</v>
      </c>
      <c r="Q696" s="16" t="str">
        <f>VLOOKUP($A696,'SurveyRpt_20150223 (1)'!$A$34:$AN$735,26,FALSE)</f>
        <v>No</v>
      </c>
      <c r="R696" s="16" t="str">
        <f>VLOOKUP($A696,'SurveyRpt_20150223 (1)'!$A$34:$AN$735,28,FALSE)</f>
        <v>No</v>
      </c>
      <c r="S696" s="16" t="str">
        <f>VLOOKUP($A696,'SurveyRpt_20150223 (1)'!$A$34:$AN$735,30,FALSE)</f>
        <v>Yes</v>
      </c>
      <c r="T696" s="16" t="str">
        <f>VLOOKUP($A696,'SurveyRpt_20150223 (1)'!$A$34:$AN$735,32,FALSE)</f>
        <v>No</v>
      </c>
      <c r="U696" s="16" t="str">
        <f>VLOOKUP($A696,'SurveyRpt_20150223 (1)'!$A$34:$AN$735,34,FALSE)</f>
        <v>No</v>
      </c>
      <c r="V696" s="16" t="str">
        <f>VLOOKUP($A696,'SurveyRpt_20150223 (1)'!$A$34:$AN$735,36,FALSE)</f>
        <v>Yes</v>
      </c>
      <c r="W696" s="16" t="str">
        <f>VLOOKUP($A696,'SurveyRpt_20150223 (1)'!$A$34:$AN$735,38,FALSE)</f>
        <v>No</v>
      </c>
    </row>
    <row r="697" spans="1:23" ht="13.5" customHeight="1" x14ac:dyDescent="0.25">
      <c r="A697" s="19" t="s">
        <v>790</v>
      </c>
      <c r="B697" s="19" t="str">
        <f t="shared" si="10"/>
        <v>ryelugula</v>
      </c>
      <c r="C697" s="16" t="str">
        <f>VLOOKUP(B697,'Compiled Agents'!A:H,2,FALSE)</f>
        <v>Platform</v>
      </c>
      <c r="D697" s="16" t="str">
        <f>VLOOKUP(B697,'Compiled Agents'!A:H,4,FALSE)</f>
        <v>Hyderabad</v>
      </c>
      <c r="E697" s="16" t="str">
        <f>VLOOKUP(B697,'Compiled Agents'!A:H,5,FALSE)</f>
        <v>Wave1</v>
      </c>
      <c r="F697" s="16" t="str">
        <f>VLOOKUP(B697,'Compiled Agents'!A:H,6,FALSE)</f>
        <v>Blue</v>
      </c>
      <c r="G697" s="16">
        <f>VLOOKUP($A697,'SurveyRpt_20150223 (1)'!$A$34:$AN$735,6,FALSE)</f>
        <v>16</v>
      </c>
      <c r="H697" s="16" t="str">
        <f>VLOOKUP($A697,'SurveyRpt_20150223 (1)'!$A$34:$AN$735,8,FALSE)</f>
        <v>Yes</v>
      </c>
      <c r="I697" s="16" t="str">
        <f>VLOOKUP($A697,'SurveyRpt_20150223 (1)'!$A$34:$AN$735,10,FALSE)</f>
        <v>Yes</v>
      </c>
      <c r="J697" s="16" t="str">
        <f>VLOOKUP($A697,'SurveyRpt_20150223 (1)'!$A$34:$AN$735,12,FALSE)</f>
        <v>Yes</v>
      </c>
      <c r="K697" s="16" t="str">
        <f>VLOOKUP($A697,'SurveyRpt_20150223 (1)'!$A$34:$AN$735,14,FALSE)</f>
        <v>Yes</v>
      </c>
      <c r="L697" s="16" t="str">
        <f>VLOOKUP($A697,'SurveyRpt_20150223 (1)'!$A$34:$AN$735,16,FALSE)</f>
        <v>Yes</v>
      </c>
      <c r="M697" s="16" t="str">
        <f>VLOOKUP($A697,'SurveyRpt_20150223 (1)'!$A$34:$AN$735,18,FALSE)</f>
        <v>Yes</v>
      </c>
      <c r="N697" s="16" t="str">
        <f>VLOOKUP($A697,'SurveyRpt_20150223 (1)'!$A$34:$AN$735,20,FALSE)</f>
        <v>Yes</v>
      </c>
      <c r="O697" s="16" t="str">
        <f>VLOOKUP($A697,'SurveyRpt_20150223 (1)'!$A$34:$AN$735,22,FALSE)</f>
        <v>Yes</v>
      </c>
      <c r="P697" s="16" t="str">
        <f>VLOOKUP($A697,'SurveyRpt_20150223 (1)'!$A$34:$AN$735,24,FALSE)</f>
        <v>Yes</v>
      </c>
      <c r="Q697" s="16" t="str">
        <f>VLOOKUP($A697,'SurveyRpt_20150223 (1)'!$A$34:$AN$735,26,FALSE)</f>
        <v>Yes</v>
      </c>
      <c r="R697" s="16" t="str">
        <f>VLOOKUP($A697,'SurveyRpt_20150223 (1)'!$A$34:$AN$735,28,FALSE)</f>
        <v>Yes</v>
      </c>
      <c r="S697" s="16" t="str">
        <f>VLOOKUP($A697,'SurveyRpt_20150223 (1)'!$A$34:$AN$735,30,FALSE)</f>
        <v>Yes</v>
      </c>
      <c r="T697" s="16" t="str">
        <f>VLOOKUP($A697,'SurveyRpt_20150223 (1)'!$A$34:$AN$735,32,FALSE)</f>
        <v>Yes</v>
      </c>
      <c r="U697" s="16" t="str">
        <f>VLOOKUP($A697,'SurveyRpt_20150223 (1)'!$A$34:$AN$735,34,FALSE)</f>
        <v>Yes</v>
      </c>
      <c r="V697" s="16" t="str">
        <f>VLOOKUP($A697,'SurveyRpt_20150223 (1)'!$A$34:$AN$735,36,FALSE)</f>
        <v>Yes</v>
      </c>
      <c r="W697" s="16" t="str">
        <f>VLOOKUP($A697,'SurveyRpt_20150223 (1)'!$A$34:$AN$735,38,FALSE)</f>
        <v>Yes</v>
      </c>
    </row>
    <row r="698" spans="1:23" ht="13.5" customHeight="1" x14ac:dyDescent="0.25">
      <c r="A698" s="19" t="s">
        <v>791</v>
      </c>
      <c r="B698" s="19" t="str">
        <f t="shared" si="10"/>
        <v>dfarkas</v>
      </c>
      <c r="C698" s="16" t="str">
        <f>VLOOKUP(B698,'Compiled Agents'!A:H,2,FALSE)</f>
        <v>Platform</v>
      </c>
      <c r="D698" s="16" t="str">
        <f>VLOOKUP(B698,'Compiled Agents'!A:H,4,FALSE)</f>
        <v>MBC US</v>
      </c>
      <c r="E698" s="16" t="str">
        <f>VLOOKUP(B698,'Compiled Agents'!A:H,5,FALSE)</f>
        <v>Wave2</v>
      </c>
      <c r="F698" s="16" t="str">
        <f>VLOOKUP(B698,'Compiled Agents'!A:H,6,FALSE)</f>
        <v>Orange</v>
      </c>
      <c r="G698" s="16">
        <f>VLOOKUP($A698,'SurveyRpt_20150223 (1)'!$A$34:$AN$735,6,FALSE)</f>
        <v>1</v>
      </c>
      <c r="H698" s="16" t="str">
        <f>VLOOKUP($A698,'SurveyRpt_20150223 (1)'!$A$34:$AN$735,8,FALSE)</f>
        <v>No</v>
      </c>
      <c r="I698" s="16" t="str">
        <f>VLOOKUP($A698,'SurveyRpt_20150223 (1)'!$A$34:$AN$735,10,FALSE)</f>
        <v>No</v>
      </c>
      <c r="J698" s="16" t="str">
        <f>VLOOKUP($A698,'SurveyRpt_20150223 (1)'!$A$34:$AN$735,12,FALSE)</f>
        <v>No</v>
      </c>
      <c r="K698" s="16" t="str">
        <f>VLOOKUP($A698,'SurveyRpt_20150223 (1)'!$A$34:$AN$735,14,FALSE)</f>
        <v>No</v>
      </c>
      <c r="L698" s="16" t="str">
        <f>VLOOKUP($A698,'SurveyRpt_20150223 (1)'!$A$34:$AN$735,16,FALSE)</f>
        <v>No</v>
      </c>
      <c r="M698" s="16" t="str">
        <f>VLOOKUP($A698,'SurveyRpt_20150223 (1)'!$A$34:$AN$735,18,FALSE)</f>
        <v>No</v>
      </c>
      <c r="N698" s="16" t="str">
        <f>VLOOKUP($A698,'SurveyRpt_20150223 (1)'!$A$34:$AN$735,20,FALSE)</f>
        <v>No</v>
      </c>
      <c r="O698" s="16" t="str">
        <f>VLOOKUP($A698,'SurveyRpt_20150223 (1)'!$A$34:$AN$735,22,FALSE)</f>
        <v>No</v>
      </c>
      <c r="P698" s="16" t="str">
        <f>VLOOKUP($A698,'SurveyRpt_20150223 (1)'!$A$34:$AN$735,24,FALSE)</f>
        <v>No</v>
      </c>
      <c r="Q698" s="16" t="str">
        <f>VLOOKUP($A698,'SurveyRpt_20150223 (1)'!$A$34:$AN$735,26,FALSE)</f>
        <v>No</v>
      </c>
      <c r="R698" s="16" t="str">
        <f>VLOOKUP($A698,'SurveyRpt_20150223 (1)'!$A$34:$AN$735,28,FALSE)</f>
        <v>Yes</v>
      </c>
      <c r="S698" s="16" t="str">
        <f>VLOOKUP($A698,'SurveyRpt_20150223 (1)'!$A$34:$AN$735,30,FALSE)</f>
        <v>No</v>
      </c>
      <c r="T698" s="16" t="str">
        <f>VLOOKUP($A698,'SurveyRpt_20150223 (1)'!$A$34:$AN$735,32,FALSE)</f>
        <v>No</v>
      </c>
      <c r="U698" s="16" t="str">
        <f>VLOOKUP($A698,'SurveyRpt_20150223 (1)'!$A$34:$AN$735,34,FALSE)</f>
        <v>No</v>
      </c>
      <c r="V698" s="16" t="str">
        <f>VLOOKUP($A698,'SurveyRpt_20150223 (1)'!$A$34:$AN$735,36,FALSE)</f>
        <v>No</v>
      </c>
      <c r="W698" s="16" t="str">
        <f>VLOOKUP($A698,'SurveyRpt_20150223 (1)'!$A$34:$AN$735,38,FALSE)</f>
        <v>No</v>
      </c>
    </row>
    <row r="699" spans="1:23" ht="13.5" customHeight="1" x14ac:dyDescent="0.25">
      <c r="A699" s="19" t="s">
        <v>792</v>
      </c>
      <c r="B699" s="19" t="str">
        <f t="shared" si="10"/>
        <v>mencabonavaz</v>
      </c>
      <c r="C699" s="16" t="str">
        <f>VLOOKUP(B699,'Compiled Agents'!A:H,2,FALSE)</f>
        <v>Platform</v>
      </c>
      <c r="D699" s="16" t="str">
        <f>VLOOKUP(B699,'Compiled Agents'!A:H,4,FALSE)</f>
        <v>Spain</v>
      </c>
      <c r="E699" s="16" t="str">
        <f>VLOOKUP(B699,'Compiled Agents'!A:H,5,FALSE)</f>
        <v>Wave1</v>
      </c>
      <c r="F699" s="16" t="str">
        <f>VLOOKUP(B699,'Compiled Agents'!A:H,6,FALSE)</f>
        <v>Purple</v>
      </c>
      <c r="G699" s="16">
        <f>VLOOKUP($A699,'SurveyRpt_20150223 (1)'!$A$34:$AN$735,6,FALSE)</f>
        <v>9</v>
      </c>
      <c r="H699" s="16" t="str">
        <f>VLOOKUP($A699,'SurveyRpt_20150223 (1)'!$A$34:$AN$735,8,FALSE)</f>
        <v>Yes</v>
      </c>
      <c r="I699" s="16" t="str">
        <f>VLOOKUP($A699,'SurveyRpt_20150223 (1)'!$A$34:$AN$735,10,FALSE)</f>
        <v>No</v>
      </c>
      <c r="J699" s="16" t="str">
        <f>VLOOKUP($A699,'SurveyRpt_20150223 (1)'!$A$34:$AN$735,12,FALSE)</f>
        <v>Yes</v>
      </c>
      <c r="K699" s="16" t="str">
        <f>VLOOKUP($A699,'SurveyRpt_20150223 (1)'!$A$34:$AN$735,14,FALSE)</f>
        <v>No</v>
      </c>
      <c r="L699" s="16" t="str">
        <f>VLOOKUP($A699,'SurveyRpt_20150223 (1)'!$A$34:$AN$735,16,FALSE)</f>
        <v>Yes</v>
      </c>
      <c r="M699" s="16" t="str">
        <f>VLOOKUP($A699,'SurveyRpt_20150223 (1)'!$A$34:$AN$735,18,FALSE)</f>
        <v>Yes</v>
      </c>
      <c r="N699" s="16" t="str">
        <f>VLOOKUP($A699,'SurveyRpt_20150223 (1)'!$A$34:$AN$735,20,FALSE)</f>
        <v>Yes</v>
      </c>
      <c r="O699" s="16" t="str">
        <f>VLOOKUP($A699,'SurveyRpt_20150223 (1)'!$A$34:$AN$735,22,FALSE)</f>
        <v>Yes</v>
      </c>
      <c r="P699" s="16" t="str">
        <f>VLOOKUP($A699,'SurveyRpt_20150223 (1)'!$A$34:$AN$735,24,FALSE)</f>
        <v>Yes</v>
      </c>
      <c r="Q699" s="16" t="str">
        <f>VLOOKUP($A699,'SurveyRpt_20150223 (1)'!$A$34:$AN$735,26,FALSE)</f>
        <v>No</v>
      </c>
      <c r="R699" s="16" t="str">
        <f>VLOOKUP($A699,'SurveyRpt_20150223 (1)'!$A$34:$AN$735,28,FALSE)</f>
        <v>Yes</v>
      </c>
      <c r="S699" s="16" t="str">
        <f>VLOOKUP($A699,'SurveyRpt_20150223 (1)'!$A$34:$AN$735,30,FALSE)</f>
        <v>No</v>
      </c>
      <c r="T699" s="16" t="str">
        <f>VLOOKUP($A699,'SurveyRpt_20150223 (1)'!$A$34:$AN$735,32,FALSE)</f>
        <v>No</v>
      </c>
      <c r="U699" s="16" t="str">
        <f>VLOOKUP($A699,'SurveyRpt_20150223 (1)'!$A$34:$AN$735,34,FALSE)</f>
        <v>Yes</v>
      </c>
      <c r="V699" s="16" t="str">
        <f>VLOOKUP($A699,'SurveyRpt_20150223 (1)'!$A$34:$AN$735,36,FALSE)</f>
        <v>No</v>
      </c>
      <c r="W699" s="16" t="str">
        <f>VLOOKUP($A699,'SurveyRpt_20150223 (1)'!$A$34:$AN$735,38,FALSE)</f>
        <v>No</v>
      </c>
    </row>
    <row r="700" spans="1:23" ht="13.5" customHeight="1" x14ac:dyDescent="0.25">
      <c r="A700" s="19" t="s">
        <v>793</v>
      </c>
      <c r="B700" s="19" t="str">
        <f t="shared" si="10"/>
        <v>SSHARMA251</v>
      </c>
      <c r="C700" s="16" t="str">
        <f>VLOOKUP(B700,'Compiled Agents'!A:H,2,FALSE)</f>
        <v>Workplace</v>
      </c>
      <c r="D700" s="16" t="str">
        <f>VLOOKUP(B700,'Compiled Agents'!A:H,4,FALSE)</f>
        <v>Noida</v>
      </c>
      <c r="E700" s="16" t="str">
        <f>VLOOKUP(B700,'Compiled Agents'!A:H,5,FALSE)</f>
        <v>Wave2</v>
      </c>
      <c r="F700" s="16" t="str">
        <f>VLOOKUP(B700,'Compiled Agents'!A:H,6,FALSE)</f>
        <v>Purple</v>
      </c>
      <c r="G700" s="16">
        <f>VLOOKUP($A700,'SurveyRpt_20150223 (1)'!$A$34:$AN$735,6,FALSE)</f>
        <v>15</v>
      </c>
      <c r="H700" s="16" t="str">
        <f>VLOOKUP($A700,'SurveyRpt_20150223 (1)'!$A$34:$AN$735,8,FALSE)</f>
        <v>Yes</v>
      </c>
      <c r="I700" s="16" t="str">
        <f>VLOOKUP($A700,'SurveyRpt_20150223 (1)'!$A$34:$AN$735,10,FALSE)</f>
        <v>No</v>
      </c>
      <c r="J700" s="16" t="str">
        <f>VLOOKUP($A700,'SurveyRpt_20150223 (1)'!$A$34:$AN$735,12,FALSE)</f>
        <v>Yes</v>
      </c>
      <c r="K700" s="16" t="str">
        <f>VLOOKUP($A700,'SurveyRpt_20150223 (1)'!$A$34:$AN$735,14,FALSE)</f>
        <v>Yes</v>
      </c>
      <c r="L700" s="16" t="str">
        <f>VLOOKUP($A700,'SurveyRpt_20150223 (1)'!$A$34:$AN$735,16,FALSE)</f>
        <v>Yes</v>
      </c>
      <c r="M700" s="16" t="str">
        <f>VLOOKUP($A700,'SurveyRpt_20150223 (1)'!$A$34:$AN$735,18,FALSE)</f>
        <v>Yes</v>
      </c>
      <c r="N700" s="16" t="str">
        <f>VLOOKUP($A700,'SurveyRpt_20150223 (1)'!$A$34:$AN$735,20,FALSE)</f>
        <v>Yes</v>
      </c>
      <c r="O700" s="16" t="str">
        <f>VLOOKUP($A700,'SurveyRpt_20150223 (1)'!$A$34:$AN$735,22,FALSE)</f>
        <v>Yes</v>
      </c>
      <c r="P700" s="16" t="str">
        <f>VLOOKUP($A700,'SurveyRpt_20150223 (1)'!$A$34:$AN$735,24,FALSE)</f>
        <v>Yes</v>
      </c>
      <c r="Q700" s="16" t="str">
        <f>VLOOKUP($A700,'SurveyRpt_20150223 (1)'!$A$34:$AN$735,26,FALSE)</f>
        <v>Yes</v>
      </c>
      <c r="R700" s="16" t="str">
        <f>VLOOKUP($A700,'SurveyRpt_20150223 (1)'!$A$34:$AN$735,28,FALSE)</f>
        <v>Yes</v>
      </c>
      <c r="S700" s="16" t="str">
        <f>VLOOKUP($A700,'SurveyRpt_20150223 (1)'!$A$34:$AN$735,30,FALSE)</f>
        <v>Yes</v>
      </c>
      <c r="T700" s="16" t="str">
        <f>VLOOKUP($A700,'SurveyRpt_20150223 (1)'!$A$34:$AN$735,32,FALSE)</f>
        <v>Yes</v>
      </c>
      <c r="U700" s="16" t="str">
        <f>VLOOKUP($A700,'SurveyRpt_20150223 (1)'!$A$34:$AN$735,34,FALSE)</f>
        <v>Yes</v>
      </c>
      <c r="V700" s="16" t="str">
        <f>VLOOKUP($A700,'SurveyRpt_20150223 (1)'!$A$34:$AN$735,36,FALSE)</f>
        <v>Yes</v>
      </c>
      <c r="W700" s="16" t="str">
        <f>VLOOKUP($A700,'SurveyRpt_20150223 (1)'!$A$34:$AN$735,38,FALSE)</f>
        <v>Yes</v>
      </c>
    </row>
    <row r="701" spans="1:23" ht="13.5" customHeight="1" x14ac:dyDescent="0.25">
      <c r="A701" s="19" t="s">
        <v>794</v>
      </c>
      <c r="B701" s="19" t="str">
        <f t="shared" si="10"/>
        <v>RSAHU9</v>
      </c>
      <c r="C701" s="16" t="str">
        <f>VLOOKUP(B701,'Compiled Agents'!A:H,2,FALSE)</f>
        <v>Workplace</v>
      </c>
      <c r="D701" s="16" t="str">
        <f>VLOOKUP(B701,'Compiled Agents'!A:H,4,FALSE)</f>
        <v>Noida</v>
      </c>
      <c r="E701" s="16" t="str">
        <f>VLOOKUP(B701,'Compiled Agents'!A:H,5,FALSE)</f>
        <v>Wave2</v>
      </c>
      <c r="F701" s="16" t="str">
        <f>VLOOKUP(B701,'Compiled Agents'!A:H,6,FALSE)</f>
        <v>Yellow</v>
      </c>
      <c r="G701" s="16">
        <f>VLOOKUP($A701,'SurveyRpt_20150223 (1)'!$A$34:$AN$735,6,FALSE)</f>
        <v>16</v>
      </c>
      <c r="H701" s="16" t="str">
        <f>VLOOKUP($A701,'SurveyRpt_20150223 (1)'!$A$34:$AN$735,8,FALSE)</f>
        <v>Yes</v>
      </c>
      <c r="I701" s="16" t="str">
        <f>VLOOKUP($A701,'SurveyRpt_20150223 (1)'!$A$34:$AN$735,10,FALSE)</f>
        <v>Yes</v>
      </c>
      <c r="J701" s="16" t="str">
        <f>VLOOKUP($A701,'SurveyRpt_20150223 (1)'!$A$34:$AN$735,12,FALSE)</f>
        <v>Yes</v>
      </c>
      <c r="K701" s="16" t="str">
        <f>VLOOKUP($A701,'SurveyRpt_20150223 (1)'!$A$34:$AN$735,14,FALSE)</f>
        <v>Yes</v>
      </c>
      <c r="L701" s="16" t="str">
        <f>VLOOKUP($A701,'SurveyRpt_20150223 (1)'!$A$34:$AN$735,16,FALSE)</f>
        <v>Yes</v>
      </c>
      <c r="M701" s="16" t="str">
        <f>VLOOKUP($A701,'SurveyRpt_20150223 (1)'!$A$34:$AN$735,18,FALSE)</f>
        <v>Yes</v>
      </c>
      <c r="N701" s="16" t="str">
        <f>VLOOKUP($A701,'SurveyRpt_20150223 (1)'!$A$34:$AN$735,20,FALSE)</f>
        <v>Yes</v>
      </c>
      <c r="O701" s="16" t="str">
        <f>VLOOKUP($A701,'SurveyRpt_20150223 (1)'!$A$34:$AN$735,22,FALSE)</f>
        <v>Yes</v>
      </c>
      <c r="P701" s="16" t="str">
        <f>VLOOKUP($A701,'SurveyRpt_20150223 (1)'!$A$34:$AN$735,24,FALSE)</f>
        <v>Yes</v>
      </c>
      <c r="Q701" s="16" t="str">
        <f>VLOOKUP($A701,'SurveyRpt_20150223 (1)'!$A$34:$AN$735,26,FALSE)</f>
        <v>Yes</v>
      </c>
      <c r="R701" s="16" t="str">
        <f>VLOOKUP($A701,'SurveyRpt_20150223 (1)'!$A$34:$AN$735,28,FALSE)</f>
        <v>Yes</v>
      </c>
      <c r="S701" s="16" t="str">
        <f>VLOOKUP($A701,'SurveyRpt_20150223 (1)'!$A$34:$AN$735,30,FALSE)</f>
        <v>Yes</v>
      </c>
      <c r="T701" s="16" t="str">
        <f>VLOOKUP($A701,'SurveyRpt_20150223 (1)'!$A$34:$AN$735,32,FALSE)</f>
        <v>Yes</v>
      </c>
      <c r="U701" s="16" t="str">
        <f>VLOOKUP($A701,'SurveyRpt_20150223 (1)'!$A$34:$AN$735,34,FALSE)</f>
        <v>Yes</v>
      </c>
      <c r="V701" s="16" t="str">
        <f>VLOOKUP($A701,'SurveyRpt_20150223 (1)'!$A$34:$AN$735,36,FALSE)</f>
        <v>Yes</v>
      </c>
      <c r="W701" s="16" t="str">
        <f>VLOOKUP($A701,'SurveyRpt_20150223 (1)'!$A$34:$AN$735,38,FALSE)</f>
        <v>Yes</v>
      </c>
    </row>
    <row r="702" spans="1:23" ht="13.5" customHeight="1" x14ac:dyDescent="0.25">
      <c r="A702" s="19" t="s">
        <v>795</v>
      </c>
      <c r="B702" s="19" t="str">
        <f t="shared" si="10"/>
        <v>VBHARDWAJ3</v>
      </c>
      <c r="C702" s="16" t="str">
        <f>VLOOKUP(B702,'Compiled Agents'!A:H,2,FALSE)</f>
        <v>Platform</v>
      </c>
      <c r="D702" s="16" t="str">
        <f>VLOOKUP(B702,'Compiled Agents'!A:H,4,FALSE)</f>
        <v>Noida</v>
      </c>
      <c r="E702" s="16" t="str">
        <f>VLOOKUP(B702,'Compiled Agents'!A:H,5,FALSE)</f>
        <v>Wave2</v>
      </c>
      <c r="F702" s="16" t="str">
        <f>VLOOKUP(B702,'Compiled Agents'!A:H,6,FALSE)</f>
        <v>Purple</v>
      </c>
      <c r="G702" s="16">
        <f>VLOOKUP($A702,'SurveyRpt_20150223 (1)'!$A$34:$AN$735,6,FALSE)</f>
        <v>16</v>
      </c>
      <c r="H702" s="16" t="str">
        <f>VLOOKUP($A702,'SurveyRpt_20150223 (1)'!$A$34:$AN$735,8,FALSE)</f>
        <v>Yes</v>
      </c>
      <c r="I702" s="16" t="str">
        <f>VLOOKUP($A702,'SurveyRpt_20150223 (1)'!$A$34:$AN$735,10,FALSE)</f>
        <v>Yes</v>
      </c>
      <c r="J702" s="16" t="str">
        <f>VLOOKUP($A702,'SurveyRpt_20150223 (1)'!$A$34:$AN$735,12,FALSE)</f>
        <v>Yes</v>
      </c>
      <c r="K702" s="16" t="str">
        <f>VLOOKUP($A702,'SurveyRpt_20150223 (1)'!$A$34:$AN$735,14,FALSE)</f>
        <v>Yes</v>
      </c>
      <c r="L702" s="16" t="str">
        <f>VLOOKUP($A702,'SurveyRpt_20150223 (1)'!$A$34:$AN$735,16,FALSE)</f>
        <v>Yes</v>
      </c>
      <c r="M702" s="16" t="str">
        <f>VLOOKUP($A702,'SurveyRpt_20150223 (1)'!$A$34:$AN$735,18,FALSE)</f>
        <v>Yes</v>
      </c>
      <c r="N702" s="16" t="str">
        <f>VLOOKUP($A702,'SurveyRpt_20150223 (1)'!$A$34:$AN$735,20,FALSE)</f>
        <v>Yes</v>
      </c>
      <c r="O702" s="16" t="str">
        <f>VLOOKUP($A702,'SurveyRpt_20150223 (1)'!$A$34:$AN$735,22,FALSE)</f>
        <v>Yes</v>
      </c>
      <c r="P702" s="16" t="str">
        <f>VLOOKUP($A702,'SurveyRpt_20150223 (1)'!$A$34:$AN$735,24,FALSE)</f>
        <v>Yes</v>
      </c>
      <c r="Q702" s="16" t="str">
        <f>VLOOKUP($A702,'SurveyRpt_20150223 (1)'!$A$34:$AN$735,26,FALSE)</f>
        <v>Yes</v>
      </c>
      <c r="R702" s="16" t="str">
        <f>VLOOKUP($A702,'SurveyRpt_20150223 (1)'!$A$34:$AN$735,28,FALSE)</f>
        <v>Yes</v>
      </c>
      <c r="S702" s="16" t="str">
        <f>VLOOKUP($A702,'SurveyRpt_20150223 (1)'!$A$34:$AN$735,30,FALSE)</f>
        <v>Yes</v>
      </c>
      <c r="T702" s="16" t="str">
        <f>VLOOKUP($A702,'SurveyRpt_20150223 (1)'!$A$34:$AN$735,32,FALSE)</f>
        <v>Yes</v>
      </c>
      <c r="U702" s="16" t="str">
        <f>VLOOKUP($A702,'SurveyRpt_20150223 (1)'!$A$34:$AN$735,34,FALSE)</f>
        <v>Yes</v>
      </c>
      <c r="V702" s="16" t="str">
        <f>VLOOKUP($A702,'SurveyRpt_20150223 (1)'!$A$34:$AN$735,36,FALSE)</f>
        <v>Yes</v>
      </c>
      <c r="W702" s="16" t="str">
        <f>VLOOKUP($A702,'SurveyRpt_20150223 (1)'!$A$34:$AN$735,38,FALSE)</f>
        <v>Yes</v>
      </c>
    </row>
  </sheetData>
  <conditionalFormatting sqref="A1:B702">
    <cfRule type="duplicateValues" dxfId="0" priority="1" stopIfTrue="1"/>
  </conditionalFormatting>
  <pageMargins left="0.7" right="0.7" top="0.75" bottom="0.75" header="0.3" footer="0.3"/>
  <customProperties>
    <customPr name="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8"/>
  <sheetViews>
    <sheetView workbookViewId="0"/>
  </sheetViews>
  <sheetFormatPr defaultRowHeight="15" x14ac:dyDescent="0.25"/>
  <sheetData>
    <row r="1" spans="1:256" x14ac:dyDescent="0.25">
      <c r="A1" t="s">
        <v>3496</v>
      </c>
      <c r="F1" t="e">
        <f>'SurveyRpt_20150223 (1)'!A:A*"h_l!%"</f>
        <v>#VALUE!</v>
      </c>
      <c r="G1" t="e">
        <f>'SurveyRpt_20150223 (1)'!B:B*"h_l!&amp;"</f>
        <v>#VALUE!</v>
      </c>
      <c r="H1" t="e">
        <f>'SurveyRpt_20150223 (1)'!C:C*"h_l!'"</f>
        <v>#VALUE!</v>
      </c>
      <c r="I1" t="e">
        <f>'SurveyRpt_20150223 (1)'!D:D*"h_l!("</f>
        <v>#VALUE!</v>
      </c>
      <c r="J1" t="e">
        <f>'SurveyRpt_20150223 (1)'!E:E*"h_l!)"</f>
        <v>#VALUE!</v>
      </c>
      <c r="K1" t="e">
        <f>'SurveyRpt_20150223 (1)'!F:F*"h_l!."</f>
        <v>#VALUE!</v>
      </c>
      <c r="L1" t="e">
        <f>'SurveyRpt_20150223 (1)'!G:G*"h_l!/"</f>
        <v>#VALUE!</v>
      </c>
      <c r="M1" t="e">
        <f>'SurveyRpt_20150223 (1)'!H:H*"h_l!0"</f>
        <v>#VALUE!</v>
      </c>
      <c r="N1" t="e">
        <f>'SurveyRpt_20150223 (1)'!I:I*"h_l!1"</f>
        <v>#VALUE!</v>
      </c>
      <c r="O1" t="e">
        <f>'SurveyRpt_20150223 (1)'!J:J*"h_l!2"</f>
        <v>#VALUE!</v>
      </c>
      <c r="P1" t="e">
        <f>'SurveyRpt_20150223 (1)'!K:K*"h_l!3"</f>
        <v>#VALUE!</v>
      </c>
      <c r="Q1" t="e">
        <f>'SurveyRpt_20150223 (1)'!L:L*"h_l!4"</f>
        <v>#VALUE!</v>
      </c>
      <c r="R1" t="e">
        <f>'SurveyRpt_20150223 (1)'!M:M*"h_l!5"</f>
        <v>#VALUE!</v>
      </c>
      <c r="S1" t="e">
        <f>'SurveyRpt_20150223 (1)'!N:N*"h_l!6"</f>
        <v>#VALUE!</v>
      </c>
      <c r="T1" t="e">
        <f>'SurveyRpt_20150223 (1)'!O:O*"h_l!7"</f>
        <v>#VALUE!</v>
      </c>
      <c r="U1" t="e">
        <f>'SurveyRpt_20150223 (1)'!P:P*"h_l!8"</f>
        <v>#VALUE!</v>
      </c>
      <c r="V1" t="e">
        <f>'SurveyRpt_20150223 (1)'!Q:Q*"h_l!9"</f>
        <v>#VALUE!</v>
      </c>
      <c r="W1" t="e">
        <f>'SurveyRpt_20150223 (1)'!R:R*"h_l!:"</f>
        <v>#VALUE!</v>
      </c>
      <c r="X1" t="e">
        <f>'SurveyRpt_20150223 (1)'!S:S*"h_l!;"</f>
        <v>#VALUE!</v>
      </c>
      <c r="Y1" t="e">
        <f>'SurveyRpt_20150223 (1)'!T:T*"h_l!&lt;"</f>
        <v>#VALUE!</v>
      </c>
      <c r="Z1" t="e">
        <f>'SurveyRpt_20150223 (1)'!U:U*"h_l!="</f>
        <v>#VALUE!</v>
      </c>
      <c r="AA1" t="e">
        <f>'SurveyRpt_20150223 (1)'!V:V*"h_l!&gt;"</f>
        <v>#VALUE!</v>
      </c>
      <c r="AB1" t="e">
        <f>'SurveyRpt_20150223 (1)'!W:W*"h_l!?"</f>
        <v>#VALUE!</v>
      </c>
      <c r="AC1" t="e">
        <f>'SurveyRpt_20150223 (1)'!X:X*"h_l!@"</f>
        <v>#VALUE!</v>
      </c>
      <c r="AD1" t="e">
        <f>'SurveyRpt_20150223 (1)'!Y:Y*"h_l!A"</f>
        <v>#VALUE!</v>
      </c>
      <c r="AE1" t="e">
        <f>'SurveyRpt_20150223 (1)'!Z:Z*"h_l!B"</f>
        <v>#VALUE!</v>
      </c>
      <c r="AF1" t="e">
        <f>'SurveyRpt_20150223 (1)'!AA:AA*"h_l!C"</f>
        <v>#VALUE!</v>
      </c>
      <c r="AG1" t="e">
        <f>'SurveyRpt_20150223 (1)'!AB:AB*"h_l!D"</f>
        <v>#VALUE!</v>
      </c>
      <c r="AH1" t="e">
        <f>'SurveyRpt_20150223 (1)'!AC:AC*"h_l!E"</f>
        <v>#VALUE!</v>
      </c>
      <c r="AI1" t="e">
        <f>'SurveyRpt_20150223 (1)'!AD:AD*"h_l!F"</f>
        <v>#VALUE!</v>
      </c>
      <c r="AJ1" t="e">
        <f>'SurveyRpt_20150223 (1)'!AE:AE*"h_l!G"</f>
        <v>#VALUE!</v>
      </c>
      <c r="AK1" t="e">
        <f>'SurveyRpt_20150223 (1)'!AF:AF*"h_l!H"</f>
        <v>#VALUE!</v>
      </c>
      <c r="AL1" t="e">
        <f>'SurveyRpt_20150223 (1)'!AG:AG*"h_l!I"</f>
        <v>#VALUE!</v>
      </c>
      <c r="AM1" t="e">
        <f>'SurveyRpt_20150223 (1)'!AH:AH*"h_l!J"</f>
        <v>#VALUE!</v>
      </c>
      <c r="AN1" t="e">
        <f>'SurveyRpt_20150223 (1)'!AI:AI*"h_l!K"</f>
        <v>#VALUE!</v>
      </c>
      <c r="AO1" t="e">
        <f>'SurveyRpt_20150223 (1)'!AJ:AJ*"h_l!L"</f>
        <v>#VALUE!</v>
      </c>
      <c r="AP1" t="e">
        <f>'SurveyRpt_20150223 (1)'!AK:AK*"h_l!M"</f>
        <v>#VALUE!</v>
      </c>
      <c r="AQ1" t="e">
        <f>'SurveyRpt_20150223 (1)'!AL:AL*"h_l!N"</f>
        <v>#VALUE!</v>
      </c>
      <c r="AR1" t="e">
        <f>'SurveyRpt_20150223 (1)'!AM:AM*"h_l!O"</f>
        <v>#VALUE!</v>
      </c>
      <c r="AS1" t="e">
        <f>'SurveyRpt_20150223 (1)'!AN:AN*"h_l!P"</f>
        <v>#VALUE!</v>
      </c>
      <c r="AT1" t="e">
        <f>'SurveyRpt_20150223 (1)'!AO:AO*"h_l!Q"</f>
        <v>#VALUE!</v>
      </c>
      <c r="AU1" t="e">
        <f>'SurveyRpt_20150223 (1)'!AP:AP*"h_l!R"</f>
        <v>#VALUE!</v>
      </c>
      <c r="AV1" t="e">
        <f>'SurveyRpt_20150223 (1)'!AQ:AQ*"h_l!S"</f>
        <v>#VALUE!</v>
      </c>
      <c r="AW1" t="e">
        <f>'SurveyRpt_20150223 (1)'!AR:AR*"h_l!T"</f>
        <v>#VALUE!</v>
      </c>
      <c r="AX1" t="e">
        <f>'SurveyRpt_20150223 (1)'!AS:AS*"h_l!U"</f>
        <v>#VALUE!</v>
      </c>
      <c r="AY1" t="e">
        <f>'SurveyRpt_20150223 (1)'!AT:AT*"h_l!V"</f>
        <v>#VALUE!</v>
      </c>
      <c r="AZ1" t="e">
        <f>'SurveyRpt_20150223 (1)'!AU:AU*"h_l!W"</f>
        <v>#VALUE!</v>
      </c>
      <c r="BA1" t="e">
        <f>'SurveyRpt_20150223 (1)'!AV:AV*"h_l!X"</f>
        <v>#VALUE!</v>
      </c>
      <c r="BB1" t="e">
        <f>'SurveyRpt_20150223 (1)'!AW:AW*"h_l!Y"</f>
        <v>#VALUE!</v>
      </c>
      <c r="BC1" t="e">
        <f>'SurveyRpt_20150223 (1)'!AX:AX*"h_l!Z"</f>
        <v>#VALUE!</v>
      </c>
      <c r="BD1" t="e">
        <f>'SurveyRpt_20150223 (1)'!AY:AY*"h_l!["</f>
        <v>#VALUE!</v>
      </c>
      <c r="BE1" t="e">
        <f>'SurveyRpt_20150223 (1)'!AZ:AZ*"h_l!\"</f>
        <v>#VALUE!</v>
      </c>
      <c r="BF1" t="e">
        <f>'SurveyRpt_20150223 (1)'!BA:BA*"h_l!]"</f>
        <v>#VALUE!</v>
      </c>
      <c r="BG1" t="e">
        <f>'SurveyRpt_20150223 (1)'!BB:BB*"h_l!^"</f>
        <v>#VALUE!</v>
      </c>
      <c r="BH1" t="e">
        <f>'SurveyRpt_20150223 (1)'!BC:BC*"h_l!_"</f>
        <v>#VALUE!</v>
      </c>
      <c r="BI1" t="e">
        <f>'SurveyRpt_20150223 (1)'!BD:BD*"h_l!`"</f>
        <v>#VALUE!</v>
      </c>
      <c r="BJ1" t="e">
        <f>'SurveyRpt_20150223 (1)'!BE:BE*"h_l!a"</f>
        <v>#VALUE!</v>
      </c>
      <c r="BK1" t="e">
        <f>'SurveyRpt_20150223 (1)'!BF:BF*"h_l!b"</f>
        <v>#VALUE!</v>
      </c>
      <c r="BL1" t="e">
        <f>'SurveyRpt_20150223 (1)'!BG:BG*"h_l!c"</f>
        <v>#VALUE!</v>
      </c>
      <c r="BM1" t="e">
        <f>'SurveyRpt_20150223 (1)'!BH:BH*"h_l!d"</f>
        <v>#VALUE!</v>
      </c>
      <c r="BN1" t="e">
        <f>'SurveyRpt_20150223 (1)'!BI:BI*"h_l!e"</f>
        <v>#VALUE!</v>
      </c>
      <c r="BO1" t="e">
        <f>'SurveyRpt_20150223 (1)'!BJ:BJ*"h_l!f"</f>
        <v>#VALUE!</v>
      </c>
      <c r="BP1" t="e">
        <f>'SurveyRpt_20150223 (1)'!BK:BK*"h_l!g"</f>
        <v>#VALUE!</v>
      </c>
      <c r="BQ1" t="e">
        <f>'SurveyRpt_20150223 (1)'!BL:BL*"h_l!h"</f>
        <v>#VALUE!</v>
      </c>
      <c r="BR1" t="e">
        <f>'SurveyRpt_20150223 (1)'!BM:BM*"h_l!i"</f>
        <v>#VALUE!</v>
      </c>
      <c r="BS1" t="e">
        <f>'SurveyRpt_20150223 (1)'!BN:BN*"h_l!j"</f>
        <v>#VALUE!</v>
      </c>
      <c r="BT1" t="e">
        <f>'SurveyRpt_20150223 (1)'!BO:BO*"h_l!k"</f>
        <v>#VALUE!</v>
      </c>
      <c r="BU1" t="e">
        <f>'SurveyRpt_20150223 (1)'!BP:BP*"h_l!l"</f>
        <v>#VALUE!</v>
      </c>
      <c r="BV1" t="e">
        <f>'SurveyRpt_20150223 (1)'!BQ:BQ*"h_l!m"</f>
        <v>#VALUE!</v>
      </c>
      <c r="BW1" t="e">
        <f>'SurveyRpt_20150223 (1)'!BR:BR*"h_l!n"</f>
        <v>#VALUE!</v>
      </c>
      <c r="BX1" t="e">
        <f>'SurveyRpt_20150223 (1)'!BS:BS*"h_l!o"</f>
        <v>#VALUE!</v>
      </c>
      <c r="BY1" t="e">
        <f>'SurveyRpt_20150223 (1)'!BT:BT*"h_l!p"</f>
        <v>#VALUE!</v>
      </c>
      <c r="BZ1" t="e">
        <f>'SurveyRpt_20150223 (1)'!BU:BU*"h_l!q"</f>
        <v>#VALUE!</v>
      </c>
      <c r="CA1" t="e">
        <f>'SurveyRpt_20150223 (1)'!BV:BV*"h_l!r"</f>
        <v>#VALUE!</v>
      </c>
      <c r="CB1" t="e">
        <f>'SurveyRpt_20150223 (1)'!BW:BW*"h_l!s"</f>
        <v>#VALUE!</v>
      </c>
      <c r="CC1" t="e">
        <f>'SurveyRpt_20150223 (1)'!BX:BX*"h_l!t"</f>
        <v>#VALUE!</v>
      </c>
      <c r="CD1" t="e">
        <f>'SurveyRpt_20150223 (1)'!BY:BY*"h_l!u"</f>
        <v>#VALUE!</v>
      </c>
      <c r="CE1" t="e">
        <f>'SurveyRpt_20150223 (1)'!BZ:BZ*"h_l!v"</f>
        <v>#VALUE!</v>
      </c>
      <c r="CF1" t="e">
        <f>'SurveyRpt_20150223 (1)'!CA:CA*"h_l!w"</f>
        <v>#VALUE!</v>
      </c>
      <c r="CG1" t="e">
        <f>'SurveyRpt_20150223 (1)'!CB:CB*"h_l!x"</f>
        <v>#VALUE!</v>
      </c>
      <c r="CH1" t="e">
        <f>'SurveyRpt_20150223 (1)'!CC:CC*"h_l!y"</f>
        <v>#VALUE!</v>
      </c>
      <c r="CI1" t="e">
        <f>'SurveyRpt_20150223 (1)'!CD:CD*"h_l!z"</f>
        <v>#VALUE!</v>
      </c>
      <c r="CJ1" t="e">
        <f>'SurveyRpt_20150223 (1)'!CE:CE*"h_l!{"</f>
        <v>#VALUE!</v>
      </c>
      <c r="CK1" t="e">
        <f>'SurveyRpt_20150223 (1)'!CF:CF*"h_l!|"</f>
        <v>#VALUE!</v>
      </c>
      <c r="CL1" t="e">
        <f>'SurveyRpt_20150223 (1)'!CG:CG*"h_l!}"</f>
        <v>#VALUE!</v>
      </c>
      <c r="CM1" t="e">
        <f>'SurveyRpt_20150223 (1)'!CH:CH*"h_l!~"</f>
        <v>#VALUE!</v>
      </c>
      <c r="CN1" t="e">
        <f>'SurveyRpt_20150223 (1)'!CI:CI*"h_l!$#"</f>
        <v>#VALUE!</v>
      </c>
      <c r="CO1" t="e">
        <f>'SurveyRpt_20150223 (1)'!CJ:CJ*"h_l!$$"</f>
        <v>#VALUE!</v>
      </c>
      <c r="CP1" t="e">
        <f>'SurveyRpt_20150223 (1)'!CK:CK*"h_l!$%"</f>
        <v>#VALUE!</v>
      </c>
      <c r="CQ1" t="e">
        <f>'SurveyRpt_20150223 (1)'!CL:CL*"h_l!$&amp;"</f>
        <v>#VALUE!</v>
      </c>
      <c r="CR1" t="e">
        <f>'SurveyRpt_20150223 (1)'!1:1-"h_l!$'"</f>
        <v>#VALUE!</v>
      </c>
      <c r="CS1" t="e">
        <f>'SurveyRpt_20150223 (1)'!2:2-"h_l!$("</f>
        <v>#VALUE!</v>
      </c>
      <c r="CT1" t="e">
        <f>'SurveyRpt_20150223 (1)'!3:3-"h_l!$)"</f>
        <v>#VALUE!</v>
      </c>
      <c r="CU1" t="e">
        <f>'SurveyRpt_20150223 (1)'!4:4-"h_l!$."</f>
        <v>#VALUE!</v>
      </c>
      <c r="CV1" t="e">
        <f>'SurveyRpt_20150223 (1)'!5:5-"h_l!$/"</f>
        <v>#VALUE!</v>
      </c>
      <c r="CW1" t="e">
        <f>'SurveyRpt_20150223 (1)'!6:6-"h_l!$0"</f>
        <v>#VALUE!</v>
      </c>
      <c r="CX1" t="e">
        <f>'SurveyRpt_20150223 (1)'!7:7-"h_l!$1"</f>
        <v>#VALUE!</v>
      </c>
      <c r="CY1" t="e">
        <f>'SurveyRpt_20150223 (1)'!8:8-"h_l!$2"</f>
        <v>#VALUE!</v>
      </c>
      <c r="CZ1" t="e">
        <f>'SurveyRpt_20150223 (1)'!9:9-"h_l!$3"</f>
        <v>#VALUE!</v>
      </c>
      <c r="DA1" t="e">
        <f>'SurveyRpt_20150223 (1)'!10:10-"h_l!$4"</f>
        <v>#VALUE!</v>
      </c>
      <c r="DB1" t="e">
        <f>'SurveyRpt_20150223 (1)'!11:11-"h_l!$5"</f>
        <v>#VALUE!</v>
      </c>
      <c r="DC1" t="e">
        <f>'SurveyRpt_20150223 (1)'!12:12-"h_l!$6"</f>
        <v>#VALUE!</v>
      </c>
      <c r="DD1" t="e">
        <f>'SurveyRpt_20150223 (1)'!13:13-"h_l!$7"</f>
        <v>#VALUE!</v>
      </c>
      <c r="DE1" t="e">
        <f>'SurveyRpt_20150223 (1)'!14:14-"h_l!$8"</f>
        <v>#VALUE!</v>
      </c>
      <c r="DF1" t="e">
        <f>'SurveyRpt_20150223 (1)'!15:15-"h_l!$9"</f>
        <v>#VALUE!</v>
      </c>
      <c r="DG1" t="e">
        <f>'SurveyRpt_20150223 (1)'!16:16-"h_l!$:"</f>
        <v>#VALUE!</v>
      </c>
      <c r="DH1" t="e">
        <f>'SurveyRpt_20150223 (1)'!17:17-"h_l!$;"</f>
        <v>#VALUE!</v>
      </c>
      <c r="DI1" t="e">
        <f>'SurveyRpt_20150223 (1)'!18:18-"h_l!$&lt;"</f>
        <v>#VALUE!</v>
      </c>
      <c r="DJ1" t="e">
        <f>'SurveyRpt_20150223 (1)'!19:19-"h_l!$="</f>
        <v>#VALUE!</v>
      </c>
      <c r="DK1" t="e">
        <f>'SurveyRpt_20150223 (1)'!20:20-"h_l!$&gt;"</f>
        <v>#VALUE!</v>
      </c>
      <c r="DL1" t="e">
        <f>'SurveyRpt_20150223 (1)'!21:21-"h_l!$?"</f>
        <v>#VALUE!</v>
      </c>
      <c r="DM1" t="e">
        <f>'SurveyRpt_20150223 (1)'!22:22-"h_l!$@"</f>
        <v>#VALUE!</v>
      </c>
      <c r="DN1" t="e">
        <f>'SurveyRpt_20150223 (1)'!23:23-"h_l!$A"</f>
        <v>#VALUE!</v>
      </c>
      <c r="DO1" t="e">
        <f>'SurveyRpt_20150223 (1)'!24:24-"h_l!$B"</f>
        <v>#VALUE!</v>
      </c>
      <c r="DP1" t="e">
        <f>'SurveyRpt_20150223 (1)'!25:25-"h_l!$C"</f>
        <v>#VALUE!</v>
      </c>
      <c r="DQ1" t="e">
        <f>'SurveyRpt_20150223 (1)'!26:26-"h_l!$D"</f>
        <v>#VALUE!</v>
      </c>
      <c r="DR1" t="e">
        <f>'SurveyRpt_20150223 (1)'!27:27-"h_l!$E"</f>
        <v>#VALUE!</v>
      </c>
      <c r="DS1" t="e">
        <f>'SurveyRpt_20150223 (1)'!28:28-"h_l!$F"</f>
        <v>#VALUE!</v>
      </c>
      <c r="DT1" t="e">
        <f>'SurveyRpt_20150223 (1)'!29:29-"h_l!$G"</f>
        <v>#VALUE!</v>
      </c>
      <c r="DU1" t="e">
        <f>'SurveyRpt_20150223 (1)'!30:30-"h_l!$H"</f>
        <v>#VALUE!</v>
      </c>
      <c r="DV1" t="e">
        <f>'SurveyRpt_20150223 (1)'!31:31-"h_l!$I"</f>
        <v>#VALUE!</v>
      </c>
      <c r="DW1" t="e">
        <f>'SurveyRpt_20150223 (1)'!32:32-"h_l!$J"</f>
        <v>#VALUE!</v>
      </c>
      <c r="DX1" t="e">
        <f>'SurveyRpt_20150223 (1)'!33:33-"h_l!$K"</f>
        <v>#VALUE!</v>
      </c>
      <c r="DY1" t="e">
        <f>'SurveyRpt_20150223 (1)'!34:34-"h_l!$L"</f>
        <v>#VALUE!</v>
      </c>
      <c r="DZ1" t="e">
        <f>'SurveyRpt_20150223 (1)'!35:35-"h_l!$M"</f>
        <v>#VALUE!</v>
      </c>
      <c r="EA1" t="e">
        <f>'SurveyRpt_20150223 (1)'!36:36-"h_l!$N"</f>
        <v>#VALUE!</v>
      </c>
      <c r="EB1" t="e">
        <f>'SurveyRpt_20150223 (1)'!37:37-"h_l!$O"</f>
        <v>#VALUE!</v>
      </c>
      <c r="EC1" t="e">
        <f>'SurveyRpt_20150223 (1)'!38:38-"h_l!$P"</f>
        <v>#VALUE!</v>
      </c>
      <c r="ED1" t="e">
        <f>'SurveyRpt_20150223 (1)'!39:39-"h_l!$Q"</f>
        <v>#VALUE!</v>
      </c>
      <c r="EE1" t="e">
        <f>'SurveyRpt_20150223 (1)'!40:40-"h_l!$R"</f>
        <v>#VALUE!</v>
      </c>
      <c r="EF1" t="e">
        <f>'SurveyRpt_20150223 (1)'!41:41-"h_l!$S"</f>
        <v>#VALUE!</v>
      </c>
      <c r="EG1" t="e">
        <f>'SurveyRpt_20150223 (1)'!42:42-"h_l!$T"</f>
        <v>#VALUE!</v>
      </c>
      <c r="EH1" t="e">
        <f>'SurveyRpt_20150223 (1)'!43:43-"h_l!$U"</f>
        <v>#VALUE!</v>
      </c>
      <c r="EI1" t="e">
        <f>'SurveyRpt_20150223 (1)'!44:44-"h_l!$V"</f>
        <v>#VALUE!</v>
      </c>
      <c r="EJ1" t="e">
        <f>'SurveyRpt_20150223 (1)'!45:45-"h_l!$W"</f>
        <v>#VALUE!</v>
      </c>
      <c r="EK1" t="e">
        <f>'SurveyRpt_20150223 (1)'!46:46-"h_l!$X"</f>
        <v>#VALUE!</v>
      </c>
      <c r="EL1" t="e">
        <f>'SurveyRpt_20150223 (1)'!47:47-"h_l!$Y"</f>
        <v>#VALUE!</v>
      </c>
      <c r="EM1" t="e">
        <f>'SurveyRpt_20150223 (1)'!48:48-"h_l!$Z"</f>
        <v>#VALUE!</v>
      </c>
      <c r="EN1" t="e">
        <f>'SurveyRpt_20150223 (1)'!49:49-"h_l!$["</f>
        <v>#VALUE!</v>
      </c>
      <c r="EO1" t="e">
        <f>'SurveyRpt_20150223 (1)'!50:50-"h_l!$\"</f>
        <v>#VALUE!</v>
      </c>
      <c r="EP1" t="e">
        <f>'SurveyRpt_20150223 (1)'!51:51-"h_l!$]"</f>
        <v>#VALUE!</v>
      </c>
      <c r="EQ1" t="e">
        <f>'SurveyRpt_20150223 (1)'!52:52-"h_l!$^"</f>
        <v>#VALUE!</v>
      </c>
      <c r="ER1" t="e">
        <f>'SurveyRpt_20150223 (1)'!53:53-"h_l!$_"</f>
        <v>#VALUE!</v>
      </c>
      <c r="ES1" t="e">
        <f>'SurveyRpt_20150223 (1)'!54:54-"h_l!$`"</f>
        <v>#VALUE!</v>
      </c>
      <c r="ET1" t="e">
        <f>'SurveyRpt_20150223 (1)'!55:55-"h_l!$a"</f>
        <v>#VALUE!</v>
      </c>
      <c r="EU1" t="e">
        <f>'SurveyRpt_20150223 (1)'!56:56-"h_l!$b"</f>
        <v>#VALUE!</v>
      </c>
      <c r="EV1" t="e">
        <f>'SurveyRpt_20150223 (1)'!57:57-"h_l!$c"</f>
        <v>#VALUE!</v>
      </c>
      <c r="EW1" t="e">
        <f>'SurveyRpt_20150223 (1)'!58:58-"h_l!$d"</f>
        <v>#VALUE!</v>
      </c>
      <c r="EX1" t="e">
        <f>'SurveyRpt_20150223 (1)'!59:59-"h_l!$e"</f>
        <v>#VALUE!</v>
      </c>
      <c r="EY1" t="e">
        <f>'SurveyRpt_20150223 (1)'!60:60-"h_l!$f"</f>
        <v>#VALUE!</v>
      </c>
      <c r="EZ1" t="e">
        <f>'SurveyRpt_20150223 (1)'!61:61-"h_l!$g"</f>
        <v>#VALUE!</v>
      </c>
      <c r="FA1" t="e">
        <f>'SurveyRpt_20150223 (1)'!62:62-"h_l!$h"</f>
        <v>#VALUE!</v>
      </c>
      <c r="FB1" t="e">
        <f>'SurveyRpt_20150223 (1)'!63:63-"h_l!$i"</f>
        <v>#VALUE!</v>
      </c>
      <c r="FC1" t="e">
        <f>'SurveyRpt_20150223 (1)'!64:64-"h_l!$j"</f>
        <v>#VALUE!</v>
      </c>
      <c r="FD1" t="e">
        <f>'SurveyRpt_20150223 (1)'!65:65-"h_l!$k"</f>
        <v>#VALUE!</v>
      </c>
      <c r="FE1" t="e">
        <f>'SurveyRpt_20150223 (1)'!66:66-"h_l!$l"</f>
        <v>#VALUE!</v>
      </c>
      <c r="FF1" t="e">
        <f>'SurveyRpt_20150223 (1)'!67:67-"h_l!$m"</f>
        <v>#VALUE!</v>
      </c>
      <c r="FG1" t="e">
        <f>'SurveyRpt_20150223 (1)'!68:68-"h_l!$n"</f>
        <v>#VALUE!</v>
      </c>
      <c r="FH1" t="e">
        <f>'SurveyRpt_20150223 (1)'!69:69-"h_l!$o"</f>
        <v>#VALUE!</v>
      </c>
      <c r="FI1" t="e">
        <f>'SurveyRpt_20150223 (1)'!70:70-"h_l!$p"</f>
        <v>#VALUE!</v>
      </c>
      <c r="FJ1" t="e">
        <f>'SurveyRpt_20150223 (1)'!71:71-"h_l!$q"</f>
        <v>#VALUE!</v>
      </c>
      <c r="FK1" t="e">
        <f>'SurveyRpt_20150223 (1)'!72:72-"h_l!$r"</f>
        <v>#VALUE!</v>
      </c>
      <c r="FL1" t="e">
        <f>'SurveyRpt_20150223 (1)'!73:73-"h_l!$s"</f>
        <v>#VALUE!</v>
      </c>
      <c r="FM1" t="e">
        <f>'SurveyRpt_20150223 (1)'!74:74-"h_l!$t"</f>
        <v>#VALUE!</v>
      </c>
      <c r="FN1" t="e">
        <f>'SurveyRpt_20150223 (1)'!75:75-"h_l!$u"</f>
        <v>#VALUE!</v>
      </c>
      <c r="FO1" t="e">
        <f>'SurveyRpt_20150223 (1)'!76:76-"h_l!$v"</f>
        <v>#VALUE!</v>
      </c>
      <c r="FP1" t="e">
        <f>'SurveyRpt_20150223 (1)'!77:77-"h_l!$w"</f>
        <v>#VALUE!</v>
      </c>
      <c r="FQ1" t="e">
        <f>'SurveyRpt_20150223 (1)'!78:78-"h_l!$x"</f>
        <v>#VALUE!</v>
      </c>
      <c r="FR1" t="e">
        <f>'SurveyRpt_20150223 (1)'!79:79-"h_l!$y"</f>
        <v>#VALUE!</v>
      </c>
      <c r="FS1" t="e">
        <f>'SurveyRpt_20150223 (1)'!80:80-"h_l!$z"</f>
        <v>#VALUE!</v>
      </c>
      <c r="FT1" t="e">
        <f>'SurveyRpt_20150223 (1)'!81:81-"h_l!${"</f>
        <v>#VALUE!</v>
      </c>
      <c r="FU1" t="e">
        <f>'SurveyRpt_20150223 (1)'!82:82-"h_l!$|"</f>
        <v>#VALUE!</v>
      </c>
      <c r="FV1" t="e">
        <f>'SurveyRpt_20150223 (1)'!83:83-"h_l!$}"</f>
        <v>#VALUE!</v>
      </c>
      <c r="FW1" t="e">
        <f>'SurveyRpt_20150223 (1)'!84:84-"h_l!$~"</f>
        <v>#VALUE!</v>
      </c>
      <c r="FX1" t="e">
        <f>'SurveyRpt_20150223 (1)'!85:85-"h_l!%#"</f>
        <v>#VALUE!</v>
      </c>
      <c r="FY1" t="e">
        <f>'SurveyRpt_20150223 (1)'!86:86-"h_l!%$"</f>
        <v>#VALUE!</v>
      </c>
      <c r="FZ1" t="e">
        <f>'SurveyRpt_20150223 (1)'!87:87-"h_l!%%"</f>
        <v>#VALUE!</v>
      </c>
      <c r="GA1" t="e">
        <f>'SurveyRpt_20150223 (1)'!88:88-"h_l!%&amp;"</f>
        <v>#VALUE!</v>
      </c>
      <c r="GB1" t="e">
        <f>'SurveyRpt_20150223 (1)'!89:89-"h_l!%'"</f>
        <v>#VALUE!</v>
      </c>
      <c r="GC1" t="e">
        <f>'SurveyRpt_20150223 (1)'!90:90-"h_l!%("</f>
        <v>#VALUE!</v>
      </c>
      <c r="GD1" t="e">
        <f>'SurveyRpt_20150223 (1)'!91:91-"h_l!%)"</f>
        <v>#VALUE!</v>
      </c>
      <c r="GE1" t="e">
        <f>'SurveyRpt_20150223 (1)'!92:92-"h_l!%."</f>
        <v>#VALUE!</v>
      </c>
      <c r="GF1" t="e">
        <f>'SurveyRpt_20150223 (1)'!93:93-"h_l!%/"</f>
        <v>#VALUE!</v>
      </c>
      <c r="GG1" t="e">
        <f>'SurveyRpt_20150223 (1)'!94:94-"h_l!%0"</f>
        <v>#VALUE!</v>
      </c>
      <c r="GH1" t="e">
        <f>'SurveyRpt_20150223 (1)'!95:95-"h_l!%1"</f>
        <v>#VALUE!</v>
      </c>
      <c r="GI1" t="e">
        <f>'SurveyRpt_20150223 (1)'!96:96-"h_l!%2"</f>
        <v>#VALUE!</v>
      </c>
      <c r="GJ1" t="e">
        <f>'SurveyRpt_20150223 (1)'!97:97-"h_l!%3"</f>
        <v>#VALUE!</v>
      </c>
      <c r="GK1" t="e">
        <f>'SurveyRpt_20150223 (1)'!98:98-"h_l!%4"</f>
        <v>#VALUE!</v>
      </c>
      <c r="GL1" t="e">
        <f>'SurveyRpt_20150223 (1)'!99:99-"h_l!%5"</f>
        <v>#VALUE!</v>
      </c>
      <c r="GM1" t="e">
        <f>'SurveyRpt_20150223 (1)'!100:100-"h_l!%6"</f>
        <v>#VALUE!</v>
      </c>
      <c r="GN1" t="e">
        <f>'SurveyRpt_20150223 (1)'!101:101-"h_l!%7"</f>
        <v>#VALUE!</v>
      </c>
      <c r="GO1" t="e">
        <f>'SurveyRpt_20150223 (1)'!102:102-"h_l!%8"</f>
        <v>#VALUE!</v>
      </c>
      <c r="GP1" t="e">
        <f>'SurveyRpt_20150223 (1)'!103:103-"h_l!%9"</f>
        <v>#VALUE!</v>
      </c>
      <c r="GQ1" t="e">
        <f>'SurveyRpt_20150223 (1)'!104:104-"h_l!%:"</f>
        <v>#VALUE!</v>
      </c>
      <c r="GR1" t="e">
        <f>'SurveyRpt_20150223 (1)'!105:105-"h_l!%;"</f>
        <v>#VALUE!</v>
      </c>
      <c r="GS1" t="e">
        <f>'SurveyRpt_20150223 (1)'!106:106-"h_l!%&lt;"</f>
        <v>#VALUE!</v>
      </c>
      <c r="GT1" t="e">
        <f>'SurveyRpt_20150223 (1)'!107:107-"h_l!%="</f>
        <v>#VALUE!</v>
      </c>
      <c r="GU1" t="e">
        <f>'SurveyRpt_20150223 (1)'!108:108-"h_l!%&gt;"</f>
        <v>#VALUE!</v>
      </c>
      <c r="GV1" t="e">
        <f>'SurveyRpt_20150223 (1)'!109:109-"h_l!%?"</f>
        <v>#VALUE!</v>
      </c>
      <c r="GW1" t="e">
        <f>'SurveyRpt_20150223 (1)'!110:110-"h_l!%@"</f>
        <v>#VALUE!</v>
      </c>
      <c r="GX1" t="e">
        <f>'SurveyRpt_20150223 (1)'!111:111-"h_l!%A"</f>
        <v>#VALUE!</v>
      </c>
      <c r="GY1" t="e">
        <f>'SurveyRpt_20150223 (1)'!112:112-"h_l!%B"</f>
        <v>#VALUE!</v>
      </c>
      <c r="GZ1" t="e">
        <f>'SurveyRpt_20150223 (1)'!113:113-"h_l!%C"</f>
        <v>#VALUE!</v>
      </c>
      <c r="HA1" t="e">
        <f>'SurveyRpt_20150223 (1)'!114:114-"h_l!%D"</f>
        <v>#VALUE!</v>
      </c>
      <c r="HB1" t="e">
        <f>'SurveyRpt_20150223 (1)'!115:115-"h_l!%E"</f>
        <v>#VALUE!</v>
      </c>
      <c r="HC1" t="e">
        <f>'SurveyRpt_20150223 (1)'!116:116-"h_l!%F"</f>
        <v>#VALUE!</v>
      </c>
      <c r="HD1" t="e">
        <f>'SurveyRpt_20150223 (1)'!117:117-"h_l!%G"</f>
        <v>#VALUE!</v>
      </c>
      <c r="HE1" t="e">
        <f>'SurveyRpt_20150223 (1)'!118:118-"h_l!%H"</f>
        <v>#VALUE!</v>
      </c>
      <c r="HF1" t="e">
        <f>'SurveyRpt_20150223 (1)'!119:119-"h_l!%I"</f>
        <v>#VALUE!</v>
      </c>
      <c r="HG1" t="e">
        <f>'SurveyRpt_20150223 (1)'!120:120-"h_l!%J"</f>
        <v>#VALUE!</v>
      </c>
      <c r="HH1" t="e">
        <f>'SurveyRpt_20150223 (1)'!121:121-"h_l!%K"</f>
        <v>#VALUE!</v>
      </c>
      <c r="HI1" t="e">
        <f>'SurveyRpt_20150223 (1)'!122:122-"h_l!%L"</f>
        <v>#VALUE!</v>
      </c>
      <c r="HJ1" t="e">
        <f>'SurveyRpt_20150223 (1)'!123:123-"h_l!%M"</f>
        <v>#VALUE!</v>
      </c>
      <c r="HK1" t="e">
        <f>'SurveyRpt_20150223 (1)'!124:124-"h_l!%N"</f>
        <v>#VALUE!</v>
      </c>
      <c r="HL1" t="e">
        <f>'SurveyRpt_20150223 (1)'!125:125-"h_l!%O"</f>
        <v>#VALUE!</v>
      </c>
      <c r="HM1" t="e">
        <f>'SurveyRpt_20150223 (1)'!126:126-"h_l!%P"</f>
        <v>#VALUE!</v>
      </c>
      <c r="HN1" t="e">
        <f>'SurveyRpt_20150223 (1)'!127:127-"h_l!%Q"</f>
        <v>#VALUE!</v>
      </c>
      <c r="HO1" t="e">
        <f>'SurveyRpt_20150223 (1)'!128:128-"h_l!%R"</f>
        <v>#VALUE!</v>
      </c>
      <c r="HP1" t="e">
        <f>'SurveyRpt_20150223 (1)'!129:129-"h_l!%S"</f>
        <v>#VALUE!</v>
      </c>
      <c r="HQ1" t="e">
        <f>'SurveyRpt_20150223 (1)'!130:130-"h_l!%T"</f>
        <v>#VALUE!</v>
      </c>
      <c r="HR1" t="e">
        <f>'SurveyRpt_20150223 (1)'!131:131-"h_l!%U"</f>
        <v>#VALUE!</v>
      </c>
      <c r="HS1" t="e">
        <f>'SurveyRpt_20150223 (1)'!132:132-"h_l!%V"</f>
        <v>#VALUE!</v>
      </c>
      <c r="HT1" t="e">
        <f>'SurveyRpt_20150223 (1)'!133:133-"h_l!%W"</f>
        <v>#VALUE!</v>
      </c>
      <c r="HU1" t="e">
        <f>'SurveyRpt_20150223 (1)'!134:134-"h_l!%X"</f>
        <v>#VALUE!</v>
      </c>
      <c r="HV1" t="e">
        <f>'SurveyRpt_20150223 (1)'!135:135-"h_l!%Y"</f>
        <v>#VALUE!</v>
      </c>
      <c r="HW1" t="e">
        <f>'SurveyRpt_20150223 (1)'!136:136-"h_l!%Z"</f>
        <v>#VALUE!</v>
      </c>
      <c r="HX1" t="e">
        <f>'SurveyRpt_20150223 (1)'!137:137-"h_l!%["</f>
        <v>#VALUE!</v>
      </c>
      <c r="HY1" t="e">
        <f>'SurveyRpt_20150223 (1)'!138:138-"h_l!%\"</f>
        <v>#VALUE!</v>
      </c>
      <c r="HZ1" t="e">
        <f>'SurveyRpt_20150223 (1)'!139:139-"h_l!%]"</f>
        <v>#VALUE!</v>
      </c>
      <c r="IA1" t="e">
        <f>'SurveyRpt_20150223 (1)'!140:140-"h_l!%^"</f>
        <v>#VALUE!</v>
      </c>
      <c r="IB1" t="e">
        <f>'SurveyRpt_20150223 (1)'!141:141-"h_l!%_"</f>
        <v>#VALUE!</v>
      </c>
      <c r="IC1" t="e">
        <f>'SurveyRpt_20150223 (1)'!142:142-"h_l!%`"</f>
        <v>#VALUE!</v>
      </c>
      <c r="ID1" t="e">
        <f>'SurveyRpt_20150223 (1)'!143:143-"h_l!%a"</f>
        <v>#VALUE!</v>
      </c>
      <c r="IE1" t="e">
        <f>'SurveyRpt_20150223 (1)'!144:144-"h_l!%b"</f>
        <v>#VALUE!</v>
      </c>
      <c r="IF1" t="e">
        <f>'SurveyRpt_20150223 (1)'!145:145-"h_l!%c"</f>
        <v>#VALUE!</v>
      </c>
      <c r="IG1" t="e">
        <f>'SurveyRpt_20150223 (1)'!146:146-"h_l!%d"</f>
        <v>#VALUE!</v>
      </c>
      <c r="IH1" t="e">
        <f>'SurveyRpt_20150223 (1)'!147:147-"h_l!%e"</f>
        <v>#VALUE!</v>
      </c>
      <c r="II1" t="e">
        <f>'SurveyRpt_20150223 (1)'!148:148-"h_l!%f"</f>
        <v>#VALUE!</v>
      </c>
      <c r="IJ1" t="e">
        <f>'SurveyRpt_20150223 (1)'!149:149-"h_l!%g"</f>
        <v>#VALUE!</v>
      </c>
      <c r="IK1" t="e">
        <f>'SurveyRpt_20150223 (1)'!150:150-"h_l!%h"</f>
        <v>#VALUE!</v>
      </c>
      <c r="IL1" t="e">
        <f>'SurveyRpt_20150223 (1)'!151:151-"h_l!%i"</f>
        <v>#VALUE!</v>
      </c>
      <c r="IM1" t="e">
        <f>'SurveyRpt_20150223 (1)'!152:152-"h_l!%j"</f>
        <v>#VALUE!</v>
      </c>
      <c r="IN1" t="e">
        <f>'SurveyRpt_20150223 (1)'!153:153-"h_l!%k"</f>
        <v>#VALUE!</v>
      </c>
      <c r="IO1" t="e">
        <f>'SurveyRpt_20150223 (1)'!154:154-"h_l!%l"</f>
        <v>#VALUE!</v>
      </c>
      <c r="IP1" t="e">
        <f>'SurveyRpt_20150223 (1)'!155:155-"h_l!%m"</f>
        <v>#VALUE!</v>
      </c>
      <c r="IQ1" t="e">
        <f>'SurveyRpt_20150223 (1)'!156:156-"h_l!%n"</f>
        <v>#VALUE!</v>
      </c>
      <c r="IR1" t="e">
        <f>'SurveyRpt_20150223 (1)'!157:157-"h_l!%o"</f>
        <v>#VALUE!</v>
      </c>
      <c r="IS1" t="e">
        <f>'SurveyRpt_20150223 (1)'!158:158-"h_l!%p"</f>
        <v>#VALUE!</v>
      </c>
      <c r="IT1" t="e">
        <f>'SurveyRpt_20150223 (1)'!159:159-"h_l!%q"</f>
        <v>#VALUE!</v>
      </c>
      <c r="IU1" t="e">
        <f>'SurveyRpt_20150223 (1)'!160:160-"h_l!%r"</f>
        <v>#VALUE!</v>
      </c>
      <c r="IV1" t="e">
        <f>'SurveyRpt_20150223 (1)'!161:161-"h_l!%s"</f>
        <v>#VALUE!</v>
      </c>
    </row>
    <row r="2" spans="1:256" x14ac:dyDescent="0.25">
      <c r="A2" t="s">
        <v>3666</v>
      </c>
      <c r="F2" t="e">
        <f>'SurveyRpt_20150223 (1)'!162:162-"h_l!%t"</f>
        <v>#VALUE!</v>
      </c>
      <c r="G2" t="e">
        <f>'SurveyRpt_20150223 (1)'!163:163-"h_l!%u"</f>
        <v>#VALUE!</v>
      </c>
      <c r="H2" t="e">
        <f>'SurveyRpt_20150223 (1)'!164:164-"h_l!%v"</f>
        <v>#VALUE!</v>
      </c>
      <c r="I2" t="e">
        <f>'SurveyRpt_20150223 (1)'!165:165-"h_l!%w"</f>
        <v>#VALUE!</v>
      </c>
      <c r="J2" t="e">
        <f>'SurveyRpt_20150223 (1)'!166:166-"h_l!%x"</f>
        <v>#VALUE!</v>
      </c>
      <c r="K2" t="e">
        <f>'SurveyRpt_20150223 (1)'!167:167-"h_l!%y"</f>
        <v>#VALUE!</v>
      </c>
      <c r="L2" t="e">
        <f>'SurveyRpt_20150223 (1)'!168:168-"h_l!%z"</f>
        <v>#VALUE!</v>
      </c>
      <c r="M2" t="e">
        <f>'SurveyRpt_20150223 (1)'!169:169-"h_l!%{"</f>
        <v>#VALUE!</v>
      </c>
      <c r="N2" t="e">
        <f>'SurveyRpt_20150223 (1)'!170:170-"h_l!%|"</f>
        <v>#VALUE!</v>
      </c>
      <c r="O2" t="e">
        <f>'SurveyRpt_20150223 (1)'!171:171-"h_l!%}"</f>
        <v>#VALUE!</v>
      </c>
      <c r="P2" t="e">
        <f>'SurveyRpt_20150223 (1)'!172:172-"h_l!%~"</f>
        <v>#VALUE!</v>
      </c>
      <c r="Q2" t="e">
        <f>'SurveyRpt_20150223 (1)'!173:173-"h_l!&amp;#"</f>
        <v>#VALUE!</v>
      </c>
      <c r="R2" t="e">
        <f>'SurveyRpt_20150223 (1)'!174:174-"h_l!&amp;$"</f>
        <v>#VALUE!</v>
      </c>
      <c r="S2" t="e">
        <f>'SurveyRpt_20150223 (1)'!175:175-"h_l!&amp;%"</f>
        <v>#VALUE!</v>
      </c>
      <c r="T2" t="e">
        <f>'SurveyRpt_20150223 (1)'!176:176-"h_l!&amp;&amp;"</f>
        <v>#VALUE!</v>
      </c>
      <c r="U2" t="e">
        <f>'SurveyRpt_20150223 (1)'!177:177-"h_l!&amp;'"</f>
        <v>#VALUE!</v>
      </c>
      <c r="V2" t="e">
        <f>'SurveyRpt_20150223 (1)'!178:178-"h_l!&amp;("</f>
        <v>#VALUE!</v>
      </c>
      <c r="W2" t="e">
        <f>'SurveyRpt_20150223 (1)'!179:179-"h_l!&amp;)"</f>
        <v>#VALUE!</v>
      </c>
      <c r="X2" t="e">
        <f>'SurveyRpt_20150223 (1)'!180:180-"h_l!&amp;."</f>
        <v>#VALUE!</v>
      </c>
      <c r="Y2" t="e">
        <f>'SurveyRpt_20150223 (1)'!181:181-"h_l!&amp;/"</f>
        <v>#VALUE!</v>
      </c>
      <c r="Z2" t="e">
        <f>'SurveyRpt_20150223 (1)'!182:182-"h_l!&amp;0"</f>
        <v>#VALUE!</v>
      </c>
      <c r="AA2" t="e">
        <f>'SurveyRpt_20150223 (1)'!183:183-"h_l!&amp;1"</f>
        <v>#VALUE!</v>
      </c>
      <c r="AB2" t="e">
        <f>'SurveyRpt_20150223 (1)'!184:184-"h_l!&amp;2"</f>
        <v>#VALUE!</v>
      </c>
      <c r="AC2" t="e">
        <f>'SurveyRpt_20150223 (1)'!185:185-"h_l!&amp;3"</f>
        <v>#VALUE!</v>
      </c>
      <c r="AD2" t="e">
        <f>'SurveyRpt_20150223 (1)'!186:186-"h_l!&amp;4"</f>
        <v>#VALUE!</v>
      </c>
      <c r="AE2" t="e">
        <f>'SurveyRpt_20150223 (1)'!187:187-"h_l!&amp;5"</f>
        <v>#VALUE!</v>
      </c>
      <c r="AF2" t="e">
        <f>'SurveyRpt_20150223 (1)'!188:188-"h_l!&amp;6"</f>
        <v>#VALUE!</v>
      </c>
      <c r="AG2" t="e">
        <f>'SurveyRpt_20150223 (1)'!189:189-"h_l!&amp;7"</f>
        <v>#VALUE!</v>
      </c>
      <c r="AH2" t="e">
        <f>'SurveyRpt_20150223 (1)'!190:190-"h_l!&amp;8"</f>
        <v>#VALUE!</v>
      </c>
      <c r="AI2" t="e">
        <f>'SurveyRpt_20150223 (1)'!191:191-"h_l!&amp;9"</f>
        <v>#VALUE!</v>
      </c>
      <c r="AJ2" t="e">
        <f>'SurveyRpt_20150223 (1)'!192:192-"h_l!&amp;:"</f>
        <v>#VALUE!</v>
      </c>
      <c r="AK2" t="e">
        <f>'SurveyRpt_20150223 (1)'!193:193-"h_l!&amp;;"</f>
        <v>#VALUE!</v>
      </c>
      <c r="AL2" t="e">
        <f>'SurveyRpt_20150223 (1)'!194:194-"h_l!&amp;&lt;"</f>
        <v>#VALUE!</v>
      </c>
      <c r="AM2" t="e">
        <f>'SurveyRpt_20150223 (1)'!195:195-"h_l!&amp;="</f>
        <v>#VALUE!</v>
      </c>
      <c r="AN2" t="e">
        <f>'SurveyRpt_20150223 (1)'!196:196-"h_l!&amp;&gt;"</f>
        <v>#VALUE!</v>
      </c>
      <c r="AO2" t="e">
        <f>'SurveyRpt_20150223 (1)'!197:197-"h_l!&amp;?"</f>
        <v>#VALUE!</v>
      </c>
      <c r="AP2" t="e">
        <f>'SurveyRpt_20150223 (1)'!198:198-"h_l!&amp;@"</f>
        <v>#VALUE!</v>
      </c>
      <c r="AQ2" t="e">
        <f>'SurveyRpt_20150223 (1)'!199:199-"h_l!&amp;A"</f>
        <v>#VALUE!</v>
      </c>
      <c r="AR2" t="e">
        <f>'SurveyRpt_20150223 (1)'!200:200-"h_l!&amp;B"</f>
        <v>#VALUE!</v>
      </c>
      <c r="AS2" t="e">
        <f>'SurveyRpt_20150223 (1)'!201:201-"h_l!&amp;C"</f>
        <v>#VALUE!</v>
      </c>
      <c r="AT2" t="e">
        <f>'SurveyRpt_20150223 (1)'!202:202-"h_l!&amp;D"</f>
        <v>#VALUE!</v>
      </c>
      <c r="AU2" t="e">
        <f>'SurveyRpt_20150223 (1)'!203:203-"h_l!&amp;E"</f>
        <v>#VALUE!</v>
      </c>
      <c r="AV2" t="e">
        <f>'SurveyRpt_20150223 (1)'!204:204-"h_l!&amp;F"</f>
        <v>#VALUE!</v>
      </c>
      <c r="AW2" t="e">
        <f>'SurveyRpt_20150223 (1)'!205:205-"h_l!&amp;G"</f>
        <v>#VALUE!</v>
      </c>
      <c r="AX2" t="e">
        <f>'SurveyRpt_20150223 (1)'!206:206-"h_l!&amp;H"</f>
        <v>#VALUE!</v>
      </c>
      <c r="AY2" t="e">
        <f>'SurveyRpt_20150223 (1)'!207:207-"h_l!&amp;I"</f>
        <v>#VALUE!</v>
      </c>
      <c r="AZ2" t="e">
        <f>'SurveyRpt_20150223 (1)'!208:208-"h_l!&amp;J"</f>
        <v>#VALUE!</v>
      </c>
      <c r="BA2" t="e">
        <f>'SurveyRpt_20150223 (1)'!209:209-"h_l!&amp;K"</f>
        <v>#VALUE!</v>
      </c>
      <c r="BB2" t="e">
        <f>'SurveyRpt_20150223 (1)'!210:210-"h_l!&amp;L"</f>
        <v>#VALUE!</v>
      </c>
      <c r="BC2" t="e">
        <f>'SurveyRpt_20150223 (1)'!211:211-"h_l!&amp;M"</f>
        <v>#VALUE!</v>
      </c>
      <c r="BD2" t="e">
        <f>'SurveyRpt_20150223 (1)'!212:212-"h_l!&amp;N"</f>
        <v>#VALUE!</v>
      </c>
      <c r="BE2" t="e">
        <f>'SurveyRpt_20150223 (1)'!213:213-"h_l!&amp;O"</f>
        <v>#VALUE!</v>
      </c>
      <c r="BF2" t="e">
        <f>'SurveyRpt_20150223 (1)'!214:214-"h_l!&amp;P"</f>
        <v>#VALUE!</v>
      </c>
      <c r="BG2" t="e">
        <f>'SurveyRpt_20150223 (1)'!215:215-"h_l!&amp;Q"</f>
        <v>#VALUE!</v>
      </c>
      <c r="BH2" t="e">
        <f>'SurveyRpt_20150223 (1)'!216:216-"h_l!&amp;R"</f>
        <v>#VALUE!</v>
      </c>
      <c r="BI2" t="e">
        <f>'SurveyRpt_20150223 (1)'!217:217-"h_l!&amp;S"</f>
        <v>#VALUE!</v>
      </c>
      <c r="BJ2" t="e">
        <f>'SurveyRpt_20150223 (1)'!218:218-"h_l!&amp;T"</f>
        <v>#VALUE!</v>
      </c>
      <c r="BK2" t="e">
        <f>'SurveyRpt_20150223 (1)'!219:219-"h_l!&amp;U"</f>
        <v>#VALUE!</v>
      </c>
      <c r="BL2" t="e">
        <f>'SurveyRpt_20150223 (1)'!220:220-"h_l!&amp;V"</f>
        <v>#VALUE!</v>
      </c>
      <c r="BM2" t="e">
        <f>'SurveyRpt_20150223 (1)'!221:221-"h_l!&amp;W"</f>
        <v>#VALUE!</v>
      </c>
      <c r="BN2" t="e">
        <f>'SurveyRpt_20150223 (1)'!222:222-"h_l!&amp;X"</f>
        <v>#VALUE!</v>
      </c>
      <c r="BO2" t="e">
        <f>'SurveyRpt_20150223 (1)'!223:223-"h_l!&amp;Y"</f>
        <v>#VALUE!</v>
      </c>
      <c r="BP2" t="e">
        <f>'SurveyRpt_20150223 (1)'!224:224-"h_l!&amp;Z"</f>
        <v>#VALUE!</v>
      </c>
      <c r="BQ2" t="e">
        <f>'SurveyRpt_20150223 (1)'!225:225-"h_l!&amp;["</f>
        <v>#VALUE!</v>
      </c>
      <c r="BR2" t="e">
        <f>'SurveyRpt_20150223 (1)'!226:226-"h_l!&amp;\"</f>
        <v>#VALUE!</v>
      </c>
      <c r="BS2" t="e">
        <f>'SurveyRpt_20150223 (1)'!227:227-"h_l!&amp;]"</f>
        <v>#VALUE!</v>
      </c>
      <c r="BT2" t="e">
        <f>'SurveyRpt_20150223 (1)'!228:228-"h_l!&amp;^"</f>
        <v>#VALUE!</v>
      </c>
      <c r="BU2" t="e">
        <f>'SurveyRpt_20150223 (1)'!229:229-"h_l!&amp;_"</f>
        <v>#VALUE!</v>
      </c>
      <c r="BV2" t="e">
        <f>'SurveyRpt_20150223 (1)'!230:230-"h_l!&amp;`"</f>
        <v>#VALUE!</v>
      </c>
      <c r="BW2" t="e">
        <f>'SurveyRpt_20150223 (1)'!231:231-"h_l!&amp;a"</f>
        <v>#VALUE!</v>
      </c>
      <c r="BX2" t="e">
        <f>'SurveyRpt_20150223 (1)'!232:232-"h_l!&amp;b"</f>
        <v>#VALUE!</v>
      </c>
      <c r="BY2" t="e">
        <f>'SurveyRpt_20150223 (1)'!233:233-"h_l!&amp;c"</f>
        <v>#VALUE!</v>
      </c>
      <c r="BZ2" t="e">
        <f>'SurveyRpt_20150223 (1)'!234:234-"h_l!&amp;d"</f>
        <v>#VALUE!</v>
      </c>
      <c r="CA2" t="e">
        <f>'SurveyRpt_20150223 (1)'!235:235-"h_l!&amp;e"</f>
        <v>#VALUE!</v>
      </c>
      <c r="CB2" t="e">
        <f>'SurveyRpt_20150223 (1)'!236:236-"h_l!&amp;f"</f>
        <v>#VALUE!</v>
      </c>
      <c r="CC2" t="e">
        <f>'SurveyRpt_20150223 (1)'!237:237-"h_l!&amp;g"</f>
        <v>#VALUE!</v>
      </c>
      <c r="CD2" t="e">
        <f>'SurveyRpt_20150223 (1)'!238:238-"h_l!&amp;h"</f>
        <v>#VALUE!</v>
      </c>
      <c r="CE2" t="e">
        <f>'SurveyRpt_20150223 (1)'!239:239-"h_l!&amp;i"</f>
        <v>#VALUE!</v>
      </c>
      <c r="CF2" t="e">
        <f>'SurveyRpt_20150223 (1)'!240:240-"h_l!&amp;j"</f>
        <v>#VALUE!</v>
      </c>
      <c r="CG2" t="e">
        <f>'SurveyRpt_20150223 (1)'!241:241-"h_l!&amp;k"</f>
        <v>#VALUE!</v>
      </c>
      <c r="CH2" t="e">
        <f>'SurveyRpt_20150223 (1)'!242:242-"h_l!&amp;l"</f>
        <v>#VALUE!</v>
      </c>
      <c r="CI2" t="e">
        <f>'SurveyRpt_20150223 (1)'!243:243-"h_l!&amp;m"</f>
        <v>#VALUE!</v>
      </c>
      <c r="CJ2" t="e">
        <f>'SurveyRpt_20150223 (1)'!244:244-"h_l!&amp;n"</f>
        <v>#VALUE!</v>
      </c>
      <c r="CK2" t="e">
        <f>'SurveyRpt_20150223 (1)'!245:245-"h_l!&amp;o"</f>
        <v>#VALUE!</v>
      </c>
      <c r="CL2" t="e">
        <f>'SurveyRpt_20150223 (1)'!246:246-"h_l!&amp;p"</f>
        <v>#VALUE!</v>
      </c>
      <c r="CM2" t="e">
        <f>'SurveyRpt_20150223 (1)'!247:247-"h_l!&amp;q"</f>
        <v>#VALUE!</v>
      </c>
      <c r="CN2" t="e">
        <f>'SurveyRpt_20150223 (1)'!248:248-"h_l!&amp;r"</f>
        <v>#VALUE!</v>
      </c>
      <c r="CO2" t="e">
        <f>'SurveyRpt_20150223 (1)'!249:249-"h_l!&amp;s"</f>
        <v>#VALUE!</v>
      </c>
      <c r="CP2" t="e">
        <f>'SurveyRpt_20150223 (1)'!250:250-"h_l!&amp;t"</f>
        <v>#VALUE!</v>
      </c>
      <c r="CQ2" t="e">
        <f>'SurveyRpt_20150223 (1)'!251:251-"h_l!&amp;u"</f>
        <v>#VALUE!</v>
      </c>
      <c r="CR2" t="e">
        <f>'SurveyRpt_20150223 (1)'!252:252-"h_l!&amp;v"</f>
        <v>#VALUE!</v>
      </c>
      <c r="CS2" t="e">
        <f>'SurveyRpt_20150223 (1)'!253:253-"h_l!&amp;w"</f>
        <v>#VALUE!</v>
      </c>
      <c r="CT2" t="e">
        <f>'SurveyRpt_20150223 (1)'!254:254-"h_l!&amp;x"</f>
        <v>#VALUE!</v>
      </c>
      <c r="CU2" t="e">
        <f>'SurveyRpt_20150223 (1)'!255:255-"h_l!&amp;y"</f>
        <v>#VALUE!</v>
      </c>
      <c r="CV2" t="e">
        <f>'SurveyRpt_20150223 (1)'!256:256-"h_l!&amp;z"</f>
        <v>#VALUE!</v>
      </c>
      <c r="CW2" t="e">
        <f>'SurveyRpt_20150223 (1)'!257:257-"h_l!&amp;{"</f>
        <v>#VALUE!</v>
      </c>
      <c r="CX2" t="e">
        <f>'SurveyRpt_20150223 (1)'!258:258-"h_l!&amp;|"</f>
        <v>#VALUE!</v>
      </c>
      <c r="CY2" t="e">
        <f>'SurveyRpt_20150223 (1)'!259:259-"h_l!&amp;}"</f>
        <v>#VALUE!</v>
      </c>
      <c r="CZ2" t="e">
        <f>'SurveyRpt_20150223 (1)'!260:260-"h_l!&amp;~"</f>
        <v>#VALUE!</v>
      </c>
      <c r="DA2" t="e">
        <f>'SurveyRpt_20150223 (1)'!261:261-"h_l!'#"</f>
        <v>#VALUE!</v>
      </c>
      <c r="DB2" t="e">
        <f>'SurveyRpt_20150223 (1)'!262:262-"h_l!'$"</f>
        <v>#VALUE!</v>
      </c>
      <c r="DC2" t="e">
        <f>'SurveyRpt_20150223 (1)'!263:263-"h_l!'%"</f>
        <v>#VALUE!</v>
      </c>
      <c r="DD2" t="e">
        <f>'SurveyRpt_20150223 (1)'!264:264-"h_l!'&amp;"</f>
        <v>#VALUE!</v>
      </c>
      <c r="DE2" t="e">
        <f>'SurveyRpt_20150223 (1)'!265:265-"h_l!''"</f>
        <v>#VALUE!</v>
      </c>
      <c r="DF2" t="e">
        <f>'SurveyRpt_20150223 (1)'!266:266-"h_l!'("</f>
        <v>#VALUE!</v>
      </c>
      <c r="DG2" t="e">
        <f>'SurveyRpt_20150223 (1)'!267:267-"h_l!')"</f>
        <v>#VALUE!</v>
      </c>
      <c r="DH2" t="e">
        <f>'SurveyRpt_20150223 (1)'!268:268-"h_l!'."</f>
        <v>#VALUE!</v>
      </c>
      <c r="DI2" t="e">
        <f>'SurveyRpt_20150223 (1)'!269:269-"h_l!'/"</f>
        <v>#VALUE!</v>
      </c>
      <c r="DJ2" t="e">
        <f>'SurveyRpt_20150223 (1)'!270:270-"h_l!'0"</f>
        <v>#VALUE!</v>
      </c>
      <c r="DK2" t="e">
        <f>'SurveyRpt_20150223 (1)'!271:271-"h_l!'1"</f>
        <v>#VALUE!</v>
      </c>
      <c r="DL2" t="e">
        <f>'SurveyRpt_20150223 (1)'!272:272-"h_l!'2"</f>
        <v>#VALUE!</v>
      </c>
      <c r="DM2" t="e">
        <f>'SurveyRpt_20150223 (1)'!273:273-"h_l!'3"</f>
        <v>#VALUE!</v>
      </c>
      <c r="DN2" t="e">
        <f>'SurveyRpt_20150223 (1)'!274:274-"h_l!'4"</f>
        <v>#VALUE!</v>
      </c>
      <c r="DO2" t="e">
        <f>'SurveyRpt_20150223 (1)'!275:275-"h_l!'5"</f>
        <v>#VALUE!</v>
      </c>
      <c r="DP2" t="e">
        <f>'SurveyRpt_20150223 (1)'!276:276-"h_l!'6"</f>
        <v>#VALUE!</v>
      </c>
      <c r="DQ2" t="e">
        <f>'SurveyRpt_20150223 (1)'!277:277-"h_l!'7"</f>
        <v>#VALUE!</v>
      </c>
      <c r="DR2" t="e">
        <f>'SurveyRpt_20150223 (1)'!278:278-"h_l!'8"</f>
        <v>#VALUE!</v>
      </c>
      <c r="DS2" t="e">
        <f>'SurveyRpt_20150223 (1)'!279:279-"h_l!'9"</f>
        <v>#VALUE!</v>
      </c>
      <c r="DT2" t="e">
        <f>'SurveyRpt_20150223 (1)'!280:280-"h_l!':"</f>
        <v>#VALUE!</v>
      </c>
      <c r="DU2" t="e">
        <f>'SurveyRpt_20150223 (1)'!281:281-"h_l!';"</f>
        <v>#VALUE!</v>
      </c>
      <c r="DV2" t="e">
        <f>'SurveyRpt_20150223 (1)'!282:282-"h_l!'&lt;"</f>
        <v>#VALUE!</v>
      </c>
      <c r="DW2" t="e">
        <f>'SurveyRpt_20150223 (1)'!283:283-"h_l!'="</f>
        <v>#VALUE!</v>
      </c>
      <c r="DX2" t="e">
        <f>'SurveyRpt_20150223 (1)'!284:284-"h_l!'&gt;"</f>
        <v>#VALUE!</v>
      </c>
      <c r="DY2" t="e">
        <f>'SurveyRpt_20150223 (1)'!285:285-"h_l!'?"</f>
        <v>#VALUE!</v>
      </c>
      <c r="DZ2" t="e">
        <f>'SurveyRpt_20150223 (1)'!286:286-"h_l!'@"</f>
        <v>#VALUE!</v>
      </c>
      <c r="EA2" t="e">
        <f>'SurveyRpt_20150223 (1)'!287:287-"h_l!'A"</f>
        <v>#VALUE!</v>
      </c>
      <c r="EB2" t="e">
        <f>'SurveyRpt_20150223 (1)'!288:288-"h_l!'B"</f>
        <v>#VALUE!</v>
      </c>
      <c r="EC2" t="e">
        <f>'SurveyRpt_20150223 (1)'!289:289-"h_l!'C"</f>
        <v>#VALUE!</v>
      </c>
      <c r="ED2" t="e">
        <f>'SurveyRpt_20150223 (1)'!290:290-"h_l!'D"</f>
        <v>#VALUE!</v>
      </c>
      <c r="EE2" t="e">
        <f>'SurveyRpt_20150223 (1)'!291:291-"h_l!'E"</f>
        <v>#VALUE!</v>
      </c>
      <c r="EF2" t="e">
        <f>'SurveyRpt_20150223 (1)'!292:292-"h_l!'F"</f>
        <v>#VALUE!</v>
      </c>
      <c r="EG2" t="e">
        <f>'SurveyRpt_20150223 (1)'!293:293-"h_l!'G"</f>
        <v>#VALUE!</v>
      </c>
      <c r="EH2" t="e">
        <f>'SurveyRpt_20150223 (1)'!294:294-"h_l!'H"</f>
        <v>#VALUE!</v>
      </c>
      <c r="EI2" t="e">
        <f>'SurveyRpt_20150223 (1)'!295:295-"h_l!'I"</f>
        <v>#VALUE!</v>
      </c>
      <c r="EJ2" t="e">
        <f>'SurveyRpt_20150223 (1)'!296:296-"h_l!'J"</f>
        <v>#VALUE!</v>
      </c>
      <c r="EK2" t="e">
        <f>'SurveyRpt_20150223 (1)'!297:297-"h_l!'K"</f>
        <v>#VALUE!</v>
      </c>
      <c r="EL2" t="e">
        <f>'SurveyRpt_20150223 (1)'!298:298-"h_l!'L"</f>
        <v>#VALUE!</v>
      </c>
      <c r="EM2" t="e">
        <f>'SurveyRpt_20150223 (1)'!299:299-"h_l!'M"</f>
        <v>#VALUE!</v>
      </c>
      <c r="EN2" t="e">
        <f>'SurveyRpt_20150223 (1)'!300:300-"h_l!'N"</f>
        <v>#VALUE!</v>
      </c>
      <c r="EO2" t="e">
        <f>'SurveyRpt_20150223 (1)'!301:301-"h_l!'O"</f>
        <v>#VALUE!</v>
      </c>
      <c r="EP2" t="e">
        <f>'SurveyRpt_20150223 (1)'!302:302-"h_l!'P"</f>
        <v>#VALUE!</v>
      </c>
      <c r="EQ2" t="e">
        <f>'SurveyRpt_20150223 (1)'!303:303-"h_l!'Q"</f>
        <v>#VALUE!</v>
      </c>
      <c r="ER2" t="e">
        <f>'SurveyRpt_20150223 (1)'!304:304-"h_l!'R"</f>
        <v>#VALUE!</v>
      </c>
      <c r="ES2" t="e">
        <f>'SurveyRpt_20150223 (1)'!305:305-"h_l!'S"</f>
        <v>#VALUE!</v>
      </c>
      <c r="ET2" t="e">
        <f>'SurveyRpt_20150223 (1)'!306:306-"h_l!'T"</f>
        <v>#VALUE!</v>
      </c>
      <c r="EU2" t="e">
        <f>'SurveyRpt_20150223 (1)'!307:307-"h_l!'U"</f>
        <v>#VALUE!</v>
      </c>
      <c r="EV2" t="e">
        <f>'SurveyRpt_20150223 (1)'!308:308-"h_l!'V"</f>
        <v>#VALUE!</v>
      </c>
      <c r="EW2" t="e">
        <f>'SurveyRpt_20150223 (1)'!309:309-"h_l!'W"</f>
        <v>#VALUE!</v>
      </c>
      <c r="EX2" t="e">
        <f>'SurveyRpt_20150223 (1)'!310:310-"h_l!'X"</f>
        <v>#VALUE!</v>
      </c>
      <c r="EY2" t="e">
        <f>'SurveyRpt_20150223 (1)'!311:311-"h_l!'Y"</f>
        <v>#VALUE!</v>
      </c>
      <c r="EZ2" t="e">
        <f>'SurveyRpt_20150223 (1)'!312:312-"h_l!'Z"</f>
        <v>#VALUE!</v>
      </c>
      <c r="FA2" t="e">
        <f>'SurveyRpt_20150223 (1)'!313:313-"h_l!'["</f>
        <v>#VALUE!</v>
      </c>
      <c r="FB2" t="e">
        <f>'SurveyRpt_20150223 (1)'!314:314-"h_l!'\"</f>
        <v>#VALUE!</v>
      </c>
      <c r="FC2" t="e">
        <f>'SurveyRpt_20150223 (1)'!315:315-"h_l!']"</f>
        <v>#VALUE!</v>
      </c>
      <c r="FD2" t="e">
        <f>'SurveyRpt_20150223 (1)'!316:316-"h_l!'^"</f>
        <v>#VALUE!</v>
      </c>
      <c r="FE2" t="e">
        <f>'SurveyRpt_20150223 (1)'!317:317-"h_l!'_"</f>
        <v>#VALUE!</v>
      </c>
      <c r="FF2" t="e">
        <f>'SurveyRpt_20150223 (1)'!318:318-"h_l!'`"</f>
        <v>#VALUE!</v>
      </c>
      <c r="FG2" t="e">
        <f>'SurveyRpt_20150223 (1)'!319:319-"h_l!'a"</f>
        <v>#VALUE!</v>
      </c>
      <c r="FH2" t="e">
        <f>'SurveyRpt_20150223 (1)'!320:320-"h_l!'b"</f>
        <v>#VALUE!</v>
      </c>
      <c r="FI2" t="e">
        <f>'SurveyRpt_20150223 (1)'!321:321-"h_l!'c"</f>
        <v>#VALUE!</v>
      </c>
      <c r="FJ2" t="e">
        <f>'SurveyRpt_20150223 (1)'!322:322-"h_l!'d"</f>
        <v>#VALUE!</v>
      </c>
      <c r="FK2" t="e">
        <f>'SurveyRpt_20150223 (1)'!323:323-"h_l!'e"</f>
        <v>#VALUE!</v>
      </c>
      <c r="FL2" t="e">
        <f>'SurveyRpt_20150223 (1)'!324:324-"h_l!'f"</f>
        <v>#VALUE!</v>
      </c>
      <c r="FM2" t="e">
        <f>'SurveyRpt_20150223 (1)'!325:325-"h_l!'g"</f>
        <v>#VALUE!</v>
      </c>
      <c r="FN2" t="e">
        <f>'SurveyRpt_20150223 (1)'!326:326-"h_l!'h"</f>
        <v>#VALUE!</v>
      </c>
      <c r="FO2" t="e">
        <f>'SurveyRpt_20150223 (1)'!327:327-"h_l!'i"</f>
        <v>#VALUE!</v>
      </c>
      <c r="FP2" t="e">
        <f>'SurveyRpt_20150223 (1)'!328:328-"h_l!'j"</f>
        <v>#VALUE!</v>
      </c>
      <c r="FQ2" t="e">
        <f>'SurveyRpt_20150223 (1)'!329:329-"h_l!'k"</f>
        <v>#VALUE!</v>
      </c>
      <c r="FR2" t="e">
        <f>'SurveyRpt_20150223 (1)'!330:330-"h_l!'l"</f>
        <v>#VALUE!</v>
      </c>
      <c r="FS2" t="e">
        <f>'SurveyRpt_20150223 (1)'!331:331-"h_l!'m"</f>
        <v>#VALUE!</v>
      </c>
      <c r="FT2" t="e">
        <f>'SurveyRpt_20150223 (1)'!332:332-"h_l!'n"</f>
        <v>#VALUE!</v>
      </c>
      <c r="FU2" t="e">
        <f>'SurveyRpt_20150223 (1)'!333:333-"h_l!'o"</f>
        <v>#VALUE!</v>
      </c>
      <c r="FV2" t="e">
        <f>'SurveyRpt_20150223 (1)'!334:334-"h_l!'p"</f>
        <v>#VALUE!</v>
      </c>
      <c r="FW2" t="e">
        <f>'SurveyRpt_20150223 (1)'!335:335-"h_l!'q"</f>
        <v>#VALUE!</v>
      </c>
      <c r="FX2" t="e">
        <f>'SurveyRpt_20150223 (1)'!336:336-"h_l!'r"</f>
        <v>#VALUE!</v>
      </c>
      <c r="FY2" t="e">
        <f>'SurveyRpt_20150223 (1)'!337:337-"h_l!'s"</f>
        <v>#VALUE!</v>
      </c>
      <c r="FZ2" t="e">
        <f>'SurveyRpt_20150223 (1)'!338:338-"h_l!'t"</f>
        <v>#VALUE!</v>
      </c>
      <c r="GA2" t="e">
        <f>'SurveyRpt_20150223 (1)'!339:339-"h_l!'u"</f>
        <v>#VALUE!</v>
      </c>
      <c r="GB2" t="e">
        <f>'SurveyRpt_20150223 (1)'!340:340-"h_l!'v"</f>
        <v>#VALUE!</v>
      </c>
      <c r="GC2" t="e">
        <f>'SurveyRpt_20150223 (1)'!341:341-"h_l!'w"</f>
        <v>#VALUE!</v>
      </c>
      <c r="GD2" t="e">
        <f>'SurveyRpt_20150223 (1)'!342:342-"h_l!'x"</f>
        <v>#VALUE!</v>
      </c>
      <c r="GE2" t="e">
        <f>'SurveyRpt_20150223 (1)'!343:343-"h_l!'y"</f>
        <v>#VALUE!</v>
      </c>
      <c r="GF2" t="e">
        <f>'SurveyRpt_20150223 (1)'!344:344-"h_l!'z"</f>
        <v>#VALUE!</v>
      </c>
      <c r="GG2" t="e">
        <f>'SurveyRpt_20150223 (1)'!345:345-"h_l!'{"</f>
        <v>#VALUE!</v>
      </c>
      <c r="GH2" t="e">
        <f>'SurveyRpt_20150223 (1)'!346:346-"h_l!'|"</f>
        <v>#VALUE!</v>
      </c>
      <c r="GI2" t="e">
        <f>'SurveyRpt_20150223 (1)'!347:347-"h_l!'}"</f>
        <v>#VALUE!</v>
      </c>
      <c r="GJ2" t="e">
        <f>'SurveyRpt_20150223 (1)'!348:348-"h_l!'~"</f>
        <v>#VALUE!</v>
      </c>
      <c r="GK2" t="e">
        <f>'SurveyRpt_20150223 (1)'!349:349-"h_l!(#"</f>
        <v>#VALUE!</v>
      </c>
      <c r="GL2" t="e">
        <f>'SurveyRpt_20150223 (1)'!350:350-"h_l!($"</f>
        <v>#VALUE!</v>
      </c>
      <c r="GM2" t="e">
        <f>'SurveyRpt_20150223 (1)'!351:351-"h_l!(%"</f>
        <v>#VALUE!</v>
      </c>
      <c r="GN2" t="e">
        <f>'SurveyRpt_20150223 (1)'!352:352-"h_l!(&amp;"</f>
        <v>#VALUE!</v>
      </c>
      <c r="GO2" t="e">
        <f>'SurveyRpt_20150223 (1)'!353:353-"h_l!('"</f>
        <v>#VALUE!</v>
      </c>
      <c r="GP2" t="e">
        <f>'SurveyRpt_20150223 (1)'!354:354-"h_l!(("</f>
        <v>#VALUE!</v>
      </c>
      <c r="GQ2" t="e">
        <f>'SurveyRpt_20150223 (1)'!355:355-"h_l!()"</f>
        <v>#VALUE!</v>
      </c>
      <c r="GR2" t="e">
        <f>'SurveyRpt_20150223 (1)'!356:356-"h_l!(."</f>
        <v>#VALUE!</v>
      </c>
      <c r="GS2" t="e">
        <f>'SurveyRpt_20150223 (1)'!357:357-"h_l!(/"</f>
        <v>#VALUE!</v>
      </c>
      <c r="GT2" t="e">
        <f>'SurveyRpt_20150223 (1)'!358:358-"h_l!(0"</f>
        <v>#VALUE!</v>
      </c>
      <c r="GU2" t="e">
        <f>'SurveyRpt_20150223 (1)'!359:359-"h_l!(1"</f>
        <v>#VALUE!</v>
      </c>
      <c r="GV2" t="e">
        <f>'SurveyRpt_20150223 (1)'!360:360-"h_l!(2"</f>
        <v>#VALUE!</v>
      </c>
      <c r="GW2" t="e">
        <f>'SurveyRpt_20150223 (1)'!361:361-"h_l!(3"</f>
        <v>#VALUE!</v>
      </c>
      <c r="GX2" t="e">
        <f>'SurveyRpt_20150223 (1)'!362:362-"h_l!(4"</f>
        <v>#VALUE!</v>
      </c>
      <c r="GY2" t="e">
        <f>'SurveyRpt_20150223 (1)'!363:363-"h_l!(5"</f>
        <v>#VALUE!</v>
      </c>
      <c r="GZ2" t="e">
        <f>'SurveyRpt_20150223 (1)'!364:364-"h_l!(6"</f>
        <v>#VALUE!</v>
      </c>
      <c r="HA2" t="e">
        <f>'SurveyRpt_20150223 (1)'!365:365-"h_l!(7"</f>
        <v>#VALUE!</v>
      </c>
      <c r="HB2" t="e">
        <f>'SurveyRpt_20150223 (1)'!366:366-"h_l!(8"</f>
        <v>#VALUE!</v>
      </c>
      <c r="HC2" t="e">
        <f>'SurveyRpt_20150223 (1)'!367:367-"h_l!(9"</f>
        <v>#VALUE!</v>
      </c>
      <c r="HD2" t="e">
        <f>'SurveyRpt_20150223 (1)'!368:368-"h_l!(:"</f>
        <v>#VALUE!</v>
      </c>
      <c r="HE2" t="e">
        <f>'SurveyRpt_20150223 (1)'!369:369-"h_l!(;"</f>
        <v>#VALUE!</v>
      </c>
      <c r="HF2" t="e">
        <f>'SurveyRpt_20150223 (1)'!370:370-"h_l!(&lt;"</f>
        <v>#VALUE!</v>
      </c>
      <c r="HG2" t="e">
        <f>'SurveyRpt_20150223 (1)'!371:371-"h_l!(="</f>
        <v>#VALUE!</v>
      </c>
      <c r="HH2" t="e">
        <f>'SurveyRpt_20150223 (1)'!372:372-"h_l!(&gt;"</f>
        <v>#VALUE!</v>
      </c>
      <c r="HI2" t="e">
        <f>'SurveyRpt_20150223 (1)'!373:373-"h_l!(?"</f>
        <v>#VALUE!</v>
      </c>
      <c r="HJ2" t="e">
        <f>'SurveyRpt_20150223 (1)'!374:374-"h_l!(@"</f>
        <v>#VALUE!</v>
      </c>
      <c r="HK2" t="e">
        <f>'SurveyRpt_20150223 (1)'!375:375-"h_l!(A"</f>
        <v>#VALUE!</v>
      </c>
      <c r="HL2" t="e">
        <f>'SurveyRpt_20150223 (1)'!376:376-"h_l!(B"</f>
        <v>#VALUE!</v>
      </c>
      <c r="HM2" t="e">
        <f>'SurveyRpt_20150223 (1)'!377:377-"h_l!(C"</f>
        <v>#VALUE!</v>
      </c>
      <c r="HN2" t="e">
        <f>'SurveyRpt_20150223 (1)'!378:378-"h_l!(D"</f>
        <v>#VALUE!</v>
      </c>
      <c r="HO2" t="e">
        <f>'SurveyRpt_20150223 (1)'!379:379-"h_l!(E"</f>
        <v>#VALUE!</v>
      </c>
      <c r="HP2" t="e">
        <f>'SurveyRpt_20150223 (1)'!380:380-"h_l!(F"</f>
        <v>#VALUE!</v>
      </c>
      <c r="HQ2" t="e">
        <f>'SurveyRpt_20150223 (1)'!381:381-"h_l!(G"</f>
        <v>#VALUE!</v>
      </c>
      <c r="HR2" t="e">
        <f>'SurveyRpt_20150223 (1)'!382:382-"h_l!(H"</f>
        <v>#VALUE!</v>
      </c>
      <c r="HS2" t="e">
        <f>'SurveyRpt_20150223 (1)'!383:383-"h_l!(I"</f>
        <v>#VALUE!</v>
      </c>
      <c r="HT2" t="e">
        <f>'SurveyRpt_20150223 (1)'!384:384-"h_l!(J"</f>
        <v>#VALUE!</v>
      </c>
      <c r="HU2" t="e">
        <f>'SurveyRpt_20150223 (1)'!385:385-"h_l!(K"</f>
        <v>#VALUE!</v>
      </c>
      <c r="HV2" t="e">
        <f>'SurveyRpt_20150223 (1)'!386:386-"h_l!(L"</f>
        <v>#VALUE!</v>
      </c>
      <c r="HW2" t="e">
        <f>'SurveyRpt_20150223 (1)'!387:387-"h_l!(M"</f>
        <v>#VALUE!</v>
      </c>
      <c r="HX2" t="e">
        <f>'SurveyRpt_20150223 (1)'!388:388-"h_l!(N"</f>
        <v>#VALUE!</v>
      </c>
      <c r="HY2" t="e">
        <f>'SurveyRpt_20150223 (1)'!389:389-"h_l!(O"</f>
        <v>#VALUE!</v>
      </c>
      <c r="HZ2" t="e">
        <f>'SurveyRpt_20150223 (1)'!390:390-"h_l!(P"</f>
        <v>#VALUE!</v>
      </c>
      <c r="IA2" t="e">
        <f>'SurveyRpt_20150223 (1)'!391:391-"h_l!(Q"</f>
        <v>#VALUE!</v>
      </c>
      <c r="IB2" t="e">
        <f>'SurveyRpt_20150223 (1)'!392:392-"h_l!(R"</f>
        <v>#VALUE!</v>
      </c>
      <c r="IC2" t="e">
        <f>'SurveyRpt_20150223 (1)'!393:393-"h_l!(S"</f>
        <v>#VALUE!</v>
      </c>
      <c r="ID2" t="e">
        <f>'SurveyRpt_20150223 (1)'!394:394-"h_l!(T"</f>
        <v>#VALUE!</v>
      </c>
      <c r="IE2" t="e">
        <f>'SurveyRpt_20150223 (1)'!395:395-"h_l!(U"</f>
        <v>#VALUE!</v>
      </c>
      <c r="IF2" t="e">
        <f>'SurveyRpt_20150223 (1)'!396:396-"h_l!(V"</f>
        <v>#VALUE!</v>
      </c>
      <c r="IG2" t="e">
        <f>'SurveyRpt_20150223 (1)'!397:397-"h_l!(W"</f>
        <v>#VALUE!</v>
      </c>
      <c r="IH2" t="e">
        <f>'SurveyRpt_20150223 (1)'!398:398-"h_l!(X"</f>
        <v>#VALUE!</v>
      </c>
      <c r="II2" t="e">
        <f>'SurveyRpt_20150223 (1)'!399:399-"h_l!(Y"</f>
        <v>#VALUE!</v>
      </c>
      <c r="IJ2" t="e">
        <f>'SurveyRpt_20150223 (1)'!400:400-"h_l!(Z"</f>
        <v>#VALUE!</v>
      </c>
      <c r="IK2" t="e">
        <f>'SurveyRpt_20150223 (1)'!401:401-"h_l!(["</f>
        <v>#VALUE!</v>
      </c>
      <c r="IL2" t="e">
        <f>'SurveyRpt_20150223 (1)'!402:402-"h_l!(\"</f>
        <v>#VALUE!</v>
      </c>
      <c r="IM2" t="e">
        <f>'SurveyRpt_20150223 (1)'!403:403-"h_l!(]"</f>
        <v>#VALUE!</v>
      </c>
      <c r="IN2" t="e">
        <f>'SurveyRpt_20150223 (1)'!404:404-"h_l!(^"</f>
        <v>#VALUE!</v>
      </c>
      <c r="IO2" t="e">
        <f>'SurveyRpt_20150223 (1)'!405:405-"h_l!(_"</f>
        <v>#VALUE!</v>
      </c>
      <c r="IP2" t="e">
        <f>'SurveyRpt_20150223 (1)'!406:406-"h_l!(`"</f>
        <v>#VALUE!</v>
      </c>
      <c r="IQ2" t="e">
        <f>'SurveyRpt_20150223 (1)'!407:407-"h_l!(a"</f>
        <v>#VALUE!</v>
      </c>
      <c r="IR2" t="e">
        <f>'SurveyRpt_20150223 (1)'!408:408-"h_l!(b"</f>
        <v>#VALUE!</v>
      </c>
      <c r="IS2" t="e">
        <f>'SurveyRpt_20150223 (1)'!409:409-"h_l!(c"</f>
        <v>#VALUE!</v>
      </c>
      <c r="IT2" t="e">
        <f>'SurveyRpt_20150223 (1)'!410:410-"h_l!(d"</f>
        <v>#VALUE!</v>
      </c>
      <c r="IU2" t="e">
        <f>'SurveyRpt_20150223 (1)'!411:411-"h_l!(e"</f>
        <v>#VALUE!</v>
      </c>
      <c r="IV2" t="e">
        <f>'SurveyRpt_20150223 (1)'!412:412-"h_l!(f"</f>
        <v>#VALUE!</v>
      </c>
    </row>
    <row r="3" spans="1:256" x14ac:dyDescent="0.25">
      <c r="A3" t="s">
        <v>3667</v>
      </c>
      <c r="F3" t="e">
        <f>'SurveyRpt_20150223 (1)'!413:413-"h_l!(g"</f>
        <v>#VALUE!</v>
      </c>
      <c r="G3" t="e">
        <f>'SurveyRpt_20150223 (1)'!414:414-"h_l!(h"</f>
        <v>#VALUE!</v>
      </c>
      <c r="H3" t="e">
        <f>'SurveyRpt_20150223 (1)'!415:415-"h_l!(i"</f>
        <v>#VALUE!</v>
      </c>
      <c r="I3" t="e">
        <f>'SurveyRpt_20150223 (1)'!416:416-"h_l!(j"</f>
        <v>#VALUE!</v>
      </c>
      <c r="J3" t="e">
        <f>'SurveyRpt_20150223 (1)'!417:417-"h_l!(k"</f>
        <v>#VALUE!</v>
      </c>
      <c r="K3" t="e">
        <f>'SurveyRpt_20150223 (1)'!418:418-"h_l!(l"</f>
        <v>#VALUE!</v>
      </c>
      <c r="L3" t="e">
        <f>'SurveyRpt_20150223 (1)'!419:419-"h_l!(m"</f>
        <v>#VALUE!</v>
      </c>
      <c r="M3" t="e">
        <f>'SurveyRpt_20150223 (1)'!420:420-"h_l!(n"</f>
        <v>#VALUE!</v>
      </c>
      <c r="N3" t="e">
        <f>'SurveyRpt_20150223 (1)'!421:421-"h_l!(o"</f>
        <v>#VALUE!</v>
      </c>
      <c r="O3" t="e">
        <f>'SurveyRpt_20150223 (1)'!422:422-"h_l!(p"</f>
        <v>#VALUE!</v>
      </c>
      <c r="P3" t="e">
        <f>'SurveyRpt_20150223 (1)'!423:423-"h_l!(q"</f>
        <v>#VALUE!</v>
      </c>
      <c r="Q3" t="e">
        <f>'SurveyRpt_20150223 (1)'!424:424-"h_l!(r"</f>
        <v>#VALUE!</v>
      </c>
      <c r="R3" t="e">
        <f>'SurveyRpt_20150223 (1)'!425:425-"h_l!(s"</f>
        <v>#VALUE!</v>
      </c>
      <c r="S3" t="e">
        <f>'SurveyRpt_20150223 (1)'!426:426-"h_l!(t"</f>
        <v>#VALUE!</v>
      </c>
      <c r="T3" t="e">
        <f>'SurveyRpt_20150223 (1)'!427:427-"h_l!(u"</f>
        <v>#VALUE!</v>
      </c>
      <c r="U3" t="e">
        <f>'SurveyRpt_20150223 (1)'!428:428-"h_l!(v"</f>
        <v>#VALUE!</v>
      </c>
      <c r="V3" t="e">
        <f>'SurveyRpt_20150223 (1)'!429:429-"h_l!(w"</f>
        <v>#VALUE!</v>
      </c>
      <c r="W3" t="e">
        <f>'SurveyRpt_20150223 (1)'!430:430-"h_l!(x"</f>
        <v>#VALUE!</v>
      </c>
      <c r="X3" t="e">
        <f>'SurveyRpt_20150223 (1)'!431:431-"h_l!(y"</f>
        <v>#VALUE!</v>
      </c>
      <c r="Y3" t="e">
        <f>'SurveyRpt_20150223 (1)'!432:432-"h_l!(z"</f>
        <v>#VALUE!</v>
      </c>
      <c r="Z3" t="e">
        <f>'SurveyRpt_20150223 (1)'!433:433-"h_l!({"</f>
        <v>#VALUE!</v>
      </c>
      <c r="AA3" t="e">
        <f>'SurveyRpt_20150223 (1)'!434:434-"h_l!(|"</f>
        <v>#VALUE!</v>
      </c>
      <c r="AB3" t="e">
        <f>'SurveyRpt_20150223 (1)'!435:435-"h_l!(}"</f>
        <v>#VALUE!</v>
      </c>
      <c r="AC3" t="e">
        <f>'SurveyRpt_20150223 (1)'!436:436-"h_l!(~"</f>
        <v>#VALUE!</v>
      </c>
      <c r="AD3" t="e">
        <f>'SurveyRpt_20150223 (1)'!437:437-"h_l!)#"</f>
        <v>#VALUE!</v>
      </c>
      <c r="AE3" t="e">
        <f>'SurveyRpt_20150223 (1)'!438:438-"h_l!)$"</f>
        <v>#VALUE!</v>
      </c>
      <c r="AF3" t="e">
        <f>'SurveyRpt_20150223 (1)'!439:439-"h_l!)%"</f>
        <v>#VALUE!</v>
      </c>
      <c r="AG3" t="e">
        <f>'SurveyRpt_20150223 (1)'!440:440-"h_l!)&amp;"</f>
        <v>#VALUE!</v>
      </c>
      <c r="AH3" t="e">
        <f>'SurveyRpt_20150223 (1)'!441:441-"h_l!)'"</f>
        <v>#VALUE!</v>
      </c>
      <c r="AI3" t="e">
        <f>'SurveyRpt_20150223 (1)'!442:442-"h_l!)("</f>
        <v>#VALUE!</v>
      </c>
      <c r="AJ3" t="e">
        <f>'SurveyRpt_20150223 (1)'!443:443-"h_l!))"</f>
        <v>#VALUE!</v>
      </c>
      <c r="AK3" t="e">
        <f>'SurveyRpt_20150223 (1)'!444:444-"h_l!)."</f>
        <v>#VALUE!</v>
      </c>
      <c r="AL3" t="e">
        <f>'SurveyRpt_20150223 (1)'!445:445-"h_l!)/"</f>
        <v>#VALUE!</v>
      </c>
      <c r="AM3" t="e">
        <f>'SurveyRpt_20150223 (1)'!446:446-"h_l!)0"</f>
        <v>#VALUE!</v>
      </c>
      <c r="AN3" t="e">
        <f>'SurveyRpt_20150223 (1)'!447:447-"h_l!)1"</f>
        <v>#VALUE!</v>
      </c>
      <c r="AO3" t="e">
        <f>'SurveyRpt_20150223 (1)'!448:448-"h_l!)2"</f>
        <v>#VALUE!</v>
      </c>
      <c r="AP3" t="e">
        <f>'SurveyRpt_20150223 (1)'!449:449-"h_l!)3"</f>
        <v>#VALUE!</v>
      </c>
      <c r="AQ3" t="e">
        <f>'SurveyRpt_20150223 (1)'!450:450-"h_l!)4"</f>
        <v>#VALUE!</v>
      </c>
      <c r="AR3" t="e">
        <f>'SurveyRpt_20150223 (1)'!451:451-"h_l!)5"</f>
        <v>#VALUE!</v>
      </c>
      <c r="AS3" t="e">
        <f>'SurveyRpt_20150223 (1)'!452:452-"h_l!)6"</f>
        <v>#VALUE!</v>
      </c>
      <c r="AT3" t="e">
        <f>'SurveyRpt_20150223 (1)'!453:453-"h_l!)7"</f>
        <v>#VALUE!</v>
      </c>
      <c r="AU3" t="e">
        <f>'SurveyRpt_20150223 (1)'!454:454-"h_l!)8"</f>
        <v>#VALUE!</v>
      </c>
      <c r="AV3" t="e">
        <f>'SurveyRpt_20150223 (1)'!455:455-"h_l!)9"</f>
        <v>#VALUE!</v>
      </c>
      <c r="AW3" t="e">
        <f>'SurveyRpt_20150223 (1)'!456:456-"h_l!):"</f>
        <v>#VALUE!</v>
      </c>
      <c r="AX3" t="e">
        <f>'SurveyRpt_20150223 (1)'!457:457-"h_l!);"</f>
        <v>#VALUE!</v>
      </c>
      <c r="AY3" t="e">
        <f>'SurveyRpt_20150223 (1)'!458:458-"h_l!)&lt;"</f>
        <v>#VALUE!</v>
      </c>
      <c r="AZ3" t="e">
        <f>'SurveyRpt_20150223 (1)'!459:459-"h_l!)="</f>
        <v>#VALUE!</v>
      </c>
      <c r="BA3" t="e">
        <f>'SurveyRpt_20150223 (1)'!460:460-"h_l!)&gt;"</f>
        <v>#VALUE!</v>
      </c>
      <c r="BB3" t="e">
        <f>'SurveyRpt_20150223 (1)'!461:461-"h_l!)?"</f>
        <v>#VALUE!</v>
      </c>
      <c r="BC3" t="e">
        <f>'SurveyRpt_20150223 (1)'!462:462-"h_l!)@"</f>
        <v>#VALUE!</v>
      </c>
      <c r="BD3" t="e">
        <f>'SurveyRpt_20150223 (1)'!463:463-"h_l!)A"</f>
        <v>#VALUE!</v>
      </c>
      <c r="BE3" t="e">
        <f>'SurveyRpt_20150223 (1)'!464:464-"h_l!)B"</f>
        <v>#VALUE!</v>
      </c>
      <c r="BF3" t="e">
        <f>'SurveyRpt_20150223 (1)'!465:465-"h_l!)C"</f>
        <v>#VALUE!</v>
      </c>
      <c r="BG3" t="e">
        <f>'SurveyRpt_20150223 (1)'!466:466-"h_l!)D"</f>
        <v>#VALUE!</v>
      </c>
      <c r="BH3" t="e">
        <f>'SurveyRpt_20150223 (1)'!467:467-"h_l!)E"</f>
        <v>#VALUE!</v>
      </c>
      <c r="BI3" t="e">
        <f>'SurveyRpt_20150223 (1)'!468:468-"h_l!)F"</f>
        <v>#VALUE!</v>
      </c>
      <c r="BJ3" t="e">
        <f>'SurveyRpt_20150223 (1)'!469:469-"h_l!)G"</f>
        <v>#VALUE!</v>
      </c>
      <c r="BK3" t="e">
        <f>'SurveyRpt_20150223 (1)'!470:470-"h_l!)H"</f>
        <v>#VALUE!</v>
      </c>
      <c r="BL3" t="e">
        <f>'SurveyRpt_20150223 (1)'!471:471-"h_l!)I"</f>
        <v>#VALUE!</v>
      </c>
      <c r="BM3" t="e">
        <f>'SurveyRpt_20150223 (1)'!472:472-"h_l!)J"</f>
        <v>#VALUE!</v>
      </c>
      <c r="BN3" t="e">
        <f>'SurveyRpt_20150223 (1)'!473:473-"h_l!)K"</f>
        <v>#VALUE!</v>
      </c>
      <c r="BO3" t="e">
        <f>'SurveyRpt_20150223 (1)'!474:474-"h_l!)L"</f>
        <v>#VALUE!</v>
      </c>
      <c r="BP3" t="e">
        <f>'SurveyRpt_20150223 (1)'!475:475-"h_l!)M"</f>
        <v>#VALUE!</v>
      </c>
      <c r="BQ3" t="e">
        <f>'SurveyRpt_20150223 (1)'!476:476-"h_l!)N"</f>
        <v>#VALUE!</v>
      </c>
      <c r="BR3" t="e">
        <f>'SurveyRpt_20150223 (1)'!477:477-"h_l!)O"</f>
        <v>#VALUE!</v>
      </c>
      <c r="BS3" t="e">
        <f>'SurveyRpt_20150223 (1)'!478:478-"h_l!)P"</f>
        <v>#VALUE!</v>
      </c>
      <c r="BT3" t="e">
        <f>'SurveyRpt_20150223 (1)'!479:479-"h_l!)Q"</f>
        <v>#VALUE!</v>
      </c>
      <c r="BU3" t="e">
        <f>'SurveyRpt_20150223 (1)'!480:480-"h_l!)R"</f>
        <v>#VALUE!</v>
      </c>
      <c r="BV3" t="e">
        <f>'SurveyRpt_20150223 (1)'!481:481-"h_l!)S"</f>
        <v>#VALUE!</v>
      </c>
      <c r="BW3" t="e">
        <f>'SurveyRpt_20150223 (1)'!482:482-"h_l!)T"</f>
        <v>#VALUE!</v>
      </c>
      <c r="BX3" t="e">
        <f>'SurveyRpt_20150223 (1)'!483:483-"h_l!)U"</f>
        <v>#VALUE!</v>
      </c>
      <c r="BY3" t="e">
        <f>'SurveyRpt_20150223 (1)'!484:484-"h_l!)V"</f>
        <v>#VALUE!</v>
      </c>
      <c r="BZ3" t="e">
        <f>'SurveyRpt_20150223 (1)'!485:485-"h_l!)W"</f>
        <v>#VALUE!</v>
      </c>
      <c r="CA3" t="e">
        <f>'SurveyRpt_20150223 (1)'!486:486-"h_l!)X"</f>
        <v>#VALUE!</v>
      </c>
      <c r="CB3" t="e">
        <f>'SurveyRpt_20150223 (1)'!487:487-"h_l!)Y"</f>
        <v>#VALUE!</v>
      </c>
      <c r="CC3" t="e">
        <f>'SurveyRpt_20150223 (1)'!488:488-"h_l!)Z"</f>
        <v>#VALUE!</v>
      </c>
      <c r="CD3" t="e">
        <f>'SurveyRpt_20150223 (1)'!489:489-"h_l!)["</f>
        <v>#VALUE!</v>
      </c>
      <c r="CE3" t="e">
        <f>'SurveyRpt_20150223 (1)'!490:490-"h_l!)\"</f>
        <v>#VALUE!</v>
      </c>
      <c r="CF3" t="e">
        <f>'SurveyRpt_20150223 (1)'!491:491-"h_l!)]"</f>
        <v>#VALUE!</v>
      </c>
      <c r="CG3" t="e">
        <f>'SurveyRpt_20150223 (1)'!492:492-"h_l!)^"</f>
        <v>#VALUE!</v>
      </c>
      <c r="CH3" t="e">
        <f>'SurveyRpt_20150223 (1)'!493:493-"h_l!)_"</f>
        <v>#VALUE!</v>
      </c>
      <c r="CI3" t="e">
        <f>'SurveyRpt_20150223 (1)'!494:494-"h_l!)`"</f>
        <v>#VALUE!</v>
      </c>
      <c r="CJ3" t="e">
        <f>'SurveyRpt_20150223 (1)'!495:495-"h_l!)a"</f>
        <v>#VALUE!</v>
      </c>
      <c r="CK3" t="e">
        <f>'SurveyRpt_20150223 (1)'!496:496-"h_l!)b"</f>
        <v>#VALUE!</v>
      </c>
      <c r="CL3" t="e">
        <f>'SurveyRpt_20150223 (1)'!497:497-"h_l!)c"</f>
        <v>#VALUE!</v>
      </c>
      <c r="CM3" t="e">
        <f>'SurveyRpt_20150223 (1)'!498:498-"h_l!)d"</f>
        <v>#VALUE!</v>
      </c>
      <c r="CN3" t="e">
        <f>'SurveyRpt_20150223 (1)'!499:499-"h_l!)e"</f>
        <v>#VALUE!</v>
      </c>
      <c r="CO3" t="e">
        <f>'SurveyRpt_20150223 (1)'!500:500-"h_l!)f"</f>
        <v>#VALUE!</v>
      </c>
      <c r="CP3" t="e">
        <f>'SurveyRpt_20150223 (1)'!501:501-"h_l!)g"</f>
        <v>#VALUE!</v>
      </c>
      <c r="CQ3" t="e">
        <f>'SurveyRpt_20150223 (1)'!502:502-"h_l!)h"</f>
        <v>#VALUE!</v>
      </c>
      <c r="CR3" t="e">
        <f>'SurveyRpt_20150223 (1)'!503:503-"h_l!)i"</f>
        <v>#VALUE!</v>
      </c>
      <c r="CS3" t="e">
        <f>'SurveyRpt_20150223 (1)'!504:504-"h_l!)j"</f>
        <v>#VALUE!</v>
      </c>
      <c r="CT3" t="e">
        <f>'SurveyRpt_20150223 (1)'!505:505-"h_l!)k"</f>
        <v>#VALUE!</v>
      </c>
      <c r="CU3" t="e">
        <f>'SurveyRpt_20150223 (1)'!506:506-"h_l!)l"</f>
        <v>#VALUE!</v>
      </c>
      <c r="CV3" t="e">
        <f>'SurveyRpt_20150223 (1)'!507:507-"h_l!)m"</f>
        <v>#VALUE!</v>
      </c>
      <c r="CW3" t="e">
        <f>'SurveyRpt_20150223 (1)'!508:508-"h_l!)n"</f>
        <v>#VALUE!</v>
      </c>
      <c r="CX3" t="e">
        <f>'SurveyRpt_20150223 (1)'!509:509-"h_l!)o"</f>
        <v>#VALUE!</v>
      </c>
      <c r="CY3" t="e">
        <f>'SurveyRpt_20150223 (1)'!510:510-"h_l!)p"</f>
        <v>#VALUE!</v>
      </c>
      <c r="CZ3" t="e">
        <f>'SurveyRpt_20150223 (1)'!511:511-"h_l!)q"</f>
        <v>#VALUE!</v>
      </c>
      <c r="DA3" t="e">
        <f>'SurveyRpt_20150223 (1)'!512:512-"h_l!)r"</f>
        <v>#VALUE!</v>
      </c>
      <c r="DB3" t="e">
        <f>'SurveyRpt_20150223 (1)'!513:513-"h_l!)s"</f>
        <v>#VALUE!</v>
      </c>
      <c r="DC3" t="e">
        <f>'SurveyRpt_20150223 (1)'!514:514-"h_l!)t"</f>
        <v>#VALUE!</v>
      </c>
      <c r="DD3" t="e">
        <f>'SurveyRpt_20150223 (1)'!515:515-"h_l!)u"</f>
        <v>#VALUE!</v>
      </c>
      <c r="DE3" t="e">
        <f>'SurveyRpt_20150223 (1)'!516:516-"h_l!)v"</f>
        <v>#VALUE!</v>
      </c>
      <c r="DF3" t="e">
        <f>'SurveyRpt_20150223 (1)'!517:517-"h_l!)w"</f>
        <v>#VALUE!</v>
      </c>
      <c r="DG3" t="e">
        <f>'SurveyRpt_20150223 (1)'!518:518-"h_l!)x"</f>
        <v>#VALUE!</v>
      </c>
      <c r="DH3" t="e">
        <f>'SurveyRpt_20150223 (1)'!519:519-"h_l!)y"</f>
        <v>#VALUE!</v>
      </c>
      <c r="DI3" t="e">
        <f>'SurveyRpt_20150223 (1)'!520:520-"h_l!)z"</f>
        <v>#VALUE!</v>
      </c>
      <c r="DJ3" t="e">
        <f>'SurveyRpt_20150223 (1)'!521:521-"h_l!){"</f>
        <v>#VALUE!</v>
      </c>
      <c r="DK3" t="e">
        <f>'SurveyRpt_20150223 (1)'!522:522-"h_l!)|"</f>
        <v>#VALUE!</v>
      </c>
      <c r="DL3" t="e">
        <f>'SurveyRpt_20150223 (1)'!523:523-"h_l!)}"</f>
        <v>#VALUE!</v>
      </c>
      <c r="DM3" t="e">
        <f>'SurveyRpt_20150223 (1)'!524:524-"h_l!)~"</f>
        <v>#VALUE!</v>
      </c>
      <c r="DN3" t="e">
        <f>'SurveyRpt_20150223 (1)'!525:525-"h_l!.#"</f>
        <v>#VALUE!</v>
      </c>
      <c r="DO3" t="e">
        <f>'SurveyRpt_20150223 (1)'!526:526-"h_l!.$"</f>
        <v>#VALUE!</v>
      </c>
      <c r="DP3" t="e">
        <f>'SurveyRpt_20150223 (1)'!527:527-"h_l!.%"</f>
        <v>#VALUE!</v>
      </c>
      <c r="DQ3" t="e">
        <f>'SurveyRpt_20150223 (1)'!528:528-"h_l!.&amp;"</f>
        <v>#VALUE!</v>
      </c>
      <c r="DR3" t="e">
        <f>'SurveyRpt_20150223 (1)'!529:529-"h_l!.'"</f>
        <v>#VALUE!</v>
      </c>
      <c r="DS3" t="e">
        <f>'SurveyRpt_20150223 (1)'!530:530-"h_l!.("</f>
        <v>#VALUE!</v>
      </c>
      <c r="DT3" t="e">
        <f>'SurveyRpt_20150223 (1)'!531:531-"h_l!.)"</f>
        <v>#VALUE!</v>
      </c>
      <c r="DU3" t="e">
        <f>'SurveyRpt_20150223 (1)'!532:532-"h_l!.."</f>
        <v>#VALUE!</v>
      </c>
      <c r="DV3" t="e">
        <f>'SurveyRpt_20150223 (1)'!533:533-"h_l!./"</f>
        <v>#VALUE!</v>
      </c>
      <c r="DW3" t="e">
        <f>'SurveyRpt_20150223 (1)'!534:534-"h_l!.0"</f>
        <v>#VALUE!</v>
      </c>
      <c r="DX3" t="e">
        <f>'SurveyRpt_20150223 (1)'!535:535-"h_l!.1"</f>
        <v>#VALUE!</v>
      </c>
      <c r="DY3" t="e">
        <f>'SurveyRpt_20150223 (1)'!536:536-"h_l!.2"</f>
        <v>#VALUE!</v>
      </c>
      <c r="DZ3" t="e">
        <f>'SurveyRpt_20150223 (1)'!537:537-"h_l!.3"</f>
        <v>#VALUE!</v>
      </c>
      <c r="EA3" t="e">
        <f>'SurveyRpt_20150223 (1)'!538:538-"h_l!.4"</f>
        <v>#VALUE!</v>
      </c>
      <c r="EB3" t="e">
        <f>'SurveyRpt_20150223 (1)'!539:539-"h_l!.5"</f>
        <v>#VALUE!</v>
      </c>
      <c r="EC3" t="e">
        <f>'SurveyRpt_20150223 (1)'!540:540-"h_l!.6"</f>
        <v>#VALUE!</v>
      </c>
      <c r="ED3" t="e">
        <f>'SurveyRpt_20150223 (1)'!541:541-"h_l!.7"</f>
        <v>#VALUE!</v>
      </c>
      <c r="EE3" t="e">
        <f>'SurveyRpt_20150223 (1)'!542:542-"h_l!.8"</f>
        <v>#VALUE!</v>
      </c>
      <c r="EF3" t="e">
        <f>'SurveyRpt_20150223 (1)'!543:543-"h_l!.9"</f>
        <v>#VALUE!</v>
      </c>
      <c r="EG3" t="e">
        <f>'SurveyRpt_20150223 (1)'!544:544-"h_l!.:"</f>
        <v>#VALUE!</v>
      </c>
      <c r="EH3" t="e">
        <f>'SurveyRpt_20150223 (1)'!545:545-"h_l!.;"</f>
        <v>#VALUE!</v>
      </c>
      <c r="EI3" t="e">
        <f>'SurveyRpt_20150223 (1)'!546:546-"h_l!.&lt;"</f>
        <v>#VALUE!</v>
      </c>
      <c r="EJ3" t="e">
        <f>'SurveyRpt_20150223 (1)'!547:547-"h_l!.="</f>
        <v>#VALUE!</v>
      </c>
      <c r="EK3" t="e">
        <f>'SurveyRpt_20150223 (1)'!548:548-"h_l!.&gt;"</f>
        <v>#VALUE!</v>
      </c>
      <c r="EL3" t="e">
        <f>'SurveyRpt_20150223 (1)'!549:549-"h_l!.?"</f>
        <v>#VALUE!</v>
      </c>
      <c r="EM3" t="e">
        <f>'SurveyRpt_20150223 (1)'!550:550-"h_l!.@"</f>
        <v>#VALUE!</v>
      </c>
      <c r="EN3" t="e">
        <f>'SurveyRpt_20150223 (1)'!551:551-"h_l!.A"</f>
        <v>#VALUE!</v>
      </c>
      <c r="EO3" t="e">
        <f>'SurveyRpt_20150223 (1)'!552:552-"h_l!.B"</f>
        <v>#VALUE!</v>
      </c>
      <c r="EP3" t="e">
        <f>'SurveyRpt_20150223 (1)'!553:553-"h_l!.C"</f>
        <v>#VALUE!</v>
      </c>
      <c r="EQ3" t="e">
        <f>'SurveyRpt_20150223 (1)'!554:554-"h_l!.D"</f>
        <v>#VALUE!</v>
      </c>
      <c r="ER3" t="e">
        <f>'SurveyRpt_20150223 (1)'!555:555-"h_l!.E"</f>
        <v>#VALUE!</v>
      </c>
      <c r="ES3" t="e">
        <f>'SurveyRpt_20150223 (1)'!556:556-"h_l!.F"</f>
        <v>#VALUE!</v>
      </c>
      <c r="ET3" t="e">
        <f>'SurveyRpt_20150223 (1)'!557:557-"h_l!.G"</f>
        <v>#VALUE!</v>
      </c>
      <c r="EU3" t="e">
        <f>'SurveyRpt_20150223 (1)'!558:558-"h_l!.H"</f>
        <v>#VALUE!</v>
      </c>
      <c r="EV3" t="e">
        <f>'SurveyRpt_20150223 (1)'!559:559-"h_l!.I"</f>
        <v>#VALUE!</v>
      </c>
      <c r="EW3" t="e">
        <f>'SurveyRpt_20150223 (1)'!560:560-"h_l!.J"</f>
        <v>#VALUE!</v>
      </c>
      <c r="EX3" t="e">
        <f>'SurveyRpt_20150223 (1)'!561:561-"h_l!.K"</f>
        <v>#VALUE!</v>
      </c>
      <c r="EY3" t="e">
        <f>'SurveyRpt_20150223 (1)'!562:562-"h_l!.L"</f>
        <v>#VALUE!</v>
      </c>
      <c r="EZ3" t="e">
        <f>'SurveyRpt_20150223 (1)'!563:563-"h_l!.M"</f>
        <v>#VALUE!</v>
      </c>
      <c r="FA3" t="e">
        <f>'SurveyRpt_20150223 (1)'!564:564-"h_l!.N"</f>
        <v>#VALUE!</v>
      </c>
      <c r="FB3" t="e">
        <f>'SurveyRpt_20150223 (1)'!565:565-"h_l!.O"</f>
        <v>#VALUE!</v>
      </c>
      <c r="FC3" t="e">
        <f>'SurveyRpt_20150223 (1)'!566:566-"h_l!.P"</f>
        <v>#VALUE!</v>
      </c>
      <c r="FD3" t="e">
        <f>'SurveyRpt_20150223 (1)'!567:567-"h_l!.Q"</f>
        <v>#VALUE!</v>
      </c>
      <c r="FE3" t="e">
        <f>'SurveyRpt_20150223 (1)'!568:568-"h_l!.R"</f>
        <v>#VALUE!</v>
      </c>
      <c r="FF3" t="e">
        <f>'SurveyRpt_20150223 (1)'!569:569-"h_l!.S"</f>
        <v>#VALUE!</v>
      </c>
      <c r="FG3" t="e">
        <f>'SurveyRpt_20150223 (1)'!570:570-"h_l!.T"</f>
        <v>#VALUE!</v>
      </c>
      <c r="FH3" t="e">
        <f>'SurveyRpt_20150223 (1)'!571:571-"h_l!.U"</f>
        <v>#VALUE!</v>
      </c>
      <c r="FI3" t="e">
        <f>'SurveyRpt_20150223 (1)'!572:572-"h_l!.V"</f>
        <v>#VALUE!</v>
      </c>
      <c r="FJ3" t="e">
        <f>'SurveyRpt_20150223 (1)'!573:573-"h_l!.W"</f>
        <v>#VALUE!</v>
      </c>
      <c r="FK3" t="e">
        <f>'SurveyRpt_20150223 (1)'!574:574-"h_l!.X"</f>
        <v>#VALUE!</v>
      </c>
      <c r="FL3" t="e">
        <f>'SurveyRpt_20150223 (1)'!575:575-"h_l!.Y"</f>
        <v>#VALUE!</v>
      </c>
      <c r="FM3" t="e">
        <f>'SurveyRpt_20150223 (1)'!576:576-"h_l!.Z"</f>
        <v>#VALUE!</v>
      </c>
      <c r="FN3" t="e">
        <f>'SurveyRpt_20150223 (1)'!577:577-"h_l!.["</f>
        <v>#VALUE!</v>
      </c>
      <c r="FO3" t="e">
        <f>'SurveyRpt_20150223 (1)'!578:578-"h_l!.\"</f>
        <v>#VALUE!</v>
      </c>
      <c r="FP3" t="e">
        <f>'SurveyRpt_20150223 (1)'!579:579-"h_l!.]"</f>
        <v>#VALUE!</v>
      </c>
      <c r="FQ3" t="e">
        <f>'SurveyRpt_20150223 (1)'!580:580-"h_l!.^"</f>
        <v>#VALUE!</v>
      </c>
      <c r="FR3" t="e">
        <f>'SurveyRpt_20150223 (1)'!581:581-"h_l!._"</f>
        <v>#VALUE!</v>
      </c>
      <c r="FS3" t="e">
        <f>'SurveyRpt_20150223 (1)'!582:582-"h_l!.`"</f>
        <v>#VALUE!</v>
      </c>
      <c r="FT3" t="e">
        <f>'SurveyRpt_20150223 (1)'!583:583-"h_l!.a"</f>
        <v>#VALUE!</v>
      </c>
      <c r="FU3" t="e">
        <f>'SurveyRpt_20150223 (1)'!584:584-"h_l!.b"</f>
        <v>#VALUE!</v>
      </c>
      <c r="FV3" t="e">
        <f>'SurveyRpt_20150223 (1)'!585:585-"h_l!.c"</f>
        <v>#VALUE!</v>
      </c>
      <c r="FW3" t="e">
        <f>'SurveyRpt_20150223 (1)'!586:586-"h_l!.d"</f>
        <v>#VALUE!</v>
      </c>
      <c r="FX3" t="e">
        <f>'SurveyRpt_20150223 (1)'!587:587-"h_l!.e"</f>
        <v>#VALUE!</v>
      </c>
      <c r="FY3" t="e">
        <f>'SurveyRpt_20150223 (1)'!588:588-"h_l!.f"</f>
        <v>#VALUE!</v>
      </c>
      <c r="FZ3" t="e">
        <f>'SurveyRpt_20150223 (1)'!589:589-"h_l!.g"</f>
        <v>#VALUE!</v>
      </c>
      <c r="GA3" t="e">
        <f>'SurveyRpt_20150223 (1)'!590:590-"h_l!.h"</f>
        <v>#VALUE!</v>
      </c>
      <c r="GB3" t="e">
        <f>'SurveyRpt_20150223 (1)'!591:591-"h_l!.i"</f>
        <v>#VALUE!</v>
      </c>
      <c r="GC3" t="e">
        <f>'SurveyRpt_20150223 (1)'!592:592-"h_l!.j"</f>
        <v>#VALUE!</v>
      </c>
      <c r="GD3" t="e">
        <f>'SurveyRpt_20150223 (1)'!593:593-"h_l!.k"</f>
        <v>#VALUE!</v>
      </c>
      <c r="GE3" t="e">
        <f>'SurveyRpt_20150223 (1)'!594:594-"h_l!.l"</f>
        <v>#VALUE!</v>
      </c>
      <c r="GF3" t="e">
        <f>'SurveyRpt_20150223 (1)'!595:595-"h_l!.m"</f>
        <v>#VALUE!</v>
      </c>
      <c r="GG3" t="e">
        <f>'SurveyRpt_20150223 (1)'!596:596-"h_l!.n"</f>
        <v>#VALUE!</v>
      </c>
      <c r="GH3" t="e">
        <f>'SurveyRpt_20150223 (1)'!597:597-"h_l!.o"</f>
        <v>#VALUE!</v>
      </c>
      <c r="GI3" t="e">
        <f>'SurveyRpt_20150223 (1)'!598:598-"h_l!.p"</f>
        <v>#VALUE!</v>
      </c>
      <c r="GJ3" t="e">
        <f>'SurveyRpt_20150223 (1)'!599:599-"h_l!.q"</f>
        <v>#VALUE!</v>
      </c>
      <c r="GK3" t="e">
        <f>'SurveyRpt_20150223 (1)'!600:600-"h_l!.r"</f>
        <v>#VALUE!</v>
      </c>
      <c r="GL3" t="e">
        <f>'SurveyRpt_20150223 (1)'!601:601-"h_l!.s"</f>
        <v>#VALUE!</v>
      </c>
      <c r="GM3" t="e">
        <f>'SurveyRpt_20150223 (1)'!602:602-"h_l!.t"</f>
        <v>#VALUE!</v>
      </c>
      <c r="GN3" t="e">
        <f>'SurveyRpt_20150223 (1)'!603:603-"h_l!.u"</f>
        <v>#VALUE!</v>
      </c>
      <c r="GO3" t="e">
        <f>'SurveyRpt_20150223 (1)'!604:604-"h_l!.v"</f>
        <v>#VALUE!</v>
      </c>
      <c r="GP3" t="e">
        <f>'SurveyRpt_20150223 (1)'!605:605-"h_l!.w"</f>
        <v>#VALUE!</v>
      </c>
      <c r="GQ3" t="e">
        <f>'SurveyRpt_20150223 (1)'!606:606-"h_l!.x"</f>
        <v>#VALUE!</v>
      </c>
      <c r="GR3" t="e">
        <f>'SurveyRpt_20150223 (1)'!607:607-"h_l!.y"</f>
        <v>#VALUE!</v>
      </c>
      <c r="GS3" t="e">
        <f>'SurveyRpt_20150223 (1)'!608:608-"h_l!.z"</f>
        <v>#VALUE!</v>
      </c>
      <c r="GT3" t="e">
        <f>'SurveyRpt_20150223 (1)'!609:609-"h_l!.{"</f>
        <v>#VALUE!</v>
      </c>
      <c r="GU3" t="e">
        <f>'SurveyRpt_20150223 (1)'!610:610-"h_l!.|"</f>
        <v>#VALUE!</v>
      </c>
      <c r="GV3" t="e">
        <f>'SurveyRpt_20150223 (1)'!611:611-"h_l!.}"</f>
        <v>#VALUE!</v>
      </c>
      <c r="GW3" t="e">
        <f>'SurveyRpt_20150223 (1)'!612:612-"h_l!.~"</f>
        <v>#VALUE!</v>
      </c>
      <c r="GX3" t="e">
        <f>'SurveyRpt_20150223 (1)'!613:613-"h_l!/#"</f>
        <v>#VALUE!</v>
      </c>
      <c r="GY3" t="e">
        <f>'SurveyRpt_20150223 (1)'!614:614-"h_l!/$"</f>
        <v>#VALUE!</v>
      </c>
      <c r="GZ3" t="e">
        <f>'SurveyRpt_20150223 (1)'!615:615-"h_l!/%"</f>
        <v>#VALUE!</v>
      </c>
      <c r="HA3" t="e">
        <f>'SurveyRpt_20150223 (1)'!616:616-"h_l!/&amp;"</f>
        <v>#VALUE!</v>
      </c>
      <c r="HB3" t="e">
        <f>'SurveyRpt_20150223 (1)'!617:617-"h_l!/'"</f>
        <v>#VALUE!</v>
      </c>
      <c r="HC3" t="e">
        <f>'SurveyRpt_20150223 (1)'!618:618-"h_l!/("</f>
        <v>#VALUE!</v>
      </c>
      <c r="HD3" t="e">
        <f>'SurveyRpt_20150223 (1)'!619:619-"h_l!/)"</f>
        <v>#VALUE!</v>
      </c>
      <c r="HE3" t="e">
        <f>'SurveyRpt_20150223 (1)'!620:620-"h_l!/."</f>
        <v>#VALUE!</v>
      </c>
      <c r="HF3" t="e">
        <f>'SurveyRpt_20150223 (1)'!621:621-"h_l!//"</f>
        <v>#VALUE!</v>
      </c>
      <c r="HG3" t="e">
        <f>'SurveyRpt_20150223 (1)'!622:622-"h_l!/0"</f>
        <v>#VALUE!</v>
      </c>
      <c r="HH3" t="e">
        <f>'SurveyRpt_20150223 (1)'!623:623-"h_l!/1"</f>
        <v>#VALUE!</v>
      </c>
      <c r="HI3" t="e">
        <f>'SurveyRpt_20150223 (1)'!624:624-"h_l!/2"</f>
        <v>#VALUE!</v>
      </c>
      <c r="HJ3" t="e">
        <f>'SurveyRpt_20150223 (1)'!625:625-"h_l!/3"</f>
        <v>#VALUE!</v>
      </c>
      <c r="HK3" t="e">
        <f>'SurveyRpt_20150223 (1)'!626:626-"h_l!/4"</f>
        <v>#VALUE!</v>
      </c>
      <c r="HL3" t="e">
        <f>'SurveyRpt_20150223 (1)'!627:627-"h_l!/5"</f>
        <v>#VALUE!</v>
      </c>
      <c r="HM3" t="e">
        <f>'SurveyRpt_20150223 (1)'!628:628-"h_l!/6"</f>
        <v>#VALUE!</v>
      </c>
      <c r="HN3" t="e">
        <f>'SurveyRpt_20150223 (1)'!629:629-"h_l!/7"</f>
        <v>#VALUE!</v>
      </c>
      <c r="HO3" t="e">
        <f>'SurveyRpt_20150223 (1)'!630:630-"h_l!/8"</f>
        <v>#VALUE!</v>
      </c>
      <c r="HP3" t="e">
        <f>'SurveyRpt_20150223 (1)'!631:631-"h_l!/9"</f>
        <v>#VALUE!</v>
      </c>
      <c r="HQ3" t="e">
        <f>'SurveyRpt_20150223 (1)'!632:632-"h_l!/:"</f>
        <v>#VALUE!</v>
      </c>
      <c r="HR3" t="e">
        <f>'SurveyRpt_20150223 (1)'!633:633-"h_l!/;"</f>
        <v>#VALUE!</v>
      </c>
      <c r="HS3" t="e">
        <f>'SurveyRpt_20150223 (1)'!634:634-"h_l!/&lt;"</f>
        <v>#VALUE!</v>
      </c>
      <c r="HT3" t="e">
        <f>'SurveyRpt_20150223 (1)'!635:635-"h_l!/="</f>
        <v>#VALUE!</v>
      </c>
      <c r="HU3" t="e">
        <f>'SurveyRpt_20150223 (1)'!636:636-"h_l!/&gt;"</f>
        <v>#VALUE!</v>
      </c>
      <c r="HV3" t="e">
        <f>'SurveyRpt_20150223 (1)'!637:637-"h_l!/?"</f>
        <v>#VALUE!</v>
      </c>
      <c r="HW3" t="e">
        <f>'SurveyRpt_20150223 (1)'!638:638-"h_l!/@"</f>
        <v>#VALUE!</v>
      </c>
      <c r="HX3" t="e">
        <f>'SurveyRpt_20150223 (1)'!639:639-"h_l!/A"</f>
        <v>#VALUE!</v>
      </c>
      <c r="HY3" t="e">
        <f>'SurveyRpt_20150223 (1)'!640:640-"h_l!/B"</f>
        <v>#VALUE!</v>
      </c>
      <c r="HZ3" t="e">
        <f>'SurveyRpt_20150223 (1)'!641:641-"h_l!/C"</f>
        <v>#VALUE!</v>
      </c>
      <c r="IA3" t="e">
        <f>'SurveyRpt_20150223 (1)'!642:642-"h_l!/D"</f>
        <v>#VALUE!</v>
      </c>
      <c r="IB3" t="e">
        <f>'SurveyRpt_20150223 (1)'!643:643-"h_l!/E"</f>
        <v>#VALUE!</v>
      </c>
      <c r="IC3" t="e">
        <f>'SurveyRpt_20150223 (1)'!644:644-"h_l!/F"</f>
        <v>#VALUE!</v>
      </c>
      <c r="ID3" t="e">
        <f>'SurveyRpt_20150223 (1)'!645:645-"h_l!/G"</f>
        <v>#VALUE!</v>
      </c>
      <c r="IE3" t="e">
        <f>'SurveyRpt_20150223 (1)'!646:646-"h_l!/H"</f>
        <v>#VALUE!</v>
      </c>
      <c r="IF3" t="e">
        <f>'SurveyRpt_20150223 (1)'!647:647-"h_l!/I"</f>
        <v>#VALUE!</v>
      </c>
      <c r="IG3" t="e">
        <f>'SurveyRpt_20150223 (1)'!648:648-"h_l!/J"</f>
        <v>#VALUE!</v>
      </c>
      <c r="IH3" t="e">
        <f>'SurveyRpt_20150223 (1)'!649:649-"h_l!/K"</f>
        <v>#VALUE!</v>
      </c>
      <c r="II3" t="e">
        <f>'SurveyRpt_20150223 (1)'!650:650-"h_l!/L"</f>
        <v>#VALUE!</v>
      </c>
      <c r="IJ3" t="e">
        <f>'SurveyRpt_20150223 (1)'!651:651-"h_l!/M"</f>
        <v>#VALUE!</v>
      </c>
      <c r="IK3" t="e">
        <f>'SurveyRpt_20150223 (1)'!652:652-"h_l!/N"</f>
        <v>#VALUE!</v>
      </c>
      <c r="IL3" t="e">
        <f>'SurveyRpt_20150223 (1)'!653:653-"h_l!/O"</f>
        <v>#VALUE!</v>
      </c>
      <c r="IM3" t="e">
        <f>'SurveyRpt_20150223 (1)'!654:654-"h_l!/P"</f>
        <v>#VALUE!</v>
      </c>
      <c r="IN3" t="e">
        <f>'SurveyRpt_20150223 (1)'!655:655-"h_l!/Q"</f>
        <v>#VALUE!</v>
      </c>
      <c r="IO3" t="e">
        <f>'SurveyRpt_20150223 (1)'!656:656-"h_l!/R"</f>
        <v>#VALUE!</v>
      </c>
      <c r="IP3" t="e">
        <f>'SurveyRpt_20150223 (1)'!657:657-"h_l!/S"</f>
        <v>#VALUE!</v>
      </c>
      <c r="IQ3" t="e">
        <f>'SurveyRpt_20150223 (1)'!658:658-"h_l!/T"</f>
        <v>#VALUE!</v>
      </c>
      <c r="IR3" t="e">
        <f>'SurveyRpt_20150223 (1)'!659:659-"h_l!/U"</f>
        <v>#VALUE!</v>
      </c>
      <c r="IS3" t="e">
        <f>'SurveyRpt_20150223 (1)'!660:660-"h_l!/V"</f>
        <v>#VALUE!</v>
      </c>
      <c r="IT3" t="e">
        <f>'SurveyRpt_20150223 (1)'!661:661-"h_l!/W"</f>
        <v>#VALUE!</v>
      </c>
      <c r="IU3" t="e">
        <f>'SurveyRpt_20150223 (1)'!662:662-"h_l!/X"</f>
        <v>#VALUE!</v>
      </c>
      <c r="IV3" t="e">
        <f>'SurveyRpt_20150223 (1)'!663:663-"h_l!/Y"</f>
        <v>#VALUE!</v>
      </c>
    </row>
    <row r="4" spans="1:256" x14ac:dyDescent="0.25">
      <c r="F4" t="e">
        <f>'SurveyRpt_20150223 (1)'!664:664-"h_l!/Z"</f>
        <v>#VALUE!</v>
      </c>
      <c r="G4" t="e">
        <f>'SurveyRpt_20150223 (1)'!665:665-"h_l!/["</f>
        <v>#VALUE!</v>
      </c>
      <c r="H4" t="e">
        <f>'SurveyRpt_20150223 (1)'!666:666-"h_l!/\"</f>
        <v>#VALUE!</v>
      </c>
      <c r="I4" t="e">
        <f>'SurveyRpt_20150223 (1)'!667:667-"h_l!/]"</f>
        <v>#VALUE!</v>
      </c>
      <c r="J4" t="e">
        <f>'SurveyRpt_20150223 (1)'!668:668-"h_l!/^"</f>
        <v>#VALUE!</v>
      </c>
      <c r="K4" t="e">
        <f>'SurveyRpt_20150223 (1)'!669:669-"h_l!/_"</f>
        <v>#VALUE!</v>
      </c>
      <c r="L4" t="e">
        <f>'SurveyRpt_20150223 (1)'!670:670-"h_l!/`"</f>
        <v>#VALUE!</v>
      </c>
      <c r="M4" t="e">
        <f>'SurveyRpt_20150223 (1)'!671:671-"h_l!/a"</f>
        <v>#VALUE!</v>
      </c>
      <c r="N4" t="e">
        <f>'SurveyRpt_20150223 (1)'!672:672-"h_l!/b"</f>
        <v>#VALUE!</v>
      </c>
      <c r="O4" t="e">
        <f>'SurveyRpt_20150223 (1)'!673:673-"h_l!/c"</f>
        <v>#VALUE!</v>
      </c>
      <c r="P4" t="e">
        <f>'SurveyRpt_20150223 (1)'!674:674-"h_l!/d"</f>
        <v>#VALUE!</v>
      </c>
      <c r="Q4" t="e">
        <f>'SurveyRpt_20150223 (1)'!675:675-"h_l!/e"</f>
        <v>#VALUE!</v>
      </c>
      <c r="R4" t="e">
        <f>'SurveyRpt_20150223 (1)'!676:676-"h_l!/f"</f>
        <v>#VALUE!</v>
      </c>
      <c r="S4" t="e">
        <f>'SurveyRpt_20150223 (1)'!677:677-"h_l!/g"</f>
        <v>#VALUE!</v>
      </c>
      <c r="T4" t="e">
        <f>'SurveyRpt_20150223 (1)'!678:678-"h_l!/h"</f>
        <v>#VALUE!</v>
      </c>
      <c r="U4" t="e">
        <f>'SurveyRpt_20150223 (1)'!679:679-"h_l!/i"</f>
        <v>#VALUE!</v>
      </c>
      <c r="V4" t="e">
        <f>'SurveyRpt_20150223 (1)'!680:680-"h_l!/j"</f>
        <v>#VALUE!</v>
      </c>
      <c r="W4" t="e">
        <f>'SurveyRpt_20150223 (1)'!681:681-"h_l!/k"</f>
        <v>#VALUE!</v>
      </c>
      <c r="X4" t="e">
        <f>'SurveyRpt_20150223 (1)'!682:682-"h_l!/l"</f>
        <v>#VALUE!</v>
      </c>
      <c r="Y4" t="e">
        <f>'SurveyRpt_20150223 (1)'!683:683-"h_l!/m"</f>
        <v>#VALUE!</v>
      </c>
      <c r="Z4" t="e">
        <f>'SurveyRpt_20150223 (1)'!684:684-"h_l!/n"</f>
        <v>#VALUE!</v>
      </c>
      <c r="AA4" t="e">
        <f>'SurveyRpt_20150223 (1)'!685:685-"h_l!/o"</f>
        <v>#VALUE!</v>
      </c>
      <c r="AB4" t="e">
        <f>'SurveyRpt_20150223 (1)'!686:686-"h_l!/p"</f>
        <v>#VALUE!</v>
      </c>
      <c r="AC4" t="e">
        <f>'SurveyRpt_20150223 (1)'!687:687-"h_l!/q"</f>
        <v>#VALUE!</v>
      </c>
      <c r="AD4" t="e">
        <f>'SurveyRpt_20150223 (1)'!688:688-"h_l!/r"</f>
        <v>#VALUE!</v>
      </c>
      <c r="AE4" t="e">
        <f>'SurveyRpt_20150223 (1)'!689:689-"h_l!/s"</f>
        <v>#VALUE!</v>
      </c>
      <c r="AF4" t="e">
        <f>'SurveyRpt_20150223 (1)'!690:690-"h_l!/t"</f>
        <v>#VALUE!</v>
      </c>
      <c r="AG4" t="e">
        <f>'SurveyRpt_20150223 (1)'!691:691-"h_l!/u"</f>
        <v>#VALUE!</v>
      </c>
      <c r="AH4" t="e">
        <f>'SurveyRpt_20150223 (1)'!692:692-"h_l!/v"</f>
        <v>#VALUE!</v>
      </c>
      <c r="AI4" t="e">
        <f>'SurveyRpt_20150223 (1)'!693:693-"h_l!/w"</f>
        <v>#VALUE!</v>
      </c>
      <c r="AJ4" t="e">
        <f>'SurveyRpt_20150223 (1)'!694:694-"h_l!/x"</f>
        <v>#VALUE!</v>
      </c>
      <c r="AK4" t="e">
        <f>'SurveyRpt_20150223 (1)'!695:695-"h_l!/y"</f>
        <v>#VALUE!</v>
      </c>
      <c r="AL4" t="e">
        <f>'SurveyRpt_20150223 (1)'!696:696-"h_l!/z"</f>
        <v>#VALUE!</v>
      </c>
      <c r="AM4" t="e">
        <f>'SurveyRpt_20150223 (1)'!697:697-"h_l!/{"</f>
        <v>#VALUE!</v>
      </c>
      <c r="AN4" t="e">
        <f>'SurveyRpt_20150223 (1)'!698:698-"h_l!/|"</f>
        <v>#VALUE!</v>
      </c>
      <c r="AO4" t="e">
        <f>'SurveyRpt_20150223 (1)'!699:699-"h_l!/}"</f>
        <v>#VALUE!</v>
      </c>
      <c r="AP4" t="e">
        <f>'SurveyRpt_20150223 (1)'!700:700-"h_l!/~"</f>
        <v>#VALUE!</v>
      </c>
      <c r="AQ4" t="e">
        <f>'SurveyRpt_20150223 (1)'!701:701-"h_l!0#"</f>
        <v>#VALUE!</v>
      </c>
      <c r="AR4" t="e">
        <f>'SurveyRpt_20150223 (1)'!702:702-"h_l!0$"</f>
        <v>#VALUE!</v>
      </c>
      <c r="AS4" t="e">
        <f>'SurveyRpt_20150223 (1)'!703:703-"h_l!0%"</f>
        <v>#VALUE!</v>
      </c>
      <c r="AT4" t="e">
        <f>'SurveyRpt_20150223 (1)'!704:704-"h_l!0&amp;"</f>
        <v>#VALUE!</v>
      </c>
      <c r="AU4" t="e">
        <f>'SurveyRpt_20150223 (1)'!705:705-"h_l!0'"</f>
        <v>#VALUE!</v>
      </c>
      <c r="AV4" t="e">
        <f>'SurveyRpt_20150223 (1)'!706:706-"h_l!0("</f>
        <v>#VALUE!</v>
      </c>
      <c r="AW4" t="e">
        <f>'SurveyRpt_20150223 (1)'!707:707-"h_l!0)"</f>
        <v>#VALUE!</v>
      </c>
      <c r="AX4" t="e">
        <f>'SurveyRpt_20150223 (1)'!708:708-"h_l!0."</f>
        <v>#VALUE!</v>
      </c>
      <c r="AY4" t="e">
        <f>'SurveyRpt_20150223 (1)'!709:709-"h_l!0/"</f>
        <v>#VALUE!</v>
      </c>
      <c r="AZ4" t="e">
        <f>'SurveyRpt_20150223 (1)'!710:710-"h_l!00"</f>
        <v>#VALUE!</v>
      </c>
      <c r="BA4" t="e">
        <f>'SurveyRpt_20150223 (1)'!711:711-"h_l!01"</f>
        <v>#VALUE!</v>
      </c>
      <c r="BB4" t="e">
        <f>'SurveyRpt_20150223 (1)'!712:712-"h_l!02"</f>
        <v>#VALUE!</v>
      </c>
      <c r="BC4" t="e">
        <f>'SurveyRpt_20150223 (1)'!713:713-"h_l!03"</f>
        <v>#VALUE!</v>
      </c>
      <c r="BD4" t="e">
        <f>'SurveyRpt_20150223 (1)'!714:714-"h_l!04"</f>
        <v>#VALUE!</v>
      </c>
      <c r="BE4" t="e">
        <f>'SurveyRpt_20150223 (1)'!715:715-"h_l!05"</f>
        <v>#VALUE!</v>
      </c>
      <c r="BF4" t="e">
        <f>'SurveyRpt_20150223 (1)'!716:716-"h_l!06"</f>
        <v>#VALUE!</v>
      </c>
      <c r="BG4" t="e">
        <f>'SurveyRpt_20150223 (1)'!717:717-"h_l!07"</f>
        <v>#VALUE!</v>
      </c>
      <c r="BH4" t="e">
        <f>'SurveyRpt_20150223 (1)'!718:718-"h_l!08"</f>
        <v>#VALUE!</v>
      </c>
      <c r="BI4" t="e">
        <f>'SurveyRpt_20150223 (1)'!719:719-"h_l!09"</f>
        <v>#VALUE!</v>
      </c>
      <c r="BJ4" t="e">
        <f>'SurveyRpt_20150223 (1)'!720:720-"h_l!0:"</f>
        <v>#VALUE!</v>
      </c>
      <c r="BK4" t="e">
        <f>'SurveyRpt_20150223 (1)'!721:721-"h_l!0;"</f>
        <v>#VALUE!</v>
      </c>
      <c r="BL4" t="e">
        <f>'SurveyRpt_20150223 (1)'!722:722-"h_l!0&lt;"</f>
        <v>#VALUE!</v>
      </c>
      <c r="BM4" t="e">
        <f>'SurveyRpt_20150223 (1)'!723:723-"h_l!0="</f>
        <v>#VALUE!</v>
      </c>
      <c r="BN4" t="e">
        <f>'SurveyRpt_20150223 (1)'!724:724-"h_l!0&gt;"</f>
        <v>#VALUE!</v>
      </c>
      <c r="BO4" t="e">
        <f>'SurveyRpt_20150223 (1)'!725:725-"h_l!0?"</f>
        <v>#VALUE!</v>
      </c>
      <c r="BP4" t="e">
        <f>'SurveyRpt_20150223 (1)'!726:726-"h_l!0@"</f>
        <v>#VALUE!</v>
      </c>
      <c r="BQ4" t="e">
        <f>'SurveyRpt_20150223 (1)'!727:727-"h_l!0A"</f>
        <v>#VALUE!</v>
      </c>
      <c r="BR4" t="e">
        <f>'SurveyRpt_20150223 (1)'!728:728-"h_l!0B"</f>
        <v>#VALUE!</v>
      </c>
      <c r="BS4" t="e">
        <f>'SurveyRpt_20150223 (1)'!729:729-"h_l!0C"</f>
        <v>#VALUE!</v>
      </c>
      <c r="BT4" t="e">
        <f>'SurveyRpt_20150223 (1)'!730:730-"h_l!0D"</f>
        <v>#VALUE!</v>
      </c>
      <c r="BU4" t="e">
        <f>'SurveyRpt_20150223 (1)'!731:731-"h_l!0E"</f>
        <v>#VALUE!</v>
      </c>
      <c r="BV4" t="e">
        <f>'SurveyRpt_20150223 (1)'!732:732-"h_l!0F"</f>
        <v>#VALUE!</v>
      </c>
      <c r="BW4" t="e">
        <f>'SurveyRpt_20150223 (1)'!733:733-"h_l!0G"</f>
        <v>#VALUE!</v>
      </c>
      <c r="BX4" t="e">
        <f>'SurveyRpt_20150223 (1)'!734:734-"h_l!0H"</f>
        <v>#VALUE!</v>
      </c>
      <c r="BY4" t="e">
        <f>'SurveyRpt_20150223 (1)'!735:735-"h_l!0I"</f>
        <v>#VALUE!</v>
      </c>
      <c r="BZ4" t="e">
        <f>'SurveyRpt_20150223 (1)'!736:736-"h_l!0J"</f>
        <v>#VALUE!</v>
      </c>
      <c r="CA4" t="e">
        <f>'SurveyRpt_20150223 (1)'!737:737-"h_l!0K"</f>
        <v>#VALUE!</v>
      </c>
      <c r="CB4" t="e">
        <f>'SurveyRpt_20150223 (1)'!738:738-"h_l!0L"</f>
        <v>#VALUE!</v>
      </c>
      <c r="CC4" t="e">
        <f>'SurveyRpt_20150223 (1)'!739:739-"h_l!0M"</f>
        <v>#VALUE!</v>
      </c>
      <c r="CD4" t="e">
        <f>'SurveyRpt_20150223 (1)'!740:740-"h_l!0N"</f>
        <v>#VALUE!</v>
      </c>
      <c r="CE4" t="e">
        <f>'SurveyRpt_20150223 (1)'!741:741-"h_l!0O"</f>
        <v>#VALUE!</v>
      </c>
      <c r="CF4" t="e">
        <f>'SurveyRpt_20150223 (1)'!742:742-"h_l!0P"</f>
        <v>#VALUE!</v>
      </c>
      <c r="CG4" t="e">
        <f>'SurveyRpt_20150223 (1)'!743:743-"h_l!0Q"</f>
        <v>#VALUE!</v>
      </c>
      <c r="CH4" t="e">
        <f>'SurveyRpt_20150223 (1)'!744:744-"h_l!0R"</f>
        <v>#VALUE!</v>
      </c>
      <c r="CI4" t="e">
        <f>'SurveyRpt_20150223 (1)'!745:745-"h_l!0S"</f>
        <v>#VALUE!</v>
      </c>
      <c r="CJ4" t="e">
        <f>'SurveyRpt_20150223 (1)'!746:746-"h_l!0T"</f>
        <v>#VALUE!</v>
      </c>
      <c r="CK4" t="e">
        <f>'SurveyRpt_20150223 (1)'!747:747-"h_l!0U"</f>
        <v>#VALUE!</v>
      </c>
      <c r="CL4" t="e">
        <f>'SurveyRpt_20150223 (1)'!748:748-"h_l!0V"</f>
        <v>#VALUE!</v>
      </c>
      <c r="CM4" t="e">
        <f>'SurveyRpt_20150223 (1)'!749:749-"h_l!0W"</f>
        <v>#VALUE!</v>
      </c>
      <c r="CN4" t="e">
        <f>'SurveyRpt_20150223 (1)'!750:750-"h_l!0X"</f>
        <v>#VALUE!</v>
      </c>
      <c r="CO4" t="e">
        <f>'SurveyRpt_20150223 (1)'!751:751-"h_l!0Y"</f>
        <v>#VALUE!</v>
      </c>
      <c r="CP4" t="e">
        <f>'SurveyRpt_20150223 (1)'!752:752-"h_l!0Z"</f>
        <v>#VALUE!</v>
      </c>
      <c r="CQ4" t="e">
        <f>'SurveyRpt_20150223 (1)'!753:753-"h_l!0["</f>
        <v>#VALUE!</v>
      </c>
      <c r="CR4" t="e">
        <f>'SurveyRpt_20150223 (1)'!754:754-"h_l!0\"</f>
        <v>#VALUE!</v>
      </c>
      <c r="CS4" t="e">
        <f>'SurveyRpt_20150223 (1)'!755:755-"h_l!0]"</f>
        <v>#VALUE!</v>
      </c>
      <c r="CT4" t="e">
        <f>'SurveyRpt_20150223 (1)'!756:756-"h_l!0^"</f>
        <v>#VALUE!</v>
      </c>
      <c r="CU4" t="e">
        <f>'SurveyRpt_20150223 (1)'!757:757-"h_l!0_"</f>
        <v>#VALUE!</v>
      </c>
      <c r="CV4" t="e">
        <f>'SurveyRpt_20150223 (1)'!758:758-"h_l!0`"</f>
        <v>#VALUE!</v>
      </c>
      <c r="CW4" t="e">
        <f>'SurveyRpt_20150223 (1)'!759:759-"h_l!0a"</f>
        <v>#VALUE!</v>
      </c>
      <c r="CX4" t="e">
        <f>'SurveyRpt_20150223 (1)'!760:760-"h_l!0b"</f>
        <v>#VALUE!</v>
      </c>
      <c r="CY4" t="e">
        <f>'SurveyRpt_20150223 (1)'!761:761-"h_l!0c"</f>
        <v>#VALUE!</v>
      </c>
      <c r="CZ4" t="e">
        <f>'SurveyRpt_20150223 (1)'!762:762-"h_l!0d"</f>
        <v>#VALUE!</v>
      </c>
      <c r="DA4" t="e">
        <f>'SurveyRpt_20150223 (1)'!763:763-"h_l!0e"</f>
        <v>#VALUE!</v>
      </c>
      <c r="DB4" t="e">
        <f>'SurveyRpt_20150223 (1)'!764:764-"h_l!0f"</f>
        <v>#VALUE!</v>
      </c>
      <c r="DC4" t="e">
        <f>'SurveyRpt_20150223 (1)'!765:765-"h_l!0g"</f>
        <v>#VALUE!</v>
      </c>
      <c r="DD4" t="e">
        <f>'SurveyRpt_20150223 (1)'!766:766-"h_l!0h"</f>
        <v>#VALUE!</v>
      </c>
      <c r="DE4" t="e">
        <f>'SurveyRpt_20150223 (1)'!767:767-"h_l!0i"</f>
        <v>#VALUE!</v>
      </c>
      <c r="DF4" t="e">
        <f>'SurveyRpt_20150223 (1)'!768:768-"h_l!0j"</f>
        <v>#VALUE!</v>
      </c>
      <c r="DG4" t="e">
        <f>'SurveyRpt_20150223 (1)'!769:769-"h_l!0k"</f>
        <v>#VALUE!</v>
      </c>
      <c r="DH4" t="e">
        <f>'SurveyRpt_20150223 (1)'!770:770-"h_l!0l"</f>
        <v>#VALUE!</v>
      </c>
      <c r="DI4" t="e">
        <f>'SurveyRpt_20150223 (1)'!771:771-"h_l!0m"</f>
        <v>#VALUE!</v>
      </c>
      <c r="DJ4" t="e">
        <f>'SurveyRpt_20150223 (1)'!772:772-"h_l!0n"</f>
        <v>#VALUE!</v>
      </c>
      <c r="DK4" t="e">
        <f>'SurveyRpt_20150223 (1)'!773:773-"h_l!0o"</f>
        <v>#VALUE!</v>
      </c>
      <c r="DL4" t="e">
        <f>'SurveyRpt_20150223 (1)'!774:774-"h_l!0p"</f>
        <v>#VALUE!</v>
      </c>
      <c r="DM4" t="e">
        <f>'SurveyRpt_20150223 (1)'!775:775-"h_l!0q"</f>
        <v>#VALUE!</v>
      </c>
      <c r="DN4" t="e">
        <f>'SurveyRpt_20150223 (1)'!776:776-"h_l!0r"</f>
        <v>#VALUE!</v>
      </c>
      <c r="DO4" t="e">
        <f>'SurveyRpt_20150223 (1)'!777:777-"h_l!0s"</f>
        <v>#VALUE!</v>
      </c>
      <c r="DP4" t="e">
        <f>'SurveyRpt_20150223 (1)'!778:778-"h_l!0t"</f>
        <v>#VALUE!</v>
      </c>
      <c r="DQ4" t="e">
        <f>'SurveyRpt_20150223 (1)'!779:779-"h_l!0u"</f>
        <v>#VALUE!</v>
      </c>
      <c r="DR4" t="e">
        <f>'SurveyRpt_20150223 (1)'!780:780-"h_l!0v"</f>
        <v>#VALUE!</v>
      </c>
      <c r="DS4" t="e">
        <f>'SurveyRpt_20150223 (1)'!781:781-"h_l!0w"</f>
        <v>#VALUE!</v>
      </c>
      <c r="DT4" t="e">
        <f>'SurveyRpt_20150223 (1)'!782:782-"h_l!0x"</f>
        <v>#VALUE!</v>
      </c>
      <c r="DU4" t="e">
        <f>'SurveyRpt_20150223 (1)'!783:783-"h_l!0y"</f>
        <v>#VALUE!</v>
      </c>
      <c r="DV4" t="e">
        <f>'SurveyRpt_20150223 (1)'!784:784-"h_l!0z"</f>
        <v>#VALUE!</v>
      </c>
      <c r="DW4" t="e">
        <f>'SurveyRpt_20150223 (1)'!785:785-"h_l!0{"</f>
        <v>#VALUE!</v>
      </c>
      <c r="DX4" t="e">
        <f>'SurveyRpt_20150223 (1)'!786:786-"h_l!0|"</f>
        <v>#VALUE!</v>
      </c>
      <c r="DY4" t="e">
        <f>'SurveyRpt_20150223 (1)'!787:787-"h_l!0}"</f>
        <v>#VALUE!</v>
      </c>
      <c r="DZ4" t="e">
        <f>'SurveyRpt_20150223 (1)'!788:788-"h_l!0~"</f>
        <v>#VALUE!</v>
      </c>
      <c r="EA4" t="e">
        <f>'SurveyRpt_20150223 (1)'!789:789-"h_l!1#"</f>
        <v>#VALUE!</v>
      </c>
      <c r="EB4" t="e">
        <f>'SurveyRpt_20150223 (1)'!790:790-"h_l!1$"</f>
        <v>#VALUE!</v>
      </c>
      <c r="EC4" t="e">
        <f>'SurveyRpt_20150223 (1)'!791:791-"h_l!1%"</f>
        <v>#VALUE!</v>
      </c>
      <c r="ED4" t="e">
        <f>'SurveyRpt_20150223 (1)'!792:792-"h_l!1&amp;"</f>
        <v>#VALUE!</v>
      </c>
      <c r="EE4" t="e">
        <f>'SurveyRpt_20150223 (1)'!793:793-"h_l!1'"</f>
        <v>#VALUE!</v>
      </c>
      <c r="EF4" t="e">
        <f>'SurveyRpt_20150223 (1)'!794:794-"h_l!1("</f>
        <v>#VALUE!</v>
      </c>
      <c r="EG4" t="e">
        <f>'SurveyRpt_20150223 (1)'!795:795-"h_l!1)"</f>
        <v>#VALUE!</v>
      </c>
      <c r="EH4" t="e">
        <f>'SurveyRpt_20150223 (1)'!796:796-"h_l!1."</f>
        <v>#VALUE!</v>
      </c>
      <c r="EI4" t="e">
        <f>'SurveyRpt_20150223 (1)'!797:797-"h_l!1/"</f>
        <v>#VALUE!</v>
      </c>
      <c r="EJ4" t="e">
        <f>'SurveyRpt_20150223 (1)'!798:798-"h_l!10"</f>
        <v>#VALUE!</v>
      </c>
      <c r="EK4" t="e">
        <f>'SurveyRpt_20150223 (1)'!799:799-"h_l!11"</f>
        <v>#VALUE!</v>
      </c>
      <c r="EL4" t="e">
        <f>'SurveyRpt_20150223 (1)'!800:800-"h_l!12"</f>
        <v>#VALUE!</v>
      </c>
      <c r="EM4" t="e">
        <f>'SurveyRpt_20150223 (1)'!801:801-"h_l!13"</f>
        <v>#VALUE!</v>
      </c>
      <c r="EN4" t="e">
        <f>'SurveyRpt_20150223 (1)'!802:802-"h_l!14"</f>
        <v>#VALUE!</v>
      </c>
      <c r="EO4" t="e">
        <f>'SurveyRpt_20150223 (1)'!803:803-"h_l!15"</f>
        <v>#VALUE!</v>
      </c>
      <c r="EP4" t="e">
        <f>'SurveyRpt_20150223 (1)'!804:804-"h_l!16"</f>
        <v>#VALUE!</v>
      </c>
      <c r="EQ4" t="e">
        <f>'SurveyRpt_20150223 (1)'!805:805-"h_l!17"</f>
        <v>#VALUE!</v>
      </c>
      <c r="ER4" t="e">
        <f>'SurveyRpt_20150223 (1)'!806:806-"h_l!18"</f>
        <v>#VALUE!</v>
      </c>
      <c r="ES4" t="e">
        <f>'SurveyRpt_20150223 (1)'!807:807-"h_l!19"</f>
        <v>#VALUE!</v>
      </c>
      <c r="ET4" t="e">
        <f>'SurveyRpt_20150223 (1)'!808:808-"h_l!1:"</f>
        <v>#VALUE!</v>
      </c>
      <c r="EU4" t="e">
        <f>'SurveyRpt_20150223 (1)'!809:809-"h_l!1;"</f>
        <v>#VALUE!</v>
      </c>
      <c r="EV4" t="e">
        <f>'SurveyRpt_20150223 (1)'!810:810-"h_l!1&lt;"</f>
        <v>#VALUE!</v>
      </c>
      <c r="EW4" t="e">
        <f>'SurveyRpt_20150223 (1)'!811:811-"h_l!1="</f>
        <v>#VALUE!</v>
      </c>
      <c r="EX4" t="e">
        <f>'SurveyRpt_20150223 (1)'!812:812-"h_l!1&gt;"</f>
        <v>#VALUE!</v>
      </c>
      <c r="EY4" t="e">
        <f>'SurveyRpt_20150223 (1)'!813:813-"h_l!1?"</f>
        <v>#VALUE!</v>
      </c>
      <c r="EZ4" t="e">
        <f>'SurveyRpt_20150223 (1)'!814:814-"h_l!1@"</f>
        <v>#VALUE!</v>
      </c>
      <c r="FA4" t="e">
        <f>'SurveyRpt_20150223 (1)'!815:815-"h_l!1A"</f>
        <v>#VALUE!</v>
      </c>
      <c r="FB4" t="e">
        <f>'SurveyRpt_20150223 (1)'!816:816-"h_l!1B"</f>
        <v>#VALUE!</v>
      </c>
      <c r="FC4" t="e">
        <f>'SurveyRpt_20150223 (1)'!817:817-"h_l!1C"</f>
        <v>#VALUE!</v>
      </c>
      <c r="FD4" t="e">
        <f>'SurveyRpt_20150223 (1)'!818:818-"h_l!1D"</f>
        <v>#VALUE!</v>
      </c>
      <c r="FE4" t="e">
        <f>'SurveyRpt_20150223 (1)'!819:819-"h_l!1E"</f>
        <v>#VALUE!</v>
      </c>
      <c r="FF4" t="e">
        <f>'SurveyRpt_20150223 (1)'!820:820-"h_l!1F"</f>
        <v>#VALUE!</v>
      </c>
      <c r="FG4" t="e">
        <f>'SurveyRpt_20150223 (1)'!821:821-"h_l!1G"</f>
        <v>#VALUE!</v>
      </c>
      <c r="FH4" t="e">
        <f>'SurveyRpt_20150223 (1)'!822:822-"h_l!1H"</f>
        <v>#VALUE!</v>
      </c>
      <c r="FI4" t="e">
        <f>'SurveyRpt_20150223 (1)'!823:823-"h_l!1I"</f>
        <v>#VALUE!</v>
      </c>
      <c r="FJ4" t="e">
        <f>'SurveyRpt_20150223 (1)'!824:824-"h_l!1J"</f>
        <v>#VALUE!</v>
      </c>
      <c r="FK4" t="e">
        <f>'SurveyRpt_20150223 (1)'!825:825-"h_l!1K"</f>
        <v>#VALUE!</v>
      </c>
      <c r="FL4" t="e">
        <f>'SurveyRpt_20150223 (1)'!826:826-"h_l!1L"</f>
        <v>#VALUE!</v>
      </c>
      <c r="FM4" t="e">
        <f>'SurveyRpt_20150223 (1)'!827:827-"h_l!1M"</f>
        <v>#VALUE!</v>
      </c>
      <c r="FN4" t="e">
        <f>'SurveyRpt_20150223 (1)'!828:828-"h_l!1N"</f>
        <v>#VALUE!</v>
      </c>
      <c r="FO4" t="e">
        <f>'SurveyRpt_20150223 (1)'!829:829-"h_l!1O"</f>
        <v>#VALUE!</v>
      </c>
      <c r="FP4" t="e">
        <f>'SurveyRpt_20150223 (1)'!830:830-"h_l!1P"</f>
        <v>#VALUE!</v>
      </c>
      <c r="FQ4" t="e">
        <f>'SurveyRpt_20150223 (1)'!831:831-"h_l!1Q"</f>
        <v>#VALUE!</v>
      </c>
      <c r="FR4" t="e">
        <f>'SurveyRpt_20150223 (1)'!832:832-"h_l!1R"</f>
        <v>#VALUE!</v>
      </c>
      <c r="FS4" t="e">
        <f>'SurveyRpt_20150223 (1)'!833:833-"h_l!1S"</f>
        <v>#VALUE!</v>
      </c>
      <c r="FT4" t="e">
        <f>'SurveyRpt_20150223 (1)'!834:834-"h_l!1T"</f>
        <v>#VALUE!</v>
      </c>
      <c r="FU4" t="e">
        <f>'SurveyRpt_20150223 (1)'!835:835-"h_l!1U"</f>
        <v>#VALUE!</v>
      </c>
      <c r="FV4" t="e">
        <f>'SurveyRpt_20150223 (1)'!836:836-"h_l!1V"</f>
        <v>#VALUE!</v>
      </c>
      <c r="FW4" t="e">
        <f>'SurveyRpt_20150223 (1)'!837:837-"h_l!1W"</f>
        <v>#VALUE!</v>
      </c>
      <c r="FX4" t="e">
        <f>'SurveyRpt_20150223 (1)'!838:838-"h_l!1X"</f>
        <v>#VALUE!</v>
      </c>
      <c r="FY4" t="e">
        <f>'SurveyRpt_20150223 (1)'!839:839-"h_l!1Y"</f>
        <v>#VALUE!</v>
      </c>
      <c r="FZ4" t="e">
        <f>'SurveyRpt_20150223 (1)'!840:840-"h_l!1Z"</f>
        <v>#VALUE!</v>
      </c>
      <c r="GA4" t="e">
        <f>'SurveyRpt_20150223 (1)'!841:841-"h_l!1["</f>
        <v>#VALUE!</v>
      </c>
      <c r="GB4" t="e">
        <f>'SurveyRpt_20150223 (1)'!842:842-"h_l!1\"</f>
        <v>#VALUE!</v>
      </c>
      <c r="GC4" t="e">
        <f>'SurveyRpt_20150223 (1)'!843:843-"h_l!1]"</f>
        <v>#VALUE!</v>
      </c>
      <c r="GD4" t="e">
        <f>'SurveyRpt_20150223 (1)'!844:844-"h_l!1^"</f>
        <v>#VALUE!</v>
      </c>
      <c r="GE4" t="e">
        <f>'SurveyRpt_20150223 (1)'!845:845-"h_l!1_"</f>
        <v>#VALUE!</v>
      </c>
      <c r="GF4" t="e">
        <f>'SurveyRpt_20150223 (1)'!846:846-"h_l!1`"</f>
        <v>#VALUE!</v>
      </c>
      <c r="GG4" t="e">
        <f>'SurveyRpt_20150223 (1)'!847:847-"h_l!1a"</f>
        <v>#VALUE!</v>
      </c>
      <c r="GH4" t="e">
        <f>'SurveyRpt_20150223 (1)'!848:848-"h_l!1b"</f>
        <v>#VALUE!</v>
      </c>
      <c r="GI4" t="e">
        <f>'SurveyRpt_20150223 (1)'!849:849-"h_l!1c"</f>
        <v>#VALUE!</v>
      </c>
      <c r="GJ4" t="e">
        <f>'SurveyRpt_20150223 (1)'!850:850-"h_l!1d"</f>
        <v>#VALUE!</v>
      </c>
      <c r="GK4" t="e">
        <f>'SurveyRpt_20150223 (1)'!851:851-"h_l!1e"</f>
        <v>#VALUE!</v>
      </c>
      <c r="GL4" t="e">
        <f>'SurveyRpt_20150223 (1)'!852:852-"h_l!1f"</f>
        <v>#VALUE!</v>
      </c>
      <c r="GM4" t="e">
        <f>'SurveyRpt_20150223 (1)'!853:853-"h_l!1g"</f>
        <v>#VALUE!</v>
      </c>
      <c r="GN4" t="e">
        <f>'SurveyRpt_20150223 (1)'!854:854-"h_l!1h"</f>
        <v>#VALUE!</v>
      </c>
      <c r="GO4" t="e">
        <f>'SurveyRpt_20150223 (1)'!855:855-"h_l!1i"</f>
        <v>#VALUE!</v>
      </c>
      <c r="GP4" t="e">
        <f>'SurveyRpt_20150223 (1)'!856:856-"h_l!1j"</f>
        <v>#VALUE!</v>
      </c>
      <c r="GQ4" t="e">
        <f>'SurveyRpt_20150223 (1)'!857:857-"h_l!1k"</f>
        <v>#VALUE!</v>
      </c>
      <c r="GR4" t="e">
        <f>'SurveyRpt_20150223 (1)'!858:858-"h_l!1l"</f>
        <v>#VALUE!</v>
      </c>
      <c r="GS4" t="e">
        <f>'SurveyRpt_20150223 (1)'!859:859-"h_l!1m"</f>
        <v>#VALUE!</v>
      </c>
      <c r="GT4" t="e">
        <f>'SurveyRpt_20150223 (1)'!860:860-"h_l!1n"</f>
        <v>#VALUE!</v>
      </c>
      <c r="GU4" t="e">
        <f>'SurveyRpt_20150223 (1)'!861:861-"h_l!1o"</f>
        <v>#VALUE!</v>
      </c>
      <c r="GV4" t="e">
        <f>'SurveyRpt_20150223 (1)'!862:862-"h_l!1p"</f>
        <v>#VALUE!</v>
      </c>
      <c r="GW4" t="e">
        <f>'SurveyRpt_20150223 (1)'!863:863-"h_l!1q"</f>
        <v>#VALUE!</v>
      </c>
      <c r="GX4" t="e">
        <f>'SurveyRpt_20150223 (1)'!864:864-"h_l!1r"</f>
        <v>#VALUE!</v>
      </c>
      <c r="GY4" t="e">
        <f>'SurveyRpt_20150223 (1)'!865:865-"h_l!1s"</f>
        <v>#VALUE!</v>
      </c>
      <c r="GZ4" t="e">
        <f>'SurveyRpt_20150223 (1)'!866:866-"h_l!1t"</f>
        <v>#VALUE!</v>
      </c>
      <c r="HA4" t="e">
        <f>'SurveyRpt_20150223 (1)'!867:867-"h_l!1u"</f>
        <v>#VALUE!</v>
      </c>
      <c r="HB4" t="e">
        <f>'SurveyRpt_20150223 (1)'!868:868-"h_l!1v"</f>
        <v>#VALUE!</v>
      </c>
      <c r="HC4" t="e">
        <f>'SurveyRpt_20150223 (1)'!869:869-"h_l!1w"</f>
        <v>#VALUE!</v>
      </c>
      <c r="HD4" t="e">
        <f>'SurveyRpt_20150223 (1)'!870:870-"h_l!1x"</f>
        <v>#VALUE!</v>
      </c>
      <c r="HE4" t="e">
        <f>'SurveyRpt_20150223 (1)'!871:871-"h_l!1y"</f>
        <v>#VALUE!</v>
      </c>
      <c r="HF4" t="e">
        <f>'SurveyRpt_20150223 (1)'!872:872-"h_l!1z"</f>
        <v>#VALUE!</v>
      </c>
      <c r="HG4" t="e">
        <f>'SurveyRpt_20150223 (1)'!873:873-"h_l!1{"</f>
        <v>#VALUE!</v>
      </c>
      <c r="HH4" t="e">
        <f>'SurveyRpt_20150223 (1)'!874:874-"h_l!1|"</f>
        <v>#VALUE!</v>
      </c>
      <c r="HI4" t="e">
        <f>'SurveyRpt_20150223 (1)'!875:875-"h_l!1}"</f>
        <v>#VALUE!</v>
      </c>
      <c r="HJ4" t="e">
        <f>'SurveyRpt_20150223 (1)'!876:876-"h_l!1~"</f>
        <v>#VALUE!</v>
      </c>
      <c r="HK4" t="e">
        <f>'SurveyRpt_20150223 (1)'!877:877-"h_l!2#"</f>
        <v>#VALUE!</v>
      </c>
      <c r="HL4" t="e">
        <f>'SurveyRpt_20150223 (1)'!878:878-"h_l!2$"</f>
        <v>#VALUE!</v>
      </c>
      <c r="HM4" t="e">
        <f>'SurveyRpt_20150223 (1)'!879:879-"h_l!2%"</f>
        <v>#VALUE!</v>
      </c>
      <c r="HN4" t="e">
        <f>'SurveyRpt_20150223 (1)'!880:880-"h_l!2&amp;"</f>
        <v>#VALUE!</v>
      </c>
      <c r="HO4" t="e">
        <f>'SurveyRpt_20150223 (1)'!881:881-"h_l!2'"</f>
        <v>#VALUE!</v>
      </c>
      <c r="HP4" t="e">
        <f>'SurveyRpt_20150223 (1)'!882:882-"h_l!2("</f>
        <v>#VALUE!</v>
      </c>
      <c r="HQ4" t="e">
        <f>'SurveyRpt_20150223 (1)'!883:883-"h_l!2)"</f>
        <v>#VALUE!</v>
      </c>
      <c r="HR4" t="e">
        <f>'SurveyRpt_20150223 (1)'!884:884-"h_l!2."</f>
        <v>#VALUE!</v>
      </c>
      <c r="HS4" t="e">
        <f>'SurveyRpt_20150223 (1)'!885:885-"h_l!2/"</f>
        <v>#VALUE!</v>
      </c>
      <c r="HT4" t="e">
        <f>'SurveyRpt_20150223 (1)'!886:886-"h_l!20"</f>
        <v>#VALUE!</v>
      </c>
      <c r="HU4" t="e">
        <f>'SurveyRpt_20150223 (1)'!887:887-"h_l!21"</f>
        <v>#VALUE!</v>
      </c>
      <c r="HV4" t="e">
        <f>'SurveyRpt_20150223 (1)'!888:888-"h_l!22"</f>
        <v>#VALUE!</v>
      </c>
      <c r="HW4" t="e">
        <f>'SurveyRpt_20150223 (1)'!889:889-"h_l!23"</f>
        <v>#VALUE!</v>
      </c>
      <c r="HX4" t="e">
        <f>'SurveyRpt_20150223 (1)'!890:890-"h_l!24"</f>
        <v>#VALUE!</v>
      </c>
      <c r="HY4" t="e">
        <f>'SurveyRpt_20150223 (1)'!891:891-"h_l!25"</f>
        <v>#VALUE!</v>
      </c>
      <c r="HZ4" t="e">
        <f>'SurveyRpt_20150223 (1)'!892:892-"h_l!26"</f>
        <v>#VALUE!</v>
      </c>
      <c r="IA4" t="e">
        <f>'SurveyRpt_20150223 (1)'!893:893-"h_l!27"</f>
        <v>#VALUE!</v>
      </c>
      <c r="IB4" t="e">
        <f>'SurveyRpt_20150223 (1)'!894:894-"h_l!28"</f>
        <v>#VALUE!</v>
      </c>
      <c r="IC4" t="e">
        <f>'SurveyRpt_20150223 (1)'!895:895-"h_l!29"</f>
        <v>#VALUE!</v>
      </c>
      <c r="ID4" t="e">
        <f>'SurveyRpt_20150223 (1)'!896:896-"h_l!2:"</f>
        <v>#VALUE!</v>
      </c>
      <c r="IE4" t="e">
        <f>'SurveyRpt_20150223 (1)'!897:897-"h_l!2;"</f>
        <v>#VALUE!</v>
      </c>
      <c r="IF4" t="e">
        <f>'SurveyRpt_20150223 (1)'!898:898-"h_l!2&lt;"</f>
        <v>#VALUE!</v>
      </c>
      <c r="IG4" t="e">
        <f>'SurveyRpt_20150223 (1)'!899:899-"h_l!2="</f>
        <v>#VALUE!</v>
      </c>
      <c r="IH4" t="e">
        <f>'SurveyRpt_20150223 (1)'!900:900-"h_l!2&gt;"</f>
        <v>#VALUE!</v>
      </c>
      <c r="II4" t="e">
        <f>'SurveyRpt_20150223 (1)'!901:901-"h_l!2?"</f>
        <v>#VALUE!</v>
      </c>
      <c r="IJ4" t="e">
        <f>'SurveyRpt_20150223 (1)'!902:902-"h_l!2@"</f>
        <v>#VALUE!</v>
      </c>
      <c r="IK4" t="e">
        <f>'SurveyRpt_20150223 (1)'!903:903-"h_l!2A"</f>
        <v>#VALUE!</v>
      </c>
      <c r="IL4" t="e">
        <f>'SurveyRpt_20150223 (1)'!904:904-"h_l!2B"</f>
        <v>#VALUE!</v>
      </c>
      <c r="IM4" t="e">
        <f>'SurveyRpt_20150223 (1)'!905:905-"h_l!2C"</f>
        <v>#VALUE!</v>
      </c>
      <c r="IN4" t="e">
        <f>'SurveyRpt_20150223 (1)'!906:906-"h_l!2D"</f>
        <v>#VALUE!</v>
      </c>
      <c r="IO4" t="e">
        <f>'SurveyRpt_20150223 (1)'!907:907-"h_l!2E"</f>
        <v>#VALUE!</v>
      </c>
      <c r="IP4" t="e">
        <f>'SurveyRpt_20150223 (1)'!908:908-"h_l!2F"</f>
        <v>#VALUE!</v>
      </c>
      <c r="IQ4" t="e">
        <f>'SurveyRpt_20150223 (1)'!909:909-"h_l!2G"</f>
        <v>#VALUE!</v>
      </c>
      <c r="IR4" t="e">
        <f>'SurveyRpt_20150223 (1)'!910:910-"h_l!2H"</f>
        <v>#VALUE!</v>
      </c>
      <c r="IS4" t="e">
        <f>'SurveyRpt_20150223 (1)'!911:911-"h_l!2I"</f>
        <v>#VALUE!</v>
      </c>
      <c r="IT4" t="e">
        <f>'SurveyRpt_20150223 (1)'!912:912-"h_l!2J"</f>
        <v>#VALUE!</v>
      </c>
      <c r="IU4" t="e">
        <f>'SurveyRpt_20150223 (1)'!913:913-"h_l!2K"</f>
        <v>#VALUE!</v>
      </c>
      <c r="IV4" t="e">
        <f>'SurveyRpt_20150223 (1)'!914:914-"h_l!2L"</f>
        <v>#VALUE!</v>
      </c>
    </row>
    <row r="5" spans="1:256" x14ac:dyDescent="0.25">
      <c r="F5" t="e">
        <f>'SurveyRpt_20150223 (1)'!915:915-"h_l!2M"</f>
        <v>#VALUE!</v>
      </c>
      <c r="G5" t="e">
        <f>'SurveyRpt_20150223 (1)'!916:916-"h_l!2N"</f>
        <v>#VALUE!</v>
      </c>
      <c r="H5" t="e">
        <f>'SurveyRpt_20150223 (1)'!917:917-"h_l!2O"</f>
        <v>#VALUE!</v>
      </c>
      <c r="I5" t="e">
        <f>'SurveyRpt_20150223 (1)'!918:918-"h_l!2P"</f>
        <v>#VALUE!</v>
      </c>
      <c r="J5" t="e">
        <f>'SurveyRpt_20150223 (1)'!919:919-"h_l!2Q"</f>
        <v>#VALUE!</v>
      </c>
      <c r="K5" t="e">
        <f>'SurveyRpt_20150223 (1)'!920:920-"h_l!2R"</f>
        <v>#VALUE!</v>
      </c>
      <c r="L5" t="e">
        <f>'SurveyRpt_20150223 (1)'!921:921-"h_l!2S"</f>
        <v>#VALUE!</v>
      </c>
      <c r="M5" t="e">
        <f>'SurveyRpt_20150223 (1)'!922:922-"h_l!2T"</f>
        <v>#VALUE!</v>
      </c>
      <c r="N5" t="e">
        <f>'SurveyRpt_20150223 (1)'!923:923-"h_l!2U"</f>
        <v>#VALUE!</v>
      </c>
      <c r="O5" t="e">
        <f>'SurveyRpt_20150223 (1)'!924:924-"h_l!2V"</f>
        <v>#VALUE!</v>
      </c>
      <c r="P5" t="e">
        <f>'SurveyRpt_20150223 (1)'!925:925-"h_l!2W"</f>
        <v>#VALUE!</v>
      </c>
      <c r="Q5" t="e">
        <f>'SurveyRpt_20150223 (1)'!926:926-"h_l!2X"</f>
        <v>#VALUE!</v>
      </c>
      <c r="R5" t="e">
        <f>'SurveyRpt_20150223 (1)'!927:927-"h_l!2Y"</f>
        <v>#VALUE!</v>
      </c>
      <c r="S5" t="e">
        <f>'SurveyRpt_20150223 (1)'!928:928-"h_l!2Z"</f>
        <v>#VALUE!</v>
      </c>
      <c r="T5" t="e">
        <f>'SurveyRpt_20150223 (1)'!929:929-"h_l!2["</f>
        <v>#VALUE!</v>
      </c>
      <c r="U5" t="e">
        <f>'SurveyRpt_20150223 (1)'!930:930-"h_l!2\"</f>
        <v>#VALUE!</v>
      </c>
      <c r="V5" t="e">
        <f>'SurveyRpt_20150223 (1)'!931:931-"h_l!2]"</f>
        <v>#VALUE!</v>
      </c>
      <c r="W5" t="e">
        <f>'SurveyRpt_20150223 (1)'!932:932-"h_l!2^"</f>
        <v>#VALUE!</v>
      </c>
      <c r="X5" t="e">
        <f>'SurveyRpt_20150223 (1)'!933:933-"h_l!2_"</f>
        <v>#VALUE!</v>
      </c>
      <c r="Y5" t="e">
        <f>'SurveyRpt_20150223 (1)'!934:934-"h_l!2`"</f>
        <v>#VALUE!</v>
      </c>
      <c r="Z5" t="e">
        <f>'SurveyRpt_20150223 (1)'!935:935-"h_l!2a"</f>
        <v>#VALUE!</v>
      </c>
      <c r="AA5" t="e">
        <f>'SurveyRpt_20150223 (1)'!A1+"h_l!2b"</f>
        <v>#VALUE!</v>
      </c>
      <c r="AB5" t="e">
        <f>'SurveyRpt_20150223 (1)'!B1+"h_l!2c"</f>
        <v>#VALUE!</v>
      </c>
      <c r="AC5" t="e">
        <f>'SurveyRpt_20150223 (1)'!C1+"h_l!2d"</f>
        <v>#VALUE!</v>
      </c>
      <c r="AD5" t="e">
        <f>'SurveyRpt_20150223 (1)'!D1+"h_l!2e"</f>
        <v>#VALUE!</v>
      </c>
      <c r="AE5" t="e">
        <f>'SurveyRpt_20150223 (1)'!E1+"h_l!2f"</f>
        <v>#VALUE!</v>
      </c>
      <c r="AF5" t="e">
        <f>'SurveyRpt_20150223 (1)'!F1+"h_l!2g"</f>
        <v>#VALUE!</v>
      </c>
      <c r="AG5" t="e">
        <f>'SurveyRpt_20150223 (1)'!G1+"h_l!2h"</f>
        <v>#VALUE!</v>
      </c>
      <c r="AH5" t="e">
        <f>'SurveyRpt_20150223 (1)'!H1+"h_l!2i"</f>
        <v>#VALUE!</v>
      </c>
      <c r="AI5" t="e">
        <f>'SurveyRpt_20150223 (1)'!I1+"h_l!2j"</f>
        <v>#VALUE!</v>
      </c>
      <c r="AJ5" t="e">
        <f>'SurveyRpt_20150223 (1)'!J1+"h_l!2k"</f>
        <v>#VALUE!</v>
      </c>
      <c r="AK5" t="e">
        <f>'SurveyRpt_20150223 (1)'!K1+"h_l!2l"</f>
        <v>#VALUE!</v>
      </c>
      <c r="AL5" t="e">
        <f>'SurveyRpt_20150223 (1)'!L1+"h_l!2m"</f>
        <v>#VALUE!</v>
      </c>
      <c r="AM5" t="e">
        <f>'SurveyRpt_20150223 (1)'!A2+"h_l!2n"</f>
        <v>#VALUE!</v>
      </c>
      <c r="AN5" t="e">
        <f>'SurveyRpt_20150223 (1)'!B2+"h_l!2o"</f>
        <v>#VALUE!</v>
      </c>
      <c r="AO5" t="e">
        <f>'SurveyRpt_20150223 (1)'!C2+"h_l!2p"</f>
        <v>#VALUE!</v>
      </c>
      <c r="AP5" t="e">
        <f>'SurveyRpt_20150223 (1)'!D2+"h_l!2q"</f>
        <v>#VALUE!</v>
      </c>
      <c r="AQ5" t="e">
        <f>'SurveyRpt_20150223 (1)'!E2+"h_l!2r"</f>
        <v>#VALUE!</v>
      </c>
      <c r="AR5" t="e">
        <f>'SurveyRpt_20150223 (1)'!F2+"h_l!2s"</f>
        <v>#VALUE!</v>
      </c>
      <c r="AS5" t="e">
        <f>'SurveyRpt_20150223 (1)'!G2+"h_l!2t"</f>
        <v>#VALUE!</v>
      </c>
      <c r="AT5" t="e">
        <f>'SurveyRpt_20150223 (1)'!H2+"h_l!2u"</f>
        <v>#VALUE!</v>
      </c>
      <c r="AU5" t="e">
        <f>'SurveyRpt_20150223 (1)'!I2+"h_l!2v"</f>
        <v>#VALUE!</v>
      </c>
      <c r="AV5" t="e">
        <f>'SurveyRpt_20150223 (1)'!J2+"h_l!2w"</f>
        <v>#VALUE!</v>
      </c>
      <c r="AW5" t="e">
        <f>'SurveyRpt_20150223 (1)'!K2+"h_l!2x"</f>
        <v>#VALUE!</v>
      </c>
      <c r="AX5" t="e">
        <f>'SurveyRpt_20150223 (1)'!L2+"h_l!2y"</f>
        <v>#VALUE!</v>
      </c>
      <c r="AY5" t="e">
        <f>'SurveyRpt_20150223 (1)'!A3+"h_l!2z"</f>
        <v>#VALUE!</v>
      </c>
      <c r="AZ5" t="e">
        <f>'SurveyRpt_20150223 (1)'!B3+"h_l!2{"</f>
        <v>#VALUE!</v>
      </c>
      <c r="BA5" t="e">
        <f>'SurveyRpt_20150223 (1)'!C3+"h_l!2|"</f>
        <v>#VALUE!</v>
      </c>
      <c r="BB5" t="e">
        <f>'SurveyRpt_20150223 (1)'!D3+"h_l!2}"</f>
        <v>#VALUE!</v>
      </c>
      <c r="BC5" t="e">
        <f>'SurveyRpt_20150223 (1)'!E3+"h_l!2~"</f>
        <v>#VALUE!</v>
      </c>
      <c r="BD5" t="e">
        <f>'SurveyRpt_20150223 (1)'!F3+"h_l!3#"</f>
        <v>#VALUE!</v>
      </c>
      <c r="BE5" t="e">
        <f>'SurveyRpt_20150223 (1)'!G3+"h_l!3$"</f>
        <v>#VALUE!</v>
      </c>
      <c r="BF5" t="e">
        <f>'SurveyRpt_20150223 (1)'!H3+"h_l!3%"</f>
        <v>#VALUE!</v>
      </c>
      <c r="BG5" t="e">
        <f>'SurveyRpt_20150223 (1)'!I3+"h_l!3&amp;"</f>
        <v>#VALUE!</v>
      </c>
      <c r="BH5" t="e">
        <f>'SurveyRpt_20150223 (1)'!J3+"h_l!3'"</f>
        <v>#VALUE!</v>
      </c>
      <c r="BI5" t="e">
        <f>'SurveyRpt_20150223 (1)'!K3+"h_l!3("</f>
        <v>#VALUE!</v>
      </c>
      <c r="BJ5" t="e">
        <f>'SurveyRpt_20150223 (1)'!L3+"h_l!3)"</f>
        <v>#VALUE!</v>
      </c>
      <c r="BK5" t="e">
        <f>'SurveyRpt_20150223 (1)'!A4+"h_l!3."</f>
        <v>#VALUE!</v>
      </c>
      <c r="BL5" t="e">
        <f>'SurveyRpt_20150223 (1)'!B4+"h_l!3/"</f>
        <v>#VALUE!</v>
      </c>
      <c r="BM5" t="e">
        <f>'SurveyRpt_20150223 (1)'!C4+"h_l!30"</f>
        <v>#VALUE!</v>
      </c>
      <c r="BN5" t="e">
        <f>'SurveyRpt_20150223 (1)'!D4+"h_l!31"</f>
        <v>#VALUE!</v>
      </c>
      <c r="BO5" t="e">
        <f>'SurveyRpt_20150223 (1)'!E4+"h_l!32"</f>
        <v>#VALUE!</v>
      </c>
      <c r="BP5" t="e">
        <f>'SurveyRpt_20150223 (1)'!F4+"h_l!33"</f>
        <v>#VALUE!</v>
      </c>
      <c r="BQ5" t="e">
        <f>'SurveyRpt_20150223 (1)'!G4+"h_l!34"</f>
        <v>#VALUE!</v>
      </c>
      <c r="BR5" t="e">
        <f>'SurveyRpt_20150223 (1)'!H4+"h_l!35"</f>
        <v>#VALUE!</v>
      </c>
      <c r="BS5" t="e">
        <f>'SurveyRpt_20150223 (1)'!I4+"h_l!36"</f>
        <v>#VALUE!</v>
      </c>
      <c r="BT5" t="e">
        <f>'SurveyRpt_20150223 (1)'!J4+"h_l!37"</f>
        <v>#VALUE!</v>
      </c>
      <c r="BU5" t="e">
        <f>'SurveyRpt_20150223 (1)'!K4+"h_l!38"</f>
        <v>#VALUE!</v>
      </c>
      <c r="BV5" t="e">
        <f>'SurveyRpt_20150223 (1)'!L4+"h_l!39"</f>
        <v>#VALUE!</v>
      </c>
      <c r="BW5" t="e">
        <f>'SurveyRpt_20150223 (1)'!A5+"h_l!3:"</f>
        <v>#VALUE!</v>
      </c>
      <c r="BX5" t="e">
        <f>'SurveyRpt_20150223 (1)'!B5+"h_l!3;"</f>
        <v>#VALUE!</v>
      </c>
      <c r="BY5" t="e">
        <f>'SurveyRpt_20150223 (1)'!C5+"h_l!3&lt;"</f>
        <v>#VALUE!</v>
      </c>
      <c r="BZ5" t="e">
        <f>'SurveyRpt_20150223 (1)'!D5+"h_l!3="</f>
        <v>#VALUE!</v>
      </c>
      <c r="CA5" t="e">
        <f>'SurveyRpt_20150223 (1)'!E5+"h_l!3&gt;"</f>
        <v>#VALUE!</v>
      </c>
      <c r="CB5" t="e">
        <f>'SurveyRpt_20150223 (1)'!F5+"h_l!3?"</f>
        <v>#VALUE!</v>
      </c>
      <c r="CC5" t="e">
        <f>'SurveyRpt_20150223 (1)'!G5+"h_l!3@"</f>
        <v>#VALUE!</v>
      </c>
      <c r="CD5" t="e">
        <f>'SurveyRpt_20150223 (1)'!H5+"h_l!3A"</f>
        <v>#VALUE!</v>
      </c>
      <c r="CE5" t="e">
        <f>'SurveyRpt_20150223 (1)'!I5+"h_l!3B"</f>
        <v>#VALUE!</v>
      </c>
      <c r="CF5" t="e">
        <f>'SurveyRpt_20150223 (1)'!J5+"h_l!3C"</f>
        <v>#VALUE!</v>
      </c>
      <c r="CG5" t="e">
        <f>'SurveyRpt_20150223 (1)'!K5+"h_l!3D"</f>
        <v>#VALUE!</v>
      </c>
      <c r="CH5" t="e">
        <f>'SurveyRpt_20150223 (1)'!L5+"h_l!3E"</f>
        <v>#VALUE!</v>
      </c>
      <c r="CI5" t="e">
        <f>'SurveyRpt_20150223 (1)'!A6+"h_l!3F"</f>
        <v>#VALUE!</v>
      </c>
      <c r="CJ5" t="e">
        <f>'SurveyRpt_20150223 (1)'!B6+"h_l!3G"</f>
        <v>#VALUE!</v>
      </c>
      <c r="CK5" t="e">
        <f>'SurveyRpt_20150223 (1)'!C6+"h_l!3H"</f>
        <v>#VALUE!</v>
      </c>
      <c r="CL5" t="e">
        <f>'SurveyRpt_20150223 (1)'!D6+"h_l!3I"</f>
        <v>#VALUE!</v>
      </c>
      <c r="CM5" t="e">
        <f>'SurveyRpt_20150223 (1)'!E6+"h_l!3J"</f>
        <v>#VALUE!</v>
      </c>
      <c r="CN5" t="e">
        <f>'SurveyRpt_20150223 (1)'!F6+"h_l!3K"</f>
        <v>#VALUE!</v>
      </c>
      <c r="CO5" t="e">
        <f>'SurveyRpt_20150223 (1)'!G6+"h_l!3L"</f>
        <v>#VALUE!</v>
      </c>
      <c r="CP5" t="e">
        <f>'SurveyRpt_20150223 (1)'!H6+"h_l!3M"</f>
        <v>#VALUE!</v>
      </c>
      <c r="CQ5" t="e">
        <f>'SurveyRpt_20150223 (1)'!I6+"h_l!3N"</f>
        <v>#VALUE!</v>
      </c>
      <c r="CR5" t="e">
        <f>'SurveyRpt_20150223 (1)'!J6+"h_l!3O"</f>
        <v>#VALUE!</v>
      </c>
      <c r="CS5" t="e">
        <f>'SurveyRpt_20150223 (1)'!K6+"h_l!3P"</f>
        <v>#VALUE!</v>
      </c>
      <c r="CT5" t="e">
        <f>'SurveyRpt_20150223 (1)'!L6+"h_l!3Q"</f>
        <v>#VALUE!</v>
      </c>
      <c r="CU5" t="e">
        <f>'SurveyRpt_20150223 (1)'!A7+"h_l!3R"</f>
        <v>#VALUE!</v>
      </c>
      <c r="CV5" t="e">
        <f>'SurveyRpt_20150223 (1)'!B7+"h_l!3S"</f>
        <v>#VALUE!</v>
      </c>
      <c r="CW5" t="e">
        <f>'SurveyRpt_20150223 (1)'!C7+"h_l!3T"</f>
        <v>#VALUE!</v>
      </c>
      <c r="CX5" t="e">
        <f>'SurveyRpt_20150223 (1)'!D7+"h_l!3U"</f>
        <v>#VALUE!</v>
      </c>
      <c r="CY5" t="e">
        <f>'SurveyRpt_20150223 (1)'!E7+"h_l!3V"</f>
        <v>#VALUE!</v>
      </c>
      <c r="CZ5" t="e">
        <f>'SurveyRpt_20150223 (1)'!F7+"h_l!3W"</f>
        <v>#VALUE!</v>
      </c>
      <c r="DA5" t="e">
        <f>'SurveyRpt_20150223 (1)'!G7+"h_l!3X"</f>
        <v>#VALUE!</v>
      </c>
      <c r="DB5" t="e">
        <f>'SurveyRpt_20150223 (1)'!H7+"h_l!3Y"</f>
        <v>#VALUE!</v>
      </c>
      <c r="DC5" t="e">
        <f>'SurveyRpt_20150223 (1)'!I7+"h_l!3Z"</f>
        <v>#VALUE!</v>
      </c>
      <c r="DD5" t="e">
        <f>'SurveyRpt_20150223 (1)'!J7+"h_l!3["</f>
        <v>#VALUE!</v>
      </c>
      <c r="DE5" t="e">
        <f>'SurveyRpt_20150223 (1)'!K7+"h_l!3\"</f>
        <v>#VALUE!</v>
      </c>
      <c r="DF5" t="e">
        <f>'SurveyRpt_20150223 (1)'!L7+"h_l!3]"</f>
        <v>#VALUE!</v>
      </c>
      <c r="DG5" t="e">
        <f>'SurveyRpt_20150223 (1)'!A8+"h_l!3^"</f>
        <v>#VALUE!</v>
      </c>
      <c r="DH5" t="e">
        <f>'SurveyRpt_20150223 (1)'!B8+"h_l!3_"</f>
        <v>#VALUE!</v>
      </c>
      <c r="DI5" t="e">
        <f>'SurveyRpt_20150223 (1)'!C8+"h_l!3`"</f>
        <v>#VALUE!</v>
      </c>
      <c r="DJ5" t="e">
        <f>'SurveyRpt_20150223 (1)'!D8+"h_l!3a"</f>
        <v>#VALUE!</v>
      </c>
      <c r="DK5" t="e">
        <f>'SurveyRpt_20150223 (1)'!E8+"h_l!3b"</f>
        <v>#VALUE!</v>
      </c>
      <c r="DL5" t="e">
        <f>'SurveyRpt_20150223 (1)'!F8+"h_l!3c"</f>
        <v>#VALUE!</v>
      </c>
      <c r="DM5" t="e">
        <f>'SurveyRpt_20150223 (1)'!G8+"h_l!3d"</f>
        <v>#VALUE!</v>
      </c>
      <c r="DN5" t="e">
        <f>'SurveyRpt_20150223 (1)'!H8+"h_l!3e"</f>
        <v>#VALUE!</v>
      </c>
      <c r="DO5" t="e">
        <f>'SurveyRpt_20150223 (1)'!I8+"h_l!3f"</f>
        <v>#VALUE!</v>
      </c>
      <c r="DP5" t="e">
        <f>'SurveyRpt_20150223 (1)'!J8+"h_l!3g"</f>
        <v>#VALUE!</v>
      </c>
      <c r="DQ5" t="e">
        <f>'SurveyRpt_20150223 (1)'!K8+"h_l!3h"</f>
        <v>#VALUE!</v>
      </c>
      <c r="DR5" t="e">
        <f>'SurveyRpt_20150223 (1)'!L8+"h_l!3i"</f>
        <v>#VALUE!</v>
      </c>
      <c r="DS5" t="e">
        <f>'SurveyRpt_20150223 (1)'!A9+"h_l!3j"</f>
        <v>#VALUE!</v>
      </c>
      <c r="DT5" t="e">
        <f>'SurveyRpt_20150223 (1)'!B9+"h_l!3k"</f>
        <v>#VALUE!</v>
      </c>
      <c r="DU5" t="e">
        <f>'SurveyRpt_20150223 (1)'!C9+"h_l!3l"</f>
        <v>#VALUE!</v>
      </c>
      <c r="DV5" t="e">
        <f>'SurveyRpt_20150223 (1)'!D9+"h_l!3m"</f>
        <v>#VALUE!</v>
      </c>
      <c r="DW5" t="e">
        <f>'SurveyRpt_20150223 (1)'!E9+"h_l!3n"</f>
        <v>#VALUE!</v>
      </c>
      <c r="DX5" t="e">
        <f>'SurveyRpt_20150223 (1)'!F9+"h_l!3o"</f>
        <v>#VALUE!</v>
      </c>
      <c r="DY5" t="e">
        <f>'SurveyRpt_20150223 (1)'!G9+"h_l!3p"</f>
        <v>#VALUE!</v>
      </c>
      <c r="DZ5" t="e">
        <f>'SurveyRpt_20150223 (1)'!H9+"h_l!3q"</f>
        <v>#VALUE!</v>
      </c>
      <c r="EA5" t="e">
        <f>'SurveyRpt_20150223 (1)'!I9+"h_l!3r"</f>
        <v>#VALUE!</v>
      </c>
      <c r="EB5" t="e">
        <f>'SurveyRpt_20150223 (1)'!J9+"h_l!3s"</f>
        <v>#VALUE!</v>
      </c>
      <c r="EC5" t="e">
        <f>'SurveyRpt_20150223 (1)'!K9+"h_l!3t"</f>
        <v>#VALUE!</v>
      </c>
      <c r="ED5" t="e">
        <f>'SurveyRpt_20150223 (1)'!L9+"h_l!3u"</f>
        <v>#VALUE!</v>
      </c>
      <c r="EE5" t="e">
        <f>'SurveyRpt_20150223 (1)'!A10+"h_l!3v"</f>
        <v>#VALUE!</v>
      </c>
      <c r="EF5" t="e">
        <f>'SurveyRpt_20150223 (1)'!B10+"h_l!3w"</f>
        <v>#VALUE!</v>
      </c>
      <c r="EG5" t="e">
        <f>'SurveyRpt_20150223 (1)'!C10+"h_l!3x"</f>
        <v>#VALUE!</v>
      </c>
      <c r="EH5" t="e">
        <f>'SurveyRpt_20150223 (1)'!D10+"h_l!3y"</f>
        <v>#VALUE!</v>
      </c>
      <c r="EI5" t="e">
        <f>'SurveyRpt_20150223 (1)'!E10+"h_l!3z"</f>
        <v>#VALUE!</v>
      </c>
      <c r="EJ5" t="e">
        <f>'SurveyRpt_20150223 (1)'!F10+"h_l!3{"</f>
        <v>#VALUE!</v>
      </c>
      <c r="EK5" t="e">
        <f>'SurveyRpt_20150223 (1)'!G10+"h_l!3|"</f>
        <v>#VALUE!</v>
      </c>
      <c r="EL5" t="e">
        <f>'SurveyRpt_20150223 (1)'!H10+"h_l!3}"</f>
        <v>#VALUE!</v>
      </c>
      <c r="EM5" t="e">
        <f>'SurveyRpt_20150223 (1)'!I10+"h_l!3~"</f>
        <v>#VALUE!</v>
      </c>
      <c r="EN5" t="e">
        <f>'SurveyRpt_20150223 (1)'!J10+"h_l!4#"</f>
        <v>#VALUE!</v>
      </c>
      <c r="EO5" t="e">
        <f>'SurveyRpt_20150223 (1)'!K10+"h_l!4$"</f>
        <v>#VALUE!</v>
      </c>
      <c r="EP5" t="e">
        <f>'SurveyRpt_20150223 (1)'!L10+"h_l!4%"</f>
        <v>#VALUE!</v>
      </c>
      <c r="EQ5" t="e">
        <f>'SurveyRpt_20150223 (1)'!A11+"h_l!4&amp;"</f>
        <v>#VALUE!</v>
      </c>
      <c r="ER5" t="e">
        <f>'SurveyRpt_20150223 (1)'!B11+"h_l!4'"</f>
        <v>#VALUE!</v>
      </c>
      <c r="ES5" t="e">
        <f>'SurveyRpt_20150223 (1)'!C11+"h_l!4("</f>
        <v>#VALUE!</v>
      </c>
      <c r="ET5" t="e">
        <f>'SurveyRpt_20150223 (1)'!D11+"h_l!4)"</f>
        <v>#VALUE!</v>
      </c>
      <c r="EU5" t="e">
        <f>'SurveyRpt_20150223 (1)'!E11+"h_l!4."</f>
        <v>#VALUE!</v>
      </c>
      <c r="EV5" t="e">
        <f>'SurveyRpt_20150223 (1)'!F11+"h_l!4/"</f>
        <v>#VALUE!</v>
      </c>
      <c r="EW5" t="e">
        <f>'SurveyRpt_20150223 (1)'!G11+"h_l!40"</f>
        <v>#VALUE!</v>
      </c>
      <c r="EX5" t="e">
        <f>'SurveyRpt_20150223 (1)'!H11+"h_l!41"</f>
        <v>#VALUE!</v>
      </c>
      <c r="EY5" t="e">
        <f>'SurveyRpt_20150223 (1)'!I11+"h_l!42"</f>
        <v>#VALUE!</v>
      </c>
      <c r="EZ5" t="e">
        <f>'SurveyRpt_20150223 (1)'!J11+"h_l!43"</f>
        <v>#VALUE!</v>
      </c>
      <c r="FA5" t="e">
        <f>'SurveyRpt_20150223 (1)'!K11+"h_l!44"</f>
        <v>#VALUE!</v>
      </c>
      <c r="FB5" t="e">
        <f>'SurveyRpt_20150223 (1)'!L11+"h_l!45"</f>
        <v>#VALUE!</v>
      </c>
      <c r="FC5" t="e">
        <f>'SurveyRpt_20150223 (1)'!A12+"h_l!46"</f>
        <v>#VALUE!</v>
      </c>
      <c r="FD5" t="e">
        <f>'SurveyRpt_20150223 (1)'!B12+"h_l!47"</f>
        <v>#VALUE!</v>
      </c>
      <c r="FE5" t="e">
        <f>'SurveyRpt_20150223 (1)'!C12+"h_l!48"</f>
        <v>#VALUE!</v>
      </c>
      <c r="FF5" t="e">
        <f>'SurveyRpt_20150223 (1)'!D12+"h_l!49"</f>
        <v>#VALUE!</v>
      </c>
      <c r="FG5" t="e">
        <f>'SurveyRpt_20150223 (1)'!E12+"h_l!4:"</f>
        <v>#VALUE!</v>
      </c>
      <c r="FH5" t="e">
        <f>'SurveyRpt_20150223 (1)'!F12+"h_l!4;"</f>
        <v>#VALUE!</v>
      </c>
      <c r="FI5" t="e">
        <f>'SurveyRpt_20150223 (1)'!G12+"h_l!4&lt;"</f>
        <v>#VALUE!</v>
      </c>
      <c r="FJ5" t="e">
        <f>'SurveyRpt_20150223 (1)'!H12+"h_l!4="</f>
        <v>#VALUE!</v>
      </c>
      <c r="FK5" t="e">
        <f>'SurveyRpt_20150223 (1)'!I12+"h_l!4&gt;"</f>
        <v>#VALUE!</v>
      </c>
      <c r="FL5" t="e">
        <f>'SurveyRpt_20150223 (1)'!J12+"h_l!4?"</f>
        <v>#VALUE!</v>
      </c>
      <c r="FM5" t="e">
        <f>'SurveyRpt_20150223 (1)'!K12+"h_l!4@"</f>
        <v>#VALUE!</v>
      </c>
      <c r="FN5" t="e">
        <f>'SurveyRpt_20150223 (1)'!L12+"h_l!4A"</f>
        <v>#VALUE!</v>
      </c>
      <c r="FO5" t="e">
        <f>'SurveyRpt_20150223 (1)'!A13+"h_l!4B"</f>
        <v>#VALUE!</v>
      </c>
      <c r="FP5" t="e">
        <f>'SurveyRpt_20150223 (1)'!B13+"h_l!4C"</f>
        <v>#VALUE!</v>
      </c>
      <c r="FQ5" t="e">
        <f>'SurveyRpt_20150223 (1)'!C13+"h_l!4D"</f>
        <v>#VALUE!</v>
      </c>
      <c r="FR5" t="e">
        <f>'SurveyRpt_20150223 (1)'!D13+"h_l!4E"</f>
        <v>#VALUE!</v>
      </c>
      <c r="FS5" t="e">
        <f>'SurveyRpt_20150223 (1)'!E13+"h_l!4F"</f>
        <v>#VALUE!</v>
      </c>
      <c r="FT5" t="e">
        <f>'SurveyRpt_20150223 (1)'!F13+"h_l!4G"</f>
        <v>#VALUE!</v>
      </c>
      <c r="FU5" t="e">
        <f>'SurveyRpt_20150223 (1)'!G13+"h_l!4H"</f>
        <v>#VALUE!</v>
      </c>
      <c r="FV5" t="e">
        <f>'SurveyRpt_20150223 (1)'!H13+"h_l!4I"</f>
        <v>#VALUE!</v>
      </c>
      <c r="FW5" t="e">
        <f>'SurveyRpt_20150223 (1)'!I13+"h_l!4J"</f>
        <v>#VALUE!</v>
      </c>
      <c r="FX5" t="e">
        <f>'SurveyRpt_20150223 (1)'!J13+"h_l!4K"</f>
        <v>#VALUE!</v>
      </c>
      <c r="FY5" t="e">
        <f>'SurveyRpt_20150223 (1)'!K13+"h_l!4L"</f>
        <v>#VALUE!</v>
      </c>
      <c r="FZ5" t="e">
        <f>'SurveyRpt_20150223 (1)'!L13+"h_l!4M"</f>
        <v>#VALUE!</v>
      </c>
      <c r="GA5" t="e">
        <f>'SurveyRpt_20150223 (1)'!A14+"h_l!4N"</f>
        <v>#VALUE!</v>
      </c>
      <c r="GB5" t="e">
        <f>'SurveyRpt_20150223 (1)'!B14+"h_l!4O"</f>
        <v>#VALUE!</v>
      </c>
      <c r="GC5" t="e">
        <f>'SurveyRpt_20150223 (1)'!C14+"h_l!4P"</f>
        <v>#VALUE!</v>
      </c>
      <c r="GD5" t="e">
        <f>'SurveyRpt_20150223 (1)'!D14+"h_l!4Q"</f>
        <v>#VALUE!</v>
      </c>
      <c r="GE5" t="e">
        <f>'SurveyRpt_20150223 (1)'!E14+"h_l!4R"</f>
        <v>#VALUE!</v>
      </c>
      <c r="GF5" t="e">
        <f>'SurveyRpt_20150223 (1)'!F14+"h_l!4S"</f>
        <v>#VALUE!</v>
      </c>
      <c r="GG5" t="e">
        <f>'SurveyRpt_20150223 (1)'!G14+"h_l!4T"</f>
        <v>#VALUE!</v>
      </c>
      <c r="GH5" t="e">
        <f>'SurveyRpt_20150223 (1)'!H14+"h_l!4U"</f>
        <v>#VALUE!</v>
      </c>
      <c r="GI5" t="e">
        <f>'SurveyRpt_20150223 (1)'!I14+"h_l!4V"</f>
        <v>#VALUE!</v>
      </c>
      <c r="GJ5" t="e">
        <f>'SurveyRpt_20150223 (1)'!J14+"h_l!4W"</f>
        <v>#VALUE!</v>
      </c>
      <c r="GK5" t="e">
        <f>'SurveyRpt_20150223 (1)'!K14+"h_l!4X"</f>
        <v>#VALUE!</v>
      </c>
      <c r="GL5" t="e">
        <f>'SurveyRpt_20150223 (1)'!L14+"h_l!4Y"</f>
        <v>#VALUE!</v>
      </c>
      <c r="GM5" t="e">
        <f>'SurveyRpt_20150223 (1)'!A15+"h_l!4Z"</f>
        <v>#VALUE!</v>
      </c>
      <c r="GN5" t="e">
        <f>'SurveyRpt_20150223 (1)'!B15+"h_l!4["</f>
        <v>#VALUE!</v>
      </c>
      <c r="GO5" t="e">
        <f>'SurveyRpt_20150223 (1)'!C15+"h_l!4\"</f>
        <v>#VALUE!</v>
      </c>
      <c r="GP5" t="e">
        <f>'SurveyRpt_20150223 (1)'!D15+"h_l!4]"</f>
        <v>#VALUE!</v>
      </c>
      <c r="GQ5" t="e">
        <f>'SurveyRpt_20150223 (1)'!E15+"h_l!4^"</f>
        <v>#VALUE!</v>
      </c>
      <c r="GR5" t="e">
        <f>'SurveyRpt_20150223 (1)'!F15+"h_l!4_"</f>
        <v>#VALUE!</v>
      </c>
      <c r="GS5" t="e">
        <f>'SurveyRpt_20150223 (1)'!G15+"h_l!4`"</f>
        <v>#VALUE!</v>
      </c>
      <c r="GT5" t="e">
        <f>'SurveyRpt_20150223 (1)'!H15+"h_l!4a"</f>
        <v>#VALUE!</v>
      </c>
      <c r="GU5" t="e">
        <f>'SurveyRpt_20150223 (1)'!I15+"h_l!4b"</f>
        <v>#VALUE!</v>
      </c>
      <c r="GV5" t="e">
        <f>'SurveyRpt_20150223 (1)'!J15+"h_l!4c"</f>
        <v>#VALUE!</v>
      </c>
      <c r="GW5" t="e">
        <f>'SurveyRpt_20150223 (1)'!K15+"h_l!4d"</f>
        <v>#VALUE!</v>
      </c>
      <c r="GX5" t="e">
        <f>'SurveyRpt_20150223 (1)'!L15+"h_l!4e"</f>
        <v>#VALUE!</v>
      </c>
      <c r="GY5" t="e">
        <f>'SurveyRpt_20150223 (1)'!A16+"h_l!4f"</f>
        <v>#VALUE!</v>
      </c>
      <c r="GZ5" t="e">
        <f>'SurveyRpt_20150223 (1)'!B16+"h_l!4g"</f>
        <v>#VALUE!</v>
      </c>
      <c r="HA5" t="e">
        <f>'SurveyRpt_20150223 (1)'!C16+"h_l!4h"</f>
        <v>#VALUE!</v>
      </c>
      <c r="HB5" t="e">
        <f>'SurveyRpt_20150223 (1)'!D16+"h_l!4i"</f>
        <v>#VALUE!</v>
      </c>
      <c r="HC5" t="e">
        <f>'SurveyRpt_20150223 (1)'!E16+"h_l!4j"</f>
        <v>#VALUE!</v>
      </c>
      <c r="HD5" t="e">
        <f>'SurveyRpt_20150223 (1)'!F16+"h_l!4k"</f>
        <v>#VALUE!</v>
      </c>
      <c r="HE5" t="e">
        <f>'SurveyRpt_20150223 (1)'!G16+"h_l!4l"</f>
        <v>#VALUE!</v>
      </c>
      <c r="HF5" t="e">
        <f>'SurveyRpt_20150223 (1)'!H16+"h_l!4m"</f>
        <v>#VALUE!</v>
      </c>
      <c r="HG5" t="e">
        <f>'SurveyRpt_20150223 (1)'!I16+"h_l!4n"</f>
        <v>#VALUE!</v>
      </c>
      <c r="HH5" t="e">
        <f>'SurveyRpt_20150223 (1)'!J16+"h_l!4o"</f>
        <v>#VALUE!</v>
      </c>
      <c r="HI5" t="e">
        <f>'SurveyRpt_20150223 (1)'!K16+"h_l!4p"</f>
        <v>#VALUE!</v>
      </c>
      <c r="HJ5" t="e">
        <f>'SurveyRpt_20150223 (1)'!L16+"h_l!4q"</f>
        <v>#VALUE!</v>
      </c>
      <c r="HK5" t="e">
        <f>'SurveyRpt_20150223 (1)'!A17+"h_l!4r"</f>
        <v>#VALUE!</v>
      </c>
      <c r="HL5" t="e">
        <f>'SurveyRpt_20150223 (1)'!B17+"h_l!4s"</f>
        <v>#VALUE!</v>
      </c>
      <c r="HM5" t="e">
        <f>'SurveyRpt_20150223 (1)'!C17+"h_l!4t"</f>
        <v>#VALUE!</v>
      </c>
      <c r="HN5" t="e">
        <f>'SurveyRpt_20150223 (1)'!D17+"h_l!4u"</f>
        <v>#VALUE!</v>
      </c>
      <c r="HO5" t="e">
        <f>'SurveyRpt_20150223 (1)'!E17+"h_l!4v"</f>
        <v>#VALUE!</v>
      </c>
      <c r="HP5" t="e">
        <f>'SurveyRpt_20150223 (1)'!F17+"h_l!4w"</f>
        <v>#VALUE!</v>
      </c>
      <c r="HQ5" t="e">
        <f>'SurveyRpt_20150223 (1)'!G17+"h_l!4x"</f>
        <v>#VALUE!</v>
      </c>
      <c r="HR5" t="e">
        <f>'SurveyRpt_20150223 (1)'!H17+"h_l!4y"</f>
        <v>#VALUE!</v>
      </c>
      <c r="HS5" t="e">
        <f>'SurveyRpt_20150223 (1)'!I17+"h_l!4z"</f>
        <v>#VALUE!</v>
      </c>
      <c r="HT5" t="e">
        <f>'SurveyRpt_20150223 (1)'!J17+"h_l!4{"</f>
        <v>#VALUE!</v>
      </c>
      <c r="HU5" t="e">
        <f>'SurveyRpt_20150223 (1)'!K17+"h_l!4|"</f>
        <v>#VALUE!</v>
      </c>
      <c r="HV5" t="e">
        <f>'SurveyRpt_20150223 (1)'!L17+"h_l!4}"</f>
        <v>#VALUE!</v>
      </c>
      <c r="HW5" t="e">
        <f>'SurveyRpt_20150223 (1)'!A18+"h_l!4~"</f>
        <v>#VALUE!</v>
      </c>
      <c r="HX5" t="e">
        <f>'SurveyRpt_20150223 (1)'!B18+"h_l!5#"</f>
        <v>#VALUE!</v>
      </c>
      <c r="HY5" t="e">
        <f>'SurveyRpt_20150223 (1)'!C18+"h_l!5$"</f>
        <v>#VALUE!</v>
      </c>
      <c r="HZ5" t="e">
        <f>'SurveyRpt_20150223 (1)'!D18+"h_l!5%"</f>
        <v>#VALUE!</v>
      </c>
      <c r="IA5" t="e">
        <f>'SurveyRpt_20150223 (1)'!E18+"h_l!5&amp;"</f>
        <v>#VALUE!</v>
      </c>
      <c r="IB5" t="e">
        <f>'SurveyRpt_20150223 (1)'!F18+"h_l!5'"</f>
        <v>#VALUE!</v>
      </c>
      <c r="IC5" t="e">
        <f>'SurveyRpt_20150223 (1)'!G18+"h_l!5("</f>
        <v>#VALUE!</v>
      </c>
      <c r="ID5" t="e">
        <f>'SurveyRpt_20150223 (1)'!H18+"h_l!5)"</f>
        <v>#VALUE!</v>
      </c>
      <c r="IE5" t="e">
        <f>'SurveyRpt_20150223 (1)'!I18+"h_l!5."</f>
        <v>#VALUE!</v>
      </c>
      <c r="IF5" t="e">
        <f>'SurveyRpt_20150223 (1)'!J18+"h_l!5/"</f>
        <v>#VALUE!</v>
      </c>
      <c r="IG5" t="e">
        <f>'SurveyRpt_20150223 (1)'!K18+"h_l!50"</f>
        <v>#VALUE!</v>
      </c>
      <c r="IH5" t="e">
        <f>'SurveyRpt_20150223 (1)'!L18+"h_l!51"</f>
        <v>#VALUE!</v>
      </c>
      <c r="II5" t="e">
        <f>'SurveyRpt_20150223 (1)'!A19+"h_l!52"</f>
        <v>#VALUE!</v>
      </c>
      <c r="IJ5" t="e">
        <f>'SurveyRpt_20150223 (1)'!B19+"h_l!53"</f>
        <v>#VALUE!</v>
      </c>
      <c r="IK5" t="e">
        <f>'SurveyRpt_20150223 (1)'!C19+"h_l!54"</f>
        <v>#VALUE!</v>
      </c>
      <c r="IL5" t="e">
        <f>'SurveyRpt_20150223 (1)'!D19+"h_l!55"</f>
        <v>#VALUE!</v>
      </c>
      <c r="IM5" t="e">
        <f>'SurveyRpt_20150223 (1)'!E19+"h_l!56"</f>
        <v>#VALUE!</v>
      </c>
      <c r="IN5" t="e">
        <f>'SurveyRpt_20150223 (1)'!F19+"h_l!57"</f>
        <v>#VALUE!</v>
      </c>
      <c r="IO5" t="e">
        <f>'SurveyRpt_20150223 (1)'!G19+"h_l!58"</f>
        <v>#VALUE!</v>
      </c>
      <c r="IP5" t="e">
        <f>'SurveyRpt_20150223 (1)'!H19+"h_l!59"</f>
        <v>#VALUE!</v>
      </c>
      <c r="IQ5" t="e">
        <f>'SurveyRpt_20150223 (1)'!I19+"h_l!5:"</f>
        <v>#VALUE!</v>
      </c>
      <c r="IR5" t="e">
        <f>'SurveyRpt_20150223 (1)'!J19+"h_l!5;"</f>
        <v>#VALUE!</v>
      </c>
      <c r="IS5" t="e">
        <f>'SurveyRpt_20150223 (1)'!K19+"h_l!5&lt;"</f>
        <v>#VALUE!</v>
      </c>
      <c r="IT5" t="e">
        <f>'SurveyRpt_20150223 (1)'!L19+"h_l!5="</f>
        <v>#VALUE!</v>
      </c>
      <c r="IU5" t="e">
        <f>'SurveyRpt_20150223 (1)'!A20+"h_l!5&gt;"</f>
        <v>#VALUE!</v>
      </c>
      <c r="IV5" t="e">
        <f>'SurveyRpt_20150223 (1)'!B20+"h_l!5?"</f>
        <v>#VALUE!</v>
      </c>
    </row>
    <row r="6" spans="1:256" x14ac:dyDescent="0.25">
      <c r="F6" t="e">
        <f>'SurveyRpt_20150223 (1)'!C20+"h_l!5@"</f>
        <v>#VALUE!</v>
      </c>
      <c r="G6" t="e">
        <f>'SurveyRpt_20150223 (1)'!D20+"h_l!5A"</f>
        <v>#VALUE!</v>
      </c>
      <c r="H6" t="e">
        <f>'SurveyRpt_20150223 (1)'!E20+"h_l!5B"</f>
        <v>#VALUE!</v>
      </c>
      <c r="I6" t="e">
        <f>'SurveyRpt_20150223 (1)'!F20+"h_l!5C"</f>
        <v>#VALUE!</v>
      </c>
      <c r="J6" t="e">
        <f>'SurveyRpt_20150223 (1)'!G20+"h_l!5D"</f>
        <v>#VALUE!</v>
      </c>
      <c r="K6" t="e">
        <f>'SurveyRpt_20150223 (1)'!H20+"h_l!5E"</f>
        <v>#VALUE!</v>
      </c>
      <c r="L6" t="e">
        <f>'SurveyRpt_20150223 (1)'!I20+"h_l!5F"</f>
        <v>#VALUE!</v>
      </c>
      <c r="M6" t="e">
        <f>'SurveyRpt_20150223 (1)'!J20+"h_l!5G"</f>
        <v>#VALUE!</v>
      </c>
      <c r="N6" t="e">
        <f>'SurveyRpt_20150223 (1)'!K20+"h_l!5H"</f>
        <v>#VALUE!</v>
      </c>
      <c r="O6" t="e">
        <f>'SurveyRpt_20150223 (1)'!L20+"h_l!5I"</f>
        <v>#VALUE!</v>
      </c>
      <c r="P6" t="e">
        <f>'SurveyRpt_20150223 (1)'!A21+"h_l!5J"</f>
        <v>#VALUE!</v>
      </c>
      <c r="Q6" t="e">
        <f>'SurveyRpt_20150223 (1)'!B21+"h_l!5K"</f>
        <v>#VALUE!</v>
      </c>
      <c r="R6" t="e">
        <f>'SurveyRpt_20150223 (1)'!C21+"h_l!5L"</f>
        <v>#VALUE!</v>
      </c>
      <c r="S6" t="e">
        <f>'SurveyRpt_20150223 (1)'!D21+"h_l!5M"</f>
        <v>#VALUE!</v>
      </c>
      <c r="T6" t="e">
        <f>'SurveyRpt_20150223 (1)'!E21+"h_l!5N"</f>
        <v>#VALUE!</v>
      </c>
      <c r="U6" t="e">
        <f>'SurveyRpt_20150223 (1)'!F21+"h_l!5O"</f>
        <v>#VALUE!</v>
      </c>
      <c r="V6" t="e">
        <f>'SurveyRpt_20150223 (1)'!G21+"h_l!5P"</f>
        <v>#VALUE!</v>
      </c>
      <c r="W6" t="e">
        <f>'SurveyRpt_20150223 (1)'!H21+"h_l!5Q"</f>
        <v>#VALUE!</v>
      </c>
      <c r="X6" t="e">
        <f>'SurveyRpt_20150223 (1)'!I21+"h_l!5R"</f>
        <v>#VALUE!</v>
      </c>
      <c r="Y6" t="e">
        <f>'SurveyRpt_20150223 (1)'!J21+"h_l!5S"</f>
        <v>#VALUE!</v>
      </c>
      <c r="Z6" t="e">
        <f>'SurveyRpt_20150223 (1)'!K21+"h_l!5T"</f>
        <v>#VALUE!</v>
      </c>
      <c r="AA6" t="e">
        <f>'SurveyRpt_20150223 (1)'!L21+"h_l!5U"</f>
        <v>#VALUE!</v>
      </c>
      <c r="AB6" t="e">
        <f>'SurveyRpt_20150223 (1)'!A22+"h_l!5V"</f>
        <v>#VALUE!</v>
      </c>
      <c r="AC6" t="e">
        <f>'SurveyRpt_20150223 (1)'!B22+"h_l!5W"</f>
        <v>#VALUE!</v>
      </c>
      <c r="AD6" t="e">
        <f>'SurveyRpt_20150223 (1)'!C22+"h_l!5X"</f>
        <v>#VALUE!</v>
      </c>
      <c r="AE6" t="e">
        <f>'SurveyRpt_20150223 (1)'!D22+"h_l!5Y"</f>
        <v>#VALUE!</v>
      </c>
      <c r="AF6" t="e">
        <f>'SurveyRpt_20150223 (1)'!E22+"h_l!5Z"</f>
        <v>#VALUE!</v>
      </c>
      <c r="AG6" t="e">
        <f>'SurveyRpt_20150223 (1)'!F22+"h_l!5["</f>
        <v>#VALUE!</v>
      </c>
      <c r="AH6" t="e">
        <f>'SurveyRpt_20150223 (1)'!G22+"h_l!5\"</f>
        <v>#VALUE!</v>
      </c>
      <c r="AI6" t="e">
        <f>'SurveyRpt_20150223 (1)'!H22+"h_l!5]"</f>
        <v>#VALUE!</v>
      </c>
      <c r="AJ6" t="e">
        <f>'SurveyRpt_20150223 (1)'!I22+"h_l!5^"</f>
        <v>#VALUE!</v>
      </c>
      <c r="AK6" t="e">
        <f>'SurveyRpt_20150223 (1)'!J22+"h_l!5_"</f>
        <v>#VALUE!</v>
      </c>
      <c r="AL6" t="e">
        <f>'SurveyRpt_20150223 (1)'!K22+"h_l!5`"</f>
        <v>#VALUE!</v>
      </c>
      <c r="AM6" t="e">
        <f>'SurveyRpt_20150223 (1)'!L22+"h_l!5a"</f>
        <v>#VALUE!</v>
      </c>
      <c r="AN6" t="e">
        <f>'SurveyRpt_20150223 (1)'!A23+"h_l!5b"</f>
        <v>#VALUE!</v>
      </c>
      <c r="AO6" t="e">
        <f>'SurveyRpt_20150223 (1)'!B23+"h_l!5c"</f>
        <v>#VALUE!</v>
      </c>
      <c r="AP6" t="e">
        <f>'SurveyRpt_20150223 (1)'!C23+"h_l!5d"</f>
        <v>#VALUE!</v>
      </c>
      <c r="AQ6" t="e">
        <f>'SurveyRpt_20150223 (1)'!D23+"h_l!5e"</f>
        <v>#VALUE!</v>
      </c>
      <c r="AR6" t="e">
        <f>'SurveyRpt_20150223 (1)'!E23+"h_l!5f"</f>
        <v>#VALUE!</v>
      </c>
      <c r="AS6" t="e">
        <f>'SurveyRpt_20150223 (1)'!F23+"h_l!5g"</f>
        <v>#VALUE!</v>
      </c>
      <c r="AT6" t="e">
        <f>'SurveyRpt_20150223 (1)'!G23+"h_l!5h"</f>
        <v>#VALUE!</v>
      </c>
      <c r="AU6" t="e">
        <f>'SurveyRpt_20150223 (1)'!H23+"h_l!5i"</f>
        <v>#VALUE!</v>
      </c>
      <c r="AV6" t="e">
        <f>'SurveyRpt_20150223 (1)'!I23+"h_l!5j"</f>
        <v>#VALUE!</v>
      </c>
      <c r="AW6" t="e">
        <f>'SurveyRpt_20150223 (1)'!J23+"h_l!5k"</f>
        <v>#VALUE!</v>
      </c>
      <c r="AX6" t="e">
        <f>'SurveyRpt_20150223 (1)'!K23+"h_l!5l"</f>
        <v>#VALUE!</v>
      </c>
      <c r="AY6" t="e">
        <f>'SurveyRpt_20150223 (1)'!L23+"h_l!5m"</f>
        <v>#VALUE!</v>
      </c>
      <c r="AZ6" t="e">
        <f>'SurveyRpt_20150223 (1)'!A24+"h_l!5n"</f>
        <v>#VALUE!</v>
      </c>
      <c r="BA6" t="e">
        <f>'SurveyRpt_20150223 (1)'!B24+"h_l!5o"</f>
        <v>#VALUE!</v>
      </c>
      <c r="BB6" t="e">
        <f>'SurveyRpt_20150223 (1)'!C24+"h_l!5p"</f>
        <v>#VALUE!</v>
      </c>
      <c r="BC6" t="e">
        <f>'SurveyRpt_20150223 (1)'!D24+"h_l!5q"</f>
        <v>#VALUE!</v>
      </c>
      <c r="BD6" t="e">
        <f>'SurveyRpt_20150223 (1)'!E24+"h_l!5r"</f>
        <v>#VALUE!</v>
      </c>
      <c r="BE6" t="e">
        <f>'SurveyRpt_20150223 (1)'!F24+"h_l!5s"</f>
        <v>#VALUE!</v>
      </c>
      <c r="BF6" t="e">
        <f>'SurveyRpt_20150223 (1)'!G24+"h_l!5t"</f>
        <v>#VALUE!</v>
      </c>
      <c r="BG6" t="e">
        <f>'SurveyRpt_20150223 (1)'!H24+"h_l!5u"</f>
        <v>#VALUE!</v>
      </c>
      <c r="BH6" t="e">
        <f>'SurveyRpt_20150223 (1)'!I24+"h_l!5v"</f>
        <v>#VALUE!</v>
      </c>
      <c r="BI6" t="e">
        <f>'SurveyRpt_20150223 (1)'!J24+"h_l!5w"</f>
        <v>#VALUE!</v>
      </c>
      <c r="BJ6" t="e">
        <f>'SurveyRpt_20150223 (1)'!K24+"h_l!5x"</f>
        <v>#VALUE!</v>
      </c>
      <c r="BK6" t="e">
        <f>'SurveyRpt_20150223 (1)'!L24+"h_l!5y"</f>
        <v>#VALUE!</v>
      </c>
      <c r="BL6" t="e">
        <f>'SurveyRpt_20150223 (1)'!A25+"h_l!5z"</f>
        <v>#VALUE!</v>
      </c>
      <c r="BM6" t="e">
        <f>'SurveyRpt_20150223 (1)'!B25+"h_l!5{"</f>
        <v>#VALUE!</v>
      </c>
      <c r="BN6" t="e">
        <f>'SurveyRpt_20150223 (1)'!C25+"h_l!5|"</f>
        <v>#VALUE!</v>
      </c>
      <c r="BO6" t="e">
        <f>'SurveyRpt_20150223 (1)'!D25+"h_l!5}"</f>
        <v>#VALUE!</v>
      </c>
      <c r="BP6" t="e">
        <f>'SurveyRpt_20150223 (1)'!E25+"h_l!5~"</f>
        <v>#VALUE!</v>
      </c>
      <c r="BQ6" t="e">
        <f>'SurveyRpt_20150223 (1)'!F25+"h_l!6#"</f>
        <v>#VALUE!</v>
      </c>
      <c r="BR6" t="e">
        <f>'SurveyRpt_20150223 (1)'!G25+"h_l!6$"</f>
        <v>#VALUE!</v>
      </c>
      <c r="BS6" t="e">
        <f>'SurveyRpt_20150223 (1)'!H25+"h_l!6%"</f>
        <v>#VALUE!</v>
      </c>
      <c r="BT6" t="e">
        <f>'SurveyRpt_20150223 (1)'!I25+"h_l!6&amp;"</f>
        <v>#VALUE!</v>
      </c>
      <c r="BU6" t="e">
        <f>'SurveyRpt_20150223 (1)'!J25+"h_l!6'"</f>
        <v>#VALUE!</v>
      </c>
      <c r="BV6" t="e">
        <f>'SurveyRpt_20150223 (1)'!K25+"h_l!6("</f>
        <v>#VALUE!</v>
      </c>
      <c r="BW6" t="e">
        <f>'SurveyRpt_20150223 (1)'!L25+"h_l!6)"</f>
        <v>#VALUE!</v>
      </c>
      <c r="BX6" t="e">
        <f>'SurveyRpt_20150223 (1)'!A26+"h_l!6."</f>
        <v>#VALUE!</v>
      </c>
      <c r="BY6" t="e">
        <f>'SurveyRpt_20150223 (1)'!B26+"h_l!6/"</f>
        <v>#VALUE!</v>
      </c>
      <c r="BZ6" t="e">
        <f>'SurveyRpt_20150223 (1)'!C26+"h_l!60"</f>
        <v>#VALUE!</v>
      </c>
      <c r="CA6" t="e">
        <f>'SurveyRpt_20150223 (1)'!D26+"h_l!61"</f>
        <v>#VALUE!</v>
      </c>
      <c r="CB6" t="e">
        <f>'SurveyRpt_20150223 (1)'!E26+"h_l!62"</f>
        <v>#VALUE!</v>
      </c>
      <c r="CC6" t="e">
        <f>'SurveyRpt_20150223 (1)'!F26+"h_l!63"</f>
        <v>#VALUE!</v>
      </c>
      <c r="CD6" t="e">
        <f>'SurveyRpt_20150223 (1)'!G26+"h_l!64"</f>
        <v>#VALUE!</v>
      </c>
      <c r="CE6" t="e">
        <f>'SurveyRpt_20150223 (1)'!H26+"h_l!65"</f>
        <v>#VALUE!</v>
      </c>
      <c r="CF6" t="e">
        <f>'SurveyRpt_20150223 (1)'!I26+"h_l!66"</f>
        <v>#VALUE!</v>
      </c>
      <c r="CG6" t="e">
        <f>'SurveyRpt_20150223 (1)'!J26+"h_l!67"</f>
        <v>#VALUE!</v>
      </c>
      <c r="CH6" t="e">
        <f>'SurveyRpt_20150223 (1)'!K26+"h_l!68"</f>
        <v>#VALUE!</v>
      </c>
      <c r="CI6" t="e">
        <f>'SurveyRpt_20150223 (1)'!L26+"h_l!69"</f>
        <v>#VALUE!</v>
      </c>
      <c r="CJ6" t="e">
        <f>'SurveyRpt_20150223 (1)'!A27+"h_l!6:"</f>
        <v>#VALUE!</v>
      </c>
      <c r="CK6" t="e">
        <f>'SurveyRpt_20150223 (1)'!B27+"h_l!6;"</f>
        <v>#VALUE!</v>
      </c>
      <c r="CL6" t="e">
        <f>'SurveyRpt_20150223 (1)'!C27+"h_l!6&lt;"</f>
        <v>#VALUE!</v>
      </c>
      <c r="CM6" t="e">
        <f>'SurveyRpt_20150223 (1)'!D27+"h_l!6="</f>
        <v>#VALUE!</v>
      </c>
      <c r="CN6" t="e">
        <f>'SurveyRpt_20150223 (1)'!E27+"h_l!6&gt;"</f>
        <v>#VALUE!</v>
      </c>
      <c r="CO6" t="e">
        <f>'SurveyRpt_20150223 (1)'!F27+"h_l!6?"</f>
        <v>#VALUE!</v>
      </c>
      <c r="CP6" t="e">
        <f>'SurveyRpt_20150223 (1)'!G27+"h_l!6@"</f>
        <v>#VALUE!</v>
      </c>
      <c r="CQ6" t="e">
        <f>'SurveyRpt_20150223 (1)'!H27+"h_l!6A"</f>
        <v>#VALUE!</v>
      </c>
      <c r="CR6" t="e">
        <f>'SurveyRpt_20150223 (1)'!I27+"h_l!6B"</f>
        <v>#VALUE!</v>
      </c>
      <c r="CS6" t="e">
        <f>'SurveyRpt_20150223 (1)'!J27+"h_l!6C"</f>
        <v>#VALUE!</v>
      </c>
      <c r="CT6" t="e">
        <f>'SurveyRpt_20150223 (1)'!K27+"h_l!6D"</f>
        <v>#VALUE!</v>
      </c>
      <c r="CU6" t="e">
        <f>'SurveyRpt_20150223 (1)'!L27+"h_l!6E"</f>
        <v>#VALUE!</v>
      </c>
      <c r="CV6" t="e">
        <f>'SurveyRpt_20150223 (1)'!A28+"h_l!6F"</f>
        <v>#VALUE!</v>
      </c>
      <c r="CW6" t="e">
        <f>'SurveyRpt_20150223 (1)'!B28+"h_l!6G"</f>
        <v>#VALUE!</v>
      </c>
      <c r="CX6" s="24" t="e">
        <f>'SurveyRpt_20150223 (1)'!C28+"h_l!6H"</f>
        <v>#VALUE!</v>
      </c>
      <c r="CY6" t="e">
        <f>'SurveyRpt_20150223 (1)'!D28+"h_l!6I"</f>
        <v>#VALUE!</v>
      </c>
      <c r="CZ6" t="e">
        <f>'SurveyRpt_20150223 (1)'!E28+"h_l!6J"</f>
        <v>#VALUE!</v>
      </c>
      <c r="DA6" t="e">
        <f>'SurveyRpt_20150223 (1)'!F28+"h_l!6K"</f>
        <v>#VALUE!</v>
      </c>
      <c r="DB6" t="e">
        <f>'SurveyRpt_20150223 (1)'!G28+"h_l!6L"</f>
        <v>#VALUE!</v>
      </c>
      <c r="DC6" t="e">
        <f>'SurveyRpt_20150223 (1)'!H28+"h_l!6M"</f>
        <v>#VALUE!</v>
      </c>
      <c r="DD6" t="e">
        <f>'SurveyRpt_20150223 (1)'!I28+"h_l!6N"</f>
        <v>#VALUE!</v>
      </c>
      <c r="DE6" t="e">
        <f>'SurveyRpt_20150223 (1)'!J28+"h_l!6O"</f>
        <v>#VALUE!</v>
      </c>
      <c r="DF6" t="e">
        <f>'SurveyRpt_20150223 (1)'!K28+"h_l!6P"</f>
        <v>#VALUE!</v>
      </c>
      <c r="DG6" t="e">
        <f>'SurveyRpt_20150223 (1)'!L28+"h_l!6Q"</f>
        <v>#VALUE!</v>
      </c>
      <c r="DH6" t="e">
        <f>'SurveyRpt_20150223 (1)'!A29+"h_l!6R"</f>
        <v>#VALUE!</v>
      </c>
      <c r="DI6" t="e">
        <f>'SurveyRpt_20150223 (1)'!B29+"h_l!6S"</f>
        <v>#VALUE!</v>
      </c>
      <c r="DJ6" s="24" t="e">
        <f>'SurveyRpt_20150223 (1)'!C29+"h_l!6T"</f>
        <v>#VALUE!</v>
      </c>
      <c r="DK6" t="e">
        <f>'SurveyRpt_20150223 (1)'!D29+"h_l!6U"</f>
        <v>#VALUE!</v>
      </c>
      <c r="DL6" t="e">
        <f>'SurveyRpt_20150223 (1)'!E29+"h_l!6V"</f>
        <v>#VALUE!</v>
      </c>
      <c r="DM6" t="e">
        <f>'SurveyRpt_20150223 (1)'!F29+"h_l!6W"</f>
        <v>#VALUE!</v>
      </c>
      <c r="DN6" t="e">
        <f>'SurveyRpt_20150223 (1)'!G29+"h_l!6X"</f>
        <v>#VALUE!</v>
      </c>
      <c r="DO6" t="e">
        <f>'SurveyRpt_20150223 (1)'!H29+"h_l!6Y"</f>
        <v>#VALUE!</v>
      </c>
      <c r="DP6" t="e">
        <f>'SurveyRpt_20150223 (1)'!I29+"h_l!6Z"</f>
        <v>#VALUE!</v>
      </c>
      <c r="DQ6" t="e">
        <f>'SurveyRpt_20150223 (1)'!J29+"h_l!6["</f>
        <v>#VALUE!</v>
      </c>
      <c r="DR6" t="e">
        <f>'SurveyRpt_20150223 (1)'!K29+"h_l!6\"</f>
        <v>#VALUE!</v>
      </c>
      <c r="DS6" t="e">
        <f>'SurveyRpt_20150223 (1)'!L29+"h_l!6]"</f>
        <v>#VALUE!</v>
      </c>
      <c r="DT6" t="e">
        <f>'SurveyRpt_20150223 (1)'!A30+"h_l!6^"</f>
        <v>#VALUE!</v>
      </c>
      <c r="DU6" t="e">
        <f>'SurveyRpt_20150223 (1)'!B30+"h_l!6_"</f>
        <v>#VALUE!</v>
      </c>
      <c r="DV6" s="24" t="e">
        <f>'SurveyRpt_20150223 (1)'!C30+"h_l!6`"</f>
        <v>#VALUE!</v>
      </c>
      <c r="DW6" t="e">
        <f>'SurveyRpt_20150223 (1)'!D30+"h_l!6a"</f>
        <v>#VALUE!</v>
      </c>
      <c r="DX6" t="e">
        <f>'SurveyRpt_20150223 (1)'!E30+"h_l!6b"</f>
        <v>#VALUE!</v>
      </c>
      <c r="DY6" t="e">
        <f>'SurveyRpt_20150223 (1)'!F30+"h_l!6c"</f>
        <v>#VALUE!</v>
      </c>
      <c r="DZ6" t="e">
        <f>'SurveyRpt_20150223 (1)'!G30+"h_l!6d"</f>
        <v>#VALUE!</v>
      </c>
      <c r="EA6" t="e">
        <f>'SurveyRpt_20150223 (1)'!H30+"h_l!6e"</f>
        <v>#VALUE!</v>
      </c>
      <c r="EB6" t="e">
        <f>'SurveyRpt_20150223 (1)'!I30+"h_l!6f"</f>
        <v>#VALUE!</v>
      </c>
      <c r="EC6" t="e">
        <f>'SurveyRpt_20150223 (1)'!J30+"h_l!6g"</f>
        <v>#VALUE!</v>
      </c>
      <c r="ED6" t="e">
        <f>'SurveyRpt_20150223 (1)'!K30+"h_l!6h"</f>
        <v>#VALUE!</v>
      </c>
      <c r="EE6" t="e">
        <f>'SurveyRpt_20150223 (1)'!L30+"h_l!6i"</f>
        <v>#VALUE!</v>
      </c>
      <c r="EF6" t="e">
        <f>'SurveyRpt_20150223 (1)'!A31+"h_l!6j"</f>
        <v>#VALUE!</v>
      </c>
      <c r="EG6" t="e">
        <f>'SurveyRpt_20150223 (1)'!B31+"h_l!6k"</f>
        <v>#VALUE!</v>
      </c>
      <c r="EH6" t="e">
        <f>'SurveyRpt_20150223 (1)'!C31+"h_l!6l"</f>
        <v>#VALUE!</v>
      </c>
      <c r="EI6" t="e">
        <f>'SurveyRpt_20150223 (1)'!D31+"h_l!6m"</f>
        <v>#VALUE!</v>
      </c>
      <c r="EJ6" t="e">
        <f>'SurveyRpt_20150223 (1)'!E31+"h_l!6n"</f>
        <v>#VALUE!</v>
      </c>
      <c r="EK6" t="e">
        <f>'SurveyRpt_20150223 (1)'!F31+"h_l!6o"</f>
        <v>#VALUE!</v>
      </c>
      <c r="EL6" t="e">
        <f>'SurveyRpt_20150223 (1)'!G31+"h_l!6p"</f>
        <v>#VALUE!</v>
      </c>
      <c r="EM6" t="e">
        <f>'SurveyRpt_20150223 (1)'!H31+"h_l!6q"</f>
        <v>#VALUE!</v>
      </c>
      <c r="EN6" t="e">
        <f>'SurveyRpt_20150223 (1)'!I31+"h_l!6r"</f>
        <v>#VALUE!</v>
      </c>
      <c r="EO6" t="e">
        <f>'SurveyRpt_20150223 (1)'!J31+"h_l!6s"</f>
        <v>#VALUE!</v>
      </c>
      <c r="EP6" t="e">
        <f>'SurveyRpt_20150223 (1)'!K31+"h_l!6t"</f>
        <v>#VALUE!</v>
      </c>
      <c r="EQ6" t="e">
        <f>'SurveyRpt_20150223 (1)'!L31+"h_l!6u"</f>
        <v>#VALUE!</v>
      </c>
      <c r="ER6" t="e">
        <f>'SurveyRpt_20150223 (1)'!A32+"h_l!6v"</f>
        <v>#VALUE!</v>
      </c>
      <c r="ES6" t="e">
        <f>'SurveyRpt_20150223 (1)'!B32+"h_l!6w"</f>
        <v>#VALUE!</v>
      </c>
      <c r="ET6" t="e">
        <f>'SurveyRpt_20150223 (1)'!C32+"h_l!6x"</f>
        <v>#VALUE!</v>
      </c>
      <c r="EU6" t="e">
        <f>'SurveyRpt_20150223 (1)'!D32+"h_l!6y"</f>
        <v>#VALUE!</v>
      </c>
      <c r="EV6" t="e">
        <f>'SurveyRpt_20150223 (1)'!E32+"h_l!6z"</f>
        <v>#VALUE!</v>
      </c>
      <c r="EW6" t="e">
        <f>'SurveyRpt_20150223 (1)'!F32+"h_l!6{"</f>
        <v>#VALUE!</v>
      </c>
      <c r="EX6" t="e">
        <f>'SurveyRpt_20150223 (1)'!G32+"h_l!6|"</f>
        <v>#VALUE!</v>
      </c>
      <c r="EY6" t="e">
        <f>'SurveyRpt_20150223 (1)'!H32+"h_l!6}"</f>
        <v>#VALUE!</v>
      </c>
      <c r="EZ6" t="e">
        <f>'SurveyRpt_20150223 (1)'!I32+"h_l!6~"</f>
        <v>#VALUE!</v>
      </c>
      <c r="FA6" t="e">
        <f>'SurveyRpt_20150223 (1)'!J32+"h_l!7#"</f>
        <v>#VALUE!</v>
      </c>
      <c r="FB6" t="e">
        <f>'SurveyRpt_20150223 (1)'!K32+"h_l!7$"</f>
        <v>#VALUE!</v>
      </c>
      <c r="FC6" t="e">
        <f>'SurveyRpt_20150223 (1)'!L32+"h_l!7%"</f>
        <v>#VALUE!</v>
      </c>
      <c r="FD6" t="e">
        <f>'SurveyRpt_20150223 (1)'!A33+"h_l!7&amp;"</f>
        <v>#VALUE!</v>
      </c>
      <c r="FE6" t="e">
        <f>'SurveyRpt_20150223 (1)'!B33+"h_l!7'"</f>
        <v>#VALUE!</v>
      </c>
      <c r="FF6" t="e">
        <f>'SurveyRpt_20150223 (1)'!C33+"h_l!7("</f>
        <v>#VALUE!</v>
      </c>
      <c r="FG6" t="e">
        <f>'SurveyRpt_20150223 (1)'!D33+"h_l!7)"</f>
        <v>#VALUE!</v>
      </c>
      <c r="FH6" t="e">
        <f>'SurveyRpt_20150223 (1)'!E33+"h_l!7."</f>
        <v>#VALUE!</v>
      </c>
      <c r="FI6" t="e">
        <f>'SurveyRpt_20150223 (1)'!F33+"h_l!7/"</f>
        <v>#VALUE!</v>
      </c>
      <c r="FJ6" t="e">
        <f>'SurveyRpt_20150223 (1)'!G33+"h_l!70"</f>
        <v>#VALUE!</v>
      </c>
      <c r="FK6" t="e">
        <f>'SurveyRpt_20150223 (1)'!H33+"h_l!71"</f>
        <v>#VALUE!</v>
      </c>
      <c r="FL6" t="e">
        <f>'SurveyRpt_20150223 (1)'!I33+"h_l!72"</f>
        <v>#VALUE!</v>
      </c>
      <c r="FM6" t="e">
        <f>'SurveyRpt_20150223 (1)'!J33+"h_l!73"</f>
        <v>#VALUE!</v>
      </c>
      <c r="FN6" t="e">
        <f>'SurveyRpt_20150223 (1)'!K33+"h_l!74"</f>
        <v>#VALUE!</v>
      </c>
      <c r="FO6" t="e">
        <f>'SurveyRpt_20150223 (1)'!L33+"h_l!75"</f>
        <v>#VALUE!</v>
      </c>
      <c r="FP6" t="e">
        <f>'SurveyRpt_20150223 (1)'!A34+"h_l!76"</f>
        <v>#VALUE!</v>
      </c>
      <c r="FQ6" t="e">
        <f>'SurveyRpt_20150223 (1)'!B34+"h_l!77"</f>
        <v>#VALUE!</v>
      </c>
      <c r="FR6" t="e">
        <f>'SurveyRpt_20150223 (1)'!C34+"h_l!78"</f>
        <v>#VALUE!</v>
      </c>
      <c r="FS6" t="e">
        <f>'SurveyRpt_20150223 (1)'!D34+"h_l!79"</f>
        <v>#VALUE!</v>
      </c>
      <c r="FT6" t="e">
        <f>'SurveyRpt_20150223 (1)'!E34+"h_l!7:"</f>
        <v>#VALUE!</v>
      </c>
      <c r="FU6" t="e">
        <f>'SurveyRpt_20150223 (1)'!F34+"h_l!7;"</f>
        <v>#VALUE!</v>
      </c>
      <c r="FV6" t="e">
        <f>'SurveyRpt_20150223 (1)'!G34+"h_l!7&lt;"</f>
        <v>#VALUE!</v>
      </c>
      <c r="FW6" t="e">
        <f>'SurveyRpt_20150223 (1)'!H34+"h_l!7="</f>
        <v>#VALUE!</v>
      </c>
      <c r="FX6" t="e">
        <f>'SurveyRpt_20150223 (1)'!I34+"h_l!7&gt;"</f>
        <v>#VALUE!</v>
      </c>
      <c r="FY6" t="e">
        <f>'SurveyRpt_20150223 (1)'!J34+"h_l!7?"</f>
        <v>#VALUE!</v>
      </c>
      <c r="FZ6" t="e">
        <f>'SurveyRpt_20150223 (1)'!K34+"h_l!7@"</f>
        <v>#VALUE!</v>
      </c>
      <c r="GA6" t="e">
        <f>'SurveyRpt_20150223 (1)'!L34+"h_l!7A"</f>
        <v>#VALUE!</v>
      </c>
      <c r="GB6" t="e">
        <f>'SurveyRpt_20150223 (1)'!M34+"h_l!7B"</f>
        <v>#VALUE!</v>
      </c>
      <c r="GC6" t="e">
        <f>'SurveyRpt_20150223 (1)'!N34+"h_l!7C"</f>
        <v>#VALUE!</v>
      </c>
      <c r="GD6" t="e">
        <f>'SurveyRpt_20150223 (1)'!O34+"h_l!7D"</f>
        <v>#VALUE!</v>
      </c>
      <c r="GE6" t="e">
        <f>'SurveyRpt_20150223 (1)'!P34+"h_l!7E"</f>
        <v>#VALUE!</v>
      </c>
      <c r="GF6" t="e">
        <f>'SurveyRpt_20150223 (1)'!Q34+"h_l!7F"</f>
        <v>#VALUE!</v>
      </c>
      <c r="GG6" t="e">
        <f>'SurveyRpt_20150223 (1)'!R34+"h_l!7G"</f>
        <v>#VALUE!</v>
      </c>
      <c r="GH6" t="e">
        <f>'SurveyRpt_20150223 (1)'!S34+"h_l!7H"</f>
        <v>#VALUE!</v>
      </c>
      <c r="GI6" t="e">
        <f>'SurveyRpt_20150223 (1)'!T34+"h_l!7I"</f>
        <v>#VALUE!</v>
      </c>
      <c r="GJ6" t="e">
        <f>'SurveyRpt_20150223 (1)'!U34+"h_l!7J"</f>
        <v>#VALUE!</v>
      </c>
      <c r="GK6" t="e">
        <f>'SurveyRpt_20150223 (1)'!V34+"h_l!7K"</f>
        <v>#VALUE!</v>
      </c>
      <c r="GL6" t="e">
        <f>'SurveyRpt_20150223 (1)'!W34+"h_l!7L"</f>
        <v>#VALUE!</v>
      </c>
      <c r="GM6" t="e">
        <f>'SurveyRpt_20150223 (1)'!X34+"h_l!7M"</f>
        <v>#VALUE!</v>
      </c>
      <c r="GN6" t="e">
        <f>'SurveyRpt_20150223 (1)'!Y34+"h_l!7N"</f>
        <v>#VALUE!</v>
      </c>
      <c r="GO6" t="e">
        <f>'SurveyRpt_20150223 (1)'!Z34+"h_l!7O"</f>
        <v>#VALUE!</v>
      </c>
      <c r="GP6" t="e">
        <f>'SurveyRpt_20150223 (1)'!AA34+"h_l!7P"</f>
        <v>#VALUE!</v>
      </c>
      <c r="GQ6" t="e">
        <f>'SurveyRpt_20150223 (1)'!AB34+"h_l!7Q"</f>
        <v>#VALUE!</v>
      </c>
      <c r="GR6" t="e">
        <f>'SurveyRpt_20150223 (1)'!AC34+"h_l!7R"</f>
        <v>#VALUE!</v>
      </c>
      <c r="GS6" t="e">
        <f>'SurveyRpt_20150223 (1)'!AD34+"h_l!7S"</f>
        <v>#VALUE!</v>
      </c>
      <c r="GT6" t="e">
        <f>'SurveyRpt_20150223 (1)'!AE34+"h_l!7T"</f>
        <v>#VALUE!</v>
      </c>
      <c r="GU6" t="e">
        <f>'SurveyRpt_20150223 (1)'!AF34+"h_l!7U"</f>
        <v>#VALUE!</v>
      </c>
      <c r="GV6" t="e">
        <f>'SurveyRpt_20150223 (1)'!AG34+"h_l!7V"</f>
        <v>#VALUE!</v>
      </c>
      <c r="GW6" t="e">
        <f>'SurveyRpt_20150223 (1)'!AH34+"h_l!7W"</f>
        <v>#VALUE!</v>
      </c>
      <c r="GX6" t="e">
        <f>'SurveyRpt_20150223 (1)'!AI34+"h_l!7X"</f>
        <v>#VALUE!</v>
      </c>
      <c r="GY6" t="e">
        <f>'SurveyRpt_20150223 (1)'!AJ34+"h_l!7Y"</f>
        <v>#VALUE!</v>
      </c>
      <c r="GZ6" t="e">
        <f>'SurveyRpt_20150223 (1)'!AK34+"h_l!7Z"</f>
        <v>#VALUE!</v>
      </c>
      <c r="HA6" t="e">
        <f>'SurveyRpt_20150223 (1)'!AL34+"h_l!7["</f>
        <v>#VALUE!</v>
      </c>
      <c r="HB6" t="e">
        <f>'SurveyRpt_20150223 (1)'!AM34+"h_l!7\"</f>
        <v>#VALUE!</v>
      </c>
      <c r="HC6" t="e">
        <f>'SurveyRpt_20150223 (1)'!AN34+"h_l!7]"</f>
        <v>#VALUE!</v>
      </c>
      <c r="HD6" t="e">
        <f>'SurveyRpt_20150223 (1)'!A35+"h_l!7^"</f>
        <v>#VALUE!</v>
      </c>
      <c r="HE6" s="25" t="e">
        <f>'SurveyRpt_20150223 (1)'!B35+"h_l!7_"</f>
        <v>#VALUE!</v>
      </c>
      <c r="HF6" t="e">
        <f>'SurveyRpt_20150223 (1)'!C35+"h_l!7`"</f>
        <v>#VALUE!</v>
      </c>
      <c r="HG6" s="25" t="e">
        <f>'SurveyRpt_20150223 (1)'!D35+"h_l!7a"</f>
        <v>#VALUE!</v>
      </c>
      <c r="HH6" t="e">
        <f>'SurveyRpt_20150223 (1)'!E35+"h_l!7b"</f>
        <v>#VALUE!</v>
      </c>
      <c r="HI6" t="e">
        <f>'SurveyRpt_20150223 (1)'!F35+"h_l!7c"</f>
        <v>#VALUE!</v>
      </c>
      <c r="HJ6" t="e">
        <f>'SurveyRpt_20150223 (1)'!G35+"h_l!7d"</f>
        <v>#VALUE!</v>
      </c>
      <c r="HK6" t="e">
        <f>'SurveyRpt_20150223 (1)'!H35+"h_l!7e"</f>
        <v>#VALUE!</v>
      </c>
      <c r="HL6" t="e">
        <f>'SurveyRpt_20150223 (1)'!I35+"h_l!7f"</f>
        <v>#VALUE!</v>
      </c>
      <c r="HM6" t="e">
        <f>'SurveyRpt_20150223 (1)'!J35+"h_l!7g"</f>
        <v>#VALUE!</v>
      </c>
      <c r="HN6" t="e">
        <f>'SurveyRpt_20150223 (1)'!K35+"h_l!7h"</f>
        <v>#VALUE!</v>
      </c>
      <c r="HO6" t="e">
        <f>'SurveyRpt_20150223 (1)'!L35+"h_l!7i"</f>
        <v>#VALUE!</v>
      </c>
      <c r="HP6" t="e">
        <f>'SurveyRpt_20150223 (1)'!M35+"h_l!7j"</f>
        <v>#VALUE!</v>
      </c>
      <c r="HQ6" t="e">
        <f>'SurveyRpt_20150223 (1)'!N35+"h_l!7k"</f>
        <v>#VALUE!</v>
      </c>
      <c r="HR6" t="e">
        <f>'SurveyRpt_20150223 (1)'!O35+"h_l!7l"</f>
        <v>#VALUE!</v>
      </c>
      <c r="HS6" t="e">
        <f>'SurveyRpt_20150223 (1)'!P35+"h_l!7m"</f>
        <v>#VALUE!</v>
      </c>
      <c r="HT6" t="e">
        <f>'SurveyRpt_20150223 (1)'!Q35+"h_l!7n"</f>
        <v>#VALUE!</v>
      </c>
      <c r="HU6" t="e">
        <f>'SurveyRpt_20150223 (1)'!R35+"h_l!7o"</f>
        <v>#VALUE!</v>
      </c>
      <c r="HV6" t="e">
        <f>'SurveyRpt_20150223 (1)'!S35+"h_l!7p"</f>
        <v>#VALUE!</v>
      </c>
      <c r="HW6" t="e">
        <f>'SurveyRpt_20150223 (1)'!T35+"h_l!7q"</f>
        <v>#VALUE!</v>
      </c>
      <c r="HX6" t="e">
        <f>'SurveyRpt_20150223 (1)'!U35+"h_l!7r"</f>
        <v>#VALUE!</v>
      </c>
      <c r="HY6" t="e">
        <f>'SurveyRpt_20150223 (1)'!V35+"h_l!7s"</f>
        <v>#VALUE!</v>
      </c>
      <c r="HZ6" t="e">
        <f>'SurveyRpt_20150223 (1)'!W35+"h_l!7t"</f>
        <v>#VALUE!</v>
      </c>
      <c r="IA6" t="e">
        <f>'SurveyRpt_20150223 (1)'!X35+"h_l!7u"</f>
        <v>#VALUE!</v>
      </c>
      <c r="IB6" t="e">
        <f>'SurveyRpt_20150223 (1)'!Y35+"h_l!7v"</f>
        <v>#VALUE!</v>
      </c>
      <c r="IC6" t="e">
        <f>'SurveyRpt_20150223 (1)'!Z35+"h_l!7w"</f>
        <v>#VALUE!</v>
      </c>
      <c r="ID6" t="e">
        <f>'SurveyRpt_20150223 (1)'!AA35+"h_l!7x"</f>
        <v>#VALUE!</v>
      </c>
      <c r="IE6" t="e">
        <f>'SurveyRpt_20150223 (1)'!AB35+"h_l!7y"</f>
        <v>#VALUE!</v>
      </c>
      <c r="IF6" t="e">
        <f>'SurveyRpt_20150223 (1)'!AC35+"h_l!7z"</f>
        <v>#VALUE!</v>
      </c>
      <c r="IG6" t="e">
        <f>'SurveyRpt_20150223 (1)'!AD35+"h_l!7{"</f>
        <v>#VALUE!</v>
      </c>
      <c r="IH6" t="e">
        <f>'SurveyRpt_20150223 (1)'!AE35+"h_l!7|"</f>
        <v>#VALUE!</v>
      </c>
      <c r="II6" t="e">
        <f>'SurveyRpt_20150223 (1)'!AF35+"h_l!7}"</f>
        <v>#VALUE!</v>
      </c>
      <c r="IJ6" t="e">
        <f>'SurveyRpt_20150223 (1)'!AG35+"h_l!7~"</f>
        <v>#VALUE!</v>
      </c>
      <c r="IK6" t="e">
        <f>'SurveyRpt_20150223 (1)'!AH35+"h_l!8#"</f>
        <v>#VALUE!</v>
      </c>
      <c r="IL6" t="e">
        <f>'SurveyRpt_20150223 (1)'!AI35+"h_l!8$"</f>
        <v>#VALUE!</v>
      </c>
      <c r="IM6" t="e">
        <f>'SurveyRpt_20150223 (1)'!AJ35+"h_l!8%"</f>
        <v>#VALUE!</v>
      </c>
      <c r="IN6" t="e">
        <f>'SurveyRpt_20150223 (1)'!AK35+"h_l!8&amp;"</f>
        <v>#VALUE!</v>
      </c>
      <c r="IO6" t="e">
        <f>'SurveyRpt_20150223 (1)'!AL35+"h_l!8'"</f>
        <v>#VALUE!</v>
      </c>
      <c r="IP6" t="e">
        <f>'SurveyRpt_20150223 (1)'!AM35+"h_l!8("</f>
        <v>#VALUE!</v>
      </c>
      <c r="IQ6" t="e">
        <f>'SurveyRpt_20150223 (1)'!AN35+"h_l!8)"</f>
        <v>#VALUE!</v>
      </c>
      <c r="IR6" t="e">
        <f>'SurveyRpt_20150223 (1)'!A36+"h_l!8."</f>
        <v>#VALUE!</v>
      </c>
      <c r="IS6" s="25" t="e">
        <f>'SurveyRpt_20150223 (1)'!B36+"h_l!8/"</f>
        <v>#VALUE!</v>
      </c>
      <c r="IT6" t="e">
        <f>'SurveyRpt_20150223 (1)'!C36+"h_l!80"</f>
        <v>#VALUE!</v>
      </c>
      <c r="IU6" s="25" t="e">
        <f>'SurveyRpt_20150223 (1)'!D36+"h_l!81"</f>
        <v>#VALUE!</v>
      </c>
      <c r="IV6" t="e">
        <f>'SurveyRpt_20150223 (1)'!E36+"h_l!82"</f>
        <v>#VALUE!</v>
      </c>
    </row>
    <row r="7" spans="1:256" x14ac:dyDescent="0.25">
      <c r="F7" t="e">
        <f>'SurveyRpt_20150223 (1)'!F36+"h_l!83"</f>
        <v>#VALUE!</v>
      </c>
      <c r="G7" t="e">
        <f>'SurveyRpt_20150223 (1)'!G36+"h_l!84"</f>
        <v>#VALUE!</v>
      </c>
      <c r="H7" t="e">
        <f>'SurveyRpt_20150223 (1)'!H36+"h_l!85"</f>
        <v>#VALUE!</v>
      </c>
      <c r="I7" t="e">
        <f>'SurveyRpt_20150223 (1)'!I36+"h_l!86"</f>
        <v>#VALUE!</v>
      </c>
      <c r="J7" t="e">
        <f>'SurveyRpt_20150223 (1)'!J36+"h_l!87"</f>
        <v>#VALUE!</v>
      </c>
      <c r="K7" t="e">
        <f>'SurveyRpt_20150223 (1)'!K36+"h_l!88"</f>
        <v>#VALUE!</v>
      </c>
      <c r="L7" t="e">
        <f>'SurveyRpt_20150223 (1)'!L36+"h_l!89"</f>
        <v>#VALUE!</v>
      </c>
      <c r="M7" t="e">
        <f>'SurveyRpt_20150223 (1)'!M36+"h_l!8:"</f>
        <v>#VALUE!</v>
      </c>
      <c r="N7" t="e">
        <f>'SurveyRpt_20150223 (1)'!N36+"h_l!8;"</f>
        <v>#VALUE!</v>
      </c>
      <c r="O7" t="e">
        <f>'SurveyRpt_20150223 (1)'!O36+"h_l!8&lt;"</f>
        <v>#VALUE!</v>
      </c>
      <c r="P7" t="e">
        <f>'SurveyRpt_20150223 (1)'!P36+"h_l!8="</f>
        <v>#VALUE!</v>
      </c>
      <c r="Q7" t="e">
        <f>'SurveyRpt_20150223 (1)'!Q36+"h_l!8&gt;"</f>
        <v>#VALUE!</v>
      </c>
      <c r="R7" t="e">
        <f>'SurveyRpt_20150223 (1)'!R36+"h_l!8?"</f>
        <v>#VALUE!</v>
      </c>
      <c r="S7" t="e">
        <f>'SurveyRpt_20150223 (1)'!S36+"h_l!8@"</f>
        <v>#VALUE!</v>
      </c>
      <c r="T7" t="e">
        <f>'SurveyRpt_20150223 (1)'!T36+"h_l!8A"</f>
        <v>#VALUE!</v>
      </c>
      <c r="U7" t="e">
        <f>'SurveyRpt_20150223 (1)'!U36+"h_l!8B"</f>
        <v>#VALUE!</v>
      </c>
      <c r="V7" t="e">
        <f>'SurveyRpt_20150223 (1)'!V36+"h_l!8C"</f>
        <v>#VALUE!</v>
      </c>
      <c r="W7" t="e">
        <f>'SurveyRpt_20150223 (1)'!W36+"h_l!8D"</f>
        <v>#VALUE!</v>
      </c>
      <c r="X7" t="e">
        <f>'SurveyRpt_20150223 (1)'!X36+"h_l!8E"</f>
        <v>#VALUE!</v>
      </c>
      <c r="Y7" t="e">
        <f>'SurveyRpt_20150223 (1)'!Y36+"h_l!8F"</f>
        <v>#VALUE!</v>
      </c>
      <c r="Z7" t="e">
        <f>'SurveyRpt_20150223 (1)'!Z36+"h_l!8G"</f>
        <v>#VALUE!</v>
      </c>
      <c r="AA7" t="e">
        <f>'SurveyRpt_20150223 (1)'!AA36+"h_l!8H"</f>
        <v>#VALUE!</v>
      </c>
      <c r="AB7" t="e">
        <f>'SurveyRpt_20150223 (1)'!AB36+"h_l!8I"</f>
        <v>#VALUE!</v>
      </c>
      <c r="AC7" t="e">
        <f>'SurveyRpt_20150223 (1)'!AC36+"h_l!8J"</f>
        <v>#VALUE!</v>
      </c>
      <c r="AD7" t="e">
        <f>'SurveyRpt_20150223 (1)'!AD36+"h_l!8K"</f>
        <v>#VALUE!</v>
      </c>
      <c r="AE7" t="e">
        <f>'SurveyRpt_20150223 (1)'!AE36+"h_l!8L"</f>
        <v>#VALUE!</v>
      </c>
      <c r="AF7" t="e">
        <f>'SurveyRpt_20150223 (1)'!AF36+"h_l!8M"</f>
        <v>#VALUE!</v>
      </c>
      <c r="AG7" t="e">
        <f>'SurveyRpt_20150223 (1)'!AG36+"h_l!8N"</f>
        <v>#VALUE!</v>
      </c>
      <c r="AH7" t="e">
        <f>'SurveyRpt_20150223 (1)'!AH36+"h_l!8O"</f>
        <v>#VALUE!</v>
      </c>
      <c r="AI7" t="e">
        <f>'SurveyRpt_20150223 (1)'!AI36+"h_l!8P"</f>
        <v>#VALUE!</v>
      </c>
      <c r="AJ7" t="e">
        <f>'SurveyRpt_20150223 (1)'!AJ36+"h_l!8Q"</f>
        <v>#VALUE!</v>
      </c>
      <c r="AK7" t="e">
        <f>'SurveyRpt_20150223 (1)'!AK36+"h_l!8R"</f>
        <v>#VALUE!</v>
      </c>
      <c r="AL7" t="e">
        <f>'SurveyRpt_20150223 (1)'!AL36+"h_l!8S"</f>
        <v>#VALUE!</v>
      </c>
      <c r="AM7" t="e">
        <f>'SurveyRpt_20150223 (1)'!AM36+"h_l!8T"</f>
        <v>#VALUE!</v>
      </c>
      <c r="AN7" t="e">
        <f>'SurveyRpt_20150223 (1)'!AN36+"h_l!8U"</f>
        <v>#VALUE!</v>
      </c>
      <c r="AO7" t="e">
        <f>'SurveyRpt_20150223 (1)'!A37+"h_l!8V"</f>
        <v>#VALUE!</v>
      </c>
      <c r="AP7" s="25" t="e">
        <f>'SurveyRpt_20150223 (1)'!B37+"h_l!8W"</f>
        <v>#VALUE!</v>
      </c>
      <c r="AQ7" t="e">
        <f>'SurveyRpt_20150223 (1)'!C37+"h_l!8X"</f>
        <v>#VALUE!</v>
      </c>
      <c r="AR7" s="25" t="e">
        <f>'SurveyRpt_20150223 (1)'!D37+"h_l!8Y"</f>
        <v>#VALUE!</v>
      </c>
      <c r="AS7" t="e">
        <f>'SurveyRpt_20150223 (1)'!E37+"h_l!8Z"</f>
        <v>#VALUE!</v>
      </c>
      <c r="AT7" t="e">
        <f>'SurveyRpt_20150223 (1)'!F37+"h_l!8["</f>
        <v>#VALUE!</v>
      </c>
      <c r="AU7" t="e">
        <f>'SurveyRpt_20150223 (1)'!G37+"h_l!8\"</f>
        <v>#VALUE!</v>
      </c>
      <c r="AV7" t="e">
        <f>'SurveyRpt_20150223 (1)'!H37+"h_l!8]"</f>
        <v>#VALUE!</v>
      </c>
      <c r="AW7" t="e">
        <f>'SurveyRpt_20150223 (1)'!I37+"h_l!8^"</f>
        <v>#VALUE!</v>
      </c>
      <c r="AX7" t="e">
        <f>'SurveyRpt_20150223 (1)'!J37+"h_l!8_"</f>
        <v>#VALUE!</v>
      </c>
      <c r="AY7" t="e">
        <f>'SurveyRpt_20150223 (1)'!K37+"h_l!8`"</f>
        <v>#VALUE!</v>
      </c>
      <c r="AZ7" t="e">
        <f>'SurveyRpt_20150223 (1)'!L37+"h_l!8a"</f>
        <v>#VALUE!</v>
      </c>
      <c r="BA7" t="e">
        <f>'SurveyRpt_20150223 (1)'!M37+"h_l!8b"</f>
        <v>#VALUE!</v>
      </c>
      <c r="BB7" t="e">
        <f>'SurveyRpt_20150223 (1)'!N37+"h_l!8c"</f>
        <v>#VALUE!</v>
      </c>
      <c r="BC7" t="e">
        <f>'SurveyRpt_20150223 (1)'!O37+"h_l!8d"</f>
        <v>#VALUE!</v>
      </c>
      <c r="BD7" t="e">
        <f>'SurveyRpt_20150223 (1)'!P37+"h_l!8e"</f>
        <v>#VALUE!</v>
      </c>
      <c r="BE7" t="e">
        <f>'SurveyRpt_20150223 (1)'!Q37+"h_l!8f"</f>
        <v>#VALUE!</v>
      </c>
      <c r="BF7" t="e">
        <f>'SurveyRpt_20150223 (1)'!R37+"h_l!8g"</f>
        <v>#VALUE!</v>
      </c>
      <c r="BG7" t="e">
        <f>'SurveyRpt_20150223 (1)'!S37+"h_l!8h"</f>
        <v>#VALUE!</v>
      </c>
      <c r="BH7" t="e">
        <f>'SurveyRpt_20150223 (1)'!T37+"h_l!8i"</f>
        <v>#VALUE!</v>
      </c>
      <c r="BI7" t="e">
        <f>'SurveyRpt_20150223 (1)'!U37+"h_l!8j"</f>
        <v>#VALUE!</v>
      </c>
      <c r="BJ7" t="e">
        <f>'SurveyRpt_20150223 (1)'!V37+"h_l!8k"</f>
        <v>#VALUE!</v>
      </c>
      <c r="BK7" t="e">
        <f>'SurveyRpt_20150223 (1)'!W37+"h_l!8l"</f>
        <v>#VALUE!</v>
      </c>
      <c r="BL7" t="e">
        <f>'SurveyRpt_20150223 (1)'!X37+"h_l!8m"</f>
        <v>#VALUE!</v>
      </c>
      <c r="BM7" t="e">
        <f>'SurveyRpt_20150223 (1)'!Y37+"h_l!8n"</f>
        <v>#VALUE!</v>
      </c>
      <c r="BN7" t="e">
        <f>'SurveyRpt_20150223 (1)'!Z37+"h_l!8o"</f>
        <v>#VALUE!</v>
      </c>
      <c r="BO7" t="e">
        <f>'SurveyRpt_20150223 (1)'!AA37+"h_l!8p"</f>
        <v>#VALUE!</v>
      </c>
      <c r="BP7" t="e">
        <f>'SurveyRpt_20150223 (1)'!AB37+"h_l!8q"</f>
        <v>#VALUE!</v>
      </c>
      <c r="BQ7" t="e">
        <f>'SurveyRpt_20150223 (1)'!AC37+"h_l!8r"</f>
        <v>#VALUE!</v>
      </c>
      <c r="BR7" t="e">
        <f>'SurveyRpt_20150223 (1)'!AD37+"h_l!8s"</f>
        <v>#VALUE!</v>
      </c>
      <c r="BS7" t="e">
        <f>'SurveyRpt_20150223 (1)'!AE37+"h_l!8t"</f>
        <v>#VALUE!</v>
      </c>
      <c r="BT7" t="e">
        <f>'SurveyRpt_20150223 (1)'!AF37+"h_l!8u"</f>
        <v>#VALUE!</v>
      </c>
      <c r="BU7" t="e">
        <f>'SurveyRpt_20150223 (1)'!AG37+"h_l!8v"</f>
        <v>#VALUE!</v>
      </c>
      <c r="BV7" t="e">
        <f>'SurveyRpt_20150223 (1)'!AH37+"h_l!8w"</f>
        <v>#VALUE!</v>
      </c>
      <c r="BW7" t="e">
        <f>'SurveyRpt_20150223 (1)'!AI37+"h_l!8x"</f>
        <v>#VALUE!</v>
      </c>
      <c r="BX7" t="e">
        <f>'SurveyRpt_20150223 (1)'!AJ37+"h_l!8y"</f>
        <v>#VALUE!</v>
      </c>
      <c r="BY7" t="e">
        <f>'SurveyRpt_20150223 (1)'!AK37+"h_l!8z"</f>
        <v>#VALUE!</v>
      </c>
      <c r="BZ7" t="e">
        <f>'SurveyRpt_20150223 (1)'!AL37+"h_l!8{"</f>
        <v>#VALUE!</v>
      </c>
      <c r="CA7" t="e">
        <f>'SurveyRpt_20150223 (1)'!AM37+"h_l!8|"</f>
        <v>#VALUE!</v>
      </c>
      <c r="CB7" t="e">
        <f>'SurveyRpt_20150223 (1)'!AN37+"h_l!8}"</f>
        <v>#VALUE!</v>
      </c>
      <c r="CC7" t="e">
        <f>'SurveyRpt_20150223 (1)'!A38+"h_l!8~"</f>
        <v>#VALUE!</v>
      </c>
      <c r="CD7" s="25" t="e">
        <f>'SurveyRpt_20150223 (1)'!B38+"h_l!9#"</f>
        <v>#VALUE!</v>
      </c>
      <c r="CE7" t="e">
        <f>'SurveyRpt_20150223 (1)'!C38+"h_l!9$"</f>
        <v>#VALUE!</v>
      </c>
      <c r="CF7" s="25" t="e">
        <f>'SurveyRpt_20150223 (1)'!D38+"h_l!9%"</f>
        <v>#VALUE!</v>
      </c>
      <c r="CG7" t="e">
        <f>'SurveyRpt_20150223 (1)'!E38+"h_l!9&amp;"</f>
        <v>#VALUE!</v>
      </c>
      <c r="CH7" t="e">
        <f>'SurveyRpt_20150223 (1)'!F38+"h_l!9'"</f>
        <v>#VALUE!</v>
      </c>
      <c r="CI7" t="e">
        <f>'SurveyRpt_20150223 (1)'!G38+"h_l!9("</f>
        <v>#VALUE!</v>
      </c>
      <c r="CJ7" t="e">
        <f>'SurveyRpt_20150223 (1)'!H38+"h_l!9)"</f>
        <v>#VALUE!</v>
      </c>
      <c r="CK7" t="e">
        <f>'SurveyRpt_20150223 (1)'!I38+"h_l!9."</f>
        <v>#VALUE!</v>
      </c>
      <c r="CL7" t="e">
        <f>'SurveyRpt_20150223 (1)'!J38+"h_l!9/"</f>
        <v>#VALUE!</v>
      </c>
      <c r="CM7" t="e">
        <f>'SurveyRpt_20150223 (1)'!K38+"h_l!90"</f>
        <v>#VALUE!</v>
      </c>
      <c r="CN7" t="e">
        <f>'SurveyRpt_20150223 (1)'!L38+"h_l!91"</f>
        <v>#VALUE!</v>
      </c>
      <c r="CO7" t="e">
        <f>'SurveyRpt_20150223 (1)'!M38+"h_l!92"</f>
        <v>#VALUE!</v>
      </c>
      <c r="CP7" t="e">
        <f>'SurveyRpt_20150223 (1)'!N38+"h_l!93"</f>
        <v>#VALUE!</v>
      </c>
      <c r="CQ7" t="e">
        <f>'SurveyRpt_20150223 (1)'!O38+"h_l!94"</f>
        <v>#VALUE!</v>
      </c>
      <c r="CR7" t="e">
        <f>'SurveyRpt_20150223 (1)'!P38+"h_l!95"</f>
        <v>#VALUE!</v>
      </c>
      <c r="CS7" t="e">
        <f>'SurveyRpt_20150223 (1)'!Q38+"h_l!96"</f>
        <v>#VALUE!</v>
      </c>
      <c r="CT7" t="e">
        <f>'SurveyRpt_20150223 (1)'!R38+"h_l!97"</f>
        <v>#VALUE!</v>
      </c>
      <c r="CU7" t="e">
        <f>'SurveyRpt_20150223 (1)'!S38+"h_l!98"</f>
        <v>#VALUE!</v>
      </c>
      <c r="CV7" t="e">
        <f>'SurveyRpt_20150223 (1)'!T38+"h_l!99"</f>
        <v>#VALUE!</v>
      </c>
      <c r="CW7" t="e">
        <f>'SurveyRpt_20150223 (1)'!U38+"h_l!9:"</f>
        <v>#VALUE!</v>
      </c>
      <c r="CX7" t="e">
        <f>'SurveyRpt_20150223 (1)'!V38+"h_l!9;"</f>
        <v>#VALUE!</v>
      </c>
      <c r="CY7" t="e">
        <f>'SurveyRpt_20150223 (1)'!W38+"h_l!9&lt;"</f>
        <v>#VALUE!</v>
      </c>
      <c r="CZ7" t="e">
        <f>'SurveyRpt_20150223 (1)'!X38+"h_l!9="</f>
        <v>#VALUE!</v>
      </c>
      <c r="DA7" t="e">
        <f>'SurveyRpt_20150223 (1)'!Y38+"h_l!9&gt;"</f>
        <v>#VALUE!</v>
      </c>
      <c r="DB7" t="e">
        <f>'SurveyRpt_20150223 (1)'!Z38+"h_l!9?"</f>
        <v>#VALUE!</v>
      </c>
      <c r="DC7" t="e">
        <f>'SurveyRpt_20150223 (1)'!AA38+"h_l!9@"</f>
        <v>#VALUE!</v>
      </c>
      <c r="DD7" t="e">
        <f>'SurveyRpt_20150223 (1)'!AB38+"h_l!9A"</f>
        <v>#VALUE!</v>
      </c>
      <c r="DE7" t="e">
        <f>'SurveyRpt_20150223 (1)'!AC38+"h_l!9B"</f>
        <v>#VALUE!</v>
      </c>
      <c r="DF7" t="e">
        <f>'SurveyRpt_20150223 (1)'!AD38+"h_l!9C"</f>
        <v>#VALUE!</v>
      </c>
      <c r="DG7" t="e">
        <f>'SurveyRpt_20150223 (1)'!AE38+"h_l!9D"</f>
        <v>#VALUE!</v>
      </c>
      <c r="DH7" t="e">
        <f>'SurveyRpt_20150223 (1)'!AF38+"h_l!9E"</f>
        <v>#VALUE!</v>
      </c>
      <c r="DI7" t="e">
        <f>'SurveyRpt_20150223 (1)'!AG38+"h_l!9F"</f>
        <v>#VALUE!</v>
      </c>
      <c r="DJ7" t="e">
        <f>'SurveyRpt_20150223 (1)'!AH38+"h_l!9G"</f>
        <v>#VALUE!</v>
      </c>
      <c r="DK7" t="e">
        <f>'SurveyRpt_20150223 (1)'!AI38+"h_l!9H"</f>
        <v>#VALUE!</v>
      </c>
      <c r="DL7" t="e">
        <f>'SurveyRpt_20150223 (1)'!AJ38+"h_l!9I"</f>
        <v>#VALUE!</v>
      </c>
      <c r="DM7" t="e">
        <f>'SurveyRpt_20150223 (1)'!AK38+"h_l!9J"</f>
        <v>#VALUE!</v>
      </c>
      <c r="DN7" t="e">
        <f>'SurveyRpt_20150223 (1)'!AL38+"h_l!9K"</f>
        <v>#VALUE!</v>
      </c>
      <c r="DO7" t="e">
        <f>'SurveyRpt_20150223 (1)'!AM38+"h_l!9L"</f>
        <v>#VALUE!</v>
      </c>
      <c r="DP7" t="e">
        <f>'SurveyRpt_20150223 (1)'!AN38+"h_l!9M"</f>
        <v>#VALUE!</v>
      </c>
      <c r="DQ7" t="e">
        <f>'SurveyRpt_20150223 (1)'!A39+"h_l!9N"</f>
        <v>#VALUE!</v>
      </c>
      <c r="DR7" s="25" t="e">
        <f>'SurveyRpt_20150223 (1)'!B39+"h_l!9O"</f>
        <v>#VALUE!</v>
      </c>
      <c r="DS7" t="e">
        <f>'SurveyRpt_20150223 (1)'!C39+"h_l!9P"</f>
        <v>#VALUE!</v>
      </c>
      <c r="DT7" s="25" t="e">
        <f>'SurveyRpt_20150223 (1)'!D39+"h_l!9Q"</f>
        <v>#VALUE!</v>
      </c>
      <c r="DU7" t="e">
        <f>'SurveyRpt_20150223 (1)'!E39+"h_l!9R"</f>
        <v>#VALUE!</v>
      </c>
      <c r="DV7" t="e">
        <f>'SurveyRpt_20150223 (1)'!F39+"h_l!9S"</f>
        <v>#VALUE!</v>
      </c>
      <c r="DW7" t="e">
        <f>'SurveyRpt_20150223 (1)'!G39+"h_l!9T"</f>
        <v>#VALUE!</v>
      </c>
      <c r="DX7" t="e">
        <f>'SurveyRpt_20150223 (1)'!H39+"h_l!9U"</f>
        <v>#VALUE!</v>
      </c>
      <c r="DY7" t="e">
        <f>'SurveyRpt_20150223 (1)'!I39+"h_l!9V"</f>
        <v>#VALUE!</v>
      </c>
      <c r="DZ7" t="e">
        <f>'SurveyRpt_20150223 (1)'!J39+"h_l!9W"</f>
        <v>#VALUE!</v>
      </c>
      <c r="EA7" t="e">
        <f>'SurveyRpt_20150223 (1)'!K39+"h_l!9X"</f>
        <v>#VALUE!</v>
      </c>
      <c r="EB7" t="e">
        <f>'SurveyRpt_20150223 (1)'!L39+"h_l!9Y"</f>
        <v>#VALUE!</v>
      </c>
      <c r="EC7" t="e">
        <f>'SurveyRpt_20150223 (1)'!M39+"h_l!9Z"</f>
        <v>#VALUE!</v>
      </c>
      <c r="ED7" t="e">
        <f>'SurveyRpt_20150223 (1)'!N39+"h_l!9["</f>
        <v>#VALUE!</v>
      </c>
      <c r="EE7" t="e">
        <f>'SurveyRpt_20150223 (1)'!O39+"h_l!9\"</f>
        <v>#VALUE!</v>
      </c>
      <c r="EF7" t="e">
        <f>'SurveyRpt_20150223 (1)'!P39+"h_l!9]"</f>
        <v>#VALUE!</v>
      </c>
      <c r="EG7" t="e">
        <f>'SurveyRpt_20150223 (1)'!Q39+"h_l!9^"</f>
        <v>#VALUE!</v>
      </c>
      <c r="EH7" t="e">
        <f>'SurveyRpt_20150223 (1)'!R39+"h_l!9_"</f>
        <v>#VALUE!</v>
      </c>
      <c r="EI7" t="e">
        <f>'SurveyRpt_20150223 (1)'!S39+"h_l!9`"</f>
        <v>#VALUE!</v>
      </c>
      <c r="EJ7" t="e">
        <f>'SurveyRpt_20150223 (1)'!T39+"h_l!9a"</f>
        <v>#VALUE!</v>
      </c>
      <c r="EK7" t="e">
        <f>'SurveyRpt_20150223 (1)'!U39+"h_l!9b"</f>
        <v>#VALUE!</v>
      </c>
      <c r="EL7" t="e">
        <f>'SurveyRpt_20150223 (1)'!V39+"h_l!9c"</f>
        <v>#VALUE!</v>
      </c>
      <c r="EM7" t="e">
        <f>'SurveyRpt_20150223 (1)'!W39+"h_l!9d"</f>
        <v>#VALUE!</v>
      </c>
      <c r="EN7" t="e">
        <f>'SurveyRpt_20150223 (1)'!X39+"h_l!9e"</f>
        <v>#VALUE!</v>
      </c>
      <c r="EO7" t="e">
        <f>'SurveyRpt_20150223 (1)'!Y39+"h_l!9f"</f>
        <v>#VALUE!</v>
      </c>
      <c r="EP7" t="e">
        <f>'SurveyRpt_20150223 (1)'!Z39+"h_l!9g"</f>
        <v>#VALUE!</v>
      </c>
      <c r="EQ7" t="e">
        <f>'SurveyRpt_20150223 (1)'!AA39+"h_l!9h"</f>
        <v>#VALUE!</v>
      </c>
      <c r="ER7" t="e">
        <f>'SurveyRpt_20150223 (1)'!AB39+"h_l!9i"</f>
        <v>#VALUE!</v>
      </c>
      <c r="ES7" t="e">
        <f>'SurveyRpt_20150223 (1)'!AC39+"h_l!9j"</f>
        <v>#VALUE!</v>
      </c>
      <c r="ET7" t="e">
        <f>'SurveyRpt_20150223 (1)'!AD39+"h_l!9k"</f>
        <v>#VALUE!</v>
      </c>
      <c r="EU7" t="e">
        <f>'SurveyRpt_20150223 (1)'!AE39+"h_l!9l"</f>
        <v>#VALUE!</v>
      </c>
      <c r="EV7" t="e">
        <f>'SurveyRpt_20150223 (1)'!AF39+"h_l!9m"</f>
        <v>#VALUE!</v>
      </c>
      <c r="EW7" t="e">
        <f>'SurveyRpt_20150223 (1)'!AG39+"h_l!9n"</f>
        <v>#VALUE!</v>
      </c>
      <c r="EX7" t="e">
        <f>'SurveyRpt_20150223 (1)'!AH39+"h_l!9o"</f>
        <v>#VALUE!</v>
      </c>
      <c r="EY7" t="e">
        <f>'SurveyRpt_20150223 (1)'!AI39+"h_l!9p"</f>
        <v>#VALUE!</v>
      </c>
      <c r="EZ7" t="e">
        <f>'SurveyRpt_20150223 (1)'!AJ39+"h_l!9q"</f>
        <v>#VALUE!</v>
      </c>
      <c r="FA7" t="e">
        <f>'SurveyRpt_20150223 (1)'!AK39+"h_l!9r"</f>
        <v>#VALUE!</v>
      </c>
      <c r="FB7" t="e">
        <f>'SurveyRpt_20150223 (1)'!AL39+"h_l!9s"</f>
        <v>#VALUE!</v>
      </c>
      <c r="FC7" t="e">
        <f>'SurveyRpt_20150223 (1)'!AM39+"h_l!9t"</f>
        <v>#VALUE!</v>
      </c>
      <c r="FD7" t="e">
        <f>'SurveyRpt_20150223 (1)'!AN39+"h_l!9u"</f>
        <v>#VALUE!</v>
      </c>
      <c r="FE7" t="e">
        <f>'SurveyRpt_20150223 (1)'!A40+"h_l!9v"</f>
        <v>#VALUE!</v>
      </c>
      <c r="FF7" s="25" t="e">
        <f>'SurveyRpt_20150223 (1)'!B40+"h_l!9w"</f>
        <v>#VALUE!</v>
      </c>
      <c r="FG7" t="e">
        <f>'SurveyRpt_20150223 (1)'!C40+"h_l!9x"</f>
        <v>#VALUE!</v>
      </c>
      <c r="FH7" s="25" t="e">
        <f>'SurveyRpt_20150223 (1)'!D40+"h_l!9y"</f>
        <v>#VALUE!</v>
      </c>
      <c r="FI7" t="e">
        <f>'SurveyRpt_20150223 (1)'!E40+"h_l!9z"</f>
        <v>#VALUE!</v>
      </c>
      <c r="FJ7" t="e">
        <f>'SurveyRpt_20150223 (1)'!F40+"h_l!9{"</f>
        <v>#VALUE!</v>
      </c>
      <c r="FK7" t="e">
        <f>'SurveyRpt_20150223 (1)'!G40+"h_l!9|"</f>
        <v>#VALUE!</v>
      </c>
      <c r="FL7" t="e">
        <f>'SurveyRpt_20150223 (1)'!H40+"h_l!9}"</f>
        <v>#VALUE!</v>
      </c>
      <c r="FM7" t="e">
        <f>'SurveyRpt_20150223 (1)'!I40+"h_l!9~"</f>
        <v>#VALUE!</v>
      </c>
      <c r="FN7" t="e">
        <f>'SurveyRpt_20150223 (1)'!J40+"h_l!:#"</f>
        <v>#VALUE!</v>
      </c>
      <c r="FO7" t="e">
        <f>'SurveyRpt_20150223 (1)'!K40+"h_l!:$"</f>
        <v>#VALUE!</v>
      </c>
      <c r="FP7" t="e">
        <f>'SurveyRpt_20150223 (1)'!L40+"h_l!:%"</f>
        <v>#VALUE!</v>
      </c>
      <c r="FQ7" t="e">
        <f>'SurveyRpt_20150223 (1)'!M40+"h_l!:&amp;"</f>
        <v>#VALUE!</v>
      </c>
      <c r="FR7" t="e">
        <f>'SurveyRpt_20150223 (1)'!N40+"h_l!:'"</f>
        <v>#VALUE!</v>
      </c>
      <c r="FS7" t="e">
        <f>'SurveyRpt_20150223 (1)'!O40+"h_l!:("</f>
        <v>#VALUE!</v>
      </c>
      <c r="FT7" t="e">
        <f>'SurveyRpt_20150223 (1)'!P40+"h_l!:)"</f>
        <v>#VALUE!</v>
      </c>
      <c r="FU7" t="e">
        <f>'SurveyRpt_20150223 (1)'!Q40+"h_l!:."</f>
        <v>#VALUE!</v>
      </c>
      <c r="FV7" t="e">
        <f>'SurveyRpt_20150223 (1)'!R40+"h_l!:/"</f>
        <v>#VALUE!</v>
      </c>
      <c r="FW7" t="e">
        <f>'SurveyRpt_20150223 (1)'!S40+"h_l!:0"</f>
        <v>#VALUE!</v>
      </c>
      <c r="FX7" t="e">
        <f>'SurveyRpt_20150223 (1)'!T40+"h_l!:1"</f>
        <v>#VALUE!</v>
      </c>
      <c r="FY7" t="e">
        <f>'SurveyRpt_20150223 (1)'!U40+"h_l!:2"</f>
        <v>#VALUE!</v>
      </c>
      <c r="FZ7" t="e">
        <f>'SurveyRpt_20150223 (1)'!V40+"h_l!:3"</f>
        <v>#VALUE!</v>
      </c>
      <c r="GA7" t="e">
        <f>'SurveyRpt_20150223 (1)'!W40+"h_l!:4"</f>
        <v>#VALUE!</v>
      </c>
      <c r="GB7" t="e">
        <f>'SurveyRpt_20150223 (1)'!X40+"h_l!:5"</f>
        <v>#VALUE!</v>
      </c>
      <c r="GC7" t="e">
        <f>'SurveyRpt_20150223 (1)'!Y40+"h_l!:6"</f>
        <v>#VALUE!</v>
      </c>
      <c r="GD7" t="e">
        <f>'SurveyRpt_20150223 (1)'!Z40+"h_l!:7"</f>
        <v>#VALUE!</v>
      </c>
      <c r="GE7" t="e">
        <f>'SurveyRpt_20150223 (1)'!AA40+"h_l!:8"</f>
        <v>#VALUE!</v>
      </c>
      <c r="GF7" t="e">
        <f>'SurveyRpt_20150223 (1)'!AB40+"h_l!:9"</f>
        <v>#VALUE!</v>
      </c>
      <c r="GG7" t="e">
        <f>'SurveyRpt_20150223 (1)'!AC40+"h_l!::"</f>
        <v>#VALUE!</v>
      </c>
      <c r="GH7" t="e">
        <f>'SurveyRpt_20150223 (1)'!AD40+"h_l!:;"</f>
        <v>#VALUE!</v>
      </c>
      <c r="GI7" t="e">
        <f>'SurveyRpt_20150223 (1)'!AE40+"h_l!:&lt;"</f>
        <v>#VALUE!</v>
      </c>
      <c r="GJ7" t="e">
        <f>'SurveyRpt_20150223 (1)'!AF40+"h_l!:="</f>
        <v>#VALUE!</v>
      </c>
      <c r="GK7" t="e">
        <f>'SurveyRpt_20150223 (1)'!AG40+"h_l!:&gt;"</f>
        <v>#VALUE!</v>
      </c>
      <c r="GL7" t="e">
        <f>'SurveyRpt_20150223 (1)'!AH40+"h_l!:?"</f>
        <v>#VALUE!</v>
      </c>
      <c r="GM7" t="e">
        <f>'SurveyRpt_20150223 (1)'!AI40+"h_l!:@"</f>
        <v>#VALUE!</v>
      </c>
      <c r="GN7" t="e">
        <f>'SurveyRpt_20150223 (1)'!AJ40+"h_l!:A"</f>
        <v>#VALUE!</v>
      </c>
      <c r="GO7" t="e">
        <f>'SurveyRpt_20150223 (1)'!AK40+"h_l!:B"</f>
        <v>#VALUE!</v>
      </c>
      <c r="GP7" t="e">
        <f>'SurveyRpt_20150223 (1)'!AL40+"h_l!:C"</f>
        <v>#VALUE!</v>
      </c>
      <c r="GQ7" t="e">
        <f>'SurveyRpt_20150223 (1)'!AM40+"h_l!:D"</f>
        <v>#VALUE!</v>
      </c>
      <c r="GR7" t="e">
        <f>'SurveyRpt_20150223 (1)'!AN40+"h_l!:E"</f>
        <v>#VALUE!</v>
      </c>
      <c r="GS7" t="e">
        <f>'SurveyRpt_20150223 (1)'!A41+"h_l!:F"</f>
        <v>#VALUE!</v>
      </c>
      <c r="GT7" s="25" t="e">
        <f>'SurveyRpt_20150223 (1)'!B41+"h_l!:G"</f>
        <v>#VALUE!</v>
      </c>
      <c r="GU7" t="e">
        <f>'SurveyRpt_20150223 (1)'!C41+"h_l!:H"</f>
        <v>#VALUE!</v>
      </c>
      <c r="GV7" s="25" t="e">
        <f>'SurveyRpt_20150223 (1)'!D41+"h_l!:I"</f>
        <v>#VALUE!</v>
      </c>
      <c r="GW7" t="e">
        <f>'SurveyRpt_20150223 (1)'!E41+"h_l!:J"</f>
        <v>#VALUE!</v>
      </c>
      <c r="GX7" t="e">
        <f>'SurveyRpt_20150223 (1)'!F41+"h_l!:K"</f>
        <v>#VALUE!</v>
      </c>
      <c r="GY7" t="e">
        <f>'SurveyRpt_20150223 (1)'!G41+"h_l!:L"</f>
        <v>#VALUE!</v>
      </c>
      <c r="GZ7" t="e">
        <f>'SurveyRpt_20150223 (1)'!H41+"h_l!:M"</f>
        <v>#VALUE!</v>
      </c>
      <c r="HA7" t="e">
        <f>'SurveyRpt_20150223 (1)'!I41+"h_l!:N"</f>
        <v>#VALUE!</v>
      </c>
      <c r="HB7" t="e">
        <f>'SurveyRpt_20150223 (1)'!J41+"h_l!:O"</f>
        <v>#VALUE!</v>
      </c>
      <c r="HC7" t="e">
        <f>'SurveyRpt_20150223 (1)'!K41+"h_l!:P"</f>
        <v>#VALUE!</v>
      </c>
      <c r="HD7" t="e">
        <f>'SurveyRpt_20150223 (1)'!L41+"h_l!:Q"</f>
        <v>#VALUE!</v>
      </c>
      <c r="HE7" t="e">
        <f>'SurveyRpt_20150223 (1)'!M41+"h_l!:R"</f>
        <v>#VALUE!</v>
      </c>
      <c r="HF7" t="e">
        <f>'SurveyRpt_20150223 (1)'!N41+"h_l!:S"</f>
        <v>#VALUE!</v>
      </c>
      <c r="HG7" t="e">
        <f>'SurveyRpt_20150223 (1)'!O41+"h_l!:T"</f>
        <v>#VALUE!</v>
      </c>
      <c r="HH7" t="e">
        <f>'SurveyRpt_20150223 (1)'!P41+"h_l!:U"</f>
        <v>#VALUE!</v>
      </c>
      <c r="HI7" t="e">
        <f>'SurveyRpt_20150223 (1)'!Q41+"h_l!:V"</f>
        <v>#VALUE!</v>
      </c>
      <c r="HJ7" t="e">
        <f>'SurveyRpt_20150223 (1)'!R41+"h_l!:W"</f>
        <v>#VALUE!</v>
      </c>
      <c r="HK7" t="e">
        <f>'SurveyRpt_20150223 (1)'!S41+"h_l!:X"</f>
        <v>#VALUE!</v>
      </c>
      <c r="HL7" t="e">
        <f>'SurveyRpt_20150223 (1)'!T41+"h_l!:Y"</f>
        <v>#VALUE!</v>
      </c>
      <c r="HM7" t="e">
        <f>'SurveyRpt_20150223 (1)'!U41+"h_l!:Z"</f>
        <v>#VALUE!</v>
      </c>
      <c r="HN7" t="e">
        <f>'SurveyRpt_20150223 (1)'!V41+"h_l!:["</f>
        <v>#VALUE!</v>
      </c>
      <c r="HO7" t="e">
        <f>'SurveyRpt_20150223 (1)'!W41+"h_l!:\"</f>
        <v>#VALUE!</v>
      </c>
      <c r="HP7" t="e">
        <f>'SurveyRpt_20150223 (1)'!X41+"h_l!:]"</f>
        <v>#VALUE!</v>
      </c>
      <c r="HQ7" t="e">
        <f>'SurveyRpt_20150223 (1)'!Y41+"h_l!:^"</f>
        <v>#VALUE!</v>
      </c>
      <c r="HR7" t="e">
        <f>'SurveyRpt_20150223 (1)'!Z41+"h_l!:_"</f>
        <v>#VALUE!</v>
      </c>
      <c r="HS7" t="e">
        <f>'SurveyRpt_20150223 (1)'!AA41+"h_l!:`"</f>
        <v>#VALUE!</v>
      </c>
      <c r="HT7" t="e">
        <f>'SurveyRpt_20150223 (1)'!AB41+"h_l!:a"</f>
        <v>#VALUE!</v>
      </c>
      <c r="HU7" t="e">
        <f>'SurveyRpt_20150223 (1)'!AC41+"h_l!:b"</f>
        <v>#VALUE!</v>
      </c>
      <c r="HV7" t="e">
        <f>'SurveyRpt_20150223 (1)'!AD41+"h_l!:c"</f>
        <v>#VALUE!</v>
      </c>
      <c r="HW7" t="e">
        <f>'SurveyRpt_20150223 (1)'!AE41+"h_l!:d"</f>
        <v>#VALUE!</v>
      </c>
      <c r="HX7" t="e">
        <f>'SurveyRpt_20150223 (1)'!AF41+"h_l!:e"</f>
        <v>#VALUE!</v>
      </c>
      <c r="HY7" t="e">
        <f>'SurveyRpt_20150223 (1)'!AG41+"h_l!:f"</f>
        <v>#VALUE!</v>
      </c>
      <c r="HZ7" t="e">
        <f>'SurveyRpt_20150223 (1)'!AH41+"h_l!:g"</f>
        <v>#VALUE!</v>
      </c>
      <c r="IA7" t="e">
        <f>'SurveyRpt_20150223 (1)'!AI41+"h_l!:h"</f>
        <v>#VALUE!</v>
      </c>
      <c r="IB7" t="e">
        <f>'SurveyRpt_20150223 (1)'!AJ41+"h_l!:i"</f>
        <v>#VALUE!</v>
      </c>
      <c r="IC7" t="e">
        <f>'SurveyRpt_20150223 (1)'!AK41+"h_l!:j"</f>
        <v>#VALUE!</v>
      </c>
      <c r="ID7" t="e">
        <f>'SurveyRpt_20150223 (1)'!AL41+"h_l!:k"</f>
        <v>#VALUE!</v>
      </c>
      <c r="IE7" t="e">
        <f>'SurveyRpt_20150223 (1)'!AM41+"h_l!:l"</f>
        <v>#VALUE!</v>
      </c>
      <c r="IF7" t="e">
        <f>'SurveyRpt_20150223 (1)'!AN41+"h_l!:m"</f>
        <v>#VALUE!</v>
      </c>
      <c r="IG7" t="e">
        <f>'SurveyRpt_20150223 (1)'!A42+"h_l!:n"</f>
        <v>#VALUE!</v>
      </c>
      <c r="IH7" s="25" t="e">
        <f>'SurveyRpt_20150223 (1)'!B42+"h_l!:o"</f>
        <v>#VALUE!</v>
      </c>
      <c r="II7" t="e">
        <f>'SurveyRpt_20150223 (1)'!C42+"h_l!:p"</f>
        <v>#VALUE!</v>
      </c>
      <c r="IJ7" s="25" t="e">
        <f>'SurveyRpt_20150223 (1)'!D42+"h_l!:q"</f>
        <v>#VALUE!</v>
      </c>
      <c r="IK7" t="e">
        <f>'SurveyRpt_20150223 (1)'!E42+"h_l!:r"</f>
        <v>#VALUE!</v>
      </c>
      <c r="IL7" t="e">
        <f>'SurveyRpt_20150223 (1)'!F42+"h_l!:s"</f>
        <v>#VALUE!</v>
      </c>
      <c r="IM7" t="e">
        <f>'SurveyRpt_20150223 (1)'!G42+"h_l!:t"</f>
        <v>#VALUE!</v>
      </c>
      <c r="IN7" t="e">
        <f>'SurveyRpt_20150223 (1)'!H42+"h_l!:u"</f>
        <v>#VALUE!</v>
      </c>
      <c r="IO7" t="e">
        <f>'SurveyRpt_20150223 (1)'!I42+"h_l!:v"</f>
        <v>#VALUE!</v>
      </c>
      <c r="IP7" t="e">
        <f>'SurveyRpt_20150223 (1)'!J42+"h_l!:w"</f>
        <v>#VALUE!</v>
      </c>
      <c r="IQ7" t="e">
        <f>'SurveyRpt_20150223 (1)'!K42+"h_l!:x"</f>
        <v>#VALUE!</v>
      </c>
      <c r="IR7" t="e">
        <f>'SurveyRpt_20150223 (1)'!L42+"h_l!:y"</f>
        <v>#VALUE!</v>
      </c>
      <c r="IS7" t="e">
        <f>'SurveyRpt_20150223 (1)'!M42+"h_l!:z"</f>
        <v>#VALUE!</v>
      </c>
      <c r="IT7" t="e">
        <f>'SurveyRpt_20150223 (1)'!N42+"h_l!:{"</f>
        <v>#VALUE!</v>
      </c>
      <c r="IU7" t="e">
        <f>'SurveyRpt_20150223 (1)'!O42+"h_l!:|"</f>
        <v>#VALUE!</v>
      </c>
      <c r="IV7" t="e">
        <f>'SurveyRpt_20150223 (1)'!P42+"h_l!:}"</f>
        <v>#VALUE!</v>
      </c>
    </row>
    <row r="8" spans="1:256" x14ac:dyDescent="0.25">
      <c r="F8" t="e">
        <f>'SurveyRpt_20150223 (1)'!Q42+"h_l!:~"</f>
        <v>#VALUE!</v>
      </c>
      <c r="G8" t="e">
        <f>'SurveyRpt_20150223 (1)'!R42+"h_l!;#"</f>
        <v>#VALUE!</v>
      </c>
      <c r="H8" t="e">
        <f>'SurveyRpt_20150223 (1)'!S42+"h_l!;$"</f>
        <v>#VALUE!</v>
      </c>
      <c r="I8" t="e">
        <f>'SurveyRpt_20150223 (1)'!T42+"h_l!;%"</f>
        <v>#VALUE!</v>
      </c>
      <c r="J8" t="e">
        <f>'SurveyRpt_20150223 (1)'!U42+"h_l!;&amp;"</f>
        <v>#VALUE!</v>
      </c>
      <c r="K8" t="e">
        <f>'SurveyRpt_20150223 (1)'!V42+"h_l!;'"</f>
        <v>#VALUE!</v>
      </c>
      <c r="L8" t="e">
        <f>'SurveyRpt_20150223 (1)'!W42+"h_l!;("</f>
        <v>#VALUE!</v>
      </c>
      <c r="M8" t="e">
        <f>'SurveyRpt_20150223 (1)'!X42+"h_l!;)"</f>
        <v>#VALUE!</v>
      </c>
      <c r="N8" t="e">
        <f>'SurveyRpt_20150223 (1)'!Y42+"h_l!;."</f>
        <v>#VALUE!</v>
      </c>
      <c r="O8" t="e">
        <f>'SurveyRpt_20150223 (1)'!Z42+"h_l!;/"</f>
        <v>#VALUE!</v>
      </c>
      <c r="P8" t="e">
        <f>'SurveyRpt_20150223 (1)'!AA42+"h_l!;0"</f>
        <v>#VALUE!</v>
      </c>
      <c r="Q8" t="e">
        <f>'SurveyRpt_20150223 (1)'!AB42+"h_l!;1"</f>
        <v>#VALUE!</v>
      </c>
      <c r="R8" t="e">
        <f>'SurveyRpt_20150223 (1)'!AC42+"h_l!;2"</f>
        <v>#VALUE!</v>
      </c>
      <c r="S8" t="e">
        <f>'SurveyRpt_20150223 (1)'!AD42+"h_l!;3"</f>
        <v>#VALUE!</v>
      </c>
      <c r="T8" t="e">
        <f>'SurveyRpt_20150223 (1)'!AE42+"h_l!;4"</f>
        <v>#VALUE!</v>
      </c>
      <c r="U8" t="e">
        <f>'SurveyRpt_20150223 (1)'!AF42+"h_l!;5"</f>
        <v>#VALUE!</v>
      </c>
      <c r="V8" t="e">
        <f>'SurveyRpt_20150223 (1)'!AG42+"h_l!;6"</f>
        <v>#VALUE!</v>
      </c>
      <c r="W8" t="e">
        <f>'SurveyRpt_20150223 (1)'!AH42+"h_l!;7"</f>
        <v>#VALUE!</v>
      </c>
      <c r="X8" t="e">
        <f>'SurveyRpt_20150223 (1)'!AI42+"h_l!;8"</f>
        <v>#VALUE!</v>
      </c>
      <c r="Y8" t="e">
        <f>'SurveyRpt_20150223 (1)'!AJ42+"h_l!;9"</f>
        <v>#VALUE!</v>
      </c>
      <c r="Z8" t="e">
        <f>'SurveyRpt_20150223 (1)'!AK42+"h_l!;:"</f>
        <v>#VALUE!</v>
      </c>
      <c r="AA8" t="e">
        <f>'SurveyRpt_20150223 (1)'!AL42+"h_l!;;"</f>
        <v>#VALUE!</v>
      </c>
      <c r="AB8" t="e">
        <f>'SurveyRpt_20150223 (1)'!AM42+"h_l!;&lt;"</f>
        <v>#VALUE!</v>
      </c>
      <c r="AC8" t="e">
        <f>'SurveyRpt_20150223 (1)'!AN42+"h_l!;="</f>
        <v>#VALUE!</v>
      </c>
      <c r="AD8" t="e">
        <f>'SurveyRpt_20150223 (1)'!A43+"h_l!;&gt;"</f>
        <v>#VALUE!</v>
      </c>
      <c r="AE8" s="25" t="e">
        <f>'SurveyRpt_20150223 (1)'!B43+"h_l!;?"</f>
        <v>#VALUE!</v>
      </c>
      <c r="AF8" t="e">
        <f>'SurveyRpt_20150223 (1)'!C43+"h_l!;@"</f>
        <v>#VALUE!</v>
      </c>
      <c r="AG8" s="25" t="e">
        <f>'SurveyRpt_20150223 (1)'!D43+"h_l!;A"</f>
        <v>#VALUE!</v>
      </c>
      <c r="AH8" t="e">
        <f>'SurveyRpt_20150223 (1)'!E43+"h_l!;B"</f>
        <v>#VALUE!</v>
      </c>
      <c r="AI8" t="e">
        <f>'SurveyRpt_20150223 (1)'!F43+"h_l!;C"</f>
        <v>#VALUE!</v>
      </c>
      <c r="AJ8" t="e">
        <f>'SurveyRpt_20150223 (1)'!G43+"h_l!;D"</f>
        <v>#VALUE!</v>
      </c>
      <c r="AK8" t="e">
        <f>'SurveyRpt_20150223 (1)'!H43+"h_l!;E"</f>
        <v>#VALUE!</v>
      </c>
      <c r="AL8" t="e">
        <f>'SurveyRpt_20150223 (1)'!I43+"h_l!;F"</f>
        <v>#VALUE!</v>
      </c>
      <c r="AM8" t="e">
        <f>'SurveyRpt_20150223 (1)'!J43+"h_l!;G"</f>
        <v>#VALUE!</v>
      </c>
      <c r="AN8" t="e">
        <f>'SurveyRpt_20150223 (1)'!K43+"h_l!;H"</f>
        <v>#VALUE!</v>
      </c>
      <c r="AO8" t="e">
        <f>'SurveyRpt_20150223 (1)'!L43+"h_l!;I"</f>
        <v>#VALUE!</v>
      </c>
      <c r="AP8" t="e">
        <f>'SurveyRpt_20150223 (1)'!M43+"h_l!;J"</f>
        <v>#VALUE!</v>
      </c>
      <c r="AQ8" t="e">
        <f>'SurveyRpt_20150223 (1)'!N43+"h_l!;K"</f>
        <v>#VALUE!</v>
      </c>
      <c r="AR8" t="e">
        <f>'SurveyRpt_20150223 (1)'!O43+"h_l!;L"</f>
        <v>#VALUE!</v>
      </c>
      <c r="AS8" t="e">
        <f>'SurveyRpt_20150223 (1)'!P43+"h_l!;M"</f>
        <v>#VALUE!</v>
      </c>
      <c r="AT8" t="e">
        <f>'SurveyRpt_20150223 (1)'!Q43+"h_l!;N"</f>
        <v>#VALUE!</v>
      </c>
      <c r="AU8" t="e">
        <f>'SurveyRpt_20150223 (1)'!R43+"h_l!;O"</f>
        <v>#VALUE!</v>
      </c>
      <c r="AV8" t="e">
        <f>'SurveyRpt_20150223 (1)'!S43+"h_l!;P"</f>
        <v>#VALUE!</v>
      </c>
      <c r="AW8" t="e">
        <f>'SurveyRpt_20150223 (1)'!T43+"h_l!;Q"</f>
        <v>#VALUE!</v>
      </c>
      <c r="AX8" t="e">
        <f>'SurveyRpt_20150223 (1)'!U43+"h_l!;R"</f>
        <v>#VALUE!</v>
      </c>
      <c r="AY8" t="e">
        <f>'SurveyRpt_20150223 (1)'!V43+"h_l!;S"</f>
        <v>#VALUE!</v>
      </c>
      <c r="AZ8" t="e">
        <f>'SurveyRpt_20150223 (1)'!W43+"h_l!;T"</f>
        <v>#VALUE!</v>
      </c>
      <c r="BA8" t="e">
        <f>'SurveyRpt_20150223 (1)'!X43+"h_l!;U"</f>
        <v>#VALUE!</v>
      </c>
      <c r="BB8" t="e">
        <f>'SurveyRpt_20150223 (1)'!Y43+"h_l!;V"</f>
        <v>#VALUE!</v>
      </c>
      <c r="BC8" t="e">
        <f>'SurveyRpt_20150223 (1)'!Z43+"h_l!;W"</f>
        <v>#VALUE!</v>
      </c>
      <c r="BD8" t="e">
        <f>'SurveyRpt_20150223 (1)'!AA43+"h_l!;X"</f>
        <v>#VALUE!</v>
      </c>
      <c r="BE8" t="e">
        <f>'SurveyRpt_20150223 (1)'!AB43+"h_l!;Y"</f>
        <v>#VALUE!</v>
      </c>
      <c r="BF8" t="e">
        <f>'SurveyRpt_20150223 (1)'!AC43+"h_l!;Z"</f>
        <v>#VALUE!</v>
      </c>
      <c r="BG8" t="e">
        <f>'SurveyRpt_20150223 (1)'!AD43+"h_l!;["</f>
        <v>#VALUE!</v>
      </c>
      <c r="BH8" t="e">
        <f>'SurveyRpt_20150223 (1)'!AE43+"h_l!;\"</f>
        <v>#VALUE!</v>
      </c>
      <c r="BI8" t="e">
        <f>'SurveyRpt_20150223 (1)'!AF43+"h_l!;]"</f>
        <v>#VALUE!</v>
      </c>
      <c r="BJ8" t="e">
        <f>'SurveyRpt_20150223 (1)'!AG43+"h_l!;^"</f>
        <v>#VALUE!</v>
      </c>
      <c r="BK8" t="e">
        <f>'SurveyRpt_20150223 (1)'!AH43+"h_l!;_"</f>
        <v>#VALUE!</v>
      </c>
      <c r="BL8" t="e">
        <f>'SurveyRpt_20150223 (1)'!AI43+"h_l!;`"</f>
        <v>#VALUE!</v>
      </c>
      <c r="BM8" t="e">
        <f>'SurveyRpt_20150223 (1)'!AJ43+"h_l!;a"</f>
        <v>#VALUE!</v>
      </c>
      <c r="BN8" t="e">
        <f>'SurveyRpt_20150223 (1)'!AK43+"h_l!;b"</f>
        <v>#VALUE!</v>
      </c>
      <c r="BO8" t="e">
        <f>'SurveyRpt_20150223 (1)'!AL43+"h_l!;c"</f>
        <v>#VALUE!</v>
      </c>
      <c r="BP8" t="e">
        <f>'SurveyRpt_20150223 (1)'!AM43+"h_l!;d"</f>
        <v>#VALUE!</v>
      </c>
      <c r="BQ8" t="e">
        <f>'SurveyRpt_20150223 (1)'!AN43+"h_l!;e"</f>
        <v>#VALUE!</v>
      </c>
      <c r="BR8" t="e">
        <f>'SurveyRpt_20150223 (1)'!A44+"h_l!;f"</f>
        <v>#VALUE!</v>
      </c>
      <c r="BS8" s="25" t="e">
        <f>'SurveyRpt_20150223 (1)'!B44+"h_l!;g"</f>
        <v>#VALUE!</v>
      </c>
      <c r="BT8" t="e">
        <f>'SurveyRpt_20150223 (1)'!C44+"h_l!;h"</f>
        <v>#VALUE!</v>
      </c>
      <c r="BU8" s="25" t="e">
        <f>'SurveyRpt_20150223 (1)'!D44+"h_l!;i"</f>
        <v>#VALUE!</v>
      </c>
      <c r="BV8" t="e">
        <f>'SurveyRpt_20150223 (1)'!E44+"h_l!;j"</f>
        <v>#VALUE!</v>
      </c>
      <c r="BW8" t="e">
        <f>'SurveyRpt_20150223 (1)'!F44+"h_l!;k"</f>
        <v>#VALUE!</v>
      </c>
      <c r="BX8" t="e">
        <f>'SurveyRpt_20150223 (1)'!G44+"h_l!;l"</f>
        <v>#VALUE!</v>
      </c>
      <c r="BY8" t="e">
        <f>'SurveyRpt_20150223 (1)'!H44+"h_l!;m"</f>
        <v>#VALUE!</v>
      </c>
      <c r="BZ8" t="e">
        <f>'SurveyRpt_20150223 (1)'!I44+"h_l!;n"</f>
        <v>#VALUE!</v>
      </c>
      <c r="CA8" t="e">
        <f>'SurveyRpt_20150223 (1)'!J44+"h_l!;o"</f>
        <v>#VALUE!</v>
      </c>
      <c r="CB8" t="e">
        <f>'SurveyRpt_20150223 (1)'!K44+"h_l!;p"</f>
        <v>#VALUE!</v>
      </c>
      <c r="CC8" t="e">
        <f>'SurveyRpt_20150223 (1)'!L44+"h_l!;q"</f>
        <v>#VALUE!</v>
      </c>
      <c r="CD8" t="e">
        <f>'SurveyRpt_20150223 (1)'!M44+"h_l!;r"</f>
        <v>#VALUE!</v>
      </c>
      <c r="CE8" t="e">
        <f>'SurveyRpt_20150223 (1)'!N44+"h_l!;s"</f>
        <v>#VALUE!</v>
      </c>
      <c r="CF8" t="e">
        <f>'SurveyRpt_20150223 (1)'!O44+"h_l!;t"</f>
        <v>#VALUE!</v>
      </c>
      <c r="CG8" t="e">
        <f>'SurveyRpt_20150223 (1)'!P44+"h_l!;u"</f>
        <v>#VALUE!</v>
      </c>
      <c r="CH8" t="e">
        <f>'SurveyRpt_20150223 (1)'!Q44+"h_l!;v"</f>
        <v>#VALUE!</v>
      </c>
      <c r="CI8" t="e">
        <f>'SurveyRpt_20150223 (1)'!R44+"h_l!;w"</f>
        <v>#VALUE!</v>
      </c>
      <c r="CJ8" t="e">
        <f>'SurveyRpt_20150223 (1)'!S44+"h_l!;x"</f>
        <v>#VALUE!</v>
      </c>
      <c r="CK8" t="e">
        <f>'SurveyRpt_20150223 (1)'!T44+"h_l!;y"</f>
        <v>#VALUE!</v>
      </c>
      <c r="CL8" t="e">
        <f>'SurveyRpt_20150223 (1)'!U44+"h_l!;z"</f>
        <v>#VALUE!</v>
      </c>
      <c r="CM8" t="e">
        <f>'SurveyRpt_20150223 (1)'!V44+"h_l!;{"</f>
        <v>#VALUE!</v>
      </c>
      <c r="CN8" t="e">
        <f>'SurveyRpt_20150223 (1)'!W44+"h_l!;|"</f>
        <v>#VALUE!</v>
      </c>
      <c r="CO8" t="e">
        <f>'SurveyRpt_20150223 (1)'!X44+"h_l!;}"</f>
        <v>#VALUE!</v>
      </c>
      <c r="CP8" t="e">
        <f>'SurveyRpt_20150223 (1)'!Y44+"h_l!;~"</f>
        <v>#VALUE!</v>
      </c>
      <c r="CQ8" t="e">
        <f>'SurveyRpt_20150223 (1)'!Z44+"h_l!&lt;#"</f>
        <v>#VALUE!</v>
      </c>
      <c r="CR8" t="e">
        <f>'SurveyRpt_20150223 (1)'!AA44+"h_l!&lt;$"</f>
        <v>#VALUE!</v>
      </c>
      <c r="CS8" t="e">
        <f>'SurveyRpt_20150223 (1)'!AB44+"h_l!&lt;%"</f>
        <v>#VALUE!</v>
      </c>
      <c r="CT8" t="e">
        <f>'SurveyRpt_20150223 (1)'!AC44+"h_l!&lt;&amp;"</f>
        <v>#VALUE!</v>
      </c>
      <c r="CU8" t="e">
        <f>'SurveyRpt_20150223 (1)'!AD44+"h_l!&lt;'"</f>
        <v>#VALUE!</v>
      </c>
      <c r="CV8" t="e">
        <f>'SurveyRpt_20150223 (1)'!AE44+"h_l!&lt;("</f>
        <v>#VALUE!</v>
      </c>
      <c r="CW8" t="e">
        <f>'SurveyRpt_20150223 (1)'!AF44+"h_l!&lt;)"</f>
        <v>#VALUE!</v>
      </c>
      <c r="CX8" t="e">
        <f>'SurveyRpt_20150223 (1)'!AG44+"h_l!&lt;."</f>
        <v>#VALUE!</v>
      </c>
      <c r="CY8" t="e">
        <f>'SurveyRpt_20150223 (1)'!AH44+"h_l!&lt;/"</f>
        <v>#VALUE!</v>
      </c>
      <c r="CZ8" t="e">
        <f>'SurveyRpt_20150223 (1)'!AI44+"h_l!&lt;0"</f>
        <v>#VALUE!</v>
      </c>
      <c r="DA8" t="e">
        <f>'SurveyRpt_20150223 (1)'!AJ44+"h_l!&lt;1"</f>
        <v>#VALUE!</v>
      </c>
      <c r="DB8" t="e">
        <f>'SurveyRpt_20150223 (1)'!AK44+"h_l!&lt;2"</f>
        <v>#VALUE!</v>
      </c>
      <c r="DC8" t="e">
        <f>'SurveyRpt_20150223 (1)'!AL44+"h_l!&lt;3"</f>
        <v>#VALUE!</v>
      </c>
      <c r="DD8" t="e">
        <f>'SurveyRpt_20150223 (1)'!AM44+"h_l!&lt;4"</f>
        <v>#VALUE!</v>
      </c>
      <c r="DE8" t="e">
        <f>'SurveyRpt_20150223 (1)'!AN44+"h_l!&lt;5"</f>
        <v>#VALUE!</v>
      </c>
      <c r="DF8" t="e">
        <f>'SurveyRpt_20150223 (1)'!A45+"h_l!&lt;6"</f>
        <v>#VALUE!</v>
      </c>
      <c r="DG8" s="25" t="e">
        <f>'SurveyRpt_20150223 (1)'!B45+"h_l!&lt;7"</f>
        <v>#VALUE!</v>
      </c>
      <c r="DH8" t="e">
        <f>'SurveyRpt_20150223 (1)'!C45+"h_l!&lt;8"</f>
        <v>#VALUE!</v>
      </c>
      <c r="DI8" s="25" t="e">
        <f>'SurveyRpt_20150223 (1)'!D45+"h_l!&lt;9"</f>
        <v>#VALUE!</v>
      </c>
      <c r="DJ8" t="e">
        <f>'SurveyRpt_20150223 (1)'!E45+"h_l!&lt;:"</f>
        <v>#VALUE!</v>
      </c>
      <c r="DK8" t="e">
        <f>'SurveyRpt_20150223 (1)'!F45+"h_l!&lt;;"</f>
        <v>#VALUE!</v>
      </c>
      <c r="DL8" t="e">
        <f>'SurveyRpt_20150223 (1)'!G45+"h_l!&lt;&lt;"</f>
        <v>#VALUE!</v>
      </c>
      <c r="DM8" t="e">
        <f>'SurveyRpt_20150223 (1)'!H45+"h_l!&lt;="</f>
        <v>#VALUE!</v>
      </c>
      <c r="DN8" t="e">
        <f>'SurveyRpt_20150223 (1)'!I45+"h_l!&lt;&gt;"</f>
        <v>#VALUE!</v>
      </c>
      <c r="DO8" t="e">
        <f>'SurveyRpt_20150223 (1)'!J45+"h_l!&lt;?"</f>
        <v>#VALUE!</v>
      </c>
      <c r="DP8" t="e">
        <f>'SurveyRpt_20150223 (1)'!K45+"h_l!&lt;@"</f>
        <v>#VALUE!</v>
      </c>
      <c r="DQ8" t="e">
        <f>'SurveyRpt_20150223 (1)'!L45+"h_l!&lt;A"</f>
        <v>#VALUE!</v>
      </c>
      <c r="DR8" t="e">
        <f>'SurveyRpt_20150223 (1)'!M45+"h_l!&lt;B"</f>
        <v>#VALUE!</v>
      </c>
      <c r="DS8" t="e">
        <f>'SurveyRpt_20150223 (1)'!N45+"h_l!&lt;C"</f>
        <v>#VALUE!</v>
      </c>
      <c r="DT8" t="e">
        <f>'SurveyRpt_20150223 (1)'!O45+"h_l!&lt;D"</f>
        <v>#VALUE!</v>
      </c>
      <c r="DU8" t="e">
        <f>'SurveyRpt_20150223 (1)'!P45+"h_l!&lt;E"</f>
        <v>#VALUE!</v>
      </c>
      <c r="DV8" t="e">
        <f>'SurveyRpt_20150223 (1)'!Q45+"h_l!&lt;F"</f>
        <v>#VALUE!</v>
      </c>
      <c r="DW8" t="e">
        <f>'SurveyRpt_20150223 (1)'!R45+"h_l!&lt;G"</f>
        <v>#VALUE!</v>
      </c>
      <c r="DX8" t="e">
        <f>'SurveyRpt_20150223 (1)'!S45+"h_l!&lt;H"</f>
        <v>#VALUE!</v>
      </c>
      <c r="DY8" t="e">
        <f>'SurveyRpt_20150223 (1)'!T45+"h_l!&lt;I"</f>
        <v>#VALUE!</v>
      </c>
      <c r="DZ8" t="e">
        <f>'SurveyRpt_20150223 (1)'!U45+"h_l!&lt;J"</f>
        <v>#VALUE!</v>
      </c>
      <c r="EA8" t="e">
        <f>'SurveyRpt_20150223 (1)'!V45+"h_l!&lt;K"</f>
        <v>#VALUE!</v>
      </c>
      <c r="EB8" t="e">
        <f>'SurveyRpt_20150223 (1)'!W45+"h_l!&lt;L"</f>
        <v>#VALUE!</v>
      </c>
      <c r="EC8" t="e">
        <f>'SurveyRpt_20150223 (1)'!X45+"h_l!&lt;M"</f>
        <v>#VALUE!</v>
      </c>
      <c r="ED8" t="e">
        <f>'SurveyRpt_20150223 (1)'!Y45+"h_l!&lt;N"</f>
        <v>#VALUE!</v>
      </c>
      <c r="EE8" t="e">
        <f>'SurveyRpt_20150223 (1)'!Z45+"h_l!&lt;O"</f>
        <v>#VALUE!</v>
      </c>
      <c r="EF8" t="e">
        <f>'SurveyRpt_20150223 (1)'!AA45+"h_l!&lt;P"</f>
        <v>#VALUE!</v>
      </c>
      <c r="EG8" t="e">
        <f>'SurveyRpt_20150223 (1)'!AB45+"h_l!&lt;Q"</f>
        <v>#VALUE!</v>
      </c>
      <c r="EH8" t="e">
        <f>'SurveyRpt_20150223 (1)'!AC45+"h_l!&lt;R"</f>
        <v>#VALUE!</v>
      </c>
      <c r="EI8" t="e">
        <f>'SurveyRpt_20150223 (1)'!AD45+"h_l!&lt;S"</f>
        <v>#VALUE!</v>
      </c>
      <c r="EJ8" t="e">
        <f>'SurveyRpt_20150223 (1)'!AE45+"h_l!&lt;T"</f>
        <v>#VALUE!</v>
      </c>
      <c r="EK8" t="e">
        <f>'SurveyRpt_20150223 (1)'!AF45+"h_l!&lt;U"</f>
        <v>#VALUE!</v>
      </c>
      <c r="EL8" t="e">
        <f>'SurveyRpt_20150223 (1)'!AG45+"h_l!&lt;V"</f>
        <v>#VALUE!</v>
      </c>
      <c r="EM8" t="e">
        <f>'SurveyRpt_20150223 (1)'!AH45+"h_l!&lt;W"</f>
        <v>#VALUE!</v>
      </c>
      <c r="EN8" t="e">
        <f>'SurveyRpt_20150223 (1)'!AI45+"h_l!&lt;X"</f>
        <v>#VALUE!</v>
      </c>
      <c r="EO8" t="e">
        <f>'SurveyRpt_20150223 (1)'!AJ45+"h_l!&lt;Y"</f>
        <v>#VALUE!</v>
      </c>
      <c r="EP8" t="e">
        <f>'SurveyRpt_20150223 (1)'!AK45+"h_l!&lt;Z"</f>
        <v>#VALUE!</v>
      </c>
      <c r="EQ8" t="e">
        <f>'SurveyRpt_20150223 (1)'!AL45+"h_l!&lt;["</f>
        <v>#VALUE!</v>
      </c>
      <c r="ER8" t="e">
        <f>'SurveyRpt_20150223 (1)'!AM45+"h_l!&lt;\"</f>
        <v>#VALUE!</v>
      </c>
      <c r="ES8" t="e">
        <f>'SurveyRpt_20150223 (1)'!AN45+"h_l!&lt;]"</f>
        <v>#VALUE!</v>
      </c>
      <c r="ET8" t="e">
        <f>'SurveyRpt_20150223 (1)'!A46+"h_l!&lt;^"</f>
        <v>#VALUE!</v>
      </c>
      <c r="EU8" s="25" t="e">
        <f>'SurveyRpt_20150223 (1)'!B46+"h_l!&lt;_"</f>
        <v>#VALUE!</v>
      </c>
      <c r="EV8" t="e">
        <f>'SurveyRpt_20150223 (1)'!C46+"h_l!&lt;`"</f>
        <v>#VALUE!</v>
      </c>
      <c r="EW8" s="25" t="e">
        <f>'SurveyRpt_20150223 (1)'!D46+"h_l!&lt;a"</f>
        <v>#VALUE!</v>
      </c>
      <c r="EX8" t="e">
        <f>'SurveyRpt_20150223 (1)'!E46+"h_l!&lt;b"</f>
        <v>#VALUE!</v>
      </c>
      <c r="EY8" t="e">
        <f>'SurveyRpt_20150223 (1)'!F46+"h_l!&lt;c"</f>
        <v>#VALUE!</v>
      </c>
      <c r="EZ8" t="e">
        <f>'SurveyRpt_20150223 (1)'!G46+"h_l!&lt;d"</f>
        <v>#VALUE!</v>
      </c>
      <c r="FA8" t="e">
        <f>'SurveyRpt_20150223 (1)'!H46+"h_l!&lt;e"</f>
        <v>#VALUE!</v>
      </c>
      <c r="FB8" t="e">
        <f>'SurveyRpt_20150223 (1)'!I46+"h_l!&lt;f"</f>
        <v>#VALUE!</v>
      </c>
      <c r="FC8" t="e">
        <f>'SurveyRpt_20150223 (1)'!J46+"h_l!&lt;g"</f>
        <v>#VALUE!</v>
      </c>
      <c r="FD8" t="e">
        <f>'SurveyRpt_20150223 (1)'!K46+"h_l!&lt;h"</f>
        <v>#VALUE!</v>
      </c>
      <c r="FE8" t="e">
        <f>'SurveyRpt_20150223 (1)'!L46+"h_l!&lt;i"</f>
        <v>#VALUE!</v>
      </c>
      <c r="FF8" t="e">
        <f>'SurveyRpt_20150223 (1)'!M46+"h_l!&lt;j"</f>
        <v>#VALUE!</v>
      </c>
      <c r="FG8" t="e">
        <f>'SurveyRpt_20150223 (1)'!N46+"h_l!&lt;k"</f>
        <v>#VALUE!</v>
      </c>
      <c r="FH8" t="e">
        <f>'SurveyRpt_20150223 (1)'!O46+"h_l!&lt;l"</f>
        <v>#VALUE!</v>
      </c>
      <c r="FI8" t="e">
        <f>'SurveyRpt_20150223 (1)'!P46+"h_l!&lt;m"</f>
        <v>#VALUE!</v>
      </c>
      <c r="FJ8" t="e">
        <f>'SurveyRpt_20150223 (1)'!Q46+"h_l!&lt;n"</f>
        <v>#VALUE!</v>
      </c>
      <c r="FK8" t="e">
        <f>'SurveyRpt_20150223 (1)'!R46+"h_l!&lt;o"</f>
        <v>#VALUE!</v>
      </c>
      <c r="FL8" t="e">
        <f>'SurveyRpt_20150223 (1)'!S46+"h_l!&lt;p"</f>
        <v>#VALUE!</v>
      </c>
      <c r="FM8" t="e">
        <f>'SurveyRpt_20150223 (1)'!T46+"h_l!&lt;q"</f>
        <v>#VALUE!</v>
      </c>
      <c r="FN8" t="e">
        <f>'SurveyRpt_20150223 (1)'!U46+"h_l!&lt;r"</f>
        <v>#VALUE!</v>
      </c>
      <c r="FO8" t="e">
        <f>'SurveyRpt_20150223 (1)'!V46+"h_l!&lt;s"</f>
        <v>#VALUE!</v>
      </c>
      <c r="FP8" t="e">
        <f>'SurveyRpt_20150223 (1)'!W46+"h_l!&lt;t"</f>
        <v>#VALUE!</v>
      </c>
      <c r="FQ8" t="e">
        <f>'SurveyRpt_20150223 (1)'!X46+"h_l!&lt;u"</f>
        <v>#VALUE!</v>
      </c>
      <c r="FR8" t="e">
        <f>'SurveyRpt_20150223 (1)'!Y46+"h_l!&lt;v"</f>
        <v>#VALUE!</v>
      </c>
      <c r="FS8" t="e">
        <f>'SurveyRpt_20150223 (1)'!Z46+"h_l!&lt;w"</f>
        <v>#VALUE!</v>
      </c>
      <c r="FT8" t="e">
        <f>'SurveyRpt_20150223 (1)'!AA46+"h_l!&lt;x"</f>
        <v>#VALUE!</v>
      </c>
      <c r="FU8" t="e">
        <f>'SurveyRpt_20150223 (1)'!AB46+"h_l!&lt;y"</f>
        <v>#VALUE!</v>
      </c>
      <c r="FV8" t="e">
        <f>'SurveyRpt_20150223 (1)'!AC46+"h_l!&lt;z"</f>
        <v>#VALUE!</v>
      </c>
      <c r="FW8" t="e">
        <f>'SurveyRpt_20150223 (1)'!AD46+"h_l!&lt;{"</f>
        <v>#VALUE!</v>
      </c>
      <c r="FX8" t="e">
        <f>'SurveyRpt_20150223 (1)'!AE46+"h_l!&lt;|"</f>
        <v>#VALUE!</v>
      </c>
      <c r="FY8" t="e">
        <f>'SurveyRpt_20150223 (1)'!AF46+"h_l!&lt;}"</f>
        <v>#VALUE!</v>
      </c>
      <c r="FZ8" t="e">
        <f>'SurveyRpt_20150223 (1)'!AG46+"h_l!&lt;~"</f>
        <v>#VALUE!</v>
      </c>
      <c r="GA8" t="e">
        <f>'SurveyRpt_20150223 (1)'!AH46+"h_l!=#"</f>
        <v>#VALUE!</v>
      </c>
      <c r="GB8" t="e">
        <f>'SurveyRpt_20150223 (1)'!AI46+"h_l!=$"</f>
        <v>#VALUE!</v>
      </c>
      <c r="GC8" t="e">
        <f>'SurveyRpt_20150223 (1)'!AJ46+"h_l!=%"</f>
        <v>#VALUE!</v>
      </c>
      <c r="GD8" t="e">
        <f>'SurveyRpt_20150223 (1)'!AK46+"h_l!=&amp;"</f>
        <v>#VALUE!</v>
      </c>
      <c r="GE8" t="e">
        <f>'SurveyRpt_20150223 (1)'!AL46+"h_l!='"</f>
        <v>#VALUE!</v>
      </c>
      <c r="GF8" t="e">
        <f>'SurveyRpt_20150223 (1)'!AM46+"h_l!=("</f>
        <v>#VALUE!</v>
      </c>
      <c r="GG8" t="e">
        <f>'SurveyRpt_20150223 (1)'!AN46+"h_l!=)"</f>
        <v>#VALUE!</v>
      </c>
      <c r="GH8" t="e">
        <f>'SurveyRpt_20150223 (1)'!A47+"h_l!=."</f>
        <v>#VALUE!</v>
      </c>
      <c r="GI8" s="25" t="e">
        <f>'SurveyRpt_20150223 (1)'!B47+"h_l!=/"</f>
        <v>#VALUE!</v>
      </c>
      <c r="GJ8" t="e">
        <f>'SurveyRpt_20150223 (1)'!C47+"h_l!=0"</f>
        <v>#VALUE!</v>
      </c>
      <c r="GK8" s="25" t="e">
        <f>'SurveyRpt_20150223 (1)'!D47+"h_l!=1"</f>
        <v>#VALUE!</v>
      </c>
      <c r="GL8" t="e">
        <f>'SurveyRpt_20150223 (1)'!E47+"h_l!=2"</f>
        <v>#VALUE!</v>
      </c>
      <c r="GM8" t="e">
        <f>'SurveyRpt_20150223 (1)'!F47+"h_l!=3"</f>
        <v>#VALUE!</v>
      </c>
      <c r="GN8" t="e">
        <f>'SurveyRpt_20150223 (1)'!G47+"h_l!=4"</f>
        <v>#VALUE!</v>
      </c>
      <c r="GO8" t="e">
        <f>'SurveyRpt_20150223 (1)'!H47+"h_l!=5"</f>
        <v>#VALUE!</v>
      </c>
      <c r="GP8" t="e">
        <f>'SurveyRpt_20150223 (1)'!I47+"h_l!=6"</f>
        <v>#VALUE!</v>
      </c>
      <c r="GQ8" t="e">
        <f>'SurveyRpt_20150223 (1)'!J47+"h_l!=7"</f>
        <v>#VALUE!</v>
      </c>
      <c r="GR8" t="e">
        <f>'SurveyRpt_20150223 (1)'!K47+"h_l!=8"</f>
        <v>#VALUE!</v>
      </c>
      <c r="GS8" t="e">
        <f>'SurveyRpt_20150223 (1)'!L47+"h_l!=9"</f>
        <v>#VALUE!</v>
      </c>
      <c r="GT8" t="e">
        <f>'SurveyRpt_20150223 (1)'!M47+"h_l!=:"</f>
        <v>#VALUE!</v>
      </c>
      <c r="GU8" t="e">
        <f>'SurveyRpt_20150223 (1)'!N47+"h_l!=;"</f>
        <v>#VALUE!</v>
      </c>
      <c r="GV8" t="e">
        <f>'SurveyRpt_20150223 (1)'!O47+"h_l!=&lt;"</f>
        <v>#VALUE!</v>
      </c>
      <c r="GW8" t="e">
        <f>'SurveyRpt_20150223 (1)'!P47+"h_l!=="</f>
        <v>#VALUE!</v>
      </c>
      <c r="GX8" t="e">
        <f>'SurveyRpt_20150223 (1)'!Q47+"h_l!=&gt;"</f>
        <v>#VALUE!</v>
      </c>
      <c r="GY8" t="e">
        <f>'SurveyRpt_20150223 (1)'!R47+"h_l!=?"</f>
        <v>#VALUE!</v>
      </c>
      <c r="GZ8" t="e">
        <f>'SurveyRpt_20150223 (1)'!S47+"h_l!=@"</f>
        <v>#VALUE!</v>
      </c>
      <c r="HA8" t="e">
        <f>'SurveyRpt_20150223 (1)'!T47+"h_l!=A"</f>
        <v>#VALUE!</v>
      </c>
      <c r="HB8" t="e">
        <f>'SurveyRpt_20150223 (1)'!U47+"h_l!=B"</f>
        <v>#VALUE!</v>
      </c>
      <c r="HC8" t="e">
        <f>'SurveyRpt_20150223 (1)'!V47+"h_l!=C"</f>
        <v>#VALUE!</v>
      </c>
      <c r="HD8" t="e">
        <f>'SurveyRpt_20150223 (1)'!W47+"h_l!=D"</f>
        <v>#VALUE!</v>
      </c>
      <c r="HE8" t="e">
        <f>'SurveyRpt_20150223 (1)'!X47+"h_l!=E"</f>
        <v>#VALUE!</v>
      </c>
      <c r="HF8" t="e">
        <f>'SurveyRpt_20150223 (1)'!Y47+"h_l!=F"</f>
        <v>#VALUE!</v>
      </c>
      <c r="HG8" t="e">
        <f>'SurveyRpt_20150223 (1)'!Z47+"h_l!=G"</f>
        <v>#VALUE!</v>
      </c>
      <c r="HH8" t="e">
        <f>'SurveyRpt_20150223 (1)'!AA47+"h_l!=H"</f>
        <v>#VALUE!</v>
      </c>
      <c r="HI8" t="e">
        <f>'SurveyRpt_20150223 (1)'!AB47+"h_l!=I"</f>
        <v>#VALUE!</v>
      </c>
      <c r="HJ8" t="e">
        <f>'SurveyRpt_20150223 (1)'!AC47+"h_l!=J"</f>
        <v>#VALUE!</v>
      </c>
      <c r="HK8" t="e">
        <f>'SurveyRpt_20150223 (1)'!AD47+"h_l!=K"</f>
        <v>#VALUE!</v>
      </c>
      <c r="HL8" t="e">
        <f>'SurveyRpt_20150223 (1)'!AE47+"h_l!=L"</f>
        <v>#VALUE!</v>
      </c>
      <c r="HM8" t="e">
        <f>'SurveyRpt_20150223 (1)'!AF47+"h_l!=M"</f>
        <v>#VALUE!</v>
      </c>
      <c r="HN8" t="e">
        <f>'SurveyRpt_20150223 (1)'!AG47+"h_l!=N"</f>
        <v>#VALUE!</v>
      </c>
      <c r="HO8" t="e">
        <f>'SurveyRpt_20150223 (1)'!AH47+"h_l!=O"</f>
        <v>#VALUE!</v>
      </c>
      <c r="HP8" t="e">
        <f>'SurveyRpt_20150223 (1)'!AI47+"h_l!=P"</f>
        <v>#VALUE!</v>
      </c>
      <c r="HQ8" t="e">
        <f>'SurveyRpt_20150223 (1)'!AJ47+"h_l!=Q"</f>
        <v>#VALUE!</v>
      </c>
      <c r="HR8" t="e">
        <f>'SurveyRpt_20150223 (1)'!AK47+"h_l!=R"</f>
        <v>#VALUE!</v>
      </c>
      <c r="HS8" t="e">
        <f>'SurveyRpt_20150223 (1)'!AL47+"h_l!=S"</f>
        <v>#VALUE!</v>
      </c>
      <c r="HT8" t="e">
        <f>'SurveyRpt_20150223 (1)'!AM47+"h_l!=T"</f>
        <v>#VALUE!</v>
      </c>
      <c r="HU8" t="e">
        <f>'SurveyRpt_20150223 (1)'!AN47+"h_l!=U"</f>
        <v>#VALUE!</v>
      </c>
      <c r="HV8" t="e">
        <f>'SurveyRpt_20150223 (1)'!A48+"h_l!=V"</f>
        <v>#VALUE!</v>
      </c>
      <c r="HW8" s="25" t="e">
        <f>'SurveyRpt_20150223 (1)'!B48+"h_l!=W"</f>
        <v>#VALUE!</v>
      </c>
      <c r="HX8" t="e">
        <f>'SurveyRpt_20150223 (1)'!C48+"h_l!=X"</f>
        <v>#VALUE!</v>
      </c>
      <c r="HY8" s="25" t="e">
        <f>'SurveyRpt_20150223 (1)'!D48+"h_l!=Y"</f>
        <v>#VALUE!</v>
      </c>
      <c r="HZ8" t="e">
        <f>'SurveyRpt_20150223 (1)'!E48+"h_l!=Z"</f>
        <v>#VALUE!</v>
      </c>
      <c r="IA8" t="e">
        <f>'SurveyRpt_20150223 (1)'!F48+"h_l!=["</f>
        <v>#VALUE!</v>
      </c>
      <c r="IB8" t="e">
        <f>'SurveyRpt_20150223 (1)'!G48+"h_l!=\"</f>
        <v>#VALUE!</v>
      </c>
      <c r="IC8" t="e">
        <f>'SurveyRpt_20150223 (1)'!H48+"h_l!=]"</f>
        <v>#VALUE!</v>
      </c>
      <c r="ID8" t="e">
        <f>'SurveyRpt_20150223 (1)'!I48+"h_l!=^"</f>
        <v>#VALUE!</v>
      </c>
      <c r="IE8" t="e">
        <f>'SurveyRpt_20150223 (1)'!J48+"h_l!=_"</f>
        <v>#VALUE!</v>
      </c>
      <c r="IF8" t="e">
        <f>'SurveyRpt_20150223 (1)'!K48+"h_l!=`"</f>
        <v>#VALUE!</v>
      </c>
      <c r="IG8" t="e">
        <f>'SurveyRpt_20150223 (1)'!L48+"h_l!=a"</f>
        <v>#VALUE!</v>
      </c>
      <c r="IH8" t="e">
        <f>'SurveyRpt_20150223 (1)'!M48+"h_l!=b"</f>
        <v>#VALUE!</v>
      </c>
      <c r="II8" t="e">
        <f>'SurveyRpt_20150223 (1)'!N48+"h_l!=c"</f>
        <v>#VALUE!</v>
      </c>
      <c r="IJ8" t="e">
        <f>'SurveyRpt_20150223 (1)'!O48+"h_l!=d"</f>
        <v>#VALUE!</v>
      </c>
      <c r="IK8" t="e">
        <f>'SurveyRpt_20150223 (1)'!P48+"h_l!=e"</f>
        <v>#VALUE!</v>
      </c>
      <c r="IL8" t="e">
        <f>'SurveyRpt_20150223 (1)'!Q48+"h_l!=f"</f>
        <v>#VALUE!</v>
      </c>
      <c r="IM8" t="e">
        <f>'SurveyRpt_20150223 (1)'!R48+"h_l!=g"</f>
        <v>#VALUE!</v>
      </c>
      <c r="IN8" t="e">
        <f>'SurveyRpt_20150223 (1)'!S48+"h_l!=h"</f>
        <v>#VALUE!</v>
      </c>
      <c r="IO8" t="e">
        <f>'SurveyRpt_20150223 (1)'!T48+"h_l!=i"</f>
        <v>#VALUE!</v>
      </c>
      <c r="IP8" t="e">
        <f>'SurveyRpt_20150223 (1)'!U48+"h_l!=j"</f>
        <v>#VALUE!</v>
      </c>
      <c r="IQ8" t="e">
        <f>'SurveyRpt_20150223 (1)'!V48+"h_l!=k"</f>
        <v>#VALUE!</v>
      </c>
      <c r="IR8" t="e">
        <f>'SurveyRpt_20150223 (1)'!W48+"h_l!=l"</f>
        <v>#VALUE!</v>
      </c>
      <c r="IS8" t="e">
        <f>'SurveyRpt_20150223 (1)'!X48+"h_l!=m"</f>
        <v>#VALUE!</v>
      </c>
      <c r="IT8" t="e">
        <f>'SurveyRpt_20150223 (1)'!Y48+"h_l!=n"</f>
        <v>#VALUE!</v>
      </c>
      <c r="IU8" t="e">
        <f>'SurveyRpt_20150223 (1)'!Z48+"h_l!=o"</f>
        <v>#VALUE!</v>
      </c>
      <c r="IV8" t="e">
        <f>'SurveyRpt_20150223 (1)'!AA48+"h_l!=p"</f>
        <v>#VALUE!</v>
      </c>
    </row>
    <row r="9" spans="1:256" x14ac:dyDescent="0.25">
      <c r="F9" t="e">
        <f>'SurveyRpt_20150223 (1)'!AB48+"h_l!=q"</f>
        <v>#VALUE!</v>
      </c>
      <c r="G9" t="e">
        <f>'SurveyRpt_20150223 (1)'!AC48+"h_l!=r"</f>
        <v>#VALUE!</v>
      </c>
      <c r="H9" t="e">
        <f>'SurveyRpt_20150223 (1)'!AD48+"h_l!=s"</f>
        <v>#VALUE!</v>
      </c>
      <c r="I9" t="e">
        <f>'SurveyRpt_20150223 (1)'!AE48+"h_l!=t"</f>
        <v>#VALUE!</v>
      </c>
      <c r="J9" t="e">
        <f>'SurveyRpt_20150223 (1)'!AF48+"h_l!=u"</f>
        <v>#VALUE!</v>
      </c>
      <c r="K9" t="e">
        <f>'SurveyRpt_20150223 (1)'!AG48+"h_l!=v"</f>
        <v>#VALUE!</v>
      </c>
      <c r="L9" t="e">
        <f>'SurveyRpt_20150223 (1)'!AH48+"h_l!=w"</f>
        <v>#VALUE!</v>
      </c>
      <c r="M9" t="e">
        <f>'SurveyRpt_20150223 (1)'!AI48+"h_l!=x"</f>
        <v>#VALUE!</v>
      </c>
      <c r="N9" t="e">
        <f>'SurveyRpt_20150223 (1)'!AJ48+"h_l!=y"</f>
        <v>#VALUE!</v>
      </c>
      <c r="O9" t="e">
        <f>'SurveyRpt_20150223 (1)'!AK48+"h_l!=z"</f>
        <v>#VALUE!</v>
      </c>
      <c r="P9" t="e">
        <f>'SurveyRpt_20150223 (1)'!AL48+"h_l!={"</f>
        <v>#VALUE!</v>
      </c>
      <c r="Q9" t="e">
        <f>'SurveyRpt_20150223 (1)'!AM48+"h_l!=|"</f>
        <v>#VALUE!</v>
      </c>
      <c r="R9" t="e">
        <f>'SurveyRpt_20150223 (1)'!AN48+"h_l!=}"</f>
        <v>#VALUE!</v>
      </c>
      <c r="S9" t="e">
        <f>'SurveyRpt_20150223 (1)'!A49+"h_l!=~"</f>
        <v>#VALUE!</v>
      </c>
      <c r="T9" s="25" t="e">
        <f>'SurveyRpt_20150223 (1)'!B49+"h_l!&gt;#"</f>
        <v>#VALUE!</v>
      </c>
      <c r="U9" t="e">
        <f>'SurveyRpt_20150223 (1)'!C49+"h_l!&gt;$"</f>
        <v>#VALUE!</v>
      </c>
      <c r="V9" s="25" t="e">
        <f>'SurveyRpt_20150223 (1)'!D49+"h_l!&gt;%"</f>
        <v>#VALUE!</v>
      </c>
      <c r="W9" t="e">
        <f>'SurveyRpt_20150223 (1)'!E49+"h_l!&gt;&amp;"</f>
        <v>#VALUE!</v>
      </c>
      <c r="X9" t="e">
        <f>'SurveyRpt_20150223 (1)'!F49+"h_l!&gt;'"</f>
        <v>#VALUE!</v>
      </c>
      <c r="Y9" t="e">
        <f>'SurveyRpt_20150223 (1)'!G49+"h_l!&gt;("</f>
        <v>#VALUE!</v>
      </c>
      <c r="Z9" t="e">
        <f>'SurveyRpt_20150223 (1)'!H49+"h_l!&gt;)"</f>
        <v>#VALUE!</v>
      </c>
      <c r="AA9" t="e">
        <f>'SurveyRpt_20150223 (1)'!I49+"h_l!&gt;."</f>
        <v>#VALUE!</v>
      </c>
      <c r="AB9" t="e">
        <f>'SurveyRpt_20150223 (1)'!J49+"h_l!&gt;/"</f>
        <v>#VALUE!</v>
      </c>
      <c r="AC9" t="e">
        <f>'SurveyRpt_20150223 (1)'!K49+"h_l!&gt;0"</f>
        <v>#VALUE!</v>
      </c>
      <c r="AD9" t="e">
        <f>'SurveyRpt_20150223 (1)'!L49+"h_l!&gt;1"</f>
        <v>#VALUE!</v>
      </c>
      <c r="AE9" t="e">
        <f>'SurveyRpt_20150223 (1)'!M49+"h_l!&gt;2"</f>
        <v>#VALUE!</v>
      </c>
      <c r="AF9" t="e">
        <f>'SurveyRpt_20150223 (1)'!N49+"h_l!&gt;3"</f>
        <v>#VALUE!</v>
      </c>
      <c r="AG9" t="e">
        <f>'SurveyRpt_20150223 (1)'!O49+"h_l!&gt;4"</f>
        <v>#VALUE!</v>
      </c>
      <c r="AH9" t="e">
        <f>'SurveyRpt_20150223 (1)'!P49+"h_l!&gt;5"</f>
        <v>#VALUE!</v>
      </c>
      <c r="AI9" t="e">
        <f>'SurveyRpt_20150223 (1)'!Q49+"h_l!&gt;6"</f>
        <v>#VALUE!</v>
      </c>
      <c r="AJ9" t="e">
        <f>'SurveyRpt_20150223 (1)'!R49+"h_l!&gt;7"</f>
        <v>#VALUE!</v>
      </c>
      <c r="AK9" t="e">
        <f>'SurveyRpt_20150223 (1)'!S49+"h_l!&gt;8"</f>
        <v>#VALUE!</v>
      </c>
      <c r="AL9" t="e">
        <f>'SurveyRpt_20150223 (1)'!T49+"h_l!&gt;9"</f>
        <v>#VALUE!</v>
      </c>
      <c r="AM9" t="e">
        <f>'SurveyRpt_20150223 (1)'!U49+"h_l!&gt;:"</f>
        <v>#VALUE!</v>
      </c>
      <c r="AN9" t="e">
        <f>'SurveyRpt_20150223 (1)'!V49+"h_l!&gt;;"</f>
        <v>#VALUE!</v>
      </c>
      <c r="AO9" t="e">
        <f>'SurveyRpt_20150223 (1)'!W49+"h_l!&gt;&lt;"</f>
        <v>#VALUE!</v>
      </c>
      <c r="AP9" t="e">
        <f>'SurveyRpt_20150223 (1)'!X49+"h_l!&gt;="</f>
        <v>#VALUE!</v>
      </c>
      <c r="AQ9" t="e">
        <f>'SurveyRpt_20150223 (1)'!Y49+"h_l!&gt;&gt;"</f>
        <v>#VALUE!</v>
      </c>
      <c r="AR9" t="e">
        <f>'SurveyRpt_20150223 (1)'!Z49+"h_l!&gt;?"</f>
        <v>#VALUE!</v>
      </c>
      <c r="AS9" t="e">
        <f>'SurveyRpt_20150223 (1)'!AA49+"h_l!&gt;@"</f>
        <v>#VALUE!</v>
      </c>
      <c r="AT9" t="e">
        <f>'SurveyRpt_20150223 (1)'!AB49+"h_l!&gt;A"</f>
        <v>#VALUE!</v>
      </c>
      <c r="AU9" t="e">
        <f>'SurveyRpt_20150223 (1)'!AC49+"h_l!&gt;B"</f>
        <v>#VALUE!</v>
      </c>
      <c r="AV9" t="e">
        <f>'SurveyRpt_20150223 (1)'!AD49+"h_l!&gt;C"</f>
        <v>#VALUE!</v>
      </c>
      <c r="AW9" t="e">
        <f>'SurveyRpt_20150223 (1)'!AE49+"h_l!&gt;D"</f>
        <v>#VALUE!</v>
      </c>
      <c r="AX9" t="e">
        <f>'SurveyRpt_20150223 (1)'!AF49+"h_l!&gt;E"</f>
        <v>#VALUE!</v>
      </c>
      <c r="AY9" t="e">
        <f>'SurveyRpt_20150223 (1)'!AG49+"h_l!&gt;F"</f>
        <v>#VALUE!</v>
      </c>
      <c r="AZ9" t="e">
        <f>'SurveyRpt_20150223 (1)'!AH49+"h_l!&gt;G"</f>
        <v>#VALUE!</v>
      </c>
      <c r="BA9" t="e">
        <f>'SurveyRpt_20150223 (1)'!AI49+"h_l!&gt;H"</f>
        <v>#VALUE!</v>
      </c>
      <c r="BB9" t="e">
        <f>'SurveyRpt_20150223 (1)'!AJ49+"h_l!&gt;I"</f>
        <v>#VALUE!</v>
      </c>
      <c r="BC9" t="e">
        <f>'SurveyRpt_20150223 (1)'!AK49+"h_l!&gt;J"</f>
        <v>#VALUE!</v>
      </c>
      <c r="BD9" t="e">
        <f>'SurveyRpt_20150223 (1)'!AL49+"h_l!&gt;K"</f>
        <v>#VALUE!</v>
      </c>
      <c r="BE9" t="e">
        <f>'SurveyRpt_20150223 (1)'!AM49+"h_l!&gt;L"</f>
        <v>#VALUE!</v>
      </c>
      <c r="BF9" t="e">
        <f>'SurveyRpt_20150223 (1)'!AN49+"h_l!&gt;M"</f>
        <v>#VALUE!</v>
      </c>
      <c r="BG9" t="e">
        <f>'SurveyRpt_20150223 (1)'!A50+"h_l!&gt;N"</f>
        <v>#VALUE!</v>
      </c>
      <c r="BH9" s="25" t="e">
        <f>'SurveyRpt_20150223 (1)'!B50+"h_l!&gt;O"</f>
        <v>#VALUE!</v>
      </c>
      <c r="BI9" t="e">
        <f>'SurveyRpt_20150223 (1)'!C50+"h_l!&gt;P"</f>
        <v>#VALUE!</v>
      </c>
      <c r="BJ9" s="25" t="e">
        <f>'SurveyRpt_20150223 (1)'!D50+"h_l!&gt;Q"</f>
        <v>#VALUE!</v>
      </c>
      <c r="BK9" t="e">
        <f>'SurveyRpt_20150223 (1)'!E50+"h_l!&gt;R"</f>
        <v>#VALUE!</v>
      </c>
      <c r="BL9" t="e">
        <f>'SurveyRpt_20150223 (1)'!F50+"h_l!&gt;S"</f>
        <v>#VALUE!</v>
      </c>
      <c r="BM9" t="e">
        <f>'SurveyRpt_20150223 (1)'!G50+"h_l!&gt;T"</f>
        <v>#VALUE!</v>
      </c>
      <c r="BN9" t="e">
        <f>'SurveyRpt_20150223 (1)'!H50+"h_l!&gt;U"</f>
        <v>#VALUE!</v>
      </c>
      <c r="BO9" t="e">
        <f>'SurveyRpt_20150223 (1)'!I50+"h_l!&gt;V"</f>
        <v>#VALUE!</v>
      </c>
      <c r="BP9" t="e">
        <f>'SurveyRpt_20150223 (1)'!J50+"h_l!&gt;W"</f>
        <v>#VALUE!</v>
      </c>
      <c r="BQ9" t="e">
        <f>'SurveyRpt_20150223 (1)'!K50+"h_l!&gt;X"</f>
        <v>#VALUE!</v>
      </c>
      <c r="BR9" t="e">
        <f>'SurveyRpt_20150223 (1)'!L50+"h_l!&gt;Y"</f>
        <v>#VALUE!</v>
      </c>
      <c r="BS9" t="e">
        <f>'SurveyRpt_20150223 (1)'!M50+"h_l!&gt;Z"</f>
        <v>#VALUE!</v>
      </c>
      <c r="BT9" t="e">
        <f>'SurveyRpt_20150223 (1)'!N50+"h_l!&gt;["</f>
        <v>#VALUE!</v>
      </c>
      <c r="BU9" t="e">
        <f>'SurveyRpt_20150223 (1)'!O50+"h_l!&gt;\"</f>
        <v>#VALUE!</v>
      </c>
      <c r="BV9" t="e">
        <f>'SurveyRpt_20150223 (1)'!P50+"h_l!&gt;]"</f>
        <v>#VALUE!</v>
      </c>
      <c r="BW9" t="e">
        <f>'SurveyRpt_20150223 (1)'!Q50+"h_l!&gt;^"</f>
        <v>#VALUE!</v>
      </c>
      <c r="BX9" t="e">
        <f>'SurveyRpt_20150223 (1)'!R50+"h_l!&gt;_"</f>
        <v>#VALUE!</v>
      </c>
      <c r="BY9" t="e">
        <f>'SurveyRpt_20150223 (1)'!S50+"h_l!&gt;`"</f>
        <v>#VALUE!</v>
      </c>
      <c r="BZ9" t="e">
        <f>'SurveyRpt_20150223 (1)'!T50+"h_l!&gt;a"</f>
        <v>#VALUE!</v>
      </c>
      <c r="CA9" t="e">
        <f>'SurveyRpt_20150223 (1)'!U50+"h_l!&gt;b"</f>
        <v>#VALUE!</v>
      </c>
      <c r="CB9" t="e">
        <f>'SurveyRpt_20150223 (1)'!V50+"h_l!&gt;c"</f>
        <v>#VALUE!</v>
      </c>
      <c r="CC9" t="e">
        <f>'SurveyRpt_20150223 (1)'!W50+"h_l!&gt;d"</f>
        <v>#VALUE!</v>
      </c>
      <c r="CD9" t="e">
        <f>'SurveyRpt_20150223 (1)'!X50+"h_l!&gt;e"</f>
        <v>#VALUE!</v>
      </c>
      <c r="CE9" t="e">
        <f>'SurveyRpt_20150223 (1)'!Y50+"h_l!&gt;f"</f>
        <v>#VALUE!</v>
      </c>
      <c r="CF9" t="e">
        <f>'SurveyRpt_20150223 (1)'!Z50+"h_l!&gt;g"</f>
        <v>#VALUE!</v>
      </c>
      <c r="CG9" t="e">
        <f>'SurveyRpt_20150223 (1)'!AA50+"h_l!&gt;h"</f>
        <v>#VALUE!</v>
      </c>
      <c r="CH9" t="e">
        <f>'SurveyRpt_20150223 (1)'!AB50+"h_l!&gt;i"</f>
        <v>#VALUE!</v>
      </c>
      <c r="CI9" t="e">
        <f>'SurveyRpt_20150223 (1)'!AC50+"h_l!&gt;j"</f>
        <v>#VALUE!</v>
      </c>
      <c r="CJ9" t="e">
        <f>'SurveyRpt_20150223 (1)'!AD50+"h_l!&gt;k"</f>
        <v>#VALUE!</v>
      </c>
      <c r="CK9" t="e">
        <f>'SurveyRpt_20150223 (1)'!AE50+"h_l!&gt;l"</f>
        <v>#VALUE!</v>
      </c>
      <c r="CL9" t="e">
        <f>'SurveyRpt_20150223 (1)'!AF50+"h_l!&gt;m"</f>
        <v>#VALUE!</v>
      </c>
      <c r="CM9" t="e">
        <f>'SurveyRpt_20150223 (1)'!AG50+"h_l!&gt;n"</f>
        <v>#VALUE!</v>
      </c>
      <c r="CN9" t="e">
        <f>'SurveyRpt_20150223 (1)'!AH50+"h_l!&gt;o"</f>
        <v>#VALUE!</v>
      </c>
      <c r="CO9" t="e">
        <f>'SurveyRpt_20150223 (1)'!AI50+"h_l!&gt;p"</f>
        <v>#VALUE!</v>
      </c>
      <c r="CP9" t="e">
        <f>'SurveyRpt_20150223 (1)'!AJ50+"h_l!&gt;q"</f>
        <v>#VALUE!</v>
      </c>
      <c r="CQ9" t="e">
        <f>'SurveyRpt_20150223 (1)'!AK50+"h_l!&gt;r"</f>
        <v>#VALUE!</v>
      </c>
      <c r="CR9" t="e">
        <f>'SurveyRpt_20150223 (1)'!AL50+"h_l!&gt;s"</f>
        <v>#VALUE!</v>
      </c>
      <c r="CS9" t="e">
        <f>'SurveyRpt_20150223 (1)'!AM50+"h_l!&gt;t"</f>
        <v>#VALUE!</v>
      </c>
      <c r="CT9" t="e">
        <f>'SurveyRpt_20150223 (1)'!AN50+"h_l!&gt;u"</f>
        <v>#VALUE!</v>
      </c>
      <c r="CU9" t="e">
        <f>'SurveyRpt_20150223 (1)'!A51+"h_l!&gt;v"</f>
        <v>#VALUE!</v>
      </c>
      <c r="CV9" s="25" t="e">
        <f>'SurveyRpt_20150223 (1)'!B51+"h_l!&gt;w"</f>
        <v>#VALUE!</v>
      </c>
      <c r="CW9" t="e">
        <f>'SurveyRpt_20150223 (1)'!C51+"h_l!&gt;x"</f>
        <v>#VALUE!</v>
      </c>
      <c r="CX9" s="25" t="e">
        <f>'SurveyRpt_20150223 (1)'!D51+"h_l!&gt;y"</f>
        <v>#VALUE!</v>
      </c>
      <c r="CY9" t="e">
        <f>'SurveyRpt_20150223 (1)'!E51+"h_l!&gt;z"</f>
        <v>#VALUE!</v>
      </c>
      <c r="CZ9" t="e">
        <f>'SurveyRpt_20150223 (1)'!F51+"h_l!&gt;{"</f>
        <v>#VALUE!</v>
      </c>
      <c r="DA9" t="e">
        <f>'SurveyRpt_20150223 (1)'!G51+"h_l!&gt;|"</f>
        <v>#VALUE!</v>
      </c>
      <c r="DB9" t="e">
        <f>'SurveyRpt_20150223 (1)'!H51+"h_l!&gt;}"</f>
        <v>#VALUE!</v>
      </c>
      <c r="DC9" t="e">
        <f>'SurveyRpt_20150223 (1)'!I51+"h_l!&gt;~"</f>
        <v>#VALUE!</v>
      </c>
      <c r="DD9" t="e">
        <f>'SurveyRpt_20150223 (1)'!J51+"h_l!?#"</f>
        <v>#VALUE!</v>
      </c>
      <c r="DE9" t="e">
        <f>'SurveyRpt_20150223 (1)'!K51+"h_l!?$"</f>
        <v>#VALUE!</v>
      </c>
      <c r="DF9" t="e">
        <f>'SurveyRpt_20150223 (1)'!L51+"h_l!?%"</f>
        <v>#VALUE!</v>
      </c>
      <c r="DG9" t="e">
        <f>'SurveyRpt_20150223 (1)'!M51+"h_l!?&amp;"</f>
        <v>#VALUE!</v>
      </c>
      <c r="DH9" t="e">
        <f>'SurveyRpt_20150223 (1)'!N51+"h_l!?'"</f>
        <v>#VALUE!</v>
      </c>
      <c r="DI9" t="e">
        <f>'SurveyRpt_20150223 (1)'!O51+"h_l!?("</f>
        <v>#VALUE!</v>
      </c>
      <c r="DJ9" t="e">
        <f>'SurveyRpt_20150223 (1)'!P51+"h_l!?)"</f>
        <v>#VALUE!</v>
      </c>
      <c r="DK9" t="e">
        <f>'SurveyRpt_20150223 (1)'!Q51+"h_l!?."</f>
        <v>#VALUE!</v>
      </c>
      <c r="DL9" t="e">
        <f>'SurveyRpt_20150223 (1)'!R51+"h_l!?/"</f>
        <v>#VALUE!</v>
      </c>
      <c r="DM9" t="e">
        <f>'SurveyRpt_20150223 (1)'!S51+"h_l!?0"</f>
        <v>#VALUE!</v>
      </c>
      <c r="DN9" t="e">
        <f>'SurveyRpt_20150223 (1)'!T51+"h_l!?1"</f>
        <v>#VALUE!</v>
      </c>
      <c r="DO9" t="e">
        <f>'SurveyRpt_20150223 (1)'!U51+"h_l!?2"</f>
        <v>#VALUE!</v>
      </c>
      <c r="DP9" t="e">
        <f>'SurveyRpt_20150223 (1)'!V51+"h_l!?3"</f>
        <v>#VALUE!</v>
      </c>
      <c r="DQ9" t="e">
        <f>'SurveyRpt_20150223 (1)'!W51+"h_l!?4"</f>
        <v>#VALUE!</v>
      </c>
      <c r="DR9" t="e">
        <f>'SurveyRpt_20150223 (1)'!X51+"h_l!?5"</f>
        <v>#VALUE!</v>
      </c>
      <c r="DS9" t="e">
        <f>'SurveyRpt_20150223 (1)'!Y51+"h_l!?6"</f>
        <v>#VALUE!</v>
      </c>
      <c r="DT9" t="e">
        <f>'SurveyRpt_20150223 (1)'!Z51+"h_l!?7"</f>
        <v>#VALUE!</v>
      </c>
      <c r="DU9" t="e">
        <f>'SurveyRpt_20150223 (1)'!AA51+"h_l!?8"</f>
        <v>#VALUE!</v>
      </c>
      <c r="DV9" t="e">
        <f>'SurveyRpt_20150223 (1)'!AB51+"h_l!?9"</f>
        <v>#VALUE!</v>
      </c>
      <c r="DW9" t="e">
        <f>'SurveyRpt_20150223 (1)'!AC51+"h_l!?:"</f>
        <v>#VALUE!</v>
      </c>
      <c r="DX9" t="e">
        <f>'SurveyRpt_20150223 (1)'!AD51+"h_l!?;"</f>
        <v>#VALUE!</v>
      </c>
      <c r="DY9" t="e">
        <f>'SurveyRpt_20150223 (1)'!AE51+"h_l!?&lt;"</f>
        <v>#VALUE!</v>
      </c>
      <c r="DZ9" t="e">
        <f>'SurveyRpt_20150223 (1)'!AF51+"h_l!?="</f>
        <v>#VALUE!</v>
      </c>
      <c r="EA9" t="e">
        <f>'SurveyRpt_20150223 (1)'!AG51+"h_l!?&gt;"</f>
        <v>#VALUE!</v>
      </c>
      <c r="EB9" t="e">
        <f>'SurveyRpt_20150223 (1)'!AH51+"h_l!??"</f>
        <v>#VALUE!</v>
      </c>
      <c r="EC9" t="e">
        <f>'SurveyRpt_20150223 (1)'!AI51+"h_l!?@"</f>
        <v>#VALUE!</v>
      </c>
      <c r="ED9" t="e">
        <f>'SurveyRpt_20150223 (1)'!AJ51+"h_l!?A"</f>
        <v>#VALUE!</v>
      </c>
      <c r="EE9" t="e">
        <f>'SurveyRpt_20150223 (1)'!AK51+"h_l!?B"</f>
        <v>#VALUE!</v>
      </c>
      <c r="EF9" t="e">
        <f>'SurveyRpt_20150223 (1)'!AL51+"h_l!?C"</f>
        <v>#VALUE!</v>
      </c>
      <c r="EG9" t="e">
        <f>'SurveyRpt_20150223 (1)'!AM51+"h_l!?D"</f>
        <v>#VALUE!</v>
      </c>
      <c r="EH9" t="e">
        <f>'SurveyRpt_20150223 (1)'!AN51+"h_l!?E"</f>
        <v>#VALUE!</v>
      </c>
      <c r="EI9" t="e">
        <f>'SurveyRpt_20150223 (1)'!A52+"h_l!?F"</f>
        <v>#VALUE!</v>
      </c>
      <c r="EJ9" s="25" t="e">
        <f>'SurveyRpt_20150223 (1)'!B52+"h_l!?G"</f>
        <v>#VALUE!</v>
      </c>
      <c r="EK9" t="e">
        <f>'SurveyRpt_20150223 (1)'!C52+"h_l!?H"</f>
        <v>#VALUE!</v>
      </c>
      <c r="EL9" s="25" t="e">
        <f>'SurveyRpt_20150223 (1)'!D52+"h_l!?I"</f>
        <v>#VALUE!</v>
      </c>
      <c r="EM9" t="e">
        <f>'SurveyRpt_20150223 (1)'!E52+"h_l!?J"</f>
        <v>#VALUE!</v>
      </c>
      <c r="EN9" t="e">
        <f>'SurveyRpt_20150223 (1)'!F52+"h_l!?K"</f>
        <v>#VALUE!</v>
      </c>
      <c r="EO9" t="e">
        <f>'SurveyRpt_20150223 (1)'!G52+"h_l!?L"</f>
        <v>#VALUE!</v>
      </c>
      <c r="EP9" t="e">
        <f>'SurveyRpt_20150223 (1)'!H52+"h_l!?M"</f>
        <v>#VALUE!</v>
      </c>
      <c r="EQ9" t="e">
        <f>'SurveyRpt_20150223 (1)'!I52+"h_l!?N"</f>
        <v>#VALUE!</v>
      </c>
      <c r="ER9" t="e">
        <f>'SurveyRpt_20150223 (1)'!J52+"h_l!?O"</f>
        <v>#VALUE!</v>
      </c>
      <c r="ES9" t="e">
        <f>'SurveyRpt_20150223 (1)'!K52+"h_l!?P"</f>
        <v>#VALUE!</v>
      </c>
      <c r="ET9" t="e">
        <f>'SurveyRpt_20150223 (1)'!L52+"h_l!?Q"</f>
        <v>#VALUE!</v>
      </c>
      <c r="EU9" t="e">
        <f>'SurveyRpt_20150223 (1)'!M52+"h_l!?R"</f>
        <v>#VALUE!</v>
      </c>
      <c r="EV9" t="e">
        <f>'SurveyRpt_20150223 (1)'!N52+"h_l!?S"</f>
        <v>#VALUE!</v>
      </c>
      <c r="EW9" t="e">
        <f>'SurveyRpt_20150223 (1)'!O52+"h_l!?T"</f>
        <v>#VALUE!</v>
      </c>
      <c r="EX9" t="e">
        <f>'SurveyRpt_20150223 (1)'!P52+"h_l!?U"</f>
        <v>#VALUE!</v>
      </c>
      <c r="EY9" t="e">
        <f>'SurveyRpt_20150223 (1)'!Q52+"h_l!?V"</f>
        <v>#VALUE!</v>
      </c>
      <c r="EZ9" t="e">
        <f>'SurveyRpt_20150223 (1)'!R52+"h_l!?W"</f>
        <v>#VALUE!</v>
      </c>
      <c r="FA9" t="e">
        <f>'SurveyRpt_20150223 (1)'!S52+"h_l!?X"</f>
        <v>#VALUE!</v>
      </c>
      <c r="FB9" t="e">
        <f>'SurveyRpt_20150223 (1)'!T52+"h_l!?Y"</f>
        <v>#VALUE!</v>
      </c>
      <c r="FC9" t="e">
        <f>'SurveyRpt_20150223 (1)'!U52+"h_l!?Z"</f>
        <v>#VALUE!</v>
      </c>
      <c r="FD9" t="e">
        <f>'SurveyRpt_20150223 (1)'!V52+"h_l!?["</f>
        <v>#VALUE!</v>
      </c>
      <c r="FE9" t="e">
        <f>'SurveyRpt_20150223 (1)'!W52+"h_l!?\"</f>
        <v>#VALUE!</v>
      </c>
      <c r="FF9" t="e">
        <f>'SurveyRpt_20150223 (1)'!X52+"h_l!?]"</f>
        <v>#VALUE!</v>
      </c>
      <c r="FG9" t="e">
        <f>'SurveyRpt_20150223 (1)'!Y52+"h_l!?^"</f>
        <v>#VALUE!</v>
      </c>
      <c r="FH9" t="e">
        <f>'SurveyRpt_20150223 (1)'!Z52+"h_l!?_"</f>
        <v>#VALUE!</v>
      </c>
      <c r="FI9" t="e">
        <f>'SurveyRpt_20150223 (1)'!AA52+"h_l!?`"</f>
        <v>#VALUE!</v>
      </c>
      <c r="FJ9" t="e">
        <f>'SurveyRpt_20150223 (1)'!AB52+"h_l!?a"</f>
        <v>#VALUE!</v>
      </c>
      <c r="FK9" t="e">
        <f>'SurveyRpt_20150223 (1)'!AC52+"h_l!?b"</f>
        <v>#VALUE!</v>
      </c>
      <c r="FL9" t="e">
        <f>'SurveyRpt_20150223 (1)'!AD52+"h_l!?c"</f>
        <v>#VALUE!</v>
      </c>
      <c r="FM9" t="e">
        <f>'SurveyRpt_20150223 (1)'!AE52+"h_l!?d"</f>
        <v>#VALUE!</v>
      </c>
      <c r="FN9" t="e">
        <f>'SurveyRpt_20150223 (1)'!AF52+"h_l!?e"</f>
        <v>#VALUE!</v>
      </c>
      <c r="FO9" t="e">
        <f>'SurveyRpt_20150223 (1)'!AG52+"h_l!?f"</f>
        <v>#VALUE!</v>
      </c>
      <c r="FP9" t="e">
        <f>'SurveyRpt_20150223 (1)'!AH52+"h_l!?g"</f>
        <v>#VALUE!</v>
      </c>
      <c r="FQ9" t="e">
        <f>'SurveyRpt_20150223 (1)'!AI52+"h_l!?h"</f>
        <v>#VALUE!</v>
      </c>
      <c r="FR9" t="e">
        <f>'SurveyRpt_20150223 (1)'!AJ52+"h_l!?i"</f>
        <v>#VALUE!</v>
      </c>
      <c r="FS9" t="e">
        <f>'SurveyRpt_20150223 (1)'!AK52+"h_l!?j"</f>
        <v>#VALUE!</v>
      </c>
      <c r="FT9" t="e">
        <f>'SurveyRpt_20150223 (1)'!AL52+"h_l!?k"</f>
        <v>#VALUE!</v>
      </c>
      <c r="FU9" t="e">
        <f>'SurveyRpt_20150223 (1)'!AM52+"h_l!?l"</f>
        <v>#VALUE!</v>
      </c>
      <c r="FV9" t="e">
        <f>'SurveyRpt_20150223 (1)'!AN52+"h_l!?m"</f>
        <v>#VALUE!</v>
      </c>
      <c r="FW9" t="e">
        <f>'SurveyRpt_20150223 (1)'!A53+"h_l!?n"</f>
        <v>#VALUE!</v>
      </c>
      <c r="FX9" s="25" t="e">
        <f>'SurveyRpt_20150223 (1)'!B53+"h_l!?o"</f>
        <v>#VALUE!</v>
      </c>
      <c r="FY9" t="e">
        <f>'SurveyRpt_20150223 (1)'!C53+"h_l!?p"</f>
        <v>#VALUE!</v>
      </c>
      <c r="FZ9" s="25" t="e">
        <f>'SurveyRpt_20150223 (1)'!D53+"h_l!?q"</f>
        <v>#VALUE!</v>
      </c>
      <c r="GA9" t="e">
        <f>'SurveyRpt_20150223 (1)'!E53+"h_l!?r"</f>
        <v>#VALUE!</v>
      </c>
      <c r="GB9" t="e">
        <f>'SurveyRpt_20150223 (1)'!F53+"h_l!?s"</f>
        <v>#VALUE!</v>
      </c>
      <c r="GC9" t="e">
        <f>'SurveyRpt_20150223 (1)'!G53+"h_l!?t"</f>
        <v>#VALUE!</v>
      </c>
      <c r="GD9" t="e">
        <f>'SurveyRpt_20150223 (1)'!H53+"h_l!?u"</f>
        <v>#VALUE!</v>
      </c>
      <c r="GE9" t="e">
        <f>'SurveyRpt_20150223 (1)'!I53+"h_l!?v"</f>
        <v>#VALUE!</v>
      </c>
      <c r="GF9" t="e">
        <f>'SurveyRpt_20150223 (1)'!J53+"h_l!?w"</f>
        <v>#VALUE!</v>
      </c>
      <c r="GG9" t="e">
        <f>'SurveyRpt_20150223 (1)'!K53+"h_l!?x"</f>
        <v>#VALUE!</v>
      </c>
      <c r="GH9" t="e">
        <f>'SurveyRpt_20150223 (1)'!L53+"h_l!?y"</f>
        <v>#VALUE!</v>
      </c>
      <c r="GI9" t="e">
        <f>'SurveyRpt_20150223 (1)'!M53+"h_l!?z"</f>
        <v>#VALUE!</v>
      </c>
      <c r="GJ9" t="e">
        <f>'SurveyRpt_20150223 (1)'!N53+"h_l!?{"</f>
        <v>#VALUE!</v>
      </c>
      <c r="GK9" t="e">
        <f>'SurveyRpt_20150223 (1)'!O53+"h_l!?|"</f>
        <v>#VALUE!</v>
      </c>
      <c r="GL9" t="e">
        <f>'SurveyRpt_20150223 (1)'!P53+"h_l!?}"</f>
        <v>#VALUE!</v>
      </c>
      <c r="GM9" t="e">
        <f>'SurveyRpt_20150223 (1)'!Q53+"h_l!?~"</f>
        <v>#VALUE!</v>
      </c>
      <c r="GN9" t="e">
        <f>'SurveyRpt_20150223 (1)'!R53+"h_l!@#"</f>
        <v>#VALUE!</v>
      </c>
      <c r="GO9" t="e">
        <f>'SurveyRpt_20150223 (1)'!S53+"h_l!@$"</f>
        <v>#VALUE!</v>
      </c>
      <c r="GP9" t="e">
        <f>'SurveyRpt_20150223 (1)'!T53+"h_l!@%"</f>
        <v>#VALUE!</v>
      </c>
      <c r="GQ9" t="e">
        <f>'SurveyRpt_20150223 (1)'!U53+"h_l!@&amp;"</f>
        <v>#VALUE!</v>
      </c>
      <c r="GR9" t="e">
        <f>'SurveyRpt_20150223 (1)'!V53+"h_l!@'"</f>
        <v>#VALUE!</v>
      </c>
      <c r="GS9" t="e">
        <f>'SurveyRpt_20150223 (1)'!W53+"h_l!@("</f>
        <v>#VALUE!</v>
      </c>
      <c r="GT9" t="e">
        <f>'SurveyRpt_20150223 (1)'!X53+"h_l!@)"</f>
        <v>#VALUE!</v>
      </c>
      <c r="GU9" t="e">
        <f>'SurveyRpt_20150223 (1)'!Y53+"h_l!@."</f>
        <v>#VALUE!</v>
      </c>
      <c r="GV9" t="e">
        <f>'SurveyRpt_20150223 (1)'!Z53+"h_l!@/"</f>
        <v>#VALUE!</v>
      </c>
      <c r="GW9" t="e">
        <f>'SurveyRpt_20150223 (1)'!AA53+"h_l!@0"</f>
        <v>#VALUE!</v>
      </c>
      <c r="GX9" t="e">
        <f>'SurveyRpt_20150223 (1)'!AB53+"h_l!@1"</f>
        <v>#VALUE!</v>
      </c>
      <c r="GY9" t="e">
        <f>'SurveyRpt_20150223 (1)'!AC53+"h_l!@2"</f>
        <v>#VALUE!</v>
      </c>
      <c r="GZ9" t="e">
        <f>'SurveyRpt_20150223 (1)'!AD53+"h_l!@3"</f>
        <v>#VALUE!</v>
      </c>
      <c r="HA9" t="e">
        <f>'SurveyRpt_20150223 (1)'!AE53+"h_l!@4"</f>
        <v>#VALUE!</v>
      </c>
      <c r="HB9" t="e">
        <f>'SurveyRpt_20150223 (1)'!AF53+"h_l!@5"</f>
        <v>#VALUE!</v>
      </c>
      <c r="HC9" t="e">
        <f>'SurveyRpt_20150223 (1)'!AG53+"h_l!@6"</f>
        <v>#VALUE!</v>
      </c>
      <c r="HD9" t="e">
        <f>'SurveyRpt_20150223 (1)'!AH53+"h_l!@7"</f>
        <v>#VALUE!</v>
      </c>
      <c r="HE9" t="e">
        <f>'SurveyRpt_20150223 (1)'!AI53+"h_l!@8"</f>
        <v>#VALUE!</v>
      </c>
      <c r="HF9" t="e">
        <f>'SurveyRpt_20150223 (1)'!AJ53+"h_l!@9"</f>
        <v>#VALUE!</v>
      </c>
      <c r="HG9" t="e">
        <f>'SurveyRpt_20150223 (1)'!AK53+"h_l!@:"</f>
        <v>#VALUE!</v>
      </c>
      <c r="HH9" t="e">
        <f>'SurveyRpt_20150223 (1)'!AL53+"h_l!@;"</f>
        <v>#VALUE!</v>
      </c>
      <c r="HI9" t="e">
        <f>'SurveyRpt_20150223 (1)'!AM53+"h_l!@&lt;"</f>
        <v>#VALUE!</v>
      </c>
      <c r="HJ9" t="e">
        <f>'SurveyRpt_20150223 (1)'!AN53+"h_l!@="</f>
        <v>#VALUE!</v>
      </c>
      <c r="HK9" t="e">
        <f>'SurveyRpt_20150223 (1)'!A54+"h_l!@&gt;"</f>
        <v>#VALUE!</v>
      </c>
      <c r="HL9" s="25" t="e">
        <f>'SurveyRpt_20150223 (1)'!B54+"h_l!@?"</f>
        <v>#VALUE!</v>
      </c>
      <c r="HM9" t="e">
        <f>'SurveyRpt_20150223 (1)'!C54+"h_l!@@"</f>
        <v>#VALUE!</v>
      </c>
      <c r="HN9" s="25" t="e">
        <f>'SurveyRpt_20150223 (1)'!D54+"h_l!@A"</f>
        <v>#VALUE!</v>
      </c>
      <c r="HO9" t="e">
        <f>'SurveyRpt_20150223 (1)'!E54+"h_l!@B"</f>
        <v>#VALUE!</v>
      </c>
      <c r="HP9" t="e">
        <f>'SurveyRpt_20150223 (1)'!F54+"h_l!@C"</f>
        <v>#VALUE!</v>
      </c>
      <c r="HQ9" t="e">
        <f>'SurveyRpt_20150223 (1)'!G54+"h_l!@D"</f>
        <v>#VALUE!</v>
      </c>
      <c r="HR9" t="e">
        <f>'SurveyRpt_20150223 (1)'!H54+"h_l!@E"</f>
        <v>#VALUE!</v>
      </c>
      <c r="HS9" t="e">
        <f>'SurveyRpt_20150223 (1)'!I54+"h_l!@F"</f>
        <v>#VALUE!</v>
      </c>
      <c r="HT9" t="e">
        <f>'SurveyRpt_20150223 (1)'!J54+"h_l!@G"</f>
        <v>#VALUE!</v>
      </c>
      <c r="HU9" t="e">
        <f>'SurveyRpt_20150223 (1)'!K54+"h_l!@H"</f>
        <v>#VALUE!</v>
      </c>
      <c r="HV9" t="e">
        <f>'SurveyRpt_20150223 (1)'!L54+"h_l!@I"</f>
        <v>#VALUE!</v>
      </c>
      <c r="HW9" t="e">
        <f>'SurveyRpt_20150223 (1)'!M54+"h_l!@J"</f>
        <v>#VALUE!</v>
      </c>
      <c r="HX9" t="e">
        <f>'SurveyRpt_20150223 (1)'!N54+"h_l!@K"</f>
        <v>#VALUE!</v>
      </c>
      <c r="HY9" t="e">
        <f>'SurveyRpt_20150223 (1)'!O54+"h_l!@L"</f>
        <v>#VALUE!</v>
      </c>
      <c r="HZ9" t="e">
        <f>'SurveyRpt_20150223 (1)'!P54+"h_l!@M"</f>
        <v>#VALUE!</v>
      </c>
      <c r="IA9" t="e">
        <f>'SurveyRpt_20150223 (1)'!Q54+"h_l!@N"</f>
        <v>#VALUE!</v>
      </c>
      <c r="IB9" t="e">
        <f>'SurveyRpt_20150223 (1)'!R54+"h_l!@O"</f>
        <v>#VALUE!</v>
      </c>
      <c r="IC9" t="e">
        <f>'SurveyRpt_20150223 (1)'!S54+"h_l!@P"</f>
        <v>#VALUE!</v>
      </c>
      <c r="ID9" t="e">
        <f>'SurveyRpt_20150223 (1)'!T54+"h_l!@Q"</f>
        <v>#VALUE!</v>
      </c>
      <c r="IE9" t="e">
        <f>'SurveyRpt_20150223 (1)'!U54+"h_l!@R"</f>
        <v>#VALUE!</v>
      </c>
      <c r="IF9" t="e">
        <f>'SurveyRpt_20150223 (1)'!V54+"h_l!@S"</f>
        <v>#VALUE!</v>
      </c>
      <c r="IG9" t="e">
        <f>'SurveyRpt_20150223 (1)'!W54+"h_l!@T"</f>
        <v>#VALUE!</v>
      </c>
      <c r="IH9" t="e">
        <f>'SurveyRpt_20150223 (1)'!X54+"h_l!@U"</f>
        <v>#VALUE!</v>
      </c>
      <c r="II9" t="e">
        <f>'SurveyRpt_20150223 (1)'!Y54+"h_l!@V"</f>
        <v>#VALUE!</v>
      </c>
      <c r="IJ9" t="e">
        <f>'SurveyRpt_20150223 (1)'!Z54+"h_l!@W"</f>
        <v>#VALUE!</v>
      </c>
      <c r="IK9" t="e">
        <f>'SurveyRpt_20150223 (1)'!AA54+"h_l!@X"</f>
        <v>#VALUE!</v>
      </c>
      <c r="IL9" t="e">
        <f>'SurveyRpt_20150223 (1)'!AB54+"h_l!@Y"</f>
        <v>#VALUE!</v>
      </c>
      <c r="IM9" t="e">
        <f>'SurveyRpt_20150223 (1)'!AC54+"h_l!@Z"</f>
        <v>#VALUE!</v>
      </c>
      <c r="IN9" t="e">
        <f>'SurveyRpt_20150223 (1)'!AD54+"h_l!@["</f>
        <v>#VALUE!</v>
      </c>
      <c r="IO9" t="e">
        <f>'SurveyRpt_20150223 (1)'!AE54+"h_l!@\"</f>
        <v>#VALUE!</v>
      </c>
      <c r="IP9" t="e">
        <f>'SurveyRpt_20150223 (1)'!AF54+"h_l!@]"</f>
        <v>#VALUE!</v>
      </c>
      <c r="IQ9" t="e">
        <f>'SurveyRpt_20150223 (1)'!AG54+"h_l!@^"</f>
        <v>#VALUE!</v>
      </c>
      <c r="IR9" t="e">
        <f>'SurveyRpt_20150223 (1)'!AH54+"h_l!@_"</f>
        <v>#VALUE!</v>
      </c>
      <c r="IS9" t="e">
        <f>'SurveyRpt_20150223 (1)'!AI54+"h_l!@`"</f>
        <v>#VALUE!</v>
      </c>
      <c r="IT9" t="e">
        <f>'SurveyRpt_20150223 (1)'!AJ54+"h_l!@a"</f>
        <v>#VALUE!</v>
      </c>
      <c r="IU9" t="e">
        <f>'SurveyRpt_20150223 (1)'!AK54+"h_l!@b"</f>
        <v>#VALUE!</v>
      </c>
      <c r="IV9" t="e">
        <f>'SurveyRpt_20150223 (1)'!AL54+"h_l!@c"</f>
        <v>#VALUE!</v>
      </c>
    </row>
    <row r="10" spans="1:256" x14ac:dyDescent="0.25">
      <c r="F10" t="e">
        <f>'SurveyRpt_20150223 (1)'!AM54+"h_l!@d"</f>
        <v>#VALUE!</v>
      </c>
      <c r="G10" t="e">
        <f>'SurveyRpt_20150223 (1)'!AN54+"h_l!@e"</f>
        <v>#VALUE!</v>
      </c>
      <c r="H10" t="e">
        <f>'SurveyRpt_20150223 (1)'!A55+"h_l!@f"</f>
        <v>#VALUE!</v>
      </c>
      <c r="I10" s="25" t="e">
        <f>'SurveyRpt_20150223 (1)'!B55+"h_l!@g"</f>
        <v>#VALUE!</v>
      </c>
      <c r="J10" t="e">
        <f>'SurveyRpt_20150223 (1)'!C55+"h_l!@h"</f>
        <v>#VALUE!</v>
      </c>
      <c r="K10" s="25" t="e">
        <f>'SurveyRpt_20150223 (1)'!D55+"h_l!@i"</f>
        <v>#VALUE!</v>
      </c>
      <c r="L10" t="e">
        <f>'SurveyRpt_20150223 (1)'!E55+"h_l!@j"</f>
        <v>#VALUE!</v>
      </c>
      <c r="M10" t="e">
        <f>'SurveyRpt_20150223 (1)'!F55+"h_l!@k"</f>
        <v>#VALUE!</v>
      </c>
      <c r="N10" t="e">
        <f>'SurveyRpt_20150223 (1)'!G55+"h_l!@l"</f>
        <v>#VALUE!</v>
      </c>
      <c r="O10" t="e">
        <f>'SurveyRpt_20150223 (1)'!H55+"h_l!@m"</f>
        <v>#VALUE!</v>
      </c>
      <c r="P10" t="e">
        <f>'SurveyRpt_20150223 (1)'!I55+"h_l!@n"</f>
        <v>#VALUE!</v>
      </c>
      <c r="Q10" t="e">
        <f>'SurveyRpt_20150223 (1)'!J55+"h_l!@o"</f>
        <v>#VALUE!</v>
      </c>
      <c r="R10" t="e">
        <f>'SurveyRpt_20150223 (1)'!K55+"h_l!@p"</f>
        <v>#VALUE!</v>
      </c>
      <c r="S10" t="e">
        <f>'SurveyRpt_20150223 (1)'!L55+"h_l!@q"</f>
        <v>#VALUE!</v>
      </c>
      <c r="T10" t="e">
        <f>'SurveyRpt_20150223 (1)'!M55+"h_l!@r"</f>
        <v>#VALUE!</v>
      </c>
      <c r="U10" t="e">
        <f>'SurveyRpt_20150223 (1)'!N55+"h_l!@s"</f>
        <v>#VALUE!</v>
      </c>
      <c r="V10" t="e">
        <f>'SurveyRpt_20150223 (1)'!O55+"h_l!@t"</f>
        <v>#VALUE!</v>
      </c>
      <c r="W10" t="e">
        <f>'SurveyRpt_20150223 (1)'!P55+"h_l!@u"</f>
        <v>#VALUE!</v>
      </c>
      <c r="X10" t="e">
        <f>'SurveyRpt_20150223 (1)'!Q55+"h_l!@v"</f>
        <v>#VALUE!</v>
      </c>
      <c r="Y10" t="e">
        <f>'SurveyRpt_20150223 (1)'!R55+"h_l!@w"</f>
        <v>#VALUE!</v>
      </c>
      <c r="Z10" t="e">
        <f>'SurveyRpt_20150223 (1)'!S55+"h_l!@x"</f>
        <v>#VALUE!</v>
      </c>
      <c r="AA10" t="e">
        <f>'SurveyRpt_20150223 (1)'!T55+"h_l!@y"</f>
        <v>#VALUE!</v>
      </c>
      <c r="AB10" t="e">
        <f>'SurveyRpt_20150223 (1)'!U55+"h_l!@z"</f>
        <v>#VALUE!</v>
      </c>
      <c r="AC10" t="e">
        <f>'SurveyRpt_20150223 (1)'!V55+"h_l!@{"</f>
        <v>#VALUE!</v>
      </c>
      <c r="AD10" t="e">
        <f>'SurveyRpt_20150223 (1)'!W55+"h_l!@|"</f>
        <v>#VALUE!</v>
      </c>
      <c r="AE10" t="e">
        <f>'SurveyRpt_20150223 (1)'!X55+"h_l!@}"</f>
        <v>#VALUE!</v>
      </c>
      <c r="AF10" t="e">
        <f>'SurveyRpt_20150223 (1)'!Y55+"h_l!@~"</f>
        <v>#VALUE!</v>
      </c>
      <c r="AG10" t="e">
        <f>'SurveyRpt_20150223 (1)'!Z55+"h_l!A#"</f>
        <v>#VALUE!</v>
      </c>
      <c r="AH10" t="e">
        <f>'SurveyRpt_20150223 (1)'!AA55+"h_l!A$"</f>
        <v>#VALUE!</v>
      </c>
      <c r="AI10" t="e">
        <f>'SurveyRpt_20150223 (1)'!AB55+"h_l!A%"</f>
        <v>#VALUE!</v>
      </c>
      <c r="AJ10" t="e">
        <f>'SurveyRpt_20150223 (1)'!AC55+"h_l!A&amp;"</f>
        <v>#VALUE!</v>
      </c>
      <c r="AK10" t="e">
        <f>'SurveyRpt_20150223 (1)'!AD55+"h_l!A'"</f>
        <v>#VALUE!</v>
      </c>
      <c r="AL10" t="e">
        <f>'SurveyRpt_20150223 (1)'!AE55+"h_l!A("</f>
        <v>#VALUE!</v>
      </c>
      <c r="AM10" t="e">
        <f>'SurveyRpt_20150223 (1)'!AF55+"h_l!A)"</f>
        <v>#VALUE!</v>
      </c>
      <c r="AN10" t="e">
        <f>'SurveyRpt_20150223 (1)'!AG55+"h_l!A."</f>
        <v>#VALUE!</v>
      </c>
      <c r="AO10" t="e">
        <f>'SurveyRpt_20150223 (1)'!AH55+"h_l!A/"</f>
        <v>#VALUE!</v>
      </c>
      <c r="AP10" t="e">
        <f>'SurveyRpt_20150223 (1)'!AI55+"h_l!A0"</f>
        <v>#VALUE!</v>
      </c>
      <c r="AQ10" t="e">
        <f>'SurveyRpt_20150223 (1)'!AJ55+"h_l!A1"</f>
        <v>#VALUE!</v>
      </c>
      <c r="AR10" t="e">
        <f>'SurveyRpt_20150223 (1)'!AK55+"h_l!A2"</f>
        <v>#VALUE!</v>
      </c>
      <c r="AS10" t="e">
        <f>'SurveyRpt_20150223 (1)'!AL55+"h_l!A3"</f>
        <v>#VALUE!</v>
      </c>
      <c r="AT10" t="e">
        <f>'SurveyRpt_20150223 (1)'!AM55+"h_l!A4"</f>
        <v>#VALUE!</v>
      </c>
      <c r="AU10" t="e">
        <f>'SurveyRpt_20150223 (1)'!AN55+"h_l!A5"</f>
        <v>#VALUE!</v>
      </c>
      <c r="AV10" t="e">
        <f>'SurveyRpt_20150223 (1)'!A56+"h_l!A6"</f>
        <v>#VALUE!</v>
      </c>
      <c r="AW10" s="25" t="e">
        <f>'SurveyRpt_20150223 (1)'!B56+"h_l!A7"</f>
        <v>#VALUE!</v>
      </c>
      <c r="AX10" t="e">
        <f>'SurveyRpt_20150223 (1)'!C56+"h_l!A8"</f>
        <v>#VALUE!</v>
      </c>
      <c r="AY10" s="25" t="e">
        <f>'SurveyRpt_20150223 (1)'!D56+"h_l!A9"</f>
        <v>#VALUE!</v>
      </c>
      <c r="AZ10" t="e">
        <f>'SurveyRpt_20150223 (1)'!E56+"h_l!A:"</f>
        <v>#VALUE!</v>
      </c>
      <c r="BA10" t="e">
        <f>'SurveyRpt_20150223 (1)'!F56+"h_l!A;"</f>
        <v>#VALUE!</v>
      </c>
      <c r="BB10" t="e">
        <f>'SurveyRpt_20150223 (1)'!G56+"h_l!A&lt;"</f>
        <v>#VALUE!</v>
      </c>
      <c r="BC10" t="e">
        <f>'SurveyRpt_20150223 (1)'!H56+"h_l!A="</f>
        <v>#VALUE!</v>
      </c>
      <c r="BD10" t="e">
        <f>'SurveyRpt_20150223 (1)'!I56+"h_l!A&gt;"</f>
        <v>#VALUE!</v>
      </c>
      <c r="BE10" t="e">
        <f>'SurveyRpt_20150223 (1)'!J56+"h_l!A?"</f>
        <v>#VALUE!</v>
      </c>
      <c r="BF10" t="e">
        <f>'SurveyRpt_20150223 (1)'!K56+"h_l!A@"</f>
        <v>#VALUE!</v>
      </c>
      <c r="BG10" t="e">
        <f>'SurveyRpt_20150223 (1)'!L56+"h_l!AA"</f>
        <v>#VALUE!</v>
      </c>
      <c r="BH10" t="e">
        <f>'SurveyRpt_20150223 (1)'!M56+"h_l!AB"</f>
        <v>#VALUE!</v>
      </c>
      <c r="BI10" t="e">
        <f>'SurveyRpt_20150223 (1)'!N56+"h_l!AC"</f>
        <v>#VALUE!</v>
      </c>
      <c r="BJ10" t="e">
        <f>'SurveyRpt_20150223 (1)'!O56+"h_l!AD"</f>
        <v>#VALUE!</v>
      </c>
      <c r="BK10" t="e">
        <f>'SurveyRpt_20150223 (1)'!P56+"h_l!AE"</f>
        <v>#VALUE!</v>
      </c>
      <c r="BL10" t="e">
        <f>'SurveyRpt_20150223 (1)'!Q56+"h_l!AF"</f>
        <v>#VALUE!</v>
      </c>
      <c r="BM10" t="e">
        <f>'SurveyRpt_20150223 (1)'!R56+"h_l!AG"</f>
        <v>#VALUE!</v>
      </c>
      <c r="BN10" t="e">
        <f>'SurveyRpt_20150223 (1)'!S56+"h_l!AH"</f>
        <v>#VALUE!</v>
      </c>
      <c r="BO10" t="e">
        <f>'SurveyRpt_20150223 (1)'!T56+"h_l!AI"</f>
        <v>#VALUE!</v>
      </c>
      <c r="BP10" t="e">
        <f>'SurveyRpt_20150223 (1)'!U56+"h_l!AJ"</f>
        <v>#VALUE!</v>
      </c>
      <c r="BQ10" t="e">
        <f>'SurveyRpt_20150223 (1)'!V56+"h_l!AK"</f>
        <v>#VALUE!</v>
      </c>
      <c r="BR10" t="e">
        <f>'SurveyRpt_20150223 (1)'!W56+"h_l!AL"</f>
        <v>#VALUE!</v>
      </c>
      <c r="BS10" t="e">
        <f>'SurveyRpt_20150223 (1)'!X56+"h_l!AM"</f>
        <v>#VALUE!</v>
      </c>
      <c r="BT10" t="e">
        <f>'SurveyRpt_20150223 (1)'!Y56+"h_l!AN"</f>
        <v>#VALUE!</v>
      </c>
      <c r="BU10" t="e">
        <f>'SurveyRpt_20150223 (1)'!Z56+"h_l!AO"</f>
        <v>#VALUE!</v>
      </c>
      <c r="BV10" t="e">
        <f>'SurveyRpt_20150223 (1)'!AA56+"h_l!AP"</f>
        <v>#VALUE!</v>
      </c>
      <c r="BW10" t="e">
        <f>'SurveyRpt_20150223 (1)'!AB56+"h_l!AQ"</f>
        <v>#VALUE!</v>
      </c>
      <c r="BX10" t="e">
        <f>'SurveyRpt_20150223 (1)'!AC56+"h_l!AR"</f>
        <v>#VALUE!</v>
      </c>
      <c r="BY10" t="e">
        <f>'SurveyRpt_20150223 (1)'!AD56+"h_l!AS"</f>
        <v>#VALUE!</v>
      </c>
      <c r="BZ10" t="e">
        <f>'SurveyRpt_20150223 (1)'!AE56+"h_l!AT"</f>
        <v>#VALUE!</v>
      </c>
      <c r="CA10" t="e">
        <f>'SurveyRpt_20150223 (1)'!AF56+"h_l!AU"</f>
        <v>#VALUE!</v>
      </c>
      <c r="CB10" t="e">
        <f>'SurveyRpt_20150223 (1)'!AG56+"h_l!AV"</f>
        <v>#VALUE!</v>
      </c>
      <c r="CC10" t="e">
        <f>'SurveyRpt_20150223 (1)'!AH56+"h_l!AW"</f>
        <v>#VALUE!</v>
      </c>
      <c r="CD10" t="e">
        <f>'SurveyRpt_20150223 (1)'!AI56+"h_l!AX"</f>
        <v>#VALUE!</v>
      </c>
      <c r="CE10" t="e">
        <f>'SurveyRpt_20150223 (1)'!AJ56+"h_l!AY"</f>
        <v>#VALUE!</v>
      </c>
      <c r="CF10" t="e">
        <f>'SurveyRpt_20150223 (1)'!AK56+"h_l!AZ"</f>
        <v>#VALUE!</v>
      </c>
      <c r="CG10" t="e">
        <f>'SurveyRpt_20150223 (1)'!AL56+"h_l!A["</f>
        <v>#VALUE!</v>
      </c>
      <c r="CH10" t="e">
        <f>'SurveyRpt_20150223 (1)'!AM56+"h_l!A\"</f>
        <v>#VALUE!</v>
      </c>
      <c r="CI10" t="e">
        <f>'SurveyRpt_20150223 (1)'!AN56+"h_l!A]"</f>
        <v>#VALUE!</v>
      </c>
      <c r="CJ10" t="e">
        <f>'SurveyRpt_20150223 (1)'!A57+"h_l!A^"</f>
        <v>#VALUE!</v>
      </c>
      <c r="CK10" s="25" t="e">
        <f>'SurveyRpt_20150223 (1)'!B57+"h_l!A_"</f>
        <v>#VALUE!</v>
      </c>
      <c r="CL10" t="e">
        <f>'SurveyRpt_20150223 (1)'!C57+"h_l!A`"</f>
        <v>#VALUE!</v>
      </c>
      <c r="CM10" s="25" t="e">
        <f>'SurveyRpt_20150223 (1)'!D57+"h_l!Aa"</f>
        <v>#VALUE!</v>
      </c>
      <c r="CN10" t="e">
        <f>'SurveyRpt_20150223 (1)'!E57+"h_l!Ab"</f>
        <v>#VALUE!</v>
      </c>
      <c r="CO10" t="e">
        <f>'SurveyRpt_20150223 (1)'!F57+"h_l!Ac"</f>
        <v>#VALUE!</v>
      </c>
      <c r="CP10" t="e">
        <f>'SurveyRpt_20150223 (1)'!G57+"h_l!Ad"</f>
        <v>#VALUE!</v>
      </c>
      <c r="CQ10" t="e">
        <f>'SurveyRpt_20150223 (1)'!H57+"h_l!Ae"</f>
        <v>#VALUE!</v>
      </c>
      <c r="CR10" t="e">
        <f>'SurveyRpt_20150223 (1)'!I57+"h_l!Af"</f>
        <v>#VALUE!</v>
      </c>
      <c r="CS10" t="e">
        <f>'SurveyRpt_20150223 (1)'!J57+"h_l!Ag"</f>
        <v>#VALUE!</v>
      </c>
      <c r="CT10" t="e">
        <f>'SurveyRpt_20150223 (1)'!K57+"h_l!Ah"</f>
        <v>#VALUE!</v>
      </c>
      <c r="CU10" t="e">
        <f>'SurveyRpt_20150223 (1)'!L57+"h_l!Ai"</f>
        <v>#VALUE!</v>
      </c>
      <c r="CV10" t="e">
        <f>'SurveyRpt_20150223 (1)'!M57+"h_l!Aj"</f>
        <v>#VALUE!</v>
      </c>
      <c r="CW10" t="e">
        <f>'SurveyRpt_20150223 (1)'!N57+"h_l!Ak"</f>
        <v>#VALUE!</v>
      </c>
      <c r="CX10" t="e">
        <f>'SurveyRpt_20150223 (1)'!O57+"h_l!Al"</f>
        <v>#VALUE!</v>
      </c>
      <c r="CY10" t="e">
        <f>'SurveyRpt_20150223 (1)'!P57+"h_l!Am"</f>
        <v>#VALUE!</v>
      </c>
      <c r="CZ10" t="e">
        <f>'SurveyRpt_20150223 (1)'!Q57+"h_l!An"</f>
        <v>#VALUE!</v>
      </c>
      <c r="DA10" t="e">
        <f>'SurveyRpt_20150223 (1)'!R57+"h_l!Ao"</f>
        <v>#VALUE!</v>
      </c>
      <c r="DB10" t="e">
        <f>'SurveyRpt_20150223 (1)'!S57+"h_l!Ap"</f>
        <v>#VALUE!</v>
      </c>
      <c r="DC10" t="e">
        <f>'SurveyRpt_20150223 (1)'!T57+"h_l!Aq"</f>
        <v>#VALUE!</v>
      </c>
      <c r="DD10" t="e">
        <f>'SurveyRpt_20150223 (1)'!U57+"h_l!Ar"</f>
        <v>#VALUE!</v>
      </c>
      <c r="DE10" t="e">
        <f>'SurveyRpt_20150223 (1)'!V57+"h_l!As"</f>
        <v>#VALUE!</v>
      </c>
      <c r="DF10" t="e">
        <f>'SurveyRpt_20150223 (1)'!W57+"h_l!At"</f>
        <v>#VALUE!</v>
      </c>
      <c r="DG10" t="e">
        <f>'SurveyRpt_20150223 (1)'!X57+"h_l!Au"</f>
        <v>#VALUE!</v>
      </c>
      <c r="DH10" t="e">
        <f>'SurveyRpt_20150223 (1)'!Y57+"h_l!Av"</f>
        <v>#VALUE!</v>
      </c>
      <c r="DI10" t="e">
        <f>'SurveyRpt_20150223 (1)'!Z57+"h_l!Aw"</f>
        <v>#VALUE!</v>
      </c>
      <c r="DJ10" t="e">
        <f>'SurveyRpt_20150223 (1)'!AA57+"h_l!Ax"</f>
        <v>#VALUE!</v>
      </c>
      <c r="DK10" t="e">
        <f>'SurveyRpt_20150223 (1)'!AB57+"h_l!Ay"</f>
        <v>#VALUE!</v>
      </c>
      <c r="DL10" t="e">
        <f>'SurveyRpt_20150223 (1)'!AC57+"h_l!Az"</f>
        <v>#VALUE!</v>
      </c>
      <c r="DM10" t="e">
        <f>'SurveyRpt_20150223 (1)'!AD57+"h_l!A{"</f>
        <v>#VALUE!</v>
      </c>
      <c r="DN10" t="e">
        <f>'SurveyRpt_20150223 (1)'!AE57+"h_l!A|"</f>
        <v>#VALUE!</v>
      </c>
      <c r="DO10" t="e">
        <f>'SurveyRpt_20150223 (1)'!AF57+"h_l!A}"</f>
        <v>#VALUE!</v>
      </c>
      <c r="DP10" t="e">
        <f>'SurveyRpt_20150223 (1)'!AG57+"h_l!A~"</f>
        <v>#VALUE!</v>
      </c>
      <c r="DQ10" t="e">
        <f>'SurveyRpt_20150223 (1)'!AH57+"h_l!B#"</f>
        <v>#VALUE!</v>
      </c>
      <c r="DR10" t="e">
        <f>'SurveyRpt_20150223 (1)'!AI57+"h_l!B$"</f>
        <v>#VALUE!</v>
      </c>
      <c r="DS10" t="e">
        <f>'SurveyRpt_20150223 (1)'!AJ57+"h_l!B%"</f>
        <v>#VALUE!</v>
      </c>
      <c r="DT10" t="e">
        <f>'SurveyRpt_20150223 (1)'!AK57+"h_l!B&amp;"</f>
        <v>#VALUE!</v>
      </c>
      <c r="DU10" t="e">
        <f>'SurveyRpt_20150223 (1)'!AL57+"h_l!B'"</f>
        <v>#VALUE!</v>
      </c>
      <c r="DV10" t="e">
        <f>'SurveyRpt_20150223 (1)'!AM57+"h_l!B("</f>
        <v>#VALUE!</v>
      </c>
      <c r="DW10" t="e">
        <f>'SurveyRpt_20150223 (1)'!AN57+"h_l!B)"</f>
        <v>#VALUE!</v>
      </c>
      <c r="DX10" t="e">
        <f>'SurveyRpt_20150223 (1)'!A58+"h_l!B."</f>
        <v>#VALUE!</v>
      </c>
      <c r="DY10" s="25" t="e">
        <f>'SurveyRpt_20150223 (1)'!B58+"h_l!B/"</f>
        <v>#VALUE!</v>
      </c>
      <c r="DZ10" t="e">
        <f>'SurveyRpt_20150223 (1)'!C58+"h_l!B0"</f>
        <v>#VALUE!</v>
      </c>
      <c r="EA10" s="25" t="e">
        <f>'SurveyRpt_20150223 (1)'!D58+"h_l!B1"</f>
        <v>#VALUE!</v>
      </c>
      <c r="EB10" t="e">
        <f>'SurveyRpt_20150223 (1)'!E58+"h_l!B2"</f>
        <v>#VALUE!</v>
      </c>
      <c r="EC10" t="e">
        <f>'SurveyRpt_20150223 (1)'!F58+"h_l!B3"</f>
        <v>#VALUE!</v>
      </c>
      <c r="ED10" t="e">
        <f>'SurveyRpt_20150223 (1)'!G58+"h_l!B4"</f>
        <v>#VALUE!</v>
      </c>
      <c r="EE10" t="e">
        <f>'SurveyRpt_20150223 (1)'!H58+"h_l!B5"</f>
        <v>#VALUE!</v>
      </c>
      <c r="EF10" t="e">
        <f>'SurveyRpt_20150223 (1)'!I58+"h_l!B6"</f>
        <v>#VALUE!</v>
      </c>
      <c r="EG10" t="e">
        <f>'SurveyRpt_20150223 (1)'!J58+"h_l!B7"</f>
        <v>#VALUE!</v>
      </c>
      <c r="EH10" t="e">
        <f>'SurveyRpt_20150223 (1)'!K58+"h_l!B8"</f>
        <v>#VALUE!</v>
      </c>
      <c r="EI10" t="e">
        <f>'SurveyRpt_20150223 (1)'!L58+"h_l!B9"</f>
        <v>#VALUE!</v>
      </c>
      <c r="EJ10" t="e">
        <f>'SurveyRpt_20150223 (1)'!M58+"h_l!B:"</f>
        <v>#VALUE!</v>
      </c>
      <c r="EK10" t="e">
        <f>'SurveyRpt_20150223 (1)'!N58+"h_l!B;"</f>
        <v>#VALUE!</v>
      </c>
      <c r="EL10" t="e">
        <f>'SurveyRpt_20150223 (1)'!O58+"h_l!B&lt;"</f>
        <v>#VALUE!</v>
      </c>
      <c r="EM10" t="e">
        <f>'SurveyRpt_20150223 (1)'!P58+"h_l!B="</f>
        <v>#VALUE!</v>
      </c>
      <c r="EN10" t="e">
        <f>'SurveyRpt_20150223 (1)'!Q58+"h_l!B&gt;"</f>
        <v>#VALUE!</v>
      </c>
      <c r="EO10" t="e">
        <f>'SurveyRpt_20150223 (1)'!R58+"h_l!B?"</f>
        <v>#VALUE!</v>
      </c>
      <c r="EP10" t="e">
        <f>'SurveyRpt_20150223 (1)'!S58+"h_l!B@"</f>
        <v>#VALUE!</v>
      </c>
      <c r="EQ10" t="e">
        <f>'SurveyRpt_20150223 (1)'!T58+"h_l!BA"</f>
        <v>#VALUE!</v>
      </c>
      <c r="ER10" t="e">
        <f>'SurveyRpt_20150223 (1)'!U58+"h_l!BB"</f>
        <v>#VALUE!</v>
      </c>
      <c r="ES10" t="e">
        <f>'SurveyRpt_20150223 (1)'!V58+"h_l!BC"</f>
        <v>#VALUE!</v>
      </c>
      <c r="ET10" t="e">
        <f>'SurveyRpt_20150223 (1)'!W58+"h_l!BD"</f>
        <v>#VALUE!</v>
      </c>
      <c r="EU10" t="e">
        <f>'SurveyRpt_20150223 (1)'!X58+"h_l!BE"</f>
        <v>#VALUE!</v>
      </c>
      <c r="EV10" t="e">
        <f>'SurveyRpt_20150223 (1)'!Y58+"h_l!BF"</f>
        <v>#VALUE!</v>
      </c>
      <c r="EW10" t="e">
        <f>'SurveyRpt_20150223 (1)'!Z58+"h_l!BG"</f>
        <v>#VALUE!</v>
      </c>
      <c r="EX10" t="e">
        <f>'SurveyRpt_20150223 (1)'!AA58+"h_l!BH"</f>
        <v>#VALUE!</v>
      </c>
      <c r="EY10" t="e">
        <f>'SurveyRpt_20150223 (1)'!AB58+"h_l!BI"</f>
        <v>#VALUE!</v>
      </c>
      <c r="EZ10" t="e">
        <f>'SurveyRpt_20150223 (1)'!AC58+"h_l!BJ"</f>
        <v>#VALUE!</v>
      </c>
      <c r="FA10" t="e">
        <f>'SurveyRpt_20150223 (1)'!AD58+"h_l!BK"</f>
        <v>#VALUE!</v>
      </c>
      <c r="FB10" t="e">
        <f>'SurveyRpt_20150223 (1)'!AE58+"h_l!BL"</f>
        <v>#VALUE!</v>
      </c>
      <c r="FC10" t="e">
        <f>'SurveyRpt_20150223 (1)'!AF58+"h_l!BM"</f>
        <v>#VALUE!</v>
      </c>
      <c r="FD10" t="e">
        <f>'SurveyRpt_20150223 (1)'!AG58+"h_l!BN"</f>
        <v>#VALUE!</v>
      </c>
      <c r="FE10" t="e">
        <f>'SurveyRpt_20150223 (1)'!AH58+"h_l!BO"</f>
        <v>#VALUE!</v>
      </c>
      <c r="FF10" t="e">
        <f>'SurveyRpt_20150223 (1)'!AI58+"h_l!BP"</f>
        <v>#VALUE!</v>
      </c>
      <c r="FG10" t="e">
        <f>'SurveyRpt_20150223 (1)'!AJ58+"h_l!BQ"</f>
        <v>#VALUE!</v>
      </c>
      <c r="FH10" t="e">
        <f>'SurveyRpt_20150223 (1)'!AK58+"h_l!BR"</f>
        <v>#VALUE!</v>
      </c>
      <c r="FI10" t="e">
        <f>'SurveyRpt_20150223 (1)'!AL58+"h_l!BS"</f>
        <v>#VALUE!</v>
      </c>
      <c r="FJ10" t="e">
        <f>'SurveyRpt_20150223 (1)'!AM58+"h_l!BT"</f>
        <v>#VALUE!</v>
      </c>
      <c r="FK10" t="e">
        <f>'SurveyRpt_20150223 (1)'!AN58+"h_l!BU"</f>
        <v>#VALUE!</v>
      </c>
      <c r="FL10" t="e">
        <f>'SurveyRpt_20150223 (1)'!A59+"h_l!BV"</f>
        <v>#VALUE!</v>
      </c>
      <c r="FM10" s="25" t="e">
        <f>'SurveyRpt_20150223 (1)'!B59+"h_l!BW"</f>
        <v>#VALUE!</v>
      </c>
      <c r="FN10" t="e">
        <f>'SurveyRpt_20150223 (1)'!C59+"h_l!BX"</f>
        <v>#VALUE!</v>
      </c>
      <c r="FO10" s="25" t="e">
        <f>'SurveyRpt_20150223 (1)'!D59+"h_l!BY"</f>
        <v>#VALUE!</v>
      </c>
      <c r="FP10" t="e">
        <f>'SurveyRpt_20150223 (1)'!E59+"h_l!BZ"</f>
        <v>#VALUE!</v>
      </c>
      <c r="FQ10" t="e">
        <f>'SurveyRpt_20150223 (1)'!F59+"h_l!B["</f>
        <v>#VALUE!</v>
      </c>
      <c r="FR10" t="e">
        <f>'SurveyRpt_20150223 (1)'!G59+"h_l!B\"</f>
        <v>#VALUE!</v>
      </c>
      <c r="FS10" t="e">
        <f>'SurveyRpt_20150223 (1)'!H59+"h_l!B]"</f>
        <v>#VALUE!</v>
      </c>
      <c r="FT10" t="e">
        <f>'SurveyRpt_20150223 (1)'!I59+"h_l!B^"</f>
        <v>#VALUE!</v>
      </c>
      <c r="FU10" t="e">
        <f>'SurveyRpt_20150223 (1)'!J59+"h_l!B_"</f>
        <v>#VALUE!</v>
      </c>
      <c r="FV10" t="e">
        <f>'SurveyRpt_20150223 (1)'!K59+"h_l!B`"</f>
        <v>#VALUE!</v>
      </c>
      <c r="FW10" t="e">
        <f>'SurveyRpt_20150223 (1)'!L59+"h_l!Ba"</f>
        <v>#VALUE!</v>
      </c>
      <c r="FX10" t="e">
        <f>'SurveyRpt_20150223 (1)'!M59+"h_l!Bb"</f>
        <v>#VALUE!</v>
      </c>
      <c r="FY10" t="e">
        <f>'SurveyRpt_20150223 (1)'!N59+"h_l!Bc"</f>
        <v>#VALUE!</v>
      </c>
      <c r="FZ10" t="e">
        <f>'SurveyRpt_20150223 (1)'!O59+"h_l!Bd"</f>
        <v>#VALUE!</v>
      </c>
      <c r="GA10" t="e">
        <f>'SurveyRpt_20150223 (1)'!P59+"h_l!Be"</f>
        <v>#VALUE!</v>
      </c>
      <c r="GB10" t="e">
        <f>'SurveyRpt_20150223 (1)'!Q59+"h_l!Bf"</f>
        <v>#VALUE!</v>
      </c>
      <c r="GC10" t="e">
        <f>'SurveyRpt_20150223 (1)'!R59+"h_l!Bg"</f>
        <v>#VALUE!</v>
      </c>
      <c r="GD10" t="e">
        <f>'SurveyRpt_20150223 (1)'!S59+"h_l!Bh"</f>
        <v>#VALUE!</v>
      </c>
      <c r="GE10" t="e">
        <f>'SurveyRpt_20150223 (1)'!T59+"h_l!Bi"</f>
        <v>#VALUE!</v>
      </c>
      <c r="GF10" t="e">
        <f>'SurveyRpt_20150223 (1)'!U59+"h_l!Bj"</f>
        <v>#VALUE!</v>
      </c>
      <c r="GG10" t="e">
        <f>'SurveyRpt_20150223 (1)'!V59+"h_l!Bk"</f>
        <v>#VALUE!</v>
      </c>
      <c r="GH10" t="e">
        <f>'SurveyRpt_20150223 (1)'!W59+"h_l!Bl"</f>
        <v>#VALUE!</v>
      </c>
      <c r="GI10" t="e">
        <f>'SurveyRpt_20150223 (1)'!X59+"h_l!Bm"</f>
        <v>#VALUE!</v>
      </c>
      <c r="GJ10" t="e">
        <f>'SurveyRpt_20150223 (1)'!Y59+"h_l!Bn"</f>
        <v>#VALUE!</v>
      </c>
      <c r="GK10" t="e">
        <f>'SurveyRpt_20150223 (1)'!Z59+"h_l!Bo"</f>
        <v>#VALUE!</v>
      </c>
      <c r="GL10" t="e">
        <f>'SurveyRpt_20150223 (1)'!AA59+"h_l!Bp"</f>
        <v>#VALUE!</v>
      </c>
      <c r="GM10" t="e">
        <f>'SurveyRpt_20150223 (1)'!AB59+"h_l!Bq"</f>
        <v>#VALUE!</v>
      </c>
      <c r="GN10" t="e">
        <f>'SurveyRpt_20150223 (1)'!AC59+"h_l!Br"</f>
        <v>#VALUE!</v>
      </c>
      <c r="GO10" t="e">
        <f>'SurveyRpt_20150223 (1)'!AD59+"h_l!Bs"</f>
        <v>#VALUE!</v>
      </c>
      <c r="GP10" t="e">
        <f>'SurveyRpt_20150223 (1)'!AE59+"h_l!Bt"</f>
        <v>#VALUE!</v>
      </c>
      <c r="GQ10" t="e">
        <f>'SurveyRpt_20150223 (1)'!AF59+"h_l!Bu"</f>
        <v>#VALUE!</v>
      </c>
      <c r="GR10" t="e">
        <f>'SurveyRpt_20150223 (1)'!AG59+"h_l!Bv"</f>
        <v>#VALUE!</v>
      </c>
      <c r="GS10" t="e">
        <f>'SurveyRpt_20150223 (1)'!AH59+"h_l!Bw"</f>
        <v>#VALUE!</v>
      </c>
      <c r="GT10" t="e">
        <f>'SurveyRpt_20150223 (1)'!AI59+"h_l!Bx"</f>
        <v>#VALUE!</v>
      </c>
      <c r="GU10" t="e">
        <f>'SurveyRpt_20150223 (1)'!AJ59+"h_l!By"</f>
        <v>#VALUE!</v>
      </c>
      <c r="GV10" t="e">
        <f>'SurveyRpt_20150223 (1)'!AK59+"h_l!Bz"</f>
        <v>#VALUE!</v>
      </c>
      <c r="GW10" t="e">
        <f>'SurveyRpt_20150223 (1)'!AL59+"h_l!B{"</f>
        <v>#VALUE!</v>
      </c>
      <c r="GX10" t="e">
        <f>'SurveyRpt_20150223 (1)'!AM59+"h_l!B|"</f>
        <v>#VALUE!</v>
      </c>
      <c r="GY10" t="e">
        <f>'SurveyRpt_20150223 (1)'!AN59+"h_l!B}"</f>
        <v>#VALUE!</v>
      </c>
      <c r="GZ10" t="e">
        <f>'SurveyRpt_20150223 (1)'!A60+"h_l!B~"</f>
        <v>#VALUE!</v>
      </c>
      <c r="HA10" s="25" t="e">
        <f>'SurveyRpt_20150223 (1)'!B60+"h_l!C#"</f>
        <v>#VALUE!</v>
      </c>
      <c r="HB10" t="e">
        <f>'SurveyRpt_20150223 (1)'!C60+"h_l!C$"</f>
        <v>#VALUE!</v>
      </c>
      <c r="HC10" s="25" t="e">
        <f>'SurveyRpt_20150223 (1)'!D60+"h_l!C%"</f>
        <v>#VALUE!</v>
      </c>
      <c r="HD10" t="e">
        <f>'SurveyRpt_20150223 (1)'!E60+"h_l!C&amp;"</f>
        <v>#VALUE!</v>
      </c>
      <c r="HE10" t="e">
        <f>'SurveyRpt_20150223 (1)'!F60+"h_l!C'"</f>
        <v>#VALUE!</v>
      </c>
      <c r="HF10" t="e">
        <f>'SurveyRpt_20150223 (1)'!G60+"h_l!C("</f>
        <v>#VALUE!</v>
      </c>
      <c r="HG10" t="e">
        <f>'SurveyRpt_20150223 (1)'!H60+"h_l!C)"</f>
        <v>#VALUE!</v>
      </c>
      <c r="HH10" t="e">
        <f>'SurveyRpt_20150223 (1)'!I60+"h_l!C."</f>
        <v>#VALUE!</v>
      </c>
      <c r="HI10" t="e">
        <f>'SurveyRpt_20150223 (1)'!J60+"h_l!C/"</f>
        <v>#VALUE!</v>
      </c>
      <c r="HJ10" t="e">
        <f>'SurveyRpt_20150223 (1)'!K60+"h_l!C0"</f>
        <v>#VALUE!</v>
      </c>
      <c r="HK10" t="e">
        <f>'SurveyRpt_20150223 (1)'!L60+"h_l!C1"</f>
        <v>#VALUE!</v>
      </c>
      <c r="HL10" t="e">
        <f>'SurveyRpt_20150223 (1)'!M60+"h_l!C2"</f>
        <v>#VALUE!</v>
      </c>
      <c r="HM10" t="e">
        <f>'SurveyRpt_20150223 (1)'!N60+"h_l!C3"</f>
        <v>#VALUE!</v>
      </c>
      <c r="HN10" t="e">
        <f>'SurveyRpt_20150223 (1)'!O60+"h_l!C4"</f>
        <v>#VALUE!</v>
      </c>
      <c r="HO10" t="e">
        <f>'SurveyRpt_20150223 (1)'!P60+"h_l!C5"</f>
        <v>#VALUE!</v>
      </c>
      <c r="HP10" t="e">
        <f>'SurveyRpt_20150223 (1)'!Q60+"h_l!C6"</f>
        <v>#VALUE!</v>
      </c>
      <c r="HQ10" t="e">
        <f>'SurveyRpt_20150223 (1)'!R60+"h_l!C7"</f>
        <v>#VALUE!</v>
      </c>
      <c r="HR10" t="e">
        <f>'SurveyRpt_20150223 (1)'!S60+"h_l!C8"</f>
        <v>#VALUE!</v>
      </c>
      <c r="HS10" t="e">
        <f>'SurveyRpt_20150223 (1)'!T60+"h_l!C9"</f>
        <v>#VALUE!</v>
      </c>
      <c r="HT10" t="e">
        <f>'SurveyRpt_20150223 (1)'!U60+"h_l!C:"</f>
        <v>#VALUE!</v>
      </c>
      <c r="HU10" t="e">
        <f>'SurveyRpt_20150223 (1)'!V60+"h_l!C;"</f>
        <v>#VALUE!</v>
      </c>
      <c r="HV10" t="e">
        <f>'SurveyRpt_20150223 (1)'!W60+"h_l!C&lt;"</f>
        <v>#VALUE!</v>
      </c>
      <c r="HW10" t="e">
        <f>'SurveyRpt_20150223 (1)'!X60+"h_l!C="</f>
        <v>#VALUE!</v>
      </c>
      <c r="HX10" t="e">
        <f>'SurveyRpt_20150223 (1)'!Y60+"h_l!C&gt;"</f>
        <v>#VALUE!</v>
      </c>
      <c r="HY10" t="e">
        <f>'SurveyRpt_20150223 (1)'!Z60+"h_l!C?"</f>
        <v>#VALUE!</v>
      </c>
      <c r="HZ10" t="e">
        <f>'SurveyRpt_20150223 (1)'!AA60+"h_l!C@"</f>
        <v>#VALUE!</v>
      </c>
      <c r="IA10" t="e">
        <f>'SurveyRpt_20150223 (1)'!AB60+"h_l!CA"</f>
        <v>#VALUE!</v>
      </c>
      <c r="IB10" t="e">
        <f>'SurveyRpt_20150223 (1)'!AC60+"h_l!CB"</f>
        <v>#VALUE!</v>
      </c>
      <c r="IC10" t="e">
        <f>'SurveyRpt_20150223 (1)'!AD60+"h_l!CC"</f>
        <v>#VALUE!</v>
      </c>
      <c r="ID10" t="e">
        <f>'SurveyRpt_20150223 (1)'!AE60+"h_l!CD"</f>
        <v>#VALUE!</v>
      </c>
      <c r="IE10" t="e">
        <f>'SurveyRpt_20150223 (1)'!AF60+"h_l!CE"</f>
        <v>#VALUE!</v>
      </c>
      <c r="IF10" t="e">
        <f>'SurveyRpt_20150223 (1)'!AG60+"h_l!CF"</f>
        <v>#VALUE!</v>
      </c>
      <c r="IG10" t="e">
        <f>'SurveyRpt_20150223 (1)'!AH60+"h_l!CG"</f>
        <v>#VALUE!</v>
      </c>
      <c r="IH10" t="e">
        <f>'SurveyRpt_20150223 (1)'!AI60+"h_l!CH"</f>
        <v>#VALUE!</v>
      </c>
      <c r="II10" t="e">
        <f>'SurveyRpt_20150223 (1)'!AJ60+"h_l!CI"</f>
        <v>#VALUE!</v>
      </c>
      <c r="IJ10" t="e">
        <f>'SurveyRpt_20150223 (1)'!AK60+"h_l!CJ"</f>
        <v>#VALUE!</v>
      </c>
      <c r="IK10" t="e">
        <f>'SurveyRpt_20150223 (1)'!AL60+"h_l!CK"</f>
        <v>#VALUE!</v>
      </c>
      <c r="IL10" t="e">
        <f>'SurveyRpt_20150223 (1)'!AM60+"h_l!CL"</f>
        <v>#VALUE!</v>
      </c>
      <c r="IM10" t="e">
        <f>'SurveyRpt_20150223 (1)'!AN60+"h_l!CM"</f>
        <v>#VALUE!</v>
      </c>
      <c r="IN10" t="e">
        <f>'SurveyRpt_20150223 (1)'!A61+"h_l!CN"</f>
        <v>#VALUE!</v>
      </c>
      <c r="IO10" s="25" t="e">
        <f>'SurveyRpt_20150223 (1)'!B61+"h_l!CO"</f>
        <v>#VALUE!</v>
      </c>
      <c r="IP10" t="e">
        <f>'SurveyRpt_20150223 (1)'!C61+"h_l!CP"</f>
        <v>#VALUE!</v>
      </c>
      <c r="IQ10" s="25" t="e">
        <f>'SurveyRpt_20150223 (1)'!D61+"h_l!CQ"</f>
        <v>#VALUE!</v>
      </c>
      <c r="IR10" t="e">
        <f>'SurveyRpt_20150223 (1)'!E61+"h_l!CR"</f>
        <v>#VALUE!</v>
      </c>
      <c r="IS10" t="e">
        <f>'SurveyRpt_20150223 (1)'!F61+"h_l!CS"</f>
        <v>#VALUE!</v>
      </c>
      <c r="IT10" t="e">
        <f>'SurveyRpt_20150223 (1)'!G61+"h_l!CT"</f>
        <v>#VALUE!</v>
      </c>
      <c r="IU10" t="e">
        <f>'SurveyRpt_20150223 (1)'!H61+"h_l!CU"</f>
        <v>#VALUE!</v>
      </c>
      <c r="IV10" t="e">
        <f>'SurveyRpt_20150223 (1)'!I61+"h_l!CV"</f>
        <v>#VALUE!</v>
      </c>
    </row>
    <row r="11" spans="1:256" x14ac:dyDescent="0.25">
      <c r="F11" t="e">
        <f>'SurveyRpt_20150223 (1)'!J61+"h_l!CW"</f>
        <v>#VALUE!</v>
      </c>
      <c r="G11" t="e">
        <f>'SurveyRpt_20150223 (1)'!K61+"h_l!CX"</f>
        <v>#VALUE!</v>
      </c>
      <c r="H11" t="e">
        <f>'SurveyRpt_20150223 (1)'!L61+"h_l!CY"</f>
        <v>#VALUE!</v>
      </c>
      <c r="I11" t="e">
        <f>'SurveyRpt_20150223 (1)'!M61+"h_l!CZ"</f>
        <v>#VALUE!</v>
      </c>
      <c r="J11" t="e">
        <f>'SurveyRpt_20150223 (1)'!N61+"h_l!C["</f>
        <v>#VALUE!</v>
      </c>
      <c r="K11" t="e">
        <f>'SurveyRpt_20150223 (1)'!O61+"h_l!C\"</f>
        <v>#VALUE!</v>
      </c>
      <c r="L11" t="e">
        <f>'SurveyRpt_20150223 (1)'!P61+"h_l!C]"</f>
        <v>#VALUE!</v>
      </c>
      <c r="M11" t="e">
        <f>'SurveyRpt_20150223 (1)'!Q61+"h_l!C^"</f>
        <v>#VALUE!</v>
      </c>
      <c r="N11" t="e">
        <f>'SurveyRpt_20150223 (1)'!R61+"h_l!C_"</f>
        <v>#VALUE!</v>
      </c>
      <c r="O11" t="e">
        <f>'SurveyRpt_20150223 (1)'!S61+"h_l!C`"</f>
        <v>#VALUE!</v>
      </c>
      <c r="P11" t="e">
        <f>'SurveyRpt_20150223 (1)'!T61+"h_l!Ca"</f>
        <v>#VALUE!</v>
      </c>
      <c r="Q11" t="e">
        <f>'SurveyRpt_20150223 (1)'!U61+"h_l!Cb"</f>
        <v>#VALUE!</v>
      </c>
      <c r="R11" t="e">
        <f>'SurveyRpt_20150223 (1)'!V61+"h_l!Cc"</f>
        <v>#VALUE!</v>
      </c>
      <c r="S11" t="e">
        <f>'SurveyRpt_20150223 (1)'!W61+"h_l!Cd"</f>
        <v>#VALUE!</v>
      </c>
      <c r="T11" t="e">
        <f>'SurveyRpt_20150223 (1)'!X61+"h_l!Ce"</f>
        <v>#VALUE!</v>
      </c>
      <c r="U11" t="e">
        <f>'SurveyRpt_20150223 (1)'!Y61+"h_l!Cf"</f>
        <v>#VALUE!</v>
      </c>
      <c r="V11" t="e">
        <f>'SurveyRpt_20150223 (1)'!Z61+"h_l!Cg"</f>
        <v>#VALUE!</v>
      </c>
      <c r="W11" t="e">
        <f>'SurveyRpt_20150223 (1)'!AA61+"h_l!Ch"</f>
        <v>#VALUE!</v>
      </c>
      <c r="X11" t="e">
        <f>'SurveyRpt_20150223 (1)'!AB61+"h_l!Ci"</f>
        <v>#VALUE!</v>
      </c>
      <c r="Y11" t="e">
        <f>'SurveyRpt_20150223 (1)'!AC61+"h_l!Cj"</f>
        <v>#VALUE!</v>
      </c>
      <c r="Z11" t="e">
        <f>'SurveyRpt_20150223 (1)'!AD61+"h_l!Ck"</f>
        <v>#VALUE!</v>
      </c>
      <c r="AA11" t="e">
        <f>'SurveyRpt_20150223 (1)'!AE61+"h_l!Cl"</f>
        <v>#VALUE!</v>
      </c>
      <c r="AB11" t="e">
        <f>'SurveyRpt_20150223 (1)'!AF61+"h_l!Cm"</f>
        <v>#VALUE!</v>
      </c>
      <c r="AC11" t="e">
        <f>'SurveyRpt_20150223 (1)'!AG61+"h_l!Cn"</f>
        <v>#VALUE!</v>
      </c>
      <c r="AD11" t="e">
        <f>'SurveyRpt_20150223 (1)'!AH61+"h_l!Co"</f>
        <v>#VALUE!</v>
      </c>
      <c r="AE11" t="e">
        <f>'SurveyRpt_20150223 (1)'!AI61+"h_l!Cp"</f>
        <v>#VALUE!</v>
      </c>
      <c r="AF11" t="e">
        <f>'SurveyRpt_20150223 (1)'!AJ61+"h_l!Cq"</f>
        <v>#VALUE!</v>
      </c>
      <c r="AG11" t="e">
        <f>'SurveyRpt_20150223 (1)'!AK61+"h_l!Cr"</f>
        <v>#VALUE!</v>
      </c>
      <c r="AH11" t="e">
        <f>'SurveyRpt_20150223 (1)'!AL61+"h_l!Cs"</f>
        <v>#VALUE!</v>
      </c>
      <c r="AI11" t="e">
        <f>'SurveyRpt_20150223 (1)'!AM61+"h_l!Ct"</f>
        <v>#VALUE!</v>
      </c>
      <c r="AJ11" t="e">
        <f>'SurveyRpt_20150223 (1)'!AN61+"h_l!Cu"</f>
        <v>#VALUE!</v>
      </c>
      <c r="AK11" t="e">
        <f>'SurveyRpt_20150223 (1)'!A62+"h_l!Cv"</f>
        <v>#VALUE!</v>
      </c>
      <c r="AL11" s="25" t="e">
        <f>'SurveyRpt_20150223 (1)'!B62+"h_l!Cw"</f>
        <v>#VALUE!</v>
      </c>
      <c r="AM11" t="e">
        <f>'SurveyRpt_20150223 (1)'!C62+"h_l!Cx"</f>
        <v>#VALUE!</v>
      </c>
      <c r="AN11" s="25" t="e">
        <f>'SurveyRpt_20150223 (1)'!D62+"h_l!Cy"</f>
        <v>#VALUE!</v>
      </c>
      <c r="AO11" t="e">
        <f>'SurveyRpt_20150223 (1)'!E62+"h_l!Cz"</f>
        <v>#VALUE!</v>
      </c>
      <c r="AP11" t="e">
        <f>'SurveyRpt_20150223 (1)'!F62+"h_l!C{"</f>
        <v>#VALUE!</v>
      </c>
      <c r="AQ11" t="e">
        <f>'SurveyRpt_20150223 (1)'!G62+"h_l!C|"</f>
        <v>#VALUE!</v>
      </c>
      <c r="AR11" t="e">
        <f>'SurveyRpt_20150223 (1)'!H62+"h_l!C}"</f>
        <v>#VALUE!</v>
      </c>
      <c r="AS11" t="e">
        <f>'SurveyRpt_20150223 (1)'!I62+"h_l!C~"</f>
        <v>#VALUE!</v>
      </c>
      <c r="AT11" t="e">
        <f>'SurveyRpt_20150223 (1)'!J62+"h_l!D#"</f>
        <v>#VALUE!</v>
      </c>
      <c r="AU11" t="e">
        <f>'SurveyRpt_20150223 (1)'!K62+"h_l!D$"</f>
        <v>#VALUE!</v>
      </c>
      <c r="AV11" t="e">
        <f>'SurveyRpt_20150223 (1)'!L62+"h_l!D%"</f>
        <v>#VALUE!</v>
      </c>
      <c r="AW11" t="e">
        <f>'SurveyRpt_20150223 (1)'!M62+"h_l!D&amp;"</f>
        <v>#VALUE!</v>
      </c>
      <c r="AX11" t="e">
        <f>'SurveyRpt_20150223 (1)'!N62+"h_l!D'"</f>
        <v>#VALUE!</v>
      </c>
      <c r="AY11" t="e">
        <f>'SurveyRpt_20150223 (1)'!O62+"h_l!D("</f>
        <v>#VALUE!</v>
      </c>
      <c r="AZ11" t="e">
        <f>'SurveyRpt_20150223 (1)'!P62+"h_l!D)"</f>
        <v>#VALUE!</v>
      </c>
      <c r="BA11" t="e">
        <f>'SurveyRpt_20150223 (1)'!Q62+"h_l!D."</f>
        <v>#VALUE!</v>
      </c>
      <c r="BB11" t="e">
        <f>'SurveyRpt_20150223 (1)'!R62+"h_l!D/"</f>
        <v>#VALUE!</v>
      </c>
      <c r="BC11" t="e">
        <f>'SurveyRpt_20150223 (1)'!S62+"h_l!D0"</f>
        <v>#VALUE!</v>
      </c>
      <c r="BD11" t="e">
        <f>'SurveyRpt_20150223 (1)'!T62+"h_l!D1"</f>
        <v>#VALUE!</v>
      </c>
      <c r="BE11" t="e">
        <f>'SurveyRpt_20150223 (1)'!U62+"h_l!D2"</f>
        <v>#VALUE!</v>
      </c>
      <c r="BF11" t="e">
        <f>'SurveyRpt_20150223 (1)'!V62+"h_l!D3"</f>
        <v>#VALUE!</v>
      </c>
      <c r="BG11" t="e">
        <f>'SurveyRpt_20150223 (1)'!W62+"h_l!D4"</f>
        <v>#VALUE!</v>
      </c>
      <c r="BH11" t="e">
        <f>'SurveyRpt_20150223 (1)'!X62+"h_l!D5"</f>
        <v>#VALUE!</v>
      </c>
      <c r="BI11" t="e">
        <f>'SurveyRpt_20150223 (1)'!Y62+"h_l!D6"</f>
        <v>#VALUE!</v>
      </c>
      <c r="BJ11" t="e">
        <f>'SurveyRpt_20150223 (1)'!Z62+"h_l!D7"</f>
        <v>#VALUE!</v>
      </c>
      <c r="BK11" t="e">
        <f>'SurveyRpt_20150223 (1)'!AA62+"h_l!D8"</f>
        <v>#VALUE!</v>
      </c>
      <c r="BL11" t="e">
        <f>'SurveyRpt_20150223 (1)'!AB62+"h_l!D9"</f>
        <v>#VALUE!</v>
      </c>
      <c r="BM11" t="e">
        <f>'SurveyRpt_20150223 (1)'!AC62+"h_l!D:"</f>
        <v>#VALUE!</v>
      </c>
      <c r="BN11" t="e">
        <f>'SurveyRpt_20150223 (1)'!AD62+"h_l!D;"</f>
        <v>#VALUE!</v>
      </c>
      <c r="BO11" t="e">
        <f>'SurveyRpt_20150223 (1)'!AE62+"h_l!D&lt;"</f>
        <v>#VALUE!</v>
      </c>
      <c r="BP11" t="e">
        <f>'SurveyRpt_20150223 (1)'!AF62+"h_l!D="</f>
        <v>#VALUE!</v>
      </c>
      <c r="BQ11" t="e">
        <f>'SurveyRpt_20150223 (1)'!AG62+"h_l!D&gt;"</f>
        <v>#VALUE!</v>
      </c>
      <c r="BR11" t="e">
        <f>'SurveyRpt_20150223 (1)'!AH62+"h_l!D?"</f>
        <v>#VALUE!</v>
      </c>
      <c r="BS11" t="e">
        <f>'SurveyRpt_20150223 (1)'!AI62+"h_l!D@"</f>
        <v>#VALUE!</v>
      </c>
      <c r="BT11" t="e">
        <f>'SurveyRpt_20150223 (1)'!AJ62+"h_l!DA"</f>
        <v>#VALUE!</v>
      </c>
      <c r="BU11" t="e">
        <f>'SurveyRpt_20150223 (1)'!AK62+"h_l!DB"</f>
        <v>#VALUE!</v>
      </c>
      <c r="BV11" t="e">
        <f>'SurveyRpt_20150223 (1)'!AL62+"h_l!DC"</f>
        <v>#VALUE!</v>
      </c>
      <c r="BW11" t="e">
        <f>'SurveyRpt_20150223 (1)'!AM62+"h_l!DD"</f>
        <v>#VALUE!</v>
      </c>
      <c r="BX11" t="e">
        <f>'SurveyRpt_20150223 (1)'!AN62+"h_l!DE"</f>
        <v>#VALUE!</v>
      </c>
      <c r="BY11" t="e">
        <f>'SurveyRpt_20150223 (1)'!A63+"h_l!DF"</f>
        <v>#VALUE!</v>
      </c>
      <c r="BZ11" s="25" t="e">
        <f>'SurveyRpt_20150223 (1)'!B63+"h_l!DG"</f>
        <v>#VALUE!</v>
      </c>
      <c r="CA11" t="e">
        <f>'SurveyRpt_20150223 (1)'!C63+"h_l!DH"</f>
        <v>#VALUE!</v>
      </c>
      <c r="CB11" s="25" t="e">
        <f>'SurveyRpt_20150223 (1)'!D63+"h_l!DI"</f>
        <v>#VALUE!</v>
      </c>
      <c r="CC11" t="e">
        <f>'SurveyRpt_20150223 (1)'!E63+"h_l!DJ"</f>
        <v>#VALUE!</v>
      </c>
      <c r="CD11" t="e">
        <f>'SurveyRpt_20150223 (1)'!F63+"h_l!DK"</f>
        <v>#VALUE!</v>
      </c>
      <c r="CE11" t="e">
        <f>'SurveyRpt_20150223 (1)'!G63+"h_l!DL"</f>
        <v>#VALUE!</v>
      </c>
      <c r="CF11" t="e">
        <f>'SurveyRpt_20150223 (1)'!H63+"h_l!DM"</f>
        <v>#VALUE!</v>
      </c>
      <c r="CG11" t="e">
        <f>'SurveyRpt_20150223 (1)'!I63+"h_l!DN"</f>
        <v>#VALUE!</v>
      </c>
      <c r="CH11" t="e">
        <f>'SurveyRpt_20150223 (1)'!J63+"h_l!DO"</f>
        <v>#VALUE!</v>
      </c>
      <c r="CI11" t="e">
        <f>'SurveyRpt_20150223 (1)'!K63+"h_l!DP"</f>
        <v>#VALUE!</v>
      </c>
      <c r="CJ11" t="e">
        <f>'SurveyRpt_20150223 (1)'!L63+"h_l!DQ"</f>
        <v>#VALUE!</v>
      </c>
      <c r="CK11" t="e">
        <f>'SurveyRpt_20150223 (1)'!M63+"h_l!DR"</f>
        <v>#VALUE!</v>
      </c>
      <c r="CL11" t="e">
        <f>'SurveyRpt_20150223 (1)'!N63+"h_l!DS"</f>
        <v>#VALUE!</v>
      </c>
      <c r="CM11" t="e">
        <f>'SurveyRpt_20150223 (1)'!O63+"h_l!DT"</f>
        <v>#VALUE!</v>
      </c>
      <c r="CN11" t="e">
        <f>'SurveyRpt_20150223 (1)'!P63+"h_l!DU"</f>
        <v>#VALUE!</v>
      </c>
      <c r="CO11" t="e">
        <f>'SurveyRpt_20150223 (1)'!Q63+"h_l!DV"</f>
        <v>#VALUE!</v>
      </c>
      <c r="CP11" t="e">
        <f>'SurveyRpt_20150223 (1)'!R63+"h_l!DW"</f>
        <v>#VALUE!</v>
      </c>
      <c r="CQ11" t="e">
        <f>'SurveyRpt_20150223 (1)'!S63+"h_l!DX"</f>
        <v>#VALUE!</v>
      </c>
      <c r="CR11" t="e">
        <f>'SurveyRpt_20150223 (1)'!T63+"h_l!DY"</f>
        <v>#VALUE!</v>
      </c>
      <c r="CS11" t="e">
        <f>'SurveyRpt_20150223 (1)'!U63+"h_l!DZ"</f>
        <v>#VALUE!</v>
      </c>
      <c r="CT11" t="e">
        <f>'SurveyRpt_20150223 (1)'!V63+"h_l!D["</f>
        <v>#VALUE!</v>
      </c>
      <c r="CU11" t="e">
        <f>'SurveyRpt_20150223 (1)'!W63+"h_l!D\"</f>
        <v>#VALUE!</v>
      </c>
      <c r="CV11" t="e">
        <f>'SurveyRpt_20150223 (1)'!X63+"h_l!D]"</f>
        <v>#VALUE!</v>
      </c>
      <c r="CW11" t="e">
        <f>'SurveyRpt_20150223 (1)'!Y63+"h_l!D^"</f>
        <v>#VALUE!</v>
      </c>
      <c r="CX11" t="e">
        <f>'SurveyRpt_20150223 (1)'!Z63+"h_l!D_"</f>
        <v>#VALUE!</v>
      </c>
      <c r="CY11" t="e">
        <f>'SurveyRpt_20150223 (1)'!AA63+"h_l!D`"</f>
        <v>#VALUE!</v>
      </c>
      <c r="CZ11" t="e">
        <f>'SurveyRpt_20150223 (1)'!AB63+"h_l!Da"</f>
        <v>#VALUE!</v>
      </c>
      <c r="DA11" t="e">
        <f>'SurveyRpt_20150223 (1)'!AC63+"h_l!Db"</f>
        <v>#VALUE!</v>
      </c>
      <c r="DB11" t="e">
        <f>'SurveyRpt_20150223 (1)'!AD63+"h_l!Dc"</f>
        <v>#VALUE!</v>
      </c>
      <c r="DC11" t="e">
        <f>'SurveyRpt_20150223 (1)'!AE63+"h_l!Dd"</f>
        <v>#VALUE!</v>
      </c>
      <c r="DD11" t="e">
        <f>'SurveyRpt_20150223 (1)'!AF63+"h_l!De"</f>
        <v>#VALUE!</v>
      </c>
      <c r="DE11" t="e">
        <f>'SurveyRpt_20150223 (1)'!AG63+"h_l!Df"</f>
        <v>#VALUE!</v>
      </c>
      <c r="DF11" t="e">
        <f>'SurveyRpt_20150223 (1)'!AH63+"h_l!Dg"</f>
        <v>#VALUE!</v>
      </c>
      <c r="DG11" t="e">
        <f>'SurveyRpt_20150223 (1)'!AI63+"h_l!Dh"</f>
        <v>#VALUE!</v>
      </c>
      <c r="DH11" t="e">
        <f>'SurveyRpt_20150223 (1)'!AJ63+"h_l!Di"</f>
        <v>#VALUE!</v>
      </c>
      <c r="DI11" t="e">
        <f>'SurveyRpt_20150223 (1)'!AK63+"h_l!Dj"</f>
        <v>#VALUE!</v>
      </c>
      <c r="DJ11" t="e">
        <f>'SurveyRpt_20150223 (1)'!AL63+"h_l!Dk"</f>
        <v>#VALUE!</v>
      </c>
      <c r="DK11" t="e">
        <f>'SurveyRpt_20150223 (1)'!AM63+"h_l!Dl"</f>
        <v>#VALUE!</v>
      </c>
      <c r="DL11" t="e">
        <f>'SurveyRpt_20150223 (1)'!AN63+"h_l!Dm"</f>
        <v>#VALUE!</v>
      </c>
      <c r="DM11" t="e">
        <f>'SurveyRpt_20150223 (1)'!A64+"h_l!Dn"</f>
        <v>#VALUE!</v>
      </c>
      <c r="DN11" s="25" t="e">
        <f>'SurveyRpt_20150223 (1)'!B64+"h_l!Do"</f>
        <v>#VALUE!</v>
      </c>
      <c r="DO11" t="e">
        <f>'SurveyRpt_20150223 (1)'!C64+"h_l!Dp"</f>
        <v>#VALUE!</v>
      </c>
      <c r="DP11" s="25" t="e">
        <f>'SurveyRpt_20150223 (1)'!D64+"h_l!Dq"</f>
        <v>#VALUE!</v>
      </c>
      <c r="DQ11" t="e">
        <f>'SurveyRpt_20150223 (1)'!E64+"h_l!Dr"</f>
        <v>#VALUE!</v>
      </c>
      <c r="DR11" t="e">
        <f>'SurveyRpt_20150223 (1)'!F64+"h_l!Ds"</f>
        <v>#VALUE!</v>
      </c>
      <c r="DS11" t="e">
        <f>'SurveyRpt_20150223 (1)'!G64+"h_l!Dt"</f>
        <v>#VALUE!</v>
      </c>
      <c r="DT11" t="e">
        <f>'SurveyRpt_20150223 (1)'!H64+"h_l!Du"</f>
        <v>#VALUE!</v>
      </c>
      <c r="DU11" t="e">
        <f>'SurveyRpt_20150223 (1)'!I64+"h_l!Dv"</f>
        <v>#VALUE!</v>
      </c>
      <c r="DV11" t="e">
        <f>'SurveyRpt_20150223 (1)'!J64+"h_l!Dw"</f>
        <v>#VALUE!</v>
      </c>
      <c r="DW11" t="e">
        <f>'SurveyRpt_20150223 (1)'!K64+"h_l!Dx"</f>
        <v>#VALUE!</v>
      </c>
      <c r="DX11" t="e">
        <f>'SurveyRpt_20150223 (1)'!L64+"h_l!Dy"</f>
        <v>#VALUE!</v>
      </c>
      <c r="DY11" t="e">
        <f>'SurveyRpt_20150223 (1)'!M64+"h_l!Dz"</f>
        <v>#VALUE!</v>
      </c>
      <c r="DZ11" t="e">
        <f>'SurveyRpt_20150223 (1)'!N64+"h_l!D{"</f>
        <v>#VALUE!</v>
      </c>
      <c r="EA11" t="e">
        <f>'SurveyRpt_20150223 (1)'!O64+"h_l!D|"</f>
        <v>#VALUE!</v>
      </c>
      <c r="EB11" t="e">
        <f>'SurveyRpt_20150223 (1)'!P64+"h_l!D}"</f>
        <v>#VALUE!</v>
      </c>
      <c r="EC11" t="e">
        <f>'SurveyRpt_20150223 (1)'!Q64+"h_l!D~"</f>
        <v>#VALUE!</v>
      </c>
      <c r="ED11" t="e">
        <f>'SurveyRpt_20150223 (1)'!R64+"h_l!E#"</f>
        <v>#VALUE!</v>
      </c>
      <c r="EE11" t="e">
        <f>'SurveyRpt_20150223 (1)'!S64+"h_l!E$"</f>
        <v>#VALUE!</v>
      </c>
      <c r="EF11" t="e">
        <f>'SurveyRpt_20150223 (1)'!T64+"h_l!E%"</f>
        <v>#VALUE!</v>
      </c>
      <c r="EG11" t="e">
        <f>'SurveyRpt_20150223 (1)'!U64+"h_l!E&amp;"</f>
        <v>#VALUE!</v>
      </c>
      <c r="EH11" t="e">
        <f>'SurveyRpt_20150223 (1)'!V64+"h_l!E'"</f>
        <v>#VALUE!</v>
      </c>
      <c r="EI11" t="e">
        <f>'SurveyRpt_20150223 (1)'!W64+"h_l!E("</f>
        <v>#VALUE!</v>
      </c>
      <c r="EJ11" t="e">
        <f>'SurveyRpt_20150223 (1)'!X64+"h_l!E)"</f>
        <v>#VALUE!</v>
      </c>
      <c r="EK11" t="e">
        <f>'SurveyRpt_20150223 (1)'!Y64+"h_l!E."</f>
        <v>#VALUE!</v>
      </c>
      <c r="EL11" t="e">
        <f>'SurveyRpt_20150223 (1)'!Z64+"h_l!E/"</f>
        <v>#VALUE!</v>
      </c>
      <c r="EM11" t="e">
        <f>'SurveyRpt_20150223 (1)'!AA64+"h_l!E0"</f>
        <v>#VALUE!</v>
      </c>
      <c r="EN11" t="e">
        <f>'SurveyRpt_20150223 (1)'!AB64+"h_l!E1"</f>
        <v>#VALUE!</v>
      </c>
      <c r="EO11" t="e">
        <f>'SurveyRpt_20150223 (1)'!AC64+"h_l!E2"</f>
        <v>#VALUE!</v>
      </c>
      <c r="EP11" t="e">
        <f>'SurveyRpt_20150223 (1)'!AD64+"h_l!E3"</f>
        <v>#VALUE!</v>
      </c>
      <c r="EQ11" t="e">
        <f>'SurveyRpt_20150223 (1)'!AE64+"h_l!E4"</f>
        <v>#VALUE!</v>
      </c>
      <c r="ER11" t="e">
        <f>'SurveyRpt_20150223 (1)'!AF64+"h_l!E5"</f>
        <v>#VALUE!</v>
      </c>
      <c r="ES11" t="e">
        <f>'SurveyRpt_20150223 (1)'!AG64+"h_l!E6"</f>
        <v>#VALUE!</v>
      </c>
      <c r="ET11" t="e">
        <f>'SurveyRpt_20150223 (1)'!AH64+"h_l!E7"</f>
        <v>#VALUE!</v>
      </c>
      <c r="EU11" t="e">
        <f>'SurveyRpt_20150223 (1)'!AI64+"h_l!E8"</f>
        <v>#VALUE!</v>
      </c>
      <c r="EV11" t="e">
        <f>'SurveyRpt_20150223 (1)'!AJ64+"h_l!E9"</f>
        <v>#VALUE!</v>
      </c>
      <c r="EW11" t="e">
        <f>'SurveyRpt_20150223 (1)'!AK64+"h_l!E:"</f>
        <v>#VALUE!</v>
      </c>
      <c r="EX11" t="e">
        <f>'SurveyRpt_20150223 (1)'!AL64+"h_l!E;"</f>
        <v>#VALUE!</v>
      </c>
      <c r="EY11" t="e">
        <f>'SurveyRpt_20150223 (1)'!AM64+"h_l!E&lt;"</f>
        <v>#VALUE!</v>
      </c>
      <c r="EZ11" t="e">
        <f>'SurveyRpt_20150223 (1)'!AN64+"h_l!E="</f>
        <v>#VALUE!</v>
      </c>
      <c r="FA11" t="e">
        <f>'SurveyRpt_20150223 (1)'!A65+"h_l!E&gt;"</f>
        <v>#VALUE!</v>
      </c>
      <c r="FB11" s="25" t="e">
        <f>'SurveyRpt_20150223 (1)'!B65+"h_l!E?"</f>
        <v>#VALUE!</v>
      </c>
      <c r="FC11" t="e">
        <f>'SurveyRpt_20150223 (1)'!C65+"h_l!E@"</f>
        <v>#VALUE!</v>
      </c>
      <c r="FD11" s="25" t="e">
        <f>'SurveyRpt_20150223 (1)'!D65+"h_l!EA"</f>
        <v>#VALUE!</v>
      </c>
      <c r="FE11" t="e">
        <f>'SurveyRpt_20150223 (1)'!E65+"h_l!EB"</f>
        <v>#VALUE!</v>
      </c>
      <c r="FF11" t="e">
        <f>'SurveyRpt_20150223 (1)'!F65+"h_l!EC"</f>
        <v>#VALUE!</v>
      </c>
      <c r="FG11" t="e">
        <f>'SurveyRpt_20150223 (1)'!G65+"h_l!ED"</f>
        <v>#VALUE!</v>
      </c>
      <c r="FH11" t="e">
        <f>'SurveyRpt_20150223 (1)'!H65+"h_l!EE"</f>
        <v>#VALUE!</v>
      </c>
      <c r="FI11" t="e">
        <f>'SurveyRpt_20150223 (1)'!I65+"h_l!EF"</f>
        <v>#VALUE!</v>
      </c>
      <c r="FJ11" t="e">
        <f>'SurveyRpt_20150223 (1)'!J65+"h_l!EG"</f>
        <v>#VALUE!</v>
      </c>
      <c r="FK11" t="e">
        <f>'SurveyRpt_20150223 (1)'!K65+"h_l!EH"</f>
        <v>#VALUE!</v>
      </c>
      <c r="FL11" t="e">
        <f>'SurveyRpt_20150223 (1)'!L65+"h_l!EI"</f>
        <v>#VALUE!</v>
      </c>
      <c r="FM11" t="e">
        <f>'SurveyRpt_20150223 (1)'!M65+"h_l!EJ"</f>
        <v>#VALUE!</v>
      </c>
      <c r="FN11" t="e">
        <f>'SurveyRpt_20150223 (1)'!N65+"h_l!EK"</f>
        <v>#VALUE!</v>
      </c>
      <c r="FO11" t="e">
        <f>'SurveyRpt_20150223 (1)'!O65+"h_l!EL"</f>
        <v>#VALUE!</v>
      </c>
      <c r="FP11" t="e">
        <f>'SurveyRpt_20150223 (1)'!P65+"h_l!EM"</f>
        <v>#VALUE!</v>
      </c>
      <c r="FQ11" t="e">
        <f>'SurveyRpt_20150223 (1)'!Q65+"h_l!EN"</f>
        <v>#VALUE!</v>
      </c>
      <c r="FR11" t="e">
        <f>'SurveyRpt_20150223 (1)'!R65+"h_l!EO"</f>
        <v>#VALUE!</v>
      </c>
      <c r="FS11" t="e">
        <f>'SurveyRpt_20150223 (1)'!S65+"h_l!EP"</f>
        <v>#VALUE!</v>
      </c>
      <c r="FT11" t="e">
        <f>'SurveyRpt_20150223 (1)'!T65+"h_l!EQ"</f>
        <v>#VALUE!</v>
      </c>
      <c r="FU11" t="e">
        <f>'SurveyRpt_20150223 (1)'!U65+"h_l!ER"</f>
        <v>#VALUE!</v>
      </c>
      <c r="FV11" t="e">
        <f>'SurveyRpt_20150223 (1)'!V65+"h_l!ES"</f>
        <v>#VALUE!</v>
      </c>
      <c r="FW11" t="e">
        <f>'SurveyRpt_20150223 (1)'!W65+"h_l!ET"</f>
        <v>#VALUE!</v>
      </c>
      <c r="FX11" t="e">
        <f>'SurveyRpt_20150223 (1)'!X65+"h_l!EU"</f>
        <v>#VALUE!</v>
      </c>
      <c r="FY11" t="e">
        <f>'SurveyRpt_20150223 (1)'!Y65+"h_l!EV"</f>
        <v>#VALUE!</v>
      </c>
      <c r="FZ11" t="e">
        <f>'SurveyRpt_20150223 (1)'!Z65+"h_l!EW"</f>
        <v>#VALUE!</v>
      </c>
      <c r="GA11" t="e">
        <f>'SurveyRpt_20150223 (1)'!AA65+"h_l!EX"</f>
        <v>#VALUE!</v>
      </c>
      <c r="GB11" t="e">
        <f>'SurveyRpt_20150223 (1)'!AB65+"h_l!EY"</f>
        <v>#VALUE!</v>
      </c>
      <c r="GC11" t="e">
        <f>'SurveyRpt_20150223 (1)'!AC65+"h_l!EZ"</f>
        <v>#VALUE!</v>
      </c>
      <c r="GD11" t="e">
        <f>'SurveyRpt_20150223 (1)'!AD65+"h_l!E["</f>
        <v>#VALUE!</v>
      </c>
      <c r="GE11" t="e">
        <f>'SurveyRpt_20150223 (1)'!AE65+"h_l!E\"</f>
        <v>#VALUE!</v>
      </c>
      <c r="GF11" t="e">
        <f>'SurveyRpt_20150223 (1)'!AF65+"h_l!E]"</f>
        <v>#VALUE!</v>
      </c>
      <c r="GG11" t="e">
        <f>'SurveyRpt_20150223 (1)'!AG65+"h_l!E^"</f>
        <v>#VALUE!</v>
      </c>
      <c r="GH11" t="e">
        <f>'SurveyRpt_20150223 (1)'!AH65+"h_l!E_"</f>
        <v>#VALUE!</v>
      </c>
      <c r="GI11" t="e">
        <f>'SurveyRpt_20150223 (1)'!AI65+"h_l!E`"</f>
        <v>#VALUE!</v>
      </c>
      <c r="GJ11" t="e">
        <f>'SurveyRpt_20150223 (1)'!AJ65+"h_l!Ea"</f>
        <v>#VALUE!</v>
      </c>
      <c r="GK11" t="e">
        <f>'SurveyRpt_20150223 (1)'!AK65+"h_l!Eb"</f>
        <v>#VALUE!</v>
      </c>
      <c r="GL11" t="e">
        <f>'SurveyRpt_20150223 (1)'!AL65+"h_l!Ec"</f>
        <v>#VALUE!</v>
      </c>
      <c r="GM11" t="e">
        <f>'SurveyRpt_20150223 (1)'!AM65+"h_l!Ed"</f>
        <v>#VALUE!</v>
      </c>
      <c r="GN11" t="e">
        <f>'SurveyRpt_20150223 (1)'!AN65+"h_l!Ee"</f>
        <v>#VALUE!</v>
      </c>
      <c r="GO11" t="e">
        <f>'SurveyRpt_20150223 (1)'!A66+"h_l!Ef"</f>
        <v>#VALUE!</v>
      </c>
      <c r="GP11" s="25" t="e">
        <f>'SurveyRpt_20150223 (1)'!B66+"h_l!Eg"</f>
        <v>#VALUE!</v>
      </c>
      <c r="GQ11" t="e">
        <f>'SurveyRpt_20150223 (1)'!C66+"h_l!Eh"</f>
        <v>#VALUE!</v>
      </c>
      <c r="GR11" s="25" t="e">
        <f>'SurveyRpt_20150223 (1)'!D66+"h_l!Ei"</f>
        <v>#VALUE!</v>
      </c>
      <c r="GS11" t="e">
        <f>'SurveyRpt_20150223 (1)'!E66+"h_l!Ej"</f>
        <v>#VALUE!</v>
      </c>
      <c r="GT11" t="e">
        <f>'SurveyRpt_20150223 (1)'!F66+"h_l!Ek"</f>
        <v>#VALUE!</v>
      </c>
      <c r="GU11" t="e">
        <f>'SurveyRpt_20150223 (1)'!G66+"h_l!El"</f>
        <v>#VALUE!</v>
      </c>
      <c r="GV11" t="e">
        <f>'SurveyRpt_20150223 (1)'!H66+"h_l!Em"</f>
        <v>#VALUE!</v>
      </c>
      <c r="GW11" t="e">
        <f>'SurveyRpt_20150223 (1)'!I66+"h_l!En"</f>
        <v>#VALUE!</v>
      </c>
      <c r="GX11" t="e">
        <f>'SurveyRpt_20150223 (1)'!J66+"h_l!Eo"</f>
        <v>#VALUE!</v>
      </c>
      <c r="GY11" t="e">
        <f>'SurveyRpt_20150223 (1)'!K66+"h_l!Ep"</f>
        <v>#VALUE!</v>
      </c>
      <c r="GZ11" t="e">
        <f>'SurveyRpt_20150223 (1)'!L66+"h_l!Eq"</f>
        <v>#VALUE!</v>
      </c>
      <c r="HA11" t="e">
        <f>'SurveyRpt_20150223 (1)'!M66+"h_l!Er"</f>
        <v>#VALUE!</v>
      </c>
      <c r="HB11" t="e">
        <f>'SurveyRpt_20150223 (1)'!N66+"h_l!Es"</f>
        <v>#VALUE!</v>
      </c>
      <c r="HC11" t="e">
        <f>'SurveyRpt_20150223 (1)'!O66+"h_l!Et"</f>
        <v>#VALUE!</v>
      </c>
      <c r="HD11" t="e">
        <f>'SurveyRpt_20150223 (1)'!P66+"h_l!Eu"</f>
        <v>#VALUE!</v>
      </c>
      <c r="HE11" t="e">
        <f>'SurveyRpt_20150223 (1)'!Q66+"h_l!Ev"</f>
        <v>#VALUE!</v>
      </c>
      <c r="HF11" t="e">
        <f>'SurveyRpt_20150223 (1)'!R66+"h_l!Ew"</f>
        <v>#VALUE!</v>
      </c>
      <c r="HG11" t="e">
        <f>'SurveyRpt_20150223 (1)'!S66+"h_l!Ex"</f>
        <v>#VALUE!</v>
      </c>
      <c r="HH11" t="e">
        <f>'SurveyRpt_20150223 (1)'!T66+"h_l!Ey"</f>
        <v>#VALUE!</v>
      </c>
      <c r="HI11" t="e">
        <f>'SurveyRpt_20150223 (1)'!U66+"h_l!Ez"</f>
        <v>#VALUE!</v>
      </c>
      <c r="HJ11" t="e">
        <f>'SurveyRpt_20150223 (1)'!V66+"h_l!E{"</f>
        <v>#VALUE!</v>
      </c>
      <c r="HK11" t="e">
        <f>'SurveyRpt_20150223 (1)'!W66+"h_l!E|"</f>
        <v>#VALUE!</v>
      </c>
      <c r="HL11" t="e">
        <f>'SurveyRpt_20150223 (1)'!X66+"h_l!E}"</f>
        <v>#VALUE!</v>
      </c>
      <c r="HM11" t="e">
        <f>'SurveyRpt_20150223 (1)'!Y66+"h_l!E~"</f>
        <v>#VALUE!</v>
      </c>
      <c r="HN11" t="e">
        <f>'SurveyRpt_20150223 (1)'!Z66+"h_l!F#"</f>
        <v>#VALUE!</v>
      </c>
      <c r="HO11" t="e">
        <f>'SurveyRpt_20150223 (1)'!AA66+"h_l!F$"</f>
        <v>#VALUE!</v>
      </c>
      <c r="HP11" t="e">
        <f>'SurveyRpt_20150223 (1)'!AB66+"h_l!F%"</f>
        <v>#VALUE!</v>
      </c>
      <c r="HQ11" t="e">
        <f>'SurveyRpt_20150223 (1)'!AC66+"h_l!F&amp;"</f>
        <v>#VALUE!</v>
      </c>
      <c r="HR11" t="e">
        <f>'SurveyRpt_20150223 (1)'!AD66+"h_l!F'"</f>
        <v>#VALUE!</v>
      </c>
      <c r="HS11" t="e">
        <f>'SurveyRpt_20150223 (1)'!AE66+"h_l!F("</f>
        <v>#VALUE!</v>
      </c>
      <c r="HT11" t="e">
        <f>'SurveyRpt_20150223 (1)'!AF66+"h_l!F)"</f>
        <v>#VALUE!</v>
      </c>
      <c r="HU11" t="e">
        <f>'SurveyRpt_20150223 (1)'!AG66+"h_l!F."</f>
        <v>#VALUE!</v>
      </c>
      <c r="HV11" t="e">
        <f>'SurveyRpt_20150223 (1)'!AH66+"h_l!F/"</f>
        <v>#VALUE!</v>
      </c>
      <c r="HW11" t="e">
        <f>'SurveyRpt_20150223 (1)'!AI66+"h_l!F0"</f>
        <v>#VALUE!</v>
      </c>
      <c r="HX11" t="e">
        <f>'SurveyRpt_20150223 (1)'!AJ66+"h_l!F1"</f>
        <v>#VALUE!</v>
      </c>
      <c r="HY11" t="e">
        <f>'SurveyRpt_20150223 (1)'!AK66+"h_l!F2"</f>
        <v>#VALUE!</v>
      </c>
      <c r="HZ11" t="e">
        <f>'SurveyRpt_20150223 (1)'!AL66+"h_l!F3"</f>
        <v>#VALUE!</v>
      </c>
      <c r="IA11" t="e">
        <f>'SurveyRpt_20150223 (1)'!AM66+"h_l!F4"</f>
        <v>#VALUE!</v>
      </c>
      <c r="IB11" t="e">
        <f>'SurveyRpt_20150223 (1)'!AN66+"h_l!F5"</f>
        <v>#VALUE!</v>
      </c>
      <c r="IC11" t="e">
        <f>'SurveyRpt_20150223 (1)'!A67+"h_l!F6"</f>
        <v>#VALUE!</v>
      </c>
      <c r="ID11" s="25" t="e">
        <f>'SurveyRpt_20150223 (1)'!B67+"h_l!F7"</f>
        <v>#VALUE!</v>
      </c>
      <c r="IE11" t="e">
        <f>'SurveyRpt_20150223 (1)'!C67+"h_l!F8"</f>
        <v>#VALUE!</v>
      </c>
      <c r="IF11" s="25" t="e">
        <f>'SurveyRpt_20150223 (1)'!D67+"h_l!F9"</f>
        <v>#VALUE!</v>
      </c>
      <c r="IG11" t="e">
        <f>'SurveyRpt_20150223 (1)'!E67+"h_l!F:"</f>
        <v>#VALUE!</v>
      </c>
      <c r="IH11" t="e">
        <f>'SurveyRpt_20150223 (1)'!F67+"h_l!F;"</f>
        <v>#VALUE!</v>
      </c>
      <c r="II11" t="e">
        <f>'SurveyRpt_20150223 (1)'!G67+"h_l!F&lt;"</f>
        <v>#VALUE!</v>
      </c>
      <c r="IJ11" t="e">
        <f>'SurveyRpt_20150223 (1)'!H67+"h_l!F="</f>
        <v>#VALUE!</v>
      </c>
      <c r="IK11" t="e">
        <f>'SurveyRpt_20150223 (1)'!I67+"h_l!F&gt;"</f>
        <v>#VALUE!</v>
      </c>
      <c r="IL11" t="e">
        <f>'SurveyRpt_20150223 (1)'!J67+"h_l!F?"</f>
        <v>#VALUE!</v>
      </c>
      <c r="IM11" t="e">
        <f>'SurveyRpt_20150223 (1)'!K67+"h_l!F@"</f>
        <v>#VALUE!</v>
      </c>
      <c r="IN11" t="e">
        <f>'SurveyRpt_20150223 (1)'!L67+"h_l!FA"</f>
        <v>#VALUE!</v>
      </c>
      <c r="IO11" t="e">
        <f>'SurveyRpt_20150223 (1)'!M67+"h_l!FB"</f>
        <v>#VALUE!</v>
      </c>
      <c r="IP11" t="e">
        <f>'SurveyRpt_20150223 (1)'!N67+"h_l!FC"</f>
        <v>#VALUE!</v>
      </c>
      <c r="IQ11" t="e">
        <f>'SurveyRpt_20150223 (1)'!O67+"h_l!FD"</f>
        <v>#VALUE!</v>
      </c>
      <c r="IR11" t="e">
        <f>'SurveyRpt_20150223 (1)'!P67+"h_l!FE"</f>
        <v>#VALUE!</v>
      </c>
      <c r="IS11" t="e">
        <f>'SurveyRpt_20150223 (1)'!Q67+"h_l!FF"</f>
        <v>#VALUE!</v>
      </c>
      <c r="IT11" t="e">
        <f>'SurveyRpt_20150223 (1)'!R67+"h_l!FG"</f>
        <v>#VALUE!</v>
      </c>
      <c r="IU11" t="e">
        <f>'SurveyRpt_20150223 (1)'!S67+"h_l!FH"</f>
        <v>#VALUE!</v>
      </c>
      <c r="IV11" t="e">
        <f>'SurveyRpt_20150223 (1)'!T67+"h_l!FI"</f>
        <v>#VALUE!</v>
      </c>
    </row>
    <row r="12" spans="1:256" x14ac:dyDescent="0.25">
      <c r="F12" t="e">
        <f>'SurveyRpt_20150223 (1)'!U67+"h_l!FJ"</f>
        <v>#VALUE!</v>
      </c>
      <c r="G12" t="e">
        <f>'SurveyRpt_20150223 (1)'!V67+"h_l!FK"</f>
        <v>#VALUE!</v>
      </c>
      <c r="H12" t="e">
        <f>'SurveyRpt_20150223 (1)'!W67+"h_l!FL"</f>
        <v>#VALUE!</v>
      </c>
      <c r="I12" t="e">
        <f>'SurveyRpt_20150223 (1)'!X67+"h_l!FM"</f>
        <v>#VALUE!</v>
      </c>
      <c r="J12" t="e">
        <f>'SurveyRpt_20150223 (1)'!Y67+"h_l!FN"</f>
        <v>#VALUE!</v>
      </c>
      <c r="K12" t="e">
        <f>'SurveyRpt_20150223 (1)'!Z67+"h_l!FO"</f>
        <v>#VALUE!</v>
      </c>
      <c r="L12" t="e">
        <f>'SurveyRpt_20150223 (1)'!AA67+"h_l!FP"</f>
        <v>#VALUE!</v>
      </c>
      <c r="M12" t="e">
        <f>'SurveyRpt_20150223 (1)'!AB67+"h_l!FQ"</f>
        <v>#VALUE!</v>
      </c>
      <c r="N12" t="e">
        <f>'SurveyRpt_20150223 (1)'!AC67+"h_l!FR"</f>
        <v>#VALUE!</v>
      </c>
      <c r="O12" t="e">
        <f>'SurveyRpt_20150223 (1)'!AD67+"h_l!FS"</f>
        <v>#VALUE!</v>
      </c>
      <c r="P12" t="e">
        <f>'SurveyRpt_20150223 (1)'!AE67+"h_l!FT"</f>
        <v>#VALUE!</v>
      </c>
      <c r="Q12" t="e">
        <f>'SurveyRpt_20150223 (1)'!AF67+"h_l!FU"</f>
        <v>#VALUE!</v>
      </c>
      <c r="R12" t="e">
        <f>'SurveyRpt_20150223 (1)'!AG67+"h_l!FV"</f>
        <v>#VALUE!</v>
      </c>
      <c r="S12" t="e">
        <f>'SurveyRpt_20150223 (1)'!AH67+"h_l!FW"</f>
        <v>#VALUE!</v>
      </c>
      <c r="T12" t="e">
        <f>'SurveyRpt_20150223 (1)'!AI67+"h_l!FX"</f>
        <v>#VALUE!</v>
      </c>
      <c r="U12" t="e">
        <f>'SurveyRpt_20150223 (1)'!AJ67+"h_l!FY"</f>
        <v>#VALUE!</v>
      </c>
      <c r="V12" t="e">
        <f>'SurveyRpt_20150223 (1)'!AK67+"h_l!FZ"</f>
        <v>#VALUE!</v>
      </c>
      <c r="W12" t="e">
        <f>'SurveyRpt_20150223 (1)'!AL67+"h_l!F["</f>
        <v>#VALUE!</v>
      </c>
      <c r="X12" t="e">
        <f>'SurveyRpt_20150223 (1)'!AM67+"h_l!F\"</f>
        <v>#VALUE!</v>
      </c>
      <c r="Y12" t="e">
        <f>'SurveyRpt_20150223 (1)'!AN67+"h_l!F]"</f>
        <v>#VALUE!</v>
      </c>
      <c r="Z12" t="e">
        <f>'SurveyRpt_20150223 (1)'!A68+"h_l!F^"</f>
        <v>#VALUE!</v>
      </c>
      <c r="AA12" s="25" t="e">
        <f>'SurveyRpt_20150223 (1)'!B68+"h_l!F_"</f>
        <v>#VALUE!</v>
      </c>
      <c r="AB12" t="e">
        <f>'SurveyRpt_20150223 (1)'!C68+"h_l!F`"</f>
        <v>#VALUE!</v>
      </c>
      <c r="AC12" s="25" t="e">
        <f>'SurveyRpt_20150223 (1)'!D68+"h_l!Fa"</f>
        <v>#VALUE!</v>
      </c>
      <c r="AD12" t="e">
        <f>'SurveyRpt_20150223 (1)'!E68+"h_l!Fb"</f>
        <v>#VALUE!</v>
      </c>
      <c r="AE12" t="e">
        <f>'SurveyRpt_20150223 (1)'!F68+"h_l!Fc"</f>
        <v>#VALUE!</v>
      </c>
      <c r="AF12" t="e">
        <f>'SurveyRpt_20150223 (1)'!G68+"h_l!Fd"</f>
        <v>#VALUE!</v>
      </c>
      <c r="AG12" t="e">
        <f>'SurveyRpt_20150223 (1)'!H68+"h_l!Fe"</f>
        <v>#VALUE!</v>
      </c>
      <c r="AH12" t="e">
        <f>'SurveyRpt_20150223 (1)'!I68+"h_l!Ff"</f>
        <v>#VALUE!</v>
      </c>
      <c r="AI12" t="e">
        <f>'SurveyRpt_20150223 (1)'!J68+"h_l!Fg"</f>
        <v>#VALUE!</v>
      </c>
      <c r="AJ12" t="e">
        <f>'SurveyRpt_20150223 (1)'!K68+"h_l!Fh"</f>
        <v>#VALUE!</v>
      </c>
      <c r="AK12" t="e">
        <f>'SurveyRpt_20150223 (1)'!L68+"h_l!Fi"</f>
        <v>#VALUE!</v>
      </c>
      <c r="AL12" t="e">
        <f>'SurveyRpt_20150223 (1)'!M68+"h_l!Fj"</f>
        <v>#VALUE!</v>
      </c>
      <c r="AM12" t="e">
        <f>'SurveyRpt_20150223 (1)'!N68+"h_l!Fk"</f>
        <v>#VALUE!</v>
      </c>
      <c r="AN12" t="e">
        <f>'SurveyRpt_20150223 (1)'!O68+"h_l!Fl"</f>
        <v>#VALUE!</v>
      </c>
      <c r="AO12" t="e">
        <f>'SurveyRpt_20150223 (1)'!P68+"h_l!Fm"</f>
        <v>#VALUE!</v>
      </c>
      <c r="AP12" t="e">
        <f>'SurveyRpt_20150223 (1)'!Q68+"h_l!Fn"</f>
        <v>#VALUE!</v>
      </c>
      <c r="AQ12" t="e">
        <f>'SurveyRpt_20150223 (1)'!R68+"h_l!Fo"</f>
        <v>#VALUE!</v>
      </c>
      <c r="AR12" t="e">
        <f>'SurveyRpt_20150223 (1)'!S68+"h_l!Fp"</f>
        <v>#VALUE!</v>
      </c>
      <c r="AS12" t="e">
        <f>'SurveyRpt_20150223 (1)'!T68+"h_l!Fq"</f>
        <v>#VALUE!</v>
      </c>
      <c r="AT12" t="e">
        <f>'SurveyRpt_20150223 (1)'!U68+"h_l!Fr"</f>
        <v>#VALUE!</v>
      </c>
      <c r="AU12" t="e">
        <f>'SurveyRpt_20150223 (1)'!V68+"h_l!Fs"</f>
        <v>#VALUE!</v>
      </c>
      <c r="AV12" t="e">
        <f>'SurveyRpt_20150223 (1)'!W68+"h_l!Ft"</f>
        <v>#VALUE!</v>
      </c>
      <c r="AW12" t="e">
        <f>'SurveyRpt_20150223 (1)'!X68+"h_l!Fu"</f>
        <v>#VALUE!</v>
      </c>
      <c r="AX12" t="e">
        <f>'SurveyRpt_20150223 (1)'!Y68+"h_l!Fv"</f>
        <v>#VALUE!</v>
      </c>
      <c r="AY12" t="e">
        <f>'SurveyRpt_20150223 (1)'!Z68+"h_l!Fw"</f>
        <v>#VALUE!</v>
      </c>
      <c r="AZ12" t="e">
        <f>'SurveyRpt_20150223 (1)'!AA68+"h_l!Fx"</f>
        <v>#VALUE!</v>
      </c>
      <c r="BA12" t="e">
        <f>'SurveyRpt_20150223 (1)'!AB68+"h_l!Fy"</f>
        <v>#VALUE!</v>
      </c>
      <c r="BB12" t="e">
        <f>'SurveyRpt_20150223 (1)'!AC68+"h_l!Fz"</f>
        <v>#VALUE!</v>
      </c>
      <c r="BC12" t="e">
        <f>'SurveyRpt_20150223 (1)'!AD68+"h_l!F{"</f>
        <v>#VALUE!</v>
      </c>
      <c r="BD12" t="e">
        <f>'SurveyRpt_20150223 (1)'!AE68+"h_l!F|"</f>
        <v>#VALUE!</v>
      </c>
      <c r="BE12" t="e">
        <f>'SurveyRpt_20150223 (1)'!AF68+"h_l!F}"</f>
        <v>#VALUE!</v>
      </c>
      <c r="BF12" t="e">
        <f>'SurveyRpt_20150223 (1)'!AG68+"h_l!F~"</f>
        <v>#VALUE!</v>
      </c>
      <c r="BG12" t="e">
        <f>'SurveyRpt_20150223 (1)'!AH68+"h_l!G#"</f>
        <v>#VALUE!</v>
      </c>
      <c r="BH12" t="e">
        <f>'SurveyRpt_20150223 (1)'!AI68+"h_l!G$"</f>
        <v>#VALUE!</v>
      </c>
      <c r="BI12" t="e">
        <f>'SurveyRpt_20150223 (1)'!AJ68+"h_l!G%"</f>
        <v>#VALUE!</v>
      </c>
      <c r="BJ12" t="e">
        <f>'SurveyRpt_20150223 (1)'!AK68+"h_l!G&amp;"</f>
        <v>#VALUE!</v>
      </c>
      <c r="BK12" t="e">
        <f>'SurveyRpt_20150223 (1)'!AL68+"h_l!G'"</f>
        <v>#VALUE!</v>
      </c>
      <c r="BL12" t="e">
        <f>'SurveyRpt_20150223 (1)'!AM68+"h_l!G("</f>
        <v>#VALUE!</v>
      </c>
      <c r="BM12" t="e">
        <f>'SurveyRpt_20150223 (1)'!AN68+"h_l!G)"</f>
        <v>#VALUE!</v>
      </c>
      <c r="BN12" t="e">
        <f>'SurveyRpt_20150223 (1)'!A69+"h_l!G."</f>
        <v>#VALUE!</v>
      </c>
      <c r="BO12" s="25" t="e">
        <f>'SurveyRpt_20150223 (1)'!B69+"h_l!G/"</f>
        <v>#VALUE!</v>
      </c>
      <c r="BP12" t="e">
        <f>'SurveyRpt_20150223 (1)'!C69+"h_l!G0"</f>
        <v>#VALUE!</v>
      </c>
      <c r="BQ12" s="25" t="e">
        <f>'SurveyRpt_20150223 (1)'!D69+"h_l!G1"</f>
        <v>#VALUE!</v>
      </c>
      <c r="BR12" t="e">
        <f>'SurveyRpt_20150223 (1)'!E69+"h_l!G2"</f>
        <v>#VALUE!</v>
      </c>
      <c r="BS12" t="e">
        <f>'SurveyRpt_20150223 (1)'!F69+"h_l!G3"</f>
        <v>#VALUE!</v>
      </c>
      <c r="BT12" t="e">
        <f>'SurveyRpt_20150223 (1)'!G69+"h_l!G4"</f>
        <v>#VALUE!</v>
      </c>
      <c r="BU12" t="e">
        <f>'SurveyRpt_20150223 (1)'!H69+"h_l!G5"</f>
        <v>#VALUE!</v>
      </c>
      <c r="BV12" t="e">
        <f>'SurveyRpt_20150223 (1)'!I69+"h_l!G6"</f>
        <v>#VALUE!</v>
      </c>
      <c r="BW12" t="e">
        <f>'SurveyRpt_20150223 (1)'!J69+"h_l!G7"</f>
        <v>#VALUE!</v>
      </c>
      <c r="BX12" t="e">
        <f>'SurveyRpt_20150223 (1)'!K69+"h_l!G8"</f>
        <v>#VALUE!</v>
      </c>
      <c r="BY12" t="e">
        <f>'SurveyRpt_20150223 (1)'!L69+"h_l!G9"</f>
        <v>#VALUE!</v>
      </c>
      <c r="BZ12" t="e">
        <f>'SurveyRpt_20150223 (1)'!M69+"h_l!G:"</f>
        <v>#VALUE!</v>
      </c>
      <c r="CA12" t="e">
        <f>'SurveyRpt_20150223 (1)'!N69+"h_l!G;"</f>
        <v>#VALUE!</v>
      </c>
      <c r="CB12" t="e">
        <f>'SurveyRpt_20150223 (1)'!O69+"h_l!G&lt;"</f>
        <v>#VALUE!</v>
      </c>
      <c r="CC12" t="e">
        <f>'SurveyRpt_20150223 (1)'!P69+"h_l!G="</f>
        <v>#VALUE!</v>
      </c>
      <c r="CD12" t="e">
        <f>'SurveyRpt_20150223 (1)'!Q69+"h_l!G&gt;"</f>
        <v>#VALUE!</v>
      </c>
      <c r="CE12" t="e">
        <f>'SurveyRpt_20150223 (1)'!R69+"h_l!G?"</f>
        <v>#VALUE!</v>
      </c>
      <c r="CF12" t="e">
        <f>'SurveyRpt_20150223 (1)'!S69+"h_l!G@"</f>
        <v>#VALUE!</v>
      </c>
      <c r="CG12" t="e">
        <f>'SurveyRpt_20150223 (1)'!T69+"h_l!GA"</f>
        <v>#VALUE!</v>
      </c>
      <c r="CH12" t="e">
        <f>'SurveyRpt_20150223 (1)'!U69+"h_l!GB"</f>
        <v>#VALUE!</v>
      </c>
      <c r="CI12" t="e">
        <f>'SurveyRpt_20150223 (1)'!V69+"h_l!GC"</f>
        <v>#VALUE!</v>
      </c>
      <c r="CJ12" t="e">
        <f>'SurveyRpt_20150223 (1)'!W69+"h_l!GD"</f>
        <v>#VALUE!</v>
      </c>
      <c r="CK12" t="e">
        <f>'SurveyRpt_20150223 (1)'!X69+"h_l!GE"</f>
        <v>#VALUE!</v>
      </c>
      <c r="CL12" t="e">
        <f>'SurveyRpt_20150223 (1)'!Y69+"h_l!GF"</f>
        <v>#VALUE!</v>
      </c>
      <c r="CM12" t="e">
        <f>'SurveyRpt_20150223 (1)'!Z69+"h_l!GG"</f>
        <v>#VALUE!</v>
      </c>
      <c r="CN12" t="e">
        <f>'SurveyRpt_20150223 (1)'!AA69+"h_l!GH"</f>
        <v>#VALUE!</v>
      </c>
      <c r="CO12" t="e">
        <f>'SurveyRpt_20150223 (1)'!AB69+"h_l!GI"</f>
        <v>#VALUE!</v>
      </c>
      <c r="CP12" t="e">
        <f>'SurveyRpt_20150223 (1)'!AC69+"h_l!GJ"</f>
        <v>#VALUE!</v>
      </c>
      <c r="CQ12" t="e">
        <f>'SurveyRpt_20150223 (1)'!AD69+"h_l!GK"</f>
        <v>#VALUE!</v>
      </c>
      <c r="CR12" t="e">
        <f>'SurveyRpt_20150223 (1)'!AE69+"h_l!GL"</f>
        <v>#VALUE!</v>
      </c>
      <c r="CS12" t="e">
        <f>'SurveyRpt_20150223 (1)'!AF69+"h_l!GM"</f>
        <v>#VALUE!</v>
      </c>
      <c r="CT12" t="e">
        <f>'SurveyRpt_20150223 (1)'!AG69+"h_l!GN"</f>
        <v>#VALUE!</v>
      </c>
      <c r="CU12" t="e">
        <f>'SurveyRpt_20150223 (1)'!AH69+"h_l!GO"</f>
        <v>#VALUE!</v>
      </c>
      <c r="CV12" t="e">
        <f>'SurveyRpt_20150223 (1)'!AI69+"h_l!GP"</f>
        <v>#VALUE!</v>
      </c>
      <c r="CW12" t="e">
        <f>'SurveyRpt_20150223 (1)'!AJ69+"h_l!GQ"</f>
        <v>#VALUE!</v>
      </c>
      <c r="CX12" t="e">
        <f>'SurveyRpt_20150223 (1)'!AK69+"h_l!GR"</f>
        <v>#VALUE!</v>
      </c>
      <c r="CY12" t="e">
        <f>'SurveyRpt_20150223 (1)'!AL69+"h_l!GS"</f>
        <v>#VALUE!</v>
      </c>
      <c r="CZ12" t="e">
        <f>'SurveyRpt_20150223 (1)'!AM69+"h_l!GT"</f>
        <v>#VALUE!</v>
      </c>
      <c r="DA12" t="e">
        <f>'SurveyRpt_20150223 (1)'!AN69+"h_l!GU"</f>
        <v>#VALUE!</v>
      </c>
      <c r="DB12" t="e">
        <f>'SurveyRpt_20150223 (1)'!A70+"h_l!GV"</f>
        <v>#VALUE!</v>
      </c>
      <c r="DC12" s="25" t="e">
        <f>'SurveyRpt_20150223 (1)'!B70+"h_l!GW"</f>
        <v>#VALUE!</v>
      </c>
      <c r="DD12" t="e">
        <f>'SurveyRpt_20150223 (1)'!C70+"h_l!GX"</f>
        <v>#VALUE!</v>
      </c>
      <c r="DE12" s="25" t="e">
        <f>'SurveyRpt_20150223 (1)'!D70+"h_l!GY"</f>
        <v>#VALUE!</v>
      </c>
      <c r="DF12" t="e">
        <f>'SurveyRpt_20150223 (1)'!E70+"h_l!GZ"</f>
        <v>#VALUE!</v>
      </c>
      <c r="DG12" t="e">
        <f>'SurveyRpt_20150223 (1)'!F70+"h_l!G["</f>
        <v>#VALUE!</v>
      </c>
      <c r="DH12" t="e">
        <f>'SurveyRpt_20150223 (1)'!G70+"h_l!G\"</f>
        <v>#VALUE!</v>
      </c>
      <c r="DI12" t="e">
        <f>'SurveyRpt_20150223 (1)'!H70+"h_l!G]"</f>
        <v>#VALUE!</v>
      </c>
      <c r="DJ12" t="e">
        <f>'SurveyRpt_20150223 (1)'!I70+"h_l!G^"</f>
        <v>#VALUE!</v>
      </c>
      <c r="DK12" t="e">
        <f>'SurveyRpt_20150223 (1)'!J70+"h_l!G_"</f>
        <v>#VALUE!</v>
      </c>
      <c r="DL12" t="e">
        <f>'SurveyRpt_20150223 (1)'!K70+"h_l!G`"</f>
        <v>#VALUE!</v>
      </c>
      <c r="DM12" t="e">
        <f>'SurveyRpt_20150223 (1)'!L70+"h_l!Ga"</f>
        <v>#VALUE!</v>
      </c>
      <c r="DN12" t="e">
        <f>'SurveyRpt_20150223 (1)'!M70+"h_l!Gb"</f>
        <v>#VALUE!</v>
      </c>
      <c r="DO12" t="e">
        <f>'SurveyRpt_20150223 (1)'!N70+"h_l!Gc"</f>
        <v>#VALUE!</v>
      </c>
      <c r="DP12" t="e">
        <f>'SurveyRpt_20150223 (1)'!O70+"h_l!Gd"</f>
        <v>#VALUE!</v>
      </c>
      <c r="DQ12" t="e">
        <f>'SurveyRpt_20150223 (1)'!P70+"h_l!Ge"</f>
        <v>#VALUE!</v>
      </c>
      <c r="DR12" t="e">
        <f>'SurveyRpt_20150223 (1)'!Q70+"h_l!Gf"</f>
        <v>#VALUE!</v>
      </c>
      <c r="DS12" t="e">
        <f>'SurveyRpt_20150223 (1)'!R70+"h_l!Gg"</f>
        <v>#VALUE!</v>
      </c>
      <c r="DT12" t="e">
        <f>'SurveyRpt_20150223 (1)'!S70+"h_l!Gh"</f>
        <v>#VALUE!</v>
      </c>
      <c r="DU12" t="e">
        <f>'SurveyRpt_20150223 (1)'!T70+"h_l!Gi"</f>
        <v>#VALUE!</v>
      </c>
      <c r="DV12" t="e">
        <f>'SurveyRpt_20150223 (1)'!U70+"h_l!Gj"</f>
        <v>#VALUE!</v>
      </c>
      <c r="DW12" t="e">
        <f>'SurveyRpt_20150223 (1)'!V70+"h_l!Gk"</f>
        <v>#VALUE!</v>
      </c>
      <c r="DX12" t="e">
        <f>'SurveyRpt_20150223 (1)'!W70+"h_l!Gl"</f>
        <v>#VALUE!</v>
      </c>
      <c r="DY12" t="e">
        <f>'SurveyRpt_20150223 (1)'!X70+"h_l!Gm"</f>
        <v>#VALUE!</v>
      </c>
      <c r="DZ12" t="e">
        <f>'SurveyRpt_20150223 (1)'!Y70+"h_l!Gn"</f>
        <v>#VALUE!</v>
      </c>
      <c r="EA12" t="e">
        <f>'SurveyRpt_20150223 (1)'!Z70+"h_l!Go"</f>
        <v>#VALUE!</v>
      </c>
      <c r="EB12" t="e">
        <f>'SurveyRpt_20150223 (1)'!AA70+"h_l!Gp"</f>
        <v>#VALUE!</v>
      </c>
      <c r="EC12" t="e">
        <f>'SurveyRpt_20150223 (1)'!AB70+"h_l!Gq"</f>
        <v>#VALUE!</v>
      </c>
      <c r="ED12" t="e">
        <f>'SurveyRpt_20150223 (1)'!AC70+"h_l!Gr"</f>
        <v>#VALUE!</v>
      </c>
      <c r="EE12" t="e">
        <f>'SurveyRpt_20150223 (1)'!AD70+"h_l!Gs"</f>
        <v>#VALUE!</v>
      </c>
      <c r="EF12" t="e">
        <f>'SurveyRpt_20150223 (1)'!AE70+"h_l!Gt"</f>
        <v>#VALUE!</v>
      </c>
      <c r="EG12" t="e">
        <f>'SurveyRpt_20150223 (1)'!AF70+"h_l!Gu"</f>
        <v>#VALUE!</v>
      </c>
      <c r="EH12" t="e">
        <f>'SurveyRpt_20150223 (1)'!AG70+"h_l!Gv"</f>
        <v>#VALUE!</v>
      </c>
      <c r="EI12" t="e">
        <f>'SurveyRpt_20150223 (1)'!AH70+"h_l!Gw"</f>
        <v>#VALUE!</v>
      </c>
      <c r="EJ12" t="e">
        <f>'SurveyRpt_20150223 (1)'!AI70+"h_l!Gx"</f>
        <v>#VALUE!</v>
      </c>
      <c r="EK12" t="e">
        <f>'SurveyRpt_20150223 (1)'!AJ70+"h_l!Gy"</f>
        <v>#VALUE!</v>
      </c>
      <c r="EL12" t="e">
        <f>'SurveyRpt_20150223 (1)'!AK70+"h_l!Gz"</f>
        <v>#VALUE!</v>
      </c>
      <c r="EM12" t="e">
        <f>'SurveyRpt_20150223 (1)'!AL70+"h_l!G{"</f>
        <v>#VALUE!</v>
      </c>
      <c r="EN12" t="e">
        <f>'SurveyRpt_20150223 (1)'!AM70+"h_l!G|"</f>
        <v>#VALUE!</v>
      </c>
      <c r="EO12" t="e">
        <f>'SurveyRpt_20150223 (1)'!AN70+"h_l!G}"</f>
        <v>#VALUE!</v>
      </c>
      <c r="EP12" t="e">
        <f>'SurveyRpt_20150223 (1)'!A71+"h_l!G~"</f>
        <v>#VALUE!</v>
      </c>
      <c r="EQ12" s="25" t="e">
        <f>'SurveyRpt_20150223 (1)'!B71+"h_l!H#"</f>
        <v>#VALUE!</v>
      </c>
      <c r="ER12" t="e">
        <f>'SurveyRpt_20150223 (1)'!C71+"h_l!H$"</f>
        <v>#VALUE!</v>
      </c>
      <c r="ES12" s="25" t="e">
        <f>'SurveyRpt_20150223 (1)'!D71+"h_l!H%"</f>
        <v>#VALUE!</v>
      </c>
      <c r="ET12" t="e">
        <f>'SurveyRpt_20150223 (1)'!E71+"h_l!H&amp;"</f>
        <v>#VALUE!</v>
      </c>
      <c r="EU12" t="e">
        <f>'SurveyRpt_20150223 (1)'!F71+"h_l!H'"</f>
        <v>#VALUE!</v>
      </c>
      <c r="EV12" t="e">
        <f>'SurveyRpt_20150223 (1)'!G71+"h_l!H("</f>
        <v>#VALUE!</v>
      </c>
      <c r="EW12" t="e">
        <f>'SurveyRpt_20150223 (1)'!H71+"h_l!H)"</f>
        <v>#VALUE!</v>
      </c>
      <c r="EX12" t="e">
        <f>'SurveyRpt_20150223 (1)'!I71+"h_l!H."</f>
        <v>#VALUE!</v>
      </c>
      <c r="EY12" t="e">
        <f>'SurveyRpt_20150223 (1)'!J71+"h_l!H/"</f>
        <v>#VALUE!</v>
      </c>
      <c r="EZ12" t="e">
        <f>'SurveyRpt_20150223 (1)'!K71+"h_l!H0"</f>
        <v>#VALUE!</v>
      </c>
      <c r="FA12" t="e">
        <f>'SurveyRpt_20150223 (1)'!L71+"h_l!H1"</f>
        <v>#VALUE!</v>
      </c>
      <c r="FB12" t="e">
        <f>'SurveyRpt_20150223 (1)'!M71+"h_l!H2"</f>
        <v>#VALUE!</v>
      </c>
      <c r="FC12" t="e">
        <f>'SurveyRpt_20150223 (1)'!N71+"h_l!H3"</f>
        <v>#VALUE!</v>
      </c>
      <c r="FD12" t="e">
        <f>'SurveyRpt_20150223 (1)'!O71+"h_l!H4"</f>
        <v>#VALUE!</v>
      </c>
      <c r="FE12" t="e">
        <f>'SurveyRpt_20150223 (1)'!P71+"h_l!H5"</f>
        <v>#VALUE!</v>
      </c>
      <c r="FF12" t="e">
        <f>'SurveyRpt_20150223 (1)'!Q71+"h_l!H6"</f>
        <v>#VALUE!</v>
      </c>
      <c r="FG12" t="e">
        <f>'SurveyRpt_20150223 (1)'!R71+"h_l!H7"</f>
        <v>#VALUE!</v>
      </c>
      <c r="FH12" t="e">
        <f>'SurveyRpt_20150223 (1)'!S71+"h_l!H8"</f>
        <v>#VALUE!</v>
      </c>
      <c r="FI12" t="e">
        <f>'SurveyRpt_20150223 (1)'!T71+"h_l!H9"</f>
        <v>#VALUE!</v>
      </c>
      <c r="FJ12" t="e">
        <f>'SurveyRpt_20150223 (1)'!U71+"h_l!H:"</f>
        <v>#VALUE!</v>
      </c>
      <c r="FK12" t="e">
        <f>'SurveyRpt_20150223 (1)'!V71+"h_l!H;"</f>
        <v>#VALUE!</v>
      </c>
      <c r="FL12" t="e">
        <f>'SurveyRpt_20150223 (1)'!W71+"h_l!H&lt;"</f>
        <v>#VALUE!</v>
      </c>
      <c r="FM12" t="e">
        <f>'SurveyRpt_20150223 (1)'!X71+"h_l!H="</f>
        <v>#VALUE!</v>
      </c>
      <c r="FN12" t="e">
        <f>'SurveyRpt_20150223 (1)'!Y71+"h_l!H&gt;"</f>
        <v>#VALUE!</v>
      </c>
      <c r="FO12" t="e">
        <f>'SurveyRpt_20150223 (1)'!Z71+"h_l!H?"</f>
        <v>#VALUE!</v>
      </c>
      <c r="FP12" t="e">
        <f>'SurveyRpt_20150223 (1)'!AA71+"h_l!H@"</f>
        <v>#VALUE!</v>
      </c>
      <c r="FQ12" t="e">
        <f>'SurveyRpt_20150223 (1)'!AB71+"h_l!HA"</f>
        <v>#VALUE!</v>
      </c>
      <c r="FR12" t="e">
        <f>'SurveyRpt_20150223 (1)'!AC71+"h_l!HB"</f>
        <v>#VALUE!</v>
      </c>
      <c r="FS12" t="e">
        <f>'SurveyRpt_20150223 (1)'!AD71+"h_l!HC"</f>
        <v>#VALUE!</v>
      </c>
      <c r="FT12" t="e">
        <f>'SurveyRpt_20150223 (1)'!AE71+"h_l!HD"</f>
        <v>#VALUE!</v>
      </c>
      <c r="FU12" t="e">
        <f>'SurveyRpt_20150223 (1)'!AF71+"h_l!HE"</f>
        <v>#VALUE!</v>
      </c>
      <c r="FV12" t="e">
        <f>'SurveyRpt_20150223 (1)'!AG71+"h_l!HF"</f>
        <v>#VALUE!</v>
      </c>
      <c r="FW12" t="e">
        <f>'SurveyRpt_20150223 (1)'!AH71+"h_l!HG"</f>
        <v>#VALUE!</v>
      </c>
      <c r="FX12" t="e">
        <f>'SurveyRpt_20150223 (1)'!AI71+"h_l!HH"</f>
        <v>#VALUE!</v>
      </c>
      <c r="FY12" t="e">
        <f>'SurveyRpt_20150223 (1)'!AJ71+"h_l!HI"</f>
        <v>#VALUE!</v>
      </c>
      <c r="FZ12" t="e">
        <f>'SurveyRpt_20150223 (1)'!AK71+"h_l!HJ"</f>
        <v>#VALUE!</v>
      </c>
      <c r="GA12" t="e">
        <f>'SurveyRpt_20150223 (1)'!AL71+"h_l!HK"</f>
        <v>#VALUE!</v>
      </c>
      <c r="GB12" t="e">
        <f>'SurveyRpt_20150223 (1)'!AM71+"h_l!HL"</f>
        <v>#VALUE!</v>
      </c>
      <c r="GC12" t="e">
        <f>'SurveyRpt_20150223 (1)'!AN71+"h_l!HM"</f>
        <v>#VALUE!</v>
      </c>
      <c r="GD12" t="e">
        <f>'SurveyRpt_20150223 (1)'!A72+"h_l!HN"</f>
        <v>#VALUE!</v>
      </c>
      <c r="GE12" s="25" t="e">
        <f>'SurveyRpt_20150223 (1)'!B72+"h_l!HO"</f>
        <v>#VALUE!</v>
      </c>
      <c r="GF12" t="e">
        <f>'SurveyRpt_20150223 (1)'!C72+"h_l!HP"</f>
        <v>#VALUE!</v>
      </c>
      <c r="GG12" s="25" t="e">
        <f>'SurveyRpt_20150223 (1)'!D72+"h_l!HQ"</f>
        <v>#VALUE!</v>
      </c>
      <c r="GH12" t="e">
        <f>'SurveyRpt_20150223 (1)'!E72+"h_l!HR"</f>
        <v>#VALUE!</v>
      </c>
      <c r="GI12" t="e">
        <f>'SurveyRpt_20150223 (1)'!F72+"h_l!HS"</f>
        <v>#VALUE!</v>
      </c>
      <c r="GJ12" t="e">
        <f>'SurveyRpt_20150223 (1)'!G72+"h_l!HT"</f>
        <v>#VALUE!</v>
      </c>
      <c r="GK12" t="e">
        <f>'SurveyRpt_20150223 (1)'!H72+"h_l!HU"</f>
        <v>#VALUE!</v>
      </c>
      <c r="GL12" t="e">
        <f>'SurveyRpt_20150223 (1)'!I72+"h_l!HV"</f>
        <v>#VALUE!</v>
      </c>
      <c r="GM12" t="e">
        <f>'SurveyRpt_20150223 (1)'!J72+"h_l!HW"</f>
        <v>#VALUE!</v>
      </c>
      <c r="GN12" t="e">
        <f>'SurveyRpt_20150223 (1)'!K72+"h_l!HX"</f>
        <v>#VALUE!</v>
      </c>
      <c r="GO12" t="e">
        <f>'SurveyRpt_20150223 (1)'!L72+"h_l!HY"</f>
        <v>#VALUE!</v>
      </c>
      <c r="GP12" t="e">
        <f>'SurveyRpt_20150223 (1)'!M72+"h_l!HZ"</f>
        <v>#VALUE!</v>
      </c>
      <c r="GQ12" t="e">
        <f>'SurveyRpt_20150223 (1)'!N72+"h_l!H["</f>
        <v>#VALUE!</v>
      </c>
      <c r="GR12" t="e">
        <f>'SurveyRpt_20150223 (1)'!O72+"h_l!H\"</f>
        <v>#VALUE!</v>
      </c>
      <c r="GS12" t="e">
        <f>'SurveyRpt_20150223 (1)'!P72+"h_l!H]"</f>
        <v>#VALUE!</v>
      </c>
      <c r="GT12" t="e">
        <f>'SurveyRpt_20150223 (1)'!Q72+"h_l!H^"</f>
        <v>#VALUE!</v>
      </c>
      <c r="GU12" t="e">
        <f>'SurveyRpt_20150223 (1)'!R72+"h_l!H_"</f>
        <v>#VALUE!</v>
      </c>
      <c r="GV12" t="e">
        <f>'SurveyRpt_20150223 (1)'!S72+"h_l!H`"</f>
        <v>#VALUE!</v>
      </c>
      <c r="GW12" t="e">
        <f>'SurveyRpt_20150223 (1)'!T72+"h_l!Ha"</f>
        <v>#VALUE!</v>
      </c>
      <c r="GX12" t="e">
        <f>'SurveyRpt_20150223 (1)'!U72+"h_l!Hb"</f>
        <v>#VALUE!</v>
      </c>
      <c r="GY12" t="e">
        <f>'SurveyRpt_20150223 (1)'!V72+"h_l!Hc"</f>
        <v>#VALUE!</v>
      </c>
      <c r="GZ12" t="e">
        <f>'SurveyRpt_20150223 (1)'!W72+"h_l!Hd"</f>
        <v>#VALUE!</v>
      </c>
      <c r="HA12" t="e">
        <f>'SurveyRpt_20150223 (1)'!X72+"h_l!He"</f>
        <v>#VALUE!</v>
      </c>
      <c r="HB12" t="e">
        <f>'SurveyRpt_20150223 (1)'!Y72+"h_l!Hf"</f>
        <v>#VALUE!</v>
      </c>
      <c r="HC12" t="e">
        <f>'SurveyRpt_20150223 (1)'!Z72+"h_l!Hg"</f>
        <v>#VALUE!</v>
      </c>
      <c r="HD12" t="e">
        <f>'SurveyRpt_20150223 (1)'!AA72+"h_l!Hh"</f>
        <v>#VALUE!</v>
      </c>
      <c r="HE12" t="e">
        <f>'SurveyRpt_20150223 (1)'!AB72+"h_l!Hi"</f>
        <v>#VALUE!</v>
      </c>
      <c r="HF12" t="e">
        <f>'SurveyRpt_20150223 (1)'!AC72+"h_l!Hj"</f>
        <v>#VALUE!</v>
      </c>
      <c r="HG12" t="e">
        <f>'SurveyRpt_20150223 (1)'!AD72+"h_l!Hk"</f>
        <v>#VALUE!</v>
      </c>
      <c r="HH12" t="e">
        <f>'SurveyRpt_20150223 (1)'!AE72+"h_l!Hl"</f>
        <v>#VALUE!</v>
      </c>
      <c r="HI12" t="e">
        <f>'SurveyRpt_20150223 (1)'!AF72+"h_l!Hm"</f>
        <v>#VALUE!</v>
      </c>
      <c r="HJ12" t="e">
        <f>'SurveyRpt_20150223 (1)'!AG72+"h_l!Hn"</f>
        <v>#VALUE!</v>
      </c>
      <c r="HK12" t="e">
        <f>'SurveyRpt_20150223 (1)'!AH72+"h_l!Ho"</f>
        <v>#VALUE!</v>
      </c>
      <c r="HL12" t="e">
        <f>'SurveyRpt_20150223 (1)'!AI72+"h_l!Hp"</f>
        <v>#VALUE!</v>
      </c>
      <c r="HM12" t="e">
        <f>'SurveyRpt_20150223 (1)'!AJ72+"h_l!Hq"</f>
        <v>#VALUE!</v>
      </c>
      <c r="HN12" t="e">
        <f>'SurveyRpt_20150223 (1)'!AK72+"h_l!Hr"</f>
        <v>#VALUE!</v>
      </c>
      <c r="HO12" t="e">
        <f>'SurveyRpt_20150223 (1)'!AL72+"h_l!Hs"</f>
        <v>#VALUE!</v>
      </c>
      <c r="HP12" t="e">
        <f>'SurveyRpt_20150223 (1)'!AM72+"h_l!Ht"</f>
        <v>#VALUE!</v>
      </c>
      <c r="HQ12" t="e">
        <f>'SurveyRpt_20150223 (1)'!AN72+"h_l!Hu"</f>
        <v>#VALUE!</v>
      </c>
      <c r="HR12" t="e">
        <f>'SurveyRpt_20150223 (1)'!A73+"h_l!Hv"</f>
        <v>#VALUE!</v>
      </c>
      <c r="HS12" s="25" t="e">
        <f>'SurveyRpt_20150223 (1)'!B73+"h_l!Hw"</f>
        <v>#VALUE!</v>
      </c>
      <c r="HT12" t="e">
        <f>'SurveyRpt_20150223 (1)'!C73+"h_l!Hx"</f>
        <v>#VALUE!</v>
      </c>
      <c r="HU12" s="25" t="e">
        <f>'SurveyRpt_20150223 (1)'!D73+"h_l!Hy"</f>
        <v>#VALUE!</v>
      </c>
      <c r="HV12" t="e">
        <f>'SurveyRpt_20150223 (1)'!E73+"h_l!Hz"</f>
        <v>#VALUE!</v>
      </c>
      <c r="HW12" t="e">
        <f>'SurveyRpt_20150223 (1)'!F73+"h_l!H{"</f>
        <v>#VALUE!</v>
      </c>
      <c r="HX12" t="e">
        <f>'SurveyRpt_20150223 (1)'!G73+"h_l!H|"</f>
        <v>#VALUE!</v>
      </c>
      <c r="HY12" t="e">
        <f>'SurveyRpt_20150223 (1)'!H73+"h_l!H}"</f>
        <v>#VALUE!</v>
      </c>
      <c r="HZ12" t="e">
        <f>'SurveyRpt_20150223 (1)'!I73+"h_l!H~"</f>
        <v>#VALUE!</v>
      </c>
      <c r="IA12" t="e">
        <f>'SurveyRpt_20150223 (1)'!J73+"h_l!I#"</f>
        <v>#VALUE!</v>
      </c>
      <c r="IB12" t="e">
        <f>'SurveyRpt_20150223 (1)'!K73+"h_l!I$"</f>
        <v>#VALUE!</v>
      </c>
      <c r="IC12" t="e">
        <f>'SurveyRpt_20150223 (1)'!L73+"h_l!I%"</f>
        <v>#VALUE!</v>
      </c>
      <c r="ID12" t="e">
        <f>'SurveyRpt_20150223 (1)'!M73+"h_l!I&amp;"</f>
        <v>#VALUE!</v>
      </c>
      <c r="IE12" t="e">
        <f>'SurveyRpt_20150223 (1)'!N73+"h_l!I'"</f>
        <v>#VALUE!</v>
      </c>
      <c r="IF12" t="e">
        <f>'SurveyRpt_20150223 (1)'!O73+"h_l!I("</f>
        <v>#VALUE!</v>
      </c>
      <c r="IG12" t="e">
        <f>'SurveyRpt_20150223 (1)'!P73+"h_l!I)"</f>
        <v>#VALUE!</v>
      </c>
      <c r="IH12" t="e">
        <f>'SurveyRpt_20150223 (1)'!Q73+"h_l!I."</f>
        <v>#VALUE!</v>
      </c>
      <c r="II12" t="e">
        <f>'SurveyRpt_20150223 (1)'!R73+"h_l!I/"</f>
        <v>#VALUE!</v>
      </c>
      <c r="IJ12" t="e">
        <f>'SurveyRpt_20150223 (1)'!S73+"h_l!I0"</f>
        <v>#VALUE!</v>
      </c>
      <c r="IK12" t="e">
        <f>'SurveyRpt_20150223 (1)'!T73+"h_l!I1"</f>
        <v>#VALUE!</v>
      </c>
      <c r="IL12" t="e">
        <f>'SurveyRpt_20150223 (1)'!U73+"h_l!I2"</f>
        <v>#VALUE!</v>
      </c>
      <c r="IM12" t="e">
        <f>'SurveyRpt_20150223 (1)'!V73+"h_l!I3"</f>
        <v>#VALUE!</v>
      </c>
      <c r="IN12" t="e">
        <f>'SurveyRpt_20150223 (1)'!W73+"h_l!I4"</f>
        <v>#VALUE!</v>
      </c>
      <c r="IO12" t="e">
        <f>'SurveyRpt_20150223 (1)'!X73+"h_l!I5"</f>
        <v>#VALUE!</v>
      </c>
      <c r="IP12" t="e">
        <f>'SurveyRpt_20150223 (1)'!Y73+"h_l!I6"</f>
        <v>#VALUE!</v>
      </c>
      <c r="IQ12" t="e">
        <f>'SurveyRpt_20150223 (1)'!Z73+"h_l!I7"</f>
        <v>#VALUE!</v>
      </c>
      <c r="IR12" t="e">
        <f>'SurveyRpt_20150223 (1)'!AA73+"h_l!I8"</f>
        <v>#VALUE!</v>
      </c>
      <c r="IS12" t="e">
        <f>'SurveyRpt_20150223 (1)'!AB73+"h_l!I9"</f>
        <v>#VALUE!</v>
      </c>
      <c r="IT12" t="e">
        <f>'SurveyRpt_20150223 (1)'!AC73+"h_l!I:"</f>
        <v>#VALUE!</v>
      </c>
      <c r="IU12" t="e">
        <f>'SurveyRpt_20150223 (1)'!AD73+"h_l!I;"</f>
        <v>#VALUE!</v>
      </c>
      <c r="IV12" t="e">
        <f>'SurveyRpt_20150223 (1)'!AE73+"h_l!I&lt;"</f>
        <v>#VALUE!</v>
      </c>
    </row>
    <row r="13" spans="1:256" x14ac:dyDescent="0.25">
      <c r="F13" t="e">
        <f>'SurveyRpt_20150223 (1)'!AF73+"h_l!I="</f>
        <v>#VALUE!</v>
      </c>
      <c r="G13" t="e">
        <f>'SurveyRpt_20150223 (1)'!AG73+"h_l!I&gt;"</f>
        <v>#VALUE!</v>
      </c>
      <c r="H13" t="e">
        <f>'SurveyRpt_20150223 (1)'!AH73+"h_l!I?"</f>
        <v>#VALUE!</v>
      </c>
      <c r="I13" t="e">
        <f>'SurveyRpt_20150223 (1)'!AI73+"h_l!I@"</f>
        <v>#VALUE!</v>
      </c>
      <c r="J13" t="e">
        <f>'SurveyRpt_20150223 (1)'!AJ73+"h_l!IA"</f>
        <v>#VALUE!</v>
      </c>
      <c r="K13" t="e">
        <f>'SurveyRpt_20150223 (1)'!AK73+"h_l!IB"</f>
        <v>#VALUE!</v>
      </c>
      <c r="L13" t="e">
        <f>'SurveyRpt_20150223 (1)'!AL73+"h_l!IC"</f>
        <v>#VALUE!</v>
      </c>
      <c r="M13" t="e">
        <f>'SurveyRpt_20150223 (1)'!AM73+"h_l!ID"</f>
        <v>#VALUE!</v>
      </c>
      <c r="N13" t="e">
        <f>'SurveyRpt_20150223 (1)'!AN73+"h_l!IE"</f>
        <v>#VALUE!</v>
      </c>
      <c r="O13" t="e">
        <f>'SurveyRpt_20150223 (1)'!A74+"h_l!IF"</f>
        <v>#VALUE!</v>
      </c>
      <c r="P13" s="25" t="e">
        <f>'SurveyRpt_20150223 (1)'!B74+"h_l!IG"</f>
        <v>#VALUE!</v>
      </c>
      <c r="Q13" t="e">
        <f>'SurveyRpt_20150223 (1)'!C74+"h_l!IH"</f>
        <v>#VALUE!</v>
      </c>
      <c r="R13" s="25" t="e">
        <f>'SurveyRpt_20150223 (1)'!D74+"h_l!II"</f>
        <v>#VALUE!</v>
      </c>
      <c r="S13" t="e">
        <f>'SurveyRpt_20150223 (1)'!E74+"h_l!IJ"</f>
        <v>#VALUE!</v>
      </c>
      <c r="T13" t="e">
        <f>'SurveyRpt_20150223 (1)'!F74+"h_l!IK"</f>
        <v>#VALUE!</v>
      </c>
      <c r="U13" t="e">
        <f>'SurveyRpt_20150223 (1)'!G74+"h_l!IL"</f>
        <v>#VALUE!</v>
      </c>
      <c r="V13" t="e">
        <f>'SurveyRpt_20150223 (1)'!H74+"h_l!IM"</f>
        <v>#VALUE!</v>
      </c>
      <c r="W13" t="e">
        <f>'SurveyRpt_20150223 (1)'!I74+"h_l!IN"</f>
        <v>#VALUE!</v>
      </c>
      <c r="X13" t="e">
        <f>'SurveyRpt_20150223 (1)'!J74+"h_l!IO"</f>
        <v>#VALUE!</v>
      </c>
      <c r="Y13" t="e">
        <f>'SurveyRpt_20150223 (1)'!K74+"h_l!IP"</f>
        <v>#VALUE!</v>
      </c>
      <c r="Z13" t="e">
        <f>'SurveyRpt_20150223 (1)'!L74+"h_l!IQ"</f>
        <v>#VALUE!</v>
      </c>
      <c r="AA13" t="e">
        <f>'SurveyRpt_20150223 (1)'!M74+"h_l!IR"</f>
        <v>#VALUE!</v>
      </c>
      <c r="AB13" t="e">
        <f>'SurveyRpt_20150223 (1)'!N74+"h_l!IS"</f>
        <v>#VALUE!</v>
      </c>
      <c r="AC13" t="e">
        <f>'SurveyRpt_20150223 (1)'!O74+"h_l!IT"</f>
        <v>#VALUE!</v>
      </c>
      <c r="AD13" t="e">
        <f>'SurveyRpt_20150223 (1)'!P74+"h_l!IU"</f>
        <v>#VALUE!</v>
      </c>
      <c r="AE13" t="e">
        <f>'SurveyRpt_20150223 (1)'!Q74+"h_l!IV"</f>
        <v>#VALUE!</v>
      </c>
      <c r="AF13" t="e">
        <f>'SurveyRpt_20150223 (1)'!R74+"h_l!IW"</f>
        <v>#VALUE!</v>
      </c>
      <c r="AG13" t="e">
        <f>'SurveyRpt_20150223 (1)'!S74+"h_l!IX"</f>
        <v>#VALUE!</v>
      </c>
      <c r="AH13" t="e">
        <f>'SurveyRpt_20150223 (1)'!T74+"h_l!IY"</f>
        <v>#VALUE!</v>
      </c>
      <c r="AI13" t="e">
        <f>'SurveyRpt_20150223 (1)'!U74+"h_l!IZ"</f>
        <v>#VALUE!</v>
      </c>
      <c r="AJ13" t="e">
        <f>'SurveyRpt_20150223 (1)'!V74+"h_l!I["</f>
        <v>#VALUE!</v>
      </c>
      <c r="AK13" t="e">
        <f>'SurveyRpt_20150223 (1)'!W74+"h_l!I\"</f>
        <v>#VALUE!</v>
      </c>
      <c r="AL13" t="e">
        <f>'SurveyRpt_20150223 (1)'!X74+"h_l!I]"</f>
        <v>#VALUE!</v>
      </c>
      <c r="AM13" t="e">
        <f>'SurveyRpt_20150223 (1)'!Y74+"h_l!I^"</f>
        <v>#VALUE!</v>
      </c>
      <c r="AN13" t="e">
        <f>'SurveyRpt_20150223 (1)'!Z74+"h_l!I_"</f>
        <v>#VALUE!</v>
      </c>
      <c r="AO13" t="e">
        <f>'SurveyRpt_20150223 (1)'!AA74+"h_l!I`"</f>
        <v>#VALUE!</v>
      </c>
      <c r="AP13" t="e">
        <f>'SurveyRpt_20150223 (1)'!AB74+"h_l!Ia"</f>
        <v>#VALUE!</v>
      </c>
      <c r="AQ13" t="e">
        <f>'SurveyRpt_20150223 (1)'!AC74+"h_l!Ib"</f>
        <v>#VALUE!</v>
      </c>
      <c r="AR13" t="e">
        <f>'SurveyRpt_20150223 (1)'!AD74+"h_l!Ic"</f>
        <v>#VALUE!</v>
      </c>
      <c r="AS13" t="e">
        <f>'SurveyRpt_20150223 (1)'!AE74+"h_l!Id"</f>
        <v>#VALUE!</v>
      </c>
      <c r="AT13" t="e">
        <f>'SurveyRpt_20150223 (1)'!AF74+"h_l!Ie"</f>
        <v>#VALUE!</v>
      </c>
      <c r="AU13" t="e">
        <f>'SurveyRpt_20150223 (1)'!AG74+"h_l!If"</f>
        <v>#VALUE!</v>
      </c>
      <c r="AV13" t="e">
        <f>'SurveyRpt_20150223 (1)'!AH74+"h_l!Ig"</f>
        <v>#VALUE!</v>
      </c>
      <c r="AW13" t="e">
        <f>'SurveyRpt_20150223 (1)'!AI74+"h_l!Ih"</f>
        <v>#VALUE!</v>
      </c>
      <c r="AX13" t="e">
        <f>'SurveyRpt_20150223 (1)'!AJ74+"h_l!Ii"</f>
        <v>#VALUE!</v>
      </c>
      <c r="AY13" t="e">
        <f>'SurveyRpt_20150223 (1)'!AK74+"h_l!Ij"</f>
        <v>#VALUE!</v>
      </c>
      <c r="AZ13" t="e">
        <f>'SurveyRpt_20150223 (1)'!AL74+"h_l!Ik"</f>
        <v>#VALUE!</v>
      </c>
      <c r="BA13" t="e">
        <f>'SurveyRpt_20150223 (1)'!AM74+"h_l!Il"</f>
        <v>#VALUE!</v>
      </c>
      <c r="BB13" t="e">
        <f>'SurveyRpt_20150223 (1)'!AN74+"h_l!Im"</f>
        <v>#VALUE!</v>
      </c>
      <c r="BC13" t="e">
        <f>'SurveyRpt_20150223 (1)'!A75+"h_l!In"</f>
        <v>#VALUE!</v>
      </c>
      <c r="BD13" s="25" t="e">
        <f>'SurveyRpt_20150223 (1)'!B75+"h_l!Io"</f>
        <v>#VALUE!</v>
      </c>
      <c r="BE13" t="e">
        <f>'SurveyRpt_20150223 (1)'!C75+"h_l!Ip"</f>
        <v>#VALUE!</v>
      </c>
      <c r="BF13" s="25" t="e">
        <f>'SurveyRpt_20150223 (1)'!D75+"h_l!Iq"</f>
        <v>#VALUE!</v>
      </c>
      <c r="BG13" t="e">
        <f>'SurveyRpt_20150223 (1)'!E75+"h_l!Ir"</f>
        <v>#VALUE!</v>
      </c>
      <c r="BH13" t="e">
        <f>'SurveyRpt_20150223 (1)'!F75+"h_l!Is"</f>
        <v>#VALUE!</v>
      </c>
      <c r="BI13" t="e">
        <f>'SurveyRpt_20150223 (1)'!G75+"h_l!It"</f>
        <v>#VALUE!</v>
      </c>
      <c r="BJ13" t="e">
        <f>'SurveyRpt_20150223 (1)'!H75+"h_l!Iu"</f>
        <v>#VALUE!</v>
      </c>
      <c r="BK13" t="e">
        <f>'SurveyRpt_20150223 (1)'!I75+"h_l!Iv"</f>
        <v>#VALUE!</v>
      </c>
      <c r="BL13" t="e">
        <f>'SurveyRpt_20150223 (1)'!J75+"h_l!Iw"</f>
        <v>#VALUE!</v>
      </c>
      <c r="BM13" t="e">
        <f>'SurveyRpt_20150223 (1)'!K75+"h_l!Ix"</f>
        <v>#VALUE!</v>
      </c>
      <c r="BN13" t="e">
        <f>'SurveyRpt_20150223 (1)'!L75+"h_l!Iy"</f>
        <v>#VALUE!</v>
      </c>
      <c r="BO13" t="e">
        <f>'SurveyRpt_20150223 (1)'!M75+"h_l!Iz"</f>
        <v>#VALUE!</v>
      </c>
      <c r="BP13" t="e">
        <f>'SurveyRpt_20150223 (1)'!N75+"h_l!I{"</f>
        <v>#VALUE!</v>
      </c>
      <c r="BQ13" t="e">
        <f>'SurveyRpt_20150223 (1)'!O75+"h_l!I|"</f>
        <v>#VALUE!</v>
      </c>
      <c r="BR13" t="e">
        <f>'SurveyRpt_20150223 (1)'!P75+"h_l!I}"</f>
        <v>#VALUE!</v>
      </c>
      <c r="BS13" t="e">
        <f>'SurveyRpt_20150223 (1)'!Q75+"h_l!I~"</f>
        <v>#VALUE!</v>
      </c>
      <c r="BT13" t="e">
        <f>'SurveyRpt_20150223 (1)'!R75+"h_l!J#"</f>
        <v>#VALUE!</v>
      </c>
      <c r="BU13" t="e">
        <f>'SurveyRpt_20150223 (1)'!S75+"h_l!J$"</f>
        <v>#VALUE!</v>
      </c>
      <c r="BV13" t="e">
        <f>'SurveyRpt_20150223 (1)'!T75+"h_l!J%"</f>
        <v>#VALUE!</v>
      </c>
      <c r="BW13" t="e">
        <f>'SurveyRpt_20150223 (1)'!U75+"h_l!J&amp;"</f>
        <v>#VALUE!</v>
      </c>
      <c r="BX13" t="e">
        <f>'SurveyRpt_20150223 (1)'!V75+"h_l!J'"</f>
        <v>#VALUE!</v>
      </c>
      <c r="BY13" t="e">
        <f>'SurveyRpt_20150223 (1)'!W75+"h_l!J("</f>
        <v>#VALUE!</v>
      </c>
      <c r="BZ13" t="e">
        <f>'SurveyRpt_20150223 (1)'!X75+"h_l!J)"</f>
        <v>#VALUE!</v>
      </c>
      <c r="CA13" t="e">
        <f>'SurveyRpt_20150223 (1)'!Y75+"h_l!J."</f>
        <v>#VALUE!</v>
      </c>
      <c r="CB13" t="e">
        <f>'SurveyRpt_20150223 (1)'!Z75+"h_l!J/"</f>
        <v>#VALUE!</v>
      </c>
      <c r="CC13" t="e">
        <f>'SurveyRpt_20150223 (1)'!AA75+"h_l!J0"</f>
        <v>#VALUE!</v>
      </c>
      <c r="CD13" t="e">
        <f>'SurveyRpt_20150223 (1)'!AB75+"h_l!J1"</f>
        <v>#VALUE!</v>
      </c>
      <c r="CE13" t="e">
        <f>'SurveyRpt_20150223 (1)'!AC75+"h_l!J2"</f>
        <v>#VALUE!</v>
      </c>
      <c r="CF13" t="e">
        <f>'SurveyRpt_20150223 (1)'!AD75+"h_l!J3"</f>
        <v>#VALUE!</v>
      </c>
      <c r="CG13" t="e">
        <f>'SurveyRpt_20150223 (1)'!AE75+"h_l!J4"</f>
        <v>#VALUE!</v>
      </c>
      <c r="CH13" t="e">
        <f>'SurveyRpt_20150223 (1)'!AF75+"h_l!J5"</f>
        <v>#VALUE!</v>
      </c>
      <c r="CI13" t="e">
        <f>'SurveyRpt_20150223 (1)'!AG75+"h_l!J6"</f>
        <v>#VALUE!</v>
      </c>
      <c r="CJ13" t="e">
        <f>'SurveyRpt_20150223 (1)'!AH75+"h_l!J7"</f>
        <v>#VALUE!</v>
      </c>
      <c r="CK13" t="e">
        <f>'SurveyRpt_20150223 (1)'!AI75+"h_l!J8"</f>
        <v>#VALUE!</v>
      </c>
      <c r="CL13" t="e">
        <f>'SurveyRpt_20150223 (1)'!AJ75+"h_l!J9"</f>
        <v>#VALUE!</v>
      </c>
      <c r="CM13" t="e">
        <f>'SurveyRpt_20150223 (1)'!AK75+"h_l!J:"</f>
        <v>#VALUE!</v>
      </c>
      <c r="CN13" t="e">
        <f>'SurveyRpt_20150223 (1)'!AL75+"h_l!J;"</f>
        <v>#VALUE!</v>
      </c>
      <c r="CO13" t="e">
        <f>'SurveyRpt_20150223 (1)'!AM75+"h_l!J&lt;"</f>
        <v>#VALUE!</v>
      </c>
      <c r="CP13" t="e">
        <f>'SurveyRpt_20150223 (1)'!AN75+"h_l!J="</f>
        <v>#VALUE!</v>
      </c>
      <c r="CQ13" t="e">
        <f>'SurveyRpt_20150223 (1)'!A76+"h_l!J&gt;"</f>
        <v>#VALUE!</v>
      </c>
      <c r="CR13" s="25" t="e">
        <f>'SurveyRpt_20150223 (1)'!B76+"h_l!J?"</f>
        <v>#VALUE!</v>
      </c>
      <c r="CS13" t="e">
        <f>'SurveyRpt_20150223 (1)'!C76+"h_l!J@"</f>
        <v>#VALUE!</v>
      </c>
      <c r="CT13" s="25" t="e">
        <f>'SurveyRpt_20150223 (1)'!D76+"h_l!JA"</f>
        <v>#VALUE!</v>
      </c>
      <c r="CU13" t="e">
        <f>'SurveyRpt_20150223 (1)'!E76+"h_l!JB"</f>
        <v>#VALUE!</v>
      </c>
      <c r="CV13" t="e">
        <f>'SurveyRpt_20150223 (1)'!F76+"h_l!JC"</f>
        <v>#VALUE!</v>
      </c>
      <c r="CW13" t="e">
        <f>'SurveyRpt_20150223 (1)'!G76+"h_l!JD"</f>
        <v>#VALUE!</v>
      </c>
      <c r="CX13" t="e">
        <f>'SurveyRpt_20150223 (1)'!H76+"h_l!JE"</f>
        <v>#VALUE!</v>
      </c>
      <c r="CY13" t="e">
        <f>'SurveyRpt_20150223 (1)'!I76+"h_l!JF"</f>
        <v>#VALUE!</v>
      </c>
      <c r="CZ13" t="e">
        <f>'SurveyRpt_20150223 (1)'!J76+"h_l!JG"</f>
        <v>#VALUE!</v>
      </c>
      <c r="DA13" t="e">
        <f>'SurveyRpt_20150223 (1)'!K76+"h_l!JH"</f>
        <v>#VALUE!</v>
      </c>
      <c r="DB13" t="e">
        <f>'SurveyRpt_20150223 (1)'!L76+"h_l!JI"</f>
        <v>#VALUE!</v>
      </c>
      <c r="DC13" t="e">
        <f>'SurveyRpt_20150223 (1)'!M76+"h_l!JJ"</f>
        <v>#VALUE!</v>
      </c>
      <c r="DD13" t="e">
        <f>'SurveyRpt_20150223 (1)'!N76+"h_l!JK"</f>
        <v>#VALUE!</v>
      </c>
      <c r="DE13" t="e">
        <f>'SurveyRpt_20150223 (1)'!O76+"h_l!JL"</f>
        <v>#VALUE!</v>
      </c>
      <c r="DF13" t="e">
        <f>'SurveyRpt_20150223 (1)'!P76+"h_l!JM"</f>
        <v>#VALUE!</v>
      </c>
      <c r="DG13" t="e">
        <f>'SurveyRpt_20150223 (1)'!Q76+"h_l!JN"</f>
        <v>#VALUE!</v>
      </c>
      <c r="DH13" t="e">
        <f>'SurveyRpt_20150223 (1)'!R76+"h_l!JO"</f>
        <v>#VALUE!</v>
      </c>
      <c r="DI13" t="e">
        <f>'SurveyRpt_20150223 (1)'!S76+"h_l!JP"</f>
        <v>#VALUE!</v>
      </c>
      <c r="DJ13" t="e">
        <f>'SurveyRpt_20150223 (1)'!T76+"h_l!JQ"</f>
        <v>#VALUE!</v>
      </c>
      <c r="DK13" t="e">
        <f>'SurveyRpt_20150223 (1)'!U76+"h_l!JR"</f>
        <v>#VALUE!</v>
      </c>
      <c r="DL13" t="e">
        <f>'SurveyRpt_20150223 (1)'!V76+"h_l!JS"</f>
        <v>#VALUE!</v>
      </c>
      <c r="DM13" t="e">
        <f>'SurveyRpt_20150223 (1)'!W76+"h_l!JT"</f>
        <v>#VALUE!</v>
      </c>
      <c r="DN13" t="e">
        <f>'SurveyRpt_20150223 (1)'!X76+"h_l!JU"</f>
        <v>#VALUE!</v>
      </c>
      <c r="DO13" t="e">
        <f>'SurveyRpt_20150223 (1)'!Y76+"h_l!JV"</f>
        <v>#VALUE!</v>
      </c>
      <c r="DP13" t="e">
        <f>'SurveyRpt_20150223 (1)'!Z76+"h_l!JW"</f>
        <v>#VALUE!</v>
      </c>
      <c r="DQ13" t="e">
        <f>'SurveyRpt_20150223 (1)'!AA76+"h_l!JX"</f>
        <v>#VALUE!</v>
      </c>
      <c r="DR13" t="e">
        <f>'SurveyRpt_20150223 (1)'!AB76+"h_l!JY"</f>
        <v>#VALUE!</v>
      </c>
      <c r="DS13" t="e">
        <f>'SurveyRpt_20150223 (1)'!AC76+"h_l!JZ"</f>
        <v>#VALUE!</v>
      </c>
      <c r="DT13" t="e">
        <f>'SurveyRpt_20150223 (1)'!AD76+"h_l!J["</f>
        <v>#VALUE!</v>
      </c>
      <c r="DU13" t="e">
        <f>'SurveyRpt_20150223 (1)'!AE76+"h_l!J\"</f>
        <v>#VALUE!</v>
      </c>
      <c r="DV13" t="e">
        <f>'SurveyRpt_20150223 (1)'!AF76+"h_l!J]"</f>
        <v>#VALUE!</v>
      </c>
      <c r="DW13" t="e">
        <f>'SurveyRpt_20150223 (1)'!AG76+"h_l!J^"</f>
        <v>#VALUE!</v>
      </c>
      <c r="DX13" t="e">
        <f>'SurveyRpt_20150223 (1)'!AH76+"h_l!J_"</f>
        <v>#VALUE!</v>
      </c>
      <c r="DY13" t="e">
        <f>'SurveyRpt_20150223 (1)'!AI76+"h_l!J`"</f>
        <v>#VALUE!</v>
      </c>
      <c r="DZ13" t="e">
        <f>'SurveyRpt_20150223 (1)'!AJ76+"h_l!Ja"</f>
        <v>#VALUE!</v>
      </c>
      <c r="EA13" t="e">
        <f>'SurveyRpt_20150223 (1)'!AK76+"h_l!Jb"</f>
        <v>#VALUE!</v>
      </c>
      <c r="EB13" t="e">
        <f>'SurveyRpt_20150223 (1)'!AL76+"h_l!Jc"</f>
        <v>#VALUE!</v>
      </c>
      <c r="EC13" t="e">
        <f>'SurveyRpt_20150223 (1)'!AM76+"h_l!Jd"</f>
        <v>#VALUE!</v>
      </c>
      <c r="ED13" t="e">
        <f>'SurveyRpt_20150223 (1)'!AN76+"h_l!Je"</f>
        <v>#VALUE!</v>
      </c>
      <c r="EE13" t="e">
        <f>'SurveyRpt_20150223 (1)'!A77+"h_l!Jf"</f>
        <v>#VALUE!</v>
      </c>
      <c r="EF13" s="25" t="e">
        <f>'SurveyRpt_20150223 (1)'!B77+"h_l!Jg"</f>
        <v>#VALUE!</v>
      </c>
      <c r="EG13" t="e">
        <f>'SurveyRpt_20150223 (1)'!C77+"h_l!Jh"</f>
        <v>#VALUE!</v>
      </c>
      <c r="EH13" s="25" t="e">
        <f>'SurveyRpt_20150223 (1)'!D77+"h_l!Ji"</f>
        <v>#VALUE!</v>
      </c>
      <c r="EI13" t="e">
        <f>'SurveyRpt_20150223 (1)'!E77+"h_l!Jj"</f>
        <v>#VALUE!</v>
      </c>
      <c r="EJ13" t="e">
        <f>'SurveyRpt_20150223 (1)'!F77+"h_l!Jk"</f>
        <v>#VALUE!</v>
      </c>
      <c r="EK13" t="e">
        <f>'SurveyRpt_20150223 (1)'!G77+"h_l!Jl"</f>
        <v>#VALUE!</v>
      </c>
      <c r="EL13" t="e">
        <f>'SurveyRpt_20150223 (1)'!H77+"h_l!Jm"</f>
        <v>#VALUE!</v>
      </c>
      <c r="EM13" t="e">
        <f>'SurveyRpt_20150223 (1)'!I77+"h_l!Jn"</f>
        <v>#VALUE!</v>
      </c>
      <c r="EN13" t="e">
        <f>'SurveyRpt_20150223 (1)'!J77+"h_l!Jo"</f>
        <v>#VALUE!</v>
      </c>
      <c r="EO13" t="e">
        <f>'SurveyRpt_20150223 (1)'!K77+"h_l!Jp"</f>
        <v>#VALUE!</v>
      </c>
      <c r="EP13" t="e">
        <f>'SurveyRpt_20150223 (1)'!L77+"h_l!Jq"</f>
        <v>#VALUE!</v>
      </c>
      <c r="EQ13" t="e">
        <f>'SurveyRpt_20150223 (1)'!M77+"h_l!Jr"</f>
        <v>#VALUE!</v>
      </c>
      <c r="ER13" t="e">
        <f>'SurveyRpt_20150223 (1)'!N77+"h_l!Js"</f>
        <v>#VALUE!</v>
      </c>
      <c r="ES13" t="e">
        <f>'SurveyRpt_20150223 (1)'!O77+"h_l!Jt"</f>
        <v>#VALUE!</v>
      </c>
      <c r="ET13" t="e">
        <f>'SurveyRpt_20150223 (1)'!P77+"h_l!Ju"</f>
        <v>#VALUE!</v>
      </c>
      <c r="EU13" t="e">
        <f>'SurveyRpt_20150223 (1)'!Q77+"h_l!Jv"</f>
        <v>#VALUE!</v>
      </c>
      <c r="EV13" t="e">
        <f>'SurveyRpt_20150223 (1)'!R77+"h_l!Jw"</f>
        <v>#VALUE!</v>
      </c>
      <c r="EW13" t="e">
        <f>'SurveyRpt_20150223 (1)'!S77+"h_l!Jx"</f>
        <v>#VALUE!</v>
      </c>
      <c r="EX13" t="e">
        <f>'SurveyRpt_20150223 (1)'!T77+"h_l!Jy"</f>
        <v>#VALUE!</v>
      </c>
      <c r="EY13" t="e">
        <f>'SurveyRpt_20150223 (1)'!U77+"h_l!Jz"</f>
        <v>#VALUE!</v>
      </c>
      <c r="EZ13" t="e">
        <f>'SurveyRpt_20150223 (1)'!V77+"h_l!J{"</f>
        <v>#VALUE!</v>
      </c>
      <c r="FA13" t="e">
        <f>'SurveyRpt_20150223 (1)'!W77+"h_l!J|"</f>
        <v>#VALUE!</v>
      </c>
      <c r="FB13" t="e">
        <f>'SurveyRpt_20150223 (1)'!X77+"h_l!J}"</f>
        <v>#VALUE!</v>
      </c>
      <c r="FC13" t="e">
        <f>'SurveyRpt_20150223 (1)'!Y77+"h_l!J~"</f>
        <v>#VALUE!</v>
      </c>
      <c r="FD13" t="e">
        <f>'SurveyRpt_20150223 (1)'!Z77+"h_l!K#"</f>
        <v>#VALUE!</v>
      </c>
      <c r="FE13" t="e">
        <f>'SurveyRpt_20150223 (1)'!AA77+"h_l!K$"</f>
        <v>#VALUE!</v>
      </c>
      <c r="FF13" t="e">
        <f>'SurveyRpt_20150223 (1)'!AB77+"h_l!K%"</f>
        <v>#VALUE!</v>
      </c>
      <c r="FG13" t="e">
        <f>'SurveyRpt_20150223 (1)'!AC77+"h_l!K&amp;"</f>
        <v>#VALUE!</v>
      </c>
      <c r="FH13" t="e">
        <f>'SurveyRpt_20150223 (1)'!AD77+"h_l!K'"</f>
        <v>#VALUE!</v>
      </c>
      <c r="FI13" t="e">
        <f>'SurveyRpt_20150223 (1)'!AE77+"h_l!K("</f>
        <v>#VALUE!</v>
      </c>
      <c r="FJ13" t="e">
        <f>'SurveyRpt_20150223 (1)'!AF77+"h_l!K)"</f>
        <v>#VALUE!</v>
      </c>
      <c r="FK13" t="e">
        <f>'SurveyRpt_20150223 (1)'!AG77+"h_l!K."</f>
        <v>#VALUE!</v>
      </c>
      <c r="FL13" t="e">
        <f>'SurveyRpt_20150223 (1)'!AH77+"h_l!K/"</f>
        <v>#VALUE!</v>
      </c>
      <c r="FM13" t="e">
        <f>'SurveyRpt_20150223 (1)'!AI77+"h_l!K0"</f>
        <v>#VALUE!</v>
      </c>
      <c r="FN13" t="e">
        <f>'SurveyRpt_20150223 (1)'!AJ77+"h_l!K1"</f>
        <v>#VALUE!</v>
      </c>
      <c r="FO13" t="e">
        <f>'SurveyRpt_20150223 (1)'!AK77+"h_l!K2"</f>
        <v>#VALUE!</v>
      </c>
      <c r="FP13" t="e">
        <f>'SurveyRpt_20150223 (1)'!AL77+"h_l!K3"</f>
        <v>#VALUE!</v>
      </c>
      <c r="FQ13" t="e">
        <f>'SurveyRpt_20150223 (1)'!AM77+"h_l!K4"</f>
        <v>#VALUE!</v>
      </c>
      <c r="FR13" t="e">
        <f>'SurveyRpt_20150223 (1)'!AN77+"h_l!K5"</f>
        <v>#VALUE!</v>
      </c>
      <c r="FS13" t="e">
        <f>'SurveyRpt_20150223 (1)'!A78+"h_l!K6"</f>
        <v>#VALUE!</v>
      </c>
      <c r="FT13" s="25" t="e">
        <f>'SurveyRpt_20150223 (1)'!B78+"h_l!K7"</f>
        <v>#VALUE!</v>
      </c>
      <c r="FU13" t="e">
        <f>'SurveyRpt_20150223 (1)'!C78+"h_l!K8"</f>
        <v>#VALUE!</v>
      </c>
      <c r="FV13" s="25" t="e">
        <f>'SurveyRpt_20150223 (1)'!D78+"h_l!K9"</f>
        <v>#VALUE!</v>
      </c>
      <c r="FW13" t="e">
        <f>'SurveyRpt_20150223 (1)'!E78+"h_l!K:"</f>
        <v>#VALUE!</v>
      </c>
      <c r="FX13" t="e">
        <f>'SurveyRpt_20150223 (1)'!F78+"h_l!K;"</f>
        <v>#VALUE!</v>
      </c>
      <c r="FY13" t="e">
        <f>'SurveyRpt_20150223 (1)'!G78+"h_l!K&lt;"</f>
        <v>#VALUE!</v>
      </c>
      <c r="FZ13" t="e">
        <f>'SurveyRpt_20150223 (1)'!H78+"h_l!K="</f>
        <v>#VALUE!</v>
      </c>
      <c r="GA13" t="e">
        <f>'SurveyRpt_20150223 (1)'!I78+"h_l!K&gt;"</f>
        <v>#VALUE!</v>
      </c>
      <c r="GB13" t="e">
        <f>'SurveyRpt_20150223 (1)'!J78+"h_l!K?"</f>
        <v>#VALUE!</v>
      </c>
      <c r="GC13" t="e">
        <f>'SurveyRpt_20150223 (1)'!K78+"h_l!K@"</f>
        <v>#VALUE!</v>
      </c>
      <c r="GD13" t="e">
        <f>'SurveyRpt_20150223 (1)'!L78+"h_l!KA"</f>
        <v>#VALUE!</v>
      </c>
      <c r="GE13" t="e">
        <f>'SurveyRpt_20150223 (1)'!M78+"h_l!KB"</f>
        <v>#VALUE!</v>
      </c>
      <c r="GF13" t="e">
        <f>'SurveyRpt_20150223 (1)'!N78+"h_l!KC"</f>
        <v>#VALUE!</v>
      </c>
      <c r="GG13" t="e">
        <f>'SurveyRpt_20150223 (1)'!O78+"h_l!KD"</f>
        <v>#VALUE!</v>
      </c>
      <c r="GH13" t="e">
        <f>'SurveyRpt_20150223 (1)'!P78+"h_l!KE"</f>
        <v>#VALUE!</v>
      </c>
      <c r="GI13" t="e">
        <f>'SurveyRpt_20150223 (1)'!Q78+"h_l!KF"</f>
        <v>#VALUE!</v>
      </c>
      <c r="GJ13" t="e">
        <f>'SurveyRpt_20150223 (1)'!R78+"h_l!KG"</f>
        <v>#VALUE!</v>
      </c>
      <c r="GK13" t="e">
        <f>'SurveyRpt_20150223 (1)'!S78+"h_l!KH"</f>
        <v>#VALUE!</v>
      </c>
      <c r="GL13" t="e">
        <f>'SurveyRpt_20150223 (1)'!T78+"h_l!KI"</f>
        <v>#VALUE!</v>
      </c>
      <c r="GM13" t="e">
        <f>'SurveyRpt_20150223 (1)'!U78+"h_l!KJ"</f>
        <v>#VALUE!</v>
      </c>
      <c r="GN13" t="e">
        <f>'SurveyRpt_20150223 (1)'!V78+"h_l!KK"</f>
        <v>#VALUE!</v>
      </c>
      <c r="GO13" t="e">
        <f>'SurveyRpt_20150223 (1)'!W78+"h_l!KL"</f>
        <v>#VALUE!</v>
      </c>
      <c r="GP13" t="e">
        <f>'SurveyRpt_20150223 (1)'!X78+"h_l!KM"</f>
        <v>#VALUE!</v>
      </c>
      <c r="GQ13" t="e">
        <f>'SurveyRpt_20150223 (1)'!Y78+"h_l!KN"</f>
        <v>#VALUE!</v>
      </c>
      <c r="GR13" t="e">
        <f>'SurveyRpt_20150223 (1)'!Z78+"h_l!KO"</f>
        <v>#VALUE!</v>
      </c>
      <c r="GS13" t="e">
        <f>'SurveyRpt_20150223 (1)'!AA78+"h_l!KP"</f>
        <v>#VALUE!</v>
      </c>
      <c r="GT13" t="e">
        <f>'SurveyRpt_20150223 (1)'!AB78+"h_l!KQ"</f>
        <v>#VALUE!</v>
      </c>
      <c r="GU13" t="e">
        <f>'SurveyRpt_20150223 (1)'!AC78+"h_l!KR"</f>
        <v>#VALUE!</v>
      </c>
      <c r="GV13" t="e">
        <f>'SurveyRpt_20150223 (1)'!AD78+"h_l!KS"</f>
        <v>#VALUE!</v>
      </c>
      <c r="GW13" t="e">
        <f>'SurveyRpt_20150223 (1)'!AE78+"h_l!KT"</f>
        <v>#VALUE!</v>
      </c>
      <c r="GX13" t="e">
        <f>'SurveyRpt_20150223 (1)'!AF78+"h_l!KU"</f>
        <v>#VALUE!</v>
      </c>
      <c r="GY13" t="e">
        <f>'SurveyRpt_20150223 (1)'!AG78+"h_l!KV"</f>
        <v>#VALUE!</v>
      </c>
      <c r="GZ13" t="e">
        <f>'SurveyRpt_20150223 (1)'!AH78+"h_l!KW"</f>
        <v>#VALUE!</v>
      </c>
      <c r="HA13" t="e">
        <f>'SurveyRpt_20150223 (1)'!AI78+"h_l!KX"</f>
        <v>#VALUE!</v>
      </c>
      <c r="HB13" t="e">
        <f>'SurveyRpt_20150223 (1)'!AJ78+"h_l!KY"</f>
        <v>#VALUE!</v>
      </c>
      <c r="HC13" t="e">
        <f>'SurveyRpt_20150223 (1)'!AK78+"h_l!KZ"</f>
        <v>#VALUE!</v>
      </c>
      <c r="HD13" t="e">
        <f>'SurveyRpt_20150223 (1)'!AL78+"h_l!K["</f>
        <v>#VALUE!</v>
      </c>
      <c r="HE13" t="e">
        <f>'SurveyRpt_20150223 (1)'!AM78+"h_l!K\"</f>
        <v>#VALUE!</v>
      </c>
      <c r="HF13" t="e">
        <f>'SurveyRpt_20150223 (1)'!AN78+"h_l!K]"</f>
        <v>#VALUE!</v>
      </c>
      <c r="HG13" t="e">
        <f>'SurveyRpt_20150223 (1)'!A79+"h_l!K^"</f>
        <v>#VALUE!</v>
      </c>
      <c r="HH13" s="25" t="e">
        <f>'SurveyRpt_20150223 (1)'!B79+"h_l!K_"</f>
        <v>#VALUE!</v>
      </c>
      <c r="HI13" t="e">
        <f>'SurveyRpt_20150223 (1)'!C79+"h_l!K`"</f>
        <v>#VALUE!</v>
      </c>
      <c r="HJ13" s="25" t="e">
        <f>'SurveyRpt_20150223 (1)'!D79+"h_l!Ka"</f>
        <v>#VALUE!</v>
      </c>
      <c r="HK13" t="e">
        <f>'SurveyRpt_20150223 (1)'!E79+"h_l!Kb"</f>
        <v>#VALUE!</v>
      </c>
      <c r="HL13" t="e">
        <f>'SurveyRpt_20150223 (1)'!F79+"h_l!Kc"</f>
        <v>#VALUE!</v>
      </c>
      <c r="HM13" t="e">
        <f>'SurveyRpt_20150223 (1)'!G79+"h_l!Kd"</f>
        <v>#VALUE!</v>
      </c>
      <c r="HN13" t="e">
        <f>'SurveyRpt_20150223 (1)'!H79+"h_l!Ke"</f>
        <v>#VALUE!</v>
      </c>
      <c r="HO13" t="e">
        <f>'SurveyRpt_20150223 (1)'!I79+"h_l!Kf"</f>
        <v>#VALUE!</v>
      </c>
      <c r="HP13" t="e">
        <f>'SurveyRpt_20150223 (1)'!J79+"h_l!Kg"</f>
        <v>#VALUE!</v>
      </c>
      <c r="HQ13" t="e">
        <f>'SurveyRpt_20150223 (1)'!K79+"h_l!Kh"</f>
        <v>#VALUE!</v>
      </c>
      <c r="HR13" t="e">
        <f>'SurveyRpt_20150223 (1)'!L79+"h_l!Ki"</f>
        <v>#VALUE!</v>
      </c>
      <c r="HS13" t="e">
        <f>'SurveyRpt_20150223 (1)'!M79+"h_l!Kj"</f>
        <v>#VALUE!</v>
      </c>
      <c r="HT13" t="e">
        <f>'SurveyRpt_20150223 (1)'!N79+"h_l!Kk"</f>
        <v>#VALUE!</v>
      </c>
      <c r="HU13" t="e">
        <f>'SurveyRpt_20150223 (1)'!O79+"h_l!Kl"</f>
        <v>#VALUE!</v>
      </c>
      <c r="HV13" t="e">
        <f>'SurveyRpt_20150223 (1)'!P79+"h_l!Km"</f>
        <v>#VALUE!</v>
      </c>
      <c r="HW13" t="e">
        <f>'SurveyRpt_20150223 (1)'!Q79+"h_l!Kn"</f>
        <v>#VALUE!</v>
      </c>
      <c r="HX13" t="e">
        <f>'SurveyRpt_20150223 (1)'!R79+"h_l!Ko"</f>
        <v>#VALUE!</v>
      </c>
      <c r="HY13" t="e">
        <f>'SurveyRpt_20150223 (1)'!S79+"h_l!Kp"</f>
        <v>#VALUE!</v>
      </c>
      <c r="HZ13" t="e">
        <f>'SurveyRpt_20150223 (1)'!T79+"h_l!Kq"</f>
        <v>#VALUE!</v>
      </c>
      <c r="IA13" t="e">
        <f>'SurveyRpt_20150223 (1)'!U79+"h_l!Kr"</f>
        <v>#VALUE!</v>
      </c>
      <c r="IB13" t="e">
        <f>'SurveyRpt_20150223 (1)'!V79+"h_l!Ks"</f>
        <v>#VALUE!</v>
      </c>
      <c r="IC13" t="e">
        <f>'SurveyRpt_20150223 (1)'!W79+"h_l!Kt"</f>
        <v>#VALUE!</v>
      </c>
      <c r="ID13" t="e">
        <f>'SurveyRpt_20150223 (1)'!X79+"h_l!Ku"</f>
        <v>#VALUE!</v>
      </c>
      <c r="IE13" t="e">
        <f>'SurveyRpt_20150223 (1)'!Y79+"h_l!Kv"</f>
        <v>#VALUE!</v>
      </c>
      <c r="IF13" t="e">
        <f>'SurveyRpt_20150223 (1)'!Z79+"h_l!Kw"</f>
        <v>#VALUE!</v>
      </c>
      <c r="IG13" t="e">
        <f>'SurveyRpt_20150223 (1)'!AA79+"h_l!Kx"</f>
        <v>#VALUE!</v>
      </c>
      <c r="IH13" t="e">
        <f>'SurveyRpt_20150223 (1)'!AB79+"h_l!Ky"</f>
        <v>#VALUE!</v>
      </c>
      <c r="II13" t="e">
        <f>'SurveyRpt_20150223 (1)'!AC79+"h_l!Kz"</f>
        <v>#VALUE!</v>
      </c>
      <c r="IJ13" t="e">
        <f>'SurveyRpt_20150223 (1)'!AD79+"h_l!K{"</f>
        <v>#VALUE!</v>
      </c>
      <c r="IK13" t="e">
        <f>'SurveyRpt_20150223 (1)'!AE79+"h_l!K|"</f>
        <v>#VALUE!</v>
      </c>
      <c r="IL13" t="e">
        <f>'SurveyRpt_20150223 (1)'!AF79+"h_l!K}"</f>
        <v>#VALUE!</v>
      </c>
      <c r="IM13" t="e">
        <f>'SurveyRpt_20150223 (1)'!AG79+"h_l!K~"</f>
        <v>#VALUE!</v>
      </c>
      <c r="IN13" t="e">
        <f>'SurveyRpt_20150223 (1)'!AH79+"h_l!L#"</f>
        <v>#VALUE!</v>
      </c>
      <c r="IO13" t="e">
        <f>'SurveyRpt_20150223 (1)'!AI79+"h_l!L$"</f>
        <v>#VALUE!</v>
      </c>
      <c r="IP13" t="e">
        <f>'SurveyRpt_20150223 (1)'!AJ79+"h_l!L%"</f>
        <v>#VALUE!</v>
      </c>
      <c r="IQ13" t="e">
        <f>'SurveyRpt_20150223 (1)'!AK79+"h_l!L&amp;"</f>
        <v>#VALUE!</v>
      </c>
      <c r="IR13" t="e">
        <f>'SurveyRpt_20150223 (1)'!AL79+"h_l!L'"</f>
        <v>#VALUE!</v>
      </c>
      <c r="IS13" t="e">
        <f>'SurveyRpt_20150223 (1)'!AM79+"h_l!L("</f>
        <v>#VALUE!</v>
      </c>
      <c r="IT13" t="e">
        <f>'SurveyRpt_20150223 (1)'!AN79+"h_l!L)"</f>
        <v>#VALUE!</v>
      </c>
      <c r="IU13" t="e">
        <f>'SurveyRpt_20150223 (1)'!A80+"h_l!L."</f>
        <v>#VALUE!</v>
      </c>
      <c r="IV13" s="25" t="e">
        <f>'SurveyRpt_20150223 (1)'!B80+"h_l!L/"</f>
        <v>#VALUE!</v>
      </c>
    </row>
    <row r="14" spans="1:256" x14ac:dyDescent="0.25">
      <c r="F14" t="e">
        <f>'SurveyRpt_20150223 (1)'!C80+"h_l!L0"</f>
        <v>#VALUE!</v>
      </c>
      <c r="G14" s="25" t="e">
        <f>'SurveyRpt_20150223 (1)'!D80+"h_l!L1"</f>
        <v>#VALUE!</v>
      </c>
      <c r="H14" t="e">
        <f>'SurveyRpt_20150223 (1)'!E80+"h_l!L2"</f>
        <v>#VALUE!</v>
      </c>
      <c r="I14" t="e">
        <f>'SurveyRpt_20150223 (1)'!F80+"h_l!L3"</f>
        <v>#VALUE!</v>
      </c>
      <c r="J14" t="e">
        <f>'SurveyRpt_20150223 (1)'!G80+"h_l!L4"</f>
        <v>#VALUE!</v>
      </c>
      <c r="K14" t="e">
        <f>'SurveyRpt_20150223 (1)'!H80+"h_l!L5"</f>
        <v>#VALUE!</v>
      </c>
      <c r="L14" t="e">
        <f>'SurveyRpt_20150223 (1)'!I80+"h_l!L6"</f>
        <v>#VALUE!</v>
      </c>
      <c r="M14" t="e">
        <f>'SurveyRpt_20150223 (1)'!J80+"h_l!L7"</f>
        <v>#VALUE!</v>
      </c>
      <c r="N14" t="e">
        <f>'SurveyRpt_20150223 (1)'!K80+"h_l!L8"</f>
        <v>#VALUE!</v>
      </c>
      <c r="O14" t="e">
        <f>'SurveyRpt_20150223 (1)'!L80+"h_l!L9"</f>
        <v>#VALUE!</v>
      </c>
      <c r="P14" t="e">
        <f>'SurveyRpt_20150223 (1)'!M80+"h_l!L:"</f>
        <v>#VALUE!</v>
      </c>
      <c r="Q14" t="e">
        <f>'SurveyRpt_20150223 (1)'!N80+"h_l!L;"</f>
        <v>#VALUE!</v>
      </c>
      <c r="R14" t="e">
        <f>'SurveyRpt_20150223 (1)'!O80+"h_l!L&lt;"</f>
        <v>#VALUE!</v>
      </c>
      <c r="S14" t="e">
        <f>'SurveyRpt_20150223 (1)'!P80+"h_l!L="</f>
        <v>#VALUE!</v>
      </c>
      <c r="T14" t="e">
        <f>'SurveyRpt_20150223 (1)'!Q80+"h_l!L&gt;"</f>
        <v>#VALUE!</v>
      </c>
      <c r="U14" t="e">
        <f>'SurveyRpt_20150223 (1)'!R80+"h_l!L?"</f>
        <v>#VALUE!</v>
      </c>
      <c r="V14" t="e">
        <f>'SurveyRpt_20150223 (1)'!S80+"h_l!L@"</f>
        <v>#VALUE!</v>
      </c>
      <c r="W14" t="e">
        <f>'SurveyRpt_20150223 (1)'!T80+"h_l!LA"</f>
        <v>#VALUE!</v>
      </c>
      <c r="X14" t="e">
        <f>'SurveyRpt_20150223 (1)'!U80+"h_l!LB"</f>
        <v>#VALUE!</v>
      </c>
      <c r="Y14" t="e">
        <f>'SurveyRpt_20150223 (1)'!V80+"h_l!LC"</f>
        <v>#VALUE!</v>
      </c>
      <c r="Z14" t="e">
        <f>'SurveyRpt_20150223 (1)'!W80+"h_l!LD"</f>
        <v>#VALUE!</v>
      </c>
      <c r="AA14" t="e">
        <f>'SurveyRpt_20150223 (1)'!X80+"h_l!LE"</f>
        <v>#VALUE!</v>
      </c>
      <c r="AB14" t="e">
        <f>'SurveyRpt_20150223 (1)'!Y80+"h_l!LF"</f>
        <v>#VALUE!</v>
      </c>
      <c r="AC14" t="e">
        <f>'SurveyRpt_20150223 (1)'!Z80+"h_l!LG"</f>
        <v>#VALUE!</v>
      </c>
      <c r="AD14" t="e">
        <f>'SurveyRpt_20150223 (1)'!AA80+"h_l!LH"</f>
        <v>#VALUE!</v>
      </c>
      <c r="AE14" t="e">
        <f>'SurveyRpt_20150223 (1)'!AB80+"h_l!LI"</f>
        <v>#VALUE!</v>
      </c>
      <c r="AF14" t="e">
        <f>'SurveyRpt_20150223 (1)'!AC80+"h_l!LJ"</f>
        <v>#VALUE!</v>
      </c>
      <c r="AG14" t="e">
        <f>'SurveyRpt_20150223 (1)'!AD80+"h_l!LK"</f>
        <v>#VALUE!</v>
      </c>
      <c r="AH14" t="e">
        <f>'SurveyRpt_20150223 (1)'!AE80+"h_l!LL"</f>
        <v>#VALUE!</v>
      </c>
      <c r="AI14" t="e">
        <f>'SurveyRpt_20150223 (1)'!AF80+"h_l!LM"</f>
        <v>#VALUE!</v>
      </c>
      <c r="AJ14" t="e">
        <f>'SurveyRpt_20150223 (1)'!AG80+"h_l!LN"</f>
        <v>#VALUE!</v>
      </c>
      <c r="AK14" t="e">
        <f>'SurveyRpt_20150223 (1)'!AH80+"h_l!LO"</f>
        <v>#VALUE!</v>
      </c>
      <c r="AL14" t="e">
        <f>'SurveyRpt_20150223 (1)'!AI80+"h_l!LP"</f>
        <v>#VALUE!</v>
      </c>
      <c r="AM14" t="e">
        <f>'SurveyRpt_20150223 (1)'!AJ80+"h_l!LQ"</f>
        <v>#VALUE!</v>
      </c>
      <c r="AN14" t="e">
        <f>'SurveyRpt_20150223 (1)'!AK80+"h_l!LR"</f>
        <v>#VALUE!</v>
      </c>
      <c r="AO14" t="e">
        <f>'SurveyRpt_20150223 (1)'!AL80+"h_l!LS"</f>
        <v>#VALUE!</v>
      </c>
      <c r="AP14" t="e">
        <f>'SurveyRpt_20150223 (1)'!AM80+"h_l!LT"</f>
        <v>#VALUE!</v>
      </c>
      <c r="AQ14" t="e">
        <f>'SurveyRpt_20150223 (1)'!AN80+"h_l!LU"</f>
        <v>#VALUE!</v>
      </c>
      <c r="AR14" t="e">
        <f>'SurveyRpt_20150223 (1)'!A81+"h_l!LV"</f>
        <v>#VALUE!</v>
      </c>
      <c r="AS14" s="25" t="e">
        <f>'SurveyRpt_20150223 (1)'!B81+"h_l!LW"</f>
        <v>#VALUE!</v>
      </c>
      <c r="AT14" t="e">
        <f>'SurveyRpt_20150223 (1)'!C81+"h_l!LX"</f>
        <v>#VALUE!</v>
      </c>
      <c r="AU14" s="25" t="e">
        <f>'SurveyRpt_20150223 (1)'!D81+"h_l!LY"</f>
        <v>#VALUE!</v>
      </c>
      <c r="AV14" t="e">
        <f>'SurveyRpt_20150223 (1)'!E81+"h_l!LZ"</f>
        <v>#VALUE!</v>
      </c>
      <c r="AW14" t="e">
        <f>'SurveyRpt_20150223 (1)'!F81+"h_l!L["</f>
        <v>#VALUE!</v>
      </c>
      <c r="AX14" t="e">
        <f>'SurveyRpt_20150223 (1)'!G81+"h_l!L\"</f>
        <v>#VALUE!</v>
      </c>
      <c r="AY14" t="e">
        <f>'SurveyRpt_20150223 (1)'!H81+"h_l!L]"</f>
        <v>#VALUE!</v>
      </c>
      <c r="AZ14" t="e">
        <f>'SurveyRpt_20150223 (1)'!I81+"h_l!L^"</f>
        <v>#VALUE!</v>
      </c>
      <c r="BA14" t="e">
        <f>'SurveyRpt_20150223 (1)'!J81+"h_l!L_"</f>
        <v>#VALUE!</v>
      </c>
      <c r="BB14" t="e">
        <f>'SurveyRpt_20150223 (1)'!K81+"h_l!L`"</f>
        <v>#VALUE!</v>
      </c>
      <c r="BC14" t="e">
        <f>'SurveyRpt_20150223 (1)'!L81+"h_l!La"</f>
        <v>#VALUE!</v>
      </c>
      <c r="BD14" t="e">
        <f>'SurveyRpt_20150223 (1)'!M81+"h_l!Lb"</f>
        <v>#VALUE!</v>
      </c>
      <c r="BE14" t="e">
        <f>'SurveyRpt_20150223 (1)'!N81+"h_l!Lc"</f>
        <v>#VALUE!</v>
      </c>
      <c r="BF14" t="e">
        <f>'SurveyRpt_20150223 (1)'!O81+"h_l!Ld"</f>
        <v>#VALUE!</v>
      </c>
      <c r="BG14" t="e">
        <f>'SurveyRpt_20150223 (1)'!P81+"h_l!Le"</f>
        <v>#VALUE!</v>
      </c>
      <c r="BH14" t="e">
        <f>'SurveyRpt_20150223 (1)'!Q81+"h_l!Lf"</f>
        <v>#VALUE!</v>
      </c>
      <c r="BI14" t="e">
        <f>'SurveyRpt_20150223 (1)'!R81+"h_l!Lg"</f>
        <v>#VALUE!</v>
      </c>
      <c r="BJ14" t="e">
        <f>'SurveyRpt_20150223 (1)'!S81+"h_l!Lh"</f>
        <v>#VALUE!</v>
      </c>
      <c r="BK14" t="e">
        <f>'SurveyRpt_20150223 (1)'!T81+"h_l!Li"</f>
        <v>#VALUE!</v>
      </c>
      <c r="BL14" t="e">
        <f>'SurveyRpt_20150223 (1)'!U81+"h_l!Lj"</f>
        <v>#VALUE!</v>
      </c>
      <c r="BM14" t="e">
        <f>'SurveyRpt_20150223 (1)'!V81+"h_l!Lk"</f>
        <v>#VALUE!</v>
      </c>
      <c r="BN14" t="e">
        <f>'SurveyRpt_20150223 (1)'!W81+"h_l!Ll"</f>
        <v>#VALUE!</v>
      </c>
      <c r="BO14" t="e">
        <f>'SurveyRpt_20150223 (1)'!X81+"h_l!Lm"</f>
        <v>#VALUE!</v>
      </c>
      <c r="BP14" t="e">
        <f>'SurveyRpt_20150223 (1)'!Y81+"h_l!Ln"</f>
        <v>#VALUE!</v>
      </c>
      <c r="BQ14" t="e">
        <f>'SurveyRpt_20150223 (1)'!Z81+"h_l!Lo"</f>
        <v>#VALUE!</v>
      </c>
      <c r="BR14" t="e">
        <f>'SurveyRpt_20150223 (1)'!AA81+"h_l!Lp"</f>
        <v>#VALUE!</v>
      </c>
      <c r="BS14" t="e">
        <f>'SurveyRpt_20150223 (1)'!AB81+"h_l!Lq"</f>
        <v>#VALUE!</v>
      </c>
      <c r="BT14" t="e">
        <f>'SurveyRpt_20150223 (1)'!AC81+"h_l!Lr"</f>
        <v>#VALUE!</v>
      </c>
      <c r="BU14" t="e">
        <f>'SurveyRpt_20150223 (1)'!AD81+"h_l!Ls"</f>
        <v>#VALUE!</v>
      </c>
      <c r="BV14" t="e">
        <f>'SurveyRpt_20150223 (1)'!AE81+"h_l!Lt"</f>
        <v>#VALUE!</v>
      </c>
      <c r="BW14" t="e">
        <f>'SurveyRpt_20150223 (1)'!AF81+"h_l!Lu"</f>
        <v>#VALUE!</v>
      </c>
      <c r="BX14" t="e">
        <f>'SurveyRpt_20150223 (1)'!AG81+"h_l!Lv"</f>
        <v>#VALUE!</v>
      </c>
      <c r="BY14" t="e">
        <f>'SurveyRpt_20150223 (1)'!AH81+"h_l!Lw"</f>
        <v>#VALUE!</v>
      </c>
      <c r="BZ14" t="e">
        <f>'SurveyRpt_20150223 (1)'!AI81+"h_l!Lx"</f>
        <v>#VALUE!</v>
      </c>
      <c r="CA14" t="e">
        <f>'SurveyRpt_20150223 (1)'!AJ81+"h_l!Ly"</f>
        <v>#VALUE!</v>
      </c>
      <c r="CB14" t="e">
        <f>'SurveyRpt_20150223 (1)'!AK81+"h_l!Lz"</f>
        <v>#VALUE!</v>
      </c>
      <c r="CC14" t="e">
        <f>'SurveyRpt_20150223 (1)'!AL81+"h_l!L{"</f>
        <v>#VALUE!</v>
      </c>
      <c r="CD14" t="e">
        <f>'SurveyRpt_20150223 (1)'!AM81+"h_l!L|"</f>
        <v>#VALUE!</v>
      </c>
      <c r="CE14" t="e">
        <f>'SurveyRpt_20150223 (1)'!AN81+"h_l!L}"</f>
        <v>#VALUE!</v>
      </c>
      <c r="CF14" t="e">
        <f>'SurveyRpt_20150223 (1)'!A82+"h_l!L~"</f>
        <v>#VALUE!</v>
      </c>
      <c r="CG14" s="25" t="e">
        <f>'SurveyRpt_20150223 (1)'!B82+"h_l!M#"</f>
        <v>#VALUE!</v>
      </c>
      <c r="CH14" t="e">
        <f>'SurveyRpt_20150223 (1)'!C82+"h_l!M$"</f>
        <v>#VALUE!</v>
      </c>
      <c r="CI14" s="25" t="e">
        <f>'SurveyRpt_20150223 (1)'!D82+"h_l!M%"</f>
        <v>#VALUE!</v>
      </c>
      <c r="CJ14" t="e">
        <f>'SurveyRpt_20150223 (1)'!E82+"h_l!M&amp;"</f>
        <v>#VALUE!</v>
      </c>
      <c r="CK14" t="e">
        <f>'SurveyRpt_20150223 (1)'!F82+"h_l!M'"</f>
        <v>#VALUE!</v>
      </c>
      <c r="CL14" t="e">
        <f>'SurveyRpt_20150223 (1)'!G82+"h_l!M("</f>
        <v>#VALUE!</v>
      </c>
      <c r="CM14" t="e">
        <f>'SurveyRpt_20150223 (1)'!H82+"h_l!M)"</f>
        <v>#VALUE!</v>
      </c>
      <c r="CN14" t="e">
        <f>'SurveyRpt_20150223 (1)'!I82+"h_l!M."</f>
        <v>#VALUE!</v>
      </c>
      <c r="CO14" t="e">
        <f>'SurveyRpt_20150223 (1)'!J82+"h_l!M/"</f>
        <v>#VALUE!</v>
      </c>
      <c r="CP14" t="e">
        <f>'SurveyRpt_20150223 (1)'!K82+"h_l!M0"</f>
        <v>#VALUE!</v>
      </c>
      <c r="CQ14" t="e">
        <f>'SurveyRpt_20150223 (1)'!L82+"h_l!M1"</f>
        <v>#VALUE!</v>
      </c>
      <c r="CR14" t="e">
        <f>'SurveyRpt_20150223 (1)'!M82+"h_l!M2"</f>
        <v>#VALUE!</v>
      </c>
      <c r="CS14" t="e">
        <f>'SurveyRpt_20150223 (1)'!N82+"h_l!M3"</f>
        <v>#VALUE!</v>
      </c>
      <c r="CT14" t="e">
        <f>'SurveyRpt_20150223 (1)'!O82+"h_l!M4"</f>
        <v>#VALUE!</v>
      </c>
      <c r="CU14" t="e">
        <f>'SurveyRpt_20150223 (1)'!P82+"h_l!M5"</f>
        <v>#VALUE!</v>
      </c>
      <c r="CV14" t="e">
        <f>'SurveyRpt_20150223 (1)'!Q82+"h_l!M6"</f>
        <v>#VALUE!</v>
      </c>
      <c r="CW14" t="e">
        <f>'SurveyRpt_20150223 (1)'!R82+"h_l!M7"</f>
        <v>#VALUE!</v>
      </c>
      <c r="CX14" t="e">
        <f>'SurveyRpt_20150223 (1)'!S82+"h_l!M8"</f>
        <v>#VALUE!</v>
      </c>
      <c r="CY14" t="e">
        <f>'SurveyRpt_20150223 (1)'!T82+"h_l!M9"</f>
        <v>#VALUE!</v>
      </c>
      <c r="CZ14" t="e">
        <f>'SurveyRpt_20150223 (1)'!U82+"h_l!M:"</f>
        <v>#VALUE!</v>
      </c>
      <c r="DA14" t="e">
        <f>'SurveyRpt_20150223 (1)'!V82+"h_l!M;"</f>
        <v>#VALUE!</v>
      </c>
      <c r="DB14" t="e">
        <f>'SurveyRpt_20150223 (1)'!W82+"h_l!M&lt;"</f>
        <v>#VALUE!</v>
      </c>
      <c r="DC14" t="e">
        <f>'SurveyRpt_20150223 (1)'!X82+"h_l!M="</f>
        <v>#VALUE!</v>
      </c>
      <c r="DD14" t="e">
        <f>'SurveyRpt_20150223 (1)'!Y82+"h_l!M&gt;"</f>
        <v>#VALUE!</v>
      </c>
      <c r="DE14" t="e">
        <f>'SurveyRpt_20150223 (1)'!Z82+"h_l!M?"</f>
        <v>#VALUE!</v>
      </c>
      <c r="DF14" t="e">
        <f>'SurveyRpt_20150223 (1)'!AA82+"h_l!M@"</f>
        <v>#VALUE!</v>
      </c>
      <c r="DG14" t="e">
        <f>'SurveyRpt_20150223 (1)'!AB82+"h_l!MA"</f>
        <v>#VALUE!</v>
      </c>
      <c r="DH14" t="e">
        <f>'SurveyRpt_20150223 (1)'!AC82+"h_l!MB"</f>
        <v>#VALUE!</v>
      </c>
      <c r="DI14" t="e">
        <f>'SurveyRpt_20150223 (1)'!AD82+"h_l!MC"</f>
        <v>#VALUE!</v>
      </c>
      <c r="DJ14" t="e">
        <f>'SurveyRpt_20150223 (1)'!AE82+"h_l!MD"</f>
        <v>#VALUE!</v>
      </c>
      <c r="DK14" t="e">
        <f>'SurveyRpt_20150223 (1)'!AF82+"h_l!ME"</f>
        <v>#VALUE!</v>
      </c>
      <c r="DL14" t="e">
        <f>'SurveyRpt_20150223 (1)'!AG82+"h_l!MF"</f>
        <v>#VALUE!</v>
      </c>
      <c r="DM14" t="e">
        <f>'SurveyRpt_20150223 (1)'!AH82+"h_l!MG"</f>
        <v>#VALUE!</v>
      </c>
      <c r="DN14" t="e">
        <f>'SurveyRpt_20150223 (1)'!AI82+"h_l!MH"</f>
        <v>#VALUE!</v>
      </c>
      <c r="DO14" t="e">
        <f>'SurveyRpt_20150223 (1)'!AJ82+"h_l!MI"</f>
        <v>#VALUE!</v>
      </c>
      <c r="DP14" t="e">
        <f>'SurveyRpt_20150223 (1)'!AK82+"h_l!MJ"</f>
        <v>#VALUE!</v>
      </c>
      <c r="DQ14" t="e">
        <f>'SurveyRpt_20150223 (1)'!AL82+"h_l!MK"</f>
        <v>#VALUE!</v>
      </c>
      <c r="DR14" t="e">
        <f>'SurveyRpt_20150223 (1)'!AM82+"h_l!ML"</f>
        <v>#VALUE!</v>
      </c>
      <c r="DS14" t="e">
        <f>'SurveyRpt_20150223 (1)'!AN82+"h_l!MM"</f>
        <v>#VALUE!</v>
      </c>
      <c r="DT14" t="e">
        <f>'SurveyRpt_20150223 (1)'!A83+"h_l!MN"</f>
        <v>#VALUE!</v>
      </c>
      <c r="DU14" s="25" t="e">
        <f>'SurveyRpt_20150223 (1)'!B83+"h_l!MO"</f>
        <v>#VALUE!</v>
      </c>
      <c r="DV14" t="e">
        <f>'SurveyRpt_20150223 (1)'!C83+"h_l!MP"</f>
        <v>#VALUE!</v>
      </c>
      <c r="DW14" s="25" t="e">
        <f>'SurveyRpt_20150223 (1)'!D83+"h_l!MQ"</f>
        <v>#VALUE!</v>
      </c>
      <c r="DX14" t="e">
        <f>'SurveyRpt_20150223 (1)'!E83+"h_l!MR"</f>
        <v>#VALUE!</v>
      </c>
      <c r="DY14" t="e">
        <f>'SurveyRpt_20150223 (1)'!F83+"h_l!MS"</f>
        <v>#VALUE!</v>
      </c>
      <c r="DZ14" t="e">
        <f>'SurveyRpt_20150223 (1)'!G83+"h_l!MT"</f>
        <v>#VALUE!</v>
      </c>
      <c r="EA14" t="e">
        <f>'SurveyRpt_20150223 (1)'!H83+"h_l!MU"</f>
        <v>#VALUE!</v>
      </c>
      <c r="EB14" t="e">
        <f>'SurveyRpt_20150223 (1)'!I83+"h_l!MV"</f>
        <v>#VALUE!</v>
      </c>
      <c r="EC14" t="e">
        <f>'SurveyRpt_20150223 (1)'!J83+"h_l!MW"</f>
        <v>#VALUE!</v>
      </c>
      <c r="ED14" t="e">
        <f>'SurveyRpt_20150223 (1)'!K83+"h_l!MX"</f>
        <v>#VALUE!</v>
      </c>
      <c r="EE14" t="e">
        <f>'SurveyRpt_20150223 (1)'!L83+"h_l!MY"</f>
        <v>#VALUE!</v>
      </c>
      <c r="EF14" t="e">
        <f>'SurveyRpt_20150223 (1)'!M83+"h_l!MZ"</f>
        <v>#VALUE!</v>
      </c>
      <c r="EG14" t="e">
        <f>'SurveyRpt_20150223 (1)'!N83+"h_l!M["</f>
        <v>#VALUE!</v>
      </c>
      <c r="EH14" t="e">
        <f>'SurveyRpt_20150223 (1)'!O83+"h_l!M\"</f>
        <v>#VALUE!</v>
      </c>
      <c r="EI14" t="e">
        <f>'SurveyRpt_20150223 (1)'!P83+"h_l!M]"</f>
        <v>#VALUE!</v>
      </c>
      <c r="EJ14" t="e">
        <f>'SurveyRpt_20150223 (1)'!Q83+"h_l!M^"</f>
        <v>#VALUE!</v>
      </c>
      <c r="EK14" t="e">
        <f>'SurveyRpt_20150223 (1)'!R83+"h_l!M_"</f>
        <v>#VALUE!</v>
      </c>
      <c r="EL14" t="e">
        <f>'SurveyRpt_20150223 (1)'!S83+"h_l!M`"</f>
        <v>#VALUE!</v>
      </c>
      <c r="EM14" t="e">
        <f>'SurveyRpt_20150223 (1)'!T83+"h_l!Ma"</f>
        <v>#VALUE!</v>
      </c>
      <c r="EN14" t="e">
        <f>'SurveyRpt_20150223 (1)'!U83+"h_l!Mb"</f>
        <v>#VALUE!</v>
      </c>
      <c r="EO14" t="e">
        <f>'SurveyRpt_20150223 (1)'!V83+"h_l!Mc"</f>
        <v>#VALUE!</v>
      </c>
      <c r="EP14" t="e">
        <f>'SurveyRpt_20150223 (1)'!W83+"h_l!Md"</f>
        <v>#VALUE!</v>
      </c>
      <c r="EQ14" t="e">
        <f>'SurveyRpt_20150223 (1)'!X83+"h_l!Me"</f>
        <v>#VALUE!</v>
      </c>
      <c r="ER14" t="e">
        <f>'SurveyRpt_20150223 (1)'!Y83+"h_l!Mf"</f>
        <v>#VALUE!</v>
      </c>
      <c r="ES14" t="e">
        <f>'SurveyRpt_20150223 (1)'!Z83+"h_l!Mg"</f>
        <v>#VALUE!</v>
      </c>
      <c r="ET14" t="e">
        <f>'SurveyRpt_20150223 (1)'!AA83+"h_l!Mh"</f>
        <v>#VALUE!</v>
      </c>
      <c r="EU14" t="e">
        <f>'SurveyRpt_20150223 (1)'!AB83+"h_l!Mi"</f>
        <v>#VALUE!</v>
      </c>
      <c r="EV14" t="e">
        <f>'SurveyRpt_20150223 (1)'!AC83+"h_l!Mj"</f>
        <v>#VALUE!</v>
      </c>
      <c r="EW14" t="e">
        <f>'SurveyRpt_20150223 (1)'!AD83+"h_l!Mk"</f>
        <v>#VALUE!</v>
      </c>
      <c r="EX14" t="e">
        <f>'SurveyRpt_20150223 (1)'!AE83+"h_l!Ml"</f>
        <v>#VALUE!</v>
      </c>
      <c r="EY14" t="e">
        <f>'SurveyRpt_20150223 (1)'!AF83+"h_l!Mm"</f>
        <v>#VALUE!</v>
      </c>
      <c r="EZ14" t="e">
        <f>'SurveyRpt_20150223 (1)'!AG83+"h_l!Mn"</f>
        <v>#VALUE!</v>
      </c>
      <c r="FA14" t="e">
        <f>'SurveyRpt_20150223 (1)'!AH83+"h_l!Mo"</f>
        <v>#VALUE!</v>
      </c>
      <c r="FB14" t="e">
        <f>'SurveyRpt_20150223 (1)'!AI83+"h_l!Mp"</f>
        <v>#VALUE!</v>
      </c>
      <c r="FC14" t="e">
        <f>'SurveyRpt_20150223 (1)'!AJ83+"h_l!Mq"</f>
        <v>#VALUE!</v>
      </c>
      <c r="FD14" t="e">
        <f>'SurveyRpt_20150223 (1)'!AK83+"h_l!Mr"</f>
        <v>#VALUE!</v>
      </c>
      <c r="FE14" t="e">
        <f>'SurveyRpt_20150223 (1)'!AL83+"h_l!Ms"</f>
        <v>#VALUE!</v>
      </c>
      <c r="FF14" t="e">
        <f>'SurveyRpt_20150223 (1)'!AM83+"h_l!Mt"</f>
        <v>#VALUE!</v>
      </c>
      <c r="FG14" t="e">
        <f>'SurveyRpt_20150223 (1)'!AN83+"h_l!Mu"</f>
        <v>#VALUE!</v>
      </c>
      <c r="FH14" t="e">
        <f>'SurveyRpt_20150223 (1)'!A84+"h_l!Mv"</f>
        <v>#VALUE!</v>
      </c>
      <c r="FI14" s="25" t="e">
        <f>'SurveyRpt_20150223 (1)'!B84+"h_l!Mw"</f>
        <v>#VALUE!</v>
      </c>
      <c r="FJ14" t="e">
        <f>'SurveyRpt_20150223 (1)'!C84+"h_l!Mx"</f>
        <v>#VALUE!</v>
      </c>
      <c r="FK14" s="25" t="e">
        <f>'SurveyRpt_20150223 (1)'!D84+"h_l!My"</f>
        <v>#VALUE!</v>
      </c>
      <c r="FL14" t="e">
        <f>'SurveyRpt_20150223 (1)'!E84+"h_l!Mz"</f>
        <v>#VALUE!</v>
      </c>
      <c r="FM14" t="e">
        <f>'SurveyRpt_20150223 (1)'!F84+"h_l!M{"</f>
        <v>#VALUE!</v>
      </c>
      <c r="FN14" t="e">
        <f>'SurveyRpt_20150223 (1)'!G84+"h_l!M|"</f>
        <v>#VALUE!</v>
      </c>
      <c r="FO14" t="e">
        <f>'SurveyRpt_20150223 (1)'!H84+"h_l!M}"</f>
        <v>#VALUE!</v>
      </c>
      <c r="FP14" t="e">
        <f>'SurveyRpt_20150223 (1)'!I84+"h_l!M~"</f>
        <v>#VALUE!</v>
      </c>
      <c r="FQ14" t="e">
        <f>'SurveyRpt_20150223 (1)'!J84+"h_l!N#"</f>
        <v>#VALUE!</v>
      </c>
      <c r="FR14" t="e">
        <f>'SurveyRpt_20150223 (1)'!K84+"h_l!N$"</f>
        <v>#VALUE!</v>
      </c>
      <c r="FS14" t="e">
        <f>'SurveyRpt_20150223 (1)'!L84+"h_l!N%"</f>
        <v>#VALUE!</v>
      </c>
      <c r="FT14" t="e">
        <f>'SurveyRpt_20150223 (1)'!M84+"h_l!N&amp;"</f>
        <v>#VALUE!</v>
      </c>
      <c r="FU14" t="e">
        <f>'SurveyRpt_20150223 (1)'!N84+"h_l!N'"</f>
        <v>#VALUE!</v>
      </c>
      <c r="FV14" t="e">
        <f>'SurveyRpt_20150223 (1)'!O84+"h_l!N("</f>
        <v>#VALUE!</v>
      </c>
      <c r="FW14" t="e">
        <f>'SurveyRpt_20150223 (1)'!P84+"h_l!N)"</f>
        <v>#VALUE!</v>
      </c>
      <c r="FX14" t="e">
        <f>'SurveyRpt_20150223 (1)'!Q84+"h_l!N."</f>
        <v>#VALUE!</v>
      </c>
      <c r="FY14" t="e">
        <f>'SurveyRpt_20150223 (1)'!R84+"h_l!N/"</f>
        <v>#VALUE!</v>
      </c>
      <c r="FZ14" t="e">
        <f>'SurveyRpt_20150223 (1)'!S84+"h_l!N0"</f>
        <v>#VALUE!</v>
      </c>
      <c r="GA14" t="e">
        <f>'SurveyRpt_20150223 (1)'!T84+"h_l!N1"</f>
        <v>#VALUE!</v>
      </c>
      <c r="GB14" t="e">
        <f>'SurveyRpt_20150223 (1)'!U84+"h_l!N2"</f>
        <v>#VALUE!</v>
      </c>
      <c r="GC14" t="e">
        <f>'SurveyRpt_20150223 (1)'!V84+"h_l!N3"</f>
        <v>#VALUE!</v>
      </c>
      <c r="GD14" t="e">
        <f>'SurveyRpt_20150223 (1)'!W84+"h_l!N4"</f>
        <v>#VALUE!</v>
      </c>
      <c r="GE14" t="e">
        <f>'SurveyRpt_20150223 (1)'!X84+"h_l!N5"</f>
        <v>#VALUE!</v>
      </c>
      <c r="GF14" t="e">
        <f>'SurveyRpt_20150223 (1)'!Y84+"h_l!N6"</f>
        <v>#VALUE!</v>
      </c>
      <c r="GG14" t="e">
        <f>'SurveyRpt_20150223 (1)'!Z84+"h_l!N7"</f>
        <v>#VALUE!</v>
      </c>
      <c r="GH14" t="e">
        <f>'SurveyRpt_20150223 (1)'!AA84+"h_l!N8"</f>
        <v>#VALUE!</v>
      </c>
      <c r="GI14" t="e">
        <f>'SurveyRpt_20150223 (1)'!AB84+"h_l!N9"</f>
        <v>#VALUE!</v>
      </c>
      <c r="GJ14" t="e">
        <f>'SurveyRpt_20150223 (1)'!AC84+"h_l!N:"</f>
        <v>#VALUE!</v>
      </c>
      <c r="GK14" t="e">
        <f>'SurveyRpt_20150223 (1)'!AD84+"h_l!N;"</f>
        <v>#VALUE!</v>
      </c>
      <c r="GL14" t="e">
        <f>'SurveyRpt_20150223 (1)'!AE84+"h_l!N&lt;"</f>
        <v>#VALUE!</v>
      </c>
      <c r="GM14" t="e">
        <f>'SurveyRpt_20150223 (1)'!AF84+"h_l!N="</f>
        <v>#VALUE!</v>
      </c>
      <c r="GN14" t="e">
        <f>'SurveyRpt_20150223 (1)'!AG84+"h_l!N&gt;"</f>
        <v>#VALUE!</v>
      </c>
      <c r="GO14" t="e">
        <f>'SurveyRpt_20150223 (1)'!AH84+"h_l!N?"</f>
        <v>#VALUE!</v>
      </c>
      <c r="GP14" t="e">
        <f>'SurveyRpt_20150223 (1)'!AI84+"h_l!N@"</f>
        <v>#VALUE!</v>
      </c>
      <c r="GQ14" t="e">
        <f>'SurveyRpt_20150223 (1)'!AJ84+"h_l!NA"</f>
        <v>#VALUE!</v>
      </c>
      <c r="GR14" t="e">
        <f>'SurveyRpt_20150223 (1)'!AK84+"h_l!NB"</f>
        <v>#VALUE!</v>
      </c>
      <c r="GS14" t="e">
        <f>'SurveyRpt_20150223 (1)'!AL84+"h_l!NC"</f>
        <v>#VALUE!</v>
      </c>
      <c r="GT14" t="e">
        <f>'SurveyRpt_20150223 (1)'!AM84+"h_l!ND"</f>
        <v>#VALUE!</v>
      </c>
      <c r="GU14" t="e">
        <f>'SurveyRpt_20150223 (1)'!AN84+"h_l!NE"</f>
        <v>#VALUE!</v>
      </c>
      <c r="GV14" t="e">
        <f>'SurveyRpt_20150223 (1)'!A85+"h_l!NF"</f>
        <v>#VALUE!</v>
      </c>
      <c r="GW14" s="25" t="e">
        <f>'SurveyRpt_20150223 (1)'!B85+"h_l!NG"</f>
        <v>#VALUE!</v>
      </c>
      <c r="GX14" t="e">
        <f>'SurveyRpt_20150223 (1)'!C85+"h_l!NH"</f>
        <v>#VALUE!</v>
      </c>
      <c r="GY14" s="25" t="e">
        <f>'SurveyRpt_20150223 (1)'!D85+"h_l!NI"</f>
        <v>#VALUE!</v>
      </c>
      <c r="GZ14" t="e">
        <f>'SurveyRpt_20150223 (1)'!E85+"h_l!NJ"</f>
        <v>#VALUE!</v>
      </c>
      <c r="HA14" t="e">
        <f>'SurveyRpt_20150223 (1)'!F85+"h_l!NK"</f>
        <v>#VALUE!</v>
      </c>
      <c r="HB14" t="e">
        <f>'SurveyRpt_20150223 (1)'!G85+"h_l!NL"</f>
        <v>#VALUE!</v>
      </c>
      <c r="HC14" t="e">
        <f>'SurveyRpt_20150223 (1)'!H85+"h_l!NM"</f>
        <v>#VALUE!</v>
      </c>
      <c r="HD14" t="e">
        <f>'SurveyRpt_20150223 (1)'!I85+"h_l!NN"</f>
        <v>#VALUE!</v>
      </c>
      <c r="HE14" t="e">
        <f>'SurveyRpt_20150223 (1)'!J85+"h_l!NO"</f>
        <v>#VALUE!</v>
      </c>
      <c r="HF14" t="e">
        <f>'SurveyRpt_20150223 (1)'!K85+"h_l!NP"</f>
        <v>#VALUE!</v>
      </c>
      <c r="HG14" t="e">
        <f>'SurveyRpt_20150223 (1)'!L85+"h_l!NQ"</f>
        <v>#VALUE!</v>
      </c>
      <c r="HH14" t="e">
        <f>'SurveyRpt_20150223 (1)'!M85+"h_l!NR"</f>
        <v>#VALUE!</v>
      </c>
      <c r="HI14" t="e">
        <f>'SurveyRpt_20150223 (1)'!N85+"h_l!NS"</f>
        <v>#VALUE!</v>
      </c>
      <c r="HJ14" t="e">
        <f>'SurveyRpt_20150223 (1)'!O85+"h_l!NT"</f>
        <v>#VALUE!</v>
      </c>
      <c r="HK14" t="e">
        <f>'SurveyRpt_20150223 (1)'!P85+"h_l!NU"</f>
        <v>#VALUE!</v>
      </c>
      <c r="HL14" t="e">
        <f>'SurveyRpt_20150223 (1)'!Q85+"h_l!NV"</f>
        <v>#VALUE!</v>
      </c>
      <c r="HM14" t="e">
        <f>'SurveyRpt_20150223 (1)'!R85+"h_l!NW"</f>
        <v>#VALUE!</v>
      </c>
      <c r="HN14" t="e">
        <f>'SurveyRpt_20150223 (1)'!S85+"h_l!NX"</f>
        <v>#VALUE!</v>
      </c>
      <c r="HO14" t="e">
        <f>'SurveyRpt_20150223 (1)'!T85+"h_l!NY"</f>
        <v>#VALUE!</v>
      </c>
      <c r="HP14" t="e">
        <f>'SurveyRpt_20150223 (1)'!U85+"h_l!NZ"</f>
        <v>#VALUE!</v>
      </c>
      <c r="HQ14" t="e">
        <f>'SurveyRpt_20150223 (1)'!V85+"h_l!N["</f>
        <v>#VALUE!</v>
      </c>
      <c r="HR14" t="e">
        <f>'SurveyRpt_20150223 (1)'!W85+"h_l!N\"</f>
        <v>#VALUE!</v>
      </c>
      <c r="HS14" t="e">
        <f>'SurveyRpt_20150223 (1)'!X85+"h_l!N]"</f>
        <v>#VALUE!</v>
      </c>
      <c r="HT14" t="e">
        <f>'SurveyRpt_20150223 (1)'!Y85+"h_l!N^"</f>
        <v>#VALUE!</v>
      </c>
      <c r="HU14" t="e">
        <f>'SurveyRpt_20150223 (1)'!Z85+"h_l!N_"</f>
        <v>#VALUE!</v>
      </c>
      <c r="HV14" t="e">
        <f>'SurveyRpt_20150223 (1)'!AA85+"h_l!N`"</f>
        <v>#VALUE!</v>
      </c>
      <c r="HW14" t="e">
        <f>'SurveyRpt_20150223 (1)'!AB85+"h_l!Na"</f>
        <v>#VALUE!</v>
      </c>
      <c r="HX14" t="e">
        <f>'SurveyRpt_20150223 (1)'!AC85+"h_l!Nb"</f>
        <v>#VALUE!</v>
      </c>
      <c r="HY14" t="e">
        <f>'SurveyRpt_20150223 (1)'!AD85+"h_l!Nc"</f>
        <v>#VALUE!</v>
      </c>
      <c r="HZ14" t="e">
        <f>'SurveyRpt_20150223 (1)'!AE85+"h_l!Nd"</f>
        <v>#VALUE!</v>
      </c>
      <c r="IA14" t="e">
        <f>'SurveyRpt_20150223 (1)'!AF85+"h_l!Ne"</f>
        <v>#VALUE!</v>
      </c>
      <c r="IB14" t="e">
        <f>'SurveyRpt_20150223 (1)'!AG85+"h_l!Nf"</f>
        <v>#VALUE!</v>
      </c>
      <c r="IC14" t="e">
        <f>'SurveyRpt_20150223 (1)'!AH85+"h_l!Ng"</f>
        <v>#VALUE!</v>
      </c>
      <c r="ID14" t="e">
        <f>'SurveyRpt_20150223 (1)'!AI85+"h_l!Nh"</f>
        <v>#VALUE!</v>
      </c>
      <c r="IE14" t="e">
        <f>'SurveyRpt_20150223 (1)'!AJ85+"h_l!Ni"</f>
        <v>#VALUE!</v>
      </c>
      <c r="IF14" t="e">
        <f>'SurveyRpt_20150223 (1)'!AK85+"h_l!Nj"</f>
        <v>#VALUE!</v>
      </c>
      <c r="IG14" t="e">
        <f>'SurveyRpt_20150223 (1)'!AL85+"h_l!Nk"</f>
        <v>#VALUE!</v>
      </c>
      <c r="IH14" t="e">
        <f>'SurveyRpt_20150223 (1)'!AM85+"h_l!Nl"</f>
        <v>#VALUE!</v>
      </c>
      <c r="II14" t="e">
        <f>'SurveyRpt_20150223 (1)'!AN85+"h_l!Nm"</f>
        <v>#VALUE!</v>
      </c>
      <c r="IJ14" t="e">
        <f>'SurveyRpt_20150223 (1)'!A86+"h_l!Nn"</f>
        <v>#VALUE!</v>
      </c>
      <c r="IK14" s="25" t="e">
        <f>'SurveyRpt_20150223 (1)'!B86+"h_l!No"</f>
        <v>#VALUE!</v>
      </c>
      <c r="IL14" t="e">
        <f>'SurveyRpt_20150223 (1)'!C86+"h_l!Np"</f>
        <v>#VALUE!</v>
      </c>
      <c r="IM14" s="25" t="e">
        <f>'SurveyRpt_20150223 (1)'!D86+"h_l!Nq"</f>
        <v>#VALUE!</v>
      </c>
      <c r="IN14" t="e">
        <f>'SurveyRpt_20150223 (1)'!E86+"h_l!Nr"</f>
        <v>#VALUE!</v>
      </c>
      <c r="IO14" t="e">
        <f>'SurveyRpt_20150223 (1)'!F86+"h_l!Ns"</f>
        <v>#VALUE!</v>
      </c>
      <c r="IP14" t="e">
        <f>'SurveyRpt_20150223 (1)'!G86+"h_l!Nt"</f>
        <v>#VALUE!</v>
      </c>
      <c r="IQ14" t="e">
        <f>'SurveyRpt_20150223 (1)'!H86+"h_l!Nu"</f>
        <v>#VALUE!</v>
      </c>
      <c r="IR14" t="e">
        <f>'SurveyRpt_20150223 (1)'!I86+"h_l!Nv"</f>
        <v>#VALUE!</v>
      </c>
      <c r="IS14" t="e">
        <f>'SurveyRpt_20150223 (1)'!J86+"h_l!Nw"</f>
        <v>#VALUE!</v>
      </c>
      <c r="IT14" t="e">
        <f>'SurveyRpt_20150223 (1)'!K86+"h_l!Nx"</f>
        <v>#VALUE!</v>
      </c>
      <c r="IU14" t="e">
        <f>'SurveyRpt_20150223 (1)'!L86+"h_l!Ny"</f>
        <v>#VALUE!</v>
      </c>
      <c r="IV14" t="e">
        <f>'SurveyRpt_20150223 (1)'!M86+"h_l!Nz"</f>
        <v>#VALUE!</v>
      </c>
    </row>
    <row r="15" spans="1:256" x14ac:dyDescent="0.25">
      <c r="F15" t="e">
        <f>'SurveyRpt_20150223 (1)'!N86+"h_l!N{"</f>
        <v>#VALUE!</v>
      </c>
      <c r="G15" t="e">
        <f>'SurveyRpt_20150223 (1)'!O86+"h_l!N|"</f>
        <v>#VALUE!</v>
      </c>
      <c r="H15" t="e">
        <f>'SurveyRpt_20150223 (1)'!P86+"h_l!N}"</f>
        <v>#VALUE!</v>
      </c>
      <c r="I15" t="e">
        <f>'SurveyRpt_20150223 (1)'!Q86+"h_l!N~"</f>
        <v>#VALUE!</v>
      </c>
      <c r="J15" t="e">
        <f>'SurveyRpt_20150223 (1)'!R86+"h_l!O#"</f>
        <v>#VALUE!</v>
      </c>
      <c r="K15" t="e">
        <f>'SurveyRpt_20150223 (1)'!S86+"h_l!O$"</f>
        <v>#VALUE!</v>
      </c>
      <c r="L15" t="e">
        <f>'SurveyRpt_20150223 (1)'!T86+"h_l!O%"</f>
        <v>#VALUE!</v>
      </c>
      <c r="M15" t="e">
        <f>'SurveyRpt_20150223 (1)'!U86+"h_l!O&amp;"</f>
        <v>#VALUE!</v>
      </c>
      <c r="N15" t="e">
        <f>'SurveyRpt_20150223 (1)'!V86+"h_l!O'"</f>
        <v>#VALUE!</v>
      </c>
      <c r="O15" t="e">
        <f>'SurveyRpt_20150223 (1)'!W86+"h_l!O("</f>
        <v>#VALUE!</v>
      </c>
      <c r="P15" t="e">
        <f>'SurveyRpt_20150223 (1)'!X86+"h_l!O)"</f>
        <v>#VALUE!</v>
      </c>
      <c r="Q15" t="e">
        <f>'SurveyRpt_20150223 (1)'!Y86+"h_l!O."</f>
        <v>#VALUE!</v>
      </c>
      <c r="R15" t="e">
        <f>'SurveyRpt_20150223 (1)'!Z86+"h_l!O/"</f>
        <v>#VALUE!</v>
      </c>
      <c r="S15" t="e">
        <f>'SurveyRpt_20150223 (1)'!AA86+"h_l!O0"</f>
        <v>#VALUE!</v>
      </c>
      <c r="T15" t="e">
        <f>'SurveyRpt_20150223 (1)'!AB86+"h_l!O1"</f>
        <v>#VALUE!</v>
      </c>
      <c r="U15" t="e">
        <f>'SurveyRpt_20150223 (1)'!AC86+"h_l!O2"</f>
        <v>#VALUE!</v>
      </c>
      <c r="V15" t="e">
        <f>'SurveyRpt_20150223 (1)'!AD86+"h_l!O3"</f>
        <v>#VALUE!</v>
      </c>
      <c r="W15" t="e">
        <f>'SurveyRpt_20150223 (1)'!AE86+"h_l!O4"</f>
        <v>#VALUE!</v>
      </c>
      <c r="X15" t="e">
        <f>'SurveyRpt_20150223 (1)'!AF86+"h_l!O5"</f>
        <v>#VALUE!</v>
      </c>
      <c r="Y15" t="e">
        <f>'SurveyRpt_20150223 (1)'!AG86+"h_l!O6"</f>
        <v>#VALUE!</v>
      </c>
      <c r="Z15" t="e">
        <f>'SurveyRpt_20150223 (1)'!AH86+"h_l!O7"</f>
        <v>#VALUE!</v>
      </c>
      <c r="AA15" t="e">
        <f>'SurveyRpt_20150223 (1)'!AI86+"h_l!O8"</f>
        <v>#VALUE!</v>
      </c>
      <c r="AB15" t="e">
        <f>'SurveyRpt_20150223 (1)'!AJ86+"h_l!O9"</f>
        <v>#VALUE!</v>
      </c>
      <c r="AC15" t="e">
        <f>'SurveyRpt_20150223 (1)'!AK86+"h_l!O:"</f>
        <v>#VALUE!</v>
      </c>
      <c r="AD15" t="e">
        <f>'SurveyRpt_20150223 (1)'!AL86+"h_l!O;"</f>
        <v>#VALUE!</v>
      </c>
      <c r="AE15" t="e">
        <f>'SurveyRpt_20150223 (1)'!AM86+"h_l!O&lt;"</f>
        <v>#VALUE!</v>
      </c>
      <c r="AF15" t="e">
        <f>'SurveyRpt_20150223 (1)'!AN86+"h_l!O="</f>
        <v>#VALUE!</v>
      </c>
      <c r="AG15" t="e">
        <f>'SurveyRpt_20150223 (1)'!A87+"h_l!O&gt;"</f>
        <v>#VALUE!</v>
      </c>
      <c r="AH15" s="25" t="e">
        <f>'SurveyRpt_20150223 (1)'!B87+"h_l!O?"</f>
        <v>#VALUE!</v>
      </c>
      <c r="AI15" t="e">
        <f>'SurveyRpt_20150223 (1)'!C87+"h_l!O@"</f>
        <v>#VALUE!</v>
      </c>
      <c r="AJ15" s="25" t="e">
        <f>'SurveyRpt_20150223 (1)'!D87+"h_l!OA"</f>
        <v>#VALUE!</v>
      </c>
      <c r="AK15" t="e">
        <f>'SurveyRpt_20150223 (1)'!E87+"h_l!OB"</f>
        <v>#VALUE!</v>
      </c>
      <c r="AL15" t="e">
        <f>'SurveyRpt_20150223 (1)'!F87+"h_l!OC"</f>
        <v>#VALUE!</v>
      </c>
      <c r="AM15" t="e">
        <f>'SurveyRpt_20150223 (1)'!G87+"h_l!OD"</f>
        <v>#VALUE!</v>
      </c>
      <c r="AN15" t="e">
        <f>'SurveyRpt_20150223 (1)'!H87+"h_l!OE"</f>
        <v>#VALUE!</v>
      </c>
      <c r="AO15" t="e">
        <f>'SurveyRpt_20150223 (1)'!I87+"h_l!OF"</f>
        <v>#VALUE!</v>
      </c>
      <c r="AP15" t="e">
        <f>'SurveyRpt_20150223 (1)'!J87+"h_l!OG"</f>
        <v>#VALUE!</v>
      </c>
      <c r="AQ15" t="e">
        <f>'SurveyRpt_20150223 (1)'!K87+"h_l!OH"</f>
        <v>#VALUE!</v>
      </c>
      <c r="AR15" t="e">
        <f>'SurveyRpt_20150223 (1)'!L87+"h_l!OI"</f>
        <v>#VALUE!</v>
      </c>
      <c r="AS15" t="e">
        <f>'SurveyRpt_20150223 (1)'!M87+"h_l!OJ"</f>
        <v>#VALUE!</v>
      </c>
      <c r="AT15" t="e">
        <f>'SurveyRpt_20150223 (1)'!N87+"h_l!OK"</f>
        <v>#VALUE!</v>
      </c>
      <c r="AU15" t="e">
        <f>'SurveyRpt_20150223 (1)'!O87+"h_l!OL"</f>
        <v>#VALUE!</v>
      </c>
      <c r="AV15" t="e">
        <f>'SurveyRpt_20150223 (1)'!P87+"h_l!OM"</f>
        <v>#VALUE!</v>
      </c>
      <c r="AW15" t="e">
        <f>'SurveyRpt_20150223 (1)'!Q87+"h_l!ON"</f>
        <v>#VALUE!</v>
      </c>
      <c r="AX15" t="e">
        <f>'SurveyRpt_20150223 (1)'!R87+"h_l!OO"</f>
        <v>#VALUE!</v>
      </c>
      <c r="AY15" t="e">
        <f>'SurveyRpt_20150223 (1)'!S87+"h_l!OP"</f>
        <v>#VALUE!</v>
      </c>
      <c r="AZ15" t="e">
        <f>'SurveyRpt_20150223 (1)'!T87+"h_l!OQ"</f>
        <v>#VALUE!</v>
      </c>
      <c r="BA15" t="e">
        <f>'SurveyRpt_20150223 (1)'!U87+"h_l!OR"</f>
        <v>#VALUE!</v>
      </c>
      <c r="BB15" t="e">
        <f>'SurveyRpt_20150223 (1)'!V87+"h_l!OS"</f>
        <v>#VALUE!</v>
      </c>
      <c r="BC15" t="e">
        <f>'SurveyRpt_20150223 (1)'!W87+"h_l!OT"</f>
        <v>#VALUE!</v>
      </c>
      <c r="BD15" t="e">
        <f>'SurveyRpt_20150223 (1)'!X87+"h_l!OU"</f>
        <v>#VALUE!</v>
      </c>
      <c r="BE15" t="e">
        <f>'SurveyRpt_20150223 (1)'!Y87+"h_l!OV"</f>
        <v>#VALUE!</v>
      </c>
      <c r="BF15" t="e">
        <f>'SurveyRpt_20150223 (1)'!Z87+"h_l!OW"</f>
        <v>#VALUE!</v>
      </c>
      <c r="BG15" t="e">
        <f>'SurveyRpt_20150223 (1)'!AA87+"h_l!OX"</f>
        <v>#VALUE!</v>
      </c>
      <c r="BH15" t="e">
        <f>'SurveyRpt_20150223 (1)'!AB87+"h_l!OY"</f>
        <v>#VALUE!</v>
      </c>
      <c r="BI15" t="e">
        <f>'SurveyRpt_20150223 (1)'!AC87+"h_l!OZ"</f>
        <v>#VALUE!</v>
      </c>
      <c r="BJ15" t="e">
        <f>'SurveyRpt_20150223 (1)'!AD87+"h_l!O["</f>
        <v>#VALUE!</v>
      </c>
      <c r="BK15" t="e">
        <f>'SurveyRpt_20150223 (1)'!AE87+"h_l!O\"</f>
        <v>#VALUE!</v>
      </c>
      <c r="BL15" t="e">
        <f>'SurveyRpt_20150223 (1)'!AF87+"h_l!O]"</f>
        <v>#VALUE!</v>
      </c>
      <c r="BM15" t="e">
        <f>'SurveyRpt_20150223 (1)'!AG87+"h_l!O^"</f>
        <v>#VALUE!</v>
      </c>
      <c r="BN15" t="e">
        <f>'SurveyRpt_20150223 (1)'!AH87+"h_l!O_"</f>
        <v>#VALUE!</v>
      </c>
      <c r="BO15" t="e">
        <f>'SurveyRpt_20150223 (1)'!AI87+"h_l!O`"</f>
        <v>#VALUE!</v>
      </c>
      <c r="BP15" t="e">
        <f>'SurveyRpt_20150223 (1)'!AJ87+"h_l!Oa"</f>
        <v>#VALUE!</v>
      </c>
      <c r="BQ15" t="e">
        <f>'SurveyRpt_20150223 (1)'!AK87+"h_l!Ob"</f>
        <v>#VALUE!</v>
      </c>
      <c r="BR15" t="e">
        <f>'SurveyRpt_20150223 (1)'!AL87+"h_l!Oc"</f>
        <v>#VALUE!</v>
      </c>
      <c r="BS15" t="e">
        <f>'SurveyRpt_20150223 (1)'!AM87+"h_l!Od"</f>
        <v>#VALUE!</v>
      </c>
      <c r="BT15" t="e">
        <f>'SurveyRpt_20150223 (1)'!AN87+"h_l!Oe"</f>
        <v>#VALUE!</v>
      </c>
      <c r="BU15" t="e">
        <f>'SurveyRpt_20150223 (1)'!A88+"h_l!Of"</f>
        <v>#VALUE!</v>
      </c>
      <c r="BV15" s="25" t="e">
        <f>'SurveyRpt_20150223 (1)'!B88+"h_l!Og"</f>
        <v>#VALUE!</v>
      </c>
      <c r="BW15" t="e">
        <f>'SurveyRpt_20150223 (1)'!C88+"h_l!Oh"</f>
        <v>#VALUE!</v>
      </c>
      <c r="BX15" s="25" t="e">
        <f>'SurveyRpt_20150223 (1)'!D88+"h_l!Oi"</f>
        <v>#VALUE!</v>
      </c>
      <c r="BY15" t="e">
        <f>'SurveyRpt_20150223 (1)'!E88+"h_l!Oj"</f>
        <v>#VALUE!</v>
      </c>
      <c r="BZ15" t="e">
        <f>'SurveyRpt_20150223 (1)'!F88+"h_l!Ok"</f>
        <v>#VALUE!</v>
      </c>
      <c r="CA15" t="e">
        <f>'SurveyRpt_20150223 (1)'!G88+"h_l!Ol"</f>
        <v>#VALUE!</v>
      </c>
      <c r="CB15" t="e">
        <f>'SurveyRpt_20150223 (1)'!H88+"h_l!Om"</f>
        <v>#VALUE!</v>
      </c>
      <c r="CC15" t="e">
        <f>'SurveyRpt_20150223 (1)'!I88+"h_l!On"</f>
        <v>#VALUE!</v>
      </c>
      <c r="CD15" t="e">
        <f>'SurveyRpt_20150223 (1)'!J88+"h_l!Oo"</f>
        <v>#VALUE!</v>
      </c>
      <c r="CE15" t="e">
        <f>'SurveyRpt_20150223 (1)'!K88+"h_l!Op"</f>
        <v>#VALUE!</v>
      </c>
      <c r="CF15" t="e">
        <f>'SurveyRpt_20150223 (1)'!L88+"h_l!Oq"</f>
        <v>#VALUE!</v>
      </c>
      <c r="CG15" t="e">
        <f>'SurveyRpt_20150223 (1)'!M88+"h_l!Or"</f>
        <v>#VALUE!</v>
      </c>
      <c r="CH15" t="e">
        <f>'SurveyRpt_20150223 (1)'!N88+"h_l!Os"</f>
        <v>#VALUE!</v>
      </c>
      <c r="CI15" t="e">
        <f>'SurveyRpt_20150223 (1)'!O88+"h_l!Ot"</f>
        <v>#VALUE!</v>
      </c>
      <c r="CJ15" t="e">
        <f>'SurveyRpt_20150223 (1)'!P88+"h_l!Ou"</f>
        <v>#VALUE!</v>
      </c>
      <c r="CK15" t="e">
        <f>'SurveyRpt_20150223 (1)'!Q88+"h_l!Ov"</f>
        <v>#VALUE!</v>
      </c>
      <c r="CL15" t="e">
        <f>'SurveyRpt_20150223 (1)'!R88+"h_l!Ow"</f>
        <v>#VALUE!</v>
      </c>
      <c r="CM15" t="e">
        <f>'SurveyRpt_20150223 (1)'!S88+"h_l!Ox"</f>
        <v>#VALUE!</v>
      </c>
      <c r="CN15" t="e">
        <f>'SurveyRpt_20150223 (1)'!T88+"h_l!Oy"</f>
        <v>#VALUE!</v>
      </c>
      <c r="CO15" t="e">
        <f>'SurveyRpt_20150223 (1)'!U88+"h_l!Oz"</f>
        <v>#VALUE!</v>
      </c>
      <c r="CP15" t="e">
        <f>'SurveyRpt_20150223 (1)'!V88+"h_l!O{"</f>
        <v>#VALUE!</v>
      </c>
      <c r="CQ15" t="e">
        <f>'SurveyRpt_20150223 (1)'!W88+"h_l!O|"</f>
        <v>#VALUE!</v>
      </c>
      <c r="CR15" t="e">
        <f>'SurveyRpt_20150223 (1)'!X88+"h_l!O}"</f>
        <v>#VALUE!</v>
      </c>
      <c r="CS15" t="e">
        <f>'SurveyRpt_20150223 (1)'!Y88+"h_l!O~"</f>
        <v>#VALUE!</v>
      </c>
      <c r="CT15" t="e">
        <f>'SurveyRpt_20150223 (1)'!Z88+"h_l!P#"</f>
        <v>#VALUE!</v>
      </c>
      <c r="CU15" t="e">
        <f>'SurveyRpt_20150223 (1)'!AA88+"h_l!P$"</f>
        <v>#VALUE!</v>
      </c>
      <c r="CV15" t="e">
        <f>'SurveyRpt_20150223 (1)'!AB88+"h_l!P%"</f>
        <v>#VALUE!</v>
      </c>
      <c r="CW15" t="e">
        <f>'SurveyRpt_20150223 (1)'!AC88+"h_l!P&amp;"</f>
        <v>#VALUE!</v>
      </c>
      <c r="CX15" t="e">
        <f>'SurveyRpt_20150223 (1)'!AD88+"h_l!P'"</f>
        <v>#VALUE!</v>
      </c>
      <c r="CY15" t="e">
        <f>'SurveyRpt_20150223 (1)'!AE88+"h_l!P("</f>
        <v>#VALUE!</v>
      </c>
      <c r="CZ15" t="e">
        <f>'SurveyRpt_20150223 (1)'!AF88+"h_l!P)"</f>
        <v>#VALUE!</v>
      </c>
      <c r="DA15" t="e">
        <f>'SurveyRpt_20150223 (1)'!AG88+"h_l!P."</f>
        <v>#VALUE!</v>
      </c>
      <c r="DB15" t="e">
        <f>'SurveyRpt_20150223 (1)'!AH88+"h_l!P/"</f>
        <v>#VALUE!</v>
      </c>
      <c r="DC15" t="e">
        <f>'SurveyRpt_20150223 (1)'!AI88+"h_l!P0"</f>
        <v>#VALUE!</v>
      </c>
      <c r="DD15" t="e">
        <f>'SurveyRpt_20150223 (1)'!AJ88+"h_l!P1"</f>
        <v>#VALUE!</v>
      </c>
      <c r="DE15" t="e">
        <f>'SurveyRpt_20150223 (1)'!AK88+"h_l!P2"</f>
        <v>#VALUE!</v>
      </c>
      <c r="DF15" t="e">
        <f>'SurveyRpt_20150223 (1)'!AL88+"h_l!P3"</f>
        <v>#VALUE!</v>
      </c>
      <c r="DG15" t="e">
        <f>'SurveyRpt_20150223 (1)'!AM88+"h_l!P4"</f>
        <v>#VALUE!</v>
      </c>
      <c r="DH15" t="e">
        <f>'SurveyRpt_20150223 (1)'!AN88+"h_l!P5"</f>
        <v>#VALUE!</v>
      </c>
      <c r="DI15" t="e">
        <f>'SurveyRpt_20150223 (1)'!A89+"h_l!P6"</f>
        <v>#VALUE!</v>
      </c>
      <c r="DJ15" s="25" t="e">
        <f>'SurveyRpt_20150223 (1)'!B89+"h_l!P7"</f>
        <v>#VALUE!</v>
      </c>
      <c r="DK15" t="e">
        <f>'SurveyRpt_20150223 (1)'!C89+"h_l!P8"</f>
        <v>#VALUE!</v>
      </c>
      <c r="DL15" s="25" t="e">
        <f>'SurveyRpt_20150223 (1)'!D89+"h_l!P9"</f>
        <v>#VALUE!</v>
      </c>
      <c r="DM15" t="e">
        <f>'SurveyRpt_20150223 (1)'!E89+"h_l!P:"</f>
        <v>#VALUE!</v>
      </c>
      <c r="DN15" t="e">
        <f>'SurveyRpt_20150223 (1)'!F89+"h_l!P;"</f>
        <v>#VALUE!</v>
      </c>
      <c r="DO15" t="e">
        <f>'SurveyRpt_20150223 (1)'!G89+"h_l!P&lt;"</f>
        <v>#VALUE!</v>
      </c>
      <c r="DP15" t="e">
        <f>'SurveyRpt_20150223 (1)'!H89+"h_l!P="</f>
        <v>#VALUE!</v>
      </c>
      <c r="DQ15" t="e">
        <f>'SurveyRpt_20150223 (1)'!I89+"h_l!P&gt;"</f>
        <v>#VALUE!</v>
      </c>
      <c r="DR15" t="e">
        <f>'SurveyRpt_20150223 (1)'!J89+"h_l!P?"</f>
        <v>#VALUE!</v>
      </c>
      <c r="DS15" t="e">
        <f>'SurveyRpt_20150223 (1)'!K89+"h_l!P@"</f>
        <v>#VALUE!</v>
      </c>
      <c r="DT15" t="e">
        <f>'SurveyRpt_20150223 (1)'!L89+"h_l!PA"</f>
        <v>#VALUE!</v>
      </c>
      <c r="DU15" t="e">
        <f>'SurveyRpt_20150223 (1)'!M89+"h_l!PB"</f>
        <v>#VALUE!</v>
      </c>
      <c r="DV15" t="e">
        <f>'SurveyRpt_20150223 (1)'!N89+"h_l!PC"</f>
        <v>#VALUE!</v>
      </c>
      <c r="DW15" t="e">
        <f>'SurveyRpt_20150223 (1)'!O89+"h_l!PD"</f>
        <v>#VALUE!</v>
      </c>
      <c r="DX15" t="e">
        <f>'SurveyRpt_20150223 (1)'!P89+"h_l!PE"</f>
        <v>#VALUE!</v>
      </c>
      <c r="DY15" t="e">
        <f>'SurveyRpt_20150223 (1)'!Q89+"h_l!PF"</f>
        <v>#VALUE!</v>
      </c>
      <c r="DZ15" t="e">
        <f>'SurveyRpt_20150223 (1)'!R89+"h_l!PG"</f>
        <v>#VALUE!</v>
      </c>
      <c r="EA15" t="e">
        <f>'SurveyRpt_20150223 (1)'!S89+"h_l!PH"</f>
        <v>#VALUE!</v>
      </c>
      <c r="EB15" t="e">
        <f>'SurveyRpt_20150223 (1)'!T89+"h_l!PI"</f>
        <v>#VALUE!</v>
      </c>
      <c r="EC15" t="e">
        <f>'SurveyRpt_20150223 (1)'!U89+"h_l!PJ"</f>
        <v>#VALUE!</v>
      </c>
      <c r="ED15" t="e">
        <f>'SurveyRpt_20150223 (1)'!V89+"h_l!PK"</f>
        <v>#VALUE!</v>
      </c>
      <c r="EE15" t="e">
        <f>'SurveyRpt_20150223 (1)'!W89+"h_l!PL"</f>
        <v>#VALUE!</v>
      </c>
      <c r="EF15" t="e">
        <f>'SurveyRpt_20150223 (1)'!X89+"h_l!PM"</f>
        <v>#VALUE!</v>
      </c>
      <c r="EG15" t="e">
        <f>'SurveyRpt_20150223 (1)'!Y89+"h_l!PN"</f>
        <v>#VALUE!</v>
      </c>
      <c r="EH15" t="e">
        <f>'SurveyRpt_20150223 (1)'!Z89+"h_l!PO"</f>
        <v>#VALUE!</v>
      </c>
      <c r="EI15" t="e">
        <f>'SurveyRpt_20150223 (1)'!AA89+"h_l!PP"</f>
        <v>#VALUE!</v>
      </c>
      <c r="EJ15" t="e">
        <f>'SurveyRpt_20150223 (1)'!AB89+"h_l!PQ"</f>
        <v>#VALUE!</v>
      </c>
      <c r="EK15" t="e">
        <f>'SurveyRpt_20150223 (1)'!AC89+"h_l!PR"</f>
        <v>#VALUE!</v>
      </c>
      <c r="EL15" t="e">
        <f>'SurveyRpt_20150223 (1)'!AD89+"h_l!PS"</f>
        <v>#VALUE!</v>
      </c>
      <c r="EM15" t="e">
        <f>'SurveyRpt_20150223 (1)'!AE89+"h_l!PT"</f>
        <v>#VALUE!</v>
      </c>
      <c r="EN15" t="e">
        <f>'SurveyRpt_20150223 (1)'!AF89+"h_l!PU"</f>
        <v>#VALUE!</v>
      </c>
      <c r="EO15" t="e">
        <f>'SurveyRpt_20150223 (1)'!AG89+"h_l!PV"</f>
        <v>#VALUE!</v>
      </c>
      <c r="EP15" t="e">
        <f>'SurveyRpt_20150223 (1)'!AH89+"h_l!PW"</f>
        <v>#VALUE!</v>
      </c>
      <c r="EQ15" t="e">
        <f>'SurveyRpt_20150223 (1)'!AI89+"h_l!PX"</f>
        <v>#VALUE!</v>
      </c>
      <c r="ER15" t="e">
        <f>'SurveyRpt_20150223 (1)'!AJ89+"h_l!PY"</f>
        <v>#VALUE!</v>
      </c>
      <c r="ES15" t="e">
        <f>'SurveyRpt_20150223 (1)'!AK89+"h_l!PZ"</f>
        <v>#VALUE!</v>
      </c>
      <c r="ET15" t="e">
        <f>'SurveyRpt_20150223 (1)'!AL89+"h_l!P["</f>
        <v>#VALUE!</v>
      </c>
      <c r="EU15" t="e">
        <f>'SurveyRpt_20150223 (1)'!AM89+"h_l!P\"</f>
        <v>#VALUE!</v>
      </c>
      <c r="EV15" t="e">
        <f>'SurveyRpt_20150223 (1)'!AN89+"h_l!P]"</f>
        <v>#VALUE!</v>
      </c>
      <c r="EW15" t="e">
        <f>'SurveyRpt_20150223 (1)'!A90+"h_l!P^"</f>
        <v>#VALUE!</v>
      </c>
      <c r="EX15" s="25" t="e">
        <f>'SurveyRpt_20150223 (1)'!B90+"h_l!P_"</f>
        <v>#VALUE!</v>
      </c>
      <c r="EY15" t="e">
        <f>'SurveyRpt_20150223 (1)'!C90+"h_l!P`"</f>
        <v>#VALUE!</v>
      </c>
      <c r="EZ15" s="25" t="e">
        <f>'SurveyRpt_20150223 (1)'!D90+"h_l!Pa"</f>
        <v>#VALUE!</v>
      </c>
      <c r="FA15" t="e">
        <f>'SurveyRpt_20150223 (1)'!E90+"h_l!Pb"</f>
        <v>#VALUE!</v>
      </c>
      <c r="FB15" t="e">
        <f>'SurveyRpt_20150223 (1)'!F90+"h_l!Pc"</f>
        <v>#VALUE!</v>
      </c>
      <c r="FC15" t="e">
        <f>'SurveyRpt_20150223 (1)'!G90+"h_l!Pd"</f>
        <v>#VALUE!</v>
      </c>
      <c r="FD15" t="e">
        <f>'SurveyRpt_20150223 (1)'!H90+"h_l!Pe"</f>
        <v>#VALUE!</v>
      </c>
      <c r="FE15" t="e">
        <f>'SurveyRpt_20150223 (1)'!I90+"h_l!Pf"</f>
        <v>#VALUE!</v>
      </c>
      <c r="FF15" t="e">
        <f>'SurveyRpt_20150223 (1)'!J90+"h_l!Pg"</f>
        <v>#VALUE!</v>
      </c>
      <c r="FG15" t="e">
        <f>'SurveyRpt_20150223 (1)'!K90+"h_l!Ph"</f>
        <v>#VALUE!</v>
      </c>
      <c r="FH15" t="e">
        <f>'SurveyRpt_20150223 (1)'!L90+"h_l!Pi"</f>
        <v>#VALUE!</v>
      </c>
      <c r="FI15" t="e">
        <f>'SurveyRpt_20150223 (1)'!M90+"h_l!Pj"</f>
        <v>#VALUE!</v>
      </c>
      <c r="FJ15" t="e">
        <f>'SurveyRpt_20150223 (1)'!N90+"h_l!Pk"</f>
        <v>#VALUE!</v>
      </c>
      <c r="FK15" t="e">
        <f>'SurveyRpt_20150223 (1)'!O90+"h_l!Pl"</f>
        <v>#VALUE!</v>
      </c>
      <c r="FL15" t="e">
        <f>'SurveyRpt_20150223 (1)'!P90+"h_l!Pm"</f>
        <v>#VALUE!</v>
      </c>
      <c r="FM15" t="e">
        <f>'SurveyRpt_20150223 (1)'!Q90+"h_l!Pn"</f>
        <v>#VALUE!</v>
      </c>
      <c r="FN15" t="e">
        <f>'SurveyRpt_20150223 (1)'!R90+"h_l!Po"</f>
        <v>#VALUE!</v>
      </c>
      <c r="FO15" t="e">
        <f>'SurveyRpt_20150223 (1)'!S90+"h_l!Pp"</f>
        <v>#VALUE!</v>
      </c>
      <c r="FP15" t="e">
        <f>'SurveyRpt_20150223 (1)'!T90+"h_l!Pq"</f>
        <v>#VALUE!</v>
      </c>
      <c r="FQ15" t="e">
        <f>'SurveyRpt_20150223 (1)'!U90+"h_l!Pr"</f>
        <v>#VALUE!</v>
      </c>
      <c r="FR15" t="e">
        <f>'SurveyRpt_20150223 (1)'!V90+"h_l!Ps"</f>
        <v>#VALUE!</v>
      </c>
      <c r="FS15" t="e">
        <f>'SurveyRpt_20150223 (1)'!W90+"h_l!Pt"</f>
        <v>#VALUE!</v>
      </c>
      <c r="FT15" t="e">
        <f>'SurveyRpt_20150223 (1)'!X90+"h_l!Pu"</f>
        <v>#VALUE!</v>
      </c>
      <c r="FU15" t="e">
        <f>'SurveyRpt_20150223 (1)'!Y90+"h_l!Pv"</f>
        <v>#VALUE!</v>
      </c>
      <c r="FV15" t="e">
        <f>'SurveyRpt_20150223 (1)'!Z90+"h_l!Pw"</f>
        <v>#VALUE!</v>
      </c>
      <c r="FW15" t="e">
        <f>'SurveyRpt_20150223 (1)'!AA90+"h_l!Px"</f>
        <v>#VALUE!</v>
      </c>
      <c r="FX15" t="e">
        <f>'SurveyRpt_20150223 (1)'!AB90+"h_l!Py"</f>
        <v>#VALUE!</v>
      </c>
      <c r="FY15" t="e">
        <f>'SurveyRpt_20150223 (1)'!AC90+"h_l!Pz"</f>
        <v>#VALUE!</v>
      </c>
      <c r="FZ15" t="e">
        <f>'SurveyRpt_20150223 (1)'!AD90+"h_l!P{"</f>
        <v>#VALUE!</v>
      </c>
      <c r="GA15" t="e">
        <f>'SurveyRpt_20150223 (1)'!AE90+"h_l!P|"</f>
        <v>#VALUE!</v>
      </c>
      <c r="GB15" t="e">
        <f>'SurveyRpt_20150223 (1)'!AF90+"h_l!P}"</f>
        <v>#VALUE!</v>
      </c>
      <c r="GC15" t="e">
        <f>'SurveyRpt_20150223 (1)'!AG90+"h_l!P~"</f>
        <v>#VALUE!</v>
      </c>
      <c r="GD15" t="e">
        <f>'SurveyRpt_20150223 (1)'!AH90+"h_l!Q#"</f>
        <v>#VALUE!</v>
      </c>
      <c r="GE15" t="e">
        <f>'SurveyRpt_20150223 (1)'!AI90+"h_l!Q$"</f>
        <v>#VALUE!</v>
      </c>
      <c r="GF15" t="e">
        <f>'SurveyRpt_20150223 (1)'!AJ90+"h_l!Q%"</f>
        <v>#VALUE!</v>
      </c>
      <c r="GG15" t="e">
        <f>'SurveyRpt_20150223 (1)'!AK90+"h_l!Q&amp;"</f>
        <v>#VALUE!</v>
      </c>
      <c r="GH15" t="e">
        <f>'SurveyRpt_20150223 (1)'!AL90+"h_l!Q'"</f>
        <v>#VALUE!</v>
      </c>
      <c r="GI15" t="e">
        <f>'SurveyRpt_20150223 (1)'!AM90+"h_l!Q("</f>
        <v>#VALUE!</v>
      </c>
      <c r="GJ15" t="e">
        <f>'SurveyRpt_20150223 (1)'!AN90+"h_l!Q)"</f>
        <v>#VALUE!</v>
      </c>
      <c r="GK15" t="e">
        <f>'SurveyRpt_20150223 (1)'!A91+"h_l!Q."</f>
        <v>#VALUE!</v>
      </c>
      <c r="GL15" s="25" t="e">
        <f>'SurveyRpt_20150223 (1)'!B91+"h_l!Q/"</f>
        <v>#VALUE!</v>
      </c>
      <c r="GM15" t="e">
        <f>'SurveyRpt_20150223 (1)'!C91+"h_l!Q0"</f>
        <v>#VALUE!</v>
      </c>
      <c r="GN15" s="25" t="e">
        <f>'SurveyRpt_20150223 (1)'!D91+"h_l!Q1"</f>
        <v>#VALUE!</v>
      </c>
      <c r="GO15" t="e">
        <f>'SurveyRpt_20150223 (1)'!E91+"h_l!Q2"</f>
        <v>#VALUE!</v>
      </c>
      <c r="GP15" t="e">
        <f>'SurveyRpt_20150223 (1)'!F91+"h_l!Q3"</f>
        <v>#VALUE!</v>
      </c>
      <c r="GQ15" t="e">
        <f>'SurveyRpt_20150223 (1)'!G91+"h_l!Q4"</f>
        <v>#VALUE!</v>
      </c>
      <c r="GR15" t="e">
        <f>'SurveyRpt_20150223 (1)'!H91+"h_l!Q5"</f>
        <v>#VALUE!</v>
      </c>
      <c r="GS15" t="e">
        <f>'SurveyRpt_20150223 (1)'!I91+"h_l!Q6"</f>
        <v>#VALUE!</v>
      </c>
      <c r="GT15" t="e">
        <f>'SurveyRpt_20150223 (1)'!J91+"h_l!Q7"</f>
        <v>#VALUE!</v>
      </c>
      <c r="GU15" t="e">
        <f>'SurveyRpt_20150223 (1)'!K91+"h_l!Q8"</f>
        <v>#VALUE!</v>
      </c>
      <c r="GV15" t="e">
        <f>'SurveyRpt_20150223 (1)'!L91+"h_l!Q9"</f>
        <v>#VALUE!</v>
      </c>
      <c r="GW15" t="e">
        <f>'SurveyRpt_20150223 (1)'!M91+"h_l!Q:"</f>
        <v>#VALUE!</v>
      </c>
      <c r="GX15" t="e">
        <f>'SurveyRpt_20150223 (1)'!N91+"h_l!Q;"</f>
        <v>#VALUE!</v>
      </c>
      <c r="GY15" t="e">
        <f>'SurveyRpt_20150223 (1)'!O91+"h_l!Q&lt;"</f>
        <v>#VALUE!</v>
      </c>
      <c r="GZ15" t="e">
        <f>'SurveyRpt_20150223 (1)'!P91+"h_l!Q="</f>
        <v>#VALUE!</v>
      </c>
      <c r="HA15" t="e">
        <f>'SurveyRpt_20150223 (1)'!Q91+"h_l!Q&gt;"</f>
        <v>#VALUE!</v>
      </c>
      <c r="HB15" t="e">
        <f>'SurveyRpt_20150223 (1)'!R91+"h_l!Q?"</f>
        <v>#VALUE!</v>
      </c>
      <c r="HC15" t="e">
        <f>'SurveyRpt_20150223 (1)'!S91+"h_l!Q@"</f>
        <v>#VALUE!</v>
      </c>
      <c r="HD15" t="e">
        <f>'SurveyRpt_20150223 (1)'!T91+"h_l!QA"</f>
        <v>#VALUE!</v>
      </c>
      <c r="HE15" t="e">
        <f>'SurveyRpt_20150223 (1)'!U91+"h_l!QB"</f>
        <v>#VALUE!</v>
      </c>
      <c r="HF15" t="e">
        <f>'SurveyRpt_20150223 (1)'!V91+"h_l!QC"</f>
        <v>#VALUE!</v>
      </c>
      <c r="HG15" t="e">
        <f>'SurveyRpt_20150223 (1)'!W91+"h_l!QD"</f>
        <v>#VALUE!</v>
      </c>
      <c r="HH15" t="e">
        <f>'SurveyRpt_20150223 (1)'!X91+"h_l!QE"</f>
        <v>#VALUE!</v>
      </c>
      <c r="HI15" t="e">
        <f>'SurveyRpt_20150223 (1)'!Y91+"h_l!QF"</f>
        <v>#VALUE!</v>
      </c>
      <c r="HJ15" t="e">
        <f>'SurveyRpt_20150223 (1)'!Z91+"h_l!QG"</f>
        <v>#VALUE!</v>
      </c>
      <c r="HK15" t="e">
        <f>'SurveyRpt_20150223 (1)'!AA91+"h_l!QH"</f>
        <v>#VALUE!</v>
      </c>
      <c r="HL15" t="e">
        <f>'SurveyRpt_20150223 (1)'!AB91+"h_l!QI"</f>
        <v>#VALUE!</v>
      </c>
      <c r="HM15" t="e">
        <f>'SurveyRpt_20150223 (1)'!AC91+"h_l!QJ"</f>
        <v>#VALUE!</v>
      </c>
      <c r="HN15" t="e">
        <f>'SurveyRpt_20150223 (1)'!AD91+"h_l!QK"</f>
        <v>#VALUE!</v>
      </c>
      <c r="HO15" t="e">
        <f>'SurveyRpt_20150223 (1)'!AE91+"h_l!QL"</f>
        <v>#VALUE!</v>
      </c>
      <c r="HP15" t="e">
        <f>'SurveyRpt_20150223 (1)'!AF91+"h_l!QM"</f>
        <v>#VALUE!</v>
      </c>
      <c r="HQ15" t="e">
        <f>'SurveyRpt_20150223 (1)'!AG91+"h_l!QN"</f>
        <v>#VALUE!</v>
      </c>
      <c r="HR15" t="e">
        <f>'SurveyRpt_20150223 (1)'!AH91+"h_l!QO"</f>
        <v>#VALUE!</v>
      </c>
      <c r="HS15" t="e">
        <f>'SurveyRpt_20150223 (1)'!AI91+"h_l!QP"</f>
        <v>#VALUE!</v>
      </c>
      <c r="HT15" t="e">
        <f>'SurveyRpt_20150223 (1)'!AJ91+"h_l!QQ"</f>
        <v>#VALUE!</v>
      </c>
      <c r="HU15" t="e">
        <f>'SurveyRpt_20150223 (1)'!AK91+"h_l!QR"</f>
        <v>#VALUE!</v>
      </c>
      <c r="HV15" t="e">
        <f>'SurveyRpt_20150223 (1)'!AL91+"h_l!QS"</f>
        <v>#VALUE!</v>
      </c>
      <c r="HW15" t="e">
        <f>'SurveyRpt_20150223 (1)'!AM91+"h_l!QT"</f>
        <v>#VALUE!</v>
      </c>
      <c r="HX15" t="e">
        <f>'SurveyRpt_20150223 (1)'!AN91+"h_l!QU"</f>
        <v>#VALUE!</v>
      </c>
      <c r="HY15" t="e">
        <f>'SurveyRpt_20150223 (1)'!A92+"h_l!QV"</f>
        <v>#VALUE!</v>
      </c>
      <c r="HZ15" s="25" t="e">
        <f>'SurveyRpt_20150223 (1)'!B92+"h_l!QW"</f>
        <v>#VALUE!</v>
      </c>
      <c r="IA15" t="e">
        <f>'SurveyRpt_20150223 (1)'!C92+"h_l!QX"</f>
        <v>#VALUE!</v>
      </c>
      <c r="IB15" s="25" t="e">
        <f>'SurveyRpt_20150223 (1)'!D92+"h_l!QY"</f>
        <v>#VALUE!</v>
      </c>
      <c r="IC15" t="e">
        <f>'SurveyRpt_20150223 (1)'!E92+"h_l!QZ"</f>
        <v>#VALUE!</v>
      </c>
      <c r="ID15" t="e">
        <f>'SurveyRpt_20150223 (1)'!F92+"h_l!Q["</f>
        <v>#VALUE!</v>
      </c>
      <c r="IE15" t="e">
        <f>'SurveyRpt_20150223 (1)'!G92+"h_l!Q\"</f>
        <v>#VALUE!</v>
      </c>
      <c r="IF15" t="e">
        <f>'SurveyRpt_20150223 (1)'!H92+"h_l!Q]"</f>
        <v>#VALUE!</v>
      </c>
      <c r="IG15" t="e">
        <f>'SurveyRpt_20150223 (1)'!I92+"h_l!Q^"</f>
        <v>#VALUE!</v>
      </c>
      <c r="IH15" t="e">
        <f>'SurveyRpt_20150223 (1)'!J92+"h_l!Q_"</f>
        <v>#VALUE!</v>
      </c>
      <c r="II15" t="e">
        <f>'SurveyRpt_20150223 (1)'!K92+"h_l!Q`"</f>
        <v>#VALUE!</v>
      </c>
      <c r="IJ15" t="e">
        <f>'SurveyRpt_20150223 (1)'!L92+"h_l!Qa"</f>
        <v>#VALUE!</v>
      </c>
      <c r="IK15" t="e">
        <f>'SurveyRpt_20150223 (1)'!M92+"h_l!Qb"</f>
        <v>#VALUE!</v>
      </c>
      <c r="IL15" t="e">
        <f>'SurveyRpt_20150223 (1)'!N92+"h_l!Qc"</f>
        <v>#VALUE!</v>
      </c>
      <c r="IM15" t="e">
        <f>'SurveyRpt_20150223 (1)'!O92+"h_l!Qd"</f>
        <v>#VALUE!</v>
      </c>
      <c r="IN15" t="e">
        <f>'SurveyRpt_20150223 (1)'!P92+"h_l!Qe"</f>
        <v>#VALUE!</v>
      </c>
      <c r="IO15" t="e">
        <f>'SurveyRpt_20150223 (1)'!Q92+"h_l!Qf"</f>
        <v>#VALUE!</v>
      </c>
      <c r="IP15" t="e">
        <f>'SurveyRpt_20150223 (1)'!R92+"h_l!Qg"</f>
        <v>#VALUE!</v>
      </c>
      <c r="IQ15" t="e">
        <f>'SurveyRpt_20150223 (1)'!S92+"h_l!Qh"</f>
        <v>#VALUE!</v>
      </c>
      <c r="IR15" t="e">
        <f>'SurveyRpt_20150223 (1)'!T92+"h_l!Qi"</f>
        <v>#VALUE!</v>
      </c>
      <c r="IS15" t="e">
        <f>'SurveyRpt_20150223 (1)'!U92+"h_l!Qj"</f>
        <v>#VALUE!</v>
      </c>
      <c r="IT15" t="e">
        <f>'SurveyRpt_20150223 (1)'!V92+"h_l!Qk"</f>
        <v>#VALUE!</v>
      </c>
      <c r="IU15" t="e">
        <f>'SurveyRpt_20150223 (1)'!W92+"h_l!Ql"</f>
        <v>#VALUE!</v>
      </c>
      <c r="IV15" t="e">
        <f>'SurveyRpt_20150223 (1)'!X92+"h_l!Qm"</f>
        <v>#VALUE!</v>
      </c>
    </row>
    <row r="16" spans="1:256" x14ac:dyDescent="0.25">
      <c r="F16" t="e">
        <f>'SurveyRpt_20150223 (1)'!Y92+"h_l!Qn"</f>
        <v>#VALUE!</v>
      </c>
      <c r="G16" t="e">
        <f>'SurveyRpt_20150223 (1)'!Z92+"h_l!Qo"</f>
        <v>#VALUE!</v>
      </c>
      <c r="H16" t="e">
        <f>'SurveyRpt_20150223 (1)'!AA92+"h_l!Qp"</f>
        <v>#VALUE!</v>
      </c>
      <c r="I16" t="e">
        <f>'SurveyRpt_20150223 (1)'!AB92+"h_l!Qq"</f>
        <v>#VALUE!</v>
      </c>
      <c r="J16" t="e">
        <f>'SurveyRpt_20150223 (1)'!AC92+"h_l!Qr"</f>
        <v>#VALUE!</v>
      </c>
      <c r="K16" t="e">
        <f>'SurveyRpt_20150223 (1)'!AD92+"h_l!Qs"</f>
        <v>#VALUE!</v>
      </c>
      <c r="L16" t="e">
        <f>'SurveyRpt_20150223 (1)'!AE92+"h_l!Qt"</f>
        <v>#VALUE!</v>
      </c>
      <c r="M16" t="e">
        <f>'SurveyRpt_20150223 (1)'!AF92+"h_l!Qu"</f>
        <v>#VALUE!</v>
      </c>
      <c r="N16" t="e">
        <f>'SurveyRpt_20150223 (1)'!AG92+"h_l!Qv"</f>
        <v>#VALUE!</v>
      </c>
      <c r="O16" t="e">
        <f>'SurveyRpt_20150223 (1)'!AH92+"h_l!Qw"</f>
        <v>#VALUE!</v>
      </c>
      <c r="P16" t="e">
        <f>'SurveyRpt_20150223 (1)'!AI92+"h_l!Qx"</f>
        <v>#VALUE!</v>
      </c>
      <c r="Q16" t="e">
        <f>'SurveyRpt_20150223 (1)'!AJ92+"h_l!Qy"</f>
        <v>#VALUE!</v>
      </c>
      <c r="R16" t="e">
        <f>'SurveyRpt_20150223 (1)'!AK92+"h_l!Qz"</f>
        <v>#VALUE!</v>
      </c>
      <c r="S16" t="e">
        <f>'SurveyRpt_20150223 (1)'!AL92+"h_l!Q{"</f>
        <v>#VALUE!</v>
      </c>
      <c r="T16" t="e">
        <f>'SurveyRpt_20150223 (1)'!AM92+"h_l!Q|"</f>
        <v>#VALUE!</v>
      </c>
      <c r="U16" t="e">
        <f>'SurveyRpt_20150223 (1)'!AN92+"h_l!Q}"</f>
        <v>#VALUE!</v>
      </c>
      <c r="V16" t="e">
        <f>'SurveyRpt_20150223 (1)'!A93+"h_l!Q~"</f>
        <v>#VALUE!</v>
      </c>
      <c r="W16" s="25" t="e">
        <f>'SurveyRpt_20150223 (1)'!B93+"h_l!R#"</f>
        <v>#VALUE!</v>
      </c>
      <c r="X16" t="e">
        <f>'SurveyRpt_20150223 (1)'!C93+"h_l!R$"</f>
        <v>#VALUE!</v>
      </c>
      <c r="Y16" s="25" t="e">
        <f>'SurveyRpt_20150223 (1)'!D93+"h_l!R%"</f>
        <v>#VALUE!</v>
      </c>
      <c r="Z16" t="e">
        <f>'SurveyRpt_20150223 (1)'!E93+"h_l!R&amp;"</f>
        <v>#VALUE!</v>
      </c>
      <c r="AA16" t="e">
        <f>'SurveyRpt_20150223 (1)'!F93+"h_l!R'"</f>
        <v>#VALUE!</v>
      </c>
      <c r="AB16" t="e">
        <f>'SurveyRpt_20150223 (1)'!G93+"h_l!R("</f>
        <v>#VALUE!</v>
      </c>
      <c r="AC16" t="e">
        <f>'SurveyRpt_20150223 (1)'!H93+"h_l!R)"</f>
        <v>#VALUE!</v>
      </c>
      <c r="AD16" t="e">
        <f>'SurveyRpt_20150223 (1)'!I93+"h_l!R."</f>
        <v>#VALUE!</v>
      </c>
      <c r="AE16" t="e">
        <f>'SurveyRpt_20150223 (1)'!J93+"h_l!R/"</f>
        <v>#VALUE!</v>
      </c>
      <c r="AF16" t="e">
        <f>'SurveyRpt_20150223 (1)'!K93+"h_l!R0"</f>
        <v>#VALUE!</v>
      </c>
      <c r="AG16" t="e">
        <f>'SurveyRpt_20150223 (1)'!L93+"h_l!R1"</f>
        <v>#VALUE!</v>
      </c>
      <c r="AH16" t="e">
        <f>'SurveyRpt_20150223 (1)'!M93+"h_l!R2"</f>
        <v>#VALUE!</v>
      </c>
      <c r="AI16" t="e">
        <f>'SurveyRpt_20150223 (1)'!N93+"h_l!R3"</f>
        <v>#VALUE!</v>
      </c>
      <c r="AJ16" t="e">
        <f>'SurveyRpt_20150223 (1)'!O93+"h_l!R4"</f>
        <v>#VALUE!</v>
      </c>
      <c r="AK16" t="e">
        <f>'SurveyRpt_20150223 (1)'!P93+"h_l!R5"</f>
        <v>#VALUE!</v>
      </c>
      <c r="AL16" t="e">
        <f>'SurveyRpt_20150223 (1)'!Q93+"h_l!R6"</f>
        <v>#VALUE!</v>
      </c>
      <c r="AM16" t="e">
        <f>'SurveyRpt_20150223 (1)'!R93+"h_l!R7"</f>
        <v>#VALUE!</v>
      </c>
      <c r="AN16" t="e">
        <f>'SurveyRpt_20150223 (1)'!S93+"h_l!R8"</f>
        <v>#VALUE!</v>
      </c>
      <c r="AO16" t="e">
        <f>'SurveyRpt_20150223 (1)'!T93+"h_l!R9"</f>
        <v>#VALUE!</v>
      </c>
      <c r="AP16" t="e">
        <f>'SurveyRpt_20150223 (1)'!U93+"h_l!R:"</f>
        <v>#VALUE!</v>
      </c>
      <c r="AQ16" t="e">
        <f>'SurveyRpt_20150223 (1)'!V93+"h_l!R;"</f>
        <v>#VALUE!</v>
      </c>
      <c r="AR16" t="e">
        <f>'SurveyRpt_20150223 (1)'!W93+"h_l!R&lt;"</f>
        <v>#VALUE!</v>
      </c>
      <c r="AS16" t="e">
        <f>'SurveyRpt_20150223 (1)'!X93+"h_l!R="</f>
        <v>#VALUE!</v>
      </c>
      <c r="AT16" t="e">
        <f>'SurveyRpt_20150223 (1)'!Y93+"h_l!R&gt;"</f>
        <v>#VALUE!</v>
      </c>
      <c r="AU16" t="e">
        <f>'SurveyRpt_20150223 (1)'!Z93+"h_l!R?"</f>
        <v>#VALUE!</v>
      </c>
      <c r="AV16" t="e">
        <f>'SurveyRpt_20150223 (1)'!AA93+"h_l!R@"</f>
        <v>#VALUE!</v>
      </c>
      <c r="AW16" t="e">
        <f>'SurveyRpt_20150223 (1)'!AB93+"h_l!RA"</f>
        <v>#VALUE!</v>
      </c>
      <c r="AX16" t="e">
        <f>'SurveyRpt_20150223 (1)'!AC93+"h_l!RB"</f>
        <v>#VALUE!</v>
      </c>
      <c r="AY16" t="e">
        <f>'SurveyRpt_20150223 (1)'!AD93+"h_l!RC"</f>
        <v>#VALUE!</v>
      </c>
      <c r="AZ16" t="e">
        <f>'SurveyRpt_20150223 (1)'!AE93+"h_l!RD"</f>
        <v>#VALUE!</v>
      </c>
      <c r="BA16" t="e">
        <f>'SurveyRpt_20150223 (1)'!AF93+"h_l!RE"</f>
        <v>#VALUE!</v>
      </c>
      <c r="BB16" t="e">
        <f>'SurveyRpt_20150223 (1)'!AG93+"h_l!RF"</f>
        <v>#VALUE!</v>
      </c>
      <c r="BC16" t="e">
        <f>'SurveyRpt_20150223 (1)'!AH93+"h_l!RG"</f>
        <v>#VALUE!</v>
      </c>
      <c r="BD16" t="e">
        <f>'SurveyRpt_20150223 (1)'!AI93+"h_l!RH"</f>
        <v>#VALUE!</v>
      </c>
      <c r="BE16" t="e">
        <f>'SurveyRpt_20150223 (1)'!AJ93+"h_l!RI"</f>
        <v>#VALUE!</v>
      </c>
      <c r="BF16" t="e">
        <f>'SurveyRpt_20150223 (1)'!AK93+"h_l!RJ"</f>
        <v>#VALUE!</v>
      </c>
      <c r="BG16" t="e">
        <f>'SurveyRpt_20150223 (1)'!AL93+"h_l!RK"</f>
        <v>#VALUE!</v>
      </c>
      <c r="BH16" t="e">
        <f>'SurveyRpt_20150223 (1)'!AM93+"h_l!RL"</f>
        <v>#VALUE!</v>
      </c>
      <c r="BI16" t="e">
        <f>'SurveyRpt_20150223 (1)'!AN93+"h_l!RM"</f>
        <v>#VALUE!</v>
      </c>
      <c r="BJ16" t="e">
        <f>'SurveyRpt_20150223 (1)'!A94+"h_l!RN"</f>
        <v>#VALUE!</v>
      </c>
      <c r="BK16" s="25" t="e">
        <f>'SurveyRpt_20150223 (1)'!B94+"h_l!RO"</f>
        <v>#VALUE!</v>
      </c>
      <c r="BL16" t="e">
        <f>'SurveyRpt_20150223 (1)'!C94+"h_l!RP"</f>
        <v>#VALUE!</v>
      </c>
      <c r="BM16" s="25" t="e">
        <f>'SurveyRpt_20150223 (1)'!D94+"h_l!RQ"</f>
        <v>#VALUE!</v>
      </c>
      <c r="BN16" t="e">
        <f>'SurveyRpt_20150223 (1)'!E94+"h_l!RR"</f>
        <v>#VALUE!</v>
      </c>
      <c r="BO16" t="e">
        <f>'SurveyRpt_20150223 (1)'!F94+"h_l!RS"</f>
        <v>#VALUE!</v>
      </c>
      <c r="BP16" t="e">
        <f>'SurveyRpt_20150223 (1)'!G94+"h_l!RT"</f>
        <v>#VALUE!</v>
      </c>
      <c r="BQ16" t="e">
        <f>'SurveyRpt_20150223 (1)'!H94+"h_l!RU"</f>
        <v>#VALUE!</v>
      </c>
      <c r="BR16" t="e">
        <f>'SurveyRpt_20150223 (1)'!I94+"h_l!RV"</f>
        <v>#VALUE!</v>
      </c>
      <c r="BS16" t="e">
        <f>'SurveyRpt_20150223 (1)'!J94+"h_l!RW"</f>
        <v>#VALUE!</v>
      </c>
      <c r="BT16" t="e">
        <f>'SurveyRpt_20150223 (1)'!K94+"h_l!RX"</f>
        <v>#VALUE!</v>
      </c>
      <c r="BU16" t="e">
        <f>'SurveyRpt_20150223 (1)'!L94+"h_l!RY"</f>
        <v>#VALUE!</v>
      </c>
      <c r="BV16" t="e">
        <f>'SurveyRpt_20150223 (1)'!M94+"h_l!RZ"</f>
        <v>#VALUE!</v>
      </c>
      <c r="BW16" t="e">
        <f>'SurveyRpt_20150223 (1)'!N94+"h_l!R["</f>
        <v>#VALUE!</v>
      </c>
      <c r="BX16" t="e">
        <f>'SurveyRpt_20150223 (1)'!O94+"h_l!R\"</f>
        <v>#VALUE!</v>
      </c>
      <c r="BY16" t="e">
        <f>'SurveyRpt_20150223 (1)'!P94+"h_l!R]"</f>
        <v>#VALUE!</v>
      </c>
      <c r="BZ16" t="e">
        <f>'SurveyRpt_20150223 (1)'!Q94+"h_l!R^"</f>
        <v>#VALUE!</v>
      </c>
      <c r="CA16" t="e">
        <f>'SurveyRpt_20150223 (1)'!R94+"h_l!R_"</f>
        <v>#VALUE!</v>
      </c>
      <c r="CB16" t="e">
        <f>'SurveyRpt_20150223 (1)'!S94+"h_l!R`"</f>
        <v>#VALUE!</v>
      </c>
      <c r="CC16" t="e">
        <f>'SurveyRpt_20150223 (1)'!T94+"h_l!Ra"</f>
        <v>#VALUE!</v>
      </c>
      <c r="CD16" t="e">
        <f>'SurveyRpt_20150223 (1)'!U94+"h_l!Rb"</f>
        <v>#VALUE!</v>
      </c>
      <c r="CE16" t="e">
        <f>'SurveyRpt_20150223 (1)'!V94+"h_l!Rc"</f>
        <v>#VALUE!</v>
      </c>
      <c r="CF16" t="e">
        <f>'SurveyRpt_20150223 (1)'!W94+"h_l!Rd"</f>
        <v>#VALUE!</v>
      </c>
      <c r="CG16" t="e">
        <f>'SurveyRpt_20150223 (1)'!X94+"h_l!Re"</f>
        <v>#VALUE!</v>
      </c>
      <c r="CH16" t="e">
        <f>'SurveyRpt_20150223 (1)'!Y94+"h_l!Rf"</f>
        <v>#VALUE!</v>
      </c>
      <c r="CI16" t="e">
        <f>'SurveyRpt_20150223 (1)'!Z94+"h_l!Rg"</f>
        <v>#VALUE!</v>
      </c>
      <c r="CJ16" t="e">
        <f>'SurveyRpt_20150223 (1)'!AA94+"h_l!Rh"</f>
        <v>#VALUE!</v>
      </c>
      <c r="CK16" t="e">
        <f>'SurveyRpt_20150223 (1)'!AB94+"h_l!Ri"</f>
        <v>#VALUE!</v>
      </c>
      <c r="CL16" t="e">
        <f>'SurveyRpt_20150223 (1)'!AC94+"h_l!Rj"</f>
        <v>#VALUE!</v>
      </c>
      <c r="CM16" t="e">
        <f>'SurveyRpt_20150223 (1)'!AD94+"h_l!Rk"</f>
        <v>#VALUE!</v>
      </c>
      <c r="CN16" t="e">
        <f>'SurveyRpt_20150223 (1)'!AE94+"h_l!Rl"</f>
        <v>#VALUE!</v>
      </c>
      <c r="CO16" t="e">
        <f>'SurveyRpt_20150223 (1)'!AF94+"h_l!Rm"</f>
        <v>#VALUE!</v>
      </c>
      <c r="CP16" t="e">
        <f>'SurveyRpt_20150223 (1)'!AG94+"h_l!Rn"</f>
        <v>#VALUE!</v>
      </c>
      <c r="CQ16" t="e">
        <f>'SurveyRpt_20150223 (1)'!AH94+"h_l!Ro"</f>
        <v>#VALUE!</v>
      </c>
      <c r="CR16" t="e">
        <f>'SurveyRpt_20150223 (1)'!AI94+"h_l!Rp"</f>
        <v>#VALUE!</v>
      </c>
      <c r="CS16" t="e">
        <f>'SurveyRpt_20150223 (1)'!AJ94+"h_l!Rq"</f>
        <v>#VALUE!</v>
      </c>
      <c r="CT16" t="e">
        <f>'SurveyRpt_20150223 (1)'!AK94+"h_l!Rr"</f>
        <v>#VALUE!</v>
      </c>
      <c r="CU16" t="e">
        <f>'SurveyRpt_20150223 (1)'!AL94+"h_l!Rs"</f>
        <v>#VALUE!</v>
      </c>
      <c r="CV16" t="e">
        <f>'SurveyRpt_20150223 (1)'!AM94+"h_l!Rt"</f>
        <v>#VALUE!</v>
      </c>
      <c r="CW16" t="e">
        <f>'SurveyRpt_20150223 (1)'!AN94+"h_l!Ru"</f>
        <v>#VALUE!</v>
      </c>
      <c r="CX16" t="e">
        <f>'SurveyRpt_20150223 (1)'!A95+"h_l!Rv"</f>
        <v>#VALUE!</v>
      </c>
      <c r="CY16" s="25" t="e">
        <f>'SurveyRpt_20150223 (1)'!B95+"h_l!Rw"</f>
        <v>#VALUE!</v>
      </c>
      <c r="CZ16" t="e">
        <f>'SurveyRpt_20150223 (1)'!C95+"h_l!Rx"</f>
        <v>#VALUE!</v>
      </c>
      <c r="DA16" s="25" t="e">
        <f>'SurveyRpt_20150223 (1)'!D95+"h_l!Ry"</f>
        <v>#VALUE!</v>
      </c>
      <c r="DB16" t="e">
        <f>'SurveyRpt_20150223 (1)'!E95+"h_l!Rz"</f>
        <v>#VALUE!</v>
      </c>
      <c r="DC16" t="e">
        <f>'SurveyRpt_20150223 (1)'!F95+"h_l!R{"</f>
        <v>#VALUE!</v>
      </c>
      <c r="DD16" t="e">
        <f>'SurveyRpt_20150223 (1)'!G95+"h_l!R|"</f>
        <v>#VALUE!</v>
      </c>
      <c r="DE16" t="e">
        <f>'SurveyRpt_20150223 (1)'!H95+"h_l!R}"</f>
        <v>#VALUE!</v>
      </c>
      <c r="DF16" t="e">
        <f>'SurveyRpt_20150223 (1)'!I95+"h_l!R~"</f>
        <v>#VALUE!</v>
      </c>
      <c r="DG16" t="e">
        <f>'SurveyRpt_20150223 (1)'!J95+"h_l!S#"</f>
        <v>#VALUE!</v>
      </c>
      <c r="DH16" t="e">
        <f>'SurveyRpt_20150223 (1)'!K95+"h_l!S$"</f>
        <v>#VALUE!</v>
      </c>
      <c r="DI16" t="e">
        <f>'SurveyRpt_20150223 (1)'!L95+"h_l!S%"</f>
        <v>#VALUE!</v>
      </c>
      <c r="DJ16" t="e">
        <f>'SurveyRpt_20150223 (1)'!M95+"h_l!S&amp;"</f>
        <v>#VALUE!</v>
      </c>
      <c r="DK16" t="e">
        <f>'SurveyRpt_20150223 (1)'!N95+"h_l!S'"</f>
        <v>#VALUE!</v>
      </c>
      <c r="DL16" t="e">
        <f>'SurveyRpt_20150223 (1)'!O95+"h_l!S("</f>
        <v>#VALUE!</v>
      </c>
      <c r="DM16" t="e">
        <f>'SurveyRpt_20150223 (1)'!P95+"h_l!S)"</f>
        <v>#VALUE!</v>
      </c>
      <c r="DN16" t="e">
        <f>'SurveyRpt_20150223 (1)'!Q95+"h_l!S."</f>
        <v>#VALUE!</v>
      </c>
      <c r="DO16" t="e">
        <f>'SurveyRpt_20150223 (1)'!R95+"h_l!S/"</f>
        <v>#VALUE!</v>
      </c>
      <c r="DP16" t="e">
        <f>'SurveyRpt_20150223 (1)'!S95+"h_l!S0"</f>
        <v>#VALUE!</v>
      </c>
      <c r="DQ16" t="e">
        <f>'SurveyRpt_20150223 (1)'!T95+"h_l!S1"</f>
        <v>#VALUE!</v>
      </c>
      <c r="DR16" t="e">
        <f>'SurveyRpt_20150223 (1)'!U95+"h_l!S2"</f>
        <v>#VALUE!</v>
      </c>
      <c r="DS16" t="e">
        <f>'SurveyRpt_20150223 (1)'!V95+"h_l!S3"</f>
        <v>#VALUE!</v>
      </c>
      <c r="DT16" t="e">
        <f>'SurveyRpt_20150223 (1)'!W95+"h_l!S4"</f>
        <v>#VALUE!</v>
      </c>
      <c r="DU16" t="e">
        <f>'SurveyRpt_20150223 (1)'!X95+"h_l!S5"</f>
        <v>#VALUE!</v>
      </c>
      <c r="DV16" t="e">
        <f>'SurveyRpt_20150223 (1)'!Y95+"h_l!S6"</f>
        <v>#VALUE!</v>
      </c>
      <c r="DW16" t="e">
        <f>'SurveyRpt_20150223 (1)'!Z95+"h_l!S7"</f>
        <v>#VALUE!</v>
      </c>
      <c r="DX16" t="e">
        <f>'SurveyRpt_20150223 (1)'!AA95+"h_l!S8"</f>
        <v>#VALUE!</v>
      </c>
      <c r="DY16" t="e">
        <f>'SurveyRpt_20150223 (1)'!AB95+"h_l!S9"</f>
        <v>#VALUE!</v>
      </c>
      <c r="DZ16" t="e">
        <f>'SurveyRpt_20150223 (1)'!AC95+"h_l!S:"</f>
        <v>#VALUE!</v>
      </c>
      <c r="EA16" t="e">
        <f>'SurveyRpt_20150223 (1)'!AD95+"h_l!S;"</f>
        <v>#VALUE!</v>
      </c>
      <c r="EB16" t="e">
        <f>'SurveyRpt_20150223 (1)'!AE95+"h_l!S&lt;"</f>
        <v>#VALUE!</v>
      </c>
      <c r="EC16" t="e">
        <f>'SurveyRpt_20150223 (1)'!AF95+"h_l!S="</f>
        <v>#VALUE!</v>
      </c>
      <c r="ED16" t="e">
        <f>'SurveyRpt_20150223 (1)'!AG95+"h_l!S&gt;"</f>
        <v>#VALUE!</v>
      </c>
      <c r="EE16" t="e">
        <f>'SurveyRpt_20150223 (1)'!AH95+"h_l!S?"</f>
        <v>#VALUE!</v>
      </c>
      <c r="EF16" t="e">
        <f>'SurveyRpt_20150223 (1)'!AI95+"h_l!S@"</f>
        <v>#VALUE!</v>
      </c>
      <c r="EG16" t="e">
        <f>'SurveyRpt_20150223 (1)'!AJ95+"h_l!SA"</f>
        <v>#VALUE!</v>
      </c>
      <c r="EH16" t="e">
        <f>'SurveyRpt_20150223 (1)'!AK95+"h_l!SB"</f>
        <v>#VALUE!</v>
      </c>
      <c r="EI16" t="e">
        <f>'SurveyRpt_20150223 (1)'!AL95+"h_l!SC"</f>
        <v>#VALUE!</v>
      </c>
      <c r="EJ16" t="e">
        <f>'SurveyRpt_20150223 (1)'!AM95+"h_l!SD"</f>
        <v>#VALUE!</v>
      </c>
      <c r="EK16" t="e">
        <f>'SurveyRpt_20150223 (1)'!AN95+"h_l!SE"</f>
        <v>#VALUE!</v>
      </c>
      <c r="EL16" t="e">
        <f>'SurveyRpt_20150223 (1)'!A96+"h_l!SF"</f>
        <v>#VALUE!</v>
      </c>
      <c r="EM16" s="25" t="e">
        <f>'SurveyRpt_20150223 (1)'!B96+"h_l!SG"</f>
        <v>#VALUE!</v>
      </c>
      <c r="EN16" t="e">
        <f>'SurveyRpt_20150223 (1)'!C96+"h_l!SH"</f>
        <v>#VALUE!</v>
      </c>
      <c r="EO16" s="25" t="e">
        <f>'SurveyRpt_20150223 (1)'!D96+"h_l!SI"</f>
        <v>#VALUE!</v>
      </c>
      <c r="EP16" t="e">
        <f>'SurveyRpt_20150223 (1)'!E96+"h_l!SJ"</f>
        <v>#VALUE!</v>
      </c>
      <c r="EQ16" t="e">
        <f>'SurveyRpt_20150223 (1)'!F96+"h_l!SK"</f>
        <v>#VALUE!</v>
      </c>
      <c r="ER16" t="e">
        <f>'SurveyRpt_20150223 (1)'!G96+"h_l!SL"</f>
        <v>#VALUE!</v>
      </c>
      <c r="ES16" t="e">
        <f>'SurveyRpt_20150223 (1)'!H96+"h_l!SM"</f>
        <v>#VALUE!</v>
      </c>
      <c r="ET16" t="e">
        <f>'SurveyRpt_20150223 (1)'!I96+"h_l!SN"</f>
        <v>#VALUE!</v>
      </c>
      <c r="EU16" t="e">
        <f>'SurveyRpt_20150223 (1)'!J96+"h_l!SO"</f>
        <v>#VALUE!</v>
      </c>
      <c r="EV16" t="e">
        <f>'SurveyRpt_20150223 (1)'!K96+"h_l!SP"</f>
        <v>#VALUE!</v>
      </c>
      <c r="EW16" t="e">
        <f>'SurveyRpt_20150223 (1)'!L96+"h_l!SQ"</f>
        <v>#VALUE!</v>
      </c>
      <c r="EX16" t="e">
        <f>'SurveyRpt_20150223 (1)'!M96+"h_l!SR"</f>
        <v>#VALUE!</v>
      </c>
      <c r="EY16" t="e">
        <f>'SurveyRpt_20150223 (1)'!N96+"h_l!SS"</f>
        <v>#VALUE!</v>
      </c>
      <c r="EZ16" t="e">
        <f>'SurveyRpt_20150223 (1)'!O96+"h_l!ST"</f>
        <v>#VALUE!</v>
      </c>
      <c r="FA16" t="e">
        <f>'SurveyRpt_20150223 (1)'!P96+"h_l!SU"</f>
        <v>#VALUE!</v>
      </c>
      <c r="FB16" t="e">
        <f>'SurveyRpt_20150223 (1)'!Q96+"h_l!SV"</f>
        <v>#VALUE!</v>
      </c>
      <c r="FC16" t="e">
        <f>'SurveyRpt_20150223 (1)'!R96+"h_l!SW"</f>
        <v>#VALUE!</v>
      </c>
      <c r="FD16" t="e">
        <f>'SurveyRpt_20150223 (1)'!S96+"h_l!SX"</f>
        <v>#VALUE!</v>
      </c>
      <c r="FE16" t="e">
        <f>'SurveyRpt_20150223 (1)'!T96+"h_l!SY"</f>
        <v>#VALUE!</v>
      </c>
      <c r="FF16" t="e">
        <f>'SurveyRpt_20150223 (1)'!U96+"h_l!SZ"</f>
        <v>#VALUE!</v>
      </c>
      <c r="FG16" t="e">
        <f>'SurveyRpt_20150223 (1)'!V96+"h_l!S["</f>
        <v>#VALUE!</v>
      </c>
      <c r="FH16" t="e">
        <f>'SurveyRpt_20150223 (1)'!W96+"h_l!S\"</f>
        <v>#VALUE!</v>
      </c>
      <c r="FI16" t="e">
        <f>'SurveyRpt_20150223 (1)'!X96+"h_l!S]"</f>
        <v>#VALUE!</v>
      </c>
      <c r="FJ16" t="e">
        <f>'SurveyRpt_20150223 (1)'!Y96+"h_l!S^"</f>
        <v>#VALUE!</v>
      </c>
      <c r="FK16" t="e">
        <f>'SurveyRpt_20150223 (1)'!Z96+"h_l!S_"</f>
        <v>#VALUE!</v>
      </c>
      <c r="FL16" t="e">
        <f>'SurveyRpt_20150223 (1)'!AA96+"h_l!S`"</f>
        <v>#VALUE!</v>
      </c>
      <c r="FM16" t="e">
        <f>'SurveyRpt_20150223 (1)'!AB96+"h_l!Sa"</f>
        <v>#VALUE!</v>
      </c>
      <c r="FN16" t="e">
        <f>'SurveyRpt_20150223 (1)'!AC96+"h_l!Sb"</f>
        <v>#VALUE!</v>
      </c>
      <c r="FO16" t="e">
        <f>'SurveyRpt_20150223 (1)'!AD96+"h_l!Sc"</f>
        <v>#VALUE!</v>
      </c>
      <c r="FP16" t="e">
        <f>'SurveyRpt_20150223 (1)'!AE96+"h_l!Sd"</f>
        <v>#VALUE!</v>
      </c>
      <c r="FQ16" t="e">
        <f>'SurveyRpt_20150223 (1)'!AF96+"h_l!Se"</f>
        <v>#VALUE!</v>
      </c>
      <c r="FR16" t="e">
        <f>'SurveyRpt_20150223 (1)'!AG96+"h_l!Sf"</f>
        <v>#VALUE!</v>
      </c>
      <c r="FS16" t="e">
        <f>'SurveyRpt_20150223 (1)'!AH96+"h_l!Sg"</f>
        <v>#VALUE!</v>
      </c>
      <c r="FT16" t="e">
        <f>'SurveyRpt_20150223 (1)'!AI96+"h_l!Sh"</f>
        <v>#VALUE!</v>
      </c>
      <c r="FU16" t="e">
        <f>'SurveyRpt_20150223 (1)'!AJ96+"h_l!Si"</f>
        <v>#VALUE!</v>
      </c>
      <c r="FV16" t="e">
        <f>'SurveyRpt_20150223 (1)'!AK96+"h_l!Sj"</f>
        <v>#VALUE!</v>
      </c>
      <c r="FW16" t="e">
        <f>'SurveyRpt_20150223 (1)'!AL96+"h_l!Sk"</f>
        <v>#VALUE!</v>
      </c>
      <c r="FX16" t="e">
        <f>'SurveyRpt_20150223 (1)'!AM96+"h_l!Sl"</f>
        <v>#VALUE!</v>
      </c>
      <c r="FY16" t="e">
        <f>'SurveyRpt_20150223 (1)'!AN96+"h_l!Sm"</f>
        <v>#VALUE!</v>
      </c>
      <c r="FZ16" t="e">
        <f>'SurveyRpt_20150223 (1)'!A97+"h_l!Sn"</f>
        <v>#VALUE!</v>
      </c>
      <c r="GA16" s="25" t="e">
        <f>'SurveyRpt_20150223 (1)'!B97+"h_l!So"</f>
        <v>#VALUE!</v>
      </c>
      <c r="GB16" t="e">
        <f>'SurveyRpt_20150223 (1)'!C97+"h_l!Sp"</f>
        <v>#VALUE!</v>
      </c>
      <c r="GC16" s="25" t="e">
        <f>'SurveyRpt_20150223 (1)'!D97+"h_l!Sq"</f>
        <v>#VALUE!</v>
      </c>
      <c r="GD16" t="e">
        <f>'SurveyRpt_20150223 (1)'!E97+"h_l!Sr"</f>
        <v>#VALUE!</v>
      </c>
      <c r="GE16" t="e">
        <f>'SurveyRpt_20150223 (1)'!F97+"h_l!Ss"</f>
        <v>#VALUE!</v>
      </c>
      <c r="GF16" t="e">
        <f>'SurveyRpt_20150223 (1)'!G97+"h_l!St"</f>
        <v>#VALUE!</v>
      </c>
      <c r="GG16" t="e">
        <f>'SurveyRpt_20150223 (1)'!H97+"h_l!Su"</f>
        <v>#VALUE!</v>
      </c>
      <c r="GH16" t="e">
        <f>'SurveyRpt_20150223 (1)'!I97+"h_l!Sv"</f>
        <v>#VALUE!</v>
      </c>
      <c r="GI16" t="e">
        <f>'SurveyRpt_20150223 (1)'!J97+"h_l!Sw"</f>
        <v>#VALUE!</v>
      </c>
      <c r="GJ16" t="e">
        <f>'SurveyRpt_20150223 (1)'!K97+"h_l!Sx"</f>
        <v>#VALUE!</v>
      </c>
      <c r="GK16" t="e">
        <f>'SurveyRpt_20150223 (1)'!L97+"h_l!Sy"</f>
        <v>#VALUE!</v>
      </c>
      <c r="GL16" t="e">
        <f>'SurveyRpt_20150223 (1)'!M97+"h_l!Sz"</f>
        <v>#VALUE!</v>
      </c>
      <c r="GM16" t="e">
        <f>'SurveyRpt_20150223 (1)'!N97+"h_l!S{"</f>
        <v>#VALUE!</v>
      </c>
      <c r="GN16" t="e">
        <f>'SurveyRpt_20150223 (1)'!O97+"h_l!S|"</f>
        <v>#VALUE!</v>
      </c>
      <c r="GO16" t="e">
        <f>'SurveyRpt_20150223 (1)'!P97+"h_l!S}"</f>
        <v>#VALUE!</v>
      </c>
      <c r="GP16" t="e">
        <f>'SurveyRpt_20150223 (1)'!Q97+"h_l!S~"</f>
        <v>#VALUE!</v>
      </c>
      <c r="GQ16" t="e">
        <f>'SurveyRpt_20150223 (1)'!R97+"h_l!T#"</f>
        <v>#VALUE!</v>
      </c>
      <c r="GR16" t="e">
        <f>'SurveyRpt_20150223 (1)'!S97+"h_l!T$"</f>
        <v>#VALUE!</v>
      </c>
      <c r="GS16" t="e">
        <f>'SurveyRpt_20150223 (1)'!T97+"h_l!T%"</f>
        <v>#VALUE!</v>
      </c>
      <c r="GT16" t="e">
        <f>'SurveyRpt_20150223 (1)'!U97+"h_l!T&amp;"</f>
        <v>#VALUE!</v>
      </c>
      <c r="GU16" t="e">
        <f>'SurveyRpt_20150223 (1)'!V97+"h_l!T'"</f>
        <v>#VALUE!</v>
      </c>
      <c r="GV16" t="e">
        <f>'SurveyRpt_20150223 (1)'!W97+"h_l!T("</f>
        <v>#VALUE!</v>
      </c>
      <c r="GW16" t="e">
        <f>'SurveyRpt_20150223 (1)'!X97+"h_l!T)"</f>
        <v>#VALUE!</v>
      </c>
      <c r="GX16" t="e">
        <f>'SurveyRpt_20150223 (1)'!Y97+"h_l!T."</f>
        <v>#VALUE!</v>
      </c>
      <c r="GY16" t="e">
        <f>'SurveyRpt_20150223 (1)'!Z97+"h_l!T/"</f>
        <v>#VALUE!</v>
      </c>
      <c r="GZ16" t="e">
        <f>'SurveyRpt_20150223 (1)'!AA97+"h_l!T0"</f>
        <v>#VALUE!</v>
      </c>
      <c r="HA16" t="e">
        <f>'SurveyRpt_20150223 (1)'!AB97+"h_l!T1"</f>
        <v>#VALUE!</v>
      </c>
      <c r="HB16" t="e">
        <f>'SurveyRpt_20150223 (1)'!AC97+"h_l!T2"</f>
        <v>#VALUE!</v>
      </c>
      <c r="HC16" t="e">
        <f>'SurveyRpt_20150223 (1)'!AD97+"h_l!T3"</f>
        <v>#VALUE!</v>
      </c>
      <c r="HD16" t="e">
        <f>'SurveyRpt_20150223 (1)'!AE97+"h_l!T4"</f>
        <v>#VALUE!</v>
      </c>
      <c r="HE16" t="e">
        <f>'SurveyRpt_20150223 (1)'!AF97+"h_l!T5"</f>
        <v>#VALUE!</v>
      </c>
      <c r="HF16" t="e">
        <f>'SurveyRpt_20150223 (1)'!AG97+"h_l!T6"</f>
        <v>#VALUE!</v>
      </c>
      <c r="HG16" t="e">
        <f>'SurveyRpt_20150223 (1)'!AH97+"h_l!T7"</f>
        <v>#VALUE!</v>
      </c>
      <c r="HH16" t="e">
        <f>'SurveyRpt_20150223 (1)'!AI97+"h_l!T8"</f>
        <v>#VALUE!</v>
      </c>
      <c r="HI16" t="e">
        <f>'SurveyRpt_20150223 (1)'!AJ97+"h_l!T9"</f>
        <v>#VALUE!</v>
      </c>
      <c r="HJ16" t="e">
        <f>'SurveyRpt_20150223 (1)'!AK97+"h_l!T:"</f>
        <v>#VALUE!</v>
      </c>
      <c r="HK16" t="e">
        <f>'SurveyRpt_20150223 (1)'!AL97+"h_l!T;"</f>
        <v>#VALUE!</v>
      </c>
      <c r="HL16" t="e">
        <f>'SurveyRpt_20150223 (1)'!AM97+"h_l!T&lt;"</f>
        <v>#VALUE!</v>
      </c>
      <c r="HM16" t="e">
        <f>'SurveyRpt_20150223 (1)'!AN97+"h_l!T="</f>
        <v>#VALUE!</v>
      </c>
      <c r="HN16" t="e">
        <f>'SurveyRpt_20150223 (1)'!A98+"h_l!T&gt;"</f>
        <v>#VALUE!</v>
      </c>
      <c r="HO16" s="25" t="e">
        <f>'SurveyRpt_20150223 (1)'!B98+"h_l!T?"</f>
        <v>#VALUE!</v>
      </c>
      <c r="HP16" t="e">
        <f>'SurveyRpt_20150223 (1)'!C98+"h_l!T@"</f>
        <v>#VALUE!</v>
      </c>
      <c r="HQ16" s="25" t="e">
        <f>'SurveyRpt_20150223 (1)'!D98+"h_l!TA"</f>
        <v>#VALUE!</v>
      </c>
      <c r="HR16" t="e">
        <f>'SurveyRpt_20150223 (1)'!E98+"h_l!TB"</f>
        <v>#VALUE!</v>
      </c>
      <c r="HS16" t="e">
        <f>'SurveyRpt_20150223 (1)'!F98+"h_l!TC"</f>
        <v>#VALUE!</v>
      </c>
      <c r="HT16" t="e">
        <f>'SurveyRpt_20150223 (1)'!G98+"h_l!TD"</f>
        <v>#VALUE!</v>
      </c>
      <c r="HU16" t="e">
        <f>'SurveyRpt_20150223 (1)'!H98+"h_l!TE"</f>
        <v>#VALUE!</v>
      </c>
      <c r="HV16" t="e">
        <f>'SurveyRpt_20150223 (1)'!I98+"h_l!TF"</f>
        <v>#VALUE!</v>
      </c>
      <c r="HW16" t="e">
        <f>'SurveyRpt_20150223 (1)'!J98+"h_l!TG"</f>
        <v>#VALUE!</v>
      </c>
      <c r="HX16" t="e">
        <f>'SurveyRpt_20150223 (1)'!K98+"h_l!TH"</f>
        <v>#VALUE!</v>
      </c>
      <c r="HY16" t="e">
        <f>'SurveyRpt_20150223 (1)'!L98+"h_l!TI"</f>
        <v>#VALUE!</v>
      </c>
      <c r="HZ16" t="e">
        <f>'SurveyRpt_20150223 (1)'!M98+"h_l!TJ"</f>
        <v>#VALUE!</v>
      </c>
      <c r="IA16" t="e">
        <f>'SurveyRpt_20150223 (1)'!N98+"h_l!TK"</f>
        <v>#VALUE!</v>
      </c>
      <c r="IB16" t="e">
        <f>'SurveyRpt_20150223 (1)'!O98+"h_l!TL"</f>
        <v>#VALUE!</v>
      </c>
      <c r="IC16" t="e">
        <f>'SurveyRpt_20150223 (1)'!P98+"h_l!TM"</f>
        <v>#VALUE!</v>
      </c>
      <c r="ID16" t="e">
        <f>'SurveyRpt_20150223 (1)'!Q98+"h_l!TN"</f>
        <v>#VALUE!</v>
      </c>
      <c r="IE16" t="e">
        <f>'SurveyRpt_20150223 (1)'!R98+"h_l!TO"</f>
        <v>#VALUE!</v>
      </c>
      <c r="IF16" t="e">
        <f>'SurveyRpt_20150223 (1)'!S98+"h_l!TP"</f>
        <v>#VALUE!</v>
      </c>
      <c r="IG16" t="e">
        <f>'SurveyRpt_20150223 (1)'!T98+"h_l!TQ"</f>
        <v>#VALUE!</v>
      </c>
      <c r="IH16" t="e">
        <f>'SurveyRpt_20150223 (1)'!U98+"h_l!TR"</f>
        <v>#VALUE!</v>
      </c>
      <c r="II16" t="e">
        <f>'SurveyRpt_20150223 (1)'!V98+"h_l!TS"</f>
        <v>#VALUE!</v>
      </c>
      <c r="IJ16" t="e">
        <f>'SurveyRpt_20150223 (1)'!W98+"h_l!TT"</f>
        <v>#VALUE!</v>
      </c>
      <c r="IK16" t="e">
        <f>'SurveyRpt_20150223 (1)'!X98+"h_l!TU"</f>
        <v>#VALUE!</v>
      </c>
      <c r="IL16" t="e">
        <f>'SurveyRpt_20150223 (1)'!Y98+"h_l!TV"</f>
        <v>#VALUE!</v>
      </c>
      <c r="IM16" t="e">
        <f>'SurveyRpt_20150223 (1)'!Z98+"h_l!TW"</f>
        <v>#VALUE!</v>
      </c>
      <c r="IN16" t="e">
        <f>'SurveyRpt_20150223 (1)'!AA98+"h_l!TX"</f>
        <v>#VALUE!</v>
      </c>
      <c r="IO16" t="e">
        <f>'SurveyRpt_20150223 (1)'!AB98+"h_l!TY"</f>
        <v>#VALUE!</v>
      </c>
      <c r="IP16" t="e">
        <f>'SurveyRpt_20150223 (1)'!AC98+"h_l!TZ"</f>
        <v>#VALUE!</v>
      </c>
      <c r="IQ16" t="e">
        <f>'SurveyRpt_20150223 (1)'!AD98+"h_l!T["</f>
        <v>#VALUE!</v>
      </c>
      <c r="IR16" t="e">
        <f>'SurveyRpt_20150223 (1)'!AE98+"h_l!T\"</f>
        <v>#VALUE!</v>
      </c>
      <c r="IS16" t="e">
        <f>'SurveyRpt_20150223 (1)'!AF98+"h_l!T]"</f>
        <v>#VALUE!</v>
      </c>
      <c r="IT16" t="e">
        <f>'SurveyRpt_20150223 (1)'!AG98+"h_l!T^"</f>
        <v>#VALUE!</v>
      </c>
      <c r="IU16" t="e">
        <f>'SurveyRpt_20150223 (1)'!AH98+"h_l!T_"</f>
        <v>#VALUE!</v>
      </c>
      <c r="IV16" t="e">
        <f>'SurveyRpt_20150223 (1)'!AI98+"h_l!T`"</f>
        <v>#VALUE!</v>
      </c>
    </row>
    <row r="17" spans="6:256" x14ac:dyDescent="0.25">
      <c r="F17" t="e">
        <f>'SurveyRpt_20150223 (1)'!AJ98+"h_l!Ta"</f>
        <v>#VALUE!</v>
      </c>
      <c r="G17" t="e">
        <f>'SurveyRpt_20150223 (1)'!AK98+"h_l!Tb"</f>
        <v>#VALUE!</v>
      </c>
      <c r="H17" t="e">
        <f>'SurveyRpt_20150223 (1)'!AL98+"h_l!Tc"</f>
        <v>#VALUE!</v>
      </c>
      <c r="I17" t="e">
        <f>'SurveyRpt_20150223 (1)'!AM98+"h_l!Td"</f>
        <v>#VALUE!</v>
      </c>
      <c r="J17" t="e">
        <f>'SurveyRpt_20150223 (1)'!AN98+"h_l!Te"</f>
        <v>#VALUE!</v>
      </c>
      <c r="K17" t="e">
        <f>'SurveyRpt_20150223 (1)'!A99+"h_l!Tf"</f>
        <v>#VALUE!</v>
      </c>
      <c r="L17" s="25" t="e">
        <f>'SurveyRpt_20150223 (1)'!B99+"h_l!Tg"</f>
        <v>#VALUE!</v>
      </c>
      <c r="M17" t="e">
        <f>'SurveyRpt_20150223 (1)'!C99+"h_l!Th"</f>
        <v>#VALUE!</v>
      </c>
      <c r="N17" s="25" t="e">
        <f>'SurveyRpt_20150223 (1)'!D99+"h_l!Ti"</f>
        <v>#VALUE!</v>
      </c>
      <c r="O17" t="e">
        <f>'SurveyRpt_20150223 (1)'!E99+"h_l!Tj"</f>
        <v>#VALUE!</v>
      </c>
      <c r="P17" t="e">
        <f>'SurveyRpt_20150223 (1)'!F99+"h_l!Tk"</f>
        <v>#VALUE!</v>
      </c>
      <c r="Q17" t="e">
        <f>'SurveyRpt_20150223 (1)'!G99+"h_l!Tl"</f>
        <v>#VALUE!</v>
      </c>
      <c r="R17" t="e">
        <f>'SurveyRpt_20150223 (1)'!H99+"h_l!Tm"</f>
        <v>#VALUE!</v>
      </c>
      <c r="S17" t="e">
        <f>'SurveyRpt_20150223 (1)'!I99+"h_l!Tn"</f>
        <v>#VALUE!</v>
      </c>
      <c r="T17" t="e">
        <f>'SurveyRpt_20150223 (1)'!J99+"h_l!To"</f>
        <v>#VALUE!</v>
      </c>
      <c r="U17" t="e">
        <f>'SurveyRpt_20150223 (1)'!K99+"h_l!Tp"</f>
        <v>#VALUE!</v>
      </c>
      <c r="V17" t="e">
        <f>'SurveyRpt_20150223 (1)'!L99+"h_l!Tq"</f>
        <v>#VALUE!</v>
      </c>
      <c r="W17" t="e">
        <f>'SurveyRpt_20150223 (1)'!M99+"h_l!Tr"</f>
        <v>#VALUE!</v>
      </c>
      <c r="X17" t="e">
        <f>'SurveyRpt_20150223 (1)'!N99+"h_l!Ts"</f>
        <v>#VALUE!</v>
      </c>
      <c r="Y17" t="e">
        <f>'SurveyRpt_20150223 (1)'!O99+"h_l!Tt"</f>
        <v>#VALUE!</v>
      </c>
      <c r="Z17" t="e">
        <f>'SurveyRpt_20150223 (1)'!P99+"h_l!Tu"</f>
        <v>#VALUE!</v>
      </c>
      <c r="AA17" t="e">
        <f>'SurveyRpt_20150223 (1)'!Q99+"h_l!Tv"</f>
        <v>#VALUE!</v>
      </c>
      <c r="AB17" t="e">
        <f>'SurveyRpt_20150223 (1)'!R99+"h_l!Tw"</f>
        <v>#VALUE!</v>
      </c>
      <c r="AC17" t="e">
        <f>'SurveyRpt_20150223 (1)'!S99+"h_l!Tx"</f>
        <v>#VALUE!</v>
      </c>
      <c r="AD17" t="e">
        <f>'SurveyRpt_20150223 (1)'!T99+"h_l!Ty"</f>
        <v>#VALUE!</v>
      </c>
      <c r="AE17" t="e">
        <f>'SurveyRpt_20150223 (1)'!U99+"h_l!Tz"</f>
        <v>#VALUE!</v>
      </c>
      <c r="AF17" t="e">
        <f>'SurveyRpt_20150223 (1)'!V99+"h_l!T{"</f>
        <v>#VALUE!</v>
      </c>
      <c r="AG17" t="e">
        <f>'SurveyRpt_20150223 (1)'!W99+"h_l!T|"</f>
        <v>#VALUE!</v>
      </c>
      <c r="AH17" t="e">
        <f>'SurveyRpt_20150223 (1)'!X99+"h_l!T}"</f>
        <v>#VALUE!</v>
      </c>
      <c r="AI17" t="e">
        <f>'SurveyRpt_20150223 (1)'!Y99+"h_l!T~"</f>
        <v>#VALUE!</v>
      </c>
      <c r="AJ17" t="e">
        <f>'SurveyRpt_20150223 (1)'!Z99+"h_l!U#"</f>
        <v>#VALUE!</v>
      </c>
      <c r="AK17" t="e">
        <f>'SurveyRpt_20150223 (1)'!AA99+"h_l!U$"</f>
        <v>#VALUE!</v>
      </c>
      <c r="AL17" t="e">
        <f>'SurveyRpt_20150223 (1)'!AB99+"h_l!U%"</f>
        <v>#VALUE!</v>
      </c>
      <c r="AM17" t="e">
        <f>'SurveyRpt_20150223 (1)'!AC99+"h_l!U&amp;"</f>
        <v>#VALUE!</v>
      </c>
      <c r="AN17" t="e">
        <f>'SurveyRpt_20150223 (1)'!AD99+"h_l!U'"</f>
        <v>#VALUE!</v>
      </c>
      <c r="AO17" t="e">
        <f>'SurveyRpt_20150223 (1)'!AE99+"h_l!U("</f>
        <v>#VALUE!</v>
      </c>
      <c r="AP17" t="e">
        <f>'SurveyRpt_20150223 (1)'!AF99+"h_l!U)"</f>
        <v>#VALUE!</v>
      </c>
      <c r="AQ17" t="e">
        <f>'SurveyRpt_20150223 (1)'!AG99+"h_l!U."</f>
        <v>#VALUE!</v>
      </c>
      <c r="AR17" t="e">
        <f>'SurveyRpt_20150223 (1)'!AH99+"h_l!U/"</f>
        <v>#VALUE!</v>
      </c>
      <c r="AS17" t="e">
        <f>'SurveyRpt_20150223 (1)'!AI99+"h_l!U0"</f>
        <v>#VALUE!</v>
      </c>
      <c r="AT17" t="e">
        <f>'SurveyRpt_20150223 (1)'!AJ99+"h_l!U1"</f>
        <v>#VALUE!</v>
      </c>
      <c r="AU17" t="e">
        <f>'SurveyRpt_20150223 (1)'!AK99+"h_l!U2"</f>
        <v>#VALUE!</v>
      </c>
      <c r="AV17" t="e">
        <f>'SurveyRpt_20150223 (1)'!AL99+"h_l!U3"</f>
        <v>#VALUE!</v>
      </c>
      <c r="AW17" t="e">
        <f>'SurveyRpt_20150223 (1)'!AM99+"h_l!U4"</f>
        <v>#VALUE!</v>
      </c>
      <c r="AX17" t="e">
        <f>'SurveyRpt_20150223 (1)'!AN99+"h_l!U5"</f>
        <v>#VALUE!</v>
      </c>
      <c r="AY17" t="e">
        <f>'SurveyRpt_20150223 (1)'!A100+"h_l!U6"</f>
        <v>#VALUE!</v>
      </c>
      <c r="AZ17" s="25" t="e">
        <f>'SurveyRpt_20150223 (1)'!B100+"h_l!U7"</f>
        <v>#VALUE!</v>
      </c>
      <c r="BA17" t="e">
        <f>'SurveyRpt_20150223 (1)'!C100+"h_l!U8"</f>
        <v>#VALUE!</v>
      </c>
      <c r="BB17" s="25" t="e">
        <f>'SurveyRpt_20150223 (1)'!D100+"h_l!U9"</f>
        <v>#VALUE!</v>
      </c>
      <c r="BC17" t="e">
        <f>'SurveyRpt_20150223 (1)'!E100+"h_l!U:"</f>
        <v>#VALUE!</v>
      </c>
      <c r="BD17" t="e">
        <f>'SurveyRpt_20150223 (1)'!F100+"h_l!U;"</f>
        <v>#VALUE!</v>
      </c>
      <c r="BE17" t="e">
        <f>'SurveyRpt_20150223 (1)'!G100+"h_l!U&lt;"</f>
        <v>#VALUE!</v>
      </c>
      <c r="BF17" t="e">
        <f>'SurveyRpt_20150223 (1)'!H100+"h_l!U="</f>
        <v>#VALUE!</v>
      </c>
      <c r="BG17" t="e">
        <f>'SurveyRpt_20150223 (1)'!I100+"h_l!U&gt;"</f>
        <v>#VALUE!</v>
      </c>
      <c r="BH17" t="e">
        <f>'SurveyRpt_20150223 (1)'!J100+"h_l!U?"</f>
        <v>#VALUE!</v>
      </c>
      <c r="BI17" t="e">
        <f>'SurveyRpt_20150223 (1)'!K100+"h_l!U@"</f>
        <v>#VALUE!</v>
      </c>
      <c r="BJ17" t="e">
        <f>'SurveyRpt_20150223 (1)'!L100+"h_l!UA"</f>
        <v>#VALUE!</v>
      </c>
      <c r="BK17" t="e">
        <f>'SurveyRpt_20150223 (1)'!M100+"h_l!UB"</f>
        <v>#VALUE!</v>
      </c>
      <c r="BL17" t="e">
        <f>'SurveyRpt_20150223 (1)'!N100+"h_l!UC"</f>
        <v>#VALUE!</v>
      </c>
      <c r="BM17" t="e">
        <f>'SurveyRpt_20150223 (1)'!O100+"h_l!UD"</f>
        <v>#VALUE!</v>
      </c>
      <c r="BN17" t="e">
        <f>'SurveyRpt_20150223 (1)'!P100+"h_l!UE"</f>
        <v>#VALUE!</v>
      </c>
      <c r="BO17" t="e">
        <f>'SurveyRpt_20150223 (1)'!Q100+"h_l!UF"</f>
        <v>#VALUE!</v>
      </c>
      <c r="BP17" t="e">
        <f>'SurveyRpt_20150223 (1)'!R100+"h_l!UG"</f>
        <v>#VALUE!</v>
      </c>
      <c r="BQ17" t="e">
        <f>'SurveyRpt_20150223 (1)'!S100+"h_l!UH"</f>
        <v>#VALUE!</v>
      </c>
      <c r="BR17" t="e">
        <f>'SurveyRpt_20150223 (1)'!T100+"h_l!UI"</f>
        <v>#VALUE!</v>
      </c>
      <c r="BS17" t="e">
        <f>'SurveyRpt_20150223 (1)'!U100+"h_l!UJ"</f>
        <v>#VALUE!</v>
      </c>
      <c r="BT17" t="e">
        <f>'SurveyRpt_20150223 (1)'!V100+"h_l!UK"</f>
        <v>#VALUE!</v>
      </c>
      <c r="BU17" t="e">
        <f>'SurveyRpt_20150223 (1)'!W100+"h_l!UL"</f>
        <v>#VALUE!</v>
      </c>
      <c r="BV17" t="e">
        <f>'SurveyRpt_20150223 (1)'!X100+"h_l!UM"</f>
        <v>#VALUE!</v>
      </c>
      <c r="BW17" t="e">
        <f>'SurveyRpt_20150223 (1)'!Y100+"h_l!UN"</f>
        <v>#VALUE!</v>
      </c>
      <c r="BX17" t="e">
        <f>'SurveyRpt_20150223 (1)'!Z100+"h_l!UO"</f>
        <v>#VALUE!</v>
      </c>
      <c r="BY17" t="e">
        <f>'SurveyRpt_20150223 (1)'!AA100+"h_l!UP"</f>
        <v>#VALUE!</v>
      </c>
      <c r="BZ17" t="e">
        <f>'SurveyRpt_20150223 (1)'!AB100+"h_l!UQ"</f>
        <v>#VALUE!</v>
      </c>
      <c r="CA17" t="e">
        <f>'SurveyRpt_20150223 (1)'!AC100+"h_l!UR"</f>
        <v>#VALUE!</v>
      </c>
      <c r="CB17" t="e">
        <f>'SurveyRpt_20150223 (1)'!AD100+"h_l!US"</f>
        <v>#VALUE!</v>
      </c>
      <c r="CC17" t="e">
        <f>'SurveyRpt_20150223 (1)'!AE100+"h_l!UT"</f>
        <v>#VALUE!</v>
      </c>
      <c r="CD17" t="e">
        <f>'SurveyRpt_20150223 (1)'!AF100+"h_l!UU"</f>
        <v>#VALUE!</v>
      </c>
      <c r="CE17" t="e">
        <f>'SurveyRpt_20150223 (1)'!AG100+"h_l!UV"</f>
        <v>#VALUE!</v>
      </c>
      <c r="CF17" t="e">
        <f>'SurveyRpt_20150223 (1)'!AH100+"h_l!UW"</f>
        <v>#VALUE!</v>
      </c>
      <c r="CG17" t="e">
        <f>'SurveyRpt_20150223 (1)'!AI100+"h_l!UX"</f>
        <v>#VALUE!</v>
      </c>
      <c r="CH17" t="e">
        <f>'SurveyRpt_20150223 (1)'!AJ100+"h_l!UY"</f>
        <v>#VALUE!</v>
      </c>
      <c r="CI17" t="e">
        <f>'SurveyRpt_20150223 (1)'!AK100+"h_l!UZ"</f>
        <v>#VALUE!</v>
      </c>
      <c r="CJ17" t="e">
        <f>'SurveyRpt_20150223 (1)'!AL100+"h_l!U["</f>
        <v>#VALUE!</v>
      </c>
      <c r="CK17" t="e">
        <f>'SurveyRpt_20150223 (1)'!AM100+"h_l!U\"</f>
        <v>#VALUE!</v>
      </c>
      <c r="CL17" t="e">
        <f>'SurveyRpt_20150223 (1)'!AN100+"h_l!U]"</f>
        <v>#VALUE!</v>
      </c>
      <c r="CM17" t="e">
        <f>'SurveyRpt_20150223 (1)'!A101+"h_l!U^"</f>
        <v>#VALUE!</v>
      </c>
      <c r="CN17" s="25" t="e">
        <f>'SurveyRpt_20150223 (1)'!B101+"h_l!U_"</f>
        <v>#VALUE!</v>
      </c>
      <c r="CO17" t="e">
        <f>'SurveyRpt_20150223 (1)'!C101+"h_l!U`"</f>
        <v>#VALUE!</v>
      </c>
      <c r="CP17" s="25" t="e">
        <f>'SurveyRpt_20150223 (1)'!D101+"h_l!Ua"</f>
        <v>#VALUE!</v>
      </c>
      <c r="CQ17" t="e">
        <f>'SurveyRpt_20150223 (1)'!E101+"h_l!Ub"</f>
        <v>#VALUE!</v>
      </c>
      <c r="CR17" t="e">
        <f>'SurveyRpt_20150223 (1)'!F101+"h_l!Uc"</f>
        <v>#VALUE!</v>
      </c>
      <c r="CS17" t="e">
        <f>'SurveyRpt_20150223 (1)'!G101+"h_l!Ud"</f>
        <v>#VALUE!</v>
      </c>
      <c r="CT17" t="e">
        <f>'SurveyRpt_20150223 (1)'!H101+"h_l!Ue"</f>
        <v>#VALUE!</v>
      </c>
      <c r="CU17" t="e">
        <f>'SurveyRpt_20150223 (1)'!I101+"h_l!Uf"</f>
        <v>#VALUE!</v>
      </c>
      <c r="CV17" t="e">
        <f>'SurveyRpt_20150223 (1)'!J101+"h_l!Ug"</f>
        <v>#VALUE!</v>
      </c>
      <c r="CW17" t="e">
        <f>'SurveyRpt_20150223 (1)'!K101+"h_l!Uh"</f>
        <v>#VALUE!</v>
      </c>
      <c r="CX17" t="e">
        <f>'SurveyRpt_20150223 (1)'!L101+"h_l!Ui"</f>
        <v>#VALUE!</v>
      </c>
      <c r="CY17" t="e">
        <f>'SurveyRpt_20150223 (1)'!M101+"h_l!Uj"</f>
        <v>#VALUE!</v>
      </c>
      <c r="CZ17" t="e">
        <f>'SurveyRpt_20150223 (1)'!N101+"h_l!Uk"</f>
        <v>#VALUE!</v>
      </c>
      <c r="DA17" t="e">
        <f>'SurveyRpt_20150223 (1)'!O101+"h_l!Ul"</f>
        <v>#VALUE!</v>
      </c>
      <c r="DB17" t="e">
        <f>'SurveyRpt_20150223 (1)'!P101+"h_l!Um"</f>
        <v>#VALUE!</v>
      </c>
      <c r="DC17" t="e">
        <f>'SurveyRpt_20150223 (1)'!Q101+"h_l!Un"</f>
        <v>#VALUE!</v>
      </c>
      <c r="DD17" t="e">
        <f>'SurveyRpt_20150223 (1)'!R101+"h_l!Uo"</f>
        <v>#VALUE!</v>
      </c>
      <c r="DE17" t="e">
        <f>'SurveyRpt_20150223 (1)'!S101+"h_l!Up"</f>
        <v>#VALUE!</v>
      </c>
      <c r="DF17" t="e">
        <f>'SurveyRpt_20150223 (1)'!T101+"h_l!Uq"</f>
        <v>#VALUE!</v>
      </c>
      <c r="DG17" t="e">
        <f>'SurveyRpt_20150223 (1)'!U101+"h_l!Ur"</f>
        <v>#VALUE!</v>
      </c>
      <c r="DH17" t="e">
        <f>'SurveyRpt_20150223 (1)'!V101+"h_l!Us"</f>
        <v>#VALUE!</v>
      </c>
      <c r="DI17" t="e">
        <f>'SurveyRpt_20150223 (1)'!W101+"h_l!Ut"</f>
        <v>#VALUE!</v>
      </c>
      <c r="DJ17" t="e">
        <f>'SurveyRpt_20150223 (1)'!X101+"h_l!Uu"</f>
        <v>#VALUE!</v>
      </c>
      <c r="DK17" t="e">
        <f>'SurveyRpt_20150223 (1)'!Y101+"h_l!Uv"</f>
        <v>#VALUE!</v>
      </c>
      <c r="DL17" t="e">
        <f>'SurveyRpt_20150223 (1)'!Z101+"h_l!Uw"</f>
        <v>#VALUE!</v>
      </c>
      <c r="DM17" t="e">
        <f>'SurveyRpt_20150223 (1)'!AA101+"h_l!Ux"</f>
        <v>#VALUE!</v>
      </c>
      <c r="DN17" t="e">
        <f>'SurveyRpt_20150223 (1)'!AB101+"h_l!Uy"</f>
        <v>#VALUE!</v>
      </c>
      <c r="DO17" t="e">
        <f>'SurveyRpt_20150223 (1)'!AC101+"h_l!Uz"</f>
        <v>#VALUE!</v>
      </c>
      <c r="DP17" t="e">
        <f>'SurveyRpt_20150223 (1)'!AD101+"h_l!U{"</f>
        <v>#VALUE!</v>
      </c>
      <c r="DQ17" t="e">
        <f>'SurveyRpt_20150223 (1)'!AE101+"h_l!U|"</f>
        <v>#VALUE!</v>
      </c>
      <c r="DR17" t="e">
        <f>'SurveyRpt_20150223 (1)'!AF101+"h_l!U}"</f>
        <v>#VALUE!</v>
      </c>
      <c r="DS17" t="e">
        <f>'SurveyRpt_20150223 (1)'!AG101+"h_l!U~"</f>
        <v>#VALUE!</v>
      </c>
      <c r="DT17" t="e">
        <f>'SurveyRpt_20150223 (1)'!AH101+"h_l!V#"</f>
        <v>#VALUE!</v>
      </c>
      <c r="DU17" t="e">
        <f>'SurveyRpt_20150223 (1)'!AI101+"h_l!V$"</f>
        <v>#VALUE!</v>
      </c>
      <c r="DV17" t="e">
        <f>'SurveyRpt_20150223 (1)'!AJ101+"h_l!V%"</f>
        <v>#VALUE!</v>
      </c>
      <c r="DW17" t="e">
        <f>'SurveyRpt_20150223 (1)'!AK101+"h_l!V&amp;"</f>
        <v>#VALUE!</v>
      </c>
      <c r="DX17" t="e">
        <f>'SurveyRpt_20150223 (1)'!AL101+"h_l!V'"</f>
        <v>#VALUE!</v>
      </c>
      <c r="DY17" t="e">
        <f>'SurveyRpt_20150223 (1)'!AM101+"h_l!V("</f>
        <v>#VALUE!</v>
      </c>
      <c r="DZ17" t="e">
        <f>'SurveyRpt_20150223 (1)'!AN101+"h_l!V)"</f>
        <v>#VALUE!</v>
      </c>
      <c r="EA17" t="e">
        <f>'SurveyRpt_20150223 (1)'!A102+"h_l!V."</f>
        <v>#VALUE!</v>
      </c>
      <c r="EB17" s="25" t="e">
        <f>'SurveyRpt_20150223 (1)'!B102+"h_l!V/"</f>
        <v>#VALUE!</v>
      </c>
      <c r="EC17" t="e">
        <f>'SurveyRpt_20150223 (1)'!C102+"h_l!V0"</f>
        <v>#VALUE!</v>
      </c>
      <c r="ED17" s="25" t="e">
        <f>'SurveyRpt_20150223 (1)'!D102+"h_l!V1"</f>
        <v>#VALUE!</v>
      </c>
      <c r="EE17" t="e">
        <f>'SurveyRpt_20150223 (1)'!E102+"h_l!V2"</f>
        <v>#VALUE!</v>
      </c>
      <c r="EF17" t="e">
        <f>'SurveyRpt_20150223 (1)'!F102+"h_l!V3"</f>
        <v>#VALUE!</v>
      </c>
      <c r="EG17" t="e">
        <f>'SurveyRpt_20150223 (1)'!G102+"h_l!V4"</f>
        <v>#VALUE!</v>
      </c>
      <c r="EH17" t="e">
        <f>'SurveyRpt_20150223 (1)'!H102+"h_l!V5"</f>
        <v>#VALUE!</v>
      </c>
      <c r="EI17" t="e">
        <f>'SurveyRpt_20150223 (1)'!I102+"h_l!V6"</f>
        <v>#VALUE!</v>
      </c>
      <c r="EJ17" t="e">
        <f>'SurveyRpt_20150223 (1)'!J102+"h_l!V7"</f>
        <v>#VALUE!</v>
      </c>
      <c r="EK17" t="e">
        <f>'SurveyRpt_20150223 (1)'!K102+"h_l!V8"</f>
        <v>#VALUE!</v>
      </c>
      <c r="EL17" t="e">
        <f>'SurveyRpt_20150223 (1)'!L102+"h_l!V9"</f>
        <v>#VALUE!</v>
      </c>
      <c r="EM17" t="e">
        <f>'SurveyRpt_20150223 (1)'!M102+"h_l!V:"</f>
        <v>#VALUE!</v>
      </c>
      <c r="EN17" t="e">
        <f>'SurveyRpt_20150223 (1)'!N102+"h_l!V;"</f>
        <v>#VALUE!</v>
      </c>
      <c r="EO17" t="e">
        <f>'SurveyRpt_20150223 (1)'!O102+"h_l!V&lt;"</f>
        <v>#VALUE!</v>
      </c>
      <c r="EP17" t="e">
        <f>'SurveyRpt_20150223 (1)'!P102+"h_l!V="</f>
        <v>#VALUE!</v>
      </c>
      <c r="EQ17" t="e">
        <f>'SurveyRpt_20150223 (1)'!Q102+"h_l!V&gt;"</f>
        <v>#VALUE!</v>
      </c>
      <c r="ER17" t="e">
        <f>'SurveyRpt_20150223 (1)'!R102+"h_l!V?"</f>
        <v>#VALUE!</v>
      </c>
      <c r="ES17" t="e">
        <f>'SurveyRpt_20150223 (1)'!S102+"h_l!V@"</f>
        <v>#VALUE!</v>
      </c>
      <c r="ET17" t="e">
        <f>'SurveyRpt_20150223 (1)'!T102+"h_l!VA"</f>
        <v>#VALUE!</v>
      </c>
      <c r="EU17" t="e">
        <f>'SurveyRpt_20150223 (1)'!U102+"h_l!VB"</f>
        <v>#VALUE!</v>
      </c>
      <c r="EV17" t="e">
        <f>'SurveyRpt_20150223 (1)'!V102+"h_l!VC"</f>
        <v>#VALUE!</v>
      </c>
      <c r="EW17" t="e">
        <f>'SurveyRpt_20150223 (1)'!W102+"h_l!VD"</f>
        <v>#VALUE!</v>
      </c>
      <c r="EX17" t="e">
        <f>'SurveyRpt_20150223 (1)'!X102+"h_l!VE"</f>
        <v>#VALUE!</v>
      </c>
      <c r="EY17" t="e">
        <f>'SurveyRpt_20150223 (1)'!Y102+"h_l!VF"</f>
        <v>#VALUE!</v>
      </c>
      <c r="EZ17" t="e">
        <f>'SurveyRpt_20150223 (1)'!Z102+"h_l!VG"</f>
        <v>#VALUE!</v>
      </c>
      <c r="FA17" t="e">
        <f>'SurveyRpt_20150223 (1)'!AA102+"h_l!VH"</f>
        <v>#VALUE!</v>
      </c>
      <c r="FB17" t="e">
        <f>'SurveyRpt_20150223 (1)'!AB102+"h_l!VI"</f>
        <v>#VALUE!</v>
      </c>
      <c r="FC17" t="e">
        <f>'SurveyRpt_20150223 (1)'!AC102+"h_l!VJ"</f>
        <v>#VALUE!</v>
      </c>
      <c r="FD17" t="e">
        <f>'SurveyRpt_20150223 (1)'!AD102+"h_l!VK"</f>
        <v>#VALUE!</v>
      </c>
      <c r="FE17" t="e">
        <f>'SurveyRpt_20150223 (1)'!AE102+"h_l!VL"</f>
        <v>#VALUE!</v>
      </c>
      <c r="FF17" t="e">
        <f>'SurveyRpt_20150223 (1)'!AF102+"h_l!VM"</f>
        <v>#VALUE!</v>
      </c>
      <c r="FG17" t="e">
        <f>'SurveyRpt_20150223 (1)'!AG102+"h_l!VN"</f>
        <v>#VALUE!</v>
      </c>
      <c r="FH17" t="e">
        <f>'SurveyRpt_20150223 (1)'!AH102+"h_l!VO"</f>
        <v>#VALUE!</v>
      </c>
      <c r="FI17" t="e">
        <f>'SurveyRpt_20150223 (1)'!AI102+"h_l!VP"</f>
        <v>#VALUE!</v>
      </c>
      <c r="FJ17" t="e">
        <f>'SurveyRpt_20150223 (1)'!AJ102+"h_l!VQ"</f>
        <v>#VALUE!</v>
      </c>
      <c r="FK17" t="e">
        <f>'SurveyRpt_20150223 (1)'!AK102+"h_l!VR"</f>
        <v>#VALUE!</v>
      </c>
      <c r="FL17" t="e">
        <f>'SurveyRpt_20150223 (1)'!AL102+"h_l!VS"</f>
        <v>#VALUE!</v>
      </c>
      <c r="FM17" t="e">
        <f>'SurveyRpt_20150223 (1)'!AM102+"h_l!VT"</f>
        <v>#VALUE!</v>
      </c>
      <c r="FN17" t="e">
        <f>'SurveyRpt_20150223 (1)'!AN102+"h_l!VU"</f>
        <v>#VALUE!</v>
      </c>
      <c r="FO17" t="e">
        <f>'SurveyRpt_20150223 (1)'!A103+"h_l!VV"</f>
        <v>#VALUE!</v>
      </c>
      <c r="FP17" s="25" t="e">
        <f>'SurveyRpt_20150223 (1)'!B103+"h_l!VW"</f>
        <v>#VALUE!</v>
      </c>
      <c r="FQ17" t="e">
        <f>'SurveyRpt_20150223 (1)'!C103+"h_l!VX"</f>
        <v>#VALUE!</v>
      </c>
      <c r="FR17" s="25" t="e">
        <f>'SurveyRpt_20150223 (1)'!D103+"h_l!VY"</f>
        <v>#VALUE!</v>
      </c>
      <c r="FS17" t="e">
        <f>'SurveyRpt_20150223 (1)'!E103+"h_l!VZ"</f>
        <v>#VALUE!</v>
      </c>
      <c r="FT17" t="e">
        <f>'SurveyRpt_20150223 (1)'!F103+"h_l!V["</f>
        <v>#VALUE!</v>
      </c>
      <c r="FU17" t="e">
        <f>'SurveyRpt_20150223 (1)'!G103+"h_l!V\"</f>
        <v>#VALUE!</v>
      </c>
      <c r="FV17" t="e">
        <f>'SurveyRpt_20150223 (1)'!H103+"h_l!V]"</f>
        <v>#VALUE!</v>
      </c>
      <c r="FW17" t="e">
        <f>'SurveyRpt_20150223 (1)'!I103+"h_l!V^"</f>
        <v>#VALUE!</v>
      </c>
      <c r="FX17" t="e">
        <f>'SurveyRpt_20150223 (1)'!J103+"h_l!V_"</f>
        <v>#VALUE!</v>
      </c>
      <c r="FY17" t="e">
        <f>'SurveyRpt_20150223 (1)'!K103+"h_l!V`"</f>
        <v>#VALUE!</v>
      </c>
      <c r="FZ17" t="e">
        <f>'SurveyRpt_20150223 (1)'!L103+"h_l!Va"</f>
        <v>#VALUE!</v>
      </c>
      <c r="GA17" t="e">
        <f>'SurveyRpt_20150223 (1)'!M103+"h_l!Vb"</f>
        <v>#VALUE!</v>
      </c>
      <c r="GB17" t="e">
        <f>'SurveyRpt_20150223 (1)'!N103+"h_l!Vc"</f>
        <v>#VALUE!</v>
      </c>
      <c r="GC17" t="e">
        <f>'SurveyRpt_20150223 (1)'!O103+"h_l!Vd"</f>
        <v>#VALUE!</v>
      </c>
      <c r="GD17" t="e">
        <f>'SurveyRpt_20150223 (1)'!P103+"h_l!Ve"</f>
        <v>#VALUE!</v>
      </c>
      <c r="GE17" t="e">
        <f>'SurveyRpt_20150223 (1)'!Q103+"h_l!Vf"</f>
        <v>#VALUE!</v>
      </c>
      <c r="GF17" t="e">
        <f>'SurveyRpt_20150223 (1)'!R103+"h_l!Vg"</f>
        <v>#VALUE!</v>
      </c>
      <c r="GG17" t="e">
        <f>'SurveyRpt_20150223 (1)'!S103+"h_l!Vh"</f>
        <v>#VALUE!</v>
      </c>
      <c r="GH17" t="e">
        <f>'SurveyRpt_20150223 (1)'!T103+"h_l!Vi"</f>
        <v>#VALUE!</v>
      </c>
      <c r="GI17" t="e">
        <f>'SurveyRpt_20150223 (1)'!U103+"h_l!Vj"</f>
        <v>#VALUE!</v>
      </c>
      <c r="GJ17" t="e">
        <f>'SurveyRpt_20150223 (1)'!V103+"h_l!Vk"</f>
        <v>#VALUE!</v>
      </c>
      <c r="GK17" t="e">
        <f>'SurveyRpt_20150223 (1)'!W103+"h_l!Vl"</f>
        <v>#VALUE!</v>
      </c>
      <c r="GL17" t="e">
        <f>'SurveyRpt_20150223 (1)'!X103+"h_l!Vm"</f>
        <v>#VALUE!</v>
      </c>
      <c r="GM17" t="e">
        <f>'SurveyRpt_20150223 (1)'!Y103+"h_l!Vn"</f>
        <v>#VALUE!</v>
      </c>
      <c r="GN17" t="e">
        <f>'SurveyRpt_20150223 (1)'!Z103+"h_l!Vo"</f>
        <v>#VALUE!</v>
      </c>
      <c r="GO17" t="e">
        <f>'SurveyRpt_20150223 (1)'!AA103+"h_l!Vp"</f>
        <v>#VALUE!</v>
      </c>
      <c r="GP17" t="e">
        <f>'SurveyRpt_20150223 (1)'!AB103+"h_l!Vq"</f>
        <v>#VALUE!</v>
      </c>
      <c r="GQ17" t="e">
        <f>'SurveyRpt_20150223 (1)'!AC103+"h_l!Vr"</f>
        <v>#VALUE!</v>
      </c>
      <c r="GR17" t="e">
        <f>'SurveyRpt_20150223 (1)'!AD103+"h_l!Vs"</f>
        <v>#VALUE!</v>
      </c>
      <c r="GS17" t="e">
        <f>'SurveyRpt_20150223 (1)'!AE103+"h_l!Vt"</f>
        <v>#VALUE!</v>
      </c>
      <c r="GT17" t="e">
        <f>'SurveyRpt_20150223 (1)'!AF103+"h_l!Vu"</f>
        <v>#VALUE!</v>
      </c>
      <c r="GU17" t="e">
        <f>'SurveyRpt_20150223 (1)'!AG103+"h_l!Vv"</f>
        <v>#VALUE!</v>
      </c>
      <c r="GV17" t="e">
        <f>'SurveyRpt_20150223 (1)'!AH103+"h_l!Vw"</f>
        <v>#VALUE!</v>
      </c>
      <c r="GW17" t="e">
        <f>'SurveyRpt_20150223 (1)'!AI103+"h_l!Vx"</f>
        <v>#VALUE!</v>
      </c>
      <c r="GX17" t="e">
        <f>'SurveyRpt_20150223 (1)'!AJ103+"h_l!Vy"</f>
        <v>#VALUE!</v>
      </c>
      <c r="GY17" t="e">
        <f>'SurveyRpt_20150223 (1)'!AK103+"h_l!Vz"</f>
        <v>#VALUE!</v>
      </c>
      <c r="GZ17" t="e">
        <f>'SurveyRpt_20150223 (1)'!AL103+"h_l!V{"</f>
        <v>#VALUE!</v>
      </c>
      <c r="HA17" t="e">
        <f>'SurveyRpt_20150223 (1)'!AM103+"h_l!V|"</f>
        <v>#VALUE!</v>
      </c>
      <c r="HB17" t="e">
        <f>'SurveyRpt_20150223 (1)'!AN103+"h_l!V}"</f>
        <v>#VALUE!</v>
      </c>
      <c r="HC17" t="e">
        <f>'SurveyRpt_20150223 (1)'!A104+"h_l!V~"</f>
        <v>#VALUE!</v>
      </c>
      <c r="HD17" s="25" t="e">
        <f>'SurveyRpt_20150223 (1)'!B104+"h_l!W#"</f>
        <v>#VALUE!</v>
      </c>
      <c r="HE17" t="e">
        <f>'SurveyRpt_20150223 (1)'!C104+"h_l!W$"</f>
        <v>#VALUE!</v>
      </c>
      <c r="HF17" s="25" t="e">
        <f>'SurveyRpt_20150223 (1)'!D104+"h_l!W%"</f>
        <v>#VALUE!</v>
      </c>
      <c r="HG17" t="e">
        <f>'SurveyRpt_20150223 (1)'!E104+"h_l!W&amp;"</f>
        <v>#VALUE!</v>
      </c>
      <c r="HH17" t="e">
        <f>'SurveyRpt_20150223 (1)'!F104+"h_l!W'"</f>
        <v>#VALUE!</v>
      </c>
      <c r="HI17" t="e">
        <f>'SurveyRpt_20150223 (1)'!G104+"h_l!W("</f>
        <v>#VALUE!</v>
      </c>
      <c r="HJ17" t="e">
        <f>'SurveyRpt_20150223 (1)'!H104+"h_l!W)"</f>
        <v>#VALUE!</v>
      </c>
      <c r="HK17" t="e">
        <f>'SurveyRpt_20150223 (1)'!I104+"h_l!W."</f>
        <v>#VALUE!</v>
      </c>
      <c r="HL17" t="e">
        <f>'SurveyRpt_20150223 (1)'!J104+"h_l!W/"</f>
        <v>#VALUE!</v>
      </c>
      <c r="HM17" t="e">
        <f>'SurveyRpt_20150223 (1)'!K104+"h_l!W0"</f>
        <v>#VALUE!</v>
      </c>
      <c r="HN17" t="e">
        <f>'SurveyRpt_20150223 (1)'!L104+"h_l!W1"</f>
        <v>#VALUE!</v>
      </c>
      <c r="HO17" t="e">
        <f>'SurveyRpt_20150223 (1)'!M104+"h_l!W2"</f>
        <v>#VALUE!</v>
      </c>
      <c r="HP17" t="e">
        <f>'SurveyRpt_20150223 (1)'!N104+"h_l!W3"</f>
        <v>#VALUE!</v>
      </c>
      <c r="HQ17" t="e">
        <f>'SurveyRpt_20150223 (1)'!O104+"h_l!W4"</f>
        <v>#VALUE!</v>
      </c>
      <c r="HR17" t="e">
        <f>'SurveyRpt_20150223 (1)'!P104+"h_l!W5"</f>
        <v>#VALUE!</v>
      </c>
      <c r="HS17" t="e">
        <f>'SurveyRpt_20150223 (1)'!Q104+"h_l!W6"</f>
        <v>#VALUE!</v>
      </c>
      <c r="HT17" t="e">
        <f>'SurveyRpt_20150223 (1)'!R104+"h_l!W7"</f>
        <v>#VALUE!</v>
      </c>
      <c r="HU17" t="e">
        <f>'SurveyRpt_20150223 (1)'!S104+"h_l!W8"</f>
        <v>#VALUE!</v>
      </c>
      <c r="HV17" t="e">
        <f>'SurveyRpt_20150223 (1)'!T104+"h_l!W9"</f>
        <v>#VALUE!</v>
      </c>
      <c r="HW17" t="e">
        <f>'SurveyRpt_20150223 (1)'!U104+"h_l!W:"</f>
        <v>#VALUE!</v>
      </c>
      <c r="HX17" t="e">
        <f>'SurveyRpt_20150223 (1)'!V104+"h_l!W;"</f>
        <v>#VALUE!</v>
      </c>
      <c r="HY17" t="e">
        <f>'SurveyRpt_20150223 (1)'!W104+"h_l!W&lt;"</f>
        <v>#VALUE!</v>
      </c>
      <c r="HZ17" t="e">
        <f>'SurveyRpt_20150223 (1)'!X104+"h_l!W="</f>
        <v>#VALUE!</v>
      </c>
      <c r="IA17" t="e">
        <f>'SurveyRpt_20150223 (1)'!Y104+"h_l!W&gt;"</f>
        <v>#VALUE!</v>
      </c>
      <c r="IB17" t="e">
        <f>'SurveyRpt_20150223 (1)'!Z104+"h_l!W?"</f>
        <v>#VALUE!</v>
      </c>
      <c r="IC17" t="e">
        <f>'SurveyRpt_20150223 (1)'!AA104+"h_l!W@"</f>
        <v>#VALUE!</v>
      </c>
      <c r="ID17" t="e">
        <f>'SurveyRpt_20150223 (1)'!AB104+"h_l!WA"</f>
        <v>#VALUE!</v>
      </c>
      <c r="IE17" t="e">
        <f>'SurveyRpt_20150223 (1)'!AC104+"h_l!WB"</f>
        <v>#VALUE!</v>
      </c>
      <c r="IF17" t="e">
        <f>'SurveyRpt_20150223 (1)'!AD104+"h_l!WC"</f>
        <v>#VALUE!</v>
      </c>
      <c r="IG17" t="e">
        <f>'SurveyRpt_20150223 (1)'!AE104+"h_l!WD"</f>
        <v>#VALUE!</v>
      </c>
      <c r="IH17" t="e">
        <f>'SurveyRpt_20150223 (1)'!AF104+"h_l!WE"</f>
        <v>#VALUE!</v>
      </c>
      <c r="II17" t="e">
        <f>'SurveyRpt_20150223 (1)'!AG104+"h_l!WF"</f>
        <v>#VALUE!</v>
      </c>
      <c r="IJ17" t="e">
        <f>'SurveyRpt_20150223 (1)'!AH104+"h_l!WG"</f>
        <v>#VALUE!</v>
      </c>
      <c r="IK17" t="e">
        <f>'SurveyRpt_20150223 (1)'!AI104+"h_l!WH"</f>
        <v>#VALUE!</v>
      </c>
      <c r="IL17" t="e">
        <f>'SurveyRpt_20150223 (1)'!AJ104+"h_l!WI"</f>
        <v>#VALUE!</v>
      </c>
      <c r="IM17" t="e">
        <f>'SurveyRpt_20150223 (1)'!AK104+"h_l!WJ"</f>
        <v>#VALUE!</v>
      </c>
      <c r="IN17" t="e">
        <f>'SurveyRpt_20150223 (1)'!AL104+"h_l!WK"</f>
        <v>#VALUE!</v>
      </c>
      <c r="IO17" t="e">
        <f>'SurveyRpt_20150223 (1)'!AM104+"h_l!WL"</f>
        <v>#VALUE!</v>
      </c>
      <c r="IP17" t="e">
        <f>'SurveyRpt_20150223 (1)'!AN104+"h_l!WM"</f>
        <v>#VALUE!</v>
      </c>
      <c r="IQ17" t="e">
        <f>'SurveyRpt_20150223 (1)'!A105+"h_l!WN"</f>
        <v>#VALUE!</v>
      </c>
      <c r="IR17" s="25" t="e">
        <f>'SurveyRpt_20150223 (1)'!B105+"h_l!WO"</f>
        <v>#VALUE!</v>
      </c>
      <c r="IS17" t="e">
        <f>'SurveyRpt_20150223 (1)'!C105+"h_l!WP"</f>
        <v>#VALUE!</v>
      </c>
      <c r="IT17" s="25" t="e">
        <f>'SurveyRpt_20150223 (1)'!D105+"h_l!WQ"</f>
        <v>#VALUE!</v>
      </c>
      <c r="IU17" t="e">
        <f>'SurveyRpt_20150223 (1)'!E105+"h_l!WR"</f>
        <v>#VALUE!</v>
      </c>
      <c r="IV17" t="e">
        <f>'SurveyRpt_20150223 (1)'!F105+"h_l!WS"</f>
        <v>#VALUE!</v>
      </c>
    </row>
    <row r="18" spans="6:256" x14ac:dyDescent="0.25">
      <c r="F18" t="e">
        <f>'SurveyRpt_20150223 (1)'!G105+"h_l!WT"</f>
        <v>#VALUE!</v>
      </c>
      <c r="G18" t="e">
        <f>'SurveyRpt_20150223 (1)'!H105+"h_l!WU"</f>
        <v>#VALUE!</v>
      </c>
      <c r="H18" t="e">
        <f>'SurveyRpt_20150223 (1)'!I105+"h_l!WV"</f>
        <v>#VALUE!</v>
      </c>
      <c r="I18" t="e">
        <f>'SurveyRpt_20150223 (1)'!J105+"h_l!WW"</f>
        <v>#VALUE!</v>
      </c>
      <c r="J18" t="e">
        <f>'SurveyRpt_20150223 (1)'!K105+"h_l!WX"</f>
        <v>#VALUE!</v>
      </c>
      <c r="K18" t="e">
        <f>'SurveyRpt_20150223 (1)'!L105+"h_l!WY"</f>
        <v>#VALUE!</v>
      </c>
      <c r="L18" t="e">
        <f>'SurveyRpt_20150223 (1)'!M105+"h_l!WZ"</f>
        <v>#VALUE!</v>
      </c>
      <c r="M18" t="e">
        <f>'SurveyRpt_20150223 (1)'!N105+"h_l!W["</f>
        <v>#VALUE!</v>
      </c>
      <c r="N18" t="e">
        <f>'SurveyRpt_20150223 (1)'!O105+"h_l!W\"</f>
        <v>#VALUE!</v>
      </c>
      <c r="O18" t="e">
        <f>'SurveyRpt_20150223 (1)'!P105+"h_l!W]"</f>
        <v>#VALUE!</v>
      </c>
      <c r="P18" t="e">
        <f>'SurveyRpt_20150223 (1)'!Q105+"h_l!W^"</f>
        <v>#VALUE!</v>
      </c>
      <c r="Q18" t="e">
        <f>'SurveyRpt_20150223 (1)'!R105+"h_l!W_"</f>
        <v>#VALUE!</v>
      </c>
      <c r="R18" t="e">
        <f>'SurveyRpt_20150223 (1)'!S105+"h_l!W`"</f>
        <v>#VALUE!</v>
      </c>
      <c r="S18" t="e">
        <f>'SurveyRpt_20150223 (1)'!T105+"h_l!Wa"</f>
        <v>#VALUE!</v>
      </c>
      <c r="T18" t="e">
        <f>'SurveyRpt_20150223 (1)'!U105+"h_l!Wb"</f>
        <v>#VALUE!</v>
      </c>
      <c r="U18" t="e">
        <f>'SurveyRpt_20150223 (1)'!V105+"h_l!Wc"</f>
        <v>#VALUE!</v>
      </c>
      <c r="V18" t="e">
        <f>'SurveyRpt_20150223 (1)'!W105+"h_l!Wd"</f>
        <v>#VALUE!</v>
      </c>
      <c r="W18" t="e">
        <f>'SurveyRpt_20150223 (1)'!X105+"h_l!We"</f>
        <v>#VALUE!</v>
      </c>
      <c r="X18" t="e">
        <f>'SurveyRpt_20150223 (1)'!Y105+"h_l!Wf"</f>
        <v>#VALUE!</v>
      </c>
      <c r="Y18" t="e">
        <f>'SurveyRpt_20150223 (1)'!Z105+"h_l!Wg"</f>
        <v>#VALUE!</v>
      </c>
      <c r="Z18" t="e">
        <f>'SurveyRpt_20150223 (1)'!AA105+"h_l!Wh"</f>
        <v>#VALUE!</v>
      </c>
      <c r="AA18" t="e">
        <f>'SurveyRpt_20150223 (1)'!AB105+"h_l!Wi"</f>
        <v>#VALUE!</v>
      </c>
      <c r="AB18" t="e">
        <f>'SurveyRpt_20150223 (1)'!AC105+"h_l!Wj"</f>
        <v>#VALUE!</v>
      </c>
      <c r="AC18" t="e">
        <f>'SurveyRpt_20150223 (1)'!AD105+"h_l!Wk"</f>
        <v>#VALUE!</v>
      </c>
      <c r="AD18" t="e">
        <f>'SurveyRpt_20150223 (1)'!AE105+"h_l!Wl"</f>
        <v>#VALUE!</v>
      </c>
      <c r="AE18" t="e">
        <f>'SurveyRpt_20150223 (1)'!AF105+"h_l!Wm"</f>
        <v>#VALUE!</v>
      </c>
      <c r="AF18" t="e">
        <f>'SurveyRpt_20150223 (1)'!AG105+"h_l!Wn"</f>
        <v>#VALUE!</v>
      </c>
      <c r="AG18" t="e">
        <f>'SurveyRpt_20150223 (1)'!AH105+"h_l!Wo"</f>
        <v>#VALUE!</v>
      </c>
      <c r="AH18" t="e">
        <f>'SurveyRpt_20150223 (1)'!AI105+"h_l!Wp"</f>
        <v>#VALUE!</v>
      </c>
      <c r="AI18" t="e">
        <f>'SurveyRpt_20150223 (1)'!AJ105+"h_l!Wq"</f>
        <v>#VALUE!</v>
      </c>
      <c r="AJ18" t="e">
        <f>'SurveyRpt_20150223 (1)'!AK105+"h_l!Wr"</f>
        <v>#VALUE!</v>
      </c>
      <c r="AK18" t="e">
        <f>'SurveyRpt_20150223 (1)'!AL105+"h_l!Ws"</f>
        <v>#VALUE!</v>
      </c>
      <c r="AL18" t="e">
        <f>'SurveyRpt_20150223 (1)'!AM105+"h_l!Wt"</f>
        <v>#VALUE!</v>
      </c>
      <c r="AM18" t="e">
        <f>'SurveyRpt_20150223 (1)'!AN105+"h_l!Wu"</f>
        <v>#VALUE!</v>
      </c>
      <c r="AN18" t="e">
        <f>'SurveyRpt_20150223 (1)'!A106+"h_l!Wv"</f>
        <v>#VALUE!</v>
      </c>
      <c r="AO18" s="25" t="e">
        <f>'SurveyRpt_20150223 (1)'!B106+"h_l!Ww"</f>
        <v>#VALUE!</v>
      </c>
      <c r="AP18" t="e">
        <f>'SurveyRpt_20150223 (1)'!C106+"h_l!Wx"</f>
        <v>#VALUE!</v>
      </c>
      <c r="AQ18" s="25" t="e">
        <f>'SurveyRpt_20150223 (1)'!D106+"h_l!Wy"</f>
        <v>#VALUE!</v>
      </c>
      <c r="AR18" t="e">
        <f>'SurveyRpt_20150223 (1)'!E106+"h_l!Wz"</f>
        <v>#VALUE!</v>
      </c>
      <c r="AS18" t="e">
        <f>'SurveyRpt_20150223 (1)'!F106+"h_l!W{"</f>
        <v>#VALUE!</v>
      </c>
      <c r="AT18" t="e">
        <f>'SurveyRpt_20150223 (1)'!G106+"h_l!W|"</f>
        <v>#VALUE!</v>
      </c>
      <c r="AU18" t="e">
        <f>'SurveyRpt_20150223 (1)'!H106+"h_l!W}"</f>
        <v>#VALUE!</v>
      </c>
      <c r="AV18" t="e">
        <f>'SurveyRpt_20150223 (1)'!I106+"h_l!W~"</f>
        <v>#VALUE!</v>
      </c>
      <c r="AW18" t="e">
        <f>'SurveyRpt_20150223 (1)'!J106+"h_l!X#"</f>
        <v>#VALUE!</v>
      </c>
      <c r="AX18" t="e">
        <f>'SurveyRpt_20150223 (1)'!K106+"h_l!X$"</f>
        <v>#VALUE!</v>
      </c>
      <c r="AY18" t="e">
        <f>'SurveyRpt_20150223 (1)'!L106+"h_l!X%"</f>
        <v>#VALUE!</v>
      </c>
      <c r="AZ18" t="e">
        <f>'SurveyRpt_20150223 (1)'!M106+"h_l!X&amp;"</f>
        <v>#VALUE!</v>
      </c>
      <c r="BA18" t="e">
        <f>'SurveyRpt_20150223 (1)'!N106+"h_l!X'"</f>
        <v>#VALUE!</v>
      </c>
      <c r="BB18" t="e">
        <f>'SurveyRpt_20150223 (1)'!O106+"h_l!X("</f>
        <v>#VALUE!</v>
      </c>
      <c r="BC18" t="e">
        <f>'SurveyRpt_20150223 (1)'!P106+"h_l!X)"</f>
        <v>#VALUE!</v>
      </c>
      <c r="BD18" t="e">
        <f>'SurveyRpt_20150223 (1)'!Q106+"h_l!X."</f>
        <v>#VALUE!</v>
      </c>
      <c r="BE18" t="e">
        <f>'SurveyRpt_20150223 (1)'!R106+"h_l!X/"</f>
        <v>#VALUE!</v>
      </c>
      <c r="BF18" t="e">
        <f>'SurveyRpt_20150223 (1)'!S106+"h_l!X0"</f>
        <v>#VALUE!</v>
      </c>
      <c r="BG18" t="e">
        <f>'SurveyRpt_20150223 (1)'!T106+"h_l!X1"</f>
        <v>#VALUE!</v>
      </c>
      <c r="BH18" t="e">
        <f>'SurveyRpt_20150223 (1)'!U106+"h_l!X2"</f>
        <v>#VALUE!</v>
      </c>
      <c r="BI18" t="e">
        <f>'SurveyRpt_20150223 (1)'!V106+"h_l!X3"</f>
        <v>#VALUE!</v>
      </c>
      <c r="BJ18" t="e">
        <f>'SurveyRpt_20150223 (1)'!W106+"h_l!X4"</f>
        <v>#VALUE!</v>
      </c>
      <c r="BK18" t="e">
        <f>'SurveyRpt_20150223 (1)'!X106+"h_l!X5"</f>
        <v>#VALUE!</v>
      </c>
      <c r="BL18" t="e">
        <f>'SurveyRpt_20150223 (1)'!Y106+"h_l!X6"</f>
        <v>#VALUE!</v>
      </c>
      <c r="BM18" t="e">
        <f>'SurveyRpt_20150223 (1)'!Z106+"h_l!X7"</f>
        <v>#VALUE!</v>
      </c>
      <c r="BN18" t="e">
        <f>'SurveyRpt_20150223 (1)'!AA106+"h_l!X8"</f>
        <v>#VALUE!</v>
      </c>
      <c r="BO18" t="e">
        <f>'SurveyRpt_20150223 (1)'!AB106+"h_l!X9"</f>
        <v>#VALUE!</v>
      </c>
      <c r="BP18" t="e">
        <f>'SurveyRpt_20150223 (1)'!AC106+"h_l!X:"</f>
        <v>#VALUE!</v>
      </c>
      <c r="BQ18" t="e">
        <f>'SurveyRpt_20150223 (1)'!AD106+"h_l!X;"</f>
        <v>#VALUE!</v>
      </c>
      <c r="BR18" t="e">
        <f>'SurveyRpt_20150223 (1)'!AE106+"h_l!X&lt;"</f>
        <v>#VALUE!</v>
      </c>
      <c r="BS18" t="e">
        <f>'SurveyRpt_20150223 (1)'!AF106+"h_l!X="</f>
        <v>#VALUE!</v>
      </c>
      <c r="BT18" t="e">
        <f>'SurveyRpt_20150223 (1)'!AG106+"h_l!X&gt;"</f>
        <v>#VALUE!</v>
      </c>
      <c r="BU18" t="e">
        <f>'SurveyRpt_20150223 (1)'!AH106+"h_l!X?"</f>
        <v>#VALUE!</v>
      </c>
      <c r="BV18" t="e">
        <f>'SurveyRpt_20150223 (1)'!AI106+"h_l!X@"</f>
        <v>#VALUE!</v>
      </c>
      <c r="BW18" t="e">
        <f>'SurveyRpt_20150223 (1)'!AJ106+"h_l!XA"</f>
        <v>#VALUE!</v>
      </c>
      <c r="BX18" t="e">
        <f>'SurveyRpt_20150223 (1)'!AK106+"h_l!XB"</f>
        <v>#VALUE!</v>
      </c>
      <c r="BY18" t="e">
        <f>'SurveyRpt_20150223 (1)'!AL106+"h_l!XC"</f>
        <v>#VALUE!</v>
      </c>
      <c r="BZ18" t="e">
        <f>'SurveyRpt_20150223 (1)'!AM106+"h_l!XD"</f>
        <v>#VALUE!</v>
      </c>
      <c r="CA18" t="e">
        <f>'SurveyRpt_20150223 (1)'!AN106+"h_l!XE"</f>
        <v>#VALUE!</v>
      </c>
      <c r="CB18" t="e">
        <f>'SurveyRpt_20150223 (1)'!A107+"h_l!XF"</f>
        <v>#VALUE!</v>
      </c>
      <c r="CC18" s="25" t="e">
        <f>'SurveyRpt_20150223 (1)'!B107+"h_l!XG"</f>
        <v>#VALUE!</v>
      </c>
      <c r="CD18" t="e">
        <f>'SurveyRpt_20150223 (1)'!C107+"h_l!XH"</f>
        <v>#VALUE!</v>
      </c>
      <c r="CE18" s="25" t="e">
        <f>'SurveyRpt_20150223 (1)'!D107+"h_l!XI"</f>
        <v>#VALUE!</v>
      </c>
      <c r="CF18" t="e">
        <f>'SurveyRpt_20150223 (1)'!E107+"h_l!XJ"</f>
        <v>#VALUE!</v>
      </c>
      <c r="CG18" t="e">
        <f>'SurveyRpt_20150223 (1)'!F107+"h_l!XK"</f>
        <v>#VALUE!</v>
      </c>
      <c r="CH18" t="e">
        <f>'SurveyRpt_20150223 (1)'!G107+"h_l!XL"</f>
        <v>#VALUE!</v>
      </c>
      <c r="CI18" t="e">
        <f>'SurveyRpt_20150223 (1)'!H107+"h_l!XM"</f>
        <v>#VALUE!</v>
      </c>
      <c r="CJ18" t="e">
        <f>'SurveyRpt_20150223 (1)'!I107+"h_l!XN"</f>
        <v>#VALUE!</v>
      </c>
      <c r="CK18" t="e">
        <f>'SurveyRpt_20150223 (1)'!J107+"h_l!XO"</f>
        <v>#VALUE!</v>
      </c>
      <c r="CL18" t="e">
        <f>'SurveyRpt_20150223 (1)'!K107+"h_l!XP"</f>
        <v>#VALUE!</v>
      </c>
      <c r="CM18" t="e">
        <f>'SurveyRpt_20150223 (1)'!L107+"h_l!XQ"</f>
        <v>#VALUE!</v>
      </c>
      <c r="CN18" t="e">
        <f>'SurveyRpt_20150223 (1)'!M107+"h_l!XR"</f>
        <v>#VALUE!</v>
      </c>
      <c r="CO18" t="e">
        <f>'SurveyRpt_20150223 (1)'!N107+"h_l!XS"</f>
        <v>#VALUE!</v>
      </c>
      <c r="CP18" t="e">
        <f>'SurveyRpt_20150223 (1)'!O107+"h_l!XT"</f>
        <v>#VALUE!</v>
      </c>
      <c r="CQ18" t="e">
        <f>'SurveyRpt_20150223 (1)'!P107+"h_l!XU"</f>
        <v>#VALUE!</v>
      </c>
      <c r="CR18" t="e">
        <f>'SurveyRpt_20150223 (1)'!Q107+"h_l!XV"</f>
        <v>#VALUE!</v>
      </c>
      <c r="CS18" t="e">
        <f>'SurveyRpt_20150223 (1)'!R107+"h_l!XW"</f>
        <v>#VALUE!</v>
      </c>
      <c r="CT18" t="e">
        <f>'SurveyRpt_20150223 (1)'!S107+"h_l!XX"</f>
        <v>#VALUE!</v>
      </c>
      <c r="CU18" t="e">
        <f>'SurveyRpt_20150223 (1)'!T107+"h_l!XY"</f>
        <v>#VALUE!</v>
      </c>
      <c r="CV18" t="e">
        <f>'SurveyRpt_20150223 (1)'!U107+"h_l!XZ"</f>
        <v>#VALUE!</v>
      </c>
      <c r="CW18" t="e">
        <f>'SurveyRpt_20150223 (1)'!V107+"h_l!X["</f>
        <v>#VALUE!</v>
      </c>
      <c r="CX18" t="e">
        <f>'SurveyRpt_20150223 (1)'!W107+"h_l!X\"</f>
        <v>#VALUE!</v>
      </c>
      <c r="CY18" t="e">
        <f>'SurveyRpt_20150223 (1)'!X107+"h_l!X]"</f>
        <v>#VALUE!</v>
      </c>
      <c r="CZ18" t="e">
        <f>'SurveyRpt_20150223 (1)'!Y107+"h_l!X^"</f>
        <v>#VALUE!</v>
      </c>
      <c r="DA18" t="e">
        <f>'SurveyRpt_20150223 (1)'!Z107+"h_l!X_"</f>
        <v>#VALUE!</v>
      </c>
      <c r="DB18" t="e">
        <f>'SurveyRpt_20150223 (1)'!AA107+"h_l!X`"</f>
        <v>#VALUE!</v>
      </c>
      <c r="DC18" t="e">
        <f>'SurveyRpt_20150223 (1)'!AB107+"h_l!Xa"</f>
        <v>#VALUE!</v>
      </c>
      <c r="DD18" t="e">
        <f>'SurveyRpt_20150223 (1)'!AC107+"h_l!Xb"</f>
        <v>#VALUE!</v>
      </c>
      <c r="DE18" t="e">
        <f>'SurveyRpt_20150223 (1)'!AD107+"h_l!Xc"</f>
        <v>#VALUE!</v>
      </c>
      <c r="DF18" t="e">
        <f>'SurveyRpt_20150223 (1)'!AE107+"h_l!Xd"</f>
        <v>#VALUE!</v>
      </c>
      <c r="DG18" t="e">
        <f>'SurveyRpt_20150223 (1)'!AF107+"h_l!Xe"</f>
        <v>#VALUE!</v>
      </c>
      <c r="DH18" t="e">
        <f>'SurveyRpt_20150223 (1)'!AG107+"h_l!Xf"</f>
        <v>#VALUE!</v>
      </c>
      <c r="DI18" t="e">
        <f>'SurveyRpt_20150223 (1)'!AH107+"h_l!Xg"</f>
        <v>#VALUE!</v>
      </c>
      <c r="DJ18" t="e">
        <f>'SurveyRpt_20150223 (1)'!AI107+"h_l!Xh"</f>
        <v>#VALUE!</v>
      </c>
      <c r="DK18" t="e">
        <f>'SurveyRpt_20150223 (1)'!AJ107+"h_l!Xi"</f>
        <v>#VALUE!</v>
      </c>
      <c r="DL18" t="e">
        <f>'SurveyRpt_20150223 (1)'!AK107+"h_l!Xj"</f>
        <v>#VALUE!</v>
      </c>
      <c r="DM18" t="e">
        <f>'SurveyRpt_20150223 (1)'!AL107+"h_l!Xk"</f>
        <v>#VALUE!</v>
      </c>
      <c r="DN18" t="e">
        <f>'SurveyRpt_20150223 (1)'!AM107+"h_l!Xl"</f>
        <v>#VALUE!</v>
      </c>
      <c r="DO18" t="e">
        <f>'SurveyRpt_20150223 (1)'!AN107+"h_l!Xm"</f>
        <v>#VALUE!</v>
      </c>
      <c r="DP18" t="e">
        <f>'SurveyRpt_20150223 (1)'!A108+"h_l!Xn"</f>
        <v>#VALUE!</v>
      </c>
      <c r="DQ18" s="25" t="e">
        <f>'SurveyRpt_20150223 (1)'!B108+"h_l!Xo"</f>
        <v>#VALUE!</v>
      </c>
      <c r="DR18" t="e">
        <f>'SurveyRpt_20150223 (1)'!C108+"h_l!Xp"</f>
        <v>#VALUE!</v>
      </c>
      <c r="DS18" s="25" t="e">
        <f>'SurveyRpt_20150223 (1)'!D108+"h_l!Xq"</f>
        <v>#VALUE!</v>
      </c>
      <c r="DT18" t="e">
        <f>'SurveyRpt_20150223 (1)'!E108+"h_l!Xr"</f>
        <v>#VALUE!</v>
      </c>
      <c r="DU18" t="e">
        <f>'SurveyRpt_20150223 (1)'!F108+"h_l!Xs"</f>
        <v>#VALUE!</v>
      </c>
      <c r="DV18" t="e">
        <f>'SurveyRpt_20150223 (1)'!G108+"h_l!Xt"</f>
        <v>#VALUE!</v>
      </c>
      <c r="DW18" t="e">
        <f>'SurveyRpt_20150223 (1)'!H108+"h_l!Xu"</f>
        <v>#VALUE!</v>
      </c>
      <c r="DX18" t="e">
        <f>'SurveyRpt_20150223 (1)'!I108+"h_l!Xv"</f>
        <v>#VALUE!</v>
      </c>
      <c r="DY18" t="e">
        <f>'SurveyRpt_20150223 (1)'!J108+"h_l!Xw"</f>
        <v>#VALUE!</v>
      </c>
      <c r="DZ18" t="e">
        <f>'SurveyRpt_20150223 (1)'!K108+"h_l!Xx"</f>
        <v>#VALUE!</v>
      </c>
      <c r="EA18" t="e">
        <f>'SurveyRpt_20150223 (1)'!L108+"h_l!Xy"</f>
        <v>#VALUE!</v>
      </c>
      <c r="EB18" t="e">
        <f>'SurveyRpt_20150223 (1)'!M108+"h_l!Xz"</f>
        <v>#VALUE!</v>
      </c>
      <c r="EC18" t="e">
        <f>'SurveyRpt_20150223 (1)'!N108+"h_l!X{"</f>
        <v>#VALUE!</v>
      </c>
      <c r="ED18" t="e">
        <f>'SurveyRpt_20150223 (1)'!O108+"h_l!X|"</f>
        <v>#VALUE!</v>
      </c>
      <c r="EE18" t="e">
        <f>'SurveyRpt_20150223 (1)'!P108+"h_l!X}"</f>
        <v>#VALUE!</v>
      </c>
      <c r="EF18" t="e">
        <f>'SurveyRpt_20150223 (1)'!Q108+"h_l!X~"</f>
        <v>#VALUE!</v>
      </c>
      <c r="EG18" t="e">
        <f>'SurveyRpt_20150223 (1)'!R108+"h_l!Y#"</f>
        <v>#VALUE!</v>
      </c>
      <c r="EH18" t="e">
        <f>'SurveyRpt_20150223 (1)'!S108+"h_l!Y$"</f>
        <v>#VALUE!</v>
      </c>
      <c r="EI18" t="e">
        <f>'SurveyRpt_20150223 (1)'!T108+"h_l!Y%"</f>
        <v>#VALUE!</v>
      </c>
      <c r="EJ18" t="e">
        <f>'SurveyRpt_20150223 (1)'!U108+"h_l!Y&amp;"</f>
        <v>#VALUE!</v>
      </c>
      <c r="EK18" t="e">
        <f>'SurveyRpt_20150223 (1)'!V108+"h_l!Y'"</f>
        <v>#VALUE!</v>
      </c>
      <c r="EL18" t="e">
        <f>'SurveyRpt_20150223 (1)'!W108+"h_l!Y("</f>
        <v>#VALUE!</v>
      </c>
      <c r="EM18" t="e">
        <f>'SurveyRpt_20150223 (1)'!X108+"h_l!Y)"</f>
        <v>#VALUE!</v>
      </c>
      <c r="EN18" t="e">
        <f>'SurveyRpt_20150223 (1)'!Y108+"h_l!Y."</f>
        <v>#VALUE!</v>
      </c>
      <c r="EO18" t="e">
        <f>'SurveyRpt_20150223 (1)'!Z108+"h_l!Y/"</f>
        <v>#VALUE!</v>
      </c>
      <c r="EP18" t="e">
        <f>'SurveyRpt_20150223 (1)'!AA108+"h_l!Y0"</f>
        <v>#VALUE!</v>
      </c>
      <c r="EQ18" t="e">
        <f>'SurveyRpt_20150223 (1)'!AB108+"h_l!Y1"</f>
        <v>#VALUE!</v>
      </c>
      <c r="ER18" t="e">
        <f>'SurveyRpt_20150223 (1)'!AC108+"h_l!Y2"</f>
        <v>#VALUE!</v>
      </c>
      <c r="ES18" t="e">
        <f>'SurveyRpt_20150223 (1)'!AD108+"h_l!Y3"</f>
        <v>#VALUE!</v>
      </c>
      <c r="ET18" t="e">
        <f>'SurveyRpt_20150223 (1)'!AE108+"h_l!Y4"</f>
        <v>#VALUE!</v>
      </c>
      <c r="EU18" t="e">
        <f>'SurveyRpt_20150223 (1)'!AF108+"h_l!Y5"</f>
        <v>#VALUE!</v>
      </c>
      <c r="EV18" t="e">
        <f>'SurveyRpt_20150223 (1)'!AG108+"h_l!Y6"</f>
        <v>#VALUE!</v>
      </c>
      <c r="EW18" t="e">
        <f>'SurveyRpt_20150223 (1)'!AH108+"h_l!Y7"</f>
        <v>#VALUE!</v>
      </c>
      <c r="EX18" t="e">
        <f>'SurveyRpt_20150223 (1)'!AI108+"h_l!Y8"</f>
        <v>#VALUE!</v>
      </c>
      <c r="EY18" t="e">
        <f>'SurveyRpt_20150223 (1)'!AJ108+"h_l!Y9"</f>
        <v>#VALUE!</v>
      </c>
      <c r="EZ18" t="e">
        <f>'SurveyRpt_20150223 (1)'!AK108+"h_l!Y:"</f>
        <v>#VALUE!</v>
      </c>
      <c r="FA18" t="e">
        <f>'SurveyRpt_20150223 (1)'!AL108+"h_l!Y;"</f>
        <v>#VALUE!</v>
      </c>
      <c r="FB18" t="e">
        <f>'SurveyRpt_20150223 (1)'!AM108+"h_l!Y&lt;"</f>
        <v>#VALUE!</v>
      </c>
      <c r="FC18" t="e">
        <f>'SurveyRpt_20150223 (1)'!AN108+"h_l!Y="</f>
        <v>#VALUE!</v>
      </c>
      <c r="FD18" t="e">
        <f>'SurveyRpt_20150223 (1)'!A109+"h_l!Y&gt;"</f>
        <v>#VALUE!</v>
      </c>
      <c r="FE18" s="25" t="e">
        <f>'SurveyRpt_20150223 (1)'!B109+"h_l!Y?"</f>
        <v>#VALUE!</v>
      </c>
      <c r="FF18" t="e">
        <f>'SurveyRpt_20150223 (1)'!C109+"h_l!Y@"</f>
        <v>#VALUE!</v>
      </c>
      <c r="FG18" s="25" t="e">
        <f>'SurveyRpt_20150223 (1)'!D109+"h_l!YA"</f>
        <v>#VALUE!</v>
      </c>
      <c r="FH18" t="e">
        <f>'SurveyRpt_20150223 (1)'!E109+"h_l!YB"</f>
        <v>#VALUE!</v>
      </c>
      <c r="FI18" t="e">
        <f>'SurveyRpt_20150223 (1)'!F109+"h_l!YC"</f>
        <v>#VALUE!</v>
      </c>
      <c r="FJ18" t="e">
        <f>'SurveyRpt_20150223 (1)'!G109+"h_l!YD"</f>
        <v>#VALUE!</v>
      </c>
      <c r="FK18" t="e">
        <f>'SurveyRpt_20150223 (1)'!H109+"h_l!YE"</f>
        <v>#VALUE!</v>
      </c>
      <c r="FL18" t="e">
        <f>'SurveyRpt_20150223 (1)'!I109+"h_l!YF"</f>
        <v>#VALUE!</v>
      </c>
      <c r="FM18" t="e">
        <f>'SurveyRpt_20150223 (1)'!J109+"h_l!YG"</f>
        <v>#VALUE!</v>
      </c>
      <c r="FN18" t="e">
        <f>'SurveyRpt_20150223 (1)'!K109+"h_l!YH"</f>
        <v>#VALUE!</v>
      </c>
      <c r="FO18" t="e">
        <f>'SurveyRpt_20150223 (1)'!L109+"h_l!YI"</f>
        <v>#VALUE!</v>
      </c>
      <c r="FP18" t="e">
        <f>'SurveyRpt_20150223 (1)'!M109+"h_l!YJ"</f>
        <v>#VALUE!</v>
      </c>
      <c r="FQ18" t="e">
        <f>'SurveyRpt_20150223 (1)'!N109+"h_l!YK"</f>
        <v>#VALUE!</v>
      </c>
      <c r="FR18" t="e">
        <f>'SurveyRpt_20150223 (1)'!O109+"h_l!YL"</f>
        <v>#VALUE!</v>
      </c>
      <c r="FS18" t="e">
        <f>'SurveyRpt_20150223 (1)'!P109+"h_l!YM"</f>
        <v>#VALUE!</v>
      </c>
      <c r="FT18" t="e">
        <f>'SurveyRpt_20150223 (1)'!Q109+"h_l!YN"</f>
        <v>#VALUE!</v>
      </c>
      <c r="FU18" t="e">
        <f>'SurveyRpt_20150223 (1)'!R109+"h_l!YO"</f>
        <v>#VALUE!</v>
      </c>
      <c r="FV18" t="e">
        <f>'SurveyRpt_20150223 (1)'!S109+"h_l!YP"</f>
        <v>#VALUE!</v>
      </c>
      <c r="FW18" t="e">
        <f>'SurveyRpt_20150223 (1)'!T109+"h_l!YQ"</f>
        <v>#VALUE!</v>
      </c>
      <c r="FX18" t="e">
        <f>'SurveyRpt_20150223 (1)'!U109+"h_l!YR"</f>
        <v>#VALUE!</v>
      </c>
      <c r="FY18" t="e">
        <f>'SurveyRpt_20150223 (1)'!V109+"h_l!YS"</f>
        <v>#VALUE!</v>
      </c>
      <c r="FZ18" t="e">
        <f>'SurveyRpt_20150223 (1)'!W109+"h_l!YT"</f>
        <v>#VALUE!</v>
      </c>
      <c r="GA18" t="e">
        <f>'SurveyRpt_20150223 (1)'!X109+"h_l!YU"</f>
        <v>#VALUE!</v>
      </c>
      <c r="GB18" t="e">
        <f>'SurveyRpt_20150223 (1)'!Y109+"h_l!YV"</f>
        <v>#VALUE!</v>
      </c>
      <c r="GC18" t="e">
        <f>'SurveyRpt_20150223 (1)'!Z109+"h_l!YW"</f>
        <v>#VALUE!</v>
      </c>
      <c r="GD18" t="e">
        <f>'SurveyRpt_20150223 (1)'!AA109+"h_l!YX"</f>
        <v>#VALUE!</v>
      </c>
      <c r="GE18" t="e">
        <f>'SurveyRpt_20150223 (1)'!AB109+"h_l!YY"</f>
        <v>#VALUE!</v>
      </c>
      <c r="GF18" t="e">
        <f>'SurveyRpt_20150223 (1)'!AC109+"h_l!YZ"</f>
        <v>#VALUE!</v>
      </c>
      <c r="GG18" t="e">
        <f>'SurveyRpt_20150223 (1)'!AD109+"h_l!Y["</f>
        <v>#VALUE!</v>
      </c>
      <c r="GH18" t="e">
        <f>'SurveyRpt_20150223 (1)'!AE109+"h_l!Y\"</f>
        <v>#VALUE!</v>
      </c>
      <c r="GI18" t="e">
        <f>'SurveyRpt_20150223 (1)'!AF109+"h_l!Y]"</f>
        <v>#VALUE!</v>
      </c>
      <c r="GJ18" t="e">
        <f>'SurveyRpt_20150223 (1)'!AG109+"h_l!Y^"</f>
        <v>#VALUE!</v>
      </c>
      <c r="GK18" t="e">
        <f>'SurveyRpt_20150223 (1)'!AH109+"h_l!Y_"</f>
        <v>#VALUE!</v>
      </c>
      <c r="GL18" t="e">
        <f>'SurveyRpt_20150223 (1)'!AI109+"h_l!Y`"</f>
        <v>#VALUE!</v>
      </c>
      <c r="GM18" t="e">
        <f>'SurveyRpt_20150223 (1)'!AJ109+"h_l!Ya"</f>
        <v>#VALUE!</v>
      </c>
      <c r="GN18" t="e">
        <f>'SurveyRpt_20150223 (1)'!AK109+"h_l!Yb"</f>
        <v>#VALUE!</v>
      </c>
      <c r="GO18" t="e">
        <f>'SurveyRpt_20150223 (1)'!AL109+"h_l!Yc"</f>
        <v>#VALUE!</v>
      </c>
      <c r="GP18" t="e">
        <f>'SurveyRpt_20150223 (1)'!AM109+"h_l!Yd"</f>
        <v>#VALUE!</v>
      </c>
      <c r="GQ18" t="e">
        <f>'SurveyRpt_20150223 (1)'!AN109+"h_l!Ye"</f>
        <v>#VALUE!</v>
      </c>
      <c r="GR18" t="e">
        <f>'SurveyRpt_20150223 (1)'!A110+"h_l!Yf"</f>
        <v>#VALUE!</v>
      </c>
      <c r="GS18" s="25" t="e">
        <f>'SurveyRpt_20150223 (1)'!B110+"h_l!Yg"</f>
        <v>#VALUE!</v>
      </c>
      <c r="GT18" t="e">
        <f>'SurveyRpt_20150223 (1)'!C110+"h_l!Yh"</f>
        <v>#VALUE!</v>
      </c>
      <c r="GU18" s="25" t="e">
        <f>'SurveyRpt_20150223 (1)'!D110+"h_l!Yi"</f>
        <v>#VALUE!</v>
      </c>
      <c r="GV18" t="e">
        <f>'SurveyRpt_20150223 (1)'!E110+"h_l!Yj"</f>
        <v>#VALUE!</v>
      </c>
      <c r="GW18" t="e">
        <f>'SurveyRpt_20150223 (1)'!F110+"h_l!Yk"</f>
        <v>#VALUE!</v>
      </c>
      <c r="GX18" t="e">
        <f>'SurveyRpt_20150223 (1)'!G110+"h_l!Yl"</f>
        <v>#VALUE!</v>
      </c>
      <c r="GY18" t="e">
        <f>'SurveyRpt_20150223 (1)'!H110+"h_l!Ym"</f>
        <v>#VALUE!</v>
      </c>
      <c r="GZ18" t="e">
        <f>'SurveyRpt_20150223 (1)'!I110+"h_l!Yn"</f>
        <v>#VALUE!</v>
      </c>
      <c r="HA18" t="e">
        <f>'SurveyRpt_20150223 (1)'!J110+"h_l!Yo"</f>
        <v>#VALUE!</v>
      </c>
      <c r="HB18" t="e">
        <f>'SurveyRpt_20150223 (1)'!K110+"h_l!Yp"</f>
        <v>#VALUE!</v>
      </c>
      <c r="HC18" t="e">
        <f>'SurveyRpt_20150223 (1)'!L110+"h_l!Yq"</f>
        <v>#VALUE!</v>
      </c>
      <c r="HD18" t="e">
        <f>'SurveyRpt_20150223 (1)'!M110+"h_l!Yr"</f>
        <v>#VALUE!</v>
      </c>
      <c r="HE18" t="e">
        <f>'SurveyRpt_20150223 (1)'!N110+"h_l!Ys"</f>
        <v>#VALUE!</v>
      </c>
      <c r="HF18" t="e">
        <f>'SurveyRpt_20150223 (1)'!O110+"h_l!Yt"</f>
        <v>#VALUE!</v>
      </c>
      <c r="HG18" t="e">
        <f>'SurveyRpt_20150223 (1)'!P110+"h_l!Yu"</f>
        <v>#VALUE!</v>
      </c>
      <c r="HH18" t="e">
        <f>'SurveyRpt_20150223 (1)'!Q110+"h_l!Yv"</f>
        <v>#VALUE!</v>
      </c>
      <c r="HI18" t="e">
        <f>'SurveyRpt_20150223 (1)'!R110+"h_l!Yw"</f>
        <v>#VALUE!</v>
      </c>
      <c r="HJ18" t="e">
        <f>'SurveyRpt_20150223 (1)'!S110+"h_l!Yx"</f>
        <v>#VALUE!</v>
      </c>
      <c r="HK18" t="e">
        <f>'SurveyRpt_20150223 (1)'!T110+"h_l!Yy"</f>
        <v>#VALUE!</v>
      </c>
      <c r="HL18" t="e">
        <f>'SurveyRpt_20150223 (1)'!U110+"h_l!Yz"</f>
        <v>#VALUE!</v>
      </c>
      <c r="HM18" t="e">
        <f>'SurveyRpt_20150223 (1)'!V110+"h_l!Y{"</f>
        <v>#VALUE!</v>
      </c>
      <c r="HN18" t="e">
        <f>'SurveyRpt_20150223 (1)'!W110+"h_l!Y|"</f>
        <v>#VALUE!</v>
      </c>
      <c r="HO18" t="e">
        <f>'SurveyRpt_20150223 (1)'!X110+"h_l!Y}"</f>
        <v>#VALUE!</v>
      </c>
      <c r="HP18" t="e">
        <f>'SurveyRpt_20150223 (1)'!Y110+"h_l!Y~"</f>
        <v>#VALUE!</v>
      </c>
      <c r="HQ18" t="e">
        <f>'SurveyRpt_20150223 (1)'!Z110+"h_l!Z#"</f>
        <v>#VALUE!</v>
      </c>
      <c r="HR18" t="e">
        <f>'SurveyRpt_20150223 (1)'!AA110+"h_l!Z$"</f>
        <v>#VALUE!</v>
      </c>
      <c r="HS18" t="e">
        <f>'SurveyRpt_20150223 (1)'!AB110+"h_l!Z%"</f>
        <v>#VALUE!</v>
      </c>
      <c r="HT18" t="e">
        <f>'SurveyRpt_20150223 (1)'!AC110+"h_l!Z&amp;"</f>
        <v>#VALUE!</v>
      </c>
      <c r="HU18" t="e">
        <f>'SurveyRpt_20150223 (1)'!AD110+"h_l!Z'"</f>
        <v>#VALUE!</v>
      </c>
      <c r="HV18" t="e">
        <f>'SurveyRpt_20150223 (1)'!AE110+"h_l!Z("</f>
        <v>#VALUE!</v>
      </c>
      <c r="HW18" t="e">
        <f>'SurveyRpt_20150223 (1)'!AF110+"h_l!Z)"</f>
        <v>#VALUE!</v>
      </c>
      <c r="HX18" t="e">
        <f>'SurveyRpt_20150223 (1)'!AG110+"h_l!Z."</f>
        <v>#VALUE!</v>
      </c>
      <c r="HY18" t="e">
        <f>'SurveyRpt_20150223 (1)'!AH110+"h_l!Z/"</f>
        <v>#VALUE!</v>
      </c>
      <c r="HZ18" t="e">
        <f>'SurveyRpt_20150223 (1)'!AI110+"h_l!Z0"</f>
        <v>#VALUE!</v>
      </c>
      <c r="IA18" t="e">
        <f>'SurveyRpt_20150223 (1)'!AJ110+"h_l!Z1"</f>
        <v>#VALUE!</v>
      </c>
      <c r="IB18" t="e">
        <f>'SurveyRpt_20150223 (1)'!AK110+"h_l!Z2"</f>
        <v>#VALUE!</v>
      </c>
      <c r="IC18" t="e">
        <f>'SurveyRpt_20150223 (1)'!AL110+"h_l!Z3"</f>
        <v>#VALUE!</v>
      </c>
      <c r="ID18" t="e">
        <f>'SurveyRpt_20150223 (1)'!AM110+"h_l!Z4"</f>
        <v>#VALUE!</v>
      </c>
      <c r="IE18" t="e">
        <f>'SurveyRpt_20150223 (1)'!AN110+"h_l!Z5"</f>
        <v>#VALUE!</v>
      </c>
      <c r="IF18" t="e">
        <f>'SurveyRpt_20150223 (1)'!A111+"h_l!Z6"</f>
        <v>#VALUE!</v>
      </c>
      <c r="IG18" s="25" t="e">
        <f>'SurveyRpt_20150223 (1)'!B111+"h_l!Z7"</f>
        <v>#VALUE!</v>
      </c>
      <c r="IH18" t="e">
        <f>'SurveyRpt_20150223 (1)'!C111+"h_l!Z8"</f>
        <v>#VALUE!</v>
      </c>
      <c r="II18" s="25" t="e">
        <f>'SurveyRpt_20150223 (1)'!D111+"h_l!Z9"</f>
        <v>#VALUE!</v>
      </c>
      <c r="IJ18" t="e">
        <f>'SurveyRpt_20150223 (1)'!E111+"h_l!Z:"</f>
        <v>#VALUE!</v>
      </c>
      <c r="IK18" t="e">
        <f>'SurveyRpt_20150223 (1)'!F111+"h_l!Z;"</f>
        <v>#VALUE!</v>
      </c>
      <c r="IL18" t="e">
        <f>'SurveyRpt_20150223 (1)'!G111+"h_l!Z&lt;"</f>
        <v>#VALUE!</v>
      </c>
      <c r="IM18" t="e">
        <f>'SurveyRpt_20150223 (1)'!H111+"h_l!Z="</f>
        <v>#VALUE!</v>
      </c>
      <c r="IN18" t="e">
        <f>'SurveyRpt_20150223 (1)'!I111+"h_l!Z&gt;"</f>
        <v>#VALUE!</v>
      </c>
      <c r="IO18" t="e">
        <f>'SurveyRpt_20150223 (1)'!J111+"h_l!Z?"</f>
        <v>#VALUE!</v>
      </c>
      <c r="IP18" t="e">
        <f>'SurveyRpt_20150223 (1)'!K111+"h_l!Z@"</f>
        <v>#VALUE!</v>
      </c>
      <c r="IQ18" t="e">
        <f>'SurveyRpt_20150223 (1)'!L111+"h_l!ZA"</f>
        <v>#VALUE!</v>
      </c>
      <c r="IR18" t="e">
        <f>'SurveyRpt_20150223 (1)'!M111+"h_l!ZB"</f>
        <v>#VALUE!</v>
      </c>
      <c r="IS18" t="e">
        <f>'SurveyRpt_20150223 (1)'!N111+"h_l!ZC"</f>
        <v>#VALUE!</v>
      </c>
      <c r="IT18" t="e">
        <f>'SurveyRpt_20150223 (1)'!O111+"h_l!ZD"</f>
        <v>#VALUE!</v>
      </c>
      <c r="IU18" t="e">
        <f>'SurveyRpt_20150223 (1)'!P111+"h_l!ZE"</f>
        <v>#VALUE!</v>
      </c>
      <c r="IV18" t="e">
        <f>'SurveyRpt_20150223 (1)'!Q111+"h_l!ZF"</f>
        <v>#VALUE!</v>
      </c>
    </row>
    <row r="19" spans="6:256" x14ac:dyDescent="0.25">
      <c r="F19" t="e">
        <f>'SurveyRpt_20150223 (1)'!R111+"h_l!ZG"</f>
        <v>#VALUE!</v>
      </c>
      <c r="G19" t="e">
        <f>'SurveyRpt_20150223 (1)'!S111+"h_l!ZH"</f>
        <v>#VALUE!</v>
      </c>
      <c r="H19" t="e">
        <f>'SurveyRpt_20150223 (1)'!T111+"h_l!ZI"</f>
        <v>#VALUE!</v>
      </c>
      <c r="I19" t="e">
        <f>'SurveyRpt_20150223 (1)'!U111+"h_l!ZJ"</f>
        <v>#VALUE!</v>
      </c>
      <c r="J19" t="e">
        <f>'SurveyRpt_20150223 (1)'!V111+"h_l!ZK"</f>
        <v>#VALUE!</v>
      </c>
      <c r="K19" t="e">
        <f>'SurveyRpt_20150223 (1)'!W111+"h_l!ZL"</f>
        <v>#VALUE!</v>
      </c>
      <c r="L19" t="e">
        <f>'SurveyRpt_20150223 (1)'!X111+"h_l!ZM"</f>
        <v>#VALUE!</v>
      </c>
      <c r="M19" t="e">
        <f>'SurveyRpt_20150223 (1)'!Y111+"h_l!ZN"</f>
        <v>#VALUE!</v>
      </c>
      <c r="N19" t="e">
        <f>'SurveyRpt_20150223 (1)'!Z111+"h_l!ZO"</f>
        <v>#VALUE!</v>
      </c>
      <c r="O19" t="e">
        <f>'SurveyRpt_20150223 (1)'!AA111+"h_l!ZP"</f>
        <v>#VALUE!</v>
      </c>
      <c r="P19" t="e">
        <f>'SurveyRpt_20150223 (1)'!AB111+"h_l!ZQ"</f>
        <v>#VALUE!</v>
      </c>
      <c r="Q19" t="e">
        <f>'SurveyRpt_20150223 (1)'!AC111+"h_l!ZR"</f>
        <v>#VALUE!</v>
      </c>
      <c r="R19" t="e">
        <f>'SurveyRpt_20150223 (1)'!AD111+"h_l!ZS"</f>
        <v>#VALUE!</v>
      </c>
      <c r="S19" t="e">
        <f>'SurveyRpt_20150223 (1)'!AE111+"h_l!ZT"</f>
        <v>#VALUE!</v>
      </c>
      <c r="T19" t="e">
        <f>'SurveyRpt_20150223 (1)'!AF111+"h_l!ZU"</f>
        <v>#VALUE!</v>
      </c>
      <c r="U19" t="e">
        <f>'SurveyRpt_20150223 (1)'!AG111+"h_l!ZV"</f>
        <v>#VALUE!</v>
      </c>
      <c r="V19" t="e">
        <f>'SurveyRpt_20150223 (1)'!AH111+"h_l!ZW"</f>
        <v>#VALUE!</v>
      </c>
      <c r="W19" t="e">
        <f>'SurveyRpt_20150223 (1)'!AI111+"h_l!ZX"</f>
        <v>#VALUE!</v>
      </c>
      <c r="X19" t="e">
        <f>'SurveyRpt_20150223 (1)'!AJ111+"h_l!ZY"</f>
        <v>#VALUE!</v>
      </c>
      <c r="Y19" t="e">
        <f>'SurveyRpt_20150223 (1)'!AK111+"h_l!ZZ"</f>
        <v>#VALUE!</v>
      </c>
      <c r="Z19" t="e">
        <f>'SurveyRpt_20150223 (1)'!AL111+"h_l!Z["</f>
        <v>#VALUE!</v>
      </c>
      <c r="AA19" t="e">
        <f>'SurveyRpt_20150223 (1)'!AM111+"h_l!Z\"</f>
        <v>#VALUE!</v>
      </c>
      <c r="AB19" t="e">
        <f>'SurveyRpt_20150223 (1)'!AN111+"h_l!Z]"</f>
        <v>#VALUE!</v>
      </c>
      <c r="AC19" t="e">
        <f>'SurveyRpt_20150223 (1)'!A112+"h_l!Z^"</f>
        <v>#VALUE!</v>
      </c>
      <c r="AD19" s="25" t="e">
        <f>'SurveyRpt_20150223 (1)'!B112+"h_l!Z_"</f>
        <v>#VALUE!</v>
      </c>
      <c r="AE19" t="e">
        <f>'SurveyRpt_20150223 (1)'!C112+"h_l!Z`"</f>
        <v>#VALUE!</v>
      </c>
      <c r="AF19" s="25" t="e">
        <f>'SurveyRpt_20150223 (1)'!D112+"h_l!Za"</f>
        <v>#VALUE!</v>
      </c>
      <c r="AG19" t="e">
        <f>'SurveyRpt_20150223 (1)'!E112+"h_l!Zb"</f>
        <v>#VALUE!</v>
      </c>
      <c r="AH19" t="e">
        <f>'SurveyRpt_20150223 (1)'!F112+"h_l!Zc"</f>
        <v>#VALUE!</v>
      </c>
      <c r="AI19" t="e">
        <f>'SurveyRpt_20150223 (1)'!G112+"h_l!Zd"</f>
        <v>#VALUE!</v>
      </c>
      <c r="AJ19" t="e">
        <f>'SurveyRpt_20150223 (1)'!H112+"h_l!Ze"</f>
        <v>#VALUE!</v>
      </c>
      <c r="AK19" t="e">
        <f>'SurveyRpt_20150223 (1)'!I112+"h_l!Zf"</f>
        <v>#VALUE!</v>
      </c>
      <c r="AL19" t="e">
        <f>'SurveyRpt_20150223 (1)'!J112+"h_l!Zg"</f>
        <v>#VALUE!</v>
      </c>
      <c r="AM19" t="e">
        <f>'SurveyRpt_20150223 (1)'!K112+"h_l!Zh"</f>
        <v>#VALUE!</v>
      </c>
      <c r="AN19" t="e">
        <f>'SurveyRpt_20150223 (1)'!L112+"h_l!Zi"</f>
        <v>#VALUE!</v>
      </c>
      <c r="AO19" t="e">
        <f>'SurveyRpt_20150223 (1)'!M112+"h_l!Zj"</f>
        <v>#VALUE!</v>
      </c>
      <c r="AP19" t="e">
        <f>'SurveyRpt_20150223 (1)'!N112+"h_l!Zk"</f>
        <v>#VALUE!</v>
      </c>
      <c r="AQ19" t="e">
        <f>'SurveyRpt_20150223 (1)'!O112+"h_l!Zl"</f>
        <v>#VALUE!</v>
      </c>
      <c r="AR19" t="e">
        <f>'SurveyRpt_20150223 (1)'!P112+"h_l!Zm"</f>
        <v>#VALUE!</v>
      </c>
      <c r="AS19" t="e">
        <f>'SurveyRpt_20150223 (1)'!Q112+"h_l!Zn"</f>
        <v>#VALUE!</v>
      </c>
      <c r="AT19" t="e">
        <f>'SurveyRpt_20150223 (1)'!R112+"h_l!Zo"</f>
        <v>#VALUE!</v>
      </c>
      <c r="AU19" t="e">
        <f>'SurveyRpt_20150223 (1)'!S112+"h_l!Zp"</f>
        <v>#VALUE!</v>
      </c>
      <c r="AV19" t="e">
        <f>'SurveyRpt_20150223 (1)'!T112+"h_l!Zq"</f>
        <v>#VALUE!</v>
      </c>
      <c r="AW19" t="e">
        <f>'SurveyRpt_20150223 (1)'!U112+"h_l!Zr"</f>
        <v>#VALUE!</v>
      </c>
      <c r="AX19" t="e">
        <f>'SurveyRpt_20150223 (1)'!V112+"h_l!Zs"</f>
        <v>#VALUE!</v>
      </c>
      <c r="AY19" t="e">
        <f>'SurveyRpt_20150223 (1)'!W112+"h_l!Zt"</f>
        <v>#VALUE!</v>
      </c>
      <c r="AZ19" t="e">
        <f>'SurveyRpt_20150223 (1)'!X112+"h_l!Zu"</f>
        <v>#VALUE!</v>
      </c>
      <c r="BA19" t="e">
        <f>'SurveyRpt_20150223 (1)'!Y112+"h_l!Zv"</f>
        <v>#VALUE!</v>
      </c>
      <c r="BB19" t="e">
        <f>'SurveyRpt_20150223 (1)'!Z112+"h_l!Zw"</f>
        <v>#VALUE!</v>
      </c>
      <c r="BC19" t="e">
        <f>'SurveyRpt_20150223 (1)'!AA112+"h_l!Zx"</f>
        <v>#VALUE!</v>
      </c>
      <c r="BD19" t="e">
        <f>'SurveyRpt_20150223 (1)'!AB112+"h_l!Zy"</f>
        <v>#VALUE!</v>
      </c>
      <c r="BE19" t="e">
        <f>'SurveyRpt_20150223 (1)'!AC112+"h_l!Zz"</f>
        <v>#VALUE!</v>
      </c>
      <c r="BF19" t="e">
        <f>'SurveyRpt_20150223 (1)'!AD112+"h_l!Z{"</f>
        <v>#VALUE!</v>
      </c>
      <c r="BG19" t="e">
        <f>'SurveyRpt_20150223 (1)'!AE112+"h_l!Z|"</f>
        <v>#VALUE!</v>
      </c>
      <c r="BH19" t="e">
        <f>'SurveyRpt_20150223 (1)'!AF112+"h_l!Z}"</f>
        <v>#VALUE!</v>
      </c>
      <c r="BI19" t="e">
        <f>'SurveyRpt_20150223 (1)'!AG112+"h_l!Z~"</f>
        <v>#VALUE!</v>
      </c>
      <c r="BJ19" t="e">
        <f>'SurveyRpt_20150223 (1)'!AH112+"h_l![#"</f>
        <v>#VALUE!</v>
      </c>
      <c r="BK19" t="e">
        <f>'SurveyRpt_20150223 (1)'!AI112+"h_l![$"</f>
        <v>#VALUE!</v>
      </c>
      <c r="BL19" t="e">
        <f>'SurveyRpt_20150223 (1)'!AJ112+"h_l![%"</f>
        <v>#VALUE!</v>
      </c>
      <c r="BM19" t="e">
        <f>'SurveyRpt_20150223 (1)'!AK112+"h_l![&amp;"</f>
        <v>#VALUE!</v>
      </c>
      <c r="BN19" t="e">
        <f>'SurveyRpt_20150223 (1)'!AL112+"h_l!['"</f>
        <v>#VALUE!</v>
      </c>
      <c r="BO19" t="e">
        <f>'SurveyRpt_20150223 (1)'!AM112+"h_l![("</f>
        <v>#VALUE!</v>
      </c>
      <c r="BP19" t="e">
        <f>'SurveyRpt_20150223 (1)'!AN112+"h_l![)"</f>
        <v>#VALUE!</v>
      </c>
      <c r="BQ19" t="e">
        <f>'SurveyRpt_20150223 (1)'!A113+"h_l![."</f>
        <v>#VALUE!</v>
      </c>
      <c r="BR19" s="25" t="e">
        <f>'SurveyRpt_20150223 (1)'!B113+"h_l![/"</f>
        <v>#VALUE!</v>
      </c>
      <c r="BS19" t="e">
        <f>'SurveyRpt_20150223 (1)'!C113+"h_l![0"</f>
        <v>#VALUE!</v>
      </c>
      <c r="BT19" s="25" t="e">
        <f>'SurveyRpt_20150223 (1)'!D113+"h_l![1"</f>
        <v>#VALUE!</v>
      </c>
      <c r="BU19" t="e">
        <f>'SurveyRpt_20150223 (1)'!E113+"h_l![2"</f>
        <v>#VALUE!</v>
      </c>
      <c r="BV19" t="e">
        <f>'SurveyRpt_20150223 (1)'!F113+"h_l![3"</f>
        <v>#VALUE!</v>
      </c>
      <c r="BW19" t="e">
        <f>'SurveyRpt_20150223 (1)'!G113+"h_l![4"</f>
        <v>#VALUE!</v>
      </c>
      <c r="BX19" t="e">
        <f>'SurveyRpt_20150223 (1)'!H113+"h_l![5"</f>
        <v>#VALUE!</v>
      </c>
      <c r="BY19" t="e">
        <f>'SurveyRpt_20150223 (1)'!I113+"h_l![6"</f>
        <v>#VALUE!</v>
      </c>
      <c r="BZ19" t="e">
        <f>'SurveyRpt_20150223 (1)'!J113+"h_l![7"</f>
        <v>#VALUE!</v>
      </c>
      <c r="CA19" t="e">
        <f>'SurveyRpt_20150223 (1)'!K113+"h_l![8"</f>
        <v>#VALUE!</v>
      </c>
      <c r="CB19" t="e">
        <f>'SurveyRpt_20150223 (1)'!L113+"h_l![9"</f>
        <v>#VALUE!</v>
      </c>
      <c r="CC19" t="e">
        <f>'SurveyRpt_20150223 (1)'!M113+"h_l![:"</f>
        <v>#VALUE!</v>
      </c>
      <c r="CD19" t="e">
        <f>'SurveyRpt_20150223 (1)'!N113+"h_l![;"</f>
        <v>#VALUE!</v>
      </c>
      <c r="CE19" t="e">
        <f>'SurveyRpt_20150223 (1)'!O113+"h_l![&lt;"</f>
        <v>#VALUE!</v>
      </c>
      <c r="CF19" t="e">
        <f>'SurveyRpt_20150223 (1)'!P113+"h_l![="</f>
        <v>#VALUE!</v>
      </c>
      <c r="CG19" t="e">
        <f>'SurveyRpt_20150223 (1)'!Q113+"h_l![&gt;"</f>
        <v>#VALUE!</v>
      </c>
      <c r="CH19" t="e">
        <f>'SurveyRpt_20150223 (1)'!R113+"h_l![?"</f>
        <v>#VALUE!</v>
      </c>
      <c r="CI19" t="e">
        <f>'SurveyRpt_20150223 (1)'!S113+"h_l![@"</f>
        <v>#VALUE!</v>
      </c>
      <c r="CJ19" t="e">
        <f>'SurveyRpt_20150223 (1)'!T113+"h_l![A"</f>
        <v>#VALUE!</v>
      </c>
      <c r="CK19" t="e">
        <f>'SurveyRpt_20150223 (1)'!U113+"h_l![B"</f>
        <v>#VALUE!</v>
      </c>
      <c r="CL19" t="e">
        <f>'SurveyRpt_20150223 (1)'!V113+"h_l![C"</f>
        <v>#VALUE!</v>
      </c>
      <c r="CM19" t="e">
        <f>'SurveyRpt_20150223 (1)'!W113+"h_l![D"</f>
        <v>#VALUE!</v>
      </c>
      <c r="CN19" t="e">
        <f>'SurveyRpt_20150223 (1)'!X113+"h_l![E"</f>
        <v>#VALUE!</v>
      </c>
      <c r="CO19" t="e">
        <f>'SurveyRpt_20150223 (1)'!Y113+"h_l![F"</f>
        <v>#VALUE!</v>
      </c>
      <c r="CP19" t="e">
        <f>'SurveyRpt_20150223 (1)'!Z113+"h_l![G"</f>
        <v>#VALUE!</v>
      </c>
      <c r="CQ19" t="e">
        <f>'SurveyRpt_20150223 (1)'!AA113+"h_l![H"</f>
        <v>#VALUE!</v>
      </c>
      <c r="CR19" t="e">
        <f>'SurveyRpt_20150223 (1)'!AB113+"h_l![I"</f>
        <v>#VALUE!</v>
      </c>
      <c r="CS19" t="e">
        <f>'SurveyRpt_20150223 (1)'!AC113+"h_l![J"</f>
        <v>#VALUE!</v>
      </c>
      <c r="CT19" t="e">
        <f>'SurveyRpt_20150223 (1)'!AD113+"h_l![K"</f>
        <v>#VALUE!</v>
      </c>
      <c r="CU19" t="e">
        <f>'SurveyRpt_20150223 (1)'!AE113+"h_l![L"</f>
        <v>#VALUE!</v>
      </c>
      <c r="CV19" t="e">
        <f>'SurveyRpt_20150223 (1)'!AF113+"h_l![M"</f>
        <v>#VALUE!</v>
      </c>
      <c r="CW19" t="e">
        <f>'SurveyRpt_20150223 (1)'!AG113+"h_l![N"</f>
        <v>#VALUE!</v>
      </c>
      <c r="CX19" t="e">
        <f>'SurveyRpt_20150223 (1)'!AH113+"h_l![O"</f>
        <v>#VALUE!</v>
      </c>
      <c r="CY19" t="e">
        <f>'SurveyRpt_20150223 (1)'!AI113+"h_l![P"</f>
        <v>#VALUE!</v>
      </c>
      <c r="CZ19" t="e">
        <f>'SurveyRpt_20150223 (1)'!AJ113+"h_l![Q"</f>
        <v>#VALUE!</v>
      </c>
      <c r="DA19" t="e">
        <f>'SurveyRpt_20150223 (1)'!AK113+"h_l![R"</f>
        <v>#VALUE!</v>
      </c>
      <c r="DB19" t="e">
        <f>'SurveyRpt_20150223 (1)'!AL113+"h_l![S"</f>
        <v>#VALUE!</v>
      </c>
      <c r="DC19" t="e">
        <f>'SurveyRpt_20150223 (1)'!AM113+"h_l![T"</f>
        <v>#VALUE!</v>
      </c>
      <c r="DD19" t="e">
        <f>'SurveyRpt_20150223 (1)'!AN113+"h_l![U"</f>
        <v>#VALUE!</v>
      </c>
      <c r="DE19" t="e">
        <f>'SurveyRpt_20150223 (1)'!A114+"h_l![V"</f>
        <v>#VALUE!</v>
      </c>
      <c r="DF19" s="25" t="e">
        <f>'SurveyRpt_20150223 (1)'!B114+"h_l![W"</f>
        <v>#VALUE!</v>
      </c>
      <c r="DG19" t="e">
        <f>'SurveyRpt_20150223 (1)'!C114+"h_l![X"</f>
        <v>#VALUE!</v>
      </c>
      <c r="DH19" s="25" t="e">
        <f>'SurveyRpt_20150223 (1)'!D114+"h_l![Y"</f>
        <v>#VALUE!</v>
      </c>
      <c r="DI19" t="e">
        <f>'SurveyRpt_20150223 (1)'!E114+"h_l![Z"</f>
        <v>#VALUE!</v>
      </c>
      <c r="DJ19" t="e">
        <f>'SurveyRpt_20150223 (1)'!F114+"h_l![["</f>
        <v>#VALUE!</v>
      </c>
      <c r="DK19" t="e">
        <f>'SurveyRpt_20150223 (1)'!G114+"h_l![\"</f>
        <v>#VALUE!</v>
      </c>
      <c r="DL19" t="e">
        <f>'SurveyRpt_20150223 (1)'!H114+"h_l![]"</f>
        <v>#VALUE!</v>
      </c>
      <c r="DM19" t="e">
        <f>'SurveyRpt_20150223 (1)'!I114+"h_l![^"</f>
        <v>#VALUE!</v>
      </c>
      <c r="DN19" t="e">
        <f>'SurveyRpt_20150223 (1)'!J114+"h_l![_"</f>
        <v>#VALUE!</v>
      </c>
      <c r="DO19" t="e">
        <f>'SurveyRpt_20150223 (1)'!K114+"h_l![`"</f>
        <v>#VALUE!</v>
      </c>
      <c r="DP19" t="e">
        <f>'SurveyRpt_20150223 (1)'!L114+"h_l![a"</f>
        <v>#VALUE!</v>
      </c>
      <c r="DQ19" t="e">
        <f>'SurveyRpt_20150223 (1)'!M114+"h_l![b"</f>
        <v>#VALUE!</v>
      </c>
      <c r="DR19" t="e">
        <f>'SurveyRpt_20150223 (1)'!N114+"h_l![c"</f>
        <v>#VALUE!</v>
      </c>
      <c r="DS19" t="e">
        <f>'SurveyRpt_20150223 (1)'!O114+"h_l![d"</f>
        <v>#VALUE!</v>
      </c>
      <c r="DT19" t="e">
        <f>'SurveyRpt_20150223 (1)'!P114+"h_l![e"</f>
        <v>#VALUE!</v>
      </c>
      <c r="DU19" t="e">
        <f>'SurveyRpt_20150223 (1)'!Q114+"h_l![f"</f>
        <v>#VALUE!</v>
      </c>
      <c r="DV19" t="e">
        <f>'SurveyRpt_20150223 (1)'!R114+"h_l![g"</f>
        <v>#VALUE!</v>
      </c>
      <c r="DW19" t="e">
        <f>'SurveyRpt_20150223 (1)'!S114+"h_l![h"</f>
        <v>#VALUE!</v>
      </c>
      <c r="DX19" t="e">
        <f>'SurveyRpt_20150223 (1)'!T114+"h_l![i"</f>
        <v>#VALUE!</v>
      </c>
      <c r="DY19" t="e">
        <f>'SurveyRpt_20150223 (1)'!U114+"h_l![j"</f>
        <v>#VALUE!</v>
      </c>
      <c r="DZ19" t="e">
        <f>'SurveyRpt_20150223 (1)'!V114+"h_l![k"</f>
        <v>#VALUE!</v>
      </c>
      <c r="EA19" t="e">
        <f>'SurveyRpt_20150223 (1)'!W114+"h_l![l"</f>
        <v>#VALUE!</v>
      </c>
      <c r="EB19" t="e">
        <f>'SurveyRpt_20150223 (1)'!X114+"h_l![m"</f>
        <v>#VALUE!</v>
      </c>
      <c r="EC19" t="e">
        <f>'SurveyRpt_20150223 (1)'!Y114+"h_l![n"</f>
        <v>#VALUE!</v>
      </c>
      <c r="ED19" t="e">
        <f>'SurveyRpt_20150223 (1)'!Z114+"h_l![o"</f>
        <v>#VALUE!</v>
      </c>
      <c r="EE19" t="e">
        <f>'SurveyRpt_20150223 (1)'!AA114+"h_l![p"</f>
        <v>#VALUE!</v>
      </c>
      <c r="EF19" t="e">
        <f>'SurveyRpt_20150223 (1)'!AB114+"h_l![q"</f>
        <v>#VALUE!</v>
      </c>
      <c r="EG19" t="e">
        <f>'SurveyRpt_20150223 (1)'!AC114+"h_l![r"</f>
        <v>#VALUE!</v>
      </c>
      <c r="EH19" t="e">
        <f>'SurveyRpt_20150223 (1)'!AD114+"h_l![s"</f>
        <v>#VALUE!</v>
      </c>
      <c r="EI19" t="e">
        <f>'SurveyRpt_20150223 (1)'!AE114+"h_l![t"</f>
        <v>#VALUE!</v>
      </c>
      <c r="EJ19" t="e">
        <f>'SurveyRpt_20150223 (1)'!AF114+"h_l![u"</f>
        <v>#VALUE!</v>
      </c>
      <c r="EK19" t="e">
        <f>'SurveyRpt_20150223 (1)'!AG114+"h_l![v"</f>
        <v>#VALUE!</v>
      </c>
      <c r="EL19" t="e">
        <f>'SurveyRpt_20150223 (1)'!AH114+"h_l![w"</f>
        <v>#VALUE!</v>
      </c>
      <c r="EM19" t="e">
        <f>'SurveyRpt_20150223 (1)'!AI114+"h_l![x"</f>
        <v>#VALUE!</v>
      </c>
      <c r="EN19" t="e">
        <f>'SurveyRpt_20150223 (1)'!AJ114+"h_l![y"</f>
        <v>#VALUE!</v>
      </c>
      <c r="EO19" t="e">
        <f>'SurveyRpt_20150223 (1)'!AK114+"h_l![z"</f>
        <v>#VALUE!</v>
      </c>
      <c r="EP19" t="e">
        <f>'SurveyRpt_20150223 (1)'!AL114+"h_l![{"</f>
        <v>#VALUE!</v>
      </c>
      <c r="EQ19" t="e">
        <f>'SurveyRpt_20150223 (1)'!AM114+"h_l![|"</f>
        <v>#VALUE!</v>
      </c>
      <c r="ER19" t="e">
        <f>'SurveyRpt_20150223 (1)'!AN114+"h_l![}"</f>
        <v>#VALUE!</v>
      </c>
      <c r="ES19" t="e">
        <f>'SurveyRpt_20150223 (1)'!A115+"h_l![~"</f>
        <v>#VALUE!</v>
      </c>
      <c r="ET19" s="25" t="e">
        <f>'SurveyRpt_20150223 (1)'!B115+"h_l!\#"</f>
        <v>#VALUE!</v>
      </c>
      <c r="EU19" t="e">
        <f>'SurveyRpt_20150223 (1)'!C115+"h_l!\$"</f>
        <v>#VALUE!</v>
      </c>
      <c r="EV19" s="25" t="e">
        <f>'SurveyRpt_20150223 (1)'!D115+"h_l!\%"</f>
        <v>#VALUE!</v>
      </c>
      <c r="EW19" t="e">
        <f>'SurveyRpt_20150223 (1)'!E115+"h_l!\&amp;"</f>
        <v>#VALUE!</v>
      </c>
      <c r="EX19" t="e">
        <f>'SurveyRpt_20150223 (1)'!F115+"h_l!\'"</f>
        <v>#VALUE!</v>
      </c>
      <c r="EY19" t="e">
        <f>'SurveyRpt_20150223 (1)'!G115+"h_l!\("</f>
        <v>#VALUE!</v>
      </c>
      <c r="EZ19" t="e">
        <f>'SurveyRpt_20150223 (1)'!H115+"h_l!\)"</f>
        <v>#VALUE!</v>
      </c>
      <c r="FA19" t="e">
        <f>'SurveyRpt_20150223 (1)'!I115+"h_l!\."</f>
        <v>#VALUE!</v>
      </c>
      <c r="FB19" t="e">
        <f>'SurveyRpt_20150223 (1)'!J115+"h_l!\/"</f>
        <v>#VALUE!</v>
      </c>
      <c r="FC19" t="e">
        <f>'SurveyRpt_20150223 (1)'!K115+"h_l!\0"</f>
        <v>#VALUE!</v>
      </c>
      <c r="FD19" t="e">
        <f>'SurveyRpt_20150223 (1)'!L115+"h_l!\1"</f>
        <v>#VALUE!</v>
      </c>
      <c r="FE19" t="e">
        <f>'SurveyRpt_20150223 (1)'!M115+"h_l!\2"</f>
        <v>#VALUE!</v>
      </c>
      <c r="FF19" t="e">
        <f>'SurveyRpt_20150223 (1)'!N115+"h_l!\3"</f>
        <v>#VALUE!</v>
      </c>
      <c r="FG19" t="e">
        <f>'SurveyRpt_20150223 (1)'!O115+"h_l!\4"</f>
        <v>#VALUE!</v>
      </c>
      <c r="FH19" t="e">
        <f>'SurveyRpt_20150223 (1)'!P115+"h_l!\5"</f>
        <v>#VALUE!</v>
      </c>
      <c r="FI19" t="e">
        <f>'SurveyRpt_20150223 (1)'!Q115+"h_l!\6"</f>
        <v>#VALUE!</v>
      </c>
      <c r="FJ19" t="e">
        <f>'SurveyRpt_20150223 (1)'!R115+"h_l!\7"</f>
        <v>#VALUE!</v>
      </c>
      <c r="FK19" t="e">
        <f>'SurveyRpt_20150223 (1)'!S115+"h_l!\8"</f>
        <v>#VALUE!</v>
      </c>
      <c r="FL19" t="e">
        <f>'SurveyRpt_20150223 (1)'!T115+"h_l!\9"</f>
        <v>#VALUE!</v>
      </c>
      <c r="FM19" t="e">
        <f>'SurveyRpt_20150223 (1)'!U115+"h_l!\:"</f>
        <v>#VALUE!</v>
      </c>
      <c r="FN19" t="e">
        <f>'SurveyRpt_20150223 (1)'!V115+"h_l!\;"</f>
        <v>#VALUE!</v>
      </c>
      <c r="FO19" t="e">
        <f>'SurveyRpt_20150223 (1)'!W115+"h_l!\&lt;"</f>
        <v>#VALUE!</v>
      </c>
      <c r="FP19" t="e">
        <f>'SurveyRpt_20150223 (1)'!X115+"h_l!\="</f>
        <v>#VALUE!</v>
      </c>
      <c r="FQ19" t="e">
        <f>'SurveyRpt_20150223 (1)'!Y115+"h_l!\&gt;"</f>
        <v>#VALUE!</v>
      </c>
      <c r="FR19" t="e">
        <f>'SurveyRpt_20150223 (1)'!Z115+"h_l!\?"</f>
        <v>#VALUE!</v>
      </c>
      <c r="FS19" t="e">
        <f>'SurveyRpt_20150223 (1)'!AA115+"h_l!\@"</f>
        <v>#VALUE!</v>
      </c>
      <c r="FT19" t="e">
        <f>'SurveyRpt_20150223 (1)'!AB115+"h_l!\A"</f>
        <v>#VALUE!</v>
      </c>
      <c r="FU19" t="e">
        <f>'SurveyRpt_20150223 (1)'!AC115+"h_l!\B"</f>
        <v>#VALUE!</v>
      </c>
      <c r="FV19" t="e">
        <f>'SurveyRpt_20150223 (1)'!AD115+"h_l!\C"</f>
        <v>#VALUE!</v>
      </c>
      <c r="FW19" t="e">
        <f>'SurveyRpt_20150223 (1)'!AE115+"h_l!\D"</f>
        <v>#VALUE!</v>
      </c>
      <c r="FX19" t="e">
        <f>'SurveyRpt_20150223 (1)'!AF115+"h_l!\E"</f>
        <v>#VALUE!</v>
      </c>
      <c r="FY19" t="e">
        <f>'SurveyRpt_20150223 (1)'!AG115+"h_l!\F"</f>
        <v>#VALUE!</v>
      </c>
      <c r="FZ19" t="e">
        <f>'SurveyRpt_20150223 (1)'!AH115+"h_l!\G"</f>
        <v>#VALUE!</v>
      </c>
      <c r="GA19" t="e">
        <f>'SurveyRpt_20150223 (1)'!AI115+"h_l!\H"</f>
        <v>#VALUE!</v>
      </c>
      <c r="GB19" t="e">
        <f>'SurveyRpt_20150223 (1)'!AJ115+"h_l!\I"</f>
        <v>#VALUE!</v>
      </c>
      <c r="GC19" t="e">
        <f>'SurveyRpt_20150223 (1)'!AK115+"h_l!\J"</f>
        <v>#VALUE!</v>
      </c>
      <c r="GD19" t="e">
        <f>'SurveyRpt_20150223 (1)'!AL115+"h_l!\K"</f>
        <v>#VALUE!</v>
      </c>
      <c r="GE19" t="e">
        <f>'SurveyRpt_20150223 (1)'!AM115+"h_l!\L"</f>
        <v>#VALUE!</v>
      </c>
      <c r="GF19" t="e">
        <f>'SurveyRpt_20150223 (1)'!AN115+"h_l!\M"</f>
        <v>#VALUE!</v>
      </c>
      <c r="GG19" t="e">
        <f>'SurveyRpt_20150223 (1)'!A116+"h_l!\N"</f>
        <v>#VALUE!</v>
      </c>
      <c r="GH19" s="25" t="e">
        <f>'SurveyRpt_20150223 (1)'!B116+"h_l!\O"</f>
        <v>#VALUE!</v>
      </c>
      <c r="GI19" t="e">
        <f>'SurveyRpt_20150223 (1)'!C116+"h_l!\P"</f>
        <v>#VALUE!</v>
      </c>
      <c r="GJ19" s="25" t="e">
        <f>'SurveyRpt_20150223 (1)'!D116+"h_l!\Q"</f>
        <v>#VALUE!</v>
      </c>
      <c r="GK19" t="e">
        <f>'SurveyRpt_20150223 (1)'!E116+"h_l!\R"</f>
        <v>#VALUE!</v>
      </c>
      <c r="GL19" t="e">
        <f>'SurveyRpt_20150223 (1)'!F116+"h_l!\S"</f>
        <v>#VALUE!</v>
      </c>
      <c r="GM19" t="e">
        <f>'SurveyRpt_20150223 (1)'!G116+"h_l!\T"</f>
        <v>#VALUE!</v>
      </c>
      <c r="GN19" t="e">
        <f>'SurveyRpt_20150223 (1)'!H116+"h_l!\U"</f>
        <v>#VALUE!</v>
      </c>
      <c r="GO19" t="e">
        <f>'SurveyRpt_20150223 (1)'!I116+"h_l!\V"</f>
        <v>#VALUE!</v>
      </c>
      <c r="GP19" t="e">
        <f>'SurveyRpt_20150223 (1)'!J116+"h_l!\W"</f>
        <v>#VALUE!</v>
      </c>
      <c r="GQ19" t="e">
        <f>'SurveyRpt_20150223 (1)'!K116+"h_l!\X"</f>
        <v>#VALUE!</v>
      </c>
      <c r="GR19" t="e">
        <f>'SurveyRpt_20150223 (1)'!L116+"h_l!\Y"</f>
        <v>#VALUE!</v>
      </c>
      <c r="GS19" t="e">
        <f>'SurveyRpt_20150223 (1)'!M116+"h_l!\Z"</f>
        <v>#VALUE!</v>
      </c>
      <c r="GT19" t="e">
        <f>'SurveyRpt_20150223 (1)'!N116+"h_l!\["</f>
        <v>#VALUE!</v>
      </c>
      <c r="GU19" t="e">
        <f>'SurveyRpt_20150223 (1)'!O116+"h_l!\\"</f>
        <v>#VALUE!</v>
      </c>
      <c r="GV19" t="e">
        <f>'SurveyRpt_20150223 (1)'!P116+"h_l!\]"</f>
        <v>#VALUE!</v>
      </c>
      <c r="GW19" t="e">
        <f>'SurveyRpt_20150223 (1)'!Q116+"h_l!\^"</f>
        <v>#VALUE!</v>
      </c>
      <c r="GX19" t="e">
        <f>'SurveyRpt_20150223 (1)'!R116+"h_l!\_"</f>
        <v>#VALUE!</v>
      </c>
      <c r="GY19" t="e">
        <f>'SurveyRpt_20150223 (1)'!S116+"h_l!\`"</f>
        <v>#VALUE!</v>
      </c>
      <c r="GZ19" t="e">
        <f>'SurveyRpt_20150223 (1)'!T116+"h_l!\a"</f>
        <v>#VALUE!</v>
      </c>
      <c r="HA19" t="e">
        <f>'SurveyRpt_20150223 (1)'!U116+"h_l!\b"</f>
        <v>#VALUE!</v>
      </c>
      <c r="HB19" t="e">
        <f>'SurveyRpt_20150223 (1)'!V116+"h_l!\c"</f>
        <v>#VALUE!</v>
      </c>
      <c r="HC19" t="e">
        <f>'SurveyRpt_20150223 (1)'!W116+"h_l!\d"</f>
        <v>#VALUE!</v>
      </c>
      <c r="HD19" t="e">
        <f>'SurveyRpt_20150223 (1)'!X116+"h_l!\e"</f>
        <v>#VALUE!</v>
      </c>
      <c r="HE19" t="e">
        <f>'SurveyRpt_20150223 (1)'!Y116+"h_l!\f"</f>
        <v>#VALUE!</v>
      </c>
      <c r="HF19" t="e">
        <f>'SurveyRpt_20150223 (1)'!Z116+"h_l!\g"</f>
        <v>#VALUE!</v>
      </c>
      <c r="HG19" t="e">
        <f>'SurveyRpt_20150223 (1)'!AA116+"h_l!\h"</f>
        <v>#VALUE!</v>
      </c>
      <c r="HH19" t="e">
        <f>'SurveyRpt_20150223 (1)'!AB116+"h_l!\i"</f>
        <v>#VALUE!</v>
      </c>
      <c r="HI19" t="e">
        <f>'SurveyRpt_20150223 (1)'!AC116+"h_l!\j"</f>
        <v>#VALUE!</v>
      </c>
      <c r="HJ19" t="e">
        <f>'SurveyRpt_20150223 (1)'!AD116+"h_l!\k"</f>
        <v>#VALUE!</v>
      </c>
      <c r="HK19" t="e">
        <f>'SurveyRpt_20150223 (1)'!AE116+"h_l!\l"</f>
        <v>#VALUE!</v>
      </c>
      <c r="HL19" t="e">
        <f>'SurveyRpt_20150223 (1)'!AF116+"h_l!\m"</f>
        <v>#VALUE!</v>
      </c>
      <c r="HM19" t="e">
        <f>'SurveyRpt_20150223 (1)'!AG116+"h_l!\n"</f>
        <v>#VALUE!</v>
      </c>
      <c r="HN19" t="e">
        <f>'SurveyRpt_20150223 (1)'!AH116+"h_l!\o"</f>
        <v>#VALUE!</v>
      </c>
      <c r="HO19" t="e">
        <f>'SurveyRpt_20150223 (1)'!AI116+"h_l!\p"</f>
        <v>#VALUE!</v>
      </c>
      <c r="HP19" t="e">
        <f>'SurveyRpt_20150223 (1)'!AJ116+"h_l!\q"</f>
        <v>#VALUE!</v>
      </c>
      <c r="HQ19" t="e">
        <f>'SurveyRpt_20150223 (1)'!AK116+"h_l!\r"</f>
        <v>#VALUE!</v>
      </c>
      <c r="HR19" t="e">
        <f>'SurveyRpt_20150223 (1)'!AL116+"h_l!\s"</f>
        <v>#VALUE!</v>
      </c>
      <c r="HS19" t="e">
        <f>'SurveyRpt_20150223 (1)'!AM116+"h_l!\t"</f>
        <v>#VALUE!</v>
      </c>
      <c r="HT19" t="e">
        <f>'SurveyRpt_20150223 (1)'!AN116+"h_l!\u"</f>
        <v>#VALUE!</v>
      </c>
      <c r="HU19" t="e">
        <f>'SurveyRpt_20150223 (1)'!A117+"h_l!\v"</f>
        <v>#VALUE!</v>
      </c>
      <c r="HV19" s="25" t="e">
        <f>'SurveyRpt_20150223 (1)'!B117+"h_l!\w"</f>
        <v>#VALUE!</v>
      </c>
      <c r="HW19" t="e">
        <f>'SurveyRpt_20150223 (1)'!C117+"h_l!\x"</f>
        <v>#VALUE!</v>
      </c>
      <c r="HX19" s="25" t="e">
        <f>'SurveyRpt_20150223 (1)'!D117+"h_l!\y"</f>
        <v>#VALUE!</v>
      </c>
      <c r="HY19" t="e">
        <f>'SurveyRpt_20150223 (1)'!E117+"h_l!\z"</f>
        <v>#VALUE!</v>
      </c>
      <c r="HZ19" t="e">
        <f>'SurveyRpt_20150223 (1)'!F117+"h_l!\{"</f>
        <v>#VALUE!</v>
      </c>
      <c r="IA19" t="e">
        <f>'SurveyRpt_20150223 (1)'!G117+"h_l!\|"</f>
        <v>#VALUE!</v>
      </c>
      <c r="IB19" t="e">
        <f>'SurveyRpt_20150223 (1)'!H117+"h_l!\}"</f>
        <v>#VALUE!</v>
      </c>
      <c r="IC19" t="e">
        <f>'SurveyRpt_20150223 (1)'!I117+"h_l!\~"</f>
        <v>#VALUE!</v>
      </c>
      <c r="ID19" t="e">
        <f>'SurveyRpt_20150223 (1)'!J117+"h_l!]#"</f>
        <v>#VALUE!</v>
      </c>
      <c r="IE19" t="e">
        <f>'SurveyRpt_20150223 (1)'!K117+"h_l!]$"</f>
        <v>#VALUE!</v>
      </c>
      <c r="IF19" t="e">
        <f>'SurveyRpt_20150223 (1)'!L117+"h_l!]%"</f>
        <v>#VALUE!</v>
      </c>
      <c r="IG19" t="e">
        <f>'SurveyRpt_20150223 (1)'!M117+"h_l!]&amp;"</f>
        <v>#VALUE!</v>
      </c>
      <c r="IH19" t="e">
        <f>'SurveyRpt_20150223 (1)'!N117+"h_l!]'"</f>
        <v>#VALUE!</v>
      </c>
      <c r="II19" t="e">
        <f>'SurveyRpt_20150223 (1)'!O117+"h_l!]("</f>
        <v>#VALUE!</v>
      </c>
      <c r="IJ19" t="e">
        <f>'SurveyRpt_20150223 (1)'!P117+"h_l!])"</f>
        <v>#VALUE!</v>
      </c>
      <c r="IK19" t="e">
        <f>'SurveyRpt_20150223 (1)'!Q117+"h_l!]."</f>
        <v>#VALUE!</v>
      </c>
      <c r="IL19" t="e">
        <f>'SurveyRpt_20150223 (1)'!R117+"h_l!]/"</f>
        <v>#VALUE!</v>
      </c>
      <c r="IM19" t="e">
        <f>'SurveyRpt_20150223 (1)'!S117+"h_l!]0"</f>
        <v>#VALUE!</v>
      </c>
      <c r="IN19" t="e">
        <f>'SurveyRpt_20150223 (1)'!T117+"h_l!]1"</f>
        <v>#VALUE!</v>
      </c>
      <c r="IO19" t="e">
        <f>'SurveyRpt_20150223 (1)'!U117+"h_l!]2"</f>
        <v>#VALUE!</v>
      </c>
      <c r="IP19" t="e">
        <f>'SurveyRpt_20150223 (1)'!V117+"h_l!]3"</f>
        <v>#VALUE!</v>
      </c>
      <c r="IQ19" t="e">
        <f>'SurveyRpt_20150223 (1)'!W117+"h_l!]4"</f>
        <v>#VALUE!</v>
      </c>
      <c r="IR19" t="e">
        <f>'SurveyRpt_20150223 (1)'!X117+"h_l!]5"</f>
        <v>#VALUE!</v>
      </c>
      <c r="IS19" t="e">
        <f>'SurveyRpt_20150223 (1)'!Y117+"h_l!]6"</f>
        <v>#VALUE!</v>
      </c>
      <c r="IT19" t="e">
        <f>'SurveyRpt_20150223 (1)'!Z117+"h_l!]7"</f>
        <v>#VALUE!</v>
      </c>
      <c r="IU19" t="e">
        <f>'SurveyRpt_20150223 (1)'!AA117+"h_l!]8"</f>
        <v>#VALUE!</v>
      </c>
      <c r="IV19" t="e">
        <f>'SurveyRpt_20150223 (1)'!AB117+"h_l!]9"</f>
        <v>#VALUE!</v>
      </c>
    </row>
    <row r="20" spans="6:256" x14ac:dyDescent="0.25">
      <c r="F20" t="e">
        <f>'SurveyRpt_20150223 (1)'!AC117+"h_l!]:"</f>
        <v>#VALUE!</v>
      </c>
      <c r="G20" t="e">
        <f>'SurveyRpt_20150223 (1)'!AD117+"h_l!];"</f>
        <v>#VALUE!</v>
      </c>
      <c r="H20" t="e">
        <f>'SurveyRpt_20150223 (1)'!AE117+"h_l!]&lt;"</f>
        <v>#VALUE!</v>
      </c>
      <c r="I20" t="e">
        <f>'SurveyRpt_20150223 (1)'!AF117+"h_l!]="</f>
        <v>#VALUE!</v>
      </c>
      <c r="J20" t="e">
        <f>'SurveyRpt_20150223 (1)'!AG117+"h_l!]&gt;"</f>
        <v>#VALUE!</v>
      </c>
      <c r="K20" t="e">
        <f>'SurveyRpt_20150223 (1)'!AH117+"h_l!]?"</f>
        <v>#VALUE!</v>
      </c>
      <c r="L20" t="e">
        <f>'SurveyRpt_20150223 (1)'!AI117+"h_l!]@"</f>
        <v>#VALUE!</v>
      </c>
      <c r="M20" t="e">
        <f>'SurveyRpt_20150223 (1)'!AJ117+"h_l!]A"</f>
        <v>#VALUE!</v>
      </c>
      <c r="N20" t="e">
        <f>'SurveyRpt_20150223 (1)'!AK117+"h_l!]B"</f>
        <v>#VALUE!</v>
      </c>
      <c r="O20" t="e">
        <f>'SurveyRpt_20150223 (1)'!AL117+"h_l!]C"</f>
        <v>#VALUE!</v>
      </c>
      <c r="P20" t="e">
        <f>'SurveyRpt_20150223 (1)'!AM117+"h_l!]D"</f>
        <v>#VALUE!</v>
      </c>
      <c r="Q20" t="e">
        <f>'SurveyRpt_20150223 (1)'!AN117+"h_l!]E"</f>
        <v>#VALUE!</v>
      </c>
      <c r="R20" t="e">
        <f>'SurveyRpt_20150223 (1)'!A118+"h_l!]F"</f>
        <v>#VALUE!</v>
      </c>
      <c r="S20" s="25" t="e">
        <f>'SurveyRpt_20150223 (1)'!B118+"h_l!]G"</f>
        <v>#VALUE!</v>
      </c>
      <c r="T20" t="e">
        <f>'SurveyRpt_20150223 (1)'!C118+"h_l!]H"</f>
        <v>#VALUE!</v>
      </c>
      <c r="U20" s="25" t="e">
        <f>'SurveyRpt_20150223 (1)'!D118+"h_l!]I"</f>
        <v>#VALUE!</v>
      </c>
      <c r="V20" t="e">
        <f>'SurveyRpt_20150223 (1)'!E118+"h_l!]J"</f>
        <v>#VALUE!</v>
      </c>
      <c r="W20" t="e">
        <f>'SurveyRpt_20150223 (1)'!F118+"h_l!]K"</f>
        <v>#VALUE!</v>
      </c>
      <c r="X20" t="e">
        <f>'SurveyRpt_20150223 (1)'!G118+"h_l!]L"</f>
        <v>#VALUE!</v>
      </c>
      <c r="Y20" t="e">
        <f>'SurveyRpt_20150223 (1)'!H118+"h_l!]M"</f>
        <v>#VALUE!</v>
      </c>
      <c r="Z20" t="e">
        <f>'SurveyRpt_20150223 (1)'!I118+"h_l!]N"</f>
        <v>#VALUE!</v>
      </c>
      <c r="AA20" t="e">
        <f>'SurveyRpt_20150223 (1)'!J118+"h_l!]O"</f>
        <v>#VALUE!</v>
      </c>
      <c r="AB20" t="e">
        <f>'SurveyRpt_20150223 (1)'!K118+"h_l!]P"</f>
        <v>#VALUE!</v>
      </c>
      <c r="AC20" t="e">
        <f>'SurveyRpt_20150223 (1)'!L118+"h_l!]Q"</f>
        <v>#VALUE!</v>
      </c>
      <c r="AD20" t="e">
        <f>'SurveyRpt_20150223 (1)'!M118+"h_l!]R"</f>
        <v>#VALUE!</v>
      </c>
      <c r="AE20" t="e">
        <f>'SurveyRpt_20150223 (1)'!N118+"h_l!]S"</f>
        <v>#VALUE!</v>
      </c>
      <c r="AF20" t="e">
        <f>'SurveyRpt_20150223 (1)'!O118+"h_l!]T"</f>
        <v>#VALUE!</v>
      </c>
      <c r="AG20" t="e">
        <f>'SurveyRpt_20150223 (1)'!P118+"h_l!]U"</f>
        <v>#VALUE!</v>
      </c>
      <c r="AH20" t="e">
        <f>'SurveyRpt_20150223 (1)'!Q118+"h_l!]V"</f>
        <v>#VALUE!</v>
      </c>
      <c r="AI20" t="e">
        <f>'SurveyRpt_20150223 (1)'!R118+"h_l!]W"</f>
        <v>#VALUE!</v>
      </c>
      <c r="AJ20" t="e">
        <f>'SurveyRpt_20150223 (1)'!S118+"h_l!]X"</f>
        <v>#VALUE!</v>
      </c>
      <c r="AK20" t="e">
        <f>'SurveyRpt_20150223 (1)'!T118+"h_l!]Y"</f>
        <v>#VALUE!</v>
      </c>
      <c r="AL20" t="e">
        <f>'SurveyRpt_20150223 (1)'!U118+"h_l!]Z"</f>
        <v>#VALUE!</v>
      </c>
      <c r="AM20" t="e">
        <f>'SurveyRpt_20150223 (1)'!V118+"h_l!]["</f>
        <v>#VALUE!</v>
      </c>
      <c r="AN20" t="e">
        <f>'SurveyRpt_20150223 (1)'!W118+"h_l!]\"</f>
        <v>#VALUE!</v>
      </c>
      <c r="AO20" t="e">
        <f>'SurveyRpt_20150223 (1)'!X118+"h_l!]]"</f>
        <v>#VALUE!</v>
      </c>
      <c r="AP20" t="e">
        <f>'SurveyRpt_20150223 (1)'!Y118+"h_l!]^"</f>
        <v>#VALUE!</v>
      </c>
      <c r="AQ20" t="e">
        <f>'SurveyRpt_20150223 (1)'!Z118+"h_l!]_"</f>
        <v>#VALUE!</v>
      </c>
      <c r="AR20" t="e">
        <f>'SurveyRpt_20150223 (1)'!AA118+"h_l!]`"</f>
        <v>#VALUE!</v>
      </c>
      <c r="AS20" t="e">
        <f>'SurveyRpt_20150223 (1)'!AB118+"h_l!]a"</f>
        <v>#VALUE!</v>
      </c>
      <c r="AT20" t="e">
        <f>'SurveyRpt_20150223 (1)'!AC118+"h_l!]b"</f>
        <v>#VALUE!</v>
      </c>
      <c r="AU20" t="e">
        <f>'SurveyRpt_20150223 (1)'!AD118+"h_l!]c"</f>
        <v>#VALUE!</v>
      </c>
      <c r="AV20" t="e">
        <f>'SurveyRpt_20150223 (1)'!AE118+"h_l!]d"</f>
        <v>#VALUE!</v>
      </c>
      <c r="AW20" t="e">
        <f>'SurveyRpt_20150223 (1)'!AF118+"h_l!]e"</f>
        <v>#VALUE!</v>
      </c>
      <c r="AX20" t="e">
        <f>'SurveyRpt_20150223 (1)'!AG118+"h_l!]f"</f>
        <v>#VALUE!</v>
      </c>
      <c r="AY20" t="e">
        <f>'SurveyRpt_20150223 (1)'!AH118+"h_l!]g"</f>
        <v>#VALUE!</v>
      </c>
      <c r="AZ20" t="e">
        <f>'SurveyRpt_20150223 (1)'!AI118+"h_l!]h"</f>
        <v>#VALUE!</v>
      </c>
      <c r="BA20" t="e">
        <f>'SurveyRpt_20150223 (1)'!AJ118+"h_l!]i"</f>
        <v>#VALUE!</v>
      </c>
      <c r="BB20" t="e">
        <f>'SurveyRpt_20150223 (1)'!AK118+"h_l!]j"</f>
        <v>#VALUE!</v>
      </c>
      <c r="BC20" t="e">
        <f>'SurveyRpt_20150223 (1)'!AL118+"h_l!]k"</f>
        <v>#VALUE!</v>
      </c>
      <c r="BD20" t="e">
        <f>'SurveyRpt_20150223 (1)'!AM118+"h_l!]l"</f>
        <v>#VALUE!</v>
      </c>
      <c r="BE20" t="e">
        <f>'SurveyRpt_20150223 (1)'!AN118+"h_l!]m"</f>
        <v>#VALUE!</v>
      </c>
      <c r="BF20" t="e">
        <f>'SurveyRpt_20150223 (1)'!A119+"h_l!]n"</f>
        <v>#VALUE!</v>
      </c>
      <c r="BG20" s="25" t="e">
        <f>'SurveyRpt_20150223 (1)'!B119+"h_l!]o"</f>
        <v>#VALUE!</v>
      </c>
      <c r="BH20" t="e">
        <f>'SurveyRpt_20150223 (1)'!C119+"h_l!]p"</f>
        <v>#VALUE!</v>
      </c>
      <c r="BI20" s="25" t="e">
        <f>'SurveyRpt_20150223 (1)'!D119+"h_l!]q"</f>
        <v>#VALUE!</v>
      </c>
      <c r="BJ20" t="e">
        <f>'SurveyRpt_20150223 (1)'!E119+"h_l!]r"</f>
        <v>#VALUE!</v>
      </c>
      <c r="BK20" t="e">
        <f>'SurveyRpt_20150223 (1)'!F119+"h_l!]s"</f>
        <v>#VALUE!</v>
      </c>
      <c r="BL20" t="e">
        <f>'SurveyRpt_20150223 (1)'!G119+"h_l!]t"</f>
        <v>#VALUE!</v>
      </c>
      <c r="BM20" t="e">
        <f>'SurveyRpt_20150223 (1)'!H119+"h_l!]u"</f>
        <v>#VALUE!</v>
      </c>
      <c r="BN20" t="e">
        <f>'SurveyRpt_20150223 (1)'!I119+"h_l!]v"</f>
        <v>#VALUE!</v>
      </c>
      <c r="BO20" t="e">
        <f>'SurveyRpt_20150223 (1)'!J119+"h_l!]w"</f>
        <v>#VALUE!</v>
      </c>
      <c r="BP20" t="e">
        <f>'SurveyRpt_20150223 (1)'!K119+"h_l!]x"</f>
        <v>#VALUE!</v>
      </c>
      <c r="BQ20" t="e">
        <f>'SurveyRpt_20150223 (1)'!L119+"h_l!]y"</f>
        <v>#VALUE!</v>
      </c>
      <c r="BR20" t="e">
        <f>'SurveyRpt_20150223 (1)'!M119+"h_l!]z"</f>
        <v>#VALUE!</v>
      </c>
      <c r="BS20" t="e">
        <f>'SurveyRpt_20150223 (1)'!N119+"h_l!]{"</f>
        <v>#VALUE!</v>
      </c>
      <c r="BT20" t="e">
        <f>'SurveyRpt_20150223 (1)'!O119+"h_l!]|"</f>
        <v>#VALUE!</v>
      </c>
      <c r="BU20" t="e">
        <f>'SurveyRpt_20150223 (1)'!P119+"h_l!]}"</f>
        <v>#VALUE!</v>
      </c>
      <c r="BV20" t="e">
        <f>'SurveyRpt_20150223 (1)'!Q119+"h_l!]~"</f>
        <v>#VALUE!</v>
      </c>
      <c r="BW20" t="e">
        <f>'SurveyRpt_20150223 (1)'!R119+"h_l!^#"</f>
        <v>#VALUE!</v>
      </c>
      <c r="BX20" t="e">
        <f>'SurveyRpt_20150223 (1)'!S119+"h_l!^$"</f>
        <v>#VALUE!</v>
      </c>
      <c r="BY20" t="e">
        <f>'SurveyRpt_20150223 (1)'!T119+"h_l!^%"</f>
        <v>#VALUE!</v>
      </c>
      <c r="BZ20" t="e">
        <f>'SurveyRpt_20150223 (1)'!U119+"h_l!^&amp;"</f>
        <v>#VALUE!</v>
      </c>
      <c r="CA20" t="e">
        <f>'SurveyRpt_20150223 (1)'!V119+"h_l!^'"</f>
        <v>#VALUE!</v>
      </c>
      <c r="CB20" t="e">
        <f>'SurveyRpt_20150223 (1)'!W119+"h_l!^("</f>
        <v>#VALUE!</v>
      </c>
      <c r="CC20" t="e">
        <f>'SurveyRpt_20150223 (1)'!X119+"h_l!^)"</f>
        <v>#VALUE!</v>
      </c>
      <c r="CD20" t="e">
        <f>'SurveyRpt_20150223 (1)'!Y119+"h_l!^."</f>
        <v>#VALUE!</v>
      </c>
      <c r="CE20" t="e">
        <f>'SurveyRpt_20150223 (1)'!Z119+"h_l!^/"</f>
        <v>#VALUE!</v>
      </c>
      <c r="CF20" t="e">
        <f>'SurveyRpt_20150223 (1)'!AA119+"h_l!^0"</f>
        <v>#VALUE!</v>
      </c>
      <c r="CG20" t="e">
        <f>'SurveyRpt_20150223 (1)'!AB119+"h_l!^1"</f>
        <v>#VALUE!</v>
      </c>
      <c r="CH20" t="e">
        <f>'SurveyRpt_20150223 (1)'!AC119+"h_l!^2"</f>
        <v>#VALUE!</v>
      </c>
      <c r="CI20" t="e">
        <f>'SurveyRpt_20150223 (1)'!AD119+"h_l!^3"</f>
        <v>#VALUE!</v>
      </c>
      <c r="CJ20" t="e">
        <f>'SurveyRpt_20150223 (1)'!AE119+"h_l!^4"</f>
        <v>#VALUE!</v>
      </c>
      <c r="CK20" t="e">
        <f>'SurveyRpt_20150223 (1)'!AF119+"h_l!^5"</f>
        <v>#VALUE!</v>
      </c>
      <c r="CL20" t="e">
        <f>'SurveyRpt_20150223 (1)'!AG119+"h_l!^6"</f>
        <v>#VALUE!</v>
      </c>
      <c r="CM20" t="e">
        <f>'SurveyRpt_20150223 (1)'!AH119+"h_l!^7"</f>
        <v>#VALUE!</v>
      </c>
      <c r="CN20" t="e">
        <f>'SurveyRpt_20150223 (1)'!AI119+"h_l!^8"</f>
        <v>#VALUE!</v>
      </c>
      <c r="CO20" t="e">
        <f>'SurveyRpt_20150223 (1)'!AJ119+"h_l!^9"</f>
        <v>#VALUE!</v>
      </c>
      <c r="CP20" t="e">
        <f>'SurveyRpt_20150223 (1)'!AK119+"h_l!^:"</f>
        <v>#VALUE!</v>
      </c>
      <c r="CQ20" t="e">
        <f>'SurveyRpt_20150223 (1)'!AL119+"h_l!^;"</f>
        <v>#VALUE!</v>
      </c>
      <c r="CR20" t="e">
        <f>'SurveyRpt_20150223 (1)'!AM119+"h_l!^&lt;"</f>
        <v>#VALUE!</v>
      </c>
      <c r="CS20" t="e">
        <f>'SurveyRpt_20150223 (1)'!AN119+"h_l!^="</f>
        <v>#VALUE!</v>
      </c>
      <c r="CT20" t="e">
        <f>'SurveyRpt_20150223 (1)'!A120+"h_l!^&gt;"</f>
        <v>#VALUE!</v>
      </c>
      <c r="CU20" s="25" t="e">
        <f>'SurveyRpt_20150223 (1)'!B120+"h_l!^?"</f>
        <v>#VALUE!</v>
      </c>
      <c r="CV20" t="e">
        <f>'SurveyRpt_20150223 (1)'!C120+"h_l!^@"</f>
        <v>#VALUE!</v>
      </c>
      <c r="CW20" s="25" t="e">
        <f>'SurveyRpt_20150223 (1)'!D120+"h_l!^A"</f>
        <v>#VALUE!</v>
      </c>
      <c r="CX20" t="e">
        <f>'SurveyRpt_20150223 (1)'!E120+"h_l!^B"</f>
        <v>#VALUE!</v>
      </c>
      <c r="CY20" t="e">
        <f>'SurveyRpt_20150223 (1)'!F120+"h_l!^C"</f>
        <v>#VALUE!</v>
      </c>
      <c r="CZ20" t="e">
        <f>'SurveyRpt_20150223 (1)'!G120+"h_l!^D"</f>
        <v>#VALUE!</v>
      </c>
      <c r="DA20" t="e">
        <f>'SurveyRpt_20150223 (1)'!H120+"h_l!^E"</f>
        <v>#VALUE!</v>
      </c>
      <c r="DB20" t="e">
        <f>'SurveyRpt_20150223 (1)'!I120+"h_l!^F"</f>
        <v>#VALUE!</v>
      </c>
      <c r="DC20" t="e">
        <f>'SurveyRpt_20150223 (1)'!J120+"h_l!^G"</f>
        <v>#VALUE!</v>
      </c>
      <c r="DD20" t="e">
        <f>'SurveyRpt_20150223 (1)'!K120+"h_l!^H"</f>
        <v>#VALUE!</v>
      </c>
      <c r="DE20" t="e">
        <f>'SurveyRpt_20150223 (1)'!L120+"h_l!^I"</f>
        <v>#VALUE!</v>
      </c>
      <c r="DF20" t="e">
        <f>'SurveyRpt_20150223 (1)'!M120+"h_l!^J"</f>
        <v>#VALUE!</v>
      </c>
      <c r="DG20" t="e">
        <f>'SurveyRpt_20150223 (1)'!N120+"h_l!^K"</f>
        <v>#VALUE!</v>
      </c>
      <c r="DH20" t="e">
        <f>'SurveyRpt_20150223 (1)'!O120+"h_l!^L"</f>
        <v>#VALUE!</v>
      </c>
      <c r="DI20" t="e">
        <f>'SurveyRpt_20150223 (1)'!P120+"h_l!^M"</f>
        <v>#VALUE!</v>
      </c>
      <c r="DJ20" t="e">
        <f>'SurveyRpt_20150223 (1)'!Q120+"h_l!^N"</f>
        <v>#VALUE!</v>
      </c>
      <c r="DK20" t="e">
        <f>'SurveyRpt_20150223 (1)'!R120+"h_l!^O"</f>
        <v>#VALUE!</v>
      </c>
      <c r="DL20" t="e">
        <f>'SurveyRpt_20150223 (1)'!S120+"h_l!^P"</f>
        <v>#VALUE!</v>
      </c>
      <c r="DM20" t="e">
        <f>'SurveyRpt_20150223 (1)'!T120+"h_l!^Q"</f>
        <v>#VALUE!</v>
      </c>
      <c r="DN20" t="e">
        <f>'SurveyRpt_20150223 (1)'!U120+"h_l!^R"</f>
        <v>#VALUE!</v>
      </c>
      <c r="DO20" t="e">
        <f>'SurveyRpt_20150223 (1)'!V120+"h_l!^S"</f>
        <v>#VALUE!</v>
      </c>
      <c r="DP20" t="e">
        <f>'SurveyRpt_20150223 (1)'!W120+"h_l!^T"</f>
        <v>#VALUE!</v>
      </c>
      <c r="DQ20" t="e">
        <f>'SurveyRpt_20150223 (1)'!X120+"h_l!^U"</f>
        <v>#VALUE!</v>
      </c>
      <c r="DR20" t="e">
        <f>'SurveyRpt_20150223 (1)'!Y120+"h_l!^V"</f>
        <v>#VALUE!</v>
      </c>
      <c r="DS20" t="e">
        <f>'SurveyRpt_20150223 (1)'!Z120+"h_l!^W"</f>
        <v>#VALUE!</v>
      </c>
      <c r="DT20" t="e">
        <f>'SurveyRpt_20150223 (1)'!AA120+"h_l!^X"</f>
        <v>#VALUE!</v>
      </c>
      <c r="DU20" t="e">
        <f>'SurveyRpt_20150223 (1)'!AB120+"h_l!^Y"</f>
        <v>#VALUE!</v>
      </c>
      <c r="DV20" t="e">
        <f>'SurveyRpt_20150223 (1)'!AC120+"h_l!^Z"</f>
        <v>#VALUE!</v>
      </c>
      <c r="DW20" t="e">
        <f>'SurveyRpt_20150223 (1)'!AD120+"h_l!^["</f>
        <v>#VALUE!</v>
      </c>
      <c r="DX20" t="e">
        <f>'SurveyRpt_20150223 (1)'!AE120+"h_l!^\"</f>
        <v>#VALUE!</v>
      </c>
      <c r="DY20" t="e">
        <f>'SurveyRpt_20150223 (1)'!AF120+"h_l!^]"</f>
        <v>#VALUE!</v>
      </c>
      <c r="DZ20" t="e">
        <f>'SurveyRpt_20150223 (1)'!AG120+"h_l!^^"</f>
        <v>#VALUE!</v>
      </c>
      <c r="EA20" t="e">
        <f>'SurveyRpt_20150223 (1)'!AH120+"h_l!^_"</f>
        <v>#VALUE!</v>
      </c>
      <c r="EB20" t="e">
        <f>'SurveyRpt_20150223 (1)'!AI120+"h_l!^`"</f>
        <v>#VALUE!</v>
      </c>
      <c r="EC20" t="e">
        <f>'SurveyRpt_20150223 (1)'!AJ120+"h_l!^a"</f>
        <v>#VALUE!</v>
      </c>
      <c r="ED20" t="e">
        <f>'SurveyRpt_20150223 (1)'!AK120+"h_l!^b"</f>
        <v>#VALUE!</v>
      </c>
      <c r="EE20" t="e">
        <f>'SurveyRpt_20150223 (1)'!AL120+"h_l!^c"</f>
        <v>#VALUE!</v>
      </c>
      <c r="EF20" t="e">
        <f>'SurveyRpt_20150223 (1)'!AM120+"h_l!^d"</f>
        <v>#VALUE!</v>
      </c>
      <c r="EG20" t="e">
        <f>'SurveyRpt_20150223 (1)'!AN120+"h_l!^e"</f>
        <v>#VALUE!</v>
      </c>
      <c r="EH20" t="e">
        <f>'SurveyRpt_20150223 (1)'!A121+"h_l!^f"</f>
        <v>#VALUE!</v>
      </c>
      <c r="EI20" s="25" t="e">
        <f>'SurveyRpt_20150223 (1)'!B121+"h_l!^g"</f>
        <v>#VALUE!</v>
      </c>
      <c r="EJ20" t="e">
        <f>'SurveyRpt_20150223 (1)'!C121+"h_l!^h"</f>
        <v>#VALUE!</v>
      </c>
      <c r="EK20" s="25" t="e">
        <f>'SurveyRpt_20150223 (1)'!D121+"h_l!^i"</f>
        <v>#VALUE!</v>
      </c>
      <c r="EL20" t="e">
        <f>'SurveyRpt_20150223 (1)'!E121+"h_l!^j"</f>
        <v>#VALUE!</v>
      </c>
      <c r="EM20" t="e">
        <f>'SurveyRpt_20150223 (1)'!F121+"h_l!^k"</f>
        <v>#VALUE!</v>
      </c>
      <c r="EN20" t="e">
        <f>'SurveyRpt_20150223 (1)'!G121+"h_l!^l"</f>
        <v>#VALUE!</v>
      </c>
      <c r="EO20" t="e">
        <f>'SurveyRpt_20150223 (1)'!H121+"h_l!^m"</f>
        <v>#VALUE!</v>
      </c>
      <c r="EP20" t="e">
        <f>'SurveyRpt_20150223 (1)'!I121+"h_l!^n"</f>
        <v>#VALUE!</v>
      </c>
      <c r="EQ20" t="e">
        <f>'SurveyRpt_20150223 (1)'!J121+"h_l!^o"</f>
        <v>#VALUE!</v>
      </c>
      <c r="ER20" t="e">
        <f>'SurveyRpt_20150223 (1)'!K121+"h_l!^p"</f>
        <v>#VALUE!</v>
      </c>
      <c r="ES20" t="e">
        <f>'SurveyRpt_20150223 (1)'!L121+"h_l!^q"</f>
        <v>#VALUE!</v>
      </c>
      <c r="ET20" t="e">
        <f>'SurveyRpt_20150223 (1)'!M121+"h_l!^r"</f>
        <v>#VALUE!</v>
      </c>
      <c r="EU20" t="e">
        <f>'SurveyRpt_20150223 (1)'!N121+"h_l!^s"</f>
        <v>#VALUE!</v>
      </c>
      <c r="EV20" t="e">
        <f>'SurveyRpt_20150223 (1)'!O121+"h_l!^t"</f>
        <v>#VALUE!</v>
      </c>
      <c r="EW20" t="e">
        <f>'SurveyRpt_20150223 (1)'!P121+"h_l!^u"</f>
        <v>#VALUE!</v>
      </c>
      <c r="EX20" t="e">
        <f>'SurveyRpt_20150223 (1)'!Q121+"h_l!^v"</f>
        <v>#VALUE!</v>
      </c>
      <c r="EY20" t="e">
        <f>'SurveyRpt_20150223 (1)'!R121+"h_l!^w"</f>
        <v>#VALUE!</v>
      </c>
      <c r="EZ20" t="e">
        <f>'SurveyRpt_20150223 (1)'!S121+"h_l!^x"</f>
        <v>#VALUE!</v>
      </c>
      <c r="FA20" t="e">
        <f>'SurveyRpt_20150223 (1)'!T121+"h_l!^y"</f>
        <v>#VALUE!</v>
      </c>
      <c r="FB20" t="e">
        <f>'SurveyRpt_20150223 (1)'!U121+"h_l!^z"</f>
        <v>#VALUE!</v>
      </c>
      <c r="FC20" t="e">
        <f>'SurveyRpt_20150223 (1)'!V121+"h_l!^{"</f>
        <v>#VALUE!</v>
      </c>
      <c r="FD20" t="e">
        <f>'SurveyRpt_20150223 (1)'!W121+"h_l!^|"</f>
        <v>#VALUE!</v>
      </c>
      <c r="FE20" t="e">
        <f>'SurveyRpt_20150223 (1)'!X121+"h_l!^}"</f>
        <v>#VALUE!</v>
      </c>
      <c r="FF20" t="e">
        <f>'SurveyRpt_20150223 (1)'!Y121+"h_l!^~"</f>
        <v>#VALUE!</v>
      </c>
      <c r="FG20" t="e">
        <f>'SurveyRpt_20150223 (1)'!Z121+"h_l!_#"</f>
        <v>#VALUE!</v>
      </c>
      <c r="FH20" t="e">
        <f>'SurveyRpt_20150223 (1)'!AA121+"h_l!_$"</f>
        <v>#VALUE!</v>
      </c>
      <c r="FI20" t="e">
        <f>'SurveyRpt_20150223 (1)'!AB121+"h_l!_%"</f>
        <v>#VALUE!</v>
      </c>
      <c r="FJ20" t="e">
        <f>'SurveyRpt_20150223 (1)'!AC121+"h_l!_&amp;"</f>
        <v>#VALUE!</v>
      </c>
      <c r="FK20" t="e">
        <f>'SurveyRpt_20150223 (1)'!AD121+"h_l!_'"</f>
        <v>#VALUE!</v>
      </c>
      <c r="FL20" t="e">
        <f>'SurveyRpt_20150223 (1)'!AE121+"h_l!_("</f>
        <v>#VALUE!</v>
      </c>
      <c r="FM20" t="e">
        <f>'SurveyRpt_20150223 (1)'!AF121+"h_l!_)"</f>
        <v>#VALUE!</v>
      </c>
      <c r="FN20" t="e">
        <f>'SurveyRpt_20150223 (1)'!AG121+"h_l!_."</f>
        <v>#VALUE!</v>
      </c>
      <c r="FO20" t="e">
        <f>'SurveyRpt_20150223 (1)'!AH121+"h_l!_/"</f>
        <v>#VALUE!</v>
      </c>
      <c r="FP20" t="e">
        <f>'SurveyRpt_20150223 (1)'!AI121+"h_l!_0"</f>
        <v>#VALUE!</v>
      </c>
      <c r="FQ20" t="e">
        <f>'SurveyRpt_20150223 (1)'!AJ121+"h_l!_1"</f>
        <v>#VALUE!</v>
      </c>
      <c r="FR20" t="e">
        <f>'SurveyRpt_20150223 (1)'!AK121+"h_l!_2"</f>
        <v>#VALUE!</v>
      </c>
      <c r="FS20" t="e">
        <f>'SurveyRpt_20150223 (1)'!AL121+"h_l!_3"</f>
        <v>#VALUE!</v>
      </c>
      <c r="FT20" t="e">
        <f>'SurveyRpt_20150223 (1)'!AM121+"h_l!_4"</f>
        <v>#VALUE!</v>
      </c>
      <c r="FU20" t="e">
        <f>'SurveyRpt_20150223 (1)'!AN121+"h_l!_5"</f>
        <v>#VALUE!</v>
      </c>
      <c r="FV20" t="e">
        <f>'SurveyRpt_20150223 (1)'!A122+"h_l!_6"</f>
        <v>#VALUE!</v>
      </c>
      <c r="FW20" s="25" t="e">
        <f>'SurveyRpt_20150223 (1)'!B122+"h_l!_7"</f>
        <v>#VALUE!</v>
      </c>
      <c r="FX20" t="e">
        <f>'SurveyRpt_20150223 (1)'!C122+"h_l!_8"</f>
        <v>#VALUE!</v>
      </c>
      <c r="FY20" s="25" t="e">
        <f>'SurveyRpt_20150223 (1)'!D122+"h_l!_9"</f>
        <v>#VALUE!</v>
      </c>
      <c r="FZ20" t="e">
        <f>'SurveyRpt_20150223 (1)'!E122+"h_l!_:"</f>
        <v>#VALUE!</v>
      </c>
      <c r="GA20" t="e">
        <f>'SurveyRpt_20150223 (1)'!F122+"h_l!_;"</f>
        <v>#VALUE!</v>
      </c>
      <c r="GB20" t="e">
        <f>'SurveyRpt_20150223 (1)'!G122+"h_l!_&lt;"</f>
        <v>#VALUE!</v>
      </c>
      <c r="GC20" t="e">
        <f>'SurveyRpt_20150223 (1)'!H122+"h_l!_="</f>
        <v>#VALUE!</v>
      </c>
      <c r="GD20" t="e">
        <f>'SurveyRpt_20150223 (1)'!I122+"h_l!_&gt;"</f>
        <v>#VALUE!</v>
      </c>
      <c r="GE20" t="e">
        <f>'SurveyRpt_20150223 (1)'!J122+"h_l!_?"</f>
        <v>#VALUE!</v>
      </c>
      <c r="GF20" t="e">
        <f>'SurveyRpt_20150223 (1)'!K122+"h_l!_@"</f>
        <v>#VALUE!</v>
      </c>
      <c r="GG20" t="e">
        <f>'SurveyRpt_20150223 (1)'!L122+"h_l!_A"</f>
        <v>#VALUE!</v>
      </c>
      <c r="GH20" t="e">
        <f>'SurveyRpt_20150223 (1)'!M122+"h_l!_B"</f>
        <v>#VALUE!</v>
      </c>
      <c r="GI20" t="e">
        <f>'SurveyRpt_20150223 (1)'!N122+"h_l!_C"</f>
        <v>#VALUE!</v>
      </c>
      <c r="GJ20" t="e">
        <f>'SurveyRpt_20150223 (1)'!O122+"h_l!_D"</f>
        <v>#VALUE!</v>
      </c>
      <c r="GK20" t="e">
        <f>'SurveyRpt_20150223 (1)'!P122+"h_l!_E"</f>
        <v>#VALUE!</v>
      </c>
      <c r="GL20" t="e">
        <f>'SurveyRpt_20150223 (1)'!Q122+"h_l!_F"</f>
        <v>#VALUE!</v>
      </c>
      <c r="GM20" t="e">
        <f>'SurveyRpt_20150223 (1)'!R122+"h_l!_G"</f>
        <v>#VALUE!</v>
      </c>
      <c r="GN20" t="e">
        <f>'SurveyRpt_20150223 (1)'!S122+"h_l!_H"</f>
        <v>#VALUE!</v>
      </c>
      <c r="GO20" t="e">
        <f>'SurveyRpt_20150223 (1)'!T122+"h_l!_I"</f>
        <v>#VALUE!</v>
      </c>
      <c r="GP20" t="e">
        <f>'SurveyRpt_20150223 (1)'!U122+"h_l!_J"</f>
        <v>#VALUE!</v>
      </c>
      <c r="GQ20" t="e">
        <f>'SurveyRpt_20150223 (1)'!V122+"h_l!_K"</f>
        <v>#VALUE!</v>
      </c>
      <c r="GR20" t="e">
        <f>'SurveyRpt_20150223 (1)'!W122+"h_l!_L"</f>
        <v>#VALUE!</v>
      </c>
      <c r="GS20" t="e">
        <f>'SurveyRpt_20150223 (1)'!X122+"h_l!_M"</f>
        <v>#VALUE!</v>
      </c>
      <c r="GT20" t="e">
        <f>'SurveyRpt_20150223 (1)'!Y122+"h_l!_N"</f>
        <v>#VALUE!</v>
      </c>
      <c r="GU20" t="e">
        <f>'SurveyRpt_20150223 (1)'!Z122+"h_l!_O"</f>
        <v>#VALUE!</v>
      </c>
      <c r="GV20" t="e">
        <f>'SurveyRpt_20150223 (1)'!AA122+"h_l!_P"</f>
        <v>#VALUE!</v>
      </c>
      <c r="GW20" t="e">
        <f>'SurveyRpt_20150223 (1)'!AB122+"h_l!_Q"</f>
        <v>#VALUE!</v>
      </c>
      <c r="GX20" t="e">
        <f>'SurveyRpt_20150223 (1)'!AC122+"h_l!_R"</f>
        <v>#VALUE!</v>
      </c>
      <c r="GY20" t="e">
        <f>'SurveyRpt_20150223 (1)'!AD122+"h_l!_S"</f>
        <v>#VALUE!</v>
      </c>
      <c r="GZ20" t="e">
        <f>'SurveyRpt_20150223 (1)'!AE122+"h_l!_T"</f>
        <v>#VALUE!</v>
      </c>
      <c r="HA20" t="e">
        <f>'SurveyRpt_20150223 (1)'!AF122+"h_l!_U"</f>
        <v>#VALUE!</v>
      </c>
      <c r="HB20" t="e">
        <f>'SurveyRpt_20150223 (1)'!AG122+"h_l!_V"</f>
        <v>#VALUE!</v>
      </c>
      <c r="HC20" t="e">
        <f>'SurveyRpt_20150223 (1)'!AH122+"h_l!_W"</f>
        <v>#VALUE!</v>
      </c>
      <c r="HD20" t="e">
        <f>'SurveyRpt_20150223 (1)'!AI122+"h_l!_X"</f>
        <v>#VALUE!</v>
      </c>
      <c r="HE20" t="e">
        <f>'SurveyRpt_20150223 (1)'!AJ122+"h_l!_Y"</f>
        <v>#VALUE!</v>
      </c>
      <c r="HF20" t="e">
        <f>'SurveyRpt_20150223 (1)'!AK122+"h_l!_Z"</f>
        <v>#VALUE!</v>
      </c>
      <c r="HG20" t="e">
        <f>'SurveyRpt_20150223 (1)'!AL122+"h_l!_["</f>
        <v>#VALUE!</v>
      </c>
      <c r="HH20" t="e">
        <f>'SurveyRpt_20150223 (1)'!AM122+"h_l!_\"</f>
        <v>#VALUE!</v>
      </c>
      <c r="HI20" t="e">
        <f>'SurveyRpt_20150223 (1)'!AN122+"h_l!_]"</f>
        <v>#VALUE!</v>
      </c>
      <c r="HJ20" t="e">
        <f>'SurveyRpt_20150223 (1)'!A123+"h_l!_^"</f>
        <v>#VALUE!</v>
      </c>
      <c r="HK20" s="25" t="e">
        <f>'SurveyRpt_20150223 (1)'!B123+"h_l!__"</f>
        <v>#VALUE!</v>
      </c>
      <c r="HL20" t="e">
        <f>'SurveyRpt_20150223 (1)'!C123+"h_l!_`"</f>
        <v>#VALUE!</v>
      </c>
      <c r="HM20" s="25" t="e">
        <f>'SurveyRpt_20150223 (1)'!D123+"h_l!_a"</f>
        <v>#VALUE!</v>
      </c>
      <c r="HN20" t="e">
        <f>'SurveyRpt_20150223 (1)'!E123+"h_l!_b"</f>
        <v>#VALUE!</v>
      </c>
      <c r="HO20" t="e">
        <f>'SurveyRpt_20150223 (1)'!F123+"h_l!_c"</f>
        <v>#VALUE!</v>
      </c>
      <c r="HP20" t="e">
        <f>'SurveyRpt_20150223 (1)'!G123+"h_l!_d"</f>
        <v>#VALUE!</v>
      </c>
      <c r="HQ20" t="e">
        <f>'SurveyRpt_20150223 (1)'!H123+"h_l!_e"</f>
        <v>#VALUE!</v>
      </c>
      <c r="HR20" t="e">
        <f>'SurveyRpt_20150223 (1)'!I123+"h_l!_f"</f>
        <v>#VALUE!</v>
      </c>
      <c r="HS20" t="e">
        <f>'SurveyRpt_20150223 (1)'!J123+"h_l!_g"</f>
        <v>#VALUE!</v>
      </c>
      <c r="HT20" t="e">
        <f>'SurveyRpt_20150223 (1)'!K123+"h_l!_h"</f>
        <v>#VALUE!</v>
      </c>
      <c r="HU20" t="e">
        <f>'SurveyRpt_20150223 (1)'!L123+"h_l!_i"</f>
        <v>#VALUE!</v>
      </c>
      <c r="HV20" t="e">
        <f>'SurveyRpt_20150223 (1)'!M123+"h_l!_j"</f>
        <v>#VALUE!</v>
      </c>
      <c r="HW20" t="e">
        <f>'SurveyRpt_20150223 (1)'!N123+"h_l!_k"</f>
        <v>#VALUE!</v>
      </c>
      <c r="HX20" t="e">
        <f>'SurveyRpt_20150223 (1)'!O123+"h_l!_l"</f>
        <v>#VALUE!</v>
      </c>
      <c r="HY20" t="e">
        <f>'SurveyRpt_20150223 (1)'!P123+"h_l!_m"</f>
        <v>#VALUE!</v>
      </c>
      <c r="HZ20" t="e">
        <f>'SurveyRpt_20150223 (1)'!Q123+"h_l!_n"</f>
        <v>#VALUE!</v>
      </c>
      <c r="IA20" t="e">
        <f>'SurveyRpt_20150223 (1)'!R123+"h_l!_o"</f>
        <v>#VALUE!</v>
      </c>
      <c r="IB20" t="e">
        <f>'SurveyRpt_20150223 (1)'!S123+"h_l!_p"</f>
        <v>#VALUE!</v>
      </c>
      <c r="IC20" t="e">
        <f>'SurveyRpt_20150223 (1)'!T123+"h_l!_q"</f>
        <v>#VALUE!</v>
      </c>
      <c r="ID20" t="e">
        <f>'SurveyRpt_20150223 (1)'!U123+"h_l!_r"</f>
        <v>#VALUE!</v>
      </c>
      <c r="IE20" t="e">
        <f>'SurveyRpt_20150223 (1)'!V123+"h_l!_s"</f>
        <v>#VALUE!</v>
      </c>
      <c r="IF20" t="e">
        <f>'SurveyRpt_20150223 (1)'!W123+"h_l!_t"</f>
        <v>#VALUE!</v>
      </c>
      <c r="IG20" t="e">
        <f>'SurveyRpt_20150223 (1)'!X123+"h_l!_u"</f>
        <v>#VALUE!</v>
      </c>
      <c r="IH20" t="e">
        <f>'SurveyRpt_20150223 (1)'!Y123+"h_l!_v"</f>
        <v>#VALUE!</v>
      </c>
      <c r="II20" t="e">
        <f>'SurveyRpt_20150223 (1)'!Z123+"h_l!_w"</f>
        <v>#VALUE!</v>
      </c>
      <c r="IJ20" t="e">
        <f>'SurveyRpt_20150223 (1)'!AA123+"h_l!_x"</f>
        <v>#VALUE!</v>
      </c>
      <c r="IK20" t="e">
        <f>'SurveyRpt_20150223 (1)'!AB123+"h_l!_y"</f>
        <v>#VALUE!</v>
      </c>
      <c r="IL20" t="e">
        <f>'SurveyRpt_20150223 (1)'!AC123+"h_l!_z"</f>
        <v>#VALUE!</v>
      </c>
      <c r="IM20" t="e">
        <f>'SurveyRpt_20150223 (1)'!AD123+"h_l!_{"</f>
        <v>#VALUE!</v>
      </c>
      <c r="IN20" t="e">
        <f>'SurveyRpt_20150223 (1)'!AE123+"h_l!_|"</f>
        <v>#VALUE!</v>
      </c>
      <c r="IO20" t="e">
        <f>'SurveyRpt_20150223 (1)'!AF123+"h_l!_}"</f>
        <v>#VALUE!</v>
      </c>
      <c r="IP20" t="e">
        <f>'SurveyRpt_20150223 (1)'!AG123+"h_l!_~"</f>
        <v>#VALUE!</v>
      </c>
      <c r="IQ20" t="e">
        <f>'SurveyRpt_20150223 (1)'!AH123+"h_l!`#"</f>
        <v>#VALUE!</v>
      </c>
      <c r="IR20" t="e">
        <f>'SurveyRpt_20150223 (1)'!AI123+"h_l!`$"</f>
        <v>#VALUE!</v>
      </c>
      <c r="IS20" t="e">
        <f>'SurveyRpt_20150223 (1)'!AJ123+"h_l!`%"</f>
        <v>#VALUE!</v>
      </c>
      <c r="IT20" t="e">
        <f>'SurveyRpt_20150223 (1)'!AK123+"h_l!`&amp;"</f>
        <v>#VALUE!</v>
      </c>
      <c r="IU20" t="e">
        <f>'SurveyRpt_20150223 (1)'!AL123+"h_l!`'"</f>
        <v>#VALUE!</v>
      </c>
      <c r="IV20" t="e">
        <f>'SurveyRpt_20150223 (1)'!AM123+"h_l!`("</f>
        <v>#VALUE!</v>
      </c>
    </row>
    <row r="21" spans="6:256" x14ac:dyDescent="0.25">
      <c r="F21" t="e">
        <f>'SurveyRpt_20150223 (1)'!AN123+"h_l!`)"</f>
        <v>#VALUE!</v>
      </c>
      <c r="G21" t="e">
        <f>'SurveyRpt_20150223 (1)'!A124+"h_l!`."</f>
        <v>#VALUE!</v>
      </c>
      <c r="H21" s="25" t="e">
        <f>'SurveyRpt_20150223 (1)'!B124+"h_l!`/"</f>
        <v>#VALUE!</v>
      </c>
      <c r="I21" t="e">
        <f>'SurveyRpt_20150223 (1)'!C124+"h_l!`0"</f>
        <v>#VALUE!</v>
      </c>
      <c r="J21" s="25" t="e">
        <f>'SurveyRpt_20150223 (1)'!D124+"h_l!`1"</f>
        <v>#VALUE!</v>
      </c>
      <c r="K21" t="e">
        <f>'SurveyRpt_20150223 (1)'!E124+"h_l!`2"</f>
        <v>#VALUE!</v>
      </c>
      <c r="L21" t="e">
        <f>'SurveyRpt_20150223 (1)'!F124+"h_l!`3"</f>
        <v>#VALUE!</v>
      </c>
      <c r="M21" t="e">
        <f>'SurveyRpt_20150223 (1)'!G124+"h_l!`4"</f>
        <v>#VALUE!</v>
      </c>
      <c r="N21" t="e">
        <f>'SurveyRpt_20150223 (1)'!H124+"h_l!`5"</f>
        <v>#VALUE!</v>
      </c>
      <c r="O21" t="e">
        <f>'SurveyRpt_20150223 (1)'!I124+"h_l!`6"</f>
        <v>#VALUE!</v>
      </c>
      <c r="P21" t="e">
        <f>'SurveyRpt_20150223 (1)'!J124+"h_l!`7"</f>
        <v>#VALUE!</v>
      </c>
      <c r="Q21" t="e">
        <f>'SurveyRpt_20150223 (1)'!K124+"h_l!`8"</f>
        <v>#VALUE!</v>
      </c>
      <c r="R21" t="e">
        <f>'SurveyRpt_20150223 (1)'!L124+"h_l!`9"</f>
        <v>#VALUE!</v>
      </c>
      <c r="S21" t="e">
        <f>'SurveyRpt_20150223 (1)'!M124+"h_l!`:"</f>
        <v>#VALUE!</v>
      </c>
      <c r="T21" t="e">
        <f>'SurveyRpt_20150223 (1)'!N124+"h_l!`;"</f>
        <v>#VALUE!</v>
      </c>
      <c r="U21" t="e">
        <f>'SurveyRpt_20150223 (1)'!O124+"h_l!`&lt;"</f>
        <v>#VALUE!</v>
      </c>
      <c r="V21" t="e">
        <f>'SurveyRpt_20150223 (1)'!P124+"h_l!`="</f>
        <v>#VALUE!</v>
      </c>
      <c r="W21" t="e">
        <f>'SurveyRpt_20150223 (1)'!Q124+"h_l!`&gt;"</f>
        <v>#VALUE!</v>
      </c>
      <c r="X21" t="e">
        <f>'SurveyRpt_20150223 (1)'!R124+"h_l!`?"</f>
        <v>#VALUE!</v>
      </c>
      <c r="Y21" t="e">
        <f>'SurveyRpt_20150223 (1)'!S124+"h_l!`@"</f>
        <v>#VALUE!</v>
      </c>
      <c r="Z21" t="e">
        <f>'SurveyRpt_20150223 (1)'!T124+"h_l!`A"</f>
        <v>#VALUE!</v>
      </c>
      <c r="AA21" t="e">
        <f>'SurveyRpt_20150223 (1)'!U124+"h_l!`B"</f>
        <v>#VALUE!</v>
      </c>
      <c r="AB21" t="e">
        <f>'SurveyRpt_20150223 (1)'!V124+"h_l!`C"</f>
        <v>#VALUE!</v>
      </c>
      <c r="AC21" t="e">
        <f>'SurveyRpt_20150223 (1)'!W124+"h_l!`D"</f>
        <v>#VALUE!</v>
      </c>
      <c r="AD21" t="e">
        <f>'SurveyRpt_20150223 (1)'!X124+"h_l!`E"</f>
        <v>#VALUE!</v>
      </c>
      <c r="AE21" t="e">
        <f>'SurveyRpt_20150223 (1)'!Y124+"h_l!`F"</f>
        <v>#VALUE!</v>
      </c>
      <c r="AF21" t="e">
        <f>'SurveyRpt_20150223 (1)'!Z124+"h_l!`G"</f>
        <v>#VALUE!</v>
      </c>
      <c r="AG21" t="e">
        <f>'SurveyRpt_20150223 (1)'!AA124+"h_l!`H"</f>
        <v>#VALUE!</v>
      </c>
      <c r="AH21" t="e">
        <f>'SurveyRpt_20150223 (1)'!AB124+"h_l!`I"</f>
        <v>#VALUE!</v>
      </c>
      <c r="AI21" t="e">
        <f>'SurveyRpt_20150223 (1)'!AC124+"h_l!`J"</f>
        <v>#VALUE!</v>
      </c>
      <c r="AJ21" t="e">
        <f>'SurveyRpt_20150223 (1)'!AD124+"h_l!`K"</f>
        <v>#VALUE!</v>
      </c>
      <c r="AK21" t="e">
        <f>'SurveyRpt_20150223 (1)'!AE124+"h_l!`L"</f>
        <v>#VALUE!</v>
      </c>
      <c r="AL21" t="e">
        <f>'SurveyRpt_20150223 (1)'!AF124+"h_l!`M"</f>
        <v>#VALUE!</v>
      </c>
      <c r="AM21" t="e">
        <f>'SurveyRpt_20150223 (1)'!AG124+"h_l!`N"</f>
        <v>#VALUE!</v>
      </c>
      <c r="AN21" t="e">
        <f>'SurveyRpt_20150223 (1)'!AH124+"h_l!`O"</f>
        <v>#VALUE!</v>
      </c>
      <c r="AO21" t="e">
        <f>'SurveyRpt_20150223 (1)'!AI124+"h_l!`P"</f>
        <v>#VALUE!</v>
      </c>
      <c r="AP21" t="e">
        <f>'SurveyRpt_20150223 (1)'!AJ124+"h_l!`Q"</f>
        <v>#VALUE!</v>
      </c>
      <c r="AQ21" t="e">
        <f>'SurveyRpt_20150223 (1)'!AK124+"h_l!`R"</f>
        <v>#VALUE!</v>
      </c>
      <c r="AR21" t="e">
        <f>'SurveyRpt_20150223 (1)'!AL124+"h_l!`S"</f>
        <v>#VALUE!</v>
      </c>
      <c r="AS21" t="e">
        <f>'SurveyRpt_20150223 (1)'!AM124+"h_l!`T"</f>
        <v>#VALUE!</v>
      </c>
      <c r="AT21" t="e">
        <f>'SurveyRpt_20150223 (1)'!AN124+"h_l!`U"</f>
        <v>#VALUE!</v>
      </c>
      <c r="AU21" t="e">
        <f>'SurveyRpt_20150223 (1)'!A125+"h_l!`V"</f>
        <v>#VALUE!</v>
      </c>
      <c r="AV21" s="25" t="e">
        <f>'SurveyRpt_20150223 (1)'!B125+"h_l!`W"</f>
        <v>#VALUE!</v>
      </c>
      <c r="AW21" t="e">
        <f>'SurveyRpt_20150223 (1)'!C125+"h_l!`X"</f>
        <v>#VALUE!</v>
      </c>
      <c r="AX21" s="25" t="e">
        <f>'SurveyRpt_20150223 (1)'!D125+"h_l!`Y"</f>
        <v>#VALUE!</v>
      </c>
      <c r="AY21" t="e">
        <f>'SurveyRpt_20150223 (1)'!E125+"h_l!`Z"</f>
        <v>#VALUE!</v>
      </c>
      <c r="AZ21" t="e">
        <f>'SurveyRpt_20150223 (1)'!F125+"h_l!`["</f>
        <v>#VALUE!</v>
      </c>
      <c r="BA21" t="e">
        <f>'SurveyRpt_20150223 (1)'!G125+"h_l!`\"</f>
        <v>#VALUE!</v>
      </c>
      <c r="BB21" t="e">
        <f>'SurveyRpt_20150223 (1)'!H125+"h_l!`]"</f>
        <v>#VALUE!</v>
      </c>
      <c r="BC21" t="e">
        <f>'SurveyRpt_20150223 (1)'!I125+"h_l!`^"</f>
        <v>#VALUE!</v>
      </c>
      <c r="BD21" t="e">
        <f>'SurveyRpt_20150223 (1)'!J125+"h_l!`_"</f>
        <v>#VALUE!</v>
      </c>
      <c r="BE21" t="e">
        <f>'SurveyRpt_20150223 (1)'!K125+"h_l!``"</f>
        <v>#VALUE!</v>
      </c>
      <c r="BF21" t="e">
        <f>'SurveyRpt_20150223 (1)'!L125+"h_l!`a"</f>
        <v>#VALUE!</v>
      </c>
      <c r="BG21" t="e">
        <f>'SurveyRpt_20150223 (1)'!M125+"h_l!`b"</f>
        <v>#VALUE!</v>
      </c>
      <c r="BH21" t="e">
        <f>'SurveyRpt_20150223 (1)'!N125+"h_l!`c"</f>
        <v>#VALUE!</v>
      </c>
      <c r="BI21" t="e">
        <f>'SurveyRpt_20150223 (1)'!O125+"h_l!`d"</f>
        <v>#VALUE!</v>
      </c>
      <c r="BJ21" t="e">
        <f>'SurveyRpt_20150223 (1)'!P125+"h_l!`e"</f>
        <v>#VALUE!</v>
      </c>
      <c r="BK21" t="e">
        <f>'SurveyRpt_20150223 (1)'!Q125+"h_l!`f"</f>
        <v>#VALUE!</v>
      </c>
      <c r="BL21" t="e">
        <f>'SurveyRpt_20150223 (1)'!R125+"h_l!`g"</f>
        <v>#VALUE!</v>
      </c>
      <c r="BM21" t="e">
        <f>'SurveyRpt_20150223 (1)'!S125+"h_l!`h"</f>
        <v>#VALUE!</v>
      </c>
      <c r="BN21" t="e">
        <f>'SurveyRpt_20150223 (1)'!T125+"h_l!`i"</f>
        <v>#VALUE!</v>
      </c>
      <c r="BO21" t="e">
        <f>'SurveyRpt_20150223 (1)'!U125+"h_l!`j"</f>
        <v>#VALUE!</v>
      </c>
      <c r="BP21" t="e">
        <f>'SurveyRpt_20150223 (1)'!V125+"h_l!`k"</f>
        <v>#VALUE!</v>
      </c>
      <c r="BQ21" t="e">
        <f>'SurveyRpt_20150223 (1)'!W125+"h_l!`l"</f>
        <v>#VALUE!</v>
      </c>
      <c r="BR21" t="e">
        <f>'SurveyRpt_20150223 (1)'!X125+"h_l!`m"</f>
        <v>#VALUE!</v>
      </c>
      <c r="BS21" t="e">
        <f>'SurveyRpt_20150223 (1)'!Y125+"h_l!`n"</f>
        <v>#VALUE!</v>
      </c>
      <c r="BT21" t="e">
        <f>'SurveyRpt_20150223 (1)'!Z125+"h_l!`o"</f>
        <v>#VALUE!</v>
      </c>
      <c r="BU21" t="e">
        <f>'SurveyRpt_20150223 (1)'!AA125+"h_l!`p"</f>
        <v>#VALUE!</v>
      </c>
      <c r="BV21" t="e">
        <f>'SurveyRpt_20150223 (1)'!AB125+"h_l!`q"</f>
        <v>#VALUE!</v>
      </c>
      <c r="BW21" t="e">
        <f>'SurveyRpt_20150223 (1)'!AC125+"h_l!`r"</f>
        <v>#VALUE!</v>
      </c>
      <c r="BX21" t="e">
        <f>'SurveyRpt_20150223 (1)'!AD125+"h_l!`s"</f>
        <v>#VALUE!</v>
      </c>
      <c r="BY21" t="e">
        <f>'SurveyRpt_20150223 (1)'!AE125+"h_l!`t"</f>
        <v>#VALUE!</v>
      </c>
      <c r="BZ21" t="e">
        <f>'SurveyRpt_20150223 (1)'!AF125+"h_l!`u"</f>
        <v>#VALUE!</v>
      </c>
      <c r="CA21" t="e">
        <f>'SurveyRpt_20150223 (1)'!AG125+"h_l!`v"</f>
        <v>#VALUE!</v>
      </c>
      <c r="CB21" t="e">
        <f>'SurveyRpt_20150223 (1)'!AH125+"h_l!`w"</f>
        <v>#VALUE!</v>
      </c>
      <c r="CC21" t="e">
        <f>'SurveyRpt_20150223 (1)'!AI125+"h_l!`x"</f>
        <v>#VALUE!</v>
      </c>
      <c r="CD21" t="e">
        <f>'SurveyRpt_20150223 (1)'!AJ125+"h_l!`y"</f>
        <v>#VALUE!</v>
      </c>
      <c r="CE21" t="e">
        <f>'SurveyRpt_20150223 (1)'!AK125+"h_l!`z"</f>
        <v>#VALUE!</v>
      </c>
      <c r="CF21" t="e">
        <f>'SurveyRpt_20150223 (1)'!AL125+"h_l!`{"</f>
        <v>#VALUE!</v>
      </c>
      <c r="CG21" t="e">
        <f>'SurveyRpt_20150223 (1)'!AM125+"h_l!`|"</f>
        <v>#VALUE!</v>
      </c>
      <c r="CH21" t="e">
        <f>'SurveyRpt_20150223 (1)'!AN125+"h_l!`}"</f>
        <v>#VALUE!</v>
      </c>
      <c r="CI21" t="e">
        <f>'SurveyRpt_20150223 (1)'!A126+"h_l!`~"</f>
        <v>#VALUE!</v>
      </c>
      <c r="CJ21" s="25" t="e">
        <f>'SurveyRpt_20150223 (1)'!B126+"h_l!a#"</f>
        <v>#VALUE!</v>
      </c>
      <c r="CK21" t="e">
        <f>'SurveyRpt_20150223 (1)'!C126+"h_l!a$"</f>
        <v>#VALUE!</v>
      </c>
      <c r="CL21" s="25" t="e">
        <f>'SurveyRpt_20150223 (1)'!D126+"h_l!a%"</f>
        <v>#VALUE!</v>
      </c>
      <c r="CM21" t="e">
        <f>'SurveyRpt_20150223 (1)'!E126+"h_l!a&amp;"</f>
        <v>#VALUE!</v>
      </c>
      <c r="CN21" t="e">
        <f>'SurveyRpt_20150223 (1)'!F126+"h_l!a'"</f>
        <v>#VALUE!</v>
      </c>
      <c r="CO21" t="e">
        <f>'SurveyRpt_20150223 (1)'!G126+"h_l!a("</f>
        <v>#VALUE!</v>
      </c>
      <c r="CP21" t="e">
        <f>'SurveyRpt_20150223 (1)'!H126+"h_l!a)"</f>
        <v>#VALUE!</v>
      </c>
      <c r="CQ21" t="e">
        <f>'SurveyRpt_20150223 (1)'!I126+"h_l!a."</f>
        <v>#VALUE!</v>
      </c>
      <c r="CR21" t="e">
        <f>'SurveyRpt_20150223 (1)'!J126+"h_l!a/"</f>
        <v>#VALUE!</v>
      </c>
      <c r="CS21" t="e">
        <f>'SurveyRpt_20150223 (1)'!K126+"h_l!a0"</f>
        <v>#VALUE!</v>
      </c>
      <c r="CT21" t="e">
        <f>'SurveyRpt_20150223 (1)'!L126+"h_l!a1"</f>
        <v>#VALUE!</v>
      </c>
      <c r="CU21" t="e">
        <f>'SurveyRpt_20150223 (1)'!M126+"h_l!a2"</f>
        <v>#VALUE!</v>
      </c>
      <c r="CV21" t="e">
        <f>'SurveyRpt_20150223 (1)'!N126+"h_l!a3"</f>
        <v>#VALUE!</v>
      </c>
      <c r="CW21" t="e">
        <f>'SurveyRpt_20150223 (1)'!O126+"h_l!a4"</f>
        <v>#VALUE!</v>
      </c>
      <c r="CX21" t="e">
        <f>'SurveyRpt_20150223 (1)'!P126+"h_l!a5"</f>
        <v>#VALUE!</v>
      </c>
      <c r="CY21" t="e">
        <f>'SurveyRpt_20150223 (1)'!Q126+"h_l!a6"</f>
        <v>#VALUE!</v>
      </c>
      <c r="CZ21" t="e">
        <f>'SurveyRpt_20150223 (1)'!R126+"h_l!a7"</f>
        <v>#VALUE!</v>
      </c>
      <c r="DA21" t="e">
        <f>'SurveyRpt_20150223 (1)'!S126+"h_l!a8"</f>
        <v>#VALUE!</v>
      </c>
      <c r="DB21" t="e">
        <f>'SurveyRpt_20150223 (1)'!T126+"h_l!a9"</f>
        <v>#VALUE!</v>
      </c>
      <c r="DC21" t="e">
        <f>'SurveyRpt_20150223 (1)'!U126+"h_l!a:"</f>
        <v>#VALUE!</v>
      </c>
      <c r="DD21" t="e">
        <f>'SurveyRpt_20150223 (1)'!V126+"h_l!a;"</f>
        <v>#VALUE!</v>
      </c>
      <c r="DE21" t="e">
        <f>'SurveyRpt_20150223 (1)'!W126+"h_l!a&lt;"</f>
        <v>#VALUE!</v>
      </c>
      <c r="DF21" t="e">
        <f>'SurveyRpt_20150223 (1)'!X126+"h_l!a="</f>
        <v>#VALUE!</v>
      </c>
      <c r="DG21" t="e">
        <f>'SurveyRpt_20150223 (1)'!Y126+"h_l!a&gt;"</f>
        <v>#VALUE!</v>
      </c>
      <c r="DH21" t="e">
        <f>'SurveyRpt_20150223 (1)'!Z126+"h_l!a?"</f>
        <v>#VALUE!</v>
      </c>
      <c r="DI21" t="e">
        <f>'SurveyRpt_20150223 (1)'!AA126+"h_l!a@"</f>
        <v>#VALUE!</v>
      </c>
      <c r="DJ21" t="e">
        <f>'SurveyRpt_20150223 (1)'!AB126+"h_l!aA"</f>
        <v>#VALUE!</v>
      </c>
      <c r="DK21" t="e">
        <f>'SurveyRpt_20150223 (1)'!AC126+"h_l!aB"</f>
        <v>#VALUE!</v>
      </c>
      <c r="DL21" t="e">
        <f>'SurveyRpt_20150223 (1)'!AD126+"h_l!aC"</f>
        <v>#VALUE!</v>
      </c>
      <c r="DM21" t="e">
        <f>'SurveyRpt_20150223 (1)'!AE126+"h_l!aD"</f>
        <v>#VALUE!</v>
      </c>
      <c r="DN21" t="e">
        <f>'SurveyRpt_20150223 (1)'!AF126+"h_l!aE"</f>
        <v>#VALUE!</v>
      </c>
      <c r="DO21" t="e">
        <f>'SurveyRpt_20150223 (1)'!AG126+"h_l!aF"</f>
        <v>#VALUE!</v>
      </c>
      <c r="DP21" t="e">
        <f>'SurveyRpt_20150223 (1)'!AH126+"h_l!aG"</f>
        <v>#VALUE!</v>
      </c>
      <c r="DQ21" t="e">
        <f>'SurveyRpt_20150223 (1)'!AI126+"h_l!aH"</f>
        <v>#VALUE!</v>
      </c>
      <c r="DR21" t="e">
        <f>'SurveyRpt_20150223 (1)'!AJ126+"h_l!aI"</f>
        <v>#VALUE!</v>
      </c>
      <c r="DS21" t="e">
        <f>'SurveyRpt_20150223 (1)'!AK126+"h_l!aJ"</f>
        <v>#VALUE!</v>
      </c>
      <c r="DT21" t="e">
        <f>'SurveyRpt_20150223 (1)'!AL126+"h_l!aK"</f>
        <v>#VALUE!</v>
      </c>
      <c r="DU21" t="e">
        <f>'SurveyRpt_20150223 (1)'!AM126+"h_l!aL"</f>
        <v>#VALUE!</v>
      </c>
      <c r="DV21" t="e">
        <f>'SurveyRpt_20150223 (1)'!AN126+"h_l!aM"</f>
        <v>#VALUE!</v>
      </c>
      <c r="DW21" t="e">
        <f>'SurveyRpt_20150223 (1)'!A127+"h_l!aN"</f>
        <v>#VALUE!</v>
      </c>
      <c r="DX21" s="25" t="e">
        <f>'SurveyRpt_20150223 (1)'!B127+"h_l!aO"</f>
        <v>#VALUE!</v>
      </c>
      <c r="DY21" t="e">
        <f>'SurveyRpt_20150223 (1)'!C127+"h_l!aP"</f>
        <v>#VALUE!</v>
      </c>
      <c r="DZ21" s="25" t="e">
        <f>'SurveyRpt_20150223 (1)'!D127+"h_l!aQ"</f>
        <v>#VALUE!</v>
      </c>
      <c r="EA21" t="e">
        <f>'SurveyRpt_20150223 (1)'!E127+"h_l!aR"</f>
        <v>#VALUE!</v>
      </c>
      <c r="EB21" t="e">
        <f>'SurveyRpt_20150223 (1)'!F127+"h_l!aS"</f>
        <v>#VALUE!</v>
      </c>
      <c r="EC21" t="e">
        <f>'SurveyRpt_20150223 (1)'!G127+"h_l!aT"</f>
        <v>#VALUE!</v>
      </c>
      <c r="ED21" t="e">
        <f>'SurveyRpt_20150223 (1)'!H127+"h_l!aU"</f>
        <v>#VALUE!</v>
      </c>
      <c r="EE21" t="e">
        <f>'SurveyRpt_20150223 (1)'!I127+"h_l!aV"</f>
        <v>#VALUE!</v>
      </c>
      <c r="EF21" t="e">
        <f>'SurveyRpt_20150223 (1)'!J127+"h_l!aW"</f>
        <v>#VALUE!</v>
      </c>
      <c r="EG21" t="e">
        <f>'SurveyRpt_20150223 (1)'!K127+"h_l!aX"</f>
        <v>#VALUE!</v>
      </c>
      <c r="EH21" t="e">
        <f>'SurveyRpt_20150223 (1)'!L127+"h_l!aY"</f>
        <v>#VALUE!</v>
      </c>
      <c r="EI21" t="e">
        <f>'SurveyRpt_20150223 (1)'!M127+"h_l!aZ"</f>
        <v>#VALUE!</v>
      </c>
      <c r="EJ21" t="e">
        <f>'SurveyRpt_20150223 (1)'!N127+"h_l!a["</f>
        <v>#VALUE!</v>
      </c>
      <c r="EK21" t="e">
        <f>'SurveyRpt_20150223 (1)'!O127+"h_l!a\"</f>
        <v>#VALUE!</v>
      </c>
      <c r="EL21" t="e">
        <f>'SurveyRpt_20150223 (1)'!P127+"h_l!a]"</f>
        <v>#VALUE!</v>
      </c>
      <c r="EM21" t="e">
        <f>'SurveyRpt_20150223 (1)'!Q127+"h_l!a^"</f>
        <v>#VALUE!</v>
      </c>
      <c r="EN21" t="e">
        <f>'SurveyRpt_20150223 (1)'!R127+"h_l!a_"</f>
        <v>#VALUE!</v>
      </c>
      <c r="EO21" t="e">
        <f>'SurveyRpt_20150223 (1)'!S127+"h_l!a`"</f>
        <v>#VALUE!</v>
      </c>
      <c r="EP21" t="e">
        <f>'SurveyRpt_20150223 (1)'!T127+"h_l!aa"</f>
        <v>#VALUE!</v>
      </c>
      <c r="EQ21" t="e">
        <f>'SurveyRpt_20150223 (1)'!U127+"h_l!ab"</f>
        <v>#VALUE!</v>
      </c>
      <c r="ER21" t="e">
        <f>'SurveyRpt_20150223 (1)'!V127+"h_l!ac"</f>
        <v>#VALUE!</v>
      </c>
      <c r="ES21" t="e">
        <f>'SurveyRpt_20150223 (1)'!W127+"h_l!ad"</f>
        <v>#VALUE!</v>
      </c>
      <c r="ET21" t="e">
        <f>'SurveyRpt_20150223 (1)'!X127+"h_l!ae"</f>
        <v>#VALUE!</v>
      </c>
      <c r="EU21" t="e">
        <f>'SurveyRpt_20150223 (1)'!Y127+"h_l!af"</f>
        <v>#VALUE!</v>
      </c>
      <c r="EV21" t="e">
        <f>'SurveyRpt_20150223 (1)'!Z127+"h_l!ag"</f>
        <v>#VALUE!</v>
      </c>
      <c r="EW21" t="e">
        <f>'SurveyRpt_20150223 (1)'!AA127+"h_l!ah"</f>
        <v>#VALUE!</v>
      </c>
      <c r="EX21" t="e">
        <f>'SurveyRpt_20150223 (1)'!AB127+"h_l!ai"</f>
        <v>#VALUE!</v>
      </c>
      <c r="EY21" t="e">
        <f>'SurveyRpt_20150223 (1)'!AC127+"h_l!aj"</f>
        <v>#VALUE!</v>
      </c>
      <c r="EZ21" t="e">
        <f>'SurveyRpt_20150223 (1)'!AD127+"h_l!ak"</f>
        <v>#VALUE!</v>
      </c>
      <c r="FA21" t="e">
        <f>'SurveyRpt_20150223 (1)'!AE127+"h_l!al"</f>
        <v>#VALUE!</v>
      </c>
      <c r="FB21" t="e">
        <f>'SurveyRpt_20150223 (1)'!AF127+"h_l!am"</f>
        <v>#VALUE!</v>
      </c>
      <c r="FC21" t="e">
        <f>'SurveyRpt_20150223 (1)'!AG127+"h_l!an"</f>
        <v>#VALUE!</v>
      </c>
      <c r="FD21" t="e">
        <f>'SurveyRpt_20150223 (1)'!AH127+"h_l!ao"</f>
        <v>#VALUE!</v>
      </c>
      <c r="FE21" t="e">
        <f>'SurveyRpt_20150223 (1)'!AI127+"h_l!ap"</f>
        <v>#VALUE!</v>
      </c>
      <c r="FF21" t="e">
        <f>'SurveyRpt_20150223 (1)'!AJ127+"h_l!aq"</f>
        <v>#VALUE!</v>
      </c>
      <c r="FG21" t="e">
        <f>'SurveyRpt_20150223 (1)'!AK127+"h_l!ar"</f>
        <v>#VALUE!</v>
      </c>
      <c r="FH21" t="e">
        <f>'SurveyRpt_20150223 (1)'!AL127+"h_l!as"</f>
        <v>#VALUE!</v>
      </c>
      <c r="FI21" t="e">
        <f>'SurveyRpt_20150223 (1)'!AM127+"h_l!at"</f>
        <v>#VALUE!</v>
      </c>
      <c r="FJ21" t="e">
        <f>'SurveyRpt_20150223 (1)'!AN127+"h_l!au"</f>
        <v>#VALUE!</v>
      </c>
      <c r="FK21" t="e">
        <f>'SurveyRpt_20150223 (1)'!A128+"h_l!av"</f>
        <v>#VALUE!</v>
      </c>
      <c r="FL21" s="25" t="e">
        <f>'SurveyRpt_20150223 (1)'!B128+"h_l!aw"</f>
        <v>#VALUE!</v>
      </c>
      <c r="FM21" t="e">
        <f>'SurveyRpt_20150223 (1)'!C128+"h_l!ax"</f>
        <v>#VALUE!</v>
      </c>
      <c r="FN21" s="25" t="e">
        <f>'SurveyRpt_20150223 (1)'!D128+"h_l!ay"</f>
        <v>#VALUE!</v>
      </c>
      <c r="FO21" t="e">
        <f>'SurveyRpt_20150223 (1)'!E128+"h_l!az"</f>
        <v>#VALUE!</v>
      </c>
      <c r="FP21" t="e">
        <f>'SurveyRpt_20150223 (1)'!F128+"h_l!a{"</f>
        <v>#VALUE!</v>
      </c>
      <c r="FQ21" t="e">
        <f>'SurveyRpt_20150223 (1)'!G128+"h_l!a|"</f>
        <v>#VALUE!</v>
      </c>
      <c r="FR21" t="e">
        <f>'SurveyRpt_20150223 (1)'!H128+"h_l!a}"</f>
        <v>#VALUE!</v>
      </c>
      <c r="FS21" t="e">
        <f>'SurveyRpt_20150223 (1)'!I128+"h_l!a~"</f>
        <v>#VALUE!</v>
      </c>
      <c r="FT21" t="e">
        <f>'SurveyRpt_20150223 (1)'!J128+"h_l!b#"</f>
        <v>#VALUE!</v>
      </c>
      <c r="FU21" t="e">
        <f>'SurveyRpt_20150223 (1)'!K128+"h_l!b$"</f>
        <v>#VALUE!</v>
      </c>
      <c r="FV21" t="e">
        <f>'SurveyRpt_20150223 (1)'!L128+"h_l!b%"</f>
        <v>#VALUE!</v>
      </c>
      <c r="FW21" t="e">
        <f>'SurveyRpt_20150223 (1)'!M128+"h_l!b&amp;"</f>
        <v>#VALUE!</v>
      </c>
      <c r="FX21" t="e">
        <f>'SurveyRpt_20150223 (1)'!N128+"h_l!b'"</f>
        <v>#VALUE!</v>
      </c>
      <c r="FY21" t="e">
        <f>'SurveyRpt_20150223 (1)'!O128+"h_l!b("</f>
        <v>#VALUE!</v>
      </c>
      <c r="FZ21" t="e">
        <f>'SurveyRpt_20150223 (1)'!P128+"h_l!b)"</f>
        <v>#VALUE!</v>
      </c>
      <c r="GA21" t="e">
        <f>'SurveyRpt_20150223 (1)'!Q128+"h_l!b."</f>
        <v>#VALUE!</v>
      </c>
      <c r="GB21" t="e">
        <f>'SurveyRpt_20150223 (1)'!R128+"h_l!b/"</f>
        <v>#VALUE!</v>
      </c>
      <c r="GC21" t="e">
        <f>'SurveyRpt_20150223 (1)'!S128+"h_l!b0"</f>
        <v>#VALUE!</v>
      </c>
      <c r="GD21" t="e">
        <f>'SurveyRpt_20150223 (1)'!T128+"h_l!b1"</f>
        <v>#VALUE!</v>
      </c>
      <c r="GE21" t="e">
        <f>'SurveyRpt_20150223 (1)'!U128+"h_l!b2"</f>
        <v>#VALUE!</v>
      </c>
      <c r="GF21" t="e">
        <f>'SurveyRpt_20150223 (1)'!V128+"h_l!b3"</f>
        <v>#VALUE!</v>
      </c>
      <c r="GG21" t="e">
        <f>'SurveyRpt_20150223 (1)'!W128+"h_l!b4"</f>
        <v>#VALUE!</v>
      </c>
      <c r="GH21" t="e">
        <f>'SurveyRpt_20150223 (1)'!X128+"h_l!b5"</f>
        <v>#VALUE!</v>
      </c>
      <c r="GI21" t="e">
        <f>'SurveyRpt_20150223 (1)'!Y128+"h_l!b6"</f>
        <v>#VALUE!</v>
      </c>
      <c r="GJ21" t="e">
        <f>'SurveyRpt_20150223 (1)'!Z128+"h_l!b7"</f>
        <v>#VALUE!</v>
      </c>
      <c r="GK21" t="e">
        <f>'SurveyRpt_20150223 (1)'!AA128+"h_l!b8"</f>
        <v>#VALUE!</v>
      </c>
      <c r="GL21" t="e">
        <f>'SurveyRpt_20150223 (1)'!AB128+"h_l!b9"</f>
        <v>#VALUE!</v>
      </c>
      <c r="GM21" t="e">
        <f>'SurveyRpt_20150223 (1)'!AC128+"h_l!b:"</f>
        <v>#VALUE!</v>
      </c>
      <c r="GN21" t="e">
        <f>'SurveyRpt_20150223 (1)'!AD128+"h_l!b;"</f>
        <v>#VALUE!</v>
      </c>
      <c r="GO21" t="e">
        <f>'SurveyRpt_20150223 (1)'!AE128+"h_l!b&lt;"</f>
        <v>#VALUE!</v>
      </c>
      <c r="GP21" t="e">
        <f>'SurveyRpt_20150223 (1)'!AF128+"h_l!b="</f>
        <v>#VALUE!</v>
      </c>
      <c r="GQ21" t="e">
        <f>'SurveyRpt_20150223 (1)'!AG128+"h_l!b&gt;"</f>
        <v>#VALUE!</v>
      </c>
      <c r="GR21" t="e">
        <f>'SurveyRpt_20150223 (1)'!AH128+"h_l!b?"</f>
        <v>#VALUE!</v>
      </c>
      <c r="GS21" t="e">
        <f>'SurveyRpt_20150223 (1)'!AI128+"h_l!b@"</f>
        <v>#VALUE!</v>
      </c>
      <c r="GT21" t="e">
        <f>'SurveyRpt_20150223 (1)'!AJ128+"h_l!bA"</f>
        <v>#VALUE!</v>
      </c>
      <c r="GU21" t="e">
        <f>'SurveyRpt_20150223 (1)'!AK128+"h_l!bB"</f>
        <v>#VALUE!</v>
      </c>
      <c r="GV21" t="e">
        <f>'SurveyRpt_20150223 (1)'!AL128+"h_l!bC"</f>
        <v>#VALUE!</v>
      </c>
      <c r="GW21" t="e">
        <f>'SurveyRpt_20150223 (1)'!AM128+"h_l!bD"</f>
        <v>#VALUE!</v>
      </c>
      <c r="GX21" t="e">
        <f>'SurveyRpt_20150223 (1)'!AN128+"h_l!bE"</f>
        <v>#VALUE!</v>
      </c>
      <c r="GY21" t="e">
        <f>'SurveyRpt_20150223 (1)'!A129+"h_l!bF"</f>
        <v>#VALUE!</v>
      </c>
      <c r="GZ21" s="25" t="e">
        <f>'SurveyRpt_20150223 (1)'!B129+"h_l!bG"</f>
        <v>#VALUE!</v>
      </c>
      <c r="HA21" t="e">
        <f>'SurveyRpt_20150223 (1)'!C129+"h_l!bH"</f>
        <v>#VALUE!</v>
      </c>
      <c r="HB21" s="25" t="e">
        <f>'SurveyRpt_20150223 (1)'!D129+"h_l!bI"</f>
        <v>#VALUE!</v>
      </c>
      <c r="HC21" t="e">
        <f>'SurveyRpt_20150223 (1)'!E129+"h_l!bJ"</f>
        <v>#VALUE!</v>
      </c>
      <c r="HD21" t="e">
        <f>'SurveyRpt_20150223 (1)'!F129+"h_l!bK"</f>
        <v>#VALUE!</v>
      </c>
      <c r="HE21" t="e">
        <f>'SurveyRpt_20150223 (1)'!G129+"h_l!bL"</f>
        <v>#VALUE!</v>
      </c>
      <c r="HF21" t="e">
        <f>'SurveyRpt_20150223 (1)'!H129+"h_l!bM"</f>
        <v>#VALUE!</v>
      </c>
      <c r="HG21" t="e">
        <f>'SurveyRpt_20150223 (1)'!I129+"h_l!bN"</f>
        <v>#VALUE!</v>
      </c>
      <c r="HH21" t="e">
        <f>'SurveyRpt_20150223 (1)'!J129+"h_l!bO"</f>
        <v>#VALUE!</v>
      </c>
      <c r="HI21" t="e">
        <f>'SurveyRpt_20150223 (1)'!K129+"h_l!bP"</f>
        <v>#VALUE!</v>
      </c>
      <c r="HJ21" t="e">
        <f>'SurveyRpt_20150223 (1)'!L129+"h_l!bQ"</f>
        <v>#VALUE!</v>
      </c>
      <c r="HK21" t="e">
        <f>'SurveyRpt_20150223 (1)'!M129+"h_l!bR"</f>
        <v>#VALUE!</v>
      </c>
      <c r="HL21" t="e">
        <f>'SurveyRpt_20150223 (1)'!N129+"h_l!bS"</f>
        <v>#VALUE!</v>
      </c>
      <c r="HM21" t="e">
        <f>'SurveyRpt_20150223 (1)'!O129+"h_l!bT"</f>
        <v>#VALUE!</v>
      </c>
      <c r="HN21" t="e">
        <f>'SurveyRpt_20150223 (1)'!P129+"h_l!bU"</f>
        <v>#VALUE!</v>
      </c>
      <c r="HO21" t="e">
        <f>'SurveyRpt_20150223 (1)'!Q129+"h_l!bV"</f>
        <v>#VALUE!</v>
      </c>
      <c r="HP21" t="e">
        <f>'SurveyRpt_20150223 (1)'!R129+"h_l!bW"</f>
        <v>#VALUE!</v>
      </c>
      <c r="HQ21" t="e">
        <f>'SurveyRpt_20150223 (1)'!S129+"h_l!bX"</f>
        <v>#VALUE!</v>
      </c>
      <c r="HR21" t="e">
        <f>'SurveyRpt_20150223 (1)'!T129+"h_l!bY"</f>
        <v>#VALUE!</v>
      </c>
      <c r="HS21" t="e">
        <f>'SurveyRpt_20150223 (1)'!U129+"h_l!bZ"</f>
        <v>#VALUE!</v>
      </c>
      <c r="HT21" t="e">
        <f>'SurveyRpt_20150223 (1)'!V129+"h_l!b["</f>
        <v>#VALUE!</v>
      </c>
      <c r="HU21" t="e">
        <f>'SurveyRpt_20150223 (1)'!W129+"h_l!b\"</f>
        <v>#VALUE!</v>
      </c>
      <c r="HV21" t="e">
        <f>'SurveyRpt_20150223 (1)'!X129+"h_l!b]"</f>
        <v>#VALUE!</v>
      </c>
      <c r="HW21" t="e">
        <f>'SurveyRpt_20150223 (1)'!Y129+"h_l!b^"</f>
        <v>#VALUE!</v>
      </c>
      <c r="HX21" t="e">
        <f>'SurveyRpt_20150223 (1)'!Z129+"h_l!b_"</f>
        <v>#VALUE!</v>
      </c>
      <c r="HY21" t="e">
        <f>'SurveyRpt_20150223 (1)'!AA129+"h_l!b`"</f>
        <v>#VALUE!</v>
      </c>
      <c r="HZ21" t="e">
        <f>'SurveyRpt_20150223 (1)'!AB129+"h_l!ba"</f>
        <v>#VALUE!</v>
      </c>
      <c r="IA21" t="e">
        <f>'SurveyRpt_20150223 (1)'!AC129+"h_l!bb"</f>
        <v>#VALUE!</v>
      </c>
      <c r="IB21" t="e">
        <f>'SurveyRpt_20150223 (1)'!AD129+"h_l!bc"</f>
        <v>#VALUE!</v>
      </c>
      <c r="IC21" t="e">
        <f>'SurveyRpt_20150223 (1)'!AE129+"h_l!bd"</f>
        <v>#VALUE!</v>
      </c>
      <c r="ID21" t="e">
        <f>'SurveyRpt_20150223 (1)'!AF129+"h_l!be"</f>
        <v>#VALUE!</v>
      </c>
      <c r="IE21" t="e">
        <f>'SurveyRpt_20150223 (1)'!AG129+"h_l!bf"</f>
        <v>#VALUE!</v>
      </c>
      <c r="IF21" t="e">
        <f>'SurveyRpt_20150223 (1)'!AH129+"h_l!bg"</f>
        <v>#VALUE!</v>
      </c>
      <c r="IG21" t="e">
        <f>'SurveyRpt_20150223 (1)'!AI129+"h_l!bh"</f>
        <v>#VALUE!</v>
      </c>
      <c r="IH21" t="e">
        <f>'SurveyRpt_20150223 (1)'!AJ129+"h_l!bi"</f>
        <v>#VALUE!</v>
      </c>
      <c r="II21" t="e">
        <f>'SurveyRpt_20150223 (1)'!AK129+"h_l!bj"</f>
        <v>#VALUE!</v>
      </c>
      <c r="IJ21" t="e">
        <f>'SurveyRpt_20150223 (1)'!AL129+"h_l!bk"</f>
        <v>#VALUE!</v>
      </c>
      <c r="IK21" t="e">
        <f>'SurveyRpt_20150223 (1)'!AM129+"h_l!bl"</f>
        <v>#VALUE!</v>
      </c>
      <c r="IL21" t="e">
        <f>'SurveyRpt_20150223 (1)'!AN129+"h_l!bm"</f>
        <v>#VALUE!</v>
      </c>
      <c r="IM21" t="e">
        <f>'SurveyRpt_20150223 (1)'!A130+"h_l!bn"</f>
        <v>#VALUE!</v>
      </c>
      <c r="IN21" s="25" t="e">
        <f>'SurveyRpt_20150223 (1)'!B130+"h_l!bo"</f>
        <v>#VALUE!</v>
      </c>
      <c r="IO21" t="e">
        <f>'SurveyRpt_20150223 (1)'!C130+"h_l!bp"</f>
        <v>#VALUE!</v>
      </c>
      <c r="IP21" s="25" t="e">
        <f>'SurveyRpt_20150223 (1)'!D130+"h_l!bq"</f>
        <v>#VALUE!</v>
      </c>
      <c r="IQ21" t="e">
        <f>'SurveyRpt_20150223 (1)'!E130+"h_l!br"</f>
        <v>#VALUE!</v>
      </c>
      <c r="IR21" t="e">
        <f>'SurveyRpt_20150223 (1)'!F130+"h_l!bs"</f>
        <v>#VALUE!</v>
      </c>
      <c r="IS21" t="e">
        <f>'SurveyRpt_20150223 (1)'!G130+"h_l!bt"</f>
        <v>#VALUE!</v>
      </c>
      <c r="IT21" t="e">
        <f>'SurveyRpt_20150223 (1)'!H130+"h_l!bu"</f>
        <v>#VALUE!</v>
      </c>
      <c r="IU21" t="e">
        <f>'SurveyRpt_20150223 (1)'!I130+"h_l!bv"</f>
        <v>#VALUE!</v>
      </c>
      <c r="IV21" t="e">
        <f>'SurveyRpt_20150223 (1)'!J130+"h_l!bw"</f>
        <v>#VALUE!</v>
      </c>
    </row>
    <row r="22" spans="6:256" x14ac:dyDescent="0.25">
      <c r="F22" t="e">
        <f>'SurveyRpt_20150223 (1)'!K130+"h_l!bx"</f>
        <v>#VALUE!</v>
      </c>
      <c r="G22" t="e">
        <f>'SurveyRpt_20150223 (1)'!L130+"h_l!by"</f>
        <v>#VALUE!</v>
      </c>
      <c r="H22" t="e">
        <f>'SurveyRpt_20150223 (1)'!M130+"h_l!bz"</f>
        <v>#VALUE!</v>
      </c>
      <c r="I22" t="e">
        <f>'SurveyRpt_20150223 (1)'!N130+"h_l!b{"</f>
        <v>#VALUE!</v>
      </c>
      <c r="J22" t="e">
        <f>'SurveyRpt_20150223 (1)'!O130+"h_l!b|"</f>
        <v>#VALUE!</v>
      </c>
      <c r="K22" t="e">
        <f>'SurveyRpt_20150223 (1)'!P130+"h_l!b}"</f>
        <v>#VALUE!</v>
      </c>
      <c r="L22" t="e">
        <f>'SurveyRpt_20150223 (1)'!Q130+"h_l!b~"</f>
        <v>#VALUE!</v>
      </c>
      <c r="M22" t="e">
        <f>'SurveyRpt_20150223 (1)'!R130+"h_l!c#"</f>
        <v>#VALUE!</v>
      </c>
      <c r="N22" t="e">
        <f>'SurveyRpt_20150223 (1)'!S130+"h_l!c$"</f>
        <v>#VALUE!</v>
      </c>
      <c r="O22" t="e">
        <f>'SurveyRpt_20150223 (1)'!T130+"h_l!c%"</f>
        <v>#VALUE!</v>
      </c>
      <c r="P22" t="e">
        <f>'SurveyRpt_20150223 (1)'!U130+"h_l!c&amp;"</f>
        <v>#VALUE!</v>
      </c>
      <c r="Q22" t="e">
        <f>'SurveyRpt_20150223 (1)'!V130+"h_l!c'"</f>
        <v>#VALUE!</v>
      </c>
      <c r="R22" t="e">
        <f>'SurveyRpt_20150223 (1)'!W130+"h_l!c("</f>
        <v>#VALUE!</v>
      </c>
      <c r="S22" t="e">
        <f>'SurveyRpt_20150223 (1)'!X130+"h_l!c)"</f>
        <v>#VALUE!</v>
      </c>
      <c r="T22" t="e">
        <f>'SurveyRpt_20150223 (1)'!Y130+"h_l!c."</f>
        <v>#VALUE!</v>
      </c>
      <c r="U22" t="e">
        <f>'SurveyRpt_20150223 (1)'!Z130+"h_l!c/"</f>
        <v>#VALUE!</v>
      </c>
      <c r="V22" t="e">
        <f>'SurveyRpt_20150223 (1)'!AA130+"h_l!c0"</f>
        <v>#VALUE!</v>
      </c>
      <c r="W22" t="e">
        <f>'SurveyRpt_20150223 (1)'!AB130+"h_l!c1"</f>
        <v>#VALUE!</v>
      </c>
      <c r="X22" t="e">
        <f>'SurveyRpt_20150223 (1)'!AC130+"h_l!c2"</f>
        <v>#VALUE!</v>
      </c>
      <c r="Y22" t="e">
        <f>'SurveyRpt_20150223 (1)'!AD130+"h_l!c3"</f>
        <v>#VALUE!</v>
      </c>
      <c r="Z22" t="e">
        <f>'SurveyRpt_20150223 (1)'!AE130+"h_l!c4"</f>
        <v>#VALUE!</v>
      </c>
      <c r="AA22" t="e">
        <f>'SurveyRpt_20150223 (1)'!AF130+"h_l!c5"</f>
        <v>#VALUE!</v>
      </c>
      <c r="AB22" t="e">
        <f>'SurveyRpt_20150223 (1)'!AG130+"h_l!c6"</f>
        <v>#VALUE!</v>
      </c>
      <c r="AC22" t="e">
        <f>'SurveyRpt_20150223 (1)'!AH130+"h_l!c7"</f>
        <v>#VALUE!</v>
      </c>
      <c r="AD22" t="e">
        <f>'SurveyRpt_20150223 (1)'!AI130+"h_l!c8"</f>
        <v>#VALUE!</v>
      </c>
      <c r="AE22" t="e">
        <f>'SurveyRpt_20150223 (1)'!AJ130+"h_l!c9"</f>
        <v>#VALUE!</v>
      </c>
      <c r="AF22" t="e">
        <f>'SurveyRpt_20150223 (1)'!AK130+"h_l!c:"</f>
        <v>#VALUE!</v>
      </c>
      <c r="AG22" t="e">
        <f>'SurveyRpt_20150223 (1)'!AL130+"h_l!c;"</f>
        <v>#VALUE!</v>
      </c>
      <c r="AH22" t="e">
        <f>'SurveyRpt_20150223 (1)'!AM130+"h_l!c&lt;"</f>
        <v>#VALUE!</v>
      </c>
      <c r="AI22" t="e">
        <f>'SurveyRpt_20150223 (1)'!AN130+"h_l!c="</f>
        <v>#VALUE!</v>
      </c>
      <c r="AJ22" t="e">
        <f>'SurveyRpt_20150223 (1)'!A131+"h_l!c&gt;"</f>
        <v>#VALUE!</v>
      </c>
      <c r="AK22" s="25" t="e">
        <f>'SurveyRpt_20150223 (1)'!B131+"h_l!c?"</f>
        <v>#VALUE!</v>
      </c>
      <c r="AL22" t="e">
        <f>'SurveyRpt_20150223 (1)'!C131+"h_l!c@"</f>
        <v>#VALUE!</v>
      </c>
      <c r="AM22" s="25" t="e">
        <f>'SurveyRpt_20150223 (1)'!D131+"h_l!cA"</f>
        <v>#VALUE!</v>
      </c>
      <c r="AN22" t="e">
        <f>'SurveyRpt_20150223 (1)'!E131+"h_l!cB"</f>
        <v>#VALUE!</v>
      </c>
      <c r="AO22" t="e">
        <f>'SurveyRpt_20150223 (1)'!F131+"h_l!cC"</f>
        <v>#VALUE!</v>
      </c>
      <c r="AP22" t="e">
        <f>'SurveyRpt_20150223 (1)'!G131+"h_l!cD"</f>
        <v>#VALUE!</v>
      </c>
      <c r="AQ22" t="e">
        <f>'SurveyRpt_20150223 (1)'!H131+"h_l!cE"</f>
        <v>#VALUE!</v>
      </c>
      <c r="AR22" t="e">
        <f>'SurveyRpt_20150223 (1)'!I131+"h_l!cF"</f>
        <v>#VALUE!</v>
      </c>
      <c r="AS22" t="e">
        <f>'SurveyRpt_20150223 (1)'!J131+"h_l!cG"</f>
        <v>#VALUE!</v>
      </c>
      <c r="AT22" t="e">
        <f>'SurveyRpt_20150223 (1)'!K131+"h_l!cH"</f>
        <v>#VALUE!</v>
      </c>
      <c r="AU22" t="e">
        <f>'SurveyRpt_20150223 (1)'!L131+"h_l!cI"</f>
        <v>#VALUE!</v>
      </c>
      <c r="AV22" t="e">
        <f>'SurveyRpt_20150223 (1)'!M131+"h_l!cJ"</f>
        <v>#VALUE!</v>
      </c>
      <c r="AW22" t="e">
        <f>'SurveyRpt_20150223 (1)'!N131+"h_l!cK"</f>
        <v>#VALUE!</v>
      </c>
      <c r="AX22" t="e">
        <f>'SurveyRpt_20150223 (1)'!O131+"h_l!cL"</f>
        <v>#VALUE!</v>
      </c>
      <c r="AY22" t="e">
        <f>'SurveyRpt_20150223 (1)'!P131+"h_l!cM"</f>
        <v>#VALUE!</v>
      </c>
      <c r="AZ22" t="e">
        <f>'SurveyRpt_20150223 (1)'!Q131+"h_l!cN"</f>
        <v>#VALUE!</v>
      </c>
      <c r="BA22" t="e">
        <f>'SurveyRpt_20150223 (1)'!R131+"h_l!cO"</f>
        <v>#VALUE!</v>
      </c>
      <c r="BB22" t="e">
        <f>'SurveyRpt_20150223 (1)'!S131+"h_l!cP"</f>
        <v>#VALUE!</v>
      </c>
      <c r="BC22" t="e">
        <f>'SurveyRpt_20150223 (1)'!T131+"h_l!cQ"</f>
        <v>#VALUE!</v>
      </c>
      <c r="BD22" t="e">
        <f>'SurveyRpt_20150223 (1)'!U131+"h_l!cR"</f>
        <v>#VALUE!</v>
      </c>
      <c r="BE22" t="e">
        <f>'SurveyRpt_20150223 (1)'!V131+"h_l!cS"</f>
        <v>#VALUE!</v>
      </c>
      <c r="BF22" t="e">
        <f>'SurveyRpt_20150223 (1)'!W131+"h_l!cT"</f>
        <v>#VALUE!</v>
      </c>
      <c r="BG22" t="e">
        <f>'SurveyRpt_20150223 (1)'!X131+"h_l!cU"</f>
        <v>#VALUE!</v>
      </c>
      <c r="BH22" t="e">
        <f>'SurveyRpt_20150223 (1)'!Y131+"h_l!cV"</f>
        <v>#VALUE!</v>
      </c>
      <c r="BI22" t="e">
        <f>'SurveyRpt_20150223 (1)'!Z131+"h_l!cW"</f>
        <v>#VALUE!</v>
      </c>
      <c r="BJ22" t="e">
        <f>'SurveyRpt_20150223 (1)'!AA131+"h_l!cX"</f>
        <v>#VALUE!</v>
      </c>
      <c r="BK22" t="e">
        <f>'SurveyRpt_20150223 (1)'!AB131+"h_l!cY"</f>
        <v>#VALUE!</v>
      </c>
      <c r="BL22" t="e">
        <f>'SurveyRpt_20150223 (1)'!AC131+"h_l!cZ"</f>
        <v>#VALUE!</v>
      </c>
      <c r="BM22" t="e">
        <f>'SurveyRpt_20150223 (1)'!AD131+"h_l!c["</f>
        <v>#VALUE!</v>
      </c>
      <c r="BN22" t="e">
        <f>'SurveyRpt_20150223 (1)'!AE131+"h_l!c\"</f>
        <v>#VALUE!</v>
      </c>
      <c r="BO22" t="e">
        <f>'SurveyRpt_20150223 (1)'!AF131+"h_l!c]"</f>
        <v>#VALUE!</v>
      </c>
      <c r="BP22" t="e">
        <f>'SurveyRpt_20150223 (1)'!AG131+"h_l!c^"</f>
        <v>#VALUE!</v>
      </c>
      <c r="BQ22" t="e">
        <f>'SurveyRpt_20150223 (1)'!AH131+"h_l!c_"</f>
        <v>#VALUE!</v>
      </c>
      <c r="BR22" t="e">
        <f>'SurveyRpt_20150223 (1)'!AI131+"h_l!c`"</f>
        <v>#VALUE!</v>
      </c>
      <c r="BS22" t="e">
        <f>'SurveyRpt_20150223 (1)'!AJ131+"h_l!ca"</f>
        <v>#VALUE!</v>
      </c>
      <c r="BT22" t="e">
        <f>'SurveyRpt_20150223 (1)'!AK131+"h_l!cb"</f>
        <v>#VALUE!</v>
      </c>
      <c r="BU22" t="e">
        <f>'SurveyRpt_20150223 (1)'!AL131+"h_l!cc"</f>
        <v>#VALUE!</v>
      </c>
      <c r="BV22" t="e">
        <f>'SurveyRpt_20150223 (1)'!AM131+"h_l!cd"</f>
        <v>#VALUE!</v>
      </c>
      <c r="BW22" t="e">
        <f>'SurveyRpt_20150223 (1)'!AN131+"h_l!ce"</f>
        <v>#VALUE!</v>
      </c>
      <c r="BX22" t="e">
        <f>'SurveyRpt_20150223 (1)'!A132+"h_l!cf"</f>
        <v>#VALUE!</v>
      </c>
      <c r="BY22" s="25" t="e">
        <f>'SurveyRpt_20150223 (1)'!B132+"h_l!cg"</f>
        <v>#VALUE!</v>
      </c>
      <c r="BZ22" t="e">
        <f>'SurveyRpt_20150223 (1)'!C132+"h_l!ch"</f>
        <v>#VALUE!</v>
      </c>
      <c r="CA22" s="25" t="e">
        <f>'SurveyRpt_20150223 (1)'!D132+"h_l!ci"</f>
        <v>#VALUE!</v>
      </c>
      <c r="CB22" t="e">
        <f>'SurveyRpt_20150223 (1)'!E132+"h_l!cj"</f>
        <v>#VALUE!</v>
      </c>
      <c r="CC22" t="e">
        <f>'SurveyRpt_20150223 (1)'!F132+"h_l!ck"</f>
        <v>#VALUE!</v>
      </c>
      <c r="CD22" t="e">
        <f>'SurveyRpt_20150223 (1)'!G132+"h_l!cl"</f>
        <v>#VALUE!</v>
      </c>
      <c r="CE22" t="e">
        <f>'SurveyRpt_20150223 (1)'!H132+"h_l!cm"</f>
        <v>#VALUE!</v>
      </c>
      <c r="CF22" t="e">
        <f>'SurveyRpt_20150223 (1)'!I132+"h_l!cn"</f>
        <v>#VALUE!</v>
      </c>
      <c r="CG22" t="e">
        <f>'SurveyRpt_20150223 (1)'!J132+"h_l!co"</f>
        <v>#VALUE!</v>
      </c>
      <c r="CH22" t="e">
        <f>'SurveyRpt_20150223 (1)'!K132+"h_l!cp"</f>
        <v>#VALUE!</v>
      </c>
      <c r="CI22" t="e">
        <f>'SurveyRpt_20150223 (1)'!L132+"h_l!cq"</f>
        <v>#VALUE!</v>
      </c>
      <c r="CJ22" t="e">
        <f>'SurveyRpt_20150223 (1)'!M132+"h_l!cr"</f>
        <v>#VALUE!</v>
      </c>
      <c r="CK22" t="e">
        <f>'SurveyRpt_20150223 (1)'!N132+"h_l!cs"</f>
        <v>#VALUE!</v>
      </c>
      <c r="CL22" t="e">
        <f>'SurveyRpt_20150223 (1)'!O132+"h_l!ct"</f>
        <v>#VALUE!</v>
      </c>
      <c r="CM22" t="e">
        <f>'SurveyRpt_20150223 (1)'!P132+"h_l!cu"</f>
        <v>#VALUE!</v>
      </c>
      <c r="CN22" t="e">
        <f>'SurveyRpt_20150223 (1)'!Q132+"h_l!cv"</f>
        <v>#VALUE!</v>
      </c>
      <c r="CO22" t="e">
        <f>'SurveyRpt_20150223 (1)'!R132+"h_l!cw"</f>
        <v>#VALUE!</v>
      </c>
      <c r="CP22" t="e">
        <f>'SurveyRpt_20150223 (1)'!S132+"h_l!cx"</f>
        <v>#VALUE!</v>
      </c>
      <c r="CQ22" t="e">
        <f>'SurveyRpt_20150223 (1)'!T132+"h_l!cy"</f>
        <v>#VALUE!</v>
      </c>
      <c r="CR22" t="e">
        <f>'SurveyRpt_20150223 (1)'!U132+"h_l!cz"</f>
        <v>#VALUE!</v>
      </c>
      <c r="CS22" t="e">
        <f>'SurveyRpt_20150223 (1)'!V132+"h_l!c{"</f>
        <v>#VALUE!</v>
      </c>
      <c r="CT22" t="e">
        <f>'SurveyRpt_20150223 (1)'!W132+"h_l!c|"</f>
        <v>#VALUE!</v>
      </c>
      <c r="CU22" t="e">
        <f>'SurveyRpt_20150223 (1)'!X132+"h_l!c}"</f>
        <v>#VALUE!</v>
      </c>
      <c r="CV22" t="e">
        <f>'SurveyRpt_20150223 (1)'!Y132+"h_l!c~"</f>
        <v>#VALUE!</v>
      </c>
      <c r="CW22" t="e">
        <f>'SurveyRpt_20150223 (1)'!Z132+"h_l!d#"</f>
        <v>#VALUE!</v>
      </c>
      <c r="CX22" t="e">
        <f>'SurveyRpt_20150223 (1)'!AA132+"h_l!d$"</f>
        <v>#VALUE!</v>
      </c>
      <c r="CY22" t="e">
        <f>'SurveyRpt_20150223 (1)'!AB132+"h_l!d%"</f>
        <v>#VALUE!</v>
      </c>
      <c r="CZ22" t="e">
        <f>'SurveyRpt_20150223 (1)'!AC132+"h_l!d&amp;"</f>
        <v>#VALUE!</v>
      </c>
      <c r="DA22" t="e">
        <f>'SurveyRpt_20150223 (1)'!AD132+"h_l!d'"</f>
        <v>#VALUE!</v>
      </c>
      <c r="DB22" t="e">
        <f>'SurveyRpt_20150223 (1)'!AE132+"h_l!d("</f>
        <v>#VALUE!</v>
      </c>
      <c r="DC22" t="e">
        <f>'SurveyRpt_20150223 (1)'!AF132+"h_l!d)"</f>
        <v>#VALUE!</v>
      </c>
      <c r="DD22" t="e">
        <f>'SurveyRpt_20150223 (1)'!AG132+"h_l!d."</f>
        <v>#VALUE!</v>
      </c>
      <c r="DE22" t="e">
        <f>'SurveyRpt_20150223 (1)'!AH132+"h_l!d/"</f>
        <v>#VALUE!</v>
      </c>
      <c r="DF22" t="e">
        <f>'SurveyRpt_20150223 (1)'!AI132+"h_l!d0"</f>
        <v>#VALUE!</v>
      </c>
      <c r="DG22" t="e">
        <f>'SurveyRpt_20150223 (1)'!AJ132+"h_l!d1"</f>
        <v>#VALUE!</v>
      </c>
      <c r="DH22" t="e">
        <f>'SurveyRpt_20150223 (1)'!AK132+"h_l!d2"</f>
        <v>#VALUE!</v>
      </c>
      <c r="DI22" t="e">
        <f>'SurveyRpt_20150223 (1)'!AL132+"h_l!d3"</f>
        <v>#VALUE!</v>
      </c>
      <c r="DJ22" t="e">
        <f>'SurveyRpt_20150223 (1)'!AM132+"h_l!d4"</f>
        <v>#VALUE!</v>
      </c>
      <c r="DK22" t="e">
        <f>'SurveyRpt_20150223 (1)'!AN132+"h_l!d5"</f>
        <v>#VALUE!</v>
      </c>
      <c r="DL22" t="e">
        <f>'SurveyRpt_20150223 (1)'!A133+"h_l!d6"</f>
        <v>#VALUE!</v>
      </c>
      <c r="DM22" s="25" t="e">
        <f>'SurveyRpt_20150223 (1)'!B133+"h_l!d7"</f>
        <v>#VALUE!</v>
      </c>
      <c r="DN22" t="e">
        <f>'SurveyRpt_20150223 (1)'!C133+"h_l!d8"</f>
        <v>#VALUE!</v>
      </c>
      <c r="DO22" s="25" t="e">
        <f>'SurveyRpt_20150223 (1)'!D133+"h_l!d9"</f>
        <v>#VALUE!</v>
      </c>
      <c r="DP22" t="e">
        <f>'SurveyRpt_20150223 (1)'!E133+"h_l!d:"</f>
        <v>#VALUE!</v>
      </c>
      <c r="DQ22" t="e">
        <f>'SurveyRpt_20150223 (1)'!F133+"h_l!d;"</f>
        <v>#VALUE!</v>
      </c>
      <c r="DR22" t="e">
        <f>'SurveyRpt_20150223 (1)'!G133+"h_l!d&lt;"</f>
        <v>#VALUE!</v>
      </c>
      <c r="DS22" t="e">
        <f>'SurveyRpt_20150223 (1)'!H133+"h_l!d="</f>
        <v>#VALUE!</v>
      </c>
      <c r="DT22" t="e">
        <f>'SurveyRpt_20150223 (1)'!I133+"h_l!d&gt;"</f>
        <v>#VALUE!</v>
      </c>
      <c r="DU22" t="e">
        <f>'SurveyRpt_20150223 (1)'!J133+"h_l!d?"</f>
        <v>#VALUE!</v>
      </c>
      <c r="DV22" t="e">
        <f>'SurveyRpt_20150223 (1)'!K133+"h_l!d@"</f>
        <v>#VALUE!</v>
      </c>
      <c r="DW22" t="e">
        <f>'SurveyRpt_20150223 (1)'!L133+"h_l!dA"</f>
        <v>#VALUE!</v>
      </c>
      <c r="DX22" t="e">
        <f>'SurveyRpt_20150223 (1)'!M133+"h_l!dB"</f>
        <v>#VALUE!</v>
      </c>
      <c r="DY22" t="e">
        <f>'SurveyRpt_20150223 (1)'!N133+"h_l!dC"</f>
        <v>#VALUE!</v>
      </c>
      <c r="DZ22" t="e">
        <f>'SurveyRpt_20150223 (1)'!O133+"h_l!dD"</f>
        <v>#VALUE!</v>
      </c>
      <c r="EA22" t="e">
        <f>'SurveyRpt_20150223 (1)'!P133+"h_l!dE"</f>
        <v>#VALUE!</v>
      </c>
      <c r="EB22" t="e">
        <f>'SurveyRpt_20150223 (1)'!Q133+"h_l!dF"</f>
        <v>#VALUE!</v>
      </c>
      <c r="EC22" t="e">
        <f>'SurveyRpt_20150223 (1)'!R133+"h_l!dG"</f>
        <v>#VALUE!</v>
      </c>
      <c r="ED22" t="e">
        <f>'SurveyRpt_20150223 (1)'!S133+"h_l!dH"</f>
        <v>#VALUE!</v>
      </c>
      <c r="EE22" t="e">
        <f>'SurveyRpt_20150223 (1)'!T133+"h_l!dI"</f>
        <v>#VALUE!</v>
      </c>
      <c r="EF22" t="e">
        <f>'SurveyRpt_20150223 (1)'!U133+"h_l!dJ"</f>
        <v>#VALUE!</v>
      </c>
      <c r="EG22" t="e">
        <f>'SurveyRpt_20150223 (1)'!V133+"h_l!dK"</f>
        <v>#VALUE!</v>
      </c>
      <c r="EH22" t="e">
        <f>'SurveyRpt_20150223 (1)'!W133+"h_l!dL"</f>
        <v>#VALUE!</v>
      </c>
      <c r="EI22" t="e">
        <f>'SurveyRpt_20150223 (1)'!X133+"h_l!dM"</f>
        <v>#VALUE!</v>
      </c>
      <c r="EJ22" t="e">
        <f>'SurveyRpt_20150223 (1)'!Y133+"h_l!dN"</f>
        <v>#VALUE!</v>
      </c>
      <c r="EK22" t="e">
        <f>'SurveyRpt_20150223 (1)'!Z133+"h_l!dO"</f>
        <v>#VALUE!</v>
      </c>
      <c r="EL22" t="e">
        <f>'SurveyRpt_20150223 (1)'!AA133+"h_l!dP"</f>
        <v>#VALUE!</v>
      </c>
      <c r="EM22" t="e">
        <f>'SurveyRpt_20150223 (1)'!AB133+"h_l!dQ"</f>
        <v>#VALUE!</v>
      </c>
      <c r="EN22" t="e">
        <f>'SurveyRpt_20150223 (1)'!AC133+"h_l!dR"</f>
        <v>#VALUE!</v>
      </c>
      <c r="EO22" t="e">
        <f>'SurveyRpt_20150223 (1)'!AD133+"h_l!dS"</f>
        <v>#VALUE!</v>
      </c>
      <c r="EP22" t="e">
        <f>'SurveyRpt_20150223 (1)'!AE133+"h_l!dT"</f>
        <v>#VALUE!</v>
      </c>
      <c r="EQ22" t="e">
        <f>'SurveyRpt_20150223 (1)'!AF133+"h_l!dU"</f>
        <v>#VALUE!</v>
      </c>
      <c r="ER22" t="e">
        <f>'SurveyRpt_20150223 (1)'!AG133+"h_l!dV"</f>
        <v>#VALUE!</v>
      </c>
      <c r="ES22" t="e">
        <f>'SurveyRpt_20150223 (1)'!AH133+"h_l!dW"</f>
        <v>#VALUE!</v>
      </c>
      <c r="ET22" t="e">
        <f>'SurveyRpt_20150223 (1)'!AI133+"h_l!dX"</f>
        <v>#VALUE!</v>
      </c>
      <c r="EU22" t="e">
        <f>'SurveyRpt_20150223 (1)'!AJ133+"h_l!dY"</f>
        <v>#VALUE!</v>
      </c>
      <c r="EV22" t="e">
        <f>'SurveyRpt_20150223 (1)'!AK133+"h_l!dZ"</f>
        <v>#VALUE!</v>
      </c>
      <c r="EW22" t="e">
        <f>'SurveyRpt_20150223 (1)'!AL133+"h_l!d["</f>
        <v>#VALUE!</v>
      </c>
      <c r="EX22" t="e">
        <f>'SurveyRpt_20150223 (1)'!AM133+"h_l!d\"</f>
        <v>#VALUE!</v>
      </c>
      <c r="EY22" t="e">
        <f>'SurveyRpt_20150223 (1)'!AN133+"h_l!d]"</f>
        <v>#VALUE!</v>
      </c>
      <c r="EZ22" t="e">
        <f>'SurveyRpt_20150223 (1)'!A134+"h_l!d^"</f>
        <v>#VALUE!</v>
      </c>
      <c r="FA22" s="25" t="e">
        <f>'SurveyRpt_20150223 (1)'!B134+"h_l!d_"</f>
        <v>#VALUE!</v>
      </c>
      <c r="FB22" t="e">
        <f>'SurveyRpt_20150223 (1)'!C134+"h_l!d`"</f>
        <v>#VALUE!</v>
      </c>
      <c r="FC22" s="25" t="e">
        <f>'SurveyRpt_20150223 (1)'!D134+"h_l!da"</f>
        <v>#VALUE!</v>
      </c>
      <c r="FD22" t="e">
        <f>'SurveyRpt_20150223 (1)'!E134+"h_l!db"</f>
        <v>#VALUE!</v>
      </c>
      <c r="FE22" t="e">
        <f>'SurveyRpt_20150223 (1)'!F134+"h_l!dc"</f>
        <v>#VALUE!</v>
      </c>
      <c r="FF22" t="e">
        <f>'SurveyRpt_20150223 (1)'!G134+"h_l!dd"</f>
        <v>#VALUE!</v>
      </c>
      <c r="FG22" t="e">
        <f>'SurveyRpt_20150223 (1)'!H134+"h_l!de"</f>
        <v>#VALUE!</v>
      </c>
      <c r="FH22" t="e">
        <f>'SurveyRpt_20150223 (1)'!I134+"h_l!df"</f>
        <v>#VALUE!</v>
      </c>
      <c r="FI22" t="e">
        <f>'SurveyRpt_20150223 (1)'!J134+"h_l!dg"</f>
        <v>#VALUE!</v>
      </c>
      <c r="FJ22" t="e">
        <f>'SurveyRpt_20150223 (1)'!K134+"h_l!dh"</f>
        <v>#VALUE!</v>
      </c>
      <c r="FK22" t="e">
        <f>'SurveyRpt_20150223 (1)'!L134+"h_l!di"</f>
        <v>#VALUE!</v>
      </c>
      <c r="FL22" t="e">
        <f>'SurveyRpt_20150223 (1)'!M134+"h_l!dj"</f>
        <v>#VALUE!</v>
      </c>
      <c r="FM22" t="e">
        <f>'SurveyRpt_20150223 (1)'!N134+"h_l!dk"</f>
        <v>#VALUE!</v>
      </c>
      <c r="FN22" t="e">
        <f>'SurveyRpt_20150223 (1)'!O134+"h_l!dl"</f>
        <v>#VALUE!</v>
      </c>
      <c r="FO22" t="e">
        <f>'SurveyRpt_20150223 (1)'!P134+"h_l!dm"</f>
        <v>#VALUE!</v>
      </c>
      <c r="FP22" t="e">
        <f>'SurveyRpt_20150223 (1)'!Q134+"h_l!dn"</f>
        <v>#VALUE!</v>
      </c>
      <c r="FQ22" t="e">
        <f>'SurveyRpt_20150223 (1)'!R134+"h_l!do"</f>
        <v>#VALUE!</v>
      </c>
      <c r="FR22" t="e">
        <f>'SurveyRpt_20150223 (1)'!S134+"h_l!dp"</f>
        <v>#VALUE!</v>
      </c>
      <c r="FS22" t="e">
        <f>'SurveyRpt_20150223 (1)'!T134+"h_l!dq"</f>
        <v>#VALUE!</v>
      </c>
      <c r="FT22" t="e">
        <f>'SurveyRpt_20150223 (1)'!U134+"h_l!dr"</f>
        <v>#VALUE!</v>
      </c>
      <c r="FU22" t="e">
        <f>'SurveyRpt_20150223 (1)'!V134+"h_l!ds"</f>
        <v>#VALUE!</v>
      </c>
      <c r="FV22" t="e">
        <f>'SurveyRpt_20150223 (1)'!W134+"h_l!dt"</f>
        <v>#VALUE!</v>
      </c>
      <c r="FW22" t="e">
        <f>'SurveyRpt_20150223 (1)'!X134+"h_l!du"</f>
        <v>#VALUE!</v>
      </c>
      <c r="FX22" t="e">
        <f>'SurveyRpt_20150223 (1)'!Y134+"h_l!dv"</f>
        <v>#VALUE!</v>
      </c>
      <c r="FY22" t="e">
        <f>'SurveyRpt_20150223 (1)'!Z134+"h_l!dw"</f>
        <v>#VALUE!</v>
      </c>
      <c r="FZ22" t="e">
        <f>'SurveyRpt_20150223 (1)'!AA134+"h_l!dx"</f>
        <v>#VALUE!</v>
      </c>
      <c r="GA22" t="e">
        <f>'SurveyRpt_20150223 (1)'!AB134+"h_l!dy"</f>
        <v>#VALUE!</v>
      </c>
      <c r="GB22" t="e">
        <f>'SurveyRpt_20150223 (1)'!AC134+"h_l!dz"</f>
        <v>#VALUE!</v>
      </c>
      <c r="GC22" t="e">
        <f>'SurveyRpt_20150223 (1)'!AD134+"h_l!d{"</f>
        <v>#VALUE!</v>
      </c>
      <c r="GD22" t="e">
        <f>'SurveyRpt_20150223 (1)'!AE134+"h_l!d|"</f>
        <v>#VALUE!</v>
      </c>
      <c r="GE22" t="e">
        <f>'SurveyRpt_20150223 (1)'!AF134+"h_l!d}"</f>
        <v>#VALUE!</v>
      </c>
      <c r="GF22" t="e">
        <f>'SurveyRpt_20150223 (1)'!AG134+"h_l!d~"</f>
        <v>#VALUE!</v>
      </c>
      <c r="GG22" t="e">
        <f>'SurveyRpt_20150223 (1)'!AH134+"h_l!e#"</f>
        <v>#VALUE!</v>
      </c>
      <c r="GH22" t="e">
        <f>'SurveyRpt_20150223 (1)'!AI134+"h_l!e$"</f>
        <v>#VALUE!</v>
      </c>
      <c r="GI22" t="e">
        <f>'SurveyRpt_20150223 (1)'!AJ134+"h_l!e%"</f>
        <v>#VALUE!</v>
      </c>
      <c r="GJ22" t="e">
        <f>'SurveyRpt_20150223 (1)'!AK134+"h_l!e&amp;"</f>
        <v>#VALUE!</v>
      </c>
      <c r="GK22" t="e">
        <f>'SurveyRpt_20150223 (1)'!AL134+"h_l!e'"</f>
        <v>#VALUE!</v>
      </c>
      <c r="GL22" t="e">
        <f>'SurveyRpt_20150223 (1)'!AM134+"h_l!e("</f>
        <v>#VALUE!</v>
      </c>
      <c r="GM22" t="e">
        <f>'SurveyRpt_20150223 (1)'!AN134+"h_l!e)"</f>
        <v>#VALUE!</v>
      </c>
      <c r="GN22" t="e">
        <f>'SurveyRpt_20150223 (1)'!A135+"h_l!e."</f>
        <v>#VALUE!</v>
      </c>
      <c r="GO22" s="25" t="e">
        <f>'SurveyRpt_20150223 (1)'!B135+"h_l!e/"</f>
        <v>#VALUE!</v>
      </c>
      <c r="GP22" t="e">
        <f>'SurveyRpt_20150223 (1)'!C135+"h_l!e0"</f>
        <v>#VALUE!</v>
      </c>
      <c r="GQ22" s="25" t="e">
        <f>'SurveyRpt_20150223 (1)'!D135+"h_l!e1"</f>
        <v>#VALUE!</v>
      </c>
      <c r="GR22" t="e">
        <f>'SurveyRpt_20150223 (1)'!E135+"h_l!e2"</f>
        <v>#VALUE!</v>
      </c>
      <c r="GS22" t="e">
        <f>'SurveyRpt_20150223 (1)'!F135+"h_l!e3"</f>
        <v>#VALUE!</v>
      </c>
      <c r="GT22" t="e">
        <f>'SurveyRpt_20150223 (1)'!G135+"h_l!e4"</f>
        <v>#VALUE!</v>
      </c>
      <c r="GU22" t="e">
        <f>'SurveyRpt_20150223 (1)'!H135+"h_l!e5"</f>
        <v>#VALUE!</v>
      </c>
      <c r="GV22" t="e">
        <f>'SurveyRpt_20150223 (1)'!I135+"h_l!e6"</f>
        <v>#VALUE!</v>
      </c>
      <c r="GW22" t="e">
        <f>'SurveyRpt_20150223 (1)'!J135+"h_l!e7"</f>
        <v>#VALUE!</v>
      </c>
      <c r="GX22" t="e">
        <f>'SurveyRpt_20150223 (1)'!K135+"h_l!e8"</f>
        <v>#VALUE!</v>
      </c>
      <c r="GY22" t="e">
        <f>'SurveyRpt_20150223 (1)'!L135+"h_l!e9"</f>
        <v>#VALUE!</v>
      </c>
      <c r="GZ22" t="e">
        <f>'SurveyRpt_20150223 (1)'!M135+"h_l!e:"</f>
        <v>#VALUE!</v>
      </c>
      <c r="HA22" t="e">
        <f>'SurveyRpt_20150223 (1)'!N135+"h_l!e;"</f>
        <v>#VALUE!</v>
      </c>
      <c r="HB22" t="e">
        <f>'SurveyRpt_20150223 (1)'!O135+"h_l!e&lt;"</f>
        <v>#VALUE!</v>
      </c>
      <c r="HC22" t="e">
        <f>'SurveyRpt_20150223 (1)'!P135+"h_l!e="</f>
        <v>#VALUE!</v>
      </c>
      <c r="HD22" t="e">
        <f>'SurveyRpt_20150223 (1)'!Q135+"h_l!e&gt;"</f>
        <v>#VALUE!</v>
      </c>
      <c r="HE22" t="e">
        <f>'SurveyRpt_20150223 (1)'!R135+"h_l!e?"</f>
        <v>#VALUE!</v>
      </c>
      <c r="HF22" t="e">
        <f>'SurveyRpt_20150223 (1)'!S135+"h_l!e@"</f>
        <v>#VALUE!</v>
      </c>
      <c r="HG22" t="e">
        <f>'SurveyRpt_20150223 (1)'!T135+"h_l!eA"</f>
        <v>#VALUE!</v>
      </c>
      <c r="HH22" t="e">
        <f>'SurveyRpt_20150223 (1)'!U135+"h_l!eB"</f>
        <v>#VALUE!</v>
      </c>
      <c r="HI22" t="e">
        <f>'SurveyRpt_20150223 (1)'!V135+"h_l!eC"</f>
        <v>#VALUE!</v>
      </c>
      <c r="HJ22" t="e">
        <f>'SurveyRpt_20150223 (1)'!W135+"h_l!eD"</f>
        <v>#VALUE!</v>
      </c>
      <c r="HK22" t="e">
        <f>'SurveyRpt_20150223 (1)'!X135+"h_l!eE"</f>
        <v>#VALUE!</v>
      </c>
      <c r="HL22" t="e">
        <f>'SurveyRpt_20150223 (1)'!Y135+"h_l!eF"</f>
        <v>#VALUE!</v>
      </c>
      <c r="HM22" t="e">
        <f>'SurveyRpt_20150223 (1)'!Z135+"h_l!eG"</f>
        <v>#VALUE!</v>
      </c>
      <c r="HN22" t="e">
        <f>'SurveyRpt_20150223 (1)'!AA135+"h_l!eH"</f>
        <v>#VALUE!</v>
      </c>
      <c r="HO22" t="e">
        <f>'SurveyRpt_20150223 (1)'!AB135+"h_l!eI"</f>
        <v>#VALUE!</v>
      </c>
      <c r="HP22" t="e">
        <f>'SurveyRpt_20150223 (1)'!AC135+"h_l!eJ"</f>
        <v>#VALUE!</v>
      </c>
      <c r="HQ22" t="e">
        <f>'SurveyRpt_20150223 (1)'!AD135+"h_l!eK"</f>
        <v>#VALUE!</v>
      </c>
      <c r="HR22" t="e">
        <f>'SurveyRpt_20150223 (1)'!AE135+"h_l!eL"</f>
        <v>#VALUE!</v>
      </c>
      <c r="HS22" t="e">
        <f>'SurveyRpt_20150223 (1)'!AF135+"h_l!eM"</f>
        <v>#VALUE!</v>
      </c>
      <c r="HT22" t="e">
        <f>'SurveyRpt_20150223 (1)'!AG135+"h_l!eN"</f>
        <v>#VALUE!</v>
      </c>
      <c r="HU22" t="e">
        <f>'SurveyRpt_20150223 (1)'!AH135+"h_l!eO"</f>
        <v>#VALUE!</v>
      </c>
      <c r="HV22" t="e">
        <f>'SurveyRpt_20150223 (1)'!AI135+"h_l!eP"</f>
        <v>#VALUE!</v>
      </c>
      <c r="HW22" t="e">
        <f>'SurveyRpt_20150223 (1)'!AJ135+"h_l!eQ"</f>
        <v>#VALUE!</v>
      </c>
      <c r="HX22" t="e">
        <f>'SurveyRpt_20150223 (1)'!AK135+"h_l!eR"</f>
        <v>#VALUE!</v>
      </c>
      <c r="HY22" t="e">
        <f>'SurveyRpt_20150223 (1)'!AL135+"h_l!eS"</f>
        <v>#VALUE!</v>
      </c>
      <c r="HZ22" t="e">
        <f>'SurveyRpt_20150223 (1)'!AM135+"h_l!eT"</f>
        <v>#VALUE!</v>
      </c>
      <c r="IA22" t="e">
        <f>'SurveyRpt_20150223 (1)'!AN135+"h_l!eU"</f>
        <v>#VALUE!</v>
      </c>
      <c r="IB22" t="e">
        <f>'SurveyRpt_20150223 (1)'!A136+"h_l!eV"</f>
        <v>#VALUE!</v>
      </c>
      <c r="IC22" s="25" t="e">
        <f>'SurveyRpt_20150223 (1)'!B136+"h_l!eW"</f>
        <v>#VALUE!</v>
      </c>
      <c r="ID22" t="e">
        <f>'SurveyRpt_20150223 (1)'!C136+"h_l!eX"</f>
        <v>#VALUE!</v>
      </c>
      <c r="IE22" s="25" t="e">
        <f>'SurveyRpt_20150223 (1)'!D136+"h_l!eY"</f>
        <v>#VALUE!</v>
      </c>
      <c r="IF22" t="e">
        <f>'SurveyRpt_20150223 (1)'!E136+"h_l!eZ"</f>
        <v>#VALUE!</v>
      </c>
      <c r="IG22" t="e">
        <f>'SurveyRpt_20150223 (1)'!F136+"h_l!e["</f>
        <v>#VALUE!</v>
      </c>
      <c r="IH22" t="e">
        <f>'SurveyRpt_20150223 (1)'!G136+"h_l!e\"</f>
        <v>#VALUE!</v>
      </c>
      <c r="II22" t="e">
        <f>'SurveyRpt_20150223 (1)'!H136+"h_l!e]"</f>
        <v>#VALUE!</v>
      </c>
      <c r="IJ22" t="e">
        <f>'SurveyRpt_20150223 (1)'!I136+"h_l!e^"</f>
        <v>#VALUE!</v>
      </c>
      <c r="IK22" t="e">
        <f>'SurveyRpt_20150223 (1)'!J136+"h_l!e_"</f>
        <v>#VALUE!</v>
      </c>
      <c r="IL22" t="e">
        <f>'SurveyRpt_20150223 (1)'!K136+"h_l!e`"</f>
        <v>#VALUE!</v>
      </c>
      <c r="IM22" t="e">
        <f>'SurveyRpt_20150223 (1)'!L136+"h_l!ea"</f>
        <v>#VALUE!</v>
      </c>
      <c r="IN22" t="e">
        <f>'SurveyRpt_20150223 (1)'!M136+"h_l!eb"</f>
        <v>#VALUE!</v>
      </c>
      <c r="IO22" t="e">
        <f>'SurveyRpt_20150223 (1)'!N136+"h_l!ec"</f>
        <v>#VALUE!</v>
      </c>
      <c r="IP22" t="e">
        <f>'SurveyRpt_20150223 (1)'!O136+"h_l!ed"</f>
        <v>#VALUE!</v>
      </c>
      <c r="IQ22" t="e">
        <f>'SurveyRpt_20150223 (1)'!P136+"h_l!ee"</f>
        <v>#VALUE!</v>
      </c>
      <c r="IR22" t="e">
        <f>'SurveyRpt_20150223 (1)'!Q136+"h_l!ef"</f>
        <v>#VALUE!</v>
      </c>
      <c r="IS22" t="e">
        <f>'SurveyRpt_20150223 (1)'!R136+"h_l!eg"</f>
        <v>#VALUE!</v>
      </c>
      <c r="IT22" t="e">
        <f>'SurveyRpt_20150223 (1)'!S136+"h_l!eh"</f>
        <v>#VALUE!</v>
      </c>
      <c r="IU22" t="e">
        <f>'SurveyRpt_20150223 (1)'!T136+"h_l!ei"</f>
        <v>#VALUE!</v>
      </c>
      <c r="IV22" t="e">
        <f>'SurveyRpt_20150223 (1)'!U136+"h_l!ej"</f>
        <v>#VALUE!</v>
      </c>
    </row>
    <row r="23" spans="6:256" x14ac:dyDescent="0.25">
      <c r="F23" t="e">
        <f>'SurveyRpt_20150223 (1)'!V136+"h_l!ek"</f>
        <v>#VALUE!</v>
      </c>
      <c r="G23" t="e">
        <f>'SurveyRpt_20150223 (1)'!W136+"h_l!el"</f>
        <v>#VALUE!</v>
      </c>
      <c r="H23" t="e">
        <f>'SurveyRpt_20150223 (1)'!X136+"h_l!em"</f>
        <v>#VALUE!</v>
      </c>
      <c r="I23" t="e">
        <f>'SurveyRpt_20150223 (1)'!Y136+"h_l!en"</f>
        <v>#VALUE!</v>
      </c>
      <c r="J23" t="e">
        <f>'SurveyRpt_20150223 (1)'!Z136+"h_l!eo"</f>
        <v>#VALUE!</v>
      </c>
      <c r="K23" t="e">
        <f>'SurveyRpt_20150223 (1)'!AA136+"h_l!ep"</f>
        <v>#VALUE!</v>
      </c>
      <c r="L23" t="e">
        <f>'SurveyRpt_20150223 (1)'!AB136+"h_l!eq"</f>
        <v>#VALUE!</v>
      </c>
      <c r="M23" t="e">
        <f>'SurveyRpt_20150223 (1)'!AC136+"h_l!er"</f>
        <v>#VALUE!</v>
      </c>
      <c r="N23" t="e">
        <f>'SurveyRpt_20150223 (1)'!AD136+"h_l!es"</f>
        <v>#VALUE!</v>
      </c>
      <c r="O23" t="e">
        <f>'SurveyRpt_20150223 (1)'!AE136+"h_l!et"</f>
        <v>#VALUE!</v>
      </c>
      <c r="P23" t="e">
        <f>'SurveyRpt_20150223 (1)'!AF136+"h_l!eu"</f>
        <v>#VALUE!</v>
      </c>
      <c r="Q23" t="e">
        <f>'SurveyRpt_20150223 (1)'!AG136+"h_l!ev"</f>
        <v>#VALUE!</v>
      </c>
      <c r="R23" t="e">
        <f>'SurveyRpt_20150223 (1)'!AH136+"h_l!ew"</f>
        <v>#VALUE!</v>
      </c>
      <c r="S23" t="e">
        <f>'SurveyRpt_20150223 (1)'!AI136+"h_l!ex"</f>
        <v>#VALUE!</v>
      </c>
      <c r="T23" t="e">
        <f>'SurveyRpt_20150223 (1)'!AJ136+"h_l!ey"</f>
        <v>#VALUE!</v>
      </c>
      <c r="U23" t="e">
        <f>'SurveyRpt_20150223 (1)'!AK136+"h_l!ez"</f>
        <v>#VALUE!</v>
      </c>
      <c r="V23" t="e">
        <f>'SurveyRpt_20150223 (1)'!AL136+"h_l!e{"</f>
        <v>#VALUE!</v>
      </c>
      <c r="W23" t="e">
        <f>'SurveyRpt_20150223 (1)'!AM136+"h_l!e|"</f>
        <v>#VALUE!</v>
      </c>
      <c r="X23" t="e">
        <f>'SurveyRpt_20150223 (1)'!AN136+"h_l!e}"</f>
        <v>#VALUE!</v>
      </c>
      <c r="Y23" t="e">
        <f>'SurveyRpt_20150223 (1)'!A137+"h_l!e~"</f>
        <v>#VALUE!</v>
      </c>
      <c r="Z23" s="25" t="e">
        <f>'SurveyRpt_20150223 (1)'!B137+"h_l!f#"</f>
        <v>#VALUE!</v>
      </c>
      <c r="AA23" t="e">
        <f>'SurveyRpt_20150223 (1)'!C137+"h_l!f$"</f>
        <v>#VALUE!</v>
      </c>
      <c r="AB23" s="25" t="e">
        <f>'SurveyRpt_20150223 (1)'!D137+"h_l!f%"</f>
        <v>#VALUE!</v>
      </c>
      <c r="AC23" t="e">
        <f>'SurveyRpt_20150223 (1)'!E137+"h_l!f&amp;"</f>
        <v>#VALUE!</v>
      </c>
      <c r="AD23" t="e">
        <f>'SurveyRpt_20150223 (1)'!F137+"h_l!f'"</f>
        <v>#VALUE!</v>
      </c>
      <c r="AE23" t="e">
        <f>'SurveyRpt_20150223 (1)'!G137+"h_l!f("</f>
        <v>#VALUE!</v>
      </c>
      <c r="AF23" t="e">
        <f>'SurveyRpt_20150223 (1)'!H137+"h_l!f)"</f>
        <v>#VALUE!</v>
      </c>
      <c r="AG23" t="e">
        <f>'SurveyRpt_20150223 (1)'!I137+"h_l!f."</f>
        <v>#VALUE!</v>
      </c>
      <c r="AH23" t="e">
        <f>'SurveyRpt_20150223 (1)'!J137+"h_l!f/"</f>
        <v>#VALUE!</v>
      </c>
      <c r="AI23" t="e">
        <f>'SurveyRpt_20150223 (1)'!K137+"h_l!f0"</f>
        <v>#VALUE!</v>
      </c>
      <c r="AJ23" t="e">
        <f>'SurveyRpt_20150223 (1)'!L137+"h_l!f1"</f>
        <v>#VALUE!</v>
      </c>
      <c r="AK23" t="e">
        <f>'SurveyRpt_20150223 (1)'!M137+"h_l!f2"</f>
        <v>#VALUE!</v>
      </c>
      <c r="AL23" t="e">
        <f>'SurveyRpt_20150223 (1)'!N137+"h_l!f3"</f>
        <v>#VALUE!</v>
      </c>
      <c r="AM23" t="e">
        <f>'SurveyRpt_20150223 (1)'!O137+"h_l!f4"</f>
        <v>#VALUE!</v>
      </c>
      <c r="AN23" t="e">
        <f>'SurveyRpt_20150223 (1)'!P137+"h_l!f5"</f>
        <v>#VALUE!</v>
      </c>
      <c r="AO23" t="e">
        <f>'SurveyRpt_20150223 (1)'!Q137+"h_l!f6"</f>
        <v>#VALUE!</v>
      </c>
      <c r="AP23" t="e">
        <f>'SurveyRpt_20150223 (1)'!R137+"h_l!f7"</f>
        <v>#VALUE!</v>
      </c>
      <c r="AQ23" t="e">
        <f>'SurveyRpt_20150223 (1)'!S137+"h_l!f8"</f>
        <v>#VALUE!</v>
      </c>
      <c r="AR23" t="e">
        <f>'SurveyRpt_20150223 (1)'!T137+"h_l!f9"</f>
        <v>#VALUE!</v>
      </c>
      <c r="AS23" t="e">
        <f>'SurveyRpt_20150223 (1)'!U137+"h_l!f:"</f>
        <v>#VALUE!</v>
      </c>
      <c r="AT23" t="e">
        <f>'SurveyRpt_20150223 (1)'!V137+"h_l!f;"</f>
        <v>#VALUE!</v>
      </c>
      <c r="AU23" t="e">
        <f>'SurveyRpt_20150223 (1)'!W137+"h_l!f&lt;"</f>
        <v>#VALUE!</v>
      </c>
      <c r="AV23" t="e">
        <f>'SurveyRpt_20150223 (1)'!X137+"h_l!f="</f>
        <v>#VALUE!</v>
      </c>
      <c r="AW23" t="e">
        <f>'SurveyRpt_20150223 (1)'!Y137+"h_l!f&gt;"</f>
        <v>#VALUE!</v>
      </c>
      <c r="AX23" t="e">
        <f>'SurveyRpt_20150223 (1)'!Z137+"h_l!f?"</f>
        <v>#VALUE!</v>
      </c>
      <c r="AY23" t="e">
        <f>'SurveyRpt_20150223 (1)'!AA137+"h_l!f@"</f>
        <v>#VALUE!</v>
      </c>
      <c r="AZ23" t="e">
        <f>'SurveyRpt_20150223 (1)'!AB137+"h_l!fA"</f>
        <v>#VALUE!</v>
      </c>
      <c r="BA23" t="e">
        <f>'SurveyRpt_20150223 (1)'!AC137+"h_l!fB"</f>
        <v>#VALUE!</v>
      </c>
      <c r="BB23" t="e">
        <f>'SurveyRpt_20150223 (1)'!AD137+"h_l!fC"</f>
        <v>#VALUE!</v>
      </c>
      <c r="BC23" t="e">
        <f>'SurveyRpt_20150223 (1)'!AE137+"h_l!fD"</f>
        <v>#VALUE!</v>
      </c>
      <c r="BD23" t="e">
        <f>'SurveyRpt_20150223 (1)'!AF137+"h_l!fE"</f>
        <v>#VALUE!</v>
      </c>
      <c r="BE23" t="e">
        <f>'SurveyRpt_20150223 (1)'!AG137+"h_l!fF"</f>
        <v>#VALUE!</v>
      </c>
      <c r="BF23" t="e">
        <f>'SurveyRpt_20150223 (1)'!AH137+"h_l!fG"</f>
        <v>#VALUE!</v>
      </c>
      <c r="BG23" t="e">
        <f>'SurveyRpt_20150223 (1)'!AI137+"h_l!fH"</f>
        <v>#VALUE!</v>
      </c>
      <c r="BH23" t="e">
        <f>'SurveyRpt_20150223 (1)'!AJ137+"h_l!fI"</f>
        <v>#VALUE!</v>
      </c>
      <c r="BI23" t="e">
        <f>'SurveyRpt_20150223 (1)'!AK137+"h_l!fJ"</f>
        <v>#VALUE!</v>
      </c>
      <c r="BJ23" t="e">
        <f>'SurveyRpt_20150223 (1)'!AL137+"h_l!fK"</f>
        <v>#VALUE!</v>
      </c>
      <c r="BK23" t="e">
        <f>'SurveyRpt_20150223 (1)'!AM137+"h_l!fL"</f>
        <v>#VALUE!</v>
      </c>
      <c r="BL23" t="e">
        <f>'SurveyRpt_20150223 (1)'!AN137+"h_l!fM"</f>
        <v>#VALUE!</v>
      </c>
      <c r="BM23" t="e">
        <f>'SurveyRpt_20150223 (1)'!A138+"h_l!fN"</f>
        <v>#VALUE!</v>
      </c>
      <c r="BN23" s="25" t="e">
        <f>'SurveyRpt_20150223 (1)'!B138+"h_l!fO"</f>
        <v>#VALUE!</v>
      </c>
      <c r="BO23" t="e">
        <f>'SurveyRpt_20150223 (1)'!C138+"h_l!fP"</f>
        <v>#VALUE!</v>
      </c>
      <c r="BP23" s="25" t="e">
        <f>'SurveyRpt_20150223 (1)'!D138+"h_l!fQ"</f>
        <v>#VALUE!</v>
      </c>
      <c r="BQ23" t="e">
        <f>'SurveyRpt_20150223 (1)'!E138+"h_l!fR"</f>
        <v>#VALUE!</v>
      </c>
      <c r="BR23" t="e">
        <f>'SurveyRpt_20150223 (1)'!F138+"h_l!fS"</f>
        <v>#VALUE!</v>
      </c>
      <c r="BS23" t="e">
        <f>'SurveyRpt_20150223 (1)'!G138+"h_l!fT"</f>
        <v>#VALUE!</v>
      </c>
      <c r="BT23" t="e">
        <f>'SurveyRpt_20150223 (1)'!H138+"h_l!fU"</f>
        <v>#VALUE!</v>
      </c>
      <c r="BU23" t="e">
        <f>'SurveyRpt_20150223 (1)'!I138+"h_l!fV"</f>
        <v>#VALUE!</v>
      </c>
      <c r="BV23" t="e">
        <f>'SurveyRpt_20150223 (1)'!J138+"h_l!fW"</f>
        <v>#VALUE!</v>
      </c>
      <c r="BW23" t="e">
        <f>'SurveyRpt_20150223 (1)'!K138+"h_l!fX"</f>
        <v>#VALUE!</v>
      </c>
      <c r="BX23" t="e">
        <f>'SurveyRpt_20150223 (1)'!L138+"h_l!fY"</f>
        <v>#VALUE!</v>
      </c>
      <c r="BY23" t="e">
        <f>'SurveyRpt_20150223 (1)'!M138+"h_l!fZ"</f>
        <v>#VALUE!</v>
      </c>
      <c r="BZ23" t="e">
        <f>'SurveyRpt_20150223 (1)'!N138+"h_l!f["</f>
        <v>#VALUE!</v>
      </c>
      <c r="CA23" t="e">
        <f>'SurveyRpt_20150223 (1)'!O138+"h_l!f\"</f>
        <v>#VALUE!</v>
      </c>
      <c r="CB23" t="e">
        <f>'SurveyRpt_20150223 (1)'!P138+"h_l!f]"</f>
        <v>#VALUE!</v>
      </c>
      <c r="CC23" t="e">
        <f>'SurveyRpt_20150223 (1)'!Q138+"h_l!f^"</f>
        <v>#VALUE!</v>
      </c>
      <c r="CD23" t="e">
        <f>'SurveyRpt_20150223 (1)'!R138+"h_l!f_"</f>
        <v>#VALUE!</v>
      </c>
      <c r="CE23" t="e">
        <f>'SurveyRpt_20150223 (1)'!S138+"h_l!f`"</f>
        <v>#VALUE!</v>
      </c>
      <c r="CF23" t="e">
        <f>'SurveyRpt_20150223 (1)'!T138+"h_l!fa"</f>
        <v>#VALUE!</v>
      </c>
      <c r="CG23" t="e">
        <f>'SurveyRpt_20150223 (1)'!U138+"h_l!fb"</f>
        <v>#VALUE!</v>
      </c>
      <c r="CH23" t="e">
        <f>'SurveyRpt_20150223 (1)'!V138+"h_l!fc"</f>
        <v>#VALUE!</v>
      </c>
      <c r="CI23" t="e">
        <f>'SurveyRpt_20150223 (1)'!W138+"h_l!fd"</f>
        <v>#VALUE!</v>
      </c>
      <c r="CJ23" t="e">
        <f>'SurveyRpt_20150223 (1)'!X138+"h_l!fe"</f>
        <v>#VALUE!</v>
      </c>
      <c r="CK23" t="e">
        <f>'SurveyRpt_20150223 (1)'!Y138+"h_l!ff"</f>
        <v>#VALUE!</v>
      </c>
      <c r="CL23" t="e">
        <f>'SurveyRpt_20150223 (1)'!Z138+"h_l!fg"</f>
        <v>#VALUE!</v>
      </c>
      <c r="CM23" t="e">
        <f>'SurveyRpt_20150223 (1)'!AA138+"h_l!fh"</f>
        <v>#VALUE!</v>
      </c>
      <c r="CN23" t="e">
        <f>'SurveyRpt_20150223 (1)'!AB138+"h_l!fi"</f>
        <v>#VALUE!</v>
      </c>
      <c r="CO23" t="e">
        <f>'SurveyRpt_20150223 (1)'!AC138+"h_l!fj"</f>
        <v>#VALUE!</v>
      </c>
      <c r="CP23" t="e">
        <f>'SurveyRpt_20150223 (1)'!AD138+"h_l!fk"</f>
        <v>#VALUE!</v>
      </c>
      <c r="CQ23" t="e">
        <f>'SurveyRpt_20150223 (1)'!AE138+"h_l!fl"</f>
        <v>#VALUE!</v>
      </c>
      <c r="CR23" t="e">
        <f>'SurveyRpt_20150223 (1)'!AF138+"h_l!fm"</f>
        <v>#VALUE!</v>
      </c>
      <c r="CS23" t="e">
        <f>'SurveyRpt_20150223 (1)'!AG138+"h_l!fn"</f>
        <v>#VALUE!</v>
      </c>
      <c r="CT23" t="e">
        <f>'SurveyRpt_20150223 (1)'!AH138+"h_l!fo"</f>
        <v>#VALUE!</v>
      </c>
      <c r="CU23" t="e">
        <f>'SurveyRpt_20150223 (1)'!AI138+"h_l!fp"</f>
        <v>#VALUE!</v>
      </c>
      <c r="CV23" t="e">
        <f>'SurveyRpt_20150223 (1)'!AJ138+"h_l!fq"</f>
        <v>#VALUE!</v>
      </c>
      <c r="CW23" t="e">
        <f>'SurveyRpt_20150223 (1)'!AK138+"h_l!fr"</f>
        <v>#VALUE!</v>
      </c>
      <c r="CX23" t="e">
        <f>'SurveyRpt_20150223 (1)'!AL138+"h_l!fs"</f>
        <v>#VALUE!</v>
      </c>
      <c r="CY23" t="e">
        <f>'SurveyRpt_20150223 (1)'!AM138+"h_l!ft"</f>
        <v>#VALUE!</v>
      </c>
      <c r="CZ23" t="e">
        <f>'SurveyRpt_20150223 (1)'!AN138+"h_l!fu"</f>
        <v>#VALUE!</v>
      </c>
      <c r="DA23" t="e">
        <f>'SurveyRpt_20150223 (1)'!A139+"h_l!fv"</f>
        <v>#VALUE!</v>
      </c>
      <c r="DB23" s="25" t="e">
        <f>'SurveyRpt_20150223 (1)'!B139+"h_l!fw"</f>
        <v>#VALUE!</v>
      </c>
      <c r="DC23" t="e">
        <f>'SurveyRpt_20150223 (1)'!C139+"h_l!fx"</f>
        <v>#VALUE!</v>
      </c>
      <c r="DD23" s="25" t="e">
        <f>'SurveyRpt_20150223 (1)'!D139+"h_l!fy"</f>
        <v>#VALUE!</v>
      </c>
      <c r="DE23" t="e">
        <f>'SurveyRpt_20150223 (1)'!E139+"h_l!fz"</f>
        <v>#VALUE!</v>
      </c>
      <c r="DF23" t="e">
        <f>'SurveyRpt_20150223 (1)'!F139+"h_l!f{"</f>
        <v>#VALUE!</v>
      </c>
      <c r="DG23" t="e">
        <f>'SurveyRpt_20150223 (1)'!G139+"h_l!f|"</f>
        <v>#VALUE!</v>
      </c>
      <c r="DH23" t="e">
        <f>'SurveyRpt_20150223 (1)'!H139+"h_l!f}"</f>
        <v>#VALUE!</v>
      </c>
      <c r="DI23" t="e">
        <f>'SurveyRpt_20150223 (1)'!I139+"h_l!f~"</f>
        <v>#VALUE!</v>
      </c>
      <c r="DJ23" t="e">
        <f>'SurveyRpt_20150223 (1)'!J139+"h_l!g#"</f>
        <v>#VALUE!</v>
      </c>
      <c r="DK23" t="e">
        <f>'SurveyRpt_20150223 (1)'!K139+"h_l!g$"</f>
        <v>#VALUE!</v>
      </c>
      <c r="DL23" t="e">
        <f>'SurveyRpt_20150223 (1)'!L139+"h_l!g%"</f>
        <v>#VALUE!</v>
      </c>
      <c r="DM23" t="e">
        <f>'SurveyRpt_20150223 (1)'!M139+"h_l!g&amp;"</f>
        <v>#VALUE!</v>
      </c>
      <c r="DN23" t="e">
        <f>'SurveyRpt_20150223 (1)'!N139+"h_l!g'"</f>
        <v>#VALUE!</v>
      </c>
      <c r="DO23" t="e">
        <f>'SurveyRpt_20150223 (1)'!O139+"h_l!g("</f>
        <v>#VALUE!</v>
      </c>
      <c r="DP23" t="e">
        <f>'SurveyRpt_20150223 (1)'!P139+"h_l!g)"</f>
        <v>#VALUE!</v>
      </c>
      <c r="DQ23" t="e">
        <f>'SurveyRpt_20150223 (1)'!Q139+"h_l!g."</f>
        <v>#VALUE!</v>
      </c>
      <c r="DR23" t="e">
        <f>'SurveyRpt_20150223 (1)'!R139+"h_l!g/"</f>
        <v>#VALUE!</v>
      </c>
      <c r="DS23" t="e">
        <f>'SurveyRpt_20150223 (1)'!S139+"h_l!g0"</f>
        <v>#VALUE!</v>
      </c>
      <c r="DT23" t="e">
        <f>'SurveyRpt_20150223 (1)'!T139+"h_l!g1"</f>
        <v>#VALUE!</v>
      </c>
      <c r="DU23" t="e">
        <f>'SurveyRpt_20150223 (1)'!U139+"h_l!g2"</f>
        <v>#VALUE!</v>
      </c>
      <c r="DV23" t="e">
        <f>'SurveyRpt_20150223 (1)'!V139+"h_l!g3"</f>
        <v>#VALUE!</v>
      </c>
      <c r="DW23" t="e">
        <f>'SurveyRpt_20150223 (1)'!W139+"h_l!g4"</f>
        <v>#VALUE!</v>
      </c>
      <c r="DX23" t="e">
        <f>'SurveyRpt_20150223 (1)'!X139+"h_l!g5"</f>
        <v>#VALUE!</v>
      </c>
      <c r="DY23" t="e">
        <f>'SurveyRpt_20150223 (1)'!Y139+"h_l!g6"</f>
        <v>#VALUE!</v>
      </c>
      <c r="DZ23" t="e">
        <f>'SurveyRpt_20150223 (1)'!Z139+"h_l!g7"</f>
        <v>#VALUE!</v>
      </c>
      <c r="EA23" t="e">
        <f>'SurveyRpt_20150223 (1)'!AA139+"h_l!g8"</f>
        <v>#VALUE!</v>
      </c>
      <c r="EB23" t="e">
        <f>'SurveyRpt_20150223 (1)'!AB139+"h_l!g9"</f>
        <v>#VALUE!</v>
      </c>
      <c r="EC23" t="e">
        <f>'SurveyRpt_20150223 (1)'!AC139+"h_l!g:"</f>
        <v>#VALUE!</v>
      </c>
      <c r="ED23" t="e">
        <f>'SurveyRpt_20150223 (1)'!AD139+"h_l!g;"</f>
        <v>#VALUE!</v>
      </c>
      <c r="EE23" t="e">
        <f>'SurveyRpt_20150223 (1)'!AE139+"h_l!g&lt;"</f>
        <v>#VALUE!</v>
      </c>
      <c r="EF23" t="e">
        <f>'SurveyRpt_20150223 (1)'!AF139+"h_l!g="</f>
        <v>#VALUE!</v>
      </c>
      <c r="EG23" t="e">
        <f>'SurveyRpt_20150223 (1)'!AG139+"h_l!g&gt;"</f>
        <v>#VALUE!</v>
      </c>
      <c r="EH23" t="e">
        <f>'SurveyRpt_20150223 (1)'!AH139+"h_l!g?"</f>
        <v>#VALUE!</v>
      </c>
      <c r="EI23" t="e">
        <f>'SurveyRpt_20150223 (1)'!AI139+"h_l!g@"</f>
        <v>#VALUE!</v>
      </c>
      <c r="EJ23" t="e">
        <f>'SurveyRpt_20150223 (1)'!AJ139+"h_l!gA"</f>
        <v>#VALUE!</v>
      </c>
      <c r="EK23" t="e">
        <f>'SurveyRpt_20150223 (1)'!AK139+"h_l!gB"</f>
        <v>#VALUE!</v>
      </c>
      <c r="EL23" t="e">
        <f>'SurveyRpt_20150223 (1)'!AL139+"h_l!gC"</f>
        <v>#VALUE!</v>
      </c>
      <c r="EM23" t="e">
        <f>'SurveyRpt_20150223 (1)'!AM139+"h_l!gD"</f>
        <v>#VALUE!</v>
      </c>
      <c r="EN23" t="e">
        <f>'SurveyRpt_20150223 (1)'!AN139+"h_l!gE"</f>
        <v>#VALUE!</v>
      </c>
      <c r="EO23" t="e">
        <f>'SurveyRpt_20150223 (1)'!A140+"h_l!gF"</f>
        <v>#VALUE!</v>
      </c>
      <c r="EP23" s="25" t="e">
        <f>'SurveyRpt_20150223 (1)'!B140+"h_l!gG"</f>
        <v>#VALUE!</v>
      </c>
      <c r="EQ23" t="e">
        <f>'SurveyRpt_20150223 (1)'!C140+"h_l!gH"</f>
        <v>#VALUE!</v>
      </c>
      <c r="ER23" s="25" t="e">
        <f>'SurveyRpt_20150223 (1)'!D140+"h_l!gI"</f>
        <v>#VALUE!</v>
      </c>
      <c r="ES23" t="e">
        <f>'SurveyRpt_20150223 (1)'!E140+"h_l!gJ"</f>
        <v>#VALUE!</v>
      </c>
      <c r="ET23" t="e">
        <f>'SurveyRpt_20150223 (1)'!F140+"h_l!gK"</f>
        <v>#VALUE!</v>
      </c>
      <c r="EU23" t="e">
        <f>'SurveyRpt_20150223 (1)'!G140+"h_l!gL"</f>
        <v>#VALUE!</v>
      </c>
      <c r="EV23" t="e">
        <f>'SurveyRpt_20150223 (1)'!H140+"h_l!gM"</f>
        <v>#VALUE!</v>
      </c>
      <c r="EW23" t="e">
        <f>'SurveyRpt_20150223 (1)'!I140+"h_l!gN"</f>
        <v>#VALUE!</v>
      </c>
      <c r="EX23" t="e">
        <f>'SurveyRpt_20150223 (1)'!J140+"h_l!gO"</f>
        <v>#VALUE!</v>
      </c>
      <c r="EY23" t="e">
        <f>'SurveyRpt_20150223 (1)'!K140+"h_l!gP"</f>
        <v>#VALUE!</v>
      </c>
      <c r="EZ23" t="e">
        <f>'SurveyRpt_20150223 (1)'!L140+"h_l!gQ"</f>
        <v>#VALUE!</v>
      </c>
      <c r="FA23" t="e">
        <f>'SurveyRpt_20150223 (1)'!M140+"h_l!gR"</f>
        <v>#VALUE!</v>
      </c>
      <c r="FB23" t="e">
        <f>'SurveyRpt_20150223 (1)'!N140+"h_l!gS"</f>
        <v>#VALUE!</v>
      </c>
      <c r="FC23" t="e">
        <f>'SurveyRpt_20150223 (1)'!O140+"h_l!gT"</f>
        <v>#VALUE!</v>
      </c>
      <c r="FD23" t="e">
        <f>'SurveyRpt_20150223 (1)'!P140+"h_l!gU"</f>
        <v>#VALUE!</v>
      </c>
      <c r="FE23" t="e">
        <f>'SurveyRpt_20150223 (1)'!Q140+"h_l!gV"</f>
        <v>#VALUE!</v>
      </c>
      <c r="FF23" t="e">
        <f>'SurveyRpt_20150223 (1)'!R140+"h_l!gW"</f>
        <v>#VALUE!</v>
      </c>
      <c r="FG23" t="e">
        <f>'SurveyRpt_20150223 (1)'!S140+"h_l!gX"</f>
        <v>#VALUE!</v>
      </c>
      <c r="FH23" t="e">
        <f>'SurveyRpt_20150223 (1)'!T140+"h_l!gY"</f>
        <v>#VALUE!</v>
      </c>
      <c r="FI23" t="e">
        <f>'SurveyRpt_20150223 (1)'!U140+"h_l!gZ"</f>
        <v>#VALUE!</v>
      </c>
      <c r="FJ23" t="e">
        <f>'SurveyRpt_20150223 (1)'!V140+"h_l!g["</f>
        <v>#VALUE!</v>
      </c>
      <c r="FK23" t="e">
        <f>'SurveyRpt_20150223 (1)'!W140+"h_l!g\"</f>
        <v>#VALUE!</v>
      </c>
      <c r="FL23" t="e">
        <f>'SurveyRpt_20150223 (1)'!X140+"h_l!g]"</f>
        <v>#VALUE!</v>
      </c>
      <c r="FM23" t="e">
        <f>'SurveyRpt_20150223 (1)'!Y140+"h_l!g^"</f>
        <v>#VALUE!</v>
      </c>
      <c r="FN23" t="e">
        <f>'SurveyRpt_20150223 (1)'!Z140+"h_l!g_"</f>
        <v>#VALUE!</v>
      </c>
      <c r="FO23" t="e">
        <f>'SurveyRpt_20150223 (1)'!AA140+"h_l!g`"</f>
        <v>#VALUE!</v>
      </c>
      <c r="FP23" t="e">
        <f>'SurveyRpt_20150223 (1)'!AB140+"h_l!ga"</f>
        <v>#VALUE!</v>
      </c>
      <c r="FQ23" t="e">
        <f>'SurveyRpt_20150223 (1)'!AC140+"h_l!gb"</f>
        <v>#VALUE!</v>
      </c>
      <c r="FR23" t="e">
        <f>'SurveyRpt_20150223 (1)'!AD140+"h_l!gc"</f>
        <v>#VALUE!</v>
      </c>
      <c r="FS23" t="e">
        <f>'SurveyRpt_20150223 (1)'!AE140+"h_l!gd"</f>
        <v>#VALUE!</v>
      </c>
      <c r="FT23" t="e">
        <f>'SurveyRpt_20150223 (1)'!AF140+"h_l!ge"</f>
        <v>#VALUE!</v>
      </c>
      <c r="FU23" t="e">
        <f>'SurveyRpt_20150223 (1)'!AG140+"h_l!gf"</f>
        <v>#VALUE!</v>
      </c>
      <c r="FV23" t="e">
        <f>'SurveyRpt_20150223 (1)'!AH140+"h_l!gg"</f>
        <v>#VALUE!</v>
      </c>
      <c r="FW23" t="e">
        <f>'SurveyRpt_20150223 (1)'!AI140+"h_l!gh"</f>
        <v>#VALUE!</v>
      </c>
      <c r="FX23" t="e">
        <f>'SurveyRpt_20150223 (1)'!AJ140+"h_l!gi"</f>
        <v>#VALUE!</v>
      </c>
      <c r="FY23" t="e">
        <f>'SurveyRpt_20150223 (1)'!AK140+"h_l!gj"</f>
        <v>#VALUE!</v>
      </c>
      <c r="FZ23" t="e">
        <f>'SurveyRpt_20150223 (1)'!AL140+"h_l!gk"</f>
        <v>#VALUE!</v>
      </c>
      <c r="GA23" t="e">
        <f>'SurveyRpt_20150223 (1)'!AM140+"h_l!gl"</f>
        <v>#VALUE!</v>
      </c>
      <c r="GB23" t="e">
        <f>'SurveyRpt_20150223 (1)'!AN140+"h_l!gm"</f>
        <v>#VALUE!</v>
      </c>
      <c r="GC23" t="e">
        <f>'SurveyRpt_20150223 (1)'!A141+"h_l!gn"</f>
        <v>#VALUE!</v>
      </c>
      <c r="GD23" s="25" t="e">
        <f>'SurveyRpt_20150223 (1)'!B141+"h_l!go"</f>
        <v>#VALUE!</v>
      </c>
      <c r="GE23" t="e">
        <f>'SurveyRpt_20150223 (1)'!C141+"h_l!gp"</f>
        <v>#VALUE!</v>
      </c>
      <c r="GF23" s="25" t="e">
        <f>'SurveyRpt_20150223 (1)'!D141+"h_l!gq"</f>
        <v>#VALUE!</v>
      </c>
      <c r="GG23" t="e">
        <f>'SurveyRpt_20150223 (1)'!E141+"h_l!gr"</f>
        <v>#VALUE!</v>
      </c>
      <c r="GH23" t="e">
        <f>'SurveyRpt_20150223 (1)'!F141+"h_l!gs"</f>
        <v>#VALUE!</v>
      </c>
      <c r="GI23" t="e">
        <f>'SurveyRpt_20150223 (1)'!G141+"h_l!gt"</f>
        <v>#VALUE!</v>
      </c>
      <c r="GJ23" t="e">
        <f>'SurveyRpt_20150223 (1)'!H141+"h_l!gu"</f>
        <v>#VALUE!</v>
      </c>
      <c r="GK23" t="e">
        <f>'SurveyRpt_20150223 (1)'!I141+"h_l!gv"</f>
        <v>#VALUE!</v>
      </c>
      <c r="GL23" t="e">
        <f>'SurveyRpt_20150223 (1)'!J141+"h_l!gw"</f>
        <v>#VALUE!</v>
      </c>
      <c r="GM23" t="e">
        <f>'SurveyRpt_20150223 (1)'!K141+"h_l!gx"</f>
        <v>#VALUE!</v>
      </c>
      <c r="GN23" t="e">
        <f>'SurveyRpt_20150223 (1)'!L141+"h_l!gy"</f>
        <v>#VALUE!</v>
      </c>
      <c r="GO23" t="e">
        <f>'SurveyRpt_20150223 (1)'!M141+"h_l!gz"</f>
        <v>#VALUE!</v>
      </c>
      <c r="GP23" t="e">
        <f>'SurveyRpt_20150223 (1)'!N141+"h_l!g{"</f>
        <v>#VALUE!</v>
      </c>
      <c r="GQ23" t="e">
        <f>'SurveyRpt_20150223 (1)'!O141+"h_l!g|"</f>
        <v>#VALUE!</v>
      </c>
      <c r="GR23" t="e">
        <f>'SurveyRpt_20150223 (1)'!P141+"h_l!g}"</f>
        <v>#VALUE!</v>
      </c>
      <c r="GS23" t="e">
        <f>'SurveyRpt_20150223 (1)'!Q141+"h_l!g~"</f>
        <v>#VALUE!</v>
      </c>
      <c r="GT23" t="e">
        <f>'SurveyRpt_20150223 (1)'!R141+"h_l!h#"</f>
        <v>#VALUE!</v>
      </c>
      <c r="GU23" t="e">
        <f>'SurveyRpt_20150223 (1)'!S141+"h_l!h$"</f>
        <v>#VALUE!</v>
      </c>
      <c r="GV23" t="e">
        <f>'SurveyRpt_20150223 (1)'!T141+"h_l!h%"</f>
        <v>#VALUE!</v>
      </c>
      <c r="GW23" t="e">
        <f>'SurveyRpt_20150223 (1)'!U141+"h_l!h&amp;"</f>
        <v>#VALUE!</v>
      </c>
      <c r="GX23" t="e">
        <f>'SurveyRpt_20150223 (1)'!V141+"h_l!h'"</f>
        <v>#VALUE!</v>
      </c>
      <c r="GY23" t="e">
        <f>'SurveyRpt_20150223 (1)'!W141+"h_l!h("</f>
        <v>#VALUE!</v>
      </c>
      <c r="GZ23" t="e">
        <f>'SurveyRpt_20150223 (1)'!X141+"h_l!h)"</f>
        <v>#VALUE!</v>
      </c>
      <c r="HA23" t="e">
        <f>'SurveyRpt_20150223 (1)'!Y141+"h_l!h."</f>
        <v>#VALUE!</v>
      </c>
      <c r="HB23" t="e">
        <f>'SurveyRpt_20150223 (1)'!Z141+"h_l!h/"</f>
        <v>#VALUE!</v>
      </c>
      <c r="HC23" t="e">
        <f>'SurveyRpt_20150223 (1)'!AA141+"h_l!h0"</f>
        <v>#VALUE!</v>
      </c>
      <c r="HD23" t="e">
        <f>'SurveyRpt_20150223 (1)'!AB141+"h_l!h1"</f>
        <v>#VALUE!</v>
      </c>
      <c r="HE23" t="e">
        <f>'SurveyRpt_20150223 (1)'!AC141+"h_l!h2"</f>
        <v>#VALUE!</v>
      </c>
      <c r="HF23" t="e">
        <f>'SurveyRpt_20150223 (1)'!AD141+"h_l!h3"</f>
        <v>#VALUE!</v>
      </c>
      <c r="HG23" t="e">
        <f>'SurveyRpt_20150223 (1)'!AE141+"h_l!h4"</f>
        <v>#VALUE!</v>
      </c>
      <c r="HH23" t="e">
        <f>'SurveyRpt_20150223 (1)'!AF141+"h_l!h5"</f>
        <v>#VALUE!</v>
      </c>
      <c r="HI23" t="e">
        <f>'SurveyRpt_20150223 (1)'!AG141+"h_l!h6"</f>
        <v>#VALUE!</v>
      </c>
      <c r="HJ23" t="e">
        <f>'SurveyRpt_20150223 (1)'!AH141+"h_l!h7"</f>
        <v>#VALUE!</v>
      </c>
      <c r="HK23" t="e">
        <f>'SurveyRpt_20150223 (1)'!AI141+"h_l!h8"</f>
        <v>#VALUE!</v>
      </c>
      <c r="HL23" t="e">
        <f>'SurveyRpt_20150223 (1)'!AJ141+"h_l!h9"</f>
        <v>#VALUE!</v>
      </c>
      <c r="HM23" t="e">
        <f>'SurveyRpt_20150223 (1)'!AK141+"h_l!h:"</f>
        <v>#VALUE!</v>
      </c>
      <c r="HN23" t="e">
        <f>'SurveyRpt_20150223 (1)'!AL141+"h_l!h;"</f>
        <v>#VALUE!</v>
      </c>
      <c r="HO23" t="e">
        <f>'SurveyRpt_20150223 (1)'!AM141+"h_l!h&lt;"</f>
        <v>#VALUE!</v>
      </c>
      <c r="HP23" t="e">
        <f>'SurveyRpt_20150223 (1)'!AN141+"h_l!h="</f>
        <v>#VALUE!</v>
      </c>
      <c r="HQ23" t="e">
        <f>'SurveyRpt_20150223 (1)'!A142+"h_l!h&gt;"</f>
        <v>#VALUE!</v>
      </c>
      <c r="HR23" s="25" t="e">
        <f>'SurveyRpt_20150223 (1)'!B142+"h_l!h?"</f>
        <v>#VALUE!</v>
      </c>
      <c r="HS23" t="e">
        <f>'SurveyRpt_20150223 (1)'!C142+"h_l!h@"</f>
        <v>#VALUE!</v>
      </c>
      <c r="HT23" s="25" t="e">
        <f>'SurveyRpt_20150223 (1)'!D142+"h_l!hA"</f>
        <v>#VALUE!</v>
      </c>
      <c r="HU23" t="e">
        <f>'SurveyRpt_20150223 (1)'!E142+"h_l!hB"</f>
        <v>#VALUE!</v>
      </c>
      <c r="HV23" t="e">
        <f>'SurveyRpt_20150223 (1)'!F142+"h_l!hC"</f>
        <v>#VALUE!</v>
      </c>
      <c r="HW23" t="e">
        <f>'SurveyRpt_20150223 (1)'!G142+"h_l!hD"</f>
        <v>#VALUE!</v>
      </c>
      <c r="HX23" t="e">
        <f>'SurveyRpt_20150223 (1)'!H142+"h_l!hE"</f>
        <v>#VALUE!</v>
      </c>
      <c r="HY23" t="e">
        <f>'SurveyRpt_20150223 (1)'!I142+"h_l!hF"</f>
        <v>#VALUE!</v>
      </c>
      <c r="HZ23" t="e">
        <f>'SurveyRpt_20150223 (1)'!J142+"h_l!hG"</f>
        <v>#VALUE!</v>
      </c>
      <c r="IA23" t="e">
        <f>'SurveyRpt_20150223 (1)'!K142+"h_l!hH"</f>
        <v>#VALUE!</v>
      </c>
      <c r="IB23" t="e">
        <f>'SurveyRpt_20150223 (1)'!L142+"h_l!hI"</f>
        <v>#VALUE!</v>
      </c>
      <c r="IC23" t="e">
        <f>'SurveyRpt_20150223 (1)'!M142+"h_l!hJ"</f>
        <v>#VALUE!</v>
      </c>
      <c r="ID23" t="e">
        <f>'SurveyRpt_20150223 (1)'!N142+"h_l!hK"</f>
        <v>#VALUE!</v>
      </c>
      <c r="IE23" t="e">
        <f>'SurveyRpt_20150223 (1)'!O142+"h_l!hL"</f>
        <v>#VALUE!</v>
      </c>
      <c r="IF23" t="e">
        <f>'SurveyRpt_20150223 (1)'!P142+"h_l!hM"</f>
        <v>#VALUE!</v>
      </c>
      <c r="IG23" t="e">
        <f>'SurveyRpt_20150223 (1)'!Q142+"h_l!hN"</f>
        <v>#VALUE!</v>
      </c>
      <c r="IH23" t="e">
        <f>'SurveyRpt_20150223 (1)'!R142+"h_l!hO"</f>
        <v>#VALUE!</v>
      </c>
      <c r="II23" t="e">
        <f>'SurveyRpt_20150223 (1)'!S142+"h_l!hP"</f>
        <v>#VALUE!</v>
      </c>
      <c r="IJ23" t="e">
        <f>'SurveyRpt_20150223 (1)'!T142+"h_l!hQ"</f>
        <v>#VALUE!</v>
      </c>
      <c r="IK23" t="e">
        <f>'SurveyRpt_20150223 (1)'!U142+"h_l!hR"</f>
        <v>#VALUE!</v>
      </c>
      <c r="IL23" t="e">
        <f>'SurveyRpt_20150223 (1)'!V142+"h_l!hS"</f>
        <v>#VALUE!</v>
      </c>
      <c r="IM23" t="e">
        <f>'SurveyRpt_20150223 (1)'!W142+"h_l!hT"</f>
        <v>#VALUE!</v>
      </c>
      <c r="IN23" t="e">
        <f>'SurveyRpt_20150223 (1)'!X142+"h_l!hU"</f>
        <v>#VALUE!</v>
      </c>
      <c r="IO23" t="e">
        <f>'SurveyRpt_20150223 (1)'!Y142+"h_l!hV"</f>
        <v>#VALUE!</v>
      </c>
      <c r="IP23" t="e">
        <f>'SurveyRpt_20150223 (1)'!Z142+"h_l!hW"</f>
        <v>#VALUE!</v>
      </c>
      <c r="IQ23" t="e">
        <f>'SurveyRpt_20150223 (1)'!AA142+"h_l!hX"</f>
        <v>#VALUE!</v>
      </c>
      <c r="IR23" t="e">
        <f>'SurveyRpt_20150223 (1)'!AB142+"h_l!hY"</f>
        <v>#VALUE!</v>
      </c>
      <c r="IS23" t="e">
        <f>'SurveyRpt_20150223 (1)'!AC142+"h_l!hZ"</f>
        <v>#VALUE!</v>
      </c>
      <c r="IT23" t="e">
        <f>'SurveyRpt_20150223 (1)'!AD142+"h_l!h["</f>
        <v>#VALUE!</v>
      </c>
      <c r="IU23" t="e">
        <f>'SurveyRpt_20150223 (1)'!AE142+"h_l!h\"</f>
        <v>#VALUE!</v>
      </c>
      <c r="IV23" t="e">
        <f>'SurveyRpt_20150223 (1)'!AF142+"h_l!h]"</f>
        <v>#VALUE!</v>
      </c>
    </row>
    <row r="24" spans="6:256" x14ac:dyDescent="0.25">
      <c r="F24" t="e">
        <f>'SurveyRpt_20150223 (1)'!AG142+"h_l!h^"</f>
        <v>#VALUE!</v>
      </c>
      <c r="G24" t="e">
        <f>'SurveyRpt_20150223 (1)'!AH142+"h_l!h_"</f>
        <v>#VALUE!</v>
      </c>
      <c r="H24" t="e">
        <f>'SurveyRpt_20150223 (1)'!AI142+"h_l!h`"</f>
        <v>#VALUE!</v>
      </c>
      <c r="I24" t="e">
        <f>'SurveyRpt_20150223 (1)'!AJ142+"h_l!ha"</f>
        <v>#VALUE!</v>
      </c>
      <c r="J24" t="e">
        <f>'SurveyRpt_20150223 (1)'!AK142+"h_l!hb"</f>
        <v>#VALUE!</v>
      </c>
      <c r="K24" t="e">
        <f>'SurveyRpt_20150223 (1)'!AL142+"h_l!hc"</f>
        <v>#VALUE!</v>
      </c>
      <c r="L24" t="e">
        <f>'SurveyRpt_20150223 (1)'!AM142+"h_l!hd"</f>
        <v>#VALUE!</v>
      </c>
      <c r="M24" t="e">
        <f>'SurveyRpt_20150223 (1)'!AN142+"h_l!he"</f>
        <v>#VALUE!</v>
      </c>
      <c r="N24" t="e">
        <f>'SurveyRpt_20150223 (1)'!A143+"h_l!hf"</f>
        <v>#VALUE!</v>
      </c>
      <c r="O24" s="25" t="e">
        <f>'SurveyRpt_20150223 (1)'!B143+"h_l!hg"</f>
        <v>#VALUE!</v>
      </c>
      <c r="P24" t="e">
        <f>'SurveyRpt_20150223 (1)'!C143+"h_l!hh"</f>
        <v>#VALUE!</v>
      </c>
      <c r="Q24" s="25" t="e">
        <f>'SurveyRpt_20150223 (1)'!D143+"h_l!hi"</f>
        <v>#VALUE!</v>
      </c>
      <c r="R24" t="e">
        <f>'SurveyRpt_20150223 (1)'!E143+"h_l!hj"</f>
        <v>#VALUE!</v>
      </c>
      <c r="S24" t="e">
        <f>'SurveyRpt_20150223 (1)'!F143+"h_l!hk"</f>
        <v>#VALUE!</v>
      </c>
      <c r="T24" t="e">
        <f>'SurveyRpt_20150223 (1)'!G143+"h_l!hl"</f>
        <v>#VALUE!</v>
      </c>
      <c r="U24" t="e">
        <f>'SurveyRpt_20150223 (1)'!H143+"h_l!hm"</f>
        <v>#VALUE!</v>
      </c>
      <c r="V24" t="e">
        <f>'SurveyRpt_20150223 (1)'!I143+"h_l!hn"</f>
        <v>#VALUE!</v>
      </c>
      <c r="W24" t="e">
        <f>'SurveyRpt_20150223 (1)'!J143+"h_l!ho"</f>
        <v>#VALUE!</v>
      </c>
      <c r="X24" t="e">
        <f>'SurveyRpt_20150223 (1)'!K143+"h_l!hp"</f>
        <v>#VALUE!</v>
      </c>
      <c r="Y24" t="e">
        <f>'SurveyRpt_20150223 (1)'!L143+"h_l!hq"</f>
        <v>#VALUE!</v>
      </c>
      <c r="Z24" t="e">
        <f>'SurveyRpt_20150223 (1)'!M143+"h_l!hr"</f>
        <v>#VALUE!</v>
      </c>
      <c r="AA24" t="e">
        <f>'SurveyRpt_20150223 (1)'!N143+"h_l!hs"</f>
        <v>#VALUE!</v>
      </c>
      <c r="AB24" t="e">
        <f>'SurveyRpt_20150223 (1)'!O143+"h_l!ht"</f>
        <v>#VALUE!</v>
      </c>
      <c r="AC24" t="e">
        <f>'SurveyRpt_20150223 (1)'!P143+"h_l!hu"</f>
        <v>#VALUE!</v>
      </c>
      <c r="AD24" t="e">
        <f>'SurveyRpt_20150223 (1)'!Q143+"h_l!hv"</f>
        <v>#VALUE!</v>
      </c>
      <c r="AE24" t="e">
        <f>'SurveyRpt_20150223 (1)'!R143+"h_l!hw"</f>
        <v>#VALUE!</v>
      </c>
      <c r="AF24" t="e">
        <f>'SurveyRpt_20150223 (1)'!S143+"h_l!hx"</f>
        <v>#VALUE!</v>
      </c>
      <c r="AG24" t="e">
        <f>'SurveyRpt_20150223 (1)'!T143+"h_l!hy"</f>
        <v>#VALUE!</v>
      </c>
      <c r="AH24" t="e">
        <f>'SurveyRpt_20150223 (1)'!U143+"h_l!hz"</f>
        <v>#VALUE!</v>
      </c>
      <c r="AI24" t="e">
        <f>'SurveyRpt_20150223 (1)'!V143+"h_l!h{"</f>
        <v>#VALUE!</v>
      </c>
      <c r="AJ24" t="e">
        <f>'SurveyRpt_20150223 (1)'!W143+"h_l!h|"</f>
        <v>#VALUE!</v>
      </c>
      <c r="AK24" t="e">
        <f>'SurveyRpt_20150223 (1)'!X143+"h_l!h}"</f>
        <v>#VALUE!</v>
      </c>
      <c r="AL24" t="e">
        <f>'SurveyRpt_20150223 (1)'!Y143+"h_l!h~"</f>
        <v>#VALUE!</v>
      </c>
      <c r="AM24" t="e">
        <f>'SurveyRpt_20150223 (1)'!Z143+"h_l!i#"</f>
        <v>#VALUE!</v>
      </c>
      <c r="AN24" t="e">
        <f>'SurveyRpt_20150223 (1)'!AA143+"h_l!i$"</f>
        <v>#VALUE!</v>
      </c>
      <c r="AO24" t="e">
        <f>'SurveyRpt_20150223 (1)'!AB143+"h_l!i%"</f>
        <v>#VALUE!</v>
      </c>
      <c r="AP24" t="e">
        <f>'SurveyRpt_20150223 (1)'!AC143+"h_l!i&amp;"</f>
        <v>#VALUE!</v>
      </c>
      <c r="AQ24" t="e">
        <f>'SurveyRpt_20150223 (1)'!AD143+"h_l!i'"</f>
        <v>#VALUE!</v>
      </c>
      <c r="AR24" t="e">
        <f>'SurveyRpt_20150223 (1)'!AE143+"h_l!i("</f>
        <v>#VALUE!</v>
      </c>
      <c r="AS24" t="e">
        <f>'SurveyRpt_20150223 (1)'!AF143+"h_l!i)"</f>
        <v>#VALUE!</v>
      </c>
      <c r="AT24" t="e">
        <f>'SurveyRpt_20150223 (1)'!AG143+"h_l!i."</f>
        <v>#VALUE!</v>
      </c>
      <c r="AU24" t="e">
        <f>'SurveyRpt_20150223 (1)'!AH143+"h_l!i/"</f>
        <v>#VALUE!</v>
      </c>
      <c r="AV24" t="e">
        <f>'SurveyRpt_20150223 (1)'!AI143+"h_l!i0"</f>
        <v>#VALUE!</v>
      </c>
      <c r="AW24" t="e">
        <f>'SurveyRpt_20150223 (1)'!AJ143+"h_l!i1"</f>
        <v>#VALUE!</v>
      </c>
      <c r="AX24" t="e">
        <f>'SurveyRpt_20150223 (1)'!AK143+"h_l!i2"</f>
        <v>#VALUE!</v>
      </c>
      <c r="AY24" t="e">
        <f>'SurveyRpt_20150223 (1)'!AL143+"h_l!i3"</f>
        <v>#VALUE!</v>
      </c>
      <c r="AZ24" t="e">
        <f>'SurveyRpt_20150223 (1)'!AM143+"h_l!i4"</f>
        <v>#VALUE!</v>
      </c>
      <c r="BA24" t="e">
        <f>'SurveyRpt_20150223 (1)'!AN143+"h_l!i5"</f>
        <v>#VALUE!</v>
      </c>
      <c r="BB24" t="e">
        <f>'SurveyRpt_20150223 (1)'!A144+"h_l!i6"</f>
        <v>#VALUE!</v>
      </c>
      <c r="BC24" s="25" t="e">
        <f>'SurveyRpt_20150223 (1)'!B144+"h_l!i7"</f>
        <v>#VALUE!</v>
      </c>
      <c r="BD24" t="e">
        <f>'SurveyRpt_20150223 (1)'!C144+"h_l!i8"</f>
        <v>#VALUE!</v>
      </c>
      <c r="BE24" s="25" t="e">
        <f>'SurveyRpt_20150223 (1)'!D144+"h_l!i9"</f>
        <v>#VALUE!</v>
      </c>
      <c r="BF24" t="e">
        <f>'SurveyRpt_20150223 (1)'!E144+"h_l!i:"</f>
        <v>#VALUE!</v>
      </c>
      <c r="BG24" t="e">
        <f>'SurveyRpt_20150223 (1)'!F144+"h_l!i;"</f>
        <v>#VALUE!</v>
      </c>
      <c r="BH24" t="e">
        <f>'SurveyRpt_20150223 (1)'!G144+"h_l!i&lt;"</f>
        <v>#VALUE!</v>
      </c>
      <c r="BI24" t="e">
        <f>'SurveyRpt_20150223 (1)'!H144+"h_l!i="</f>
        <v>#VALUE!</v>
      </c>
      <c r="BJ24" t="e">
        <f>'SurveyRpt_20150223 (1)'!I144+"h_l!i&gt;"</f>
        <v>#VALUE!</v>
      </c>
      <c r="BK24" t="e">
        <f>'SurveyRpt_20150223 (1)'!J144+"h_l!i?"</f>
        <v>#VALUE!</v>
      </c>
      <c r="BL24" t="e">
        <f>'SurveyRpt_20150223 (1)'!K144+"h_l!i@"</f>
        <v>#VALUE!</v>
      </c>
      <c r="BM24" t="e">
        <f>'SurveyRpt_20150223 (1)'!L144+"h_l!iA"</f>
        <v>#VALUE!</v>
      </c>
      <c r="BN24" t="e">
        <f>'SurveyRpt_20150223 (1)'!M144+"h_l!iB"</f>
        <v>#VALUE!</v>
      </c>
      <c r="BO24" t="e">
        <f>'SurveyRpt_20150223 (1)'!N144+"h_l!iC"</f>
        <v>#VALUE!</v>
      </c>
      <c r="BP24" t="e">
        <f>'SurveyRpt_20150223 (1)'!O144+"h_l!iD"</f>
        <v>#VALUE!</v>
      </c>
      <c r="BQ24" t="e">
        <f>'SurveyRpt_20150223 (1)'!P144+"h_l!iE"</f>
        <v>#VALUE!</v>
      </c>
      <c r="BR24" t="e">
        <f>'SurveyRpt_20150223 (1)'!Q144+"h_l!iF"</f>
        <v>#VALUE!</v>
      </c>
      <c r="BS24" t="e">
        <f>'SurveyRpt_20150223 (1)'!R144+"h_l!iG"</f>
        <v>#VALUE!</v>
      </c>
      <c r="BT24" t="e">
        <f>'SurveyRpt_20150223 (1)'!S144+"h_l!iH"</f>
        <v>#VALUE!</v>
      </c>
      <c r="BU24" t="e">
        <f>'SurveyRpt_20150223 (1)'!T144+"h_l!iI"</f>
        <v>#VALUE!</v>
      </c>
      <c r="BV24" t="e">
        <f>'SurveyRpt_20150223 (1)'!U144+"h_l!iJ"</f>
        <v>#VALUE!</v>
      </c>
      <c r="BW24" t="e">
        <f>'SurveyRpt_20150223 (1)'!V144+"h_l!iK"</f>
        <v>#VALUE!</v>
      </c>
      <c r="BX24" t="e">
        <f>'SurveyRpt_20150223 (1)'!W144+"h_l!iL"</f>
        <v>#VALUE!</v>
      </c>
      <c r="BY24" t="e">
        <f>'SurveyRpt_20150223 (1)'!X144+"h_l!iM"</f>
        <v>#VALUE!</v>
      </c>
      <c r="BZ24" t="e">
        <f>'SurveyRpt_20150223 (1)'!Y144+"h_l!iN"</f>
        <v>#VALUE!</v>
      </c>
      <c r="CA24" t="e">
        <f>'SurveyRpt_20150223 (1)'!Z144+"h_l!iO"</f>
        <v>#VALUE!</v>
      </c>
      <c r="CB24" t="e">
        <f>'SurveyRpt_20150223 (1)'!AA144+"h_l!iP"</f>
        <v>#VALUE!</v>
      </c>
      <c r="CC24" t="e">
        <f>'SurveyRpt_20150223 (1)'!AB144+"h_l!iQ"</f>
        <v>#VALUE!</v>
      </c>
      <c r="CD24" t="e">
        <f>'SurveyRpt_20150223 (1)'!AC144+"h_l!iR"</f>
        <v>#VALUE!</v>
      </c>
      <c r="CE24" t="e">
        <f>'SurveyRpt_20150223 (1)'!AD144+"h_l!iS"</f>
        <v>#VALUE!</v>
      </c>
      <c r="CF24" t="e">
        <f>'SurveyRpt_20150223 (1)'!AE144+"h_l!iT"</f>
        <v>#VALUE!</v>
      </c>
      <c r="CG24" t="e">
        <f>'SurveyRpt_20150223 (1)'!AF144+"h_l!iU"</f>
        <v>#VALUE!</v>
      </c>
      <c r="CH24" t="e">
        <f>'SurveyRpt_20150223 (1)'!AG144+"h_l!iV"</f>
        <v>#VALUE!</v>
      </c>
      <c r="CI24" t="e">
        <f>'SurveyRpt_20150223 (1)'!AH144+"h_l!iW"</f>
        <v>#VALUE!</v>
      </c>
      <c r="CJ24" t="e">
        <f>'SurveyRpt_20150223 (1)'!AI144+"h_l!iX"</f>
        <v>#VALUE!</v>
      </c>
      <c r="CK24" t="e">
        <f>'SurveyRpt_20150223 (1)'!AJ144+"h_l!iY"</f>
        <v>#VALUE!</v>
      </c>
      <c r="CL24" t="e">
        <f>'SurveyRpt_20150223 (1)'!AK144+"h_l!iZ"</f>
        <v>#VALUE!</v>
      </c>
      <c r="CM24" t="e">
        <f>'SurveyRpt_20150223 (1)'!AL144+"h_l!i["</f>
        <v>#VALUE!</v>
      </c>
      <c r="CN24" t="e">
        <f>'SurveyRpt_20150223 (1)'!AM144+"h_l!i\"</f>
        <v>#VALUE!</v>
      </c>
      <c r="CO24" t="e">
        <f>'SurveyRpt_20150223 (1)'!AN144+"h_l!i]"</f>
        <v>#VALUE!</v>
      </c>
      <c r="CP24" t="e">
        <f>'SurveyRpt_20150223 (1)'!A145+"h_l!i^"</f>
        <v>#VALUE!</v>
      </c>
      <c r="CQ24" s="25" t="e">
        <f>'SurveyRpt_20150223 (1)'!B145+"h_l!i_"</f>
        <v>#VALUE!</v>
      </c>
      <c r="CR24" t="e">
        <f>'SurveyRpt_20150223 (1)'!C145+"h_l!i`"</f>
        <v>#VALUE!</v>
      </c>
      <c r="CS24" s="25" t="e">
        <f>'SurveyRpt_20150223 (1)'!D145+"h_l!ia"</f>
        <v>#VALUE!</v>
      </c>
      <c r="CT24" t="e">
        <f>'SurveyRpt_20150223 (1)'!E145+"h_l!ib"</f>
        <v>#VALUE!</v>
      </c>
      <c r="CU24" t="e">
        <f>'SurveyRpt_20150223 (1)'!F145+"h_l!ic"</f>
        <v>#VALUE!</v>
      </c>
      <c r="CV24" t="e">
        <f>'SurveyRpt_20150223 (1)'!G145+"h_l!id"</f>
        <v>#VALUE!</v>
      </c>
      <c r="CW24" t="e">
        <f>'SurveyRpt_20150223 (1)'!H145+"h_l!ie"</f>
        <v>#VALUE!</v>
      </c>
      <c r="CX24" t="e">
        <f>'SurveyRpt_20150223 (1)'!I145+"h_l!if"</f>
        <v>#VALUE!</v>
      </c>
      <c r="CY24" t="e">
        <f>'SurveyRpt_20150223 (1)'!J145+"h_l!ig"</f>
        <v>#VALUE!</v>
      </c>
      <c r="CZ24" t="e">
        <f>'SurveyRpt_20150223 (1)'!K145+"h_l!ih"</f>
        <v>#VALUE!</v>
      </c>
      <c r="DA24" t="e">
        <f>'SurveyRpt_20150223 (1)'!L145+"h_l!ii"</f>
        <v>#VALUE!</v>
      </c>
      <c r="DB24" t="e">
        <f>'SurveyRpt_20150223 (1)'!M145+"h_l!ij"</f>
        <v>#VALUE!</v>
      </c>
      <c r="DC24" t="e">
        <f>'SurveyRpt_20150223 (1)'!N145+"h_l!ik"</f>
        <v>#VALUE!</v>
      </c>
      <c r="DD24" t="e">
        <f>'SurveyRpt_20150223 (1)'!O145+"h_l!il"</f>
        <v>#VALUE!</v>
      </c>
      <c r="DE24" t="e">
        <f>'SurveyRpt_20150223 (1)'!P145+"h_l!im"</f>
        <v>#VALUE!</v>
      </c>
      <c r="DF24" t="e">
        <f>'SurveyRpt_20150223 (1)'!Q145+"h_l!in"</f>
        <v>#VALUE!</v>
      </c>
      <c r="DG24" t="e">
        <f>'SurveyRpt_20150223 (1)'!R145+"h_l!io"</f>
        <v>#VALUE!</v>
      </c>
      <c r="DH24" t="e">
        <f>'SurveyRpt_20150223 (1)'!S145+"h_l!ip"</f>
        <v>#VALUE!</v>
      </c>
      <c r="DI24" t="e">
        <f>'SurveyRpt_20150223 (1)'!T145+"h_l!iq"</f>
        <v>#VALUE!</v>
      </c>
      <c r="DJ24" t="e">
        <f>'SurveyRpt_20150223 (1)'!U145+"h_l!ir"</f>
        <v>#VALUE!</v>
      </c>
      <c r="DK24" t="e">
        <f>'SurveyRpt_20150223 (1)'!V145+"h_l!is"</f>
        <v>#VALUE!</v>
      </c>
      <c r="DL24" t="e">
        <f>'SurveyRpt_20150223 (1)'!W145+"h_l!it"</f>
        <v>#VALUE!</v>
      </c>
      <c r="DM24" t="e">
        <f>'SurveyRpt_20150223 (1)'!X145+"h_l!iu"</f>
        <v>#VALUE!</v>
      </c>
      <c r="DN24" t="e">
        <f>'SurveyRpt_20150223 (1)'!Y145+"h_l!iv"</f>
        <v>#VALUE!</v>
      </c>
      <c r="DO24" t="e">
        <f>'SurveyRpt_20150223 (1)'!Z145+"h_l!iw"</f>
        <v>#VALUE!</v>
      </c>
      <c r="DP24" t="e">
        <f>'SurveyRpt_20150223 (1)'!AA145+"h_l!ix"</f>
        <v>#VALUE!</v>
      </c>
      <c r="DQ24" t="e">
        <f>'SurveyRpt_20150223 (1)'!AB145+"h_l!iy"</f>
        <v>#VALUE!</v>
      </c>
      <c r="DR24" t="e">
        <f>'SurveyRpt_20150223 (1)'!AC145+"h_l!iz"</f>
        <v>#VALUE!</v>
      </c>
      <c r="DS24" t="e">
        <f>'SurveyRpt_20150223 (1)'!AD145+"h_l!i{"</f>
        <v>#VALUE!</v>
      </c>
      <c r="DT24" t="e">
        <f>'SurveyRpt_20150223 (1)'!AE145+"h_l!i|"</f>
        <v>#VALUE!</v>
      </c>
      <c r="DU24" t="e">
        <f>'SurveyRpt_20150223 (1)'!AF145+"h_l!i}"</f>
        <v>#VALUE!</v>
      </c>
      <c r="DV24" t="e">
        <f>'SurveyRpt_20150223 (1)'!AG145+"h_l!i~"</f>
        <v>#VALUE!</v>
      </c>
      <c r="DW24" t="e">
        <f>'SurveyRpt_20150223 (1)'!AH145+"h_l!j#"</f>
        <v>#VALUE!</v>
      </c>
      <c r="DX24" t="e">
        <f>'SurveyRpt_20150223 (1)'!AI145+"h_l!j$"</f>
        <v>#VALUE!</v>
      </c>
      <c r="DY24" t="e">
        <f>'SurveyRpt_20150223 (1)'!AJ145+"h_l!j%"</f>
        <v>#VALUE!</v>
      </c>
      <c r="DZ24" t="e">
        <f>'SurveyRpt_20150223 (1)'!AK145+"h_l!j&amp;"</f>
        <v>#VALUE!</v>
      </c>
      <c r="EA24" t="e">
        <f>'SurveyRpt_20150223 (1)'!AL145+"h_l!j'"</f>
        <v>#VALUE!</v>
      </c>
      <c r="EB24" t="e">
        <f>'SurveyRpt_20150223 (1)'!AM145+"h_l!j("</f>
        <v>#VALUE!</v>
      </c>
      <c r="EC24" t="e">
        <f>'SurveyRpt_20150223 (1)'!AN145+"h_l!j)"</f>
        <v>#VALUE!</v>
      </c>
      <c r="ED24" t="e">
        <f>'SurveyRpt_20150223 (1)'!A146+"h_l!j."</f>
        <v>#VALUE!</v>
      </c>
      <c r="EE24" s="25" t="e">
        <f>'SurveyRpt_20150223 (1)'!B146+"h_l!j/"</f>
        <v>#VALUE!</v>
      </c>
      <c r="EF24" t="e">
        <f>'SurveyRpt_20150223 (1)'!C146+"h_l!j0"</f>
        <v>#VALUE!</v>
      </c>
      <c r="EG24" s="25" t="e">
        <f>'SurveyRpt_20150223 (1)'!D146+"h_l!j1"</f>
        <v>#VALUE!</v>
      </c>
      <c r="EH24" t="e">
        <f>'SurveyRpt_20150223 (1)'!E146+"h_l!j2"</f>
        <v>#VALUE!</v>
      </c>
      <c r="EI24" t="e">
        <f>'SurveyRpt_20150223 (1)'!F146+"h_l!j3"</f>
        <v>#VALUE!</v>
      </c>
      <c r="EJ24" t="e">
        <f>'SurveyRpt_20150223 (1)'!G146+"h_l!j4"</f>
        <v>#VALUE!</v>
      </c>
      <c r="EK24" t="e">
        <f>'SurveyRpt_20150223 (1)'!H146+"h_l!j5"</f>
        <v>#VALUE!</v>
      </c>
      <c r="EL24" t="e">
        <f>'SurveyRpt_20150223 (1)'!I146+"h_l!j6"</f>
        <v>#VALUE!</v>
      </c>
      <c r="EM24" t="e">
        <f>'SurveyRpt_20150223 (1)'!J146+"h_l!j7"</f>
        <v>#VALUE!</v>
      </c>
      <c r="EN24" t="e">
        <f>'SurveyRpt_20150223 (1)'!K146+"h_l!j8"</f>
        <v>#VALUE!</v>
      </c>
      <c r="EO24" t="e">
        <f>'SurveyRpt_20150223 (1)'!L146+"h_l!j9"</f>
        <v>#VALUE!</v>
      </c>
      <c r="EP24" t="e">
        <f>'SurveyRpt_20150223 (1)'!M146+"h_l!j:"</f>
        <v>#VALUE!</v>
      </c>
      <c r="EQ24" t="e">
        <f>'SurveyRpt_20150223 (1)'!N146+"h_l!j;"</f>
        <v>#VALUE!</v>
      </c>
      <c r="ER24" t="e">
        <f>'SurveyRpt_20150223 (1)'!O146+"h_l!j&lt;"</f>
        <v>#VALUE!</v>
      </c>
      <c r="ES24" t="e">
        <f>'SurveyRpt_20150223 (1)'!P146+"h_l!j="</f>
        <v>#VALUE!</v>
      </c>
      <c r="ET24" t="e">
        <f>'SurveyRpt_20150223 (1)'!Q146+"h_l!j&gt;"</f>
        <v>#VALUE!</v>
      </c>
      <c r="EU24" t="e">
        <f>'SurveyRpt_20150223 (1)'!R146+"h_l!j?"</f>
        <v>#VALUE!</v>
      </c>
      <c r="EV24" t="e">
        <f>'SurveyRpt_20150223 (1)'!S146+"h_l!j@"</f>
        <v>#VALUE!</v>
      </c>
      <c r="EW24" t="e">
        <f>'SurveyRpt_20150223 (1)'!T146+"h_l!jA"</f>
        <v>#VALUE!</v>
      </c>
      <c r="EX24" t="e">
        <f>'SurveyRpt_20150223 (1)'!U146+"h_l!jB"</f>
        <v>#VALUE!</v>
      </c>
      <c r="EY24" t="e">
        <f>'SurveyRpt_20150223 (1)'!V146+"h_l!jC"</f>
        <v>#VALUE!</v>
      </c>
      <c r="EZ24" t="e">
        <f>'SurveyRpt_20150223 (1)'!W146+"h_l!jD"</f>
        <v>#VALUE!</v>
      </c>
      <c r="FA24" t="e">
        <f>'SurveyRpt_20150223 (1)'!X146+"h_l!jE"</f>
        <v>#VALUE!</v>
      </c>
      <c r="FB24" t="e">
        <f>'SurveyRpt_20150223 (1)'!Y146+"h_l!jF"</f>
        <v>#VALUE!</v>
      </c>
      <c r="FC24" t="e">
        <f>'SurveyRpt_20150223 (1)'!Z146+"h_l!jG"</f>
        <v>#VALUE!</v>
      </c>
      <c r="FD24" t="e">
        <f>'SurveyRpt_20150223 (1)'!AA146+"h_l!jH"</f>
        <v>#VALUE!</v>
      </c>
      <c r="FE24" t="e">
        <f>'SurveyRpt_20150223 (1)'!AB146+"h_l!jI"</f>
        <v>#VALUE!</v>
      </c>
      <c r="FF24" t="e">
        <f>'SurveyRpt_20150223 (1)'!AC146+"h_l!jJ"</f>
        <v>#VALUE!</v>
      </c>
      <c r="FG24" t="e">
        <f>'SurveyRpt_20150223 (1)'!AD146+"h_l!jK"</f>
        <v>#VALUE!</v>
      </c>
      <c r="FH24" t="e">
        <f>'SurveyRpt_20150223 (1)'!AE146+"h_l!jL"</f>
        <v>#VALUE!</v>
      </c>
      <c r="FI24" t="e">
        <f>'SurveyRpt_20150223 (1)'!AF146+"h_l!jM"</f>
        <v>#VALUE!</v>
      </c>
      <c r="FJ24" t="e">
        <f>'SurveyRpt_20150223 (1)'!AG146+"h_l!jN"</f>
        <v>#VALUE!</v>
      </c>
      <c r="FK24" t="e">
        <f>'SurveyRpt_20150223 (1)'!AH146+"h_l!jO"</f>
        <v>#VALUE!</v>
      </c>
      <c r="FL24" t="e">
        <f>'SurveyRpt_20150223 (1)'!AI146+"h_l!jP"</f>
        <v>#VALUE!</v>
      </c>
      <c r="FM24" t="e">
        <f>'SurveyRpt_20150223 (1)'!AJ146+"h_l!jQ"</f>
        <v>#VALUE!</v>
      </c>
      <c r="FN24" t="e">
        <f>'SurveyRpt_20150223 (1)'!AK146+"h_l!jR"</f>
        <v>#VALUE!</v>
      </c>
      <c r="FO24" t="e">
        <f>'SurveyRpt_20150223 (1)'!AL146+"h_l!jS"</f>
        <v>#VALUE!</v>
      </c>
      <c r="FP24" t="e">
        <f>'SurveyRpt_20150223 (1)'!AM146+"h_l!jT"</f>
        <v>#VALUE!</v>
      </c>
      <c r="FQ24" t="e">
        <f>'SurveyRpt_20150223 (1)'!AN146+"h_l!jU"</f>
        <v>#VALUE!</v>
      </c>
      <c r="FR24" t="e">
        <f>'SurveyRpt_20150223 (1)'!A147+"h_l!jV"</f>
        <v>#VALUE!</v>
      </c>
      <c r="FS24" s="25" t="e">
        <f>'SurveyRpt_20150223 (1)'!B147+"h_l!jW"</f>
        <v>#VALUE!</v>
      </c>
      <c r="FT24" t="e">
        <f>'SurveyRpt_20150223 (1)'!C147+"h_l!jX"</f>
        <v>#VALUE!</v>
      </c>
      <c r="FU24" s="25" t="e">
        <f>'SurveyRpt_20150223 (1)'!D147+"h_l!jY"</f>
        <v>#VALUE!</v>
      </c>
      <c r="FV24" t="e">
        <f>'SurveyRpt_20150223 (1)'!E147+"h_l!jZ"</f>
        <v>#VALUE!</v>
      </c>
      <c r="FW24" t="e">
        <f>'SurveyRpt_20150223 (1)'!F147+"h_l!j["</f>
        <v>#VALUE!</v>
      </c>
      <c r="FX24" t="e">
        <f>'SurveyRpt_20150223 (1)'!G147+"h_l!j\"</f>
        <v>#VALUE!</v>
      </c>
      <c r="FY24" t="e">
        <f>'SurveyRpt_20150223 (1)'!H147+"h_l!j]"</f>
        <v>#VALUE!</v>
      </c>
      <c r="FZ24" t="e">
        <f>'SurveyRpt_20150223 (1)'!I147+"h_l!j^"</f>
        <v>#VALUE!</v>
      </c>
      <c r="GA24" t="e">
        <f>'SurveyRpt_20150223 (1)'!J147+"h_l!j_"</f>
        <v>#VALUE!</v>
      </c>
      <c r="GB24" t="e">
        <f>'SurveyRpt_20150223 (1)'!K147+"h_l!j`"</f>
        <v>#VALUE!</v>
      </c>
      <c r="GC24" t="e">
        <f>'SurveyRpt_20150223 (1)'!L147+"h_l!ja"</f>
        <v>#VALUE!</v>
      </c>
      <c r="GD24" t="e">
        <f>'SurveyRpt_20150223 (1)'!M147+"h_l!jb"</f>
        <v>#VALUE!</v>
      </c>
      <c r="GE24" t="e">
        <f>'SurveyRpt_20150223 (1)'!N147+"h_l!jc"</f>
        <v>#VALUE!</v>
      </c>
      <c r="GF24" t="e">
        <f>'SurveyRpt_20150223 (1)'!O147+"h_l!jd"</f>
        <v>#VALUE!</v>
      </c>
      <c r="GG24" t="e">
        <f>'SurveyRpt_20150223 (1)'!P147+"h_l!je"</f>
        <v>#VALUE!</v>
      </c>
      <c r="GH24" t="e">
        <f>'SurveyRpt_20150223 (1)'!Q147+"h_l!jf"</f>
        <v>#VALUE!</v>
      </c>
      <c r="GI24" t="e">
        <f>'SurveyRpt_20150223 (1)'!R147+"h_l!jg"</f>
        <v>#VALUE!</v>
      </c>
      <c r="GJ24" t="e">
        <f>'SurveyRpt_20150223 (1)'!S147+"h_l!jh"</f>
        <v>#VALUE!</v>
      </c>
      <c r="GK24" t="e">
        <f>'SurveyRpt_20150223 (1)'!T147+"h_l!ji"</f>
        <v>#VALUE!</v>
      </c>
      <c r="GL24" t="e">
        <f>'SurveyRpt_20150223 (1)'!U147+"h_l!jj"</f>
        <v>#VALUE!</v>
      </c>
      <c r="GM24" t="e">
        <f>'SurveyRpt_20150223 (1)'!V147+"h_l!jk"</f>
        <v>#VALUE!</v>
      </c>
      <c r="GN24" t="e">
        <f>'SurveyRpt_20150223 (1)'!W147+"h_l!jl"</f>
        <v>#VALUE!</v>
      </c>
      <c r="GO24" t="e">
        <f>'SurveyRpt_20150223 (1)'!X147+"h_l!jm"</f>
        <v>#VALUE!</v>
      </c>
      <c r="GP24" t="e">
        <f>'SurveyRpt_20150223 (1)'!Y147+"h_l!jn"</f>
        <v>#VALUE!</v>
      </c>
      <c r="GQ24" t="e">
        <f>'SurveyRpt_20150223 (1)'!Z147+"h_l!jo"</f>
        <v>#VALUE!</v>
      </c>
      <c r="GR24" t="e">
        <f>'SurveyRpt_20150223 (1)'!AA147+"h_l!jp"</f>
        <v>#VALUE!</v>
      </c>
      <c r="GS24" t="e">
        <f>'SurveyRpt_20150223 (1)'!AB147+"h_l!jq"</f>
        <v>#VALUE!</v>
      </c>
      <c r="GT24" t="e">
        <f>'SurveyRpt_20150223 (1)'!AC147+"h_l!jr"</f>
        <v>#VALUE!</v>
      </c>
      <c r="GU24" t="e">
        <f>'SurveyRpt_20150223 (1)'!AD147+"h_l!js"</f>
        <v>#VALUE!</v>
      </c>
      <c r="GV24" t="e">
        <f>'SurveyRpt_20150223 (1)'!AE147+"h_l!jt"</f>
        <v>#VALUE!</v>
      </c>
      <c r="GW24" t="e">
        <f>'SurveyRpt_20150223 (1)'!AF147+"h_l!ju"</f>
        <v>#VALUE!</v>
      </c>
      <c r="GX24" t="e">
        <f>'SurveyRpt_20150223 (1)'!AG147+"h_l!jv"</f>
        <v>#VALUE!</v>
      </c>
      <c r="GY24" t="e">
        <f>'SurveyRpt_20150223 (1)'!AH147+"h_l!jw"</f>
        <v>#VALUE!</v>
      </c>
      <c r="GZ24" t="e">
        <f>'SurveyRpt_20150223 (1)'!AI147+"h_l!jx"</f>
        <v>#VALUE!</v>
      </c>
      <c r="HA24" t="e">
        <f>'SurveyRpt_20150223 (1)'!AJ147+"h_l!jy"</f>
        <v>#VALUE!</v>
      </c>
      <c r="HB24" t="e">
        <f>'SurveyRpt_20150223 (1)'!AK147+"h_l!jz"</f>
        <v>#VALUE!</v>
      </c>
      <c r="HC24" t="e">
        <f>'SurveyRpt_20150223 (1)'!AL147+"h_l!j{"</f>
        <v>#VALUE!</v>
      </c>
      <c r="HD24" t="e">
        <f>'SurveyRpt_20150223 (1)'!AM147+"h_l!j|"</f>
        <v>#VALUE!</v>
      </c>
      <c r="HE24" t="e">
        <f>'SurveyRpt_20150223 (1)'!AN147+"h_l!j}"</f>
        <v>#VALUE!</v>
      </c>
      <c r="HF24" t="e">
        <f>'SurveyRpt_20150223 (1)'!A148+"h_l!j~"</f>
        <v>#VALUE!</v>
      </c>
      <c r="HG24" s="25" t="e">
        <f>'SurveyRpt_20150223 (1)'!B148+"h_l!k#"</f>
        <v>#VALUE!</v>
      </c>
      <c r="HH24" t="e">
        <f>'SurveyRpt_20150223 (1)'!C148+"h_l!k$"</f>
        <v>#VALUE!</v>
      </c>
      <c r="HI24" s="25" t="e">
        <f>'SurveyRpt_20150223 (1)'!D148+"h_l!k%"</f>
        <v>#VALUE!</v>
      </c>
      <c r="HJ24" t="e">
        <f>'SurveyRpt_20150223 (1)'!E148+"h_l!k&amp;"</f>
        <v>#VALUE!</v>
      </c>
      <c r="HK24" t="e">
        <f>'SurveyRpt_20150223 (1)'!F148+"h_l!k'"</f>
        <v>#VALUE!</v>
      </c>
      <c r="HL24" t="e">
        <f>'SurveyRpt_20150223 (1)'!G148+"h_l!k("</f>
        <v>#VALUE!</v>
      </c>
      <c r="HM24" t="e">
        <f>'SurveyRpt_20150223 (1)'!H148+"h_l!k)"</f>
        <v>#VALUE!</v>
      </c>
      <c r="HN24" t="e">
        <f>'SurveyRpt_20150223 (1)'!I148+"h_l!k."</f>
        <v>#VALUE!</v>
      </c>
      <c r="HO24" t="e">
        <f>'SurveyRpt_20150223 (1)'!J148+"h_l!k/"</f>
        <v>#VALUE!</v>
      </c>
      <c r="HP24" t="e">
        <f>'SurveyRpt_20150223 (1)'!K148+"h_l!k0"</f>
        <v>#VALUE!</v>
      </c>
      <c r="HQ24" t="e">
        <f>'SurveyRpt_20150223 (1)'!L148+"h_l!k1"</f>
        <v>#VALUE!</v>
      </c>
      <c r="HR24" t="e">
        <f>'SurveyRpt_20150223 (1)'!M148+"h_l!k2"</f>
        <v>#VALUE!</v>
      </c>
      <c r="HS24" t="e">
        <f>'SurveyRpt_20150223 (1)'!N148+"h_l!k3"</f>
        <v>#VALUE!</v>
      </c>
      <c r="HT24" t="e">
        <f>'SurveyRpt_20150223 (1)'!O148+"h_l!k4"</f>
        <v>#VALUE!</v>
      </c>
      <c r="HU24" t="e">
        <f>'SurveyRpt_20150223 (1)'!P148+"h_l!k5"</f>
        <v>#VALUE!</v>
      </c>
      <c r="HV24" t="e">
        <f>'SurveyRpt_20150223 (1)'!Q148+"h_l!k6"</f>
        <v>#VALUE!</v>
      </c>
      <c r="HW24" t="e">
        <f>'SurveyRpt_20150223 (1)'!R148+"h_l!k7"</f>
        <v>#VALUE!</v>
      </c>
      <c r="HX24" t="e">
        <f>'SurveyRpt_20150223 (1)'!S148+"h_l!k8"</f>
        <v>#VALUE!</v>
      </c>
      <c r="HY24" t="e">
        <f>'SurveyRpt_20150223 (1)'!T148+"h_l!k9"</f>
        <v>#VALUE!</v>
      </c>
      <c r="HZ24" t="e">
        <f>'SurveyRpt_20150223 (1)'!U148+"h_l!k:"</f>
        <v>#VALUE!</v>
      </c>
      <c r="IA24" t="e">
        <f>'SurveyRpt_20150223 (1)'!V148+"h_l!k;"</f>
        <v>#VALUE!</v>
      </c>
      <c r="IB24" t="e">
        <f>'SurveyRpt_20150223 (1)'!W148+"h_l!k&lt;"</f>
        <v>#VALUE!</v>
      </c>
      <c r="IC24" t="e">
        <f>'SurveyRpt_20150223 (1)'!X148+"h_l!k="</f>
        <v>#VALUE!</v>
      </c>
      <c r="ID24" t="e">
        <f>'SurveyRpt_20150223 (1)'!Y148+"h_l!k&gt;"</f>
        <v>#VALUE!</v>
      </c>
      <c r="IE24" t="e">
        <f>'SurveyRpt_20150223 (1)'!Z148+"h_l!k?"</f>
        <v>#VALUE!</v>
      </c>
      <c r="IF24" t="e">
        <f>'SurveyRpt_20150223 (1)'!AA148+"h_l!k@"</f>
        <v>#VALUE!</v>
      </c>
      <c r="IG24" t="e">
        <f>'SurveyRpt_20150223 (1)'!AB148+"h_l!kA"</f>
        <v>#VALUE!</v>
      </c>
      <c r="IH24" t="e">
        <f>'SurveyRpt_20150223 (1)'!AC148+"h_l!kB"</f>
        <v>#VALUE!</v>
      </c>
      <c r="II24" t="e">
        <f>'SurveyRpt_20150223 (1)'!AD148+"h_l!kC"</f>
        <v>#VALUE!</v>
      </c>
      <c r="IJ24" t="e">
        <f>'SurveyRpt_20150223 (1)'!AE148+"h_l!kD"</f>
        <v>#VALUE!</v>
      </c>
      <c r="IK24" t="e">
        <f>'SurveyRpt_20150223 (1)'!AF148+"h_l!kE"</f>
        <v>#VALUE!</v>
      </c>
      <c r="IL24" t="e">
        <f>'SurveyRpt_20150223 (1)'!AG148+"h_l!kF"</f>
        <v>#VALUE!</v>
      </c>
      <c r="IM24" t="e">
        <f>'SurveyRpt_20150223 (1)'!AH148+"h_l!kG"</f>
        <v>#VALUE!</v>
      </c>
      <c r="IN24" t="e">
        <f>'SurveyRpt_20150223 (1)'!AI148+"h_l!kH"</f>
        <v>#VALUE!</v>
      </c>
      <c r="IO24" t="e">
        <f>'SurveyRpt_20150223 (1)'!AJ148+"h_l!kI"</f>
        <v>#VALUE!</v>
      </c>
      <c r="IP24" t="e">
        <f>'SurveyRpt_20150223 (1)'!AK148+"h_l!kJ"</f>
        <v>#VALUE!</v>
      </c>
      <c r="IQ24" t="e">
        <f>'SurveyRpt_20150223 (1)'!AL148+"h_l!kK"</f>
        <v>#VALUE!</v>
      </c>
      <c r="IR24" t="e">
        <f>'SurveyRpt_20150223 (1)'!AM148+"h_l!kL"</f>
        <v>#VALUE!</v>
      </c>
      <c r="IS24" t="e">
        <f>'SurveyRpt_20150223 (1)'!AN148+"h_l!kM"</f>
        <v>#VALUE!</v>
      </c>
      <c r="IT24" t="e">
        <f>'SurveyRpt_20150223 (1)'!A149+"h_l!kN"</f>
        <v>#VALUE!</v>
      </c>
      <c r="IU24" s="25" t="e">
        <f>'SurveyRpt_20150223 (1)'!B149+"h_l!kO"</f>
        <v>#VALUE!</v>
      </c>
      <c r="IV24" t="e">
        <f>'SurveyRpt_20150223 (1)'!C149+"h_l!kP"</f>
        <v>#VALUE!</v>
      </c>
    </row>
    <row r="25" spans="6:256" x14ac:dyDescent="0.25">
      <c r="F25" s="25" t="e">
        <f>'SurveyRpt_20150223 (1)'!D149+"h_l!kQ"</f>
        <v>#VALUE!</v>
      </c>
      <c r="G25" t="e">
        <f>'SurveyRpt_20150223 (1)'!E149+"h_l!kR"</f>
        <v>#VALUE!</v>
      </c>
      <c r="H25" t="e">
        <f>'SurveyRpt_20150223 (1)'!F149+"h_l!kS"</f>
        <v>#VALUE!</v>
      </c>
      <c r="I25" t="e">
        <f>'SurveyRpt_20150223 (1)'!G149+"h_l!kT"</f>
        <v>#VALUE!</v>
      </c>
      <c r="J25" t="e">
        <f>'SurveyRpt_20150223 (1)'!H149+"h_l!kU"</f>
        <v>#VALUE!</v>
      </c>
      <c r="K25" t="e">
        <f>'SurveyRpt_20150223 (1)'!I149+"h_l!kV"</f>
        <v>#VALUE!</v>
      </c>
      <c r="L25" t="e">
        <f>'SurveyRpt_20150223 (1)'!J149+"h_l!kW"</f>
        <v>#VALUE!</v>
      </c>
      <c r="M25" t="e">
        <f>'SurveyRpt_20150223 (1)'!K149+"h_l!kX"</f>
        <v>#VALUE!</v>
      </c>
      <c r="N25" t="e">
        <f>'SurveyRpt_20150223 (1)'!L149+"h_l!kY"</f>
        <v>#VALUE!</v>
      </c>
      <c r="O25" t="e">
        <f>'SurveyRpt_20150223 (1)'!M149+"h_l!kZ"</f>
        <v>#VALUE!</v>
      </c>
      <c r="P25" t="e">
        <f>'SurveyRpt_20150223 (1)'!N149+"h_l!k["</f>
        <v>#VALUE!</v>
      </c>
      <c r="Q25" t="e">
        <f>'SurveyRpt_20150223 (1)'!O149+"h_l!k\"</f>
        <v>#VALUE!</v>
      </c>
      <c r="R25" t="e">
        <f>'SurveyRpt_20150223 (1)'!P149+"h_l!k]"</f>
        <v>#VALUE!</v>
      </c>
      <c r="S25" t="e">
        <f>'SurveyRpt_20150223 (1)'!Q149+"h_l!k^"</f>
        <v>#VALUE!</v>
      </c>
      <c r="T25" t="e">
        <f>'SurveyRpt_20150223 (1)'!R149+"h_l!k_"</f>
        <v>#VALUE!</v>
      </c>
      <c r="U25" t="e">
        <f>'SurveyRpt_20150223 (1)'!S149+"h_l!k`"</f>
        <v>#VALUE!</v>
      </c>
      <c r="V25" t="e">
        <f>'SurveyRpt_20150223 (1)'!T149+"h_l!ka"</f>
        <v>#VALUE!</v>
      </c>
      <c r="W25" t="e">
        <f>'SurveyRpt_20150223 (1)'!U149+"h_l!kb"</f>
        <v>#VALUE!</v>
      </c>
      <c r="X25" t="e">
        <f>'SurveyRpt_20150223 (1)'!V149+"h_l!kc"</f>
        <v>#VALUE!</v>
      </c>
      <c r="Y25" t="e">
        <f>'SurveyRpt_20150223 (1)'!W149+"h_l!kd"</f>
        <v>#VALUE!</v>
      </c>
      <c r="Z25" t="e">
        <f>'SurveyRpt_20150223 (1)'!X149+"h_l!ke"</f>
        <v>#VALUE!</v>
      </c>
      <c r="AA25" t="e">
        <f>'SurveyRpt_20150223 (1)'!Y149+"h_l!kf"</f>
        <v>#VALUE!</v>
      </c>
      <c r="AB25" t="e">
        <f>'SurveyRpt_20150223 (1)'!Z149+"h_l!kg"</f>
        <v>#VALUE!</v>
      </c>
      <c r="AC25" t="e">
        <f>'SurveyRpt_20150223 (1)'!AA149+"h_l!kh"</f>
        <v>#VALUE!</v>
      </c>
      <c r="AD25" t="e">
        <f>'SurveyRpt_20150223 (1)'!AB149+"h_l!ki"</f>
        <v>#VALUE!</v>
      </c>
      <c r="AE25" t="e">
        <f>'SurveyRpt_20150223 (1)'!AC149+"h_l!kj"</f>
        <v>#VALUE!</v>
      </c>
      <c r="AF25" t="e">
        <f>'SurveyRpt_20150223 (1)'!AD149+"h_l!kk"</f>
        <v>#VALUE!</v>
      </c>
      <c r="AG25" t="e">
        <f>'SurveyRpt_20150223 (1)'!AE149+"h_l!kl"</f>
        <v>#VALUE!</v>
      </c>
      <c r="AH25" t="e">
        <f>'SurveyRpt_20150223 (1)'!AF149+"h_l!km"</f>
        <v>#VALUE!</v>
      </c>
      <c r="AI25" t="e">
        <f>'SurveyRpt_20150223 (1)'!AG149+"h_l!kn"</f>
        <v>#VALUE!</v>
      </c>
      <c r="AJ25" t="e">
        <f>'SurveyRpt_20150223 (1)'!AH149+"h_l!ko"</f>
        <v>#VALUE!</v>
      </c>
      <c r="AK25" t="e">
        <f>'SurveyRpt_20150223 (1)'!AI149+"h_l!kp"</f>
        <v>#VALUE!</v>
      </c>
      <c r="AL25" t="e">
        <f>'SurveyRpt_20150223 (1)'!AJ149+"h_l!kq"</f>
        <v>#VALUE!</v>
      </c>
      <c r="AM25" t="e">
        <f>'SurveyRpt_20150223 (1)'!AK149+"h_l!kr"</f>
        <v>#VALUE!</v>
      </c>
      <c r="AN25" t="e">
        <f>'SurveyRpt_20150223 (1)'!AL149+"h_l!ks"</f>
        <v>#VALUE!</v>
      </c>
      <c r="AO25" t="e">
        <f>'SurveyRpt_20150223 (1)'!AM149+"h_l!kt"</f>
        <v>#VALUE!</v>
      </c>
      <c r="AP25" t="e">
        <f>'SurveyRpt_20150223 (1)'!AN149+"h_l!ku"</f>
        <v>#VALUE!</v>
      </c>
      <c r="AQ25" t="e">
        <f>'SurveyRpt_20150223 (1)'!A150+"h_l!kv"</f>
        <v>#VALUE!</v>
      </c>
      <c r="AR25" s="25" t="e">
        <f>'SurveyRpt_20150223 (1)'!B150+"h_l!kw"</f>
        <v>#VALUE!</v>
      </c>
      <c r="AS25" t="e">
        <f>'SurveyRpt_20150223 (1)'!C150+"h_l!kx"</f>
        <v>#VALUE!</v>
      </c>
      <c r="AT25" s="25" t="e">
        <f>'SurveyRpt_20150223 (1)'!D150+"h_l!ky"</f>
        <v>#VALUE!</v>
      </c>
      <c r="AU25" t="e">
        <f>'SurveyRpt_20150223 (1)'!E150+"h_l!kz"</f>
        <v>#VALUE!</v>
      </c>
      <c r="AV25" t="e">
        <f>'SurveyRpt_20150223 (1)'!F150+"h_l!k{"</f>
        <v>#VALUE!</v>
      </c>
      <c r="AW25" t="e">
        <f>'SurveyRpt_20150223 (1)'!G150+"h_l!k|"</f>
        <v>#VALUE!</v>
      </c>
      <c r="AX25" t="e">
        <f>'SurveyRpt_20150223 (1)'!H150+"h_l!k}"</f>
        <v>#VALUE!</v>
      </c>
      <c r="AY25" t="e">
        <f>'SurveyRpt_20150223 (1)'!I150+"h_l!k~"</f>
        <v>#VALUE!</v>
      </c>
      <c r="AZ25" t="e">
        <f>'SurveyRpt_20150223 (1)'!J150+"h_l!l#"</f>
        <v>#VALUE!</v>
      </c>
      <c r="BA25" t="e">
        <f>'SurveyRpt_20150223 (1)'!K150+"h_l!l$"</f>
        <v>#VALUE!</v>
      </c>
      <c r="BB25" t="e">
        <f>'SurveyRpt_20150223 (1)'!L150+"h_l!l%"</f>
        <v>#VALUE!</v>
      </c>
      <c r="BC25" t="e">
        <f>'SurveyRpt_20150223 (1)'!M150+"h_l!l&amp;"</f>
        <v>#VALUE!</v>
      </c>
      <c r="BD25" t="e">
        <f>'SurveyRpt_20150223 (1)'!N150+"h_l!l'"</f>
        <v>#VALUE!</v>
      </c>
      <c r="BE25" t="e">
        <f>'SurveyRpt_20150223 (1)'!O150+"h_l!l("</f>
        <v>#VALUE!</v>
      </c>
      <c r="BF25" t="e">
        <f>'SurveyRpt_20150223 (1)'!P150+"h_l!l)"</f>
        <v>#VALUE!</v>
      </c>
      <c r="BG25" t="e">
        <f>'SurveyRpt_20150223 (1)'!Q150+"h_l!l."</f>
        <v>#VALUE!</v>
      </c>
      <c r="BH25" t="e">
        <f>'SurveyRpt_20150223 (1)'!R150+"h_l!l/"</f>
        <v>#VALUE!</v>
      </c>
      <c r="BI25" t="e">
        <f>'SurveyRpt_20150223 (1)'!S150+"h_l!l0"</f>
        <v>#VALUE!</v>
      </c>
      <c r="BJ25" t="e">
        <f>'SurveyRpt_20150223 (1)'!T150+"h_l!l1"</f>
        <v>#VALUE!</v>
      </c>
      <c r="BK25" t="e">
        <f>'SurveyRpt_20150223 (1)'!U150+"h_l!l2"</f>
        <v>#VALUE!</v>
      </c>
      <c r="BL25" t="e">
        <f>'SurveyRpt_20150223 (1)'!V150+"h_l!l3"</f>
        <v>#VALUE!</v>
      </c>
      <c r="BM25" t="e">
        <f>'SurveyRpt_20150223 (1)'!W150+"h_l!l4"</f>
        <v>#VALUE!</v>
      </c>
      <c r="BN25" t="e">
        <f>'SurveyRpt_20150223 (1)'!X150+"h_l!l5"</f>
        <v>#VALUE!</v>
      </c>
      <c r="BO25" t="e">
        <f>'SurveyRpt_20150223 (1)'!Y150+"h_l!l6"</f>
        <v>#VALUE!</v>
      </c>
      <c r="BP25" t="e">
        <f>'SurveyRpt_20150223 (1)'!Z150+"h_l!l7"</f>
        <v>#VALUE!</v>
      </c>
      <c r="BQ25" t="e">
        <f>'SurveyRpt_20150223 (1)'!AA150+"h_l!l8"</f>
        <v>#VALUE!</v>
      </c>
      <c r="BR25" t="e">
        <f>'SurveyRpt_20150223 (1)'!AB150+"h_l!l9"</f>
        <v>#VALUE!</v>
      </c>
      <c r="BS25" t="e">
        <f>'SurveyRpt_20150223 (1)'!AC150+"h_l!l:"</f>
        <v>#VALUE!</v>
      </c>
      <c r="BT25" t="e">
        <f>'SurveyRpt_20150223 (1)'!AD150+"h_l!l;"</f>
        <v>#VALUE!</v>
      </c>
      <c r="BU25" t="e">
        <f>'SurveyRpt_20150223 (1)'!AE150+"h_l!l&lt;"</f>
        <v>#VALUE!</v>
      </c>
      <c r="BV25" t="e">
        <f>'SurveyRpt_20150223 (1)'!AF150+"h_l!l="</f>
        <v>#VALUE!</v>
      </c>
      <c r="BW25" t="e">
        <f>'SurveyRpt_20150223 (1)'!AG150+"h_l!l&gt;"</f>
        <v>#VALUE!</v>
      </c>
      <c r="BX25" t="e">
        <f>'SurveyRpt_20150223 (1)'!AH150+"h_l!l?"</f>
        <v>#VALUE!</v>
      </c>
      <c r="BY25" t="e">
        <f>'SurveyRpt_20150223 (1)'!AI150+"h_l!l@"</f>
        <v>#VALUE!</v>
      </c>
      <c r="BZ25" t="e">
        <f>'SurveyRpt_20150223 (1)'!AJ150+"h_l!lA"</f>
        <v>#VALUE!</v>
      </c>
      <c r="CA25" t="e">
        <f>'SurveyRpt_20150223 (1)'!AK150+"h_l!lB"</f>
        <v>#VALUE!</v>
      </c>
      <c r="CB25" t="e">
        <f>'SurveyRpt_20150223 (1)'!AL150+"h_l!lC"</f>
        <v>#VALUE!</v>
      </c>
      <c r="CC25" t="e">
        <f>'SurveyRpt_20150223 (1)'!AM150+"h_l!lD"</f>
        <v>#VALUE!</v>
      </c>
      <c r="CD25" t="e">
        <f>'SurveyRpt_20150223 (1)'!AN150+"h_l!lE"</f>
        <v>#VALUE!</v>
      </c>
      <c r="CE25" t="e">
        <f>'SurveyRpt_20150223 (1)'!A151+"h_l!lF"</f>
        <v>#VALUE!</v>
      </c>
      <c r="CF25" s="25" t="e">
        <f>'SurveyRpt_20150223 (1)'!B151+"h_l!lG"</f>
        <v>#VALUE!</v>
      </c>
      <c r="CG25" t="e">
        <f>'SurveyRpt_20150223 (1)'!C151+"h_l!lH"</f>
        <v>#VALUE!</v>
      </c>
      <c r="CH25" s="25" t="e">
        <f>'SurveyRpt_20150223 (1)'!D151+"h_l!lI"</f>
        <v>#VALUE!</v>
      </c>
      <c r="CI25" t="e">
        <f>'SurveyRpt_20150223 (1)'!E151+"h_l!lJ"</f>
        <v>#VALUE!</v>
      </c>
      <c r="CJ25" t="e">
        <f>'SurveyRpt_20150223 (1)'!F151+"h_l!lK"</f>
        <v>#VALUE!</v>
      </c>
      <c r="CK25" t="e">
        <f>'SurveyRpt_20150223 (1)'!G151+"h_l!lL"</f>
        <v>#VALUE!</v>
      </c>
      <c r="CL25" t="e">
        <f>'SurveyRpt_20150223 (1)'!H151+"h_l!lM"</f>
        <v>#VALUE!</v>
      </c>
      <c r="CM25" t="e">
        <f>'SurveyRpt_20150223 (1)'!I151+"h_l!lN"</f>
        <v>#VALUE!</v>
      </c>
      <c r="CN25" t="e">
        <f>'SurveyRpt_20150223 (1)'!J151+"h_l!lO"</f>
        <v>#VALUE!</v>
      </c>
      <c r="CO25" t="e">
        <f>'SurveyRpt_20150223 (1)'!K151+"h_l!lP"</f>
        <v>#VALUE!</v>
      </c>
      <c r="CP25" t="e">
        <f>'SurveyRpt_20150223 (1)'!L151+"h_l!lQ"</f>
        <v>#VALUE!</v>
      </c>
      <c r="CQ25" t="e">
        <f>'SurveyRpt_20150223 (1)'!M151+"h_l!lR"</f>
        <v>#VALUE!</v>
      </c>
      <c r="CR25" t="e">
        <f>'SurveyRpt_20150223 (1)'!N151+"h_l!lS"</f>
        <v>#VALUE!</v>
      </c>
      <c r="CS25" t="e">
        <f>'SurveyRpt_20150223 (1)'!O151+"h_l!lT"</f>
        <v>#VALUE!</v>
      </c>
      <c r="CT25" t="e">
        <f>'SurveyRpt_20150223 (1)'!P151+"h_l!lU"</f>
        <v>#VALUE!</v>
      </c>
      <c r="CU25" t="e">
        <f>'SurveyRpt_20150223 (1)'!Q151+"h_l!lV"</f>
        <v>#VALUE!</v>
      </c>
      <c r="CV25" t="e">
        <f>'SurveyRpt_20150223 (1)'!R151+"h_l!lW"</f>
        <v>#VALUE!</v>
      </c>
      <c r="CW25" t="e">
        <f>'SurveyRpt_20150223 (1)'!S151+"h_l!lX"</f>
        <v>#VALUE!</v>
      </c>
      <c r="CX25" t="e">
        <f>'SurveyRpt_20150223 (1)'!T151+"h_l!lY"</f>
        <v>#VALUE!</v>
      </c>
      <c r="CY25" t="e">
        <f>'SurveyRpt_20150223 (1)'!U151+"h_l!lZ"</f>
        <v>#VALUE!</v>
      </c>
      <c r="CZ25" t="e">
        <f>'SurveyRpt_20150223 (1)'!V151+"h_l!l["</f>
        <v>#VALUE!</v>
      </c>
      <c r="DA25" t="e">
        <f>'SurveyRpt_20150223 (1)'!W151+"h_l!l\"</f>
        <v>#VALUE!</v>
      </c>
      <c r="DB25" t="e">
        <f>'SurveyRpt_20150223 (1)'!X151+"h_l!l]"</f>
        <v>#VALUE!</v>
      </c>
      <c r="DC25" t="e">
        <f>'SurveyRpt_20150223 (1)'!Y151+"h_l!l^"</f>
        <v>#VALUE!</v>
      </c>
      <c r="DD25" t="e">
        <f>'SurveyRpt_20150223 (1)'!Z151+"h_l!l_"</f>
        <v>#VALUE!</v>
      </c>
      <c r="DE25" t="e">
        <f>'SurveyRpt_20150223 (1)'!AA151+"h_l!l`"</f>
        <v>#VALUE!</v>
      </c>
      <c r="DF25" t="e">
        <f>'SurveyRpt_20150223 (1)'!AB151+"h_l!la"</f>
        <v>#VALUE!</v>
      </c>
      <c r="DG25" t="e">
        <f>'SurveyRpt_20150223 (1)'!AC151+"h_l!lb"</f>
        <v>#VALUE!</v>
      </c>
      <c r="DH25" t="e">
        <f>'SurveyRpt_20150223 (1)'!AD151+"h_l!lc"</f>
        <v>#VALUE!</v>
      </c>
      <c r="DI25" t="e">
        <f>'SurveyRpt_20150223 (1)'!AE151+"h_l!ld"</f>
        <v>#VALUE!</v>
      </c>
      <c r="DJ25" t="e">
        <f>'SurveyRpt_20150223 (1)'!AF151+"h_l!le"</f>
        <v>#VALUE!</v>
      </c>
      <c r="DK25" t="e">
        <f>'SurveyRpt_20150223 (1)'!AG151+"h_l!lf"</f>
        <v>#VALUE!</v>
      </c>
      <c r="DL25" t="e">
        <f>'SurveyRpt_20150223 (1)'!AH151+"h_l!lg"</f>
        <v>#VALUE!</v>
      </c>
      <c r="DM25" t="e">
        <f>'SurveyRpt_20150223 (1)'!AI151+"h_l!lh"</f>
        <v>#VALUE!</v>
      </c>
      <c r="DN25" t="e">
        <f>'SurveyRpt_20150223 (1)'!AJ151+"h_l!li"</f>
        <v>#VALUE!</v>
      </c>
      <c r="DO25" t="e">
        <f>'SurveyRpt_20150223 (1)'!AK151+"h_l!lj"</f>
        <v>#VALUE!</v>
      </c>
      <c r="DP25" t="e">
        <f>'SurveyRpt_20150223 (1)'!AL151+"h_l!lk"</f>
        <v>#VALUE!</v>
      </c>
      <c r="DQ25" t="e">
        <f>'SurveyRpt_20150223 (1)'!AM151+"h_l!ll"</f>
        <v>#VALUE!</v>
      </c>
      <c r="DR25" t="e">
        <f>'SurveyRpt_20150223 (1)'!AN151+"h_l!lm"</f>
        <v>#VALUE!</v>
      </c>
      <c r="DS25" t="e">
        <f>'SurveyRpt_20150223 (1)'!A152+"h_l!ln"</f>
        <v>#VALUE!</v>
      </c>
      <c r="DT25" s="25" t="e">
        <f>'SurveyRpt_20150223 (1)'!B152+"h_l!lo"</f>
        <v>#VALUE!</v>
      </c>
      <c r="DU25" t="e">
        <f>'SurveyRpt_20150223 (1)'!C152+"h_l!lp"</f>
        <v>#VALUE!</v>
      </c>
      <c r="DV25" s="25" t="e">
        <f>'SurveyRpt_20150223 (1)'!D152+"h_l!lq"</f>
        <v>#VALUE!</v>
      </c>
      <c r="DW25" t="e">
        <f>'SurveyRpt_20150223 (1)'!E152+"h_l!lr"</f>
        <v>#VALUE!</v>
      </c>
      <c r="DX25" t="e">
        <f>'SurveyRpt_20150223 (1)'!F152+"h_l!ls"</f>
        <v>#VALUE!</v>
      </c>
      <c r="DY25" t="e">
        <f>'SurveyRpt_20150223 (1)'!G152+"h_l!lt"</f>
        <v>#VALUE!</v>
      </c>
      <c r="DZ25" t="e">
        <f>'SurveyRpt_20150223 (1)'!H152+"h_l!lu"</f>
        <v>#VALUE!</v>
      </c>
      <c r="EA25" t="e">
        <f>'SurveyRpt_20150223 (1)'!I152+"h_l!lv"</f>
        <v>#VALUE!</v>
      </c>
      <c r="EB25" t="e">
        <f>'SurveyRpt_20150223 (1)'!J152+"h_l!lw"</f>
        <v>#VALUE!</v>
      </c>
      <c r="EC25" t="e">
        <f>'SurveyRpt_20150223 (1)'!K152+"h_l!lx"</f>
        <v>#VALUE!</v>
      </c>
      <c r="ED25" t="e">
        <f>'SurveyRpt_20150223 (1)'!L152+"h_l!ly"</f>
        <v>#VALUE!</v>
      </c>
      <c r="EE25" t="e">
        <f>'SurveyRpt_20150223 (1)'!M152+"h_l!lz"</f>
        <v>#VALUE!</v>
      </c>
      <c r="EF25" t="e">
        <f>'SurveyRpt_20150223 (1)'!N152+"h_l!l{"</f>
        <v>#VALUE!</v>
      </c>
      <c r="EG25" t="e">
        <f>'SurveyRpt_20150223 (1)'!O152+"h_l!l|"</f>
        <v>#VALUE!</v>
      </c>
      <c r="EH25" t="e">
        <f>'SurveyRpt_20150223 (1)'!P152+"h_l!l}"</f>
        <v>#VALUE!</v>
      </c>
      <c r="EI25" t="e">
        <f>'SurveyRpt_20150223 (1)'!Q152+"h_l!l~"</f>
        <v>#VALUE!</v>
      </c>
      <c r="EJ25" t="e">
        <f>'SurveyRpt_20150223 (1)'!R152+"h_l!m#"</f>
        <v>#VALUE!</v>
      </c>
      <c r="EK25" t="e">
        <f>'SurveyRpt_20150223 (1)'!S152+"h_l!m$"</f>
        <v>#VALUE!</v>
      </c>
      <c r="EL25" t="e">
        <f>'SurveyRpt_20150223 (1)'!T152+"h_l!m%"</f>
        <v>#VALUE!</v>
      </c>
      <c r="EM25" t="e">
        <f>'SurveyRpt_20150223 (1)'!U152+"h_l!m&amp;"</f>
        <v>#VALUE!</v>
      </c>
      <c r="EN25" t="e">
        <f>'SurveyRpt_20150223 (1)'!V152+"h_l!m'"</f>
        <v>#VALUE!</v>
      </c>
      <c r="EO25" t="e">
        <f>'SurveyRpt_20150223 (1)'!W152+"h_l!m("</f>
        <v>#VALUE!</v>
      </c>
      <c r="EP25" t="e">
        <f>'SurveyRpt_20150223 (1)'!X152+"h_l!m)"</f>
        <v>#VALUE!</v>
      </c>
      <c r="EQ25" t="e">
        <f>'SurveyRpt_20150223 (1)'!Y152+"h_l!m."</f>
        <v>#VALUE!</v>
      </c>
      <c r="ER25" t="e">
        <f>'SurveyRpt_20150223 (1)'!Z152+"h_l!m/"</f>
        <v>#VALUE!</v>
      </c>
      <c r="ES25" t="e">
        <f>'SurveyRpt_20150223 (1)'!AA152+"h_l!m0"</f>
        <v>#VALUE!</v>
      </c>
      <c r="ET25" t="e">
        <f>'SurveyRpt_20150223 (1)'!AB152+"h_l!m1"</f>
        <v>#VALUE!</v>
      </c>
      <c r="EU25" t="e">
        <f>'SurveyRpt_20150223 (1)'!AC152+"h_l!m2"</f>
        <v>#VALUE!</v>
      </c>
      <c r="EV25" t="e">
        <f>'SurveyRpt_20150223 (1)'!AD152+"h_l!m3"</f>
        <v>#VALUE!</v>
      </c>
      <c r="EW25" t="e">
        <f>'SurveyRpt_20150223 (1)'!AE152+"h_l!m4"</f>
        <v>#VALUE!</v>
      </c>
      <c r="EX25" t="e">
        <f>'SurveyRpt_20150223 (1)'!AF152+"h_l!m5"</f>
        <v>#VALUE!</v>
      </c>
      <c r="EY25" t="e">
        <f>'SurveyRpt_20150223 (1)'!AG152+"h_l!m6"</f>
        <v>#VALUE!</v>
      </c>
      <c r="EZ25" t="e">
        <f>'SurveyRpt_20150223 (1)'!AH152+"h_l!m7"</f>
        <v>#VALUE!</v>
      </c>
      <c r="FA25" t="e">
        <f>'SurveyRpt_20150223 (1)'!AI152+"h_l!m8"</f>
        <v>#VALUE!</v>
      </c>
      <c r="FB25" t="e">
        <f>'SurveyRpt_20150223 (1)'!AJ152+"h_l!m9"</f>
        <v>#VALUE!</v>
      </c>
      <c r="FC25" t="e">
        <f>'SurveyRpt_20150223 (1)'!AK152+"h_l!m:"</f>
        <v>#VALUE!</v>
      </c>
      <c r="FD25" t="e">
        <f>'SurveyRpt_20150223 (1)'!AL152+"h_l!m;"</f>
        <v>#VALUE!</v>
      </c>
      <c r="FE25" t="e">
        <f>'SurveyRpt_20150223 (1)'!AM152+"h_l!m&lt;"</f>
        <v>#VALUE!</v>
      </c>
      <c r="FF25" t="e">
        <f>'SurveyRpt_20150223 (1)'!AN152+"h_l!m="</f>
        <v>#VALUE!</v>
      </c>
      <c r="FG25" t="e">
        <f>'SurveyRpt_20150223 (1)'!A153+"h_l!m&gt;"</f>
        <v>#VALUE!</v>
      </c>
      <c r="FH25" s="25" t="e">
        <f>'SurveyRpt_20150223 (1)'!B153+"h_l!m?"</f>
        <v>#VALUE!</v>
      </c>
      <c r="FI25" t="e">
        <f>'SurveyRpt_20150223 (1)'!C153+"h_l!m@"</f>
        <v>#VALUE!</v>
      </c>
      <c r="FJ25" s="25" t="e">
        <f>'SurveyRpt_20150223 (1)'!D153+"h_l!mA"</f>
        <v>#VALUE!</v>
      </c>
      <c r="FK25" t="e">
        <f>'SurveyRpt_20150223 (1)'!E153+"h_l!mB"</f>
        <v>#VALUE!</v>
      </c>
      <c r="FL25" t="e">
        <f>'SurveyRpt_20150223 (1)'!F153+"h_l!mC"</f>
        <v>#VALUE!</v>
      </c>
      <c r="FM25" t="e">
        <f>'SurveyRpt_20150223 (1)'!G153+"h_l!mD"</f>
        <v>#VALUE!</v>
      </c>
      <c r="FN25" t="e">
        <f>'SurveyRpt_20150223 (1)'!H153+"h_l!mE"</f>
        <v>#VALUE!</v>
      </c>
      <c r="FO25" t="e">
        <f>'SurveyRpt_20150223 (1)'!I153+"h_l!mF"</f>
        <v>#VALUE!</v>
      </c>
      <c r="FP25" t="e">
        <f>'SurveyRpt_20150223 (1)'!J153+"h_l!mG"</f>
        <v>#VALUE!</v>
      </c>
      <c r="FQ25" t="e">
        <f>'SurveyRpt_20150223 (1)'!K153+"h_l!mH"</f>
        <v>#VALUE!</v>
      </c>
      <c r="FR25" t="e">
        <f>'SurveyRpt_20150223 (1)'!L153+"h_l!mI"</f>
        <v>#VALUE!</v>
      </c>
      <c r="FS25" t="e">
        <f>'SurveyRpt_20150223 (1)'!M153+"h_l!mJ"</f>
        <v>#VALUE!</v>
      </c>
      <c r="FT25" t="e">
        <f>'SurveyRpt_20150223 (1)'!N153+"h_l!mK"</f>
        <v>#VALUE!</v>
      </c>
      <c r="FU25" t="e">
        <f>'SurveyRpt_20150223 (1)'!O153+"h_l!mL"</f>
        <v>#VALUE!</v>
      </c>
      <c r="FV25" t="e">
        <f>'SurveyRpt_20150223 (1)'!P153+"h_l!mM"</f>
        <v>#VALUE!</v>
      </c>
      <c r="FW25" t="e">
        <f>'SurveyRpt_20150223 (1)'!Q153+"h_l!mN"</f>
        <v>#VALUE!</v>
      </c>
      <c r="FX25" t="e">
        <f>'SurveyRpt_20150223 (1)'!R153+"h_l!mO"</f>
        <v>#VALUE!</v>
      </c>
      <c r="FY25" t="e">
        <f>'SurveyRpt_20150223 (1)'!S153+"h_l!mP"</f>
        <v>#VALUE!</v>
      </c>
      <c r="FZ25" t="e">
        <f>'SurveyRpt_20150223 (1)'!T153+"h_l!mQ"</f>
        <v>#VALUE!</v>
      </c>
      <c r="GA25" t="e">
        <f>'SurveyRpt_20150223 (1)'!U153+"h_l!mR"</f>
        <v>#VALUE!</v>
      </c>
      <c r="GB25" t="e">
        <f>'SurveyRpt_20150223 (1)'!V153+"h_l!mS"</f>
        <v>#VALUE!</v>
      </c>
      <c r="GC25" t="e">
        <f>'SurveyRpt_20150223 (1)'!W153+"h_l!mT"</f>
        <v>#VALUE!</v>
      </c>
      <c r="GD25" t="e">
        <f>'SurveyRpt_20150223 (1)'!X153+"h_l!mU"</f>
        <v>#VALUE!</v>
      </c>
      <c r="GE25" t="e">
        <f>'SurveyRpt_20150223 (1)'!Y153+"h_l!mV"</f>
        <v>#VALUE!</v>
      </c>
      <c r="GF25" t="e">
        <f>'SurveyRpt_20150223 (1)'!Z153+"h_l!mW"</f>
        <v>#VALUE!</v>
      </c>
      <c r="GG25" t="e">
        <f>'SurveyRpt_20150223 (1)'!AA153+"h_l!mX"</f>
        <v>#VALUE!</v>
      </c>
      <c r="GH25" t="e">
        <f>'SurveyRpt_20150223 (1)'!AB153+"h_l!mY"</f>
        <v>#VALUE!</v>
      </c>
      <c r="GI25" t="e">
        <f>'SurveyRpt_20150223 (1)'!AC153+"h_l!mZ"</f>
        <v>#VALUE!</v>
      </c>
      <c r="GJ25" t="e">
        <f>'SurveyRpt_20150223 (1)'!AD153+"h_l!m["</f>
        <v>#VALUE!</v>
      </c>
      <c r="GK25" t="e">
        <f>'SurveyRpt_20150223 (1)'!AE153+"h_l!m\"</f>
        <v>#VALUE!</v>
      </c>
      <c r="GL25" t="e">
        <f>'SurveyRpt_20150223 (1)'!AF153+"h_l!m]"</f>
        <v>#VALUE!</v>
      </c>
      <c r="GM25" t="e">
        <f>'SurveyRpt_20150223 (1)'!AG153+"h_l!m^"</f>
        <v>#VALUE!</v>
      </c>
      <c r="GN25" t="e">
        <f>'SurveyRpt_20150223 (1)'!AH153+"h_l!m_"</f>
        <v>#VALUE!</v>
      </c>
      <c r="GO25" t="e">
        <f>'SurveyRpt_20150223 (1)'!AI153+"h_l!m`"</f>
        <v>#VALUE!</v>
      </c>
      <c r="GP25" t="e">
        <f>'SurveyRpt_20150223 (1)'!AJ153+"h_l!ma"</f>
        <v>#VALUE!</v>
      </c>
      <c r="GQ25" t="e">
        <f>'SurveyRpt_20150223 (1)'!AK153+"h_l!mb"</f>
        <v>#VALUE!</v>
      </c>
      <c r="GR25" t="e">
        <f>'SurveyRpt_20150223 (1)'!AL153+"h_l!mc"</f>
        <v>#VALUE!</v>
      </c>
      <c r="GS25" t="e">
        <f>'SurveyRpt_20150223 (1)'!AM153+"h_l!md"</f>
        <v>#VALUE!</v>
      </c>
      <c r="GT25" t="e">
        <f>'SurveyRpt_20150223 (1)'!AN153+"h_l!me"</f>
        <v>#VALUE!</v>
      </c>
      <c r="GU25" t="e">
        <f>'SurveyRpt_20150223 (1)'!A154+"h_l!mf"</f>
        <v>#VALUE!</v>
      </c>
      <c r="GV25" s="25" t="e">
        <f>'SurveyRpt_20150223 (1)'!B154+"h_l!mg"</f>
        <v>#VALUE!</v>
      </c>
      <c r="GW25" t="e">
        <f>'SurveyRpt_20150223 (1)'!C154+"h_l!mh"</f>
        <v>#VALUE!</v>
      </c>
      <c r="GX25" s="25" t="e">
        <f>'SurveyRpt_20150223 (1)'!D154+"h_l!mi"</f>
        <v>#VALUE!</v>
      </c>
      <c r="GY25" t="e">
        <f>'SurveyRpt_20150223 (1)'!E154+"h_l!mj"</f>
        <v>#VALUE!</v>
      </c>
      <c r="GZ25" t="e">
        <f>'SurveyRpt_20150223 (1)'!F154+"h_l!mk"</f>
        <v>#VALUE!</v>
      </c>
      <c r="HA25" t="e">
        <f>'SurveyRpt_20150223 (1)'!G154+"h_l!ml"</f>
        <v>#VALUE!</v>
      </c>
      <c r="HB25" t="e">
        <f>'SurveyRpt_20150223 (1)'!H154+"h_l!mm"</f>
        <v>#VALUE!</v>
      </c>
      <c r="HC25" t="e">
        <f>'SurveyRpt_20150223 (1)'!I154+"h_l!mn"</f>
        <v>#VALUE!</v>
      </c>
      <c r="HD25" t="e">
        <f>'SurveyRpt_20150223 (1)'!J154+"h_l!mo"</f>
        <v>#VALUE!</v>
      </c>
      <c r="HE25" t="e">
        <f>'SurveyRpt_20150223 (1)'!K154+"h_l!mp"</f>
        <v>#VALUE!</v>
      </c>
      <c r="HF25" t="e">
        <f>'SurveyRpt_20150223 (1)'!L154+"h_l!mq"</f>
        <v>#VALUE!</v>
      </c>
      <c r="HG25" t="e">
        <f>'SurveyRpt_20150223 (1)'!M154+"h_l!mr"</f>
        <v>#VALUE!</v>
      </c>
      <c r="HH25" t="e">
        <f>'SurveyRpt_20150223 (1)'!N154+"h_l!ms"</f>
        <v>#VALUE!</v>
      </c>
      <c r="HI25" t="e">
        <f>'SurveyRpt_20150223 (1)'!O154+"h_l!mt"</f>
        <v>#VALUE!</v>
      </c>
      <c r="HJ25" t="e">
        <f>'SurveyRpt_20150223 (1)'!P154+"h_l!mu"</f>
        <v>#VALUE!</v>
      </c>
      <c r="HK25" t="e">
        <f>'SurveyRpt_20150223 (1)'!Q154+"h_l!mv"</f>
        <v>#VALUE!</v>
      </c>
      <c r="HL25" t="e">
        <f>'SurveyRpt_20150223 (1)'!R154+"h_l!mw"</f>
        <v>#VALUE!</v>
      </c>
      <c r="HM25" t="e">
        <f>'SurveyRpt_20150223 (1)'!S154+"h_l!mx"</f>
        <v>#VALUE!</v>
      </c>
      <c r="HN25" t="e">
        <f>'SurveyRpt_20150223 (1)'!T154+"h_l!my"</f>
        <v>#VALUE!</v>
      </c>
      <c r="HO25" t="e">
        <f>'SurveyRpt_20150223 (1)'!U154+"h_l!mz"</f>
        <v>#VALUE!</v>
      </c>
      <c r="HP25" t="e">
        <f>'SurveyRpt_20150223 (1)'!V154+"h_l!m{"</f>
        <v>#VALUE!</v>
      </c>
      <c r="HQ25" t="e">
        <f>'SurveyRpt_20150223 (1)'!W154+"h_l!m|"</f>
        <v>#VALUE!</v>
      </c>
      <c r="HR25" t="e">
        <f>'SurveyRpt_20150223 (1)'!X154+"h_l!m}"</f>
        <v>#VALUE!</v>
      </c>
      <c r="HS25" t="e">
        <f>'SurveyRpt_20150223 (1)'!Y154+"h_l!m~"</f>
        <v>#VALUE!</v>
      </c>
      <c r="HT25" t="e">
        <f>'SurveyRpt_20150223 (1)'!Z154+"h_l!n#"</f>
        <v>#VALUE!</v>
      </c>
      <c r="HU25" t="e">
        <f>'SurveyRpt_20150223 (1)'!AA154+"h_l!n$"</f>
        <v>#VALUE!</v>
      </c>
      <c r="HV25" t="e">
        <f>'SurveyRpt_20150223 (1)'!AB154+"h_l!n%"</f>
        <v>#VALUE!</v>
      </c>
      <c r="HW25" t="e">
        <f>'SurveyRpt_20150223 (1)'!AC154+"h_l!n&amp;"</f>
        <v>#VALUE!</v>
      </c>
      <c r="HX25" t="e">
        <f>'SurveyRpt_20150223 (1)'!AD154+"h_l!n'"</f>
        <v>#VALUE!</v>
      </c>
      <c r="HY25" t="e">
        <f>'SurveyRpt_20150223 (1)'!AE154+"h_l!n("</f>
        <v>#VALUE!</v>
      </c>
      <c r="HZ25" t="e">
        <f>'SurveyRpt_20150223 (1)'!AF154+"h_l!n)"</f>
        <v>#VALUE!</v>
      </c>
      <c r="IA25" t="e">
        <f>'SurveyRpt_20150223 (1)'!AG154+"h_l!n."</f>
        <v>#VALUE!</v>
      </c>
      <c r="IB25" t="e">
        <f>'SurveyRpt_20150223 (1)'!AH154+"h_l!n/"</f>
        <v>#VALUE!</v>
      </c>
      <c r="IC25" t="e">
        <f>'SurveyRpt_20150223 (1)'!AI154+"h_l!n0"</f>
        <v>#VALUE!</v>
      </c>
      <c r="ID25" t="e">
        <f>'SurveyRpt_20150223 (1)'!AJ154+"h_l!n1"</f>
        <v>#VALUE!</v>
      </c>
      <c r="IE25" t="e">
        <f>'SurveyRpt_20150223 (1)'!AK154+"h_l!n2"</f>
        <v>#VALUE!</v>
      </c>
      <c r="IF25" t="e">
        <f>'SurveyRpt_20150223 (1)'!AL154+"h_l!n3"</f>
        <v>#VALUE!</v>
      </c>
      <c r="IG25" t="e">
        <f>'SurveyRpt_20150223 (1)'!AM154+"h_l!n4"</f>
        <v>#VALUE!</v>
      </c>
      <c r="IH25" t="e">
        <f>'SurveyRpt_20150223 (1)'!AN154+"h_l!n5"</f>
        <v>#VALUE!</v>
      </c>
      <c r="II25" t="e">
        <f>'SurveyRpt_20150223 (1)'!A155+"h_l!n6"</f>
        <v>#VALUE!</v>
      </c>
      <c r="IJ25" s="25" t="e">
        <f>'SurveyRpt_20150223 (1)'!B155+"h_l!n7"</f>
        <v>#VALUE!</v>
      </c>
      <c r="IK25" t="e">
        <f>'SurveyRpt_20150223 (1)'!C155+"h_l!n8"</f>
        <v>#VALUE!</v>
      </c>
      <c r="IL25" s="25" t="e">
        <f>'SurveyRpt_20150223 (1)'!D155+"h_l!n9"</f>
        <v>#VALUE!</v>
      </c>
      <c r="IM25" t="e">
        <f>'SurveyRpt_20150223 (1)'!E155+"h_l!n:"</f>
        <v>#VALUE!</v>
      </c>
      <c r="IN25" t="e">
        <f>'SurveyRpt_20150223 (1)'!F155+"h_l!n;"</f>
        <v>#VALUE!</v>
      </c>
      <c r="IO25" t="e">
        <f>'SurveyRpt_20150223 (1)'!G155+"h_l!n&lt;"</f>
        <v>#VALUE!</v>
      </c>
      <c r="IP25" t="e">
        <f>'SurveyRpt_20150223 (1)'!H155+"h_l!n="</f>
        <v>#VALUE!</v>
      </c>
      <c r="IQ25" t="e">
        <f>'SurveyRpt_20150223 (1)'!I155+"h_l!n&gt;"</f>
        <v>#VALUE!</v>
      </c>
      <c r="IR25" t="e">
        <f>'SurveyRpt_20150223 (1)'!J155+"h_l!n?"</f>
        <v>#VALUE!</v>
      </c>
      <c r="IS25" t="e">
        <f>'SurveyRpt_20150223 (1)'!K155+"h_l!n@"</f>
        <v>#VALUE!</v>
      </c>
      <c r="IT25" t="e">
        <f>'SurveyRpt_20150223 (1)'!L155+"h_l!nA"</f>
        <v>#VALUE!</v>
      </c>
      <c r="IU25" t="e">
        <f>'SurveyRpt_20150223 (1)'!M155+"h_l!nB"</f>
        <v>#VALUE!</v>
      </c>
      <c r="IV25" t="e">
        <f>'SurveyRpt_20150223 (1)'!N155+"h_l!nC"</f>
        <v>#VALUE!</v>
      </c>
    </row>
    <row r="26" spans="6:256" x14ac:dyDescent="0.25">
      <c r="F26" t="e">
        <f>'SurveyRpt_20150223 (1)'!O155+"h_l!nD"</f>
        <v>#VALUE!</v>
      </c>
      <c r="G26" t="e">
        <f>'SurveyRpt_20150223 (1)'!P155+"h_l!nE"</f>
        <v>#VALUE!</v>
      </c>
      <c r="H26" t="e">
        <f>'SurveyRpt_20150223 (1)'!Q155+"h_l!nF"</f>
        <v>#VALUE!</v>
      </c>
      <c r="I26" t="e">
        <f>'SurveyRpt_20150223 (1)'!R155+"h_l!nG"</f>
        <v>#VALUE!</v>
      </c>
      <c r="J26" t="e">
        <f>'SurveyRpt_20150223 (1)'!S155+"h_l!nH"</f>
        <v>#VALUE!</v>
      </c>
      <c r="K26" t="e">
        <f>'SurveyRpt_20150223 (1)'!T155+"h_l!nI"</f>
        <v>#VALUE!</v>
      </c>
      <c r="L26" t="e">
        <f>'SurveyRpt_20150223 (1)'!U155+"h_l!nJ"</f>
        <v>#VALUE!</v>
      </c>
      <c r="M26" t="e">
        <f>'SurveyRpt_20150223 (1)'!V155+"h_l!nK"</f>
        <v>#VALUE!</v>
      </c>
      <c r="N26" t="e">
        <f>'SurveyRpt_20150223 (1)'!W155+"h_l!nL"</f>
        <v>#VALUE!</v>
      </c>
      <c r="O26" t="e">
        <f>'SurveyRpt_20150223 (1)'!X155+"h_l!nM"</f>
        <v>#VALUE!</v>
      </c>
      <c r="P26" t="e">
        <f>'SurveyRpt_20150223 (1)'!Y155+"h_l!nN"</f>
        <v>#VALUE!</v>
      </c>
      <c r="Q26" t="e">
        <f>'SurveyRpt_20150223 (1)'!Z155+"h_l!nO"</f>
        <v>#VALUE!</v>
      </c>
      <c r="R26" t="e">
        <f>'SurveyRpt_20150223 (1)'!AA155+"h_l!nP"</f>
        <v>#VALUE!</v>
      </c>
      <c r="S26" t="e">
        <f>'SurveyRpt_20150223 (1)'!AB155+"h_l!nQ"</f>
        <v>#VALUE!</v>
      </c>
      <c r="T26" t="e">
        <f>'SurveyRpt_20150223 (1)'!AC155+"h_l!nR"</f>
        <v>#VALUE!</v>
      </c>
      <c r="U26" t="e">
        <f>'SurveyRpt_20150223 (1)'!AD155+"h_l!nS"</f>
        <v>#VALUE!</v>
      </c>
      <c r="V26" t="e">
        <f>'SurveyRpt_20150223 (1)'!AE155+"h_l!nT"</f>
        <v>#VALUE!</v>
      </c>
      <c r="W26" t="e">
        <f>'SurveyRpt_20150223 (1)'!AF155+"h_l!nU"</f>
        <v>#VALUE!</v>
      </c>
      <c r="X26" t="e">
        <f>'SurveyRpt_20150223 (1)'!AG155+"h_l!nV"</f>
        <v>#VALUE!</v>
      </c>
      <c r="Y26" t="e">
        <f>'SurveyRpt_20150223 (1)'!AH155+"h_l!nW"</f>
        <v>#VALUE!</v>
      </c>
      <c r="Z26" t="e">
        <f>'SurveyRpt_20150223 (1)'!AI155+"h_l!nX"</f>
        <v>#VALUE!</v>
      </c>
      <c r="AA26" t="e">
        <f>'SurveyRpt_20150223 (1)'!AJ155+"h_l!nY"</f>
        <v>#VALUE!</v>
      </c>
      <c r="AB26" t="e">
        <f>'SurveyRpt_20150223 (1)'!AK155+"h_l!nZ"</f>
        <v>#VALUE!</v>
      </c>
      <c r="AC26" t="e">
        <f>'SurveyRpt_20150223 (1)'!AL155+"h_l!n["</f>
        <v>#VALUE!</v>
      </c>
      <c r="AD26" t="e">
        <f>'SurveyRpt_20150223 (1)'!AM155+"h_l!n\"</f>
        <v>#VALUE!</v>
      </c>
      <c r="AE26" t="e">
        <f>'SurveyRpt_20150223 (1)'!AN155+"h_l!n]"</f>
        <v>#VALUE!</v>
      </c>
      <c r="AF26" t="e">
        <f>'SurveyRpt_20150223 (1)'!A156+"h_l!n^"</f>
        <v>#VALUE!</v>
      </c>
      <c r="AG26" s="25" t="e">
        <f>'SurveyRpt_20150223 (1)'!B156+"h_l!n_"</f>
        <v>#VALUE!</v>
      </c>
      <c r="AH26" t="e">
        <f>'SurveyRpt_20150223 (1)'!C156+"h_l!n`"</f>
        <v>#VALUE!</v>
      </c>
      <c r="AI26" s="25" t="e">
        <f>'SurveyRpt_20150223 (1)'!D156+"h_l!na"</f>
        <v>#VALUE!</v>
      </c>
      <c r="AJ26" t="e">
        <f>'SurveyRpt_20150223 (1)'!E156+"h_l!nb"</f>
        <v>#VALUE!</v>
      </c>
      <c r="AK26" t="e">
        <f>'SurveyRpt_20150223 (1)'!F156+"h_l!nc"</f>
        <v>#VALUE!</v>
      </c>
      <c r="AL26" t="e">
        <f>'SurveyRpt_20150223 (1)'!G156+"h_l!nd"</f>
        <v>#VALUE!</v>
      </c>
      <c r="AM26" t="e">
        <f>'SurveyRpt_20150223 (1)'!H156+"h_l!ne"</f>
        <v>#VALUE!</v>
      </c>
      <c r="AN26" t="e">
        <f>'SurveyRpt_20150223 (1)'!I156+"h_l!nf"</f>
        <v>#VALUE!</v>
      </c>
      <c r="AO26" t="e">
        <f>'SurveyRpt_20150223 (1)'!J156+"h_l!ng"</f>
        <v>#VALUE!</v>
      </c>
      <c r="AP26" t="e">
        <f>'SurveyRpt_20150223 (1)'!K156+"h_l!nh"</f>
        <v>#VALUE!</v>
      </c>
      <c r="AQ26" t="e">
        <f>'SurveyRpt_20150223 (1)'!L156+"h_l!ni"</f>
        <v>#VALUE!</v>
      </c>
      <c r="AR26" t="e">
        <f>'SurveyRpt_20150223 (1)'!M156+"h_l!nj"</f>
        <v>#VALUE!</v>
      </c>
      <c r="AS26" t="e">
        <f>'SurveyRpt_20150223 (1)'!N156+"h_l!nk"</f>
        <v>#VALUE!</v>
      </c>
      <c r="AT26" t="e">
        <f>'SurveyRpt_20150223 (1)'!O156+"h_l!nl"</f>
        <v>#VALUE!</v>
      </c>
      <c r="AU26" t="e">
        <f>'SurveyRpt_20150223 (1)'!P156+"h_l!nm"</f>
        <v>#VALUE!</v>
      </c>
      <c r="AV26" t="e">
        <f>'SurveyRpt_20150223 (1)'!Q156+"h_l!nn"</f>
        <v>#VALUE!</v>
      </c>
      <c r="AW26" t="e">
        <f>'SurveyRpt_20150223 (1)'!R156+"h_l!no"</f>
        <v>#VALUE!</v>
      </c>
      <c r="AX26" t="e">
        <f>'SurveyRpt_20150223 (1)'!S156+"h_l!np"</f>
        <v>#VALUE!</v>
      </c>
      <c r="AY26" t="e">
        <f>'SurveyRpt_20150223 (1)'!T156+"h_l!nq"</f>
        <v>#VALUE!</v>
      </c>
      <c r="AZ26" t="e">
        <f>'SurveyRpt_20150223 (1)'!U156+"h_l!nr"</f>
        <v>#VALUE!</v>
      </c>
      <c r="BA26" t="e">
        <f>'SurveyRpt_20150223 (1)'!V156+"h_l!ns"</f>
        <v>#VALUE!</v>
      </c>
      <c r="BB26" t="e">
        <f>'SurveyRpt_20150223 (1)'!W156+"h_l!nt"</f>
        <v>#VALUE!</v>
      </c>
      <c r="BC26" t="e">
        <f>'SurveyRpt_20150223 (1)'!X156+"h_l!nu"</f>
        <v>#VALUE!</v>
      </c>
      <c r="BD26" t="e">
        <f>'SurveyRpt_20150223 (1)'!Y156+"h_l!nv"</f>
        <v>#VALUE!</v>
      </c>
      <c r="BE26" t="e">
        <f>'SurveyRpt_20150223 (1)'!Z156+"h_l!nw"</f>
        <v>#VALUE!</v>
      </c>
      <c r="BF26" t="e">
        <f>'SurveyRpt_20150223 (1)'!AA156+"h_l!nx"</f>
        <v>#VALUE!</v>
      </c>
      <c r="BG26" t="e">
        <f>'SurveyRpt_20150223 (1)'!AB156+"h_l!ny"</f>
        <v>#VALUE!</v>
      </c>
      <c r="BH26" t="e">
        <f>'SurveyRpt_20150223 (1)'!AC156+"h_l!nz"</f>
        <v>#VALUE!</v>
      </c>
      <c r="BI26" t="e">
        <f>'SurveyRpt_20150223 (1)'!AD156+"h_l!n{"</f>
        <v>#VALUE!</v>
      </c>
      <c r="BJ26" t="e">
        <f>'SurveyRpt_20150223 (1)'!AE156+"h_l!n|"</f>
        <v>#VALUE!</v>
      </c>
      <c r="BK26" t="e">
        <f>'SurveyRpt_20150223 (1)'!AF156+"h_l!n}"</f>
        <v>#VALUE!</v>
      </c>
      <c r="BL26" t="e">
        <f>'SurveyRpt_20150223 (1)'!AG156+"h_l!n~"</f>
        <v>#VALUE!</v>
      </c>
      <c r="BM26" t="e">
        <f>'SurveyRpt_20150223 (1)'!AH156+"h_l!o#"</f>
        <v>#VALUE!</v>
      </c>
      <c r="BN26" t="e">
        <f>'SurveyRpt_20150223 (1)'!AI156+"h_l!o$"</f>
        <v>#VALUE!</v>
      </c>
      <c r="BO26" t="e">
        <f>'SurveyRpt_20150223 (1)'!AJ156+"h_l!o%"</f>
        <v>#VALUE!</v>
      </c>
      <c r="BP26" t="e">
        <f>'SurveyRpt_20150223 (1)'!AK156+"h_l!o&amp;"</f>
        <v>#VALUE!</v>
      </c>
      <c r="BQ26" t="e">
        <f>'SurveyRpt_20150223 (1)'!AL156+"h_l!o'"</f>
        <v>#VALUE!</v>
      </c>
      <c r="BR26" t="e">
        <f>'SurveyRpt_20150223 (1)'!AM156+"h_l!o("</f>
        <v>#VALUE!</v>
      </c>
      <c r="BS26" t="e">
        <f>'SurveyRpt_20150223 (1)'!AN156+"h_l!o)"</f>
        <v>#VALUE!</v>
      </c>
      <c r="BT26" t="e">
        <f>'SurveyRpt_20150223 (1)'!A157+"h_l!o."</f>
        <v>#VALUE!</v>
      </c>
      <c r="BU26" s="25" t="e">
        <f>'SurveyRpt_20150223 (1)'!B157+"h_l!o/"</f>
        <v>#VALUE!</v>
      </c>
      <c r="BV26" t="e">
        <f>'SurveyRpt_20150223 (1)'!C157+"h_l!o0"</f>
        <v>#VALUE!</v>
      </c>
      <c r="BW26" s="25" t="e">
        <f>'SurveyRpt_20150223 (1)'!D157+"h_l!o1"</f>
        <v>#VALUE!</v>
      </c>
      <c r="BX26" t="e">
        <f>'SurveyRpt_20150223 (1)'!E157+"h_l!o2"</f>
        <v>#VALUE!</v>
      </c>
      <c r="BY26" t="e">
        <f>'SurveyRpt_20150223 (1)'!F157+"h_l!o3"</f>
        <v>#VALUE!</v>
      </c>
      <c r="BZ26" t="e">
        <f>'SurveyRpt_20150223 (1)'!G157+"h_l!o4"</f>
        <v>#VALUE!</v>
      </c>
      <c r="CA26" t="e">
        <f>'SurveyRpt_20150223 (1)'!H157+"h_l!o5"</f>
        <v>#VALUE!</v>
      </c>
      <c r="CB26" t="e">
        <f>'SurveyRpt_20150223 (1)'!I157+"h_l!o6"</f>
        <v>#VALUE!</v>
      </c>
      <c r="CC26" t="e">
        <f>'SurveyRpt_20150223 (1)'!J157+"h_l!o7"</f>
        <v>#VALUE!</v>
      </c>
      <c r="CD26" t="e">
        <f>'SurveyRpt_20150223 (1)'!K157+"h_l!o8"</f>
        <v>#VALUE!</v>
      </c>
      <c r="CE26" t="e">
        <f>'SurveyRpt_20150223 (1)'!L157+"h_l!o9"</f>
        <v>#VALUE!</v>
      </c>
      <c r="CF26" t="e">
        <f>'SurveyRpt_20150223 (1)'!M157+"h_l!o:"</f>
        <v>#VALUE!</v>
      </c>
      <c r="CG26" t="e">
        <f>'SurveyRpt_20150223 (1)'!N157+"h_l!o;"</f>
        <v>#VALUE!</v>
      </c>
      <c r="CH26" t="e">
        <f>'SurveyRpt_20150223 (1)'!O157+"h_l!o&lt;"</f>
        <v>#VALUE!</v>
      </c>
      <c r="CI26" t="e">
        <f>'SurveyRpt_20150223 (1)'!P157+"h_l!o="</f>
        <v>#VALUE!</v>
      </c>
      <c r="CJ26" t="e">
        <f>'SurveyRpt_20150223 (1)'!Q157+"h_l!o&gt;"</f>
        <v>#VALUE!</v>
      </c>
      <c r="CK26" t="e">
        <f>'SurveyRpt_20150223 (1)'!R157+"h_l!o?"</f>
        <v>#VALUE!</v>
      </c>
      <c r="CL26" t="e">
        <f>'SurveyRpt_20150223 (1)'!S157+"h_l!o@"</f>
        <v>#VALUE!</v>
      </c>
      <c r="CM26" t="e">
        <f>'SurveyRpt_20150223 (1)'!T157+"h_l!oA"</f>
        <v>#VALUE!</v>
      </c>
      <c r="CN26" t="e">
        <f>'SurveyRpt_20150223 (1)'!U157+"h_l!oB"</f>
        <v>#VALUE!</v>
      </c>
      <c r="CO26" t="e">
        <f>'SurveyRpt_20150223 (1)'!V157+"h_l!oC"</f>
        <v>#VALUE!</v>
      </c>
      <c r="CP26" t="e">
        <f>'SurveyRpt_20150223 (1)'!W157+"h_l!oD"</f>
        <v>#VALUE!</v>
      </c>
      <c r="CQ26" t="e">
        <f>'SurveyRpt_20150223 (1)'!X157+"h_l!oE"</f>
        <v>#VALUE!</v>
      </c>
      <c r="CR26" t="e">
        <f>'SurveyRpt_20150223 (1)'!Y157+"h_l!oF"</f>
        <v>#VALUE!</v>
      </c>
      <c r="CS26" t="e">
        <f>'SurveyRpt_20150223 (1)'!Z157+"h_l!oG"</f>
        <v>#VALUE!</v>
      </c>
      <c r="CT26" t="e">
        <f>'SurveyRpt_20150223 (1)'!AA157+"h_l!oH"</f>
        <v>#VALUE!</v>
      </c>
      <c r="CU26" t="e">
        <f>'SurveyRpt_20150223 (1)'!AB157+"h_l!oI"</f>
        <v>#VALUE!</v>
      </c>
      <c r="CV26" t="e">
        <f>'SurveyRpt_20150223 (1)'!AC157+"h_l!oJ"</f>
        <v>#VALUE!</v>
      </c>
      <c r="CW26" t="e">
        <f>'SurveyRpt_20150223 (1)'!AD157+"h_l!oK"</f>
        <v>#VALUE!</v>
      </c>
      <c r="CX26" t="e">
        <f>'SurveyRpt_20150223 (1)'!AE157+"h_l!oL"</f>
        <v>#VALUE!</v>
      </c>
      <c r="CY26" t="e">
        <f>'SurveyRpt_20150223 (1)'!AF157+"h_l!oM"</f>
        <v>#VALUE!</v>
      </c>
      <c r="CZ26" t="e">
        <f>'SurveyRpt_20150223 (1)'!AG157+"h_l!oN"</f>
        <v>#VALUE!</v>
      </c>
      <c r="DA26" t="e">
        <f>'SurveyRpt_20150223 (1)'!AH157+"h_l!oO"</f>
        <v>#VALUE!</v>
      </c>
      <c r="DB26" t="e">
        <f>'SurveyRpt_20150223 (1)'!AI157+"h_l!oP"</f>
        <v>#VALUE!</v>
      </c>
      <c r="DC26" t="e">
        <f>'SurveyRpt_20150223 (1)'!AJ157+"h_l!oQ"</f>
        <v>#VALUE!</v>
      </c>
      <c r="DD26" t="e">
        <f>'SurveyRpt_20150223 (1)'!AK157+"h_l!oR"</f>
        <v>#VALUE!</v>
      </c>
      <c r="DE26" t="e">
        <f>'SurveyRpt_20150223 (1)'!AL157+"h_l!oS"</f>
        <v>#VALUE!</v>
      </c>
      <c r="DF26" t="e">
        <f>'SurveyRpt_20150223 (1)'!AM157+"h_l!oT"</f>
        <v>#VALUE!</v>
      </c>
      <c r="DG26" t="e">
        <f>'SurveyRpt_20150223 (1)'!AN157+"h_l!oU"</f>
        <v>#VALUE!</v>
      </c>
      <c r="DH26" t="e">
        <f>'SurveyRpt_20150223 (1)'!A158+"h_l!oV"</f>
        <v>#VALUE!</v>
      </c>
      <c r="DI26" s="25" t="e">
        <f>'SurveyRpt_20150223 (1)'!B158+"h_l!oW"</f>
        <v>#VALUE!</v>
      </c>
      <c r="DJ26" t="e">
        <f>'SurveyRpt_20150223 (1)'!C158+"h_l!oX"</f>
        <v>#VALUE!</v>
      </c>
      <c r="DK26" s="25" t="e">
        <f>'SurveyRpt_20150223 (1)'!D158+"h_l!oY"</f>
        <v>#VALUE!</v>
      </c>
      <c r="DL26" t="e">
        <f>'SurveyRpt_20150223 (1)'!E158+"h_l!oZ"</f>
        <v>#VALUE!</v>
      </c>
      <c r="DM26" t="e">
        <f>'SurveyRpt_20150223 (1)'!F158+"h_l!o["</f>
        <v>#VALUE!</v>
      </c>
      <c r="DN26" t="e">
        <f>'SurveyRpt_20150223 (1)'!G158+"h_l!o\"</f>
        <v>#VALUE!</v>
      </c>
      <c r="DO26" t="e">
        <f>'SurveyRpt_20150223 (1)'!H158+"h_l!o]"</f>
        <v>#VALUE!</v>
      </c>
      <c r="DP26" t="e">
        <f>'SurveyRpt_20150223 (1)'!I158+"h_l!o^"</f>
        <v>#VALUE!</v>
      </c>
      <c r="DQ26" t="e">
        <f>'SurveyRpt_20150223 (1)'!J158+"h_l!o_"</f>
        <v>#VALUE!</v>
      </c>
      <c r="DR26" t="e">
        <f>'SurveyRpt_20150223 (1)'!K158+"h_l!o`"</f>
        <v>#VALUE!</v>
      </c>
      <c r="DS26" t="e">
        <f>'SurveyRpt_20150223 (1)'!L158+"h_l!oa"</f>
        <v>#VALUE!</v>
      </c>
      <c r="DT26" t="e">
        <f>'SurveyRpt_20150223 (1)'!M158+"h_l!ob"</f>
        <v>#VALUE!</v>
      </c>
      <c r="DU26" t="e">
        <f>'SurveyRpt_20150223 (1)'!N158+"h_l!oc"</f>
        <v>#VALUE!</v>
      </c>
      <c r="DV26" t="e">
        <f>'SurveyRpt_20150223 (1)'!O158+"h_l!od"</f>
        <v>#VALUE!</v>
      </c>
      <c r="DW26" t="e">
        <f>'SurveyRpt_20150223 (1)'!P158+"h_l!oe"</f>
        <v>#VALUE!</v>
      </c>
      <c r="DX26" t="e">
        <f>'SurveyRpt_20150223 (1)'!Q158+"h_l!of"</f>
        <v>#VALUE!</v>
      </c>
      <c r="DY26" t="e">
        <f>'SurveyRpt_20150223 (1)'!R158+"h_l!og"</f>
        <v>#VALUE!</v>
      </c>
      <c r="DZ26" t="e">
        <f>'SurveyRpt_20150223 (1)'!S158+"h_l!oh"</f>
        <v>#VALUE!</v>
      </c>
      <c r="EA26" t="e">
        <f>'SurveyRpt_20150223 (1)'!T158+"h_l!oi"</f>
        <v>#VALUE!</v>
      </c>
      <c r="EB26" t="e">
        <f>'SurveyRpt_20150223 (1)'!U158+"h_l!oj"</f>
        <v>#VALUE!</v>
      </c>
      <c r="EC26" t="e">
        <f>'SurveyRpt_20150223 (1)'!V158+"h_l!ok"</f>
        <v>#VALUE!</v>
      </c>
      <c r="ED26" t="e">
        <f>'SurveyRpt_20150223 (1)'!W158+"h_l!ol"</f>
        <v>#VALUE!</v>
      </c>
      <c r="EE26" t="e">
        <f>'SurveyRpt_20150223 (1)'!X158+"h_l!om"</f>
        <v>#VALUE!</v>
      </c>
      <c r="EF26" t="e">
        <f>'SurveyRpt_20150223 (1)'!Y158+"h_l!on"</f>
        <v>#VALUE!</v>
      </c>
      <c r="EG26" t="e">
        <f>'SurveyRpt_20150223 (1)'!Z158+"h_l!oo"</f>
        <v>#VALUE!</v>
      </c>
      <c r="EH26" t="e">
        <f>'SurveyRpt_20150223 (1)'!AA158+"h_l!op"</f>
        <v>#VALUE!</v>
      </c>
      <c r="EI26" t="e">
        <f>'SurveyRpt_20150223 (1)'!AB158+"h_l!oq"</f>
        <v>#VALUE!</v>
      </c>
      <c r="EJ26" t="e">
        <f>'SurveyRpt_20150223 (1)'!AC158+"h_l!or"</f>
        <v>#VALUE!</v>
      </c>
      <c r="EK26" t="e">
        <f>'SurveyRpt_20150223 (1)'!AD158+"h_l!os"</f>
        <v>#VALUE!</v>
      </c>
      <c r="EL26" t="e">
        <f>'SurveyRpt_20150223 (1)'!AE158+"h_l!ot"</f>
        <v>#VALUE!</v>
      </c>
      <c r="EM26" t="e">
        <f>'SurveyRpt_20150223 (1)'!AF158+"h_l!ou"</f>
        <v>#VALUE!</v>
      </c>
      <c r="EN26" t="e">
        <f>'SurveyRpt_20150223 (1)'!AG158+"h_l!ov"</f>
        <v>#VALUE!</v>
      </c>
      <c r="EO26" t="e">
        <f>'SurveyRpt_20150223 (1)'!AH158+"h_l!ow"</f>
        <v>#VALUE!</v>
      </c>
      <c r="EP26" t="e">
        <f>'SurveyRpt_20150223 (1)'!AI158+"h_l!ox"</f>
        <v>#VALUE!</v>
      </c>
      <c r="EQ26" t="e">
        <f>'SurveyRpt_20150223 (1)'!AJ158+"h_l!oy"</f>
        <v>#VALUE!</v>
      </c>
      <c r="ER26" t="e">
        <f>'SurveyRpt_20150223 (1)'!AK158+"h_l!oz"</f>
        <v>#VALUE!</v>
      </c>
      <c r="ES26" t="e">
        <f>'SurveyRpt_20150223 (1)'!AL158+"h_l!o{"</f>
        <v>#VALUE!</v>
      </c>
      <c r="ET26" t="e">
        <f>'SurveyRpt_20150223 (1)'!AM158+"h_l!o|"</f>
        <v>#VALUE!</v>
      </c>
      <c r="EU26" t="e">
        <f>'SurveyRpt_20150223 (1)'!AN158+"h_l!o}"</f>
        <v>#VALUE!</v>
      </c>
      <c r="EV26" t="e">
        <f>'SurveyRpt_20150223 (1)'!A159+"h_l!o~"</f>
        <v>#VALUE!</v>
      </c>
      <c r="EW26" s="25" t="e">
        <f>'SurveyRpt_20150223 (1)'!B159+"h_l!p#"</f>
        <v>#VALUE!</v>
      </c>
      <c r="EX26" t="e">
        <f>'SurveyRpt_20150223 (1)'!C159+"h_l!p$"</f>
        <v>#VALUE!</v>
      </c>
      <c r="EY26" s="25" t="e">
        <f>'SurveyRpt_20150223 (1)'!D159+"h_l!p%"</f>
        <v>#VALUE!</v>
      </c>
      <c r="EZ26" t="e">
        <f>'SurveyRpt_20150223 (1)'!E159+"h_l!p&amp;"</f>
        <v>#VALUE!</v>
      </c>
      <c r="FA26" t="e">
        <f>'SurveyRpt_20150223 (1)'!F159+"h_l!p'"</f>
        <v>#VALUE!</v>
      </c>
      <c r="FB26" t="e">
        <f>'SurveyRpt_20150223 (1)'!G159+"h_l!p("</f>
        <v>#VALUE!</v>
      </c>
      <c r="FC26" t="e">
        <f>'SurveyRpt_20150223 (1)'!H159+"h_l!p)"</f>
        <v>#VALUE!</v>
      </c>
      <c r="FD26" t="e">
        <f>'SurveyRpt_20150223 (1)'!I159+"h_l!p."</f>
        <v>#VALUE!</v>
      </c>
      <c r="FE26" t="e">
        <f>'SurveyRpt_20150223 (1)'!J159+"h_l!p/"</f>
        <v>#VALUE!</v>
      </c>
      <c r="FF26" t="e">
        <f>'SurveyRpt_20150223 (1)'!K159+"h_l!p0"</f>
        <v>#VALUE!</v>
      </c>
      <c r="FG26" t="e">
        <f>'SurveyRpt_20150223 (1)'!L159+"h_l!p1"</f>
        <v>#VALUE!</v>
      </c>
      <c r="FH26" t="e">
        <f>'SurveyRpt_20150223 (1)'!M159+"h_l!p2"</f>
        <v>#VALUE!</v>
      </c>
      <c r="FI26" t="e">
        <f>'SurveyRpt_20150223 (1)'!N159+"h_l!p3"</f>
        <v>#VALUE!</v>
      </c>
      <c r="FJ26" t="e">
        <f>'SurveyRpt_20150223 (1)'!O159+"h_l!p4"</f>
        <v>#VALUE!</v>
      </c>
      <c r="FK26" t="e">
        <f>'SurveyRpt_20150223 (1)'!P159+"h_l!p5"</f>
        <v>#VALUE!</v>
      </c>
      <c r="FL26" t="e">
        <f>'SurveyRpt_20150223 (1)'!Q159+"h_l!p6"</f>
        <v>#VALUE!</v>
      </c>
      <c r="FM26" t="e">
        <f>'SurveyRpt_20150223 (1)'!R159+"h_l!p7"</f>
        <v>#VALUE!</v>
      </c>
      <c r="FN26" t="e">
        <f>'SurveyRpt_20150223 (1)'!S159+"h_l!p8"</f>
        <v>#VALUE!</v>
      </c>
      <c r="FO26" t="e">
        <f>'SurveyRpt_20150223 (1)'!T159+"h_l!p9"</f>
        <v>#VALUE!</v>
      </c>
      <c r="FP26" t="e">
        <f>'SurveyRpt_20150223 (1)'!U159+"h_l!p:"</f>
        <v>#VALUE!</v>
      </c>
      <c r="FQ26" t="e">
        <f>'SurveyRpt_20150223 (1)'!V159+"h_l!p;"</f>
        <v>#VALUE!</v>
      </c>
      <c r="FR26" t="e">
        <f>'SurveyRpt_20150223 (1)'!W159+"h_l!p&lt;"</f>
        <v>#VALUE!</v>
      </c>
      <c r="FS26" t="e">
        <f>'SurveyRpt_20150223 (1)'!X159+"h_l!p="</f>
        <v>#VALUE!</v>
      </c>
      <c r="FT26" t="e">
        <f>'SurveyRpt_20150223 (1)'!Y159+"h_l!p&gt;"</f>
        <v>#VALUE!</v>
      </c>
      <c r="FU26" t="e">
        <f>'SurveyRpt_20150223 (1)'!Z159+"h_l!p?"</f>
        <v>#VALUE!</v>
      </c>
      <c r="FV26" t="e">
        <f>'SurveyRpt_20150223 (1)'!AA159+"h_l!p@"</f>
        <v>#VALUE!</v>
      </c>
      <c r="FW26" t="e">
        <f>'SurveyRpt_20150223 (1)'!AB159+"h_l!pA"</f>
        <v>#VALUE!</v>
      </c>
      <c r="FX26" t="e">
        <f>'SurveyRpt_20150223 (1)'!AC159+"h_l!pB"</f>
        <v>#VALUE!</v>
      </c>
      <c r="FY26" t="e">
        <f>'SurveyRpt_20150223 (1)'!AD159+"h_l!pC"</f>
        <v>#VALUE!</v>
      </c>
      <c r="FZ26" t="e">
        <f>'SurveyRpt_20150223 (1)'!AE159+"h_l!pD"</f>
        <v>#VALUE!</v>
      </c>
      <c r="GA26" t="e">
        <f>'SurveyRpt_20150223 (1)'!AF159+"h_l!pE"</f>
        <v>#VALUE!</v>
      </c>
      <c r="GB26" t="e">
        <f>'SurveyRpt_20150223 (1)'!AG159+"h_l!pF"</f>
        <v>#VALUE!</v>
      </c>
      <c r="GC26" t="e">
        <f>'SurveyRpt_20150223 (1)'!AH159+"h_l!pG"</f>
        <v>#VALUE!</v>
      </c>
      <c r="GD26" t="e">
        <f>'SurveyRpt_20150223 (1)'!AI159+"h_l!pH"</f>
        <v>#VALUE!</v>
      </c>
      <c r="GE26" t="e">
        <f>'SurveyRpt_20150223 (1)'!AJ159+"h_l!pI"</f>
        <v>#VALUE!</v>
      </c>
      <c r="GF26" t="e">
        <f>'SurveyRpt_20150223 (1)'!AK159+"h_l!pJ"</f>
        <v>#VALUE!</v>
      </c>
      <c r="GG26" t="e">
        <f>'SurveyRpt_20150223 (1)'!AL159+"h_l!pK"</f>
        <v>#VALUE!</v>
      </c>
      <c r="GH26" t="e">
        <f>'SurveyRpt_20150223 (1)'!AM159+"h_l!pL"</f>
        <v>#VALUE!</v>
      </c>
      <c r="GI26" t="e">
        <f>'SurveyRpt_20150223 (1)'!AN159+"h_l!pM"</f>
        <v>#VALUE!</v>
      </c>
      <c r="GJ26" t="e">
        <f>'SurveyRpt_20150223 (1)'!A160+"h_l!pN"</f>
        <v>#VALUE!</v>
      </c>
      <c r="GK26" s="25" t="e">
        <f>'SurveyRpt_20150223 (1)'!B160+"h_l!pO"</f>
        <v>#VALUE!</v>
      </c>
      <c r="GL26" t="e">
        <f>'SurveyRpt_20150223 (1)'!C160+"h_l!pP"</f>
        <v>#VALUE!</v>
      </c>
      <c r="GM26" s="25" t="e">
        <f>'SurveyRpt_20150223 (1)'!D160+"h_l!pQ"</f>
        <v>#VALUE!</v>
      </c>
      <c r="GN26" t="e">
        <f>'SurveyRpt_20150223 (1)'!E160+"h_l!pR"</f>
        <v>#VALUE!</v>
      </c>
      <c r="GO26" t="e">
        <f>'SurveyRpt_20150223 (1)'!F160+"h_l!pS"</f>
        <v>#VALUE!</v>
      </c>
      <c r="GP26" t="e">
        <f>'SurveyRpt_20150223 (1)'!G160+"h_l!pT"</f>
        <v>#VALUE!</v>
      </c>
      <c r="GQ26" t="e">
        <f>'SurveyRpt_20150223 (1)'!H160+"h_l!pU"</f>
        <v>#VALUE!</v>
      </c>
      <c r="GR26" t="e">
        <f>'SurveyRpt_20150223 (1)'!I160+"h_l!pV"</f>
        <v>#VALUE!</v>
      </c>
      <c r="GS26" t="e">
        <f>'SurveyRpt_20150223 (1)'!J160+"h_l!pW"</f>
        <v>#VALUE!</v>
      </c>
      <c r="GT26" t="e">
        <f>'SurveyRpt_20150223 (1)'!K160+"h_l!pX"</f>
        <v>#VALUE!</v>
      </c>
      <c r="GU26" t="e">
        <f>'SurveyRpt_20150223 (1)'!L160+"h_l!pY"</f>
        <v>#VALUE!</v>
      </c>
      <c r="GV26" t="e">
        <f>'SurveyRpt_20150223 (1)'!M160+"h_l!pZ"</f>
        <v>#VALUE!</v>
      </c>
      <c r="GW26" t="e">
        <f>'SurveyRpt_20150223 (1)'!N160+"h_l!p["</f>
        <v>#VALUE!</v>
      </c>
      <c r="GX26" t="e">
        <f>'SurveyRpt_20150223 (1)'!O160+"h_l!p\"</f>
        <v>#VALUE!</v>
      </c>
      <c r="GY26" t="e">
        <f>'SurveyRpt_20150223 (1)'!P160+"h_l!p]"</f>
        <v>#VALUE!</v>
      </c>
      <c r="GZ26" t="e">
        <f>'SurveyRpt_20150223 (1)'!Q160+"h_l!p^"</f>
        <v>#VALUE!</v>
      </c>
      <c r="HA26" t="e">
        <f>'SurveyRpt_20150223 (1)'!R160+"h_l!p_"</f>
        <v>#VALUE!</v>
      </c>
      <c r="HB26" t="e">
        <f>'SurveyRpt_20150223 (1)'!S160+"h_l!p`"</f>
        <v>#VALUE!</v>
      </c>
      <c r="HC26" t="e">
        <f>'SurveyRpt_20150223 (1)'!T160+"h_l!pa"</f>
        <v>#VALUE!</v>
      </c>
      <c r="HD26" t="e">
        <f>'SurveyRpt_20150223 (1)'!U160+"h_l!pb"</f>
        <v>#VALUE!</v>
      </c>
      <c r="HE26" t="e">
        <f>'SurveyRpt_20150223 (1)'!V160+"h_l!pc"</f>
        <v>#VALUE!</v>
      </c>
      <c r="HF26" t="e">
        <f>'SurveyRpt_20150223 (1)'!W160+"h_l!pd"</f>
        <v>#VALUE!</v>
      </c>
      <c r="HG26" t="e">
        <f>'SurveyRpt_20150223 (1)'!X160+"h_l!pe"</f>
        <v>#VALUE!</v>
      </c>
      <c r="HH26" t="e">
        <f>'SurveyRpt_20150223 (1)'!Y160+"h_l!pf"</f>
        <v>#VALUE!</v>
      </c>
      <c r="HI26" t="e">
        <f>'SurveyRpt_20150223 (1)'!Z160+"h_l!pg"</f>
        <v>#VALUE!</v>
      </c>
      <c r="HJ26" t="e">
        <f>'SurveyRpt_20150223 (1)'!AA160+"h_l!ph"</f>
        <v>#VALUE!</v>
      </c>
      <c r="HK26" t="e">
        <f>'SurveyRpt_20150223 (1)'!AB160+"h_l!pi"</f>
        <v>#VALUE!</v>
      </c>
      <c r="HL26" t="e">
        <f>'SurveyRpt_20150223 (1)'!AC160+"h_l!pj"</f>
        <v>#VALUE!</v>
      </c>
      <c r="HM26" t="e">
        <f>'SurveyRpt_20150223 (1)'!AD160+"h_l!pk"</f>
        <v>#VALUE!</v>
      </c>
      <c r="HN26" t="e">
        <f>'SurveyRpt_20150223 (1)'!AE160+"h_l!pl"</f>
        <v>#VALUE!</v>
      </c>
      <c r="HO26" t="e">
        <f>'SurveyRpt_20150223 (1)'!AF160+"h_l!pm"</f>
        <v>#VALUE!</v>
      </c>
      <c r="HP26" t="e">
        <f>'SurveyRpt_20150223 (1)'!AG160+"h_l!pn"</f>
        <v>#VALUE!</v>
      </c>
      <c r="HQ26" t="e">
        <f>'SurveyRpt_20150223 (1)'!AH160+"h_l!po"</f>
        <v>#VALUE!</v>
      </c>
      <c r="HR26" t="e">
        <f>'SurveyRpt_20150223 (1)'!AI160+"h_l!pp"</f>
        <v>#VALUE!</v>
      </c>
      <c r="HS26" t="e">
        <f>'SurveyRpt_20150223 (1)'!AJ160+"h_l!pq"</f>
        <v>#VALUE!</v>
      </c>
      <c r="HT26" t="e">
        <f>'SurveyRpt_20150223 (1)'!AK160+"h_l!pr"</f>
        <v>#VALUE!</v>
      </c>
      <c r="HU26" t="e">
        <f>'SurveyRpt_20150223 (1)'!AL160+"h_l!ps"</f>
        <v>#VALUE!</v>
      </c>
      <c r="HV26" t="e">
        <f>'SurveyRpt_20150223 (1)'!AM160+"h_l!pt"</f>
        <v>#VALUE!</v>
      </c>
      <c r="HW26" t="e">
        <f>'SurveyRpt_20150223 (1)'!AN160+"h_l!pu"</f>
        <v>#VALUE!</v>
      </c>
      <c r="HX26" t="e">
        <f>'SurveyRpt_20150223 (1)'!A161+"h_l!pv"</f>
        <v>#VALUE!</v>
      </c>
      <c r="HY26" s="25" t="e">
        <f>'SurveyRpt_20150223 (1)'!B161+"h_l!pw"</f>
        <v>#VALUE!</v>
      </c>
      <c r="HZ26" t="e">
        <f>'SurveyRpt_20150223 (1)'!C161+"h_l!px"</f>
        <v>#VALUE!</v>
      </c>
      <c r="IA26" s="25" t="e">
        <f>'SurveyRpt_20150223 (1)'!D161+"h_l!py"</f>
        <v>#VALUE!</v>
      </c>
      <c r="IB26" t="e">
        <f>'SurveyRpt_20150223 (1)'!E161+"h_l!pz"</f>
        <v>#VALUE!</v>
      </c>
      <c r="IC26" t="e">
        <f>'SurveyRpt_20150223 (1)'!F161+"h_l!p{"</f>
        <v>#VALUE!</v>
      </c>
      <c r="ID26" t="e">
        <f>'SurveyRpt_20150223 (1)'!G161+"h_l!p|"</f>
        <v>#VALUE!</v>
      </c>
      <c r="IE26" t="e">
        <f>'SurveyRpt_20150223 (1)'!H161+"h_l!p}"</f>
        <v>#VALUE!</v>
      </c>
      <c r="IF26" t="e">
        <f>'SurveyRpt_20150223 (1)'!I161+"h_l!p~"</f>
        <v>#VALUE!</v>
      </c>
      <c r="IG26" t="e">
        <f>'SurveyRpt_20150223 (1)'!J161+"h_l!q#"</f>
        <v>#VALUE!</v>
      </c>
      <c r="IH26" t="e">
        <f>'SurveyRpt_20150223 (1)'!K161+"h_l!q$"</f>
        <v>#VALUE!</v>
      </c>
      <c r="II26" t="e">
        <f>'SurveyRpt_20150223 (1)'!L161+"h_l!q%"</f>
        <v>#VALUE!</v>
      </c>
      <c r="IJ26" t="e">
        <f>'SurveyRpt_20150223 (1)'!M161+"h_l!q&amp;"</f>
        <v>#VALUE!</v>
      </c>
      <c r="IK26" t="e">
        <f>'SurveyRpt_20150223 (1)'!N161+"h_l!q'"</f>
        <v>#VALUE!</v>
      </c>
      <c r="IL26" t="e">
        <f>'SurveyRpt_20150223 (1)'!O161+"h_l!q("</f>
        <v>#VALUE!</v>
      </c>
      <c r="IM26" t="e">
        <f>'SurveyRpt_20150223 (1)'!P161+"h_l!q)"</f>
        <v>#VALUE!</v>
      </c>
      <c r="IN26" t="e">
        <f>'SurveyRpt_20150223 (1)'!Q161+"h_l!q."</f>
        <v>#VALUE!</v>
      </c>
      <c r="IO26" t="e">
        <f>'SurveyRpt_20150223 (1)'!R161+"h_l!q/"</f>
        <v>#VALUE!</v>
      </c>
      <c r="IP26" t="e">
        <f>'SurveyRpt_20150223 (1)'!S161+"h_l!q0"</f>
        <v>#VALUE!</v>
      </c>
      <c r="IQ26" t="e">
        <f>'SurveyRpt_20150223 (1)'!T161+"h_l!q1"</f>
        <v>#VALUE!</v>
      </c>
      <c r="IR26" t="e">
        <f>'SurveyRpt_20150223 (1)'!U161+"h_l!q2"</f>
        <v>#VALUE!</v>
      </c>
      <c r="IS26" t="e">
        <f>'SurveyRpt_20150223 (1)'!V161+"h_l!q3"</f>
        <v>#VALUE!</v>
      </c>
      <c r="IT26" t="e">
        <f>'SurveyRpt_20150223 (1)'!W161+"h_l!q4"</f>
        <v>#VALUE!</v>
      </c>
      <c r="IU26" t="e">
        <f>'SurveyRpt_20150223 (1)'!X161+"h_l!q5"</f>
        <v>#VALUE!</v>
      </c>
      <c r="IV26" t="e">
        <f>'SurveyRpt_20150223 (1)'!Y161+"h_l!q6"</f>
        <v>#VALUE!</v>
      </c>
    </row>
    <row r="27" spans="6:256" x14ac:dyDescent="0.25">
      <c r="F27" t="e">
        <f>'SurveyRpt_20150223 (1)'!Z161+"h_l!q7"</f>
        <v>#VALUE!</v>
      </c>
      <c r="G27" t="e">
        <f>'SurveyRpt_20150223 (1)'!AA161+"h_l!q8"</f>
        <v>#VALUE!</v>
      </c>
      <c r="H27" t="e">
        <f>'SurveyRpt_20150223 (1)'!AB161+"h_l!q9"</f>
        <v>#VALUE!</v>
      </c>
      <c r="I27" t="e">
        <f>'SurveyRpt_20150223 (1)'!AC161+"h_l!q:"</f>
        <v>#VALUE!</v>
      </c>
      <c r="J27" t="e">
        <f>'SurveyRpt_20150223 (1)'!AD161+"h_l!q;"</f>
        <v>#VALUE!</v>
      </c>
      <c r="K27" t="e">
        <f>'SurveyRpt_20150223 (1)'!AE161+"h_l!q&lt;"</f>
        <v>#VALUE!</v>
      </c>
      <c r="L27" t="e">
        <f>'SurveyRpt_20150223 (1)'!AF161+"h_l!q="</f>
        <v>#VALUE!</v>
      </c>
      <c r="M27" t="e">
        <f>'SurveyRpt_20150223 (1)'!AG161+"h_l!q&gt;"</f>
        <v>#VALUE!</v>
      </c>
      <c r="N27" t="e">
        <f>'SurveyRpt_20150223 (1)'!AH161+"h_l!q?"</f>
        <v>#VALUE!</v>
      </c>
      <c r="O27" t="e">
        <f>'SurveyRpt_20150223 (1)'!AI161+"h_l!q@"</f>
        <v>#VALUE!</v>
      </c>
      <c r="P27" t="e">
        <f>'SurveyRpt_20150223 (1)'!AJ161+"h_l!qA"</f>
        <v>#VALUE!</v>
      </c>
      <c r="Q27" t="e">
        <f>'SurveyRpt_20150223 (1)'!AK161+"h_l!qB"</f>
        <v>#VALUE!</v>
      </c>
      <c r="R27" t="e">
        <f>'SurveyRpt_20150223 (1)'!AL161+"h_l!qC"</f>
        <v>#VALUE!</v>
      </c>
      <c r="S27" t="e">
        <f>'SurveyRpt_20150223 (1)'!AM161+"h_l!qD"</f>
        <v>#VALUE!</v>
      </c>
      <c r="T27" t="e">
        <f>'SurveyRpt_20150223 (1)'!AN161+"h_l!qE"</f>
        <v>#VALUE!</v>
      </c>
      <c r="U27" t="e">
        <f>'SurveyRpt_20150223 (1)'!A162+"h_l!qF"</f>
        <v>#VALUE!</v>
      </c>
      <c r="V27" s="25" t="e">
        <f>'SurveyRpt_20150223 (1)'!B162+"h_l!qG"</f>
        <v>#VALUE!</v>
      </c>
      <c r="W27" t="e">
        <f>'SurveyRpt_20150223 (1)'!C162+"h_l!qH"</f>
        <v>#VALUE!</v>
      </c>
      <c r="X27" s="25" t="e">
        <f>'SurveyRpt_20150223 (1)'!D162+"h_l!qI"</f>
        <v>#VALUE!</v>
      </c>
      <c r="Y27" t="e">
        <f>'SurveyRpt_20150223 (1)'!E162+"h_l!qJ"</f>
        <v>#VALUE!</v>
      </c>
      <c r="Z27" t="e">
        <f>'SurveyRpt_20150223 (1)'!F162+"h_l!qK"</f>
        <v>#VALUE!</v>
      </c>
      <c r="AA27" t="e">
        <f>'SurveyRpt_20150223 (1)'!G162+"h_l!qL"</f>
        <v>#VALUE!</v>
      </c>
      <c r="AB27" t="e">
        <f>'SurveyRpt_20150223 (1)'!H162+"h_l!qM"</f>
        <v>#VALUE!</v>
      </c>
      <c r="AC27" t="e">
        <f>'SurveyRpt_20150223 (1)'!I162+"h_l!qN"</f>
        <v>#VALUE!</v>
      </c>
      <c r="AD27" t="e">
        <f>'SurveyRpt_20150223 (1)'!J162+"h_l!qO"</f>
        <v>#VALUE!</v>
      </c>
      <c r="AE27" t="e">
        <f>'SurveyRpt_20150223 (1)'!K162+"h_l!qP"</f>
        <v>#VALUE!</v>
      </c>
      <c r="AF27" t="e">
        <f>'SurveyRpt_20150223 (1)'!L162+"h_l!qQ"</f>
        <v>#VALUE!</v>
      </c>
      <c r="AG27" t="e">
        <f>'SurveyRpt_20150223 (1)'!M162+"h_l!qR"</f>
        <v>#VALUE!</v>
      </c>
      <c r="AH27" t="e">
        <f>'SurveyRpt_20150223 (1)'!N162+"h_l!qS"</f>
        <v>#VALUE!</v>
      </c>
      <c r="AI27" t="e">
        <f>'SurveyRpt_20150223 (1)'!O162+"h_l!qT"</f>
        <v>#VALUE!</v>
      </c>
      <c r="AJ27" t="e">
        <f>'SurveyRpt_20150223 (1)'!P162+"h_l!qU"</f>
        <v>#VALUE!</v>
      </c>
      <c r="AK27" t="e">
        <f>'SurveyRpt_20150223 (1)'!Q162+"h_l!qV"</f>
        <v>#VALUE!</v>
      </c>
      <c r="AL27" t="e">
        <f>'SurveyRpt_20150223 (1)'!R162+"h_l!qW"</f>
        <v>#VALUE!</v>
      </c>
      <c r="AM27" t="e">
        <f>'SurveyRpt_20150223 (1)'!S162+"h_l!qX"</f>
        <v>#VALUE!</v>
      </c>
      <c r="AN27" t="e">
        <f>'SurveyRpt_20150223 (1)'!T162+"h_l!qY"</f>
        <v>#VALUE!</v>
      </c>
      <c r="AO27" t="e">
        <f>'SurveyRpt_20150223 (1)'!U162+"h_l!qZ"</f>
        <v>#VALUE!</v>
      </c>
      <c r="AP27" t="e">
        <f>'SurveyRpt_20150223 (1)'!V162+"h_l!q["</f>
        <v>#VALUE!</v>
      </c>
      <c r="AQ27" t="e">
        <f>'SurveyRpt_20150223 (1)'!W162+"h_l!q\"</f>
        <v>#VALUE!</v>
      </c>
      <c r="AR27" t="e">
        <f>'SurveyRpt_20150223 (1)'!X162+"h_l!q]"</f>
        <v>#VALUE!</v>
      </c>
      <c r="AS27" t="e">
        <f>'SurveyRpt_20150223 (1)'!Y162+"h_l!q^"</f>
        <v>#VALUE!</v>
      </c>
      <c r="AT27" t="e">
        <f>'SurveyRpt_20150223 (1)'!Z162+"h_l!q_"</f>
        <v>#VALUE!</v>
      </c>
      <c r="AU27" t="e">
        <f>'SurveyRpt_20150223 (1)'!AA162+"h_l!q`"</f>
        <v>#VALUE!</v>
      </c>
      <c r="AV27" t="e">
        <f>'SurveyRpt_20150223 (1)'!AB162+"h_l!qa"</f>
        <v>#VALUE!</v>
      </c>
      <c r="AW27" t="e">
        <f>'SurveyRpt_20150223 (1)'!AC162+"h_l!qb"</f>
        <v>#VALUE!</v>
      </c>
      <c r="AX27" t="e">
        <f>'SurveyRpt_20150223 (1)'!AD162+"h_l!qc"</f>
        <v>#VALUE!</v>
      </c>
      <c r="AY27" t="e">
        <f>'SurveyRpt_20150223 (1)'!AE162+"h_l!qd"</f>
        <v>#VALUE!</v>
      </c>
      <c r="AZ27" t="e">
        <f>'SurveyRpt_20150223 (1)'!AF162+"h_l!qe"</f>
        <v>#VALUE!</v>
      </c>
      <c r="BA27" t="e">
        <f>'SurveyRpt_20150223 (1)'!AG162+"h_l!qf"</f>
        <v>#VALUE!</v>
      </c>
      <c r="BB27" t="e">
        <f>'SurveyRpt_20150223 (1)'!AH162+"h_l!qg"</f>
        <v>#VALUE!</v>
      </c>
      <c r="BC27" t="e">
        <f>'SurveyRpt_20150223 (1)'!AI162+"h_l!qh"</f>
        <v>#VALUE!</v>
      </c>
      <c r="BD27" t="e">
        <f>'SurveyRpt_20150223 (1)'!AJ162+"h_l!qi"</f>
        <v>#VALUE!</v>
      </c>
      <c r="BE27" t="e">
        <f>'SurveyRpt_20150223 (1)'!AK162+"h_l!qj"</f>
        <v>#VALUE!</v>
      </c>
      <c r="BF27" t="e">
        <f>'SurveyRpt_20150223 (1)'!AL162+"h_l!qk"</f>
        <v>#VALUE!</v>
      </c>
      <c r="BG27" t="e">
        <f>'SurveyRpt_20150223 (1)'!AM162+"h_l!ql"</f>
        <v>#VALUE!</v>
      </c>
      <c r="BH27" t="e">
        <f>'SurveyRpt_20150223 (1)'!AN162+"h_l!qm"</f>
        <v>#VALUE!</v>
      </c>
      <c r="BI27" t="e">
        <f>'SurveyRpt_20150223 (1)'!A163+"h_l!qn"</f>
        <v>#VALUE!</v>
      </c>
      <c r="BJ27" s="25" t="e">
        <f>'SurveyRpt_20150223 (1)'!B163+"h_l!qo"</f>
        <v>#VALUE!</v>
      </c>
      <c r="BK27" t="e">
        <f>'SurveyRpt_20150223 (1)'!C163+"h_l!qp"</f>
        <v>#VALUE!</v>
      </c>
      <c r="BL27" s="25" t="e">
        <f>'SurveyRpt_20150223 (1)'!D163+"h_l!qq"</f>
        <v>#VALUE!</v>
      </c>
      <c r="BM27" t="e">
        <f>'SurveyRpt_20150223 (1)'!E163+"h_l!qr"</f>
        <v>#VALUE!</v>
      </c>
      <c r="BN27" t="e">
        <f>'SurveyRpt_20150223 (1)'!F163+"h_l!qs"</f>
        <v>#VALUE!</v>
      </c>
      <c r="BO27" t="e">
        <f>'SurveyRpt_20150223 (1)'!G163+"h_l!qt"</f>
        <v>#VALUE!</v>
      </c>
      <c r="BP27" t="e">
        <f>'SurveyRpt_20150223 (1)'!H163+"h_l!qu"</f>
        <v>#VALUE!</v>
      </c>
      <c r="BQ27" t="e">
        <f>'SurveyRpt_20150223 (1)'!I163+"h_l!qv"</f>
        <v>#VALUE!</v>
      </c>
      <c r="BR27" t="e">
        <f>'SurveyRpt_20150223 (1)'!J163+"h_l!qw"</f>
        <v>#VALUE!</v>
      </c>
      <c r="BS27" t="e">
        <f>'SurveyRpt_20150223 (1)'!K163+"h_l!qx"</f>
        <v>#VALUE!</v>
      </c>
      <c r="BT27" t="e">
        <f>'SurveyRpt_20150223 (1)'!L163+"h_l!qy"</f>
        <v>#VALUE!</v>
      </c>
      <c r="BU27" t="e">
        <f>'SurveyRpt_20150223 (1)'!M163+"h_l!qz"</f>
        <v>#VALUE!</v>
      </c>
      <c r="BV27" t="e">
        <f>'SurveyRpt_20150223 (1)'!N163+"h_l!q{"</f>
        <v>#VALUE!</v>
      </c>
      <c r="BW27" t="e">
        <f>'SurveyRpt_20150223 (1)'!O163+"h_l!q|"</f>
        <v>#VALUE!</v>
      </c>
      <c r="BX27" t="e">
        <f>'SurveyRpt_20150223 (1)'!P163+"h_l!q}"</f>
        <v>#VALUE!</v>
      </c>
      <c r="BY27" t="e">
        <f>'SurveyRpt_20150223 (1)'!Q163+"h_l!q~"</f>
        <v>#VALUE!</v>
      </c>
      <c r="BZ27" t="e">
        <f>'SurveyRpt_20150223 (1)'!R163+"h_l!r#"</f>
        <v>#VALUE!</v>
      </c>
      <c r="CA27" t="e">
        <f>'SurveyRpt_20150223 (1)'!S163+"h_l!r$"</f>
        <v>#VALUE!</v>
      </c>
      <c r="CB27" t="e">
        <f>'SurveyRpt_20150223 (1)'!T163+"h_l!r%"</f>
        <v>#VALUE!</v>
      </c>
      <c r="CC27" t="e">
        <f>'SurveyRpt_20150223 (1)'!U163+"h_l!r&amp;"</f>
        <v>#VALUE!</v>
      </c>
      <c r="CD27" t="e">
        <f>'SurveyRpt_20150223 (1)'!V163+"h_l!r'"</f>
        <v>#VALUE!</v>
      </c>
      <c r="CE27" t="e">
        <f>'SurveyRpt_20150223 (1)'!W163+"h_l!r("</f>
        <v>#VALUE!</v>
      </c>
      <c r="CF27" t="e">
        <f>'SurveyRpt_20150223 (1)'!X163+"h_l!r)"</f>
        <v>#VALUE!</v>
      </c>
      <c r="CG27" t="e">
        <f>'SurveyRpt_20150223 (1)'!Y163+"h_l!r."</f>
        <v>#VALUE!</v>
      </c>
      <c r="CH27" t="e">
        <f>'SurveyRpt_20150223 (1)'!Z163+"h_l!r/"</f>
        <v>#VALUE!</v>
      </c>
      <c r="CI27" t="e">
        <f>'SurveyRpt_20150223 (1)'!AA163+"h_l!r0"</f>
        <v>#VALUE!</v>
      </c>
      <c r="CJ27" t="e">
        <f>'SurveyRpt_20150223 (1)'!AB163+"h_l!r1"</f>
        <v>#VALUE!</v>
      </c>
      <c r="CK27" t="e">
        <f>'SurveyRpt_20150223 (1)'!AC163+"h_l!r2"</f>
        <v>#VALUE!</v>
      </c>
      <c r="CL27" t="e">
        <f>'SurveyRpt_20150223 (1)'!AD163+"h_l!r3"</f>
        <v>#VALUE!</v>
      </c>
      <c r="CM27" t="e">
        <f>'SurveyRpt_20150223 (1)'!AE163+"h_l!r4"</f>
        <v>#VALUE!</v>
      </c>
      <c r="CN27" t="e">
        <f>'SurveyRpt_20150223 (1)'!AF163+"h_l!r5"</f>
        <v>#VALUE!</v>
      </c>
      <c r="CO27" t="e">
        <f>'SurveyRpt_20150223 (1)'!AG163+"h_l!r6"</f>
        <v>#VALUE!</v>
      </c>
      <c r="CP27" t="e">
        <f>'SurveyRpt_20150223 (1)'!AH163+"h_l!r7"</f>
        <v>#VALUE!</v>
      </c>
      <c r="CQ27" t="e">
        <f>'SurveyRpt_20150223 (1)'!AI163+"h_l!r8"</f>
        <v>#VALUE!</v>
      </c>
      <c r="CR27" t="e">
        <f>'SurveyRpt_20150223 (1)'!AJ163+"h_l!r9"</f>
        <v>#VALUE!</v>
      </c>
      <c r="CS27" t="e">
        <f>'SurveyRpt_20150223 (1)'!AK163+"h_l!r:"</f>
        <v>#VALUE!</v>
      </c>
      <c r="CT27" t="e">
        <f>'SurveyRpt_20150223 (1)'!AL163+"h_l!r;"</f>
        <v>#VALUE!</v>
      </c>
      <c r="CU27" t="e">
        <f>'SurveyRpt_20150223 (1)'!AM163+"h_l!r&lt;"</f>
        <v>#VALUE!</v>
      </c>
      <c r="CV27" t="e">
        <f>'SurveyRpt_20150223 (1)'!AN163+"h_l!r="</f>
        <v>#VALUE!</v>
      </c>
      <c r="CW27" t="e">
        <f>'SurveyRpt_20150223 (1)'!A164+"h_l!r&gt;"</f>
        <v>#VALUE!</v>
      </c>
      <c r="CX27" s="25" t="e">
        <f>'SurveyRpt_20150223 (1)'!B164+"h_l!r?"</f>
        <v>#VALUE!</v>
      </c>
      <c r="CY27" t="e">
        <f>'SurveyRpt_20150223 (1)'!C164+"h_l!r@"</f>
        <v>#VALUE!</v>
      </c>
      <c r="CZ27" s="25" t="e">
        <f>'SurveyRpt_20150223 (1)'!D164+"h_l!rA"</f>
        <v>#VALUE!</v>
      </c>
      <c r="DA27" t="e">
        <f>'SurveyRpt_20150223 (1)'!E164+"h_l!rB"</f>
        <v>#VALUE!</v>
      </c>
      <c r="DB27" t="e">
        <f>'SurveyRpt_20150223 (1)'!F164+"h_l!rC"</f>
        <v>#VALUE!</v>
      </c>
      <c r="DC27" t="e">
        <f>'SurveyRpt_20150223 (1)'!G164+"h_l!rD"</f>
        <v>#VALUE!</v>
      </c>
      <c r="DD27" t="e">
        <f>'SurveyRpt_20150223 (1)'!H164+"h_l!rE"</f>
        <v>#VALUE!</v>
      </c>
      <c r="DE27" t="e">
        <f>'SurveyRpt_20150223 (1)'!I164+"h_l!rF"</f>
        <v>#VALUE!</v>
      </c>
      <c r="DF27" t="e">
        <f>'SurveyRpt_20150223 (1)'!J164+"h_l!rG"</f>
        <v>#VALUE!</v>
      </c>
      <c r="DG27" t="e">
        <f>'SurveyRpt_20150223 (1)'!K164+"h_l!rH"</f>
        <v>#VALUE!</v>
      </c>
      <c r="DH27" t="e">
        <f>'SurveyRpt_20150223 (1)'!L164+"h_l!rI"</f>
        <v>#VALUE!</v>
      </c>
      <c r="DI27" t="e">
        <f>'SurveyRpt_20150223 (1)'!M164+"h_l!rJ"</f>
        <v>#VALUE!</v>
      </c>
      <c r="DJ27" t="e">
        <f>'SurveyRpt_20150223 (1)'!N164+"h_l!rK"</f>
        <v>#VALUE!</v>
      </c>
      <c r="DK27" t="e">
        <f>'SurveyRpt_20150223 (1)'!O164+"h_l!rL"</f>
        <v>#VALUE!</v>
      </c>
      <c r="DL27" t="e">
        <f>'SurveyRpt_20150223 (1)'!P164+"h_l!rM"</f>
        <v>#VALUE!</v>
      </c>
      <c r="DM27" t="e">
        <f>'SurveyRpt_20150223 (1)'!Q164+"h_l!rN"</f>
        <v>#VALUE!</v>
      </c>
      <c r="DN27" t="e">
        <f>'SurveyRpt_20150223 (1)'!R164+"h_l!rO"</f>
        <v>#VALUE!</v>
      </c>
      <c r="DO27" t="e">
        <f>'SurveyRpt_20150223 (1)'!S164+"h_l!rP"</f>
        <v>#VALUE!</v>
      </c>
      <c r="DP27" t="e">
        <f>'SurveyRpt_20150223 (1)'!T164+"h_l!rQ"</f>
        <v>#VALUE!</v>
      </c>
      <c r="DQ27" t="e">
        <f>'SurveyRpt_20150223 (1)'!U164+"h_l!rR"</f>
        <v>#VALUE!</v>
      </c>
      <c r="DR27" t="e">
        <f>'SurveyRpt_20150223 (1)'!V164+"h_l!rS"</f>
        <v>#VALUE!</v>
      </c>
      <c r="DS27" t="e">
        <f>'SurveyRpt_20150223 (1)'!W164+"h_l!rT"</f>
        <v>#VALUE!</v>
      </c>
      <c r="DT27" t="e">
        <f>'SurveyRpt_20150223 (1)'!X164+"h_l!rU"</f>
        <v>#VALUE!</v>
      </c>
      <c r="DU27" t="e">
        <f>'SurveyRpt_20150223 (1)'!Y164+"h_l!rV"</f>
        <v>#VALUE!</v>
      </c>
      <c r="DV27" t="e">
        <f>'SurveyRpt_20150223 (1)'!Z164+"h_l!rW"</f>
        <v>#VALUE!</v>
      </c>
      <c r="DW27" t="e">
        <f>'SurveyRpt_20150223 (1)'!AA164+"h_l!rX"</f>
        <v>#VALUE!</v>
      </c>
      <c r="DX27" t="e">
        <f>'SurveyRpt_20150223 (1)'!AB164+"h_l!rY"</f>
        <v>#VALUE!</v>
      </c>
      <c r="DY27" t="e">
        <f>'SurveyRpt_20150223 (1)'!AC164+"h_l!rZ"</f>
        <v>#VALUE!</v>
      </c>
      <c r="DZ27" t="e">
        <f>'SurveyRpt_20150223 (1)'!AD164+"h_l!r["</f>
        <v>#VALUE!</v>
      </c>
      <c r="EA27" t="e">
        <f>'SurveyRpt_20150223 (1)'!AE164+"h_l!r\"</f>
        <v>#VALUE!</v>
      </c>
      <c r="EB27" t="e">
        <f>'SurveyRpt_20150223 (1)'!AF164+"h_l!r]"</f>
        <v>#VALUE!</v>
      </c>
      <c r="EC27" t="e">
        <f>'SurveyRpt_20150223 (1)'!AG164+"h_l!r^"</f>
        <v>#VALUE!</v>
      </c>
      <c r="ED27" t="e">
        <f>'SurveyRpt_20150223 (1)'!AH164+"h_l!r_"</f>
        <v>#VALUE!</v>
      </c>
      <c r="EE27" t="e">
        <f>'SurveyRpt_20150223 (1)'!AI164+"h_l!r`"</f>
        <v>#VALUE!</v>
      </c>
      <c r="EF27" t="e">
        <f>'SurveyRpt_20150223 (1)'!AJ164+"h_l!ra"</f>
        <v>#VALUE!</v>
      </c>
      <c r="EG27" t="e">
        <f>'SurveyRpt_20150223 (1)'!AK164+"h_l!rb"</f>
        <v>#VALUE!</v>
      </c>
      <c r="EH27" t="e">
        <f>'SurveyRpt_20150223 (1)'!AL164+"h_l!rc"</f>
        <v>#VALUE!</v>
      </c>
      <c r="EI27" t="e">
        <f>'SurveyRpt_20150223 (1)'!AM164+"h_l!rd"</f>
        <v>#VALUE!</v>
      </c>
      <c r="EJ27" t="e">
        <f>'SurveyRpt_20150223 (1)'!AN164+"h_l!re"</f>
        <v>#VALUE!</v>
      </c>
      <c r="EK27" t="e">
        <f>'SurveyRpt_20150223 (1)'!A165+"h_l!rf"</f>
        <v>#VALUE!</v>
      </c>
      <c r="EL27" s="25" t="e">
        <f>'SurveyRpt_20150223 (1)'!B165+"h_l!rg"</f>
        <v>#VALUE!</v>
      </c>
      <c r="EM27" t="e">
        <f>'SurveyRpt_20150223 (1)'!C165+"h_l!rh"</f>
        <v>#VALUE!</v>
      </c>
      <c r="EN27" s="25" t="e">
        <f>'SurveyRpt_20150223 (1)'!D165+"h_l!ri"</f>
        <v>#VALUE!</v>
      </c>
      <c r="EO27" t="e">
        <f>'SurveyRpt_20150223 (1)'!E165+"h_l!rj"</f>
        <v>#VALUE!</v>
      </c>
      <c r="EP27" t="e">
        <f>'SurveyRpt_20150223 (1)'!F165+"h_l!rk"</f>
        <v>#VALUE!</v>
      </c>
      <c r="EQ27" t="e">
        <f>'SurveyRpt_20150223 (1)'!G165+"h_l!rl"</f>
        <v>#VALUE!</v>
      </c>
      <c r="ER27" t="e">
        <f>'SurveyRpt_20150223 (1)'!H165+"h_l!rm"</f>
        <v>#VALUE!</v>
      </c>
      <c r="ES27" t="e">
        <f>'SurveyRpt_20150223 (1)'!I165+"h_l!rn"</f>
        <v>#VALUE!</v>
      </c>
      <c r="ET27" t="e">
        <f>'SurveyRpt_20150223 (1)'!J165+"h_l!ro"</f>
        <v>#VALUE!</v>
      </c>
      <c r="EU27" t="e">
        <f>'SurveyRpt_20150223 (1)'!K165+"h_l!rp"</f>
        <v>#VALUE!</v>
      </c>
      <c r="EV27" t="e">
        <f>'SurveyRpt_20150223 (1)'!L165+"h_l!rq"</f>
        <v>#VALUE!</v>
      </c>
      <c r="EW27" t="e">
        <f>'SurveyRpt_20150223 (1)'!M165+"h_l!rr"</f>
        <v>#VALUE!</v>
      </c>
      <c r="EX27" t="e">
        <f>'SurveyRpt_20150223 (1)'!N165+"h_l!rs"</f>
        <v>#VALUE!</v>
      </c>
      <c r="EY27" t="e">
        <f>'SurveyRpt_20150223 (1)'!O165+"h_l!rt"</f>
        <v>#VALUE!</v>
      </c>
      <c r="EZ27" t="e">
        <f>'SurveyRpt_20150223 (1)'!P165+"h_l!ru"</f>
        <v>#VALUE!</v>
      </c>
      <c r="FA27" t="e">
        <f>'SurveyRpt_20150223 (1)'!Q165+"h_l!rv"</f>
        <v>#VALUE!</v>
      </c>
      <c r="FB27" t="e">
        <f>'SurveyRpt_20150223 (1)'!R165+"h_l!rw"</f>
        <v>#VALUE!</v>
      </c>
      <c r="FC27" t="e">
        <f>'SurveyRpt_20150223 (1)'!S165+"h_l!rx"</f>
        <v>#VALUE!</v>
      </c>
      <c r="FD27" t="e">
        <f>'SurveyRpt_20150223 (1)'!T165+"h_l!ry"</f>
        <v>#VALUE!</v>
      </c>
      <c r="FE27" t="e">
        <f>'SurveyRpt_20150223 (1)'!U165+"h_l!rz"</f>
        <v>#VALUE!</v>
      </c>
      <c r="FF27" t="e">
        <f>'SurveyRpt_20150223 (1)'!V165+"h_l!r{"</f>
        <v>#VALUE!</v>
      </c>
      <c r="FG27" t="e">
        <f>'SurveyRpt_20150223 (1)'!W165+"h_l!r|"</f>
        <v>#VALUE!</v>
      </c>
      <c r="FH27" t="e">
        <f>'SurveyRpt_20150223 (1)'!X165+"h_l!r}"</f>
        <v>#VALUE!</v>
      </c>
      <c r="FI27" t="e">
        <f>'SurveyRpt_20150223 (1)'!Y165+"h_l!r~"</f>
        <v>#VALUE!</v>
      </c>
      <c r="FJ27" t="e">
        <f>'SurveyRpt_20150223 (1)'!Z165+"h_l!s#"</f>
        <v>#VALUE!</v>
      </c>
      <c r="FK27" t="e">
        <f>'SurveyRpt_20150223 (1)'!AA165+"h_l!s$"</f>
        <v>#VALUE!</v>
      </c>
      <c r="FL27" t="e">
        <f>'SurveyRpt_20150223 (1)'!AB165+"h_l!s%"</f>
        <v>#VALUE!</v>
      </c>
      <c r="FM27" t="e">
        <f>'SurveyRpt_20150223 (1)'!AC165+"h_l!s&amp;"</f>
        <v>#VALUE!</v>
      </c>
      <c r="FN27" t="e">
        <f>'SurveyRpt_20150223 (1)'!AD165+"h_l!s'"</f>
        <v>#VALUE!</v>
      </c>
      <c r="FO27" t="e">
        <f>'SurveyRpt_20150223 (1)'!AE165+"h_l!s("</f>
        <v>#VALUE!</v>
      </c>
      <c r="FP27" t="e">
        <f>'SurveyRpt_20150223 (1)'!AF165+"h_l!s)"</f>
        <v>#VALUE!</v>
      </c>
      <c r="FQ27" t="e">
        <f>'SurveyRpt_20150223 (1)'!AG165+"h_l!s."</f>
        <v>#VALUE!</v>
      </c>
      <c r="FR27" t="e">
        <f>'SurveyRpt_20150223 (1)'!AH165+"h_l!s/"</f>
        <v>#VALUE!</v>
      </c>
      <c r="FS27" t="e">
        <f>'SurveyRpt_20150223 (1)'!AI165+"h_l!s0"</f>
        <v>#VALUE!</v>
      </c>
      <c r="FT27" t="e">
        <f>'SurveyRpt_20150223 (1)'!AJ165+"h_l!s1"</f>
        <v>#VALUE!</v>
      </c>
      <c r="FU27" t="e">
        <f>'SurveyRpt_20150223 (1)'!AK165+"h_l!s2"</f>
        <v>#VALUE!</v>
      </c>
      <c r="FV27" t="e">
        <f>'SurveyRpt_20150223 (1)'!AL165+"h_l!s3"</f>
        <v>#VALUE!</v>
      </c>
      <c r="FW27" t="e">
        <f>'SurveyRpt_20150223 (1)'!AM165+"h_l!s4"</f>
        <v>#VALUE!</v>
      </c>
      <c r="FX27" t="e">
        <f>'SurveyRpt_20150223 (1)'!AN165+"h_l!s5"</f>
        <v>#VALUE!</v>
      </c>
      <c r="FY27" t="e">
        <f>'SurveyRpt_20150223 (1)'!A166+"h_l!s6"</f>
        <v>#VALUE!</v>
      </c>
      <c r="FZ27" s="25" t="e">
        <f>'SurveyRpt_20150223 (1)'!B166+"h_l!s7"</f>
        <v>#VALUE!</v>
      </c>
      <c r="GA27" t="e">
        <f>'SurveyRpt_20150223 (1)'!C166+"h_l!s8"</f>
        <v>#VALUE!</v>
      </c>
      <c r="GB27" s="25" t="e">
        <f>'SurveyRpt_20150223 (1)'!D166+"h_l!s9"</f>
        <v>#VALUE!</v>
      </c>
      <c r="GC27" t="e">
        <f>'SurveyRpt_20150223 (1)'!E166+"h_l!s:"</f>
        <v>#VALUE!</v>
      </c>
      <c r="GD27" t="e">
        <f>'SurveyRpt_20150223 (1)'!F166+"h_l!s;"</f>
        <v>#VALUE!</v>
      </c>
      <c r="GE27" t="e">
        <f>'SurveyRpt_20150223 (1)'!G166+"h_l!s&lt;"</f>
        <v>#VALUE!</v>
      </c>
      <c r="GF27" t="e">
        <f>'SurveyRpt_20150223 (1)'!H166+"h_l!s="</f>
        <v>#VALUE!</v>
      </c>
      <c r="GG27" t="e">
        <f>'SurveyRpt_20150223 (1)'!I166+"h_l!s&gt;"</f>
        <v>#VALUE!</v>
      </c>
      <c r="GH27" t="e">
        <f>'SurveyRpt_20150223 (1)'!J166+"h_l!s?"</f>
        <v>#VALUE!</v>
      </c>
      <c r="GI27" t="e">
        <f>'SurveyRpt_20150223 (1)'!K166+"h_l!s@"</f>
        <v>#VALUE!</v>
      </c>
      <c r="GJ27" t="e">
        <f>'SurveyRpt_20150223 (1)'!L166+"h_l!sA"</f>
        <v>#VALUE!</v>
      </c>
      <c r="GK27" t="e">
        <f>'SurveyRpt_20150223 (1)'!M166+"h_l!sB"</f>
        <v>#VALUE!</v>
      </c>
      <c r="GL27" t="e">
        <f>'SurveyRpt_20150223 (1)'!N166+"h_l!sC"</f>
        <v>#VALUE!</v>
      </c>
      <c r="GM27" t="e">
        <f>'SurveyRpt_20150223 (1)'!O166+"h_l!sD"</f>
        <v>#VALUE!</v>
      </c>
      <c r="GN27" t="e">
        <f>'SurveyRpt_20150223 (1)'!P166+"h_l!sE"</f>
        <v>#VALUE!</v>
      </c>
      <c r="GO27" t="e">
        <f>'SurveyRpt_20150223 (1)'!Q166+"h_l!sF"</f>
        <v>#VALUE!</v>
      </c>
      <c r="GP27" t="e">
        <f>'SurveyRpt_20150223 (1)'!R166+"h_l!sG"</f>
        <v>#VALUE!</v>
      </c>
      <c r="GQ27" t="e">
        <f>'SurveyRpt_20150223 (1)'!S166+"h_l!sH"</f>
        <v>#VALUE!</v>
      </c>
      <c r="GR27" t="e">
        <f>'SurveyRpt_20150223 (1)'!T166+"h_l!sI"</f>
        <v>#VALUE!</v>
      </c>
      <c r="GS27" t="e">
        <f>'SurveyRpt_20150223 (1)'!U166+"h_l!sJ"</f>
        <v>#VALUE!</v>
      </c>
      <c r="GT27" t="e">
        <f>'SurveyRpt_20150223 (1)'!V166+"h_l!sK"</f>
        <v>#VALUE!</v>
      </c>
      <c r="GU27" t="e">
        <f>'SurveyRpt_20150223 (1)'!W166+"h_l!sL"</f>
        <v>#VALUE!</v>
      </c>
      <c r="GV27" t="e">
        <f>'SurveyRpt_20150223 (1)'!X166+"h_l!sM"</f>
        <v>#VALUE!</v>
      </c>
      <c r="GW27" t="e">
        <f>'SurveyRpt_20150223 (1)'!Y166+"h_l!sN"</f>
        <v>#VALUE!</v>
      </c>
      <c r="GX27" t="e">
        <f>'SurveyRpt_20150223 (1)'!Z166+"h_l!sO"</f>
        <v>#VALUE!</v>
      </c>
      <c r="GY27" t="e">
        <f>'SurveyRpt_20150223 (1)'!AA166+"h_l!sP"</f>
        <v>#VALUE!</v>
      </c>
      <c r="GZ27" t="e">
        <f>'SurveyRpt_20150223 (1)'!AB166+"h_l!sQ"</f>
        <v>#VALUE!</v>
      </c>
      <c r="HA27" t="e">
        <f>'SurveyRpt_20150223 (1)'!AC166+"h_l!sR"</f>
        <v>#VALUE!</v>
      </c>
      <c r="HB27" t="e">
        <f>'SurveyRpt_20150223 (1)'!AD166+"h_l!sS"</f>
        <v>#VALUE!</v>
      </c>
      <c r="HC27" t="e">
        <f>'SurveyRpt_20150223 (1)'!AE166+"h_l!sT"</f>
        <v>#VALUE!</v>
      </c>
      <c r="HD27" t="e">
        <f>'SurveyRpt_20150223 (1)'!AF166+"h_l!sU"</f>
        <v>#VALUE!</v>
      </c>
      <c r="HE27" t="e">
        <f>'SurveyRpt_20150223 (1)'!AG166+"h_l!sV"</f>
        <v>#VALUE!</v>
      </c>
      <c r="HF27" t="e">
        <f>'SurveyRpt_20150223 (1)'!AH166+"h_l!sW"</f>
        <v>#VALUE!</v>
      </c>
      <c r="HG27" t="e">
        <f>'SurveyRpt_20150223 (1)'!AI166+"h_l!sX"</f>
        <v>#VALUE!</v>
      </c>
      <c r="HH27" t="e">
        <f>'SurveyRpt_20150223 (1)'!AJ166+"h_l!sY"</f>
        <v>#VALUE!</v>
      </c>
      <c r="HI27" t="e">
        <f>'SurveyRpt_20150223 (1)'!AK166+"h_l!sZ"</f>
        <v>#VALUE!</v>
      </c>
      <c r="HJ27" t="e">
        <f>'SurveyRpt_20150223 (1)'!AL166+"h_l!s["</f>
        <v>#VALUE!</v>
      </c>
      <c r="HK27" t="e">
        <f>'SurveyRpt_20150223 (1)'!AM166+"h_l!s\"</f>
        <v>#VALUE!</v>
      </c>
      <c r="HL27" t="e">
        <f>'SurveyRpt_20150223 (1)'!AN166+"h_l!s]"</f>
        <v>#VALUE!</v>
      </c>
      <c r="HM27" t="e">
        <f>'SurveyRpt_20150223 (1)'!A167+"h_l!s^"</f>
        <v>#VALUE!</v>
      </c>
      <c r="HN27" s="25" t="e">
        <f>'SurveyRpt_20150223 (1)'!B167+"h_l!s_"</f>
        <v>#VALUE!</v>
      </c>
      <c r="HO27" t="e">
        <f>'SurveyRpt_20150223 (1)'!C167+"h_l!s`"</f>
        <v>#VALUE!</v>
      </c>
      <c r="HP27" s="25" t="e">
        <f>'SurveyRpt_20150223 (1)'!D167+"h_l!sa"</f>
        <v>#VALUE!</v>
      </c>
      <c r="HQ27" t="e">
        <f>'SurveyRpt_20150223 (1)'!E167+"h_l!sb"</f>
        <v>#VALUE!</v>
      </c>
      <c r="HR27" t="e">
        <f>'SurveyRpt_20150223 (1)'!F167+"h_l!sc"</f>
        <v>#VALUE!</v>
      </c>
      <c r="HS27" t="e">
        <f>'SurveyRpt_20150223 (1)'!G167+"h_l!sd"</f>
        <v>#VALUE!</v>
      </c>
      <c r="HT27" t="e">
        <f>'SurveyRpt_20150223 (1)'!H167+"h_l!se"</f>
        <v>#VALUE!</v>
      </c>
      <c r="HU27" t="e">
        <f>'SurveyRpt_20150223 (1)'!I167+"h_l!sf"</f>
        <v>#VALUE!</v>
      </c>
      <c r="HV27" t="e">
        <f>'SurveyRpt_20150223 (1)'!J167+"h_l!sg"</f>
        <v>#VALUE!</v>
      </c>
      <c r="HW27" t="e">
        <f>'SurveyRpt_20150223 (1)'!K167+"h_l!sh"</f>
        <v>#VALUE!</v>
      </c>
      <c r="HX27" t="e">
        <f>'SurveyRpt_20150223 (1)'!L167+"h_l!si"</f>
        <v>#VALUE!</v>
      </c>
      <c r="HY27" t="e">
        <f>'SurveyRpt_20150223 (1)'!M167+"h_l!sj"</f>
        <v>#VALUE!</v>
      </c>
      <c r="HZ27" t="e">
        <f>'SurveyRpt_20150223 (1)'!N167+"h_l!sk"</f>
        <v>#VALUE!</v>
      </c>
      <c r="IA27" t="e">
        <f>'SurveyRpt_20150223 (1)'!O167+"h_l!sl"</f>
        <v>#VALUE!</v>
      </c>
      <c r="IB27" t="e">
        <f>'SurveyRpt_20150223 (1)'!P167+"h_l!sm"</f>
        <v>#VALUE!</v>
      </c>
      <c r="IC27" t="e">
        <f>'SurveyRpt_20150223 (1)'!Q167+"h_l!sn"</f>
        <v>#VALUE!</v>
      </c>
      <c r="ID27" t="e">
        <f>'SurveyRpt_20150223 (1)'!R167+"h_l!so"</f>
        <v>#VALUE!</v>
      </c>
      <c r="IE27" t="e">
        <f>'SurveyRpt_20150223 (1)'!S167+"h_l!sp"</f>
        <v>#VALUE!</v>
      </c>
      <c r="IF27" t="e">
        <f>'SurveyRpt_20150223 (1)'!T167+"h_l!sq"</f>
        <v>#VALUE!</v>
      </c>
      <c r="IG27" t="e">
        <f>'SurveyRpt_20150223 (1)'!U167+"h_l!sr"</f>
        <v>#VALUE!</v>
      </c>
      <c r="IH27" t="e">
        <f>'SurveyRpt_20150223 (1)'!V167+"h_l!ss"</f>
        <v>#VALUE!</v>
      </c>
      <c r="II27" t="e">
        <f>'SurveyRpt_20150223 (1)'!W167+"h_l!st"</f>
        <v>#VALUE!</v>
      </c>
      <c r="IJ27" t="e">
        <f>'SurveyRpt_20150223 (1)'!X167+"h_l!su"</f>
        <v>#VALUE!</v>
      </c>
      <c r="IK27" t="e">
        <f>'SurveyRpt_20150223 (1)'!Y167+"h_l!sv"</f>
        <v>#VALUE!</v>
      </c>
      <c r="IL27" t="e">
        <f>'SurveyRpt_20150223 (1)'!Z167+"h_l!sw"</f>
        <v>#VALUE!</v>
      </c>
      <c r="IM27" t="e">
        <f>'SurveyRpt_20150223 (1)'!AA167+"h_l!sx"</f>
        <v>#VALUE!</v>
      </c>
      <c r="IN27" t="e">
        <f>'SurveyRpt_20150223 (1)'!AB167+"h_l!sy"</f>
        <v>#VALUE!</v>
      </c>
      <c r="IO27" t="e">
        <f>'SurveyRpt_20150223 (1)'!AC167+"h_l!sz"</f>
        <v>#VALUE!</v>
      </c>
      <c r="IP27" t="e">
        <f>'SurveyRpt_20150223 (1)'!AD167+"h_l!s{"</f>
        <v>#VALUE!</v>
      </c>
      <c r="IQ27" t="e">
        <f>'SurveyRpt_20150223 (1)'!AE167+"h_l!s|"</f>
        <v>#VALUE!</v>
      </c>
      <c r="IR27" t="e">
        <f>'SurveyRpt_20150223 (1)'!AF167+"h_l!s}"</f>
        <v>#VALUE!</v>
      </c>
      <c r="IS27" t="e">
        <f>'SurveyRpt_20150223 (1)'!AG167+"h_l!s~"</f>
        <v>#VALUE!</v>
      </c>
      <c r="IT27" t="e">
        <f>'SurveyRpt_20150223 (1)'!AH167+"h_l!t#"</f>
        <v>#VALUE!</v>
      </c>
      <c r="IU27" t="e">
        <f>'SurveyRpt_20150223 (1)'!AI167+"h_l!t$"</f>
        <v>#VALUE!</v>
      </c>
      <c r="IV27" t="e">
        <f>'SurveyRpt_20150223 (1)'!AJ167+"h_l!t%"</f>
        <v>#VALUE!</v>
      </c>
    </row>
    <row r="28" spans="6:256" x14ac:dyDescent="0.25">
      <c r="F28" t="e">
        <f>'SurveyRpt_20150223 (1)'!AK167+"h_l!t&amp;"</f>
        <v>#VALUE!</v>
      </c>
      <c r="G28" t="e">
        <f>'SurveyRpt_20150223 (1)'!AL167+"h_l!t'"</f>
        <v>#VALUE!</v>
      </c>
      <c r="H28" t="e">
        <f>'SurveyRpt_20150223 (1)'!AM167+"h_l!t("</f>
        <v>#VALUE!</v>
      </c>
      <c r="I28" t="e">
        <f>'SurveyRpt_20150223 (1)'!AN167+"h_l!t)"</f>
        <v>#VALUE!</v>
      </c>
      <c r="J28" t="e">
        <f>'SurveyRpt_20150223 (1)'!A168+"h_l!t."</f>
        <v>#VALUE!</v>
      </c>
      <c r="K28" s="25" t="e">
        <f>'SurveyRpt_20150223 (1)'!B168+"h_l!t/"</f>
        <v>#VALUE!</v>
      </c>
      <c r="L28" t="e">
        <f>'SurveyRpt_20150223 (1)'!C168+"h_l!t0"</f>
        <v>#VALUE!</v>
      </c>
      <c r="M28" s="25" t="e">
        <f>'SurveyRpt_20150223 (1)'!D168+"h_l!t1"</f>
        <v>#VALUE!</v>
      </c>
      <c r="N28" t="e">
        <f>'SurveyRpt_20150223 (1)'!E168+"h_l!t2"</f>
        <v>#VALUE!</v>
      </c>
      <c r="O28" t="e">
        <f>'SurveyRpt_20150223 (1)'!F168+"h_l!t3"</f>
        <v>#VALUE!</v>
      </c>
      <c r="P28" t="e">
        <f>'SurveyRpt_20150223 (1)'!G168+"h_l!t4"</f>
        <v>#VALUE!</v>
      </c>
      <c r="Q28" t="e">
        <f>'SurveyRpt_20150223 (1)'!H168+"h_l!t5"</f>
        <v>#VALUE!</v>
      </c>
      <c r="R28" t="e">
        <f>'SurveyRpt_20150223 (1)'!I168+"h_l!t6"</f>
        <v>#VALUE!</v>
      </c>
      <c r="S28" t="e">
        <f>'SurveyRpt_20150223 (1)'!J168+"h_l!t7"</f>
        <v>#VALUE!</v>
      </c>
      <c r="T28" t="e">
        <f>'SurveyRpt_20150223 (1)'!K168+"h_l!t8"</f>
        <v>#VALUE!</v>
      </c>
      <c r="U28" t="e">
        <f>'SurveyRpt_20150223 (1)'!L168+"h_l!t9"</f>
        <v>#VALUE!</v>
      </c>
      <c r="V28" t="e">
        <f>'SurveyRpt_20150223 (1)'!M168+"h_l!t:"</f>
        <v>#VALUE!</v>
      </c>
      <c r="W28" t="e">
        <f>'SurveyRpt_20150223 (1)'!N168+"h_l!t;"</f>
        <v>#VALUE!</v>
      </c>
      <c r="X28" t="e">
        <f>'SurveyRpt_20150223 (1)'!O168+"h_l!t&lt;"</f>
        <v>#VALUE!</v>
      </c>
      <c r="Y28" t="e">
        <f>'SurveyRpt_20150223 (1)'!P168+"h_l!t="</f>
        <v>#VALUE!</v>
      </c>
      <c r="Z28" t="e">
        <f>'SurveyRpt_20150223 (1)'!Q168+"h_l!t&gt;"</f>
        <v>#VALUE!</v>
      </c>
      <c r="AA28" t="e">
        <f>'SurveyRpt_20150223 (1)'!R168+"h_l!t?"</f>
        <v>#VALUE!</v>
      </c>
      <c r="AB28" t="e">
        <f>'SurveyRpt_20150223 (1)'!S168+"h_l!t@"</f>
        <v>#VALUE!</v>
      </c>
      <c r="AC28" t="e">
        <f>'SurveyRpt_20150223 (1)'!T168+"h_l!tA"</f>
        <v>#VALUE!</v>
      </c>
      <c r="AD28" t="e">
        <f>'SurveyRpt_20150223 (1)'!U168+"h_l!tB"</f>
        <v>#VALUE!</v>
      </c>
      <c r="AE28" t="e">
        <f>'SurveyRpt_20150223 (1)'!V168+"h_l!tC"</f>
        <v>#VALUE!</v>
      </c>
      <c r="AF28" t="e">
        <f>'SurveyRpt_20150223 (1)'!W168+"h_l!tD"</f>
        <v>#VALUE!</v>
      </c>
      <c r="AG28" t="e">
        <f>'SurveyRpt_20150223 (1)'!X168+"h_l!tE"</f>
        <v>#VALUE!</v>
      </c>
      <c r="AH28" t="e">
        <f>'SurveyRpt_20150223 (1)'!Y168+"h_l!tF"</f>
        <v>#VALUE!</v>
      </c>
      <c r="AI28" t="e">
        <f>'SurveyRpt_20150223 (1)'!Z168+"h_l!tG"</f>
        <v>#VALUE!</v>
      </c>
      <c r="AJ28" t="e">
        <f>'SurveyRpt_20150223 (1)'!AA168+"h_l!tH"</f>
        <v>#VALUE!</v>
      </c>
      <c r="AK28" t="e">
        <f>'SurveyRpt_20150223 (1)'!AB168+"h_l!tI"</f>
        <v>#VALUE!</v>
      </c>
      <c r="AL28" t="e">
        <f>'SurveyRpt_20150223 (1)'!AC168+"h_l!tJ"</f>
        <v>#VALUE!</v>
      </c>
      <c r="AM28" t="e">
        <f>'SurveyRpt_20150223 (1)'!AD168+"h_l!tK"</f>
        <v>#VALUE!</v>
      </c>
      <c r="AN28" t="e">
        <f>'SurveyRpt_20150223 (1)'!AE168+"h_l!tL"</f>
        <v>#VALUE!</v>
      </c>
      <c r="AO28" t="e">
        <f>'SurveyRpt_20150223 (1)'!AF168+"h_l!tM"</f>
        <v>#VALUE!</v>
      </c>
      <c r="AP28" t="e">
        <f>'SurveyRpt_20150223 (1)'!AG168+"h_l!tN"</f>
        <v>#VALUE!</v>
      </c>
      <c r="AQ28" t="e">
        <f>'SurveyRpt_20150223 (1)'!AH168+"h_l!tO"</f>
        <v>#VALUE!</v>
      </c>
      <c r="AR28" t="e">
        <f>'SurveyRpt_20150223 (1)'!AI168+"h_l!tP"</f>
        <v>#VALUE!</v>
      </c>
      <c r="AS28" t="e">
        <f>'SurveyRpt_20150223 (1)'!AJ168+"h_l!tQ"</f>
        <v>#VALUE!</v>
      </c>
      <c r="AT28" t="e">
        <f>'SurveyRpt_20150223 (1)'!AK168+"h_l!tR"</f>
        <v>#VALUE!</v>
      </c>
      <c r="AU28" t="e">
        <f>'SurveyRpt_20150223 (1)'!AL168+"h_l!tS"</f>
        <v>#VALUE!</v>
      </c>
      <c r="AV28" t="e">
        <f>'SurveyRpt_20150223 (1)'!AM168+"h_l!tT"</f>
        <v>#VALUE!</v>
      </c>
      <c r="AW28" t="e">
        <f>'SurveyRpt_20150223 (1)'!AN168+"h_l!tU"</f>
        <v>#VALUE!</v>
      </c>
      <c r="AX28" t="e">
        <f>'SurveyRpt_20150223 (1)'!A169+"h_l!tV"</f>
        <v>#VALUE!</v>
      </c>
      <c r="AY28" s="25" t="e">
        <f>'SurveyRpt_20150223 (1)'!B169+"h_l!tW"</f>
        <v>#VALUE!</v>
      </c>
      <c r="AZ28" t="e">
        <f>'SurveyRpt_20150223 (1)'!C169+"h_l!tX"</f>
        <v>#VALUE!</v>
      </c>
      <c r="BA28" s="25" t="e">
        <f>'SurveyRpt_20150223 (1)'!D169+"h_l!tY"</f>
        <v>#VALUE!</v>
      </c>
      <c r="BB28" t="e">
        <f>'SurveyRpt_20150223 (1)'!E169+"h_l!tZ"</f>
        <v>#VALUE!</v>
      </c>
      <c r="BC28" t="e">
        <f>'SurveyRpt_20150223 (1)'!F169+"h_l!t["</f>
        <v>#VALUE!</v>
      </c>
      <c r="BD28" t="e">
        <f>'SurveyRpt_20150223 (1)'!G169+"h_l!t\"</f>
        <v>#VALUE!</v>
      </c>
      <c r="BE28" t="e">
        <f>'SurveyRpt_20150223 (1)'!H169+"h_l!t]"</f>
        <v>#VALUE!</v>
      </c>
      <c r="BF28" t="e">
        <f>'SurveyRpt_20150223 (1)'!I169+"h_l!t^"</f>
        <v>#VALUE!</v>
      </c>
      <c r="BG28" t="e">
        <f>'SurveyRpt_20150223 (1)'!J169+"h_l!t_"</f>
        <v>#VALUE!</v>
      </c>
      <c r="BH28" t="e">
        <f>'SurveyRpt_20150223 (1)'!K169+"h_l!t`"</f>
        <v>#VALUE!</v>
      </c>
      <c r="BI28" t="e">
        <f>'SurveyRpt_20150223 (1)'!L169+"h_l!ta"</f>
        <v>#VALUE!</v>
      </c>
      <c r="BJ28" t="e">
        <f>'SurveyRpt_20150223 (1)'!M169+"h_l!tb"</f>
        <v>#VALUE!</v>
      </c>
      <c r="BK28" t="e">
        <f>'SurveyRpt_20150223 (1)'!N169+"h_l!tc"</f>
        <v>#VALUE!</v>
      </c>
      <c r="BL28" t="e">
        <f>'SurveyRpt_20150223 (1)'!O169+"h_l!td"</f>
        <v>#VALUE!</v>
      </c>
      <c r="BM28" t="e">
        <f>'SurveyRpt_20150223 (1)'!P169+"h_l!te"</f>
        <v>#VALUE!</v>
      </c>
      <c r="BN28" t="e">
        <f>'SurveyRpt_20150223 (1)'!Q169+"h_l!tf"</f>
        <v>#VALUE!</v>
      </c>
      <c r="BO28" t="e">
        <f>'SurveyRpt_20150223 (1)'!R169+"h_l!tg"</f>
        <v>#VALUE!</v>
      </c>
      <c r="BP28" t="e">
        <f>'SurveyRpt_20150223 (1)'!S169+"h_l!th"</f>
        <v>#VALUE!</v>
      </c>
      <c r="BQ28" t="e">
        <f>'SurveyRpt_20150223 (1)'!T169+"h_l!ti"</f>
        <v>#VALUE!</v>
      </c>
      <c r="BR28" t="e">
        <f>'SurveyRpt_20150223 (1)'!U169+"h_l!tj"</f>
        <v>#VALUE!</v>
      </c>
      <c r="BS28" t="e">
        <f>'SurveyRpt_20150223 (1)'!V169+"h_l!tk"</f>
        <v>#VALUE!</v>
      </c>
      <c r="BT28" t="e">
        <f>'SurveyRpt_20150223 (1)'!W169+"h_l!tl"</f>
        <v>#VALUE!</v>
      </c>
      <c r="BU28" t="e">
        <f>'SurveyRpt_20150223 (1)'!X169+"h_l!tm"</f>
        <v>#VALUE!</v>
      </c>
      <c r="BV28" t="e">
        <f>'SurveyRpt_20150223 (1)'!Y169+"h_l!tn"</f>
        <v>#VALUE!</v>
      </c>
      <c r="BW28" t="e">
        <f>'SurveyRpt_20150223 (1)'!Z169+"h_l!to"</f>
        <v>#VALUE!</v>
      </c>
      <c r="BX28" t="e">
        <f>'SurveyRpt_20150223 (1)'!AA169+"h_l!tp"</f>
        <v>#VALUE!</v>
      </c>
      <c r="BY28" t="e">
        <f>'SurveyRpt_20150223 (1)'!AB169+"h_l!tq"</f>
        <v>#VALUE!</v>
      </c>
      <c r="BZ28" t="e">
        <f>'SurveyRpt_20150223 (1)'!AC169+"h_l!tr"</f>
        <v>#VALUE!</v>
      </c>
      <c r="CA28" t="e">
        <f>'SurveyRpt_20150223 (1)'!AD169+"h_l!ts"</f>
        <v>#VALUE!</v>
      </c>
      <c r="CB28" t="e">
        <f>'SurveyRpt_20150223 (1)'!AE169+"h_l!tt"</f>
        <v>#VALUE!</v>
      </c>
      <c r="CC28" t="e">
        <f>'SurveyRpt_20150223 (1)'!AF169+"h_l!tu"</f>
        <v>#VALUE!</v>
      </c>
      <c r="CD28" t="e">
        <f>'SurveyRpt_20150223 (1)'!AG169+"h_l!tv"</f>
        <v>#VALUE!</v>
      </c>
      <c r="CE28" t="e">
        <f>'SurveyRpt_20150223 (1)'!AH169+"h_l!tw"</f>
        <v>#VALUE!</v>
      </c>
      <c r="CF28" t="e">
        <f>'SurveyRpt_20150223 (1)'!AI169+"h_l!tx"</f>
        <v>#VALUE!</v>
      </c>
      <c r="CG28" t="e">
        <f>'SurveyRpt_20150223 (1)'!AJ169+"h_l!ty"</f>
        <v>#VALUE!</v>
      </c>
      <c r="CH28" t="e">
        <f>'SurveyRpt_20150223 (1)'!AK169+"h_l!tz"</f>
        <v>#VALUE!</v>
      </c>
      <c r="CI28" t="e">
        <f>'SurveyRpt_20150223 (1)'!AL169+"h_l!t{"</f>
        <v>#VALUE!</v>
      </c>
      <c r="CJ28" t="e">
        <f>'SurveyRpt_20150223 (1)'!AM169+"h_l!t|"</f>
        <v>#VALUE!</v>
      </c>
      <c r="CK28" t="e">
        <f>'SurveyRpt_20150223 (1)'!AN169+"h_l!t}"</f>
        <v>#VALUE!</v>
      </c>
      <c r="CL28" t="e">
        <f>'SurveyRpt_20150223 (1)'!A170+"h_l!t~"</f>
        <v>#VALUE!</v>
      </c>
      <c r="CM28" s="25" t="e">
        <f>'SurveyRpt_20150223 (1)'!B170+"h_l!u#"</f>
        <v>#VALUE!</v>
      </c>
      <c r="CN28" t="e">
        <f>'SurveyRpt_20150223 (1)'!C170+"h_l!u$"</f>
        <v>#VALUE!</v>
      </c>
      <c r="CO28" s="25" t="e">
        <f>'SurveyRpt_20150223 (1)'!D170+"h_l!u%"</f>
        <v>#VALUE!</v>
      </c>
      <c r="CP28" t="e">
        <f>'SurveyRpt_20150223 (1)'!E170+"h_l!u&amp;"</f>
        <v>#VALUE!</v>
      </c>
      <c r="CQ28" t="e">
        <f>'SurveyRpt_20150223 (1)'!F170+"h_l!u'"</f>
        <v>#VALUE!</v>
      </c>
      <c r="CR28" t="e">
        <f>'SurveyRpt_20150223 (1)'!G170+"h_l!u("</f>
        <v>#VALUE!</v>
      </c>
      <c r="CS28" t="e">
        <f>'SurveyRpt_20150223 (1)'!H170+"h_l!u)"</f>
        <v>#VALUE!</v>
      </c>
      <c r="CT28" t="e">
        <f>'SurveyRpt_20150223 (1)'!I170+"h_l!u."</f>
        <v>#VALUE!</v>
      </c>
      <c r="CU28" t="e">
        <f>'SurveyRpt_20150223 (1)'!J170+"h_l!u/"</f>
        <v>#VALUE!</v>
      </c>
      <c r="CV28" t="e">
        <f>'SurveyRpt_20150223 (1)'!K170+"h_l!u0"</f>
        <v>#VALUE!</v>
      </c>
      <c r="CW28" t="e">
        <f>'SurveyRpt_20150223 (1)'!L170+"h_l!u1"</f>
        <v>#VALUE!</v>
      </c>
      <c r="CX28" t="e">
        <f>'SurveyRpt_20150223 (1)'!M170+"h_l!u2"</f>
        <v>#VALUE!</v>
      </c>
      <c r="CY28" t="e">
        <f>'SurveyRpt_20150223 (1)'!N170+"h_l!u3"</f>
        <v>#VALUE!</v>
      </c>
      <c r="CZ28" t="e">
        <f>'SurveyRpt_20150223 (1)'!O170+"h_l!u4"</f>
        <v>#VALUE!</v>
      </c>
      <c r="DA28" t="e">
        <f>'SurveyRpt_20150223 (1)'!P170+"h_l!u5"</f>
        <v>#VALUE!</v>
      </c>
      <c r="DB28" t="e">
        <f>'SurveyRpt_20150223 (1)'!Q170+"h_l!u6"</f>
        <v>#VALUE!</v>
      </c>
      <c r="DC28" t="e">
        <f>'SurveyRpt_20150223 (1)'!R170+"h_l!u7"</f>
        <v>#VALUE!</v>
      </c>
      <c r="DD28" t="e">
        <f>'SurveyRpt_20150223 (1)'!S170+"h_l!u8"</f>
        <v>#VALUE!</v>
      </c>
      <c r="DE28" t="e">
        <f>'SurveyRpt_20150223 (1)'!T170+"h_l!u9"</f>
        <v>#VALUE!</v>
      </c>
      <c r="DF28" t="e">
        <f>'SurveyRpt_20150223 (1)'!U170+"h_l!u:"</f>
        <v>#VALUE!</v>
      </c>
      <c r="DG28" t="e">
        <f>'SurveyRpt_20150223 (1)'!V170+"h_l!u;"</f>
        <v>#VALUE!</v>
      </c>
      <c r="DH28" t="e">
        <f>'SurveyRpt_20150223 (1)'!W170+"h_l!u&lt;"</f>
        <v>#VALUE!</v>
      </c>
      <c r="DI28" t="e">
        <f>'SurveyRpt_20150223 (1)'!X170+"h_l!u="</f>
        <v>#VALUE!</v>
      </c>
      <c r="DJ28" t="e">
        <f>'SurveyRpt_20150223 (1)'!Y170+"h_l!u&gt;"</f>
        <v>#VALUE!</v>
      </c>
      <c r="DK28" t="e">
        <f>'SurveyRpt_20150223 (1)'!Z170+"h_l!u?"</f>
        <v>#VALUE!</v>
      </c>
      <c r="DL28" t="e">
        <f>'SurveyRpt_20150223 (1)'!AA170+"h_l!u@"</f>
        <v>#VALUE!</v>
      </c>
      <c r="DM28" t="e">
        <f>'SurveyRpt_20150223 (1)'!AB170+"h_l!uA"</f>
        <v>#VALUE!</v>
      </c>
      <c r="DN28" t="e">
        <f>'SurveyRpt_20150223 (1)'!AC170+"h_l!uB"</f>
        <v>#VALUE!</v>
      </c>
      <c r="DO28" t="e">
        <f>'SurveyRpt_20150223 (1)'!AD170+"h_l!uC"</f>
        <v>#VALUE!</v>
      </c>
      <c r="DP28" t="e">
        <f>'SurveyRpt_20150223 (1)'!AE170+"h_l!uD"</f>
        <v>#VALUE!</v>
      </c>
      <c r="DQ28" t="e">
        <f>'SurveyRpt_20150223 (1)'!AF170+"h_l!uE"</f>
        <v>#VALUE!</v>
      </c>
      <c r="DR28" t="e">
        <f>'SurveyRpt_20150223 (1)'!AG170+"h_l!uF"</f>
        <v>#VALUE!</v>
      </c>
      <c r="DS28" t="e">
        <f>'SurveyRpt_20150223 (1)'!AH170+"h_l!uG"</f>
        <v>#VALUE!</v>
      </c>
      <c r="DT28" t="e">
        <f>'SurveyRpt_20150223 (1)'!AI170+"h_l!uH"</f>
        <v>#VALUE!</v>
      </c>
      <c r="DU28" t="e">
        <f>'SurveyRpt_20150223 (1)'!AJ170+"h_l!uI"</f>
        <v>#VALUE!</v>
      </c>
      <c r="DV28" t="e">
        <f>'SurveyRpt_20150223 (1)'!AK170+"h_l!uJ"</f>
        <v>#VALUE!</v>
      </c>
      <c r="DW28" t="e">
        <f>'SurveyRpt_20150223 (1)'!AL170+"h_l!uK"</f>
        <v>#VALUE!</v>
      </c>
      <c r="DX28" t="e">
        <f>'SurveyRpt_20150223 (1)'!AM170+"h_l!uL"</f>
        <v>#VALUE!</v>
      </c>
      <c r="DY28" t="e">
        <f>'SurveyRpt_20150223 (1)'!AN170+"h_l!uM"</f>
        <v>#VALUE!</v>
      </c>
      <c r="DZ28" t="e">
        <f>'SurveyRpt_20150223 (1)'!A171+"h_l!uN"</f>
        <v>#VALUE!</v>
      </c>
      <c r="EA28" s="25" t="e">
        <f>'SurveyRpt_20150223 (1)'!B171+"h_l!uO"</f>
        <v>#VALUE!</v>
      </c>
      <c r="EB28" t="e">
        <f>'SurveyRpt_20150223 (1)'!C171+"h_l!uP"</f>
        <v>#VALUE!</v>
      </c>
      <c r="EC28" s="25" t="e">
        <f>'SurveyRpt_20150223 (1)'!D171+"h_l!uQ"</f>
        <v>#VALUE!</v>
      </c>
      <c r="ED28" t="e">
        <f>'SurveyRpt_20150223 (1)'!E171+"h_l!uR"</f>
        <v>#VALUE!</v>
      </c>
      <c r="EE28" t="e">
        <f>'SurveyRpt_20150223 (1)'!F171+"h_l!uS"</f>
        <v>#VALUE!</v>
      </c>
      <c r="EF28" t="e">
        <f>'SurveyRpt_20150223 (1)'!G171+"h_l!uT"</f>
        <v>#VALUE!</v>
      </c>
      <c r="EG28" t="e">
        <f>'SurveyRpt_20150223 (1)'!H171+"h_l!uU"</f>
        <v>#VALUE!</v>
      </c>
      <c r="EH28" t="e">
        <f>'SurveyRpt_20150223 (1)'!I171+"h_l!uV"</f>
        <v>#VALUE!</v>
      </c>
      <c r="EI28" t="e">
        <f>'SurveyRpt_20150223 (1)'!J171+"h_l!uW"</f>
        <v>#VALUE!</v>
      </c>
      <c r="EJ28" t="e">
        <f>'SurveyRpt_20150223 (1)'!K171+"h_l!uX"</f>
        <v>#VALUE!</v>
      </c>
      <c r="EK28" t="e">
        <f>'SurveyRpt_20150223 (1)'!L171+"h_l!uY"</f>
        <v>#VALUE!</v>
      </c>
      <c r="EL28" t="e">
        <f>'SurveyRpt_20150223 (1)'!M171+"h_l!uZ"</f>
        <v>#VALUE!</v>
      </c>
      <c r="EM28" t="e">
        <f>'SurveyRpt_20150223 (1)'!N171+"h_l!u["</f>
        <v>#VALUE!</v>
      </c>
      <c r="EN28" t="e">
        <f>'SurveyRpt_20150223 (1)'!O171+"h_l!u\"</f>
        <v>#VALUE!</v>
      </c>
      <c r="EO28" t="e">
        <f>'SurveyRpt_20150223 (1)'!P171+"h_l!u]"</f>
        <v>#VALUE!</v>
      </c>
      <c r="EP28" t="e">
        <f>'SurveyRpt_20150223 (1)'!Q171+"h_l!u^"</f>
        <v>#VALUE!</v>
      </c>
      <c r="EQ28" t="e">
        <f>'SurveyRpt_20150223 (1)'!R171+"h_l!u_"</f>
        <v>#VALUE!</v>
      </c>
      <c r="ER28" t="e">
        <f>'SurveyRpt_20150223 (1)'!S171+"h_l!u`"</f>
        <v>#VALUE!</v>
      </c>
      <c r="ES28" t="e">
        <f>'SurveyRpt_20150223 (1)'!T171+"h_l!ua"</f>
        <v>#VALUE!</v>
      </c>
      <c r="ET28" t="e">
        <f>'SurveyRpt_20150223 (1)'!U171+"h_l!ub"</f>
        <v>#VALUE!</v>
      </c>
      <c r="EU28" t="e">
        <f>'SurveyRpt_20150223 (1)'!V171+"h_l!uc"</f>
        <v>#VALUE!</v>
      </c>
      <c r="EV28" t="e">
        <f>'SurveyRpt_20150223 (1)'!W171+"h_l!ud"</f>
        <v>#VALUE!</v>
      </c>
      <c r="EW28" t="e">
        <f>'SurveyRpt_20150223 (1)'!X171+"h_l!ue"</f>
        <v>#VALUE!</v>
      </c>
      <c r="EX28" t="e">
        <f>'SurveyRpt_20150223 (1)'!Y171+"h_l!uf"</f>
        <v>#VALUE!</v>
      </c>
      <c r="EY28" t="e">
        <f>'SurveyRpt_20150223 (1)'!Z171+"h_l!ug"</f>
        <v>#VALUE!</v>
      </c>
      <c r="EZ28" t="e">
        <f>'SurveyRpt_20150223 (1)'!AA171+"h_l!uh"</f>
        <v>#VALUE!</v>
      </c>
      <c r="FA28" t="e">
        <f>'SurveyRpt_20150223 (1)'!AB171+"h_l!ui"</f>
        <v>#VALUE!</v>
      </c>
      <c r="FB28" t="e">
        <f>'SurveyRpt_20150223 (1)'!AC171+"h_l!uj"</f>
        <v>#VALUE!</v>
      </c>
      <c r="FC28" t="e">
        <f>'SurveyRpt_20150223 (1)'!AD171+"h_l!uk"</f>
        <v>#VALUE!</v>
      </c>
      <c r="FD28" t="e">
        <f>'SurveyRpt_20150223 (1)'!AE171+"h_l!ul"</f>
        <v>#VALUE!</v>
      </c>
      <c r="FE28" t="e">
        <f>'SurveyRpt_20150223 (1)'!AF171+"h_l!um"</f>
        <v>#VALUE!</v>
      </c>
      <c r="FF28" t="e">
        <f>'SurveyRpt_20150223 (1)'!AG171+"h_l!un"</f>
        <v>#VALUE!</v>
      </c>
      <c r="FG28" t="e">
        <f>'SurveyRpt_20150223 (1)'!AH171+"h_l!uo"</f>
        <v>#VALUE!</v>
      </c>
      <c r="FH28" t="e">
        <f>'SurveyRpt_20150223 (1)'!AI171+"h_l!up"</f>
        <v>#VALUE!</v>
      </c>
      <c r="FI28" t="e">
        <f>'SurveyRpt_20150223 (1)'!AJ171+"h_l!uq"</f>
        <v>#VALUE!</v>
      </c>
      <c r="FJ28" t="e">
        <f>'SurveyRpt_20150223 (1)'!AK171+"h_l!ur"</f>
        <v>#VALUE!</v>
      </c>
      <c r="FK28" t="e">
        <f>'SurveyRpt_20150223 (1)'!AL171+"h_l!us"</f>
        <v>#VALUE!</v>
      </c>
      <c r="FL28" t="e">
        <f>'SurveyRpt_20150223 (1)'!AM171+"h_l!ut"</f>
        <v>#VALUE!</v>
      </c>
      <c r="FM28" t="e">
        <f>'SurveyRpt_20150223 (1)'!AN171+"h_l!uu"</f>
        <v>#VALUE!</v>
      </c>
      <c r="FN28" t="e">
        <f>'SurveyRpt_20150223 (1)'!A172+"h_l!uv"</f>
        <v>#VALUE!</v>
      </c>
      <c r="FO28" s="25" t="e">
        <f>'SurveyRpt_20150223 (1)'!B172+"h_l!uw"</f>
        <v>#VALUE!</v>
      </c>
      <c r="FP28" t="e">
        <f>'SurveyRpt_20150223 (1)'!C172+"h_l!ux"</f>
        <v>#VALUE!</v>
      </c>
      <c r="FQ28" s="25" t="e">
        <f>'SurveyRpt_20150223 (1)'!D172+"h_l!uy"</f>
        <v>#VALUE!</v>
      </c>
      <c r="FR28" t="e">
        <f>'SurveyRpt_20150223 (1)'!E172+"h_l!uz"</f>
        <v>#VALUE!</v>
      </c>
      <c r="FS28" t="e">
        <f>'SurveyRpt_20150223 (1)'!F172+"h_l!u{"</f>
        <v>#VALUE!</v>
      </c>
      <c r="FT28" t="e">
        <f>'SurveyRpt_20150223 (1)'!G172+"h_l!u|"</f>
        <v>#VALUE!</v>
      </c>
      <c r="FU28" t="e">
        <f>'SurveyRpt_20150223 (1)'!H172+"h_l!u}"</f>
        <v>#VALUE!</v>
      </c>
      <c r="FV28" t="e">
        <f>'SurveyRpt_20150223 (1)'!I172+"h_l!u~"</f>
        <v>#VALUE!</v>
      </c>
      <c r="FW28" t="e">
        <f>'SurveyRpt_20150223 (1)'!J172+"h_l!v#"</f>
        <v>#VALUE!</v>
      </c>
      <c r="FX28" t="e">
        <f>'SurveyRpt_20150223 (1)'!K172+"h_l!v$"</f>
        <v>#VALUE!</v>
      </c>
      <c r="FY28" t="e">
        <f>'SurveyRpt_20150223 (1)'!L172+"h_l!v%"</f>
        <v>#VALUE!</v>
      </c>
      <c r="FZ28" t="e">
        <f>'SurveyRpt_20150223 (1)'!M172+"h_l!v&amp;"</f>
        <v>#VALUE!</v>
      </c>
      <c r="GA28" t="e">
        <f>'SurveyRpt_20150223 (1)'!N172+"h_l!v'"</f>
        <v>#VALUE!</v>
      </c>
      <c r="GB28" t="e">
        <f>'SurveyRpt_20150223 (1)'!O172+"h_l!v("</f>
        <v>#VALUE!</v>
      </c>
      <c r="GC28" t="e">
        <f>'SurveyRpt_20150223 (1)'!P172+"h_l!v)"</f>
        <v>#VALUE!</v>
      </c>
      <c r="GD28" t="e">
        <f>'SurveyRpt_20150223 (1)'!Q172+"h_l!v."</f>
        <v>#VALUE!</v>
      </c>
      <c r="GE28" t="e">
        <f>'SurveyRpt_20150223 (1)'!R172+"h_l!v/"</f>
        <v>#VALUE!</v>
      </c>
      <c r="GF28" t="e">
        <f>'SurveyRpt_20150223 (1)'!S172+"h_l!v0"</f>
        <v>#VALUE!</v>
      </c>
      <c r="GG28" t="e">
        <f>'SurveyRpt_20150223 (1)'!T172+"h_l!v1"</f>
        <v>#VALUE!</v>
      </c>
      <c r="GH28" t="e">
        <f>'SurveyRpt_20150223 (1)'!U172+"h_l!v2"</f>
        <v>#VALUE!</v>
      </c>
      <c r="GI28" t="e">
        <f>'SurveyRpt_20150223 (1)'!V172+"h_l!v3"</f>
        <v>#VALUE!</v>
      </c>
      <c r="GJ28" t="e">
        <f>'SurveyRpt_20150223 (1)'!W172+"h_l!v4"</f>
        <v>#VALUE!</v>
      </c>
      <c r="GK28" t="e">
        <f>'SurveyRpt_20150223 (1)'!X172+"h_l!v5"</f>
        <v>#VALUE!</v>
      </c>
      <c r="GL28" t="e">
        <f>'SurveyRpt_20150223 (1)'!Y172+"h_l!v6"</f>
        <v>#VALUE!</v>
      </c>
      <c r="GM28" t="e">
        <f>'SurveyRpt_20150223 (1)'!Z172+"h_l!v7"</f>
        <v>#VALUE!</v>
      </c>
      <c r="GN28" t="e">
        <f>'SurveyRpt_20150223 (1)'!AA172+"h_l!v8"</f>
        <v>#VALUE!</v>
      </c>
      <c r="GO28" t="e">
        <f>'SurveyRpt_20150223 (1)'!AB172+"h_l!v9"</f>
        <v>#VALUE!</v>
      </c>
      <c r="GP28" t="e">
        <f>'SurveyRpt_20150223 (1)'!AC172+"h_l!v:"</f>
        <v>#VALUE!</v>
      </c>
      <c r="GQ28" t="e">
        <f>'SurveyRpt_20150223 (1)'!AD172+"h_l!v;"</f>
        <v>#VALUE!</v>
      </c>
      <c r="GR28" t="e">
        <f>'SurveyRpt_20150223 (1)'!AE172+"h_l!v&lt;"</f>
        <v>#VALUE!</v>
      </c>
      <c r="GS28" t="e">
        <f>'SurveyRpt_20150223 (1)'!AF172+"h_l!v="</f>
        <v>#VALUE!</v>
      </c>
      <c r="GT28" t="e">
        <f>'SurveyRpt_20150223 (1)'!AG172+"h_l!v&gt;"</f>
        <v>#VALUE!</v>
      </c>
      <c r="GU28" t="e">
        <f>'SurveyRpt_20150223 (1)'!AH172+"h_l!v?"</f>
        <v>#VALUE!</v>
      </c>
      <c r="GV28" t="e">
        <f>'SurveyRpt_20150223 (1)'!AI172+"h_l!v@"</f>
        <v>#VALUE!</v>
      </c>
      <c r="GW28" t="e">
        <f>'SurveyRpt_20150223 (1)'!AJ172+"h_l!vA"</f>
        <v>#VALUE!</v>
      </c>
      <c r="GX28" t="e">
        <f>'SurveyRpt_20150223 (1)'!AK172+"h_l!vB"</f>
        <v>#VALUE!</v>
      </c>
      <c r="GY28" t="e">
        <f>'SurveyRpt_20150223 (1)'!AL172+"h_l!vC"</f>
        <v>#VALUE!</v>
      </c>
      <c r="GZ28" t="e">
        <f>'SurveyRpt_20150223 (1)'!AM172+"h_l!vD"</f>
        <v>#VALUE!</v>
      </c>
      <c r="HA28" t="e">
        <f>'SurveyRpt_20150223 (1)'!AN172+"h_l!vE"</f>
        <v>#VALUE!</v>
      </c>
      <c r="HB28" t="e">
        <f>'SurveyRpt_20150223 (1)'!A173+"h_l!vF"</f>
        <v>#VALUE!</v>
      </c>
      <c r="HC28" s="25" t="e">
        <f>'SurveyRpt_20150223 (1)'!B173+"h_l!vG"</f>
        <v>#VALUE!</v>
      </c>
      <c r="HD28" t="e">
        <f>'SurveyRpt_20150223 (1)'!C173+"h_l!vH"</f>
        <v>#VALUE!</v>
      </c>
      <c r="HE28" s="25" t="e">
        <f>'SurveyRpt_20150223 (1)'!D173+"h_l!vI"</f>
        <v>#VALUE!</v>
      </c>
      <c r="HF28" t="e">
        <f>'SurveyRpt_20150223 (1)'!E173+"h_l!vJ"</f>
        <v>#VALUE!</v>
      </c>
      <c r="HG28" t="e">
        <f>'SurveyRpt_20150223 (1)'!F173+"h_l!vK"</f>
        <v>#VALUE!</v>
      </c>
      <c r="HH28" t="e">
        <f>'SurveyRpt_20150223 (1)'!G173+"h_l!vL"</f>
        <v>#VALUE!</v>
      </c>
      <c r="HI28" t="e">
        <f>'SurveyRpt_20150223 (1)'!H173+"h_l!vM"</f>
        <v>#VALUE!</v>
      </c>
      <c r="HJ28" t="e">
        <f>'SurveyRpt_20150223 (1)'!I173+"h_l!vN"</f>
        <v>#VALUE!</v>
      </c>
      <c r="HK28" t="e">
        <f>'SurveyRpt_20150223 (1)'!J173+"h_l!vO"</f>
        <v>#VALUE!</v>
      </c>
      <c r="HL28" t="e">
        <f>'SurveyRpt_20150223 (1)'!K173+"h_l!vP"</f>
        <v>#VALUE!</v>
      </c>
      <c r="HM28" t="e">
        <f>'SurveyRpt_20150223 (1)'!L173+"h_l!vQ"</f>
        <v>#VALUE!</v>
      </c>
      <c r="HN28" t="e">
        <f>'SurveyRpt_20150223 (1)'!M173+"h_l!vR"</f>
        <v>#VALUE!</v>
      </c>
      <c r="HO28" t="e">
        <f>'SurveyRpt_20150223 (1)'!N173+"h_l!vS"</f>
        <v>#VALUE!</v>
      </c>
      <c r="HP28" t="e">
        <f>'SurveyRpt_20150223 (1)'!O173+"h_l!vT"</f>
        <v>#VALUE!</v>
      </c>
      <c r="HQ28" t="e">
        <f>'SurveyRpt_20150223 (1)'!P173+"h_l!vU"</f>
        <v>#VALUE!</v>
      </c>
      <c r="HR28" t="e">
        <f>'SurveyRpt_20150223 (1)'!Q173+"h_l!vV"</f>
        <v>#VALUE!</v>
      </c>
      <c r="HS28" t="e">
        <f>'SurveyRpt_20150223 (1)'!R173+"h_l!vW"</f>
        <v>#VALUE!</v>
      </c>
      <c r="HT28" t="e">
        <f>'SurveyRpt_20150223 (1)'!S173+"h_l!vX"</f>
        <v>#VALUE!</v>
      </c>
      <c r="HU28" t="e">
        <f>'SurveyRpt_20150223 (1)'!T173+"h_l!vY"</f>
        <v>#VALUE!</v>
      </c>
      <c r="HV28" t="e">
        <f>'SurveyRpt_20150223 (1)'!U173+"h_l!vZ"</f>
        <v>#VALUE!</v>
      </c>
      <c r="HW28" t="e">
        <f>'SurveyRpt_20150223 (1)'!V173+"h_l!v["</f>
        <v>#VALUE!</v>
      </c>
      <c r="HX28" t="e">
        <f>'SurveyRpt_20150223 (1)'!W173+"h_l!v\"</f>
        <v>#VALUE!</v>
      </c>
      <c r="HY28" t="e">
        <f>'SurveyRpt_20150223 (1)'!X173+"h_l!v]"</f>
        <v>#VALUE!</v>
      </c>
      <c r="HZ28" t="e">
        <f>'SurveyRpt_20150223 (1)'!Y173+"h_l!v^"</f>
        <v>#VALUE!</v>
      </c>
      <c r="IA28" t="e">
        <f>'SurveyRpt_20150223 (1)'!Z173+"h_l!v_"</f>
        <v>#VALUE!</v>
      </c>
      <c r="IB28" t="e">
        <f>'SurveyRpt_20150223 (1)'!AA173+"h_l!v`"</f>
        <v>#VALUE!</v>
      </c>
      <c r="IC28" t="e">
        <f>'SurveyRpt_20150223 (1)'!AB173+"h_l!va"</f>
        <v>#VALUE!</v>
      </c>
      <c r="ID28" t="e">
        <f>'SurveyRpt_20150223 (1)'!AC173+"h_l!vb"</f>
        <v>#VALUE!</v>
      </c>
      <c r="IE28" t="e">
        <f>'SurveyRpt_20150223 (1)'!AD173+"h_l!vc"</f>
        <v>#VALUE!</v>
      </c>
      <c r="IF28" t="e">
        <f>'SurveyRpt_20150223 (1)'!AE173+"h_l!vd"</f>
        <v>#VALUE!</v>
      </c>
      <c r="IG28" t="e">
        <f>'SurveyRpt_20150223 (1)'!AF173+"h_l!ve"</f>
        <v>#VALUE!</v>
      </c>
      <c r="IH28" t="e">
        <f>'SurveyRpt_20150223 (1)'!AG173+"h_l!vf"</f>
        <v>#VALUE!</v>
      </c>
      <c r="II28" t="e">
        <f>'SurveyRpt_20150223 (1)'!AH173+"h_l!vg"</f>
        <v>#VALUE!</v>
      </c>
      <c r="IJ28" t="e">
        <f>'SurveyRpt_20150223 (1)'!AI173+"h_l!vh"</f>
        <v>#VALUE!</v>
      </c>
      <c r="IK28" t="e">
        <f>'SurveyRpt_20150223 (1)'!AJ173+"h_l!vi"</f>
        <v>#VALUE!</v>
      </c>
      <c r="IL28" t="e">
        <f>'SurveyRpt_20150223 (1)'!AK173+"h_l!vj"</f>
        <v>#VALUE!</v>
      </c>
      <c r="IM28" t="e">
        <f>'SurveyRpt_20150223 (1)'!AL173+"h_l!vk"</f>
        <v>#VALUE!</v>
      </c>
      <c r="IN28" t="e">
        <f>'SurveyRpt_20150223 (1)'!AM173+"h_l!vl"</f>
        <v>#VALUE!</v>
      </c>
      <c r="IO28" t="e">
        <f>'SurveyRpt_20150223 (1)'!AN173+"h_l!vm"</f>
        <v>#VALUE!</v>
      </c>
      <c r="IP28" t="e">
        <f>'SurveyRpt_20150223 (1)'!A174+"h_l!vn"</f>
        <v>#VALUE!</v>
      </c>
      <c r="IQ28" s="25" t="e">
        <f>'SurveyRpt_20150223 (1)'!B174+"h_l!vo"</f>
        <v>#VALUE!</v>
      </c>
      <c r="IR28" t="e">
        <f>'SurveyRpt_20150223 (1)'!C174+"h_l!vp"</f>
        <v>#VALUE!</v>
      </c>
      <c r="IS28" s="25" t="e">
        <f>'SurveyRpt_20150223 (1)'!D174+"h_l!vq"</f>
        <v>#VALUE!</v>
      </c>
      <c r="IT28" t="e">
        <f>'SurveyRpt_20150223 (1)'!E174+"h_l!vr"</f>
        <v>#VALUE!</v>
      </c>
      <c r="IU28" t="e">
        <f>'SurveyRpt_20150223 (1)'!F174+"h_l!vs"</f>
        <v>#VALUE!</v>
      </c>
      <c r="IV28" t="e">
        <f>'SurveyRpt_20150223 (1)'!G174+"h_l!vt"</f>
        <v>#VALUE!</v>
      </c>
    </row>
    <row r="29" spans="6:256" x14ac:dyDescent="0.25">
      <c r="F29" t="e">
        <f>'SurveyRpt_20150223 (1)'!H174+"h_l!vu"</f>
        <v>#VALUE!</v>
      </c>
      <c r="G29" t="e">
        <f>'SurveyRpt_20150223 (1)'!I174+"h_l!vv"</f>
        <v>#VALUE!</v>
      </c>
      <c r="H29" t="e">
        <f>'SurveyRpt_20150223 (1)'!J174+"h_l!vw"</f>
        <v>#VALUE!</v>
      </c>
      <c r="I29" t="e">
        <f>'SurveyRpt_20150223 (1)'!K174+"h_l!vx"</f>
        <v>#VALUE!</v>
      </c>
      <c r="J29" t="e">
        <f>'SurveyRpt_20150223 (1)'!L174+"h_l!vy"</f>
        <v>#VALUE!</v>
      </c>
      <c r="K29" t="e">
        <f>'SurveyRpt_20150223 (1)'!M174+"h_l!vz"</f>
        <v>#VALUE!</v>
      </c>
      <c r="L29" t="e">
        <f>'SurveyRpt_20150223 (1)'!N174+"h_l!v{"</f>
        <v>#VALUE!</v>
      </c>
      <c r="M29" t="e">
        <f>'SurveyRpt_20150223 (1)'!O174+"h_l!v|"</f>
        <v>#VALUE!</v>
      </c>
      <c r="N29" t="e">
        <f>'SurveyRpt_20150223 (1)'!P174+"h_l!v}"</f>
        <v>#VALUE!</v>
      </c>
      <c r="O29" t="e">
        <f>'SurveyRpt_20150223 (1)'!Q174+"h_l!v~"</f>
        <v>#VALUE!</v>
      </c>
      <c r="P29" t="e">
        <f>'SurveyRpt_20150223 (1)'!R174+"h_l!w#"</f>
        <v>#VALUE!</v>
      </c>
      <c r="Q29" t="e">
        <f>'SurveyRpt_20150223 (1)'!S174+"h_l!w$"</f>
        <v>#VALUE!</v>
      </c>
      <c r="R29" t="e">
        <f>'SurveyRpt_20150223 (1)'!T174+"h_l!w%"</f>
        <v>#VALUE!</v>
      </c>
      <c r="S29" t="e">
        <f>'SurveyRpt_20150223 (1)'!U174+"h_l!w&amp;"</f>
        <v>#VALUE!</v>
      </c>
      <c r="T29" t="e">
        <f>'SurveyRpt_20150223 (1)'!V174+"h_l!w'"</f>
        <v>#VALUE!</v>
      </c>
      <c r="U29" t="e">
        <f>'SurveyRpt_20150223 (1)'!W174+"h_l!w("</f>
        <v>#VALUE!</v>
      </c>
      <c r="V29" t="e">
        <f>'SurveyRpt_20150223 (1)'!X174+"h_l!w)"</f>
        <v>#VALUE!</v>
      </c>
      <c r="W29" t="e">
        <f>'SurveyRpt_20150223 (1)'!Y174+"h_l!w."</f>
        <v>#VALUE!</v>
      </c>
      <c r="X29" t="e">
        <f>'SurveyRpt_20150223 (1)'!Z174+"h_l!w/"</f>
        <v>#VALUE!</v>
      </c>
      <c r="Y29" t="e">
        <f>'SurveyRpt_20150223 (1)'!AA174+"h_l!w0"</f>
        <v>#VALUE!</v>
      </c>
      <c r="Z29" t="e">
        <f>'SurveyRpt_20150223 (1)'!AB174+"h_l!w1"</f>
        <v>#VALUE!</v>
      </c>
      <c r="AA29" t="e">
        <f>'SurveyRpt_20150223 (1)'!AC174+"h_l!w2"</f>
        <v>#VALUE!</v>
      </c>
      <c r="AB29" t="e">
        <f>'SurveyRpt_20150223 (1)'!AD174+"h_l!w3"</f>
        <v>#VALUE!</v>
      </c>
      <c r="AC29" t="e">
        <f>'SurveyRpt_20150223 (1)'!AE174+"h_l!w4"</f>
        <v>#VALUE!</v>
      </c>
      <c r="AD29" t="e">
        <f>'SurveyRpt_20150223 (1)'!AF174+"h_l!w5"</f>
        <v>#VALUE!</v>
      </c>
      <c r="AE29" t="e">
        <f>'SurveyRpt_20150223 (1)'!AG174+"h_l!w6"</f>
        <v>#VALUE!</v>
      </c>
      <c r="AF29" t="e">
        <f>'SurveyRpt_20150223 (1)'!AH174+"h_l!w7"</f>
        <v>#VALUE!</v>
      </c>
      <c r="AG29" t="e">
        <f>'SurveyRpt_20150223 (1)'!AI174+"h_l!w8"</f>
        <v>#VALUE!</v>
      </c>
      <c r="AH29" t="e">
        <f>'SurveyRpt_20150223 (1)'!AJ174+"h_l!w9"</f>
        <v>#VALUE!</v>
      </c>
      <c r="AI29" t="e">
        <f>'SurveyRpt_20150223 (1)'!AK174+"h_l!w:"</f>
        <v>#VALUE!</v>
      </c>
      <c r="AJ29" t="e">
        <f>'SurveyRpt_20150223 (1)'!AL174+"h_l!w;"</f>
        <v>#VALUE!</v>
      </c>
      <c r="AK29" t="e">
        <f>'SurveyRpt_20150223 (1)'!AM174+"h_l!w&lt;"</f>
        <v>#VALUE!</v>
      </c>
      <c r="AL29" t="e">
        <f>'SurveyRpt_20150223 (1)'!AN174+"h_l!w="</f>
        <v>#VALUE!</v>
      </c>
      <c r="AM29" t="e">
        <f>'SurveyRpt_20150223 (1)'!A175+"h_l!w&gt;"</f>
        <v>#VALUE!</v>
      </c>
      <c r="AN29" s="25" t="e">
        <f>'SurveyRpt_20150223 (1)'!B175+"h_l!w?"</f>
        <v>#VALUE!</v>
      </c>
      <c r="AO29" t="e">
        <f>'SurveyRpt_20150223 (1)'!C175+"h_l!w@"</f>
        <v>#VALUE!</v>
      </c>
      <c r="AP29" s="25" t="e">
        <f>'SurveyRpt_20150223 (1)'!D175+"h_l!wA"</f>
        <v>#VALUE!</v>
      </c>
      <c r="AQ29" t="e">
        <f>'SurveyRpt_20150223 (1)'!E175+"h_l!wB"</f>
        <v>#VALUE!</v>
      </c>
      <c r="AR29" t="e">
        <f>'SurveyRpt_20150223 (1)'!F175+"h_l!wC"</f>
        <v>#VALUE!</v>
      </c>
      <c r="AS29" t="e">
        <f>'SurveyRpt_20150223 (1)'!G175+"h_l!wD"</f>
        <v>#VALUE!</v>
      </c>
      <c r="AT29" t="e">
        <f>'SurveyRpt_20150223 (1)'!H175+"h_l!wE"</f>
        <v>#VALUE!</v>
      </c>
      <c r="AU29" t="e">
        <f>'SurveyRpt_20150223 (1)'!I175+"h_l!wF"</f>
        <v>#VALUE!</v>
      </c>
      <c r="AV29" t="e">
        <f>'SurveyRpt_20150223 (1)'!J175+"h_l!wG"</f>
        <v>#VALUE!</v>
      </c>
      <c r="AW29" t="e">
        <f>'SurveyRpt_20150223 (1)'!K175+"h_l!wH"</f>
        <v>#VALUE!</v>
      </c>
      <c r="AX29" t="e">
        <f>'SurveyRpt_20150223 (1)'!L175+"h_l!wI"</f>
        <v>#VALUE!</v>
      </c>
      <c r="AY29" t="e">
        <f>'SurveyRpt_20150223 (1)'!M175+"h_l!wJ"</f>
        <v>#VALUE!</v>
      </c>
      <c r="AZ29" t="e">
        <f>'SurveyRpt_20150223 (1)'!N175+"h_l!wK"</f>
        <v>#VALUE!</v>
      </c>
      <c r="BA29" t="e">
        <f>'SurveyRpt_20150223 (1)'!O175+"h_l!wL"</f>
        <v>#VALUE!</v>
      </c>
      <c r="BB29" t="e">
        <f>'SurveyRpt_20150223 (1)'!P175+"h_l!wM"</f>
        <v>#VALUE!</v>
      </c>
      <c r="BC29" t="e">
        <f>'SurveyRpt_20150223 (1)'!Q175+"h_l!wN"</f>
        <v>#VALUE!</v>
      </c>
      <c r="BD29" t="e">
        <f>'SurveyRpt_20150223 (1)'!R175+"h_l!wO"</f>
        <v>#VALUE!</v>
      </c>
      <c r="BE29" t="e">
        <f>'SurveyRpt_20150223 (1)'!S175+"h_l!wP"</f>
        <v>#VALUE!</v>
      </c>
      <c r="BF29" t="e">
        <f>'SurveyRpt_20150223 (1)'!T175+"h_l!wQ"</f>
        <v>#VALUE!</v>
      </c>
      <c r="BG29" t="e">
        <f>'SurveyRpt_20150223 (1)'!U175+"h_l!wR"</f>
        <v>#VALUE!</v>
      </c>
      <c r="BH29" t="e">
        <f>'SurveyRpt_20150223 (1)'!V175+"h_l!wS"</f>
        <v>#VALUE!</v>
      </c>
      <c r="BI29" t="e">
        <f>'SurveyRpt_20150223 (1)'!W175+"h_l!wT"</f>
        <v>#VALUE!</v>
      </c>
      <c r="BJ29" t="e">
        <f>'SurveyRpt_20150223 (1)'!X175+"h_l!wU"</f>
        <v>#VALUE!</v>
      </c>
      <c r="BK29" t="e">
        <f>'SurveyRpt_20150223 (1)'!Y175+"h_l!wV"</f>
        <v>#VALUE!</v>
      </c>
      <c r="BL29" t="e">
        <f>'SurveyRpt_20150223 (1)'!Z175+"h_l!wW"</f>
        <v>#VALUE!</v>
      </c>
      <c r="BM29" t="e">
        <f>'SurveyRpt_20150223 (1)'!AA175+"h_l!wX"</f>
        <v>#VALUE!</v>
      </c>
      <c r="BN29" t="e">
        <f>'SurveyRpt_20150223 (1)'!AB175+"h_l!wY"</f>
        <v>#VALUE!</v>
      </c>
      <c r="BO29" t="e">
        <f>'SurveyRpt_20150223 (1)'!AC175+"h_l!wZ"</f>
        <v>#VALUE!</v>
      </c>
      <c r="BP29" t="e">
        <f>'SurveyRpt_20150223 (1)'!AD175+"h_l!w["</f>
        <v>#VALUE!</v>
      </c>
      <c r="BQ29" t="e">
        <f>'SurveyRpt_20150223 (1)'!AE175+"h_l!w\"</f>
        <v>#VALUE!</v>
      </c>
      <c r="BR29" t="e">
        <f>'SurveyRpt_20150223 (1)'!AF175+"h_l!w]"</f>
        <v>#VALUE!</v>
      </c>
      <c r="BS29" t="e">
        <f>'SurveyRpt_20150223 (1)'!AG175+"h_l!w^"</f>
        <v>#VALUE!</v>
      </c>
      <c r="BT29" t="e">
        <f>'SurveyRpt_20150223 (1)'!AH175+"h_l!w_"</f>
        <v>#VALUE!</v>
      </c>
      <c r="BU29" t="e">
        <f>'SurveyRpt_20150223 (1)'!AI175+"h_l!w`"</f>
        <v>#VALUE!</v>
      </c>
      <c r="BV29" t="e">
        <f>'SurveyRpt_20150223 (1)'!AJ175+"h_l!wa"</f>
        <v>#VALUE!</v>
      </c>
      <c r="BW29" t="e">
        <f>'SurveyRpt_20150223 (1)'!AK175+"h_l!wb"</f>
        <v>#VALUE!</v>
      </c>
      <c r="BX29" t="e">
        <f>'SurveyRpt_20150223 (1)'!AL175+"h_l!wc"</f>
        <v>#VALUE!</v>
      </c>
      <c r="BY29" t="e">
        <f>'SurveyRpt_20150223 (1)'!AM175+"h_l!wd"</f>
        <v>#VALUE!</v>
      </c>
      <c r="BZ29" t="e">
        <f>'SurveyRpt_20150223 (1)'!AN175+"h_l!we"</f>
        <v>#VALUE!</v>
      </c>
      <c r="CA29" t="e">
        <f>'SurveyRpt_20150223 (1)'!A176+"h_l!wf"</f>
        <v>#VALUE!</v>
      </c>
      <c r="CB29" s="25" t="e">
        <f>'SurveyRpt_20150223 (1)'!B176+"h_l!wg"</f>
        <v>#VALUE!</v>
      </c>
      <c r="CC29" t="e">
        <f>'SurveyRpt_20150223 (1)'!C176+"h_l!wh"</f>
        <v>#VALUE!</v>
      </c>
      <c r="CD29" s="25" t="e">
        <f>'SurveyRpt_20150223 (1)'!D176+"h_l!wi"</f>
        <v>#VALUE!</v>
      </c>
      <c r="CE29" t="e">
        <f>'SurveyRpt_20150223 (1)'!E176+"h_l!wj"</f>
        <v>#VALUE!</v>
      </c>
      <c r="CF29" t="e">
        <f>'SurveyRpt_20150223 (1)'!F176+"h_l!wk"</f>
        <v>#VALUE!</v>
      </c>
      <c r="CG29" t="e">
        <f>'SurveyRpt_20150223 (1)'!G176+"h_l!wl"</f>
        <v>#VALUE!</v>
      </c>
      <c r="CH29" t="e">
        <f>'SurveyRpt_20150223 (1)'!H176+"h_l!wm"</f>
        <v>#VALUE!</v>
      </c>
      <c r="CI29" t="e">
        <f>'SurveyRpt_20150223 (1)'!I176+"h_l!wn"</f>
        <v>#VALUE!</v>
      </c>
      <c r="CJ29" t="e">
        <f>'SurveyRpt_20150223 (1)'!J176+"h_l!wo"</f>
        <v>#VALUE!</v>
      </c>
      <c r="CK29" t="e">
        <f>'SurveyRpt_20150223 (1)'!K176+"h_l!wp"</f>
        <v>#VALUE!</v>
      </c>
      <c r="CL29" t="e">
        <f>'SurveyRpt_20150223 (1)'!L176+"h_l!wq"</f>
        <v>#VALUE!</v>
      </c>
      <c r="CM29" t="e">
        <f>'SurveyRpt_20150223 (1)'!M176+"h_l!wr"</f>
        <v>#VALUE!</v>
      </c>
      <c r="CN29" t="e">
        <f>'SurveyRpt_20150223 (1)'!N176+"h_l!ws"</f>
        <v>#VALUE!</v>
      </c>
      <c r="CO29" t="e">
        <f>'SurveyRpt_20150223 (1)'!O176+"h_l!wt"</f>
        <v>#VALUE!</v>
      </c>
      <c r="CP29" t="e">
        <f>'SurveyRpt_20150223 (1)'!P176+"h_l!wu"</f>
        <v>#VALUE!</v>
      </c>
      <c r="CQ29" t="e">
        <f>'SurveyRpt_20150223 (1)'!Q176+"h_l!wv"</f>
        <v>#VALUE!</v>
      </c>
      <c r="CR29" t="e">
        <f>'SurveyRpt_20150223 (1)'!R176+"h_l!ww"</f>
        <v>#VALUE!</v>
      </c>
      <c r="CS29" t="e">
        <f>'SurveyRpt_20150223 (1)'!S176+"h_l!wx"</f>
        <v>#VALUE!</v>
      </c>
      <c r="CT29" t="e">
        <f>'SurveyRpt_20150223 (1)'!T176+"h_l!wy"</f>
        <v>#VALUE!</v>
      </c>
      <c r="CU29" t="e">
        <f>'SurveyRpt_20150223 (1)'!U176+"h_l!wz"</f>
        <v>#VALUE!</v>
      </c>
      <c r="CV29" t="e">
        <f>'SurveyRpt_20150223 (1)'!V176+"h_l!w{"</f>
        <v>#VALUE!</v>
      </c>
      <c r="CW29" t="e">
        <f>'SurveyRpt_20150223 (1)'!W176+"h_l!w|"</f>
        <v>#VALUE!</v>
      </c>
      <c r="CX29" t="e">
        <f>'SurveyRpt_20150223 (1)'!X176+"h_l!w}"</f>
        <v>#VALUE!</v>
      </c>
      <c r="CY29" t="e">
        <f>'SurveyRpt_20150223 (1)'!Y176+"h_l!w~"</f>
        <v>#VALUE!</v>
      </c>
      <c r="CZ29" t="e">
        <f>'SurveyRpt_20150223 (1)'!Z176+"h_l!x#"</f>
        <v>#VALUE!</v>
      </c>
      <c r="DA29" t="e">
        <f>'SurveyRpt_20150223 (1)'!AA176+"h_l!x$"</f>
        <v>#VALUE!</v>
      </c>
      <c r="DB29" t="e">
        <f>'SurveyRpt_20150223 (1)'!AB176+"h_l!x%"</f>
        <v>#VALUE!</v>
      </c>
      <c r="DC29" t="e">
        <f>'SurveyRpt_20150223 (1)'!AC176+"h_l!x&amp;"</f>
        <v>#VALUE!</v>
      </c>
      <c r="DD29" t="e">
        <f>'SurveyRpt_20150223 (1)'!AD176+"h_l!x'"</f>
        <v>#VALUE!</v>
      </c>
      <c r="DE29" t="e">
        <f>'SurveyRpt_20150223 (1)'!AE176+"h_l!x("</f>
        <v>#VALUE!</v>
      </c>
      <c r="DF29" t="e">
        <f>'SurveyRpt_20150223 (1)'!AF176+"h_l!x)"</f>
        <v>#VALUE!</v>
      </c>
      <c r="DG29" t="e">
        <f>'SurveyRpt_20150223 (1)'!AG176+"h_l!x."</f>
        <v>#VALUE!</v>
      </c>
      <c r="DH29" t="e">
        <f>'SurveyRpt_20150223 (1)'!AH176+"h_l!x/"</f>
        <v>#VALUE!</v>
      </c>
      <c r="DI29" t="e">
        <f>'SurveyRpt_20150223 (1)'!AI176+"h_l!x0"</f>
        <v>#VALUE!</v>
      </c>
      <c r="DJ29" t="e">
        <f>'SurveyRpt_20150223 (1)'!AJ176+"h_l!x1"</f>
        <v>#VALUE!</v>
      </c>
      <c r="DK29" t="e">
        <f>'SurveyRpt_20150223 (1)'!AK176+"h_l!x2"</f>
        <v>#VALUE!</v>
      </c>
      <c r="DL29" t="e">
        <f>'SurveyRpt_20150223 (1)'!AL176+"h_l!x3"</f>
        <v>#VALUE!</v>
      </c>
      <c r="DM29" t="e">
        <f>'SurveyRpt_20150223 (1)'!AM176+"h_l!x4"</f>
        <v>#VALUE!</v>
      </c>
      <c r="DN29" t="e">
        <f>'SurveyRpt_20150223 (1)'!AN176+"h_l!x5"</f>
        <v>#VALUE!</v>
      </c>
      <c r="DO29" t="e">
        <f>'SurveyRpt_20150223 (1)'!A177+"h_l!x6"</f>
        <v>#VALUE!</v>
      </c>
      <c r="DP29" s="25" t="e">
        <f>'SurveyRpt_20150223 (1)'!B177+"h_l!x7"</f>
        <v>#VALUE!</v>
      </c>
      <c r="DQ29" t="e">
        <f>'SurveyRpt_20150223 (1)'!C177+"h_l!x8"</f>
        <v>#VALUE!</v>
      </c>
      <c r="DR29" s="25" t="e">
        <f>'SurveyRpt_20150223 (1)'!D177+"h_l!x9"</f>
        <v>#VALUE!</v>
      </c>
      <c r="DS29" t="e">
        <f>'SurveyRpt_20150223 (1)'!E177+"h_l!x:"</f>
        <v>#VALUE!</v>
      </c>
      <c r="DT29" t="e">
        <f>'SurveyRpt_20150223 (1)'!F177+"h_l!x;"</f>
        <v>#VALUE!</v>
      </c>
      <c r="DU29" t="e">
        <f>'SurveyRpt_20150223 (1)'!G177+"h_l!x&lt;"</f>
        <v>#VALUE!</v>
      </c>
      <c r="DV29" t="e">
        <f>'SurveyRpt_20150223 (1)'!H177+"h_l!x="</f>
        <v>#VALUE!</v>
      </c>
      <c r="DW29" t="e">
        <f>'SurveyRpt_20150223 (1)'!I177+"h_l!x&gt;"</f>
        <v>#VALUE!</v>
      </c>
      <c r="DX29" t="e">
        <f>'SurveyRpt_20150223 (1)'!J177+"h_l!x?"</f>
        <v>#VALUE!</v>
      </c>
      <c r="DY29" t="e">
        <f>'SurveyRpt_20150223 (1)'!K177+"h_l!x@"</f>
        <v>#VALUE!</v>
      </c>
      <c r="DZ29" t="e">
        <f>'SurveyRpt_20150223 (1)'!L177+"h_l!xA"</f>
        <v>#VALUE!</v>
      </c>
      <c r="EA29" t="e">
        <f>'SurveyRpt_20150223 (1)'!M177+"h_l!xB"</f>
        <v>#VALUE!</v>
      </c>
      <c r="EB29" t="e">
        <f>'SurveyRpt_20150223 (1)'!N177+"h_l!xC"</f>
        <v>#VALUE!</v>
      </c>
      <c r="EC29" t="e">
        <f>'SurveyRpt_20150223 (1)'!O177+"h_l!xD"</f>
        <v>#VALUE!</v>
      </c>
      <c r="ED29" t="e">
        <f>'SurveyRpt_20150223 (1)'!P177+"h_l!xE"</f>
        <v>#VALUE!</v>
      </c>
      <c r="EE29" t="e">
        <f>'SurveyRpt_20150223 (1)'!Q177+"h_l!xF"</f>
        <v>#VALUE!</v>
      </c>
      <c r="EF29" t="e">
        <f>'SurveyRpt_20150223 (1)'!R177+"h_l!xG"</f>
        <v>#VALUE!</v>
      </c>
      <c r="EG29" t="e">
        <f>'SurveyRpt_20150223 (1)'!S177+"h_l!xH"</f>
        <v>#VALUE!</v>
      </c>
      <c r="EH29" t="e">
        <f>'SurveyRpt_20150223 (1)'!T177+"h_l!xI"</f>
        <v>#VALUE!</v>
      </c>
      <c r="EI29" t="e">
        <f>'SurveyRpt_20150223 (1)'!U177+"h_l!xJ"</f>
        <v>#VALUE!</v>
      </c>
      <c r="EJ29" t="e">
        <f>'SurveyRpt_20150223 (1)'!V177+"h_l!xK"</f>
        <v>#VALUE!</v>
      </c>
      <c r="EK29" t="e">
        <f>'SurveyRpt_20150223 (1)'!W177+"h_l!xL"</f>
        <v>#VALUE!</v>
      </c>
      <c r="EL29" t="e">
        <f>'SurveyRpt_20150223 (1)'!X177+"h_l!xM"</f>
        <v>#VALUE!</v>
      </c>
      <c r="EM29" t="e">
        <f>'SurveyRpt_20150223 (1)'!Y177+"h_l!xN"</f>
        <v>#VALUE!</v>
      </c>
      <c r="EN29" t="e">
        <f>'SurveyRpt_20150223 (1)'!Z177+"h_l!xO"</f>
        <v>#VALUE!</v>
      </c>
      <c r="EO29" t="e">
        <f>'SurveyRpt_20150223 (1)'!AA177+"h_l!xP"</f>
        <v>#VALUE!</v>
      </c>
      <c r="EP29" t="e">
        <f>'SurveyRpt_20150223 (1)'!AB177+"h_l!xQ"</f>
        <v>#VALUE!</v>
      </c>
      <c r="EQ29" t="e">
        <f>'SurveyRpt_20150223 (1)'!AC177+"h_l!xR"</f>
        <v>#VALUE!</v>
      </c>
      <c r="ER29" t="e">
        <f>'SurveyRpt_20150223 (1)'!AD177+"h_l!xS"</f>
        <v>#VALUE!</v>
      </c>
      <c r="ES29" t="e">
        <f>'SurveyRpt_20150223 (1)'!AE177+"h_l!xT"</f>
        <v>#VALUE!</v>
      </c>
      <c r="ET29" t="e">
        <f>'SurveyRpt_20150223 (1)'!AF177+"h_l!xU"</f>
        <v>#VALUE!</v>
      </c>
      <c r="EU29" t="e">
        <f>'SurveyRpt_20150223 (1)'!AG177+"h_l!xV"</f>
        <v>#VALUE!</v>
      </c>
      <c r="EV29" t="e">
        <f>'SurveyRpt_20150223 (1)'!AH177+"h_l!xW"</f>
        <v>#VALUE!</v>
      </c>
      <c r="EW29" t="e">
        <f>'SurveyRpt_20150223 (1)'!AI177+"h_l!xX"</f>
        <v>#VALUE!</v>
      </c>
      <c r="EX29" t="e">
        <f>'SurveyRpt_20150223 (1)'!AJ177+"h_l!xY"</f>
        <v>#VALUE!</v>
      </c>
      <c r="EY29" t="e">
        <f>'SurveyRpt_20150223 (1)'!AK177+"h_l!xZ"</f>
        <v>#VALUE!</v>
      </c>
      <c r="EZ29" t="e">
        <f>'SurveyRpt_20150223 (1)'!AL177+"h_l!x["</f>
        <v>#VALUE!</v>
      </c>
      <c r="FA29" t="e">
        <f>'SurveyRpt_20150223 (1)'!AM177+"h_l!x\"</f>
        <v>#VALUE!</v>
      </c>
      <c r="FB29" t="e">
        <f>'SurveyRpt_20150223 (1)'!AN177+"h_l!x]"</f>
        <v>#VALUE!</v>
      </c>
      <c r="FC29" t="e">
        <f>'SurveyRpt_20150223 (1)'!A178+"h_l!x^"</f>
        <v>#VALUE!</v>
      </c>
      <c r="FD29" s="25" t="e">
        <f>'SurveyRpt_20150223 (1)'!B178+"h_l!x_"</f>
        <v>#VALUE!</v>
      </c>
      <c r="FE29" t="e">
        <f>'SurveyRpt_20150223 (1)'!C178+"h_l!x`"</f>
        <v>#VALUE!</v>
      </c>
      <c r="FF29" s="25" t="e">
        <f>'SurveyRpt_20150223 (1)'!D178+"h_l!xa"</f>
        <v>#VALUE!</v>
      </c>
      <c r="FG29" t="e">
        <f>'SurveyRpt_20150223 (1)'!E178+"h_l!xb"</f>
        <v>#VALUE!</v>
      </c>
      <c r="FH29" t="e">
        <f>'SurveyRpt_20150223 (1)'!F178+"h_l!xc"</f>
        <v>#VALUE!</v>
      </c>
      <c r="FI29" t="e">
        <f>'SurveyRpt_20150223 (1)'!G178+"h_l!xd"</f>
        <v>#VALUE!</v>
      </c>
      <c r="FJ29" t="e">
        <f>'SurveyRpt_20150223 (1)'!H178+"h_l!xe"</f>
        <v>#VALUE!</v>
      </c>
      <c r="FK29" t="e">
        <f>'SurveyRpt_20150223 (1)'!I178+"h_l!xf"</f>
        <v>#VALUE!</v>
      </c>
      <c r="FL29" t="e">
        <f>'SurveyRpt_20150223 (1)'!J178+"h_l!xg"</f>
        <v>#VALUE!</v>
      </c>
      <c r="FM29" t="e">
        <f>'SurveyRpt_20150223 (1)'!K178+"h_l!xh"</f>
        <v>#VALUE!</v>
      </c>
      <c r="FN29" t="e">
        <f>'SurveyRpt_20150223 (1)'!L178+"h_l!xi"</f>
        <v>#VALUE!</v>
      </c>
      <c r="FO29" t="e">
        <f>'SurveyRpt_20150223 (1)'!M178+"h_l!xj"</f>
        <v>#VALUE!</v>
      </c>
      <c r="FP29" t="e">
        <f>'SurveyRpt_20150223 (1)'!N178+"h_l!xk"</f>
        <v>#VALUE!</v>
      </c>
      <c r="FQ29" t="e">
        <f>'SurveyRpt_20150223 (1)'!O178+"h_l!xl"</f>
        <v>#VALUE!</v>
      </c>
      <c r="FR29" t="e">
        <f>'SurveyRpt_20150223 (1)'!P178+"h_l!xm"</f>
        <v>#VALUE!</v>
      </c>
      <c r="FS29" t="e">
        <f>'SurveyRpt_20150223 (1)'!Q178+"h_l!xn"</f>
        <v>#VALUE!</v>
      </c>
      <c r="FT29" t="e">
        <f>'SurveyRpt_20150223 (1)'!R178+"h_l!xo"</f>
        <v>#VALUE!</v>
      </c>
      <c r="FU29" t="e">
        <f>'SurveyRpt_20150223 (1)'!S178+"h_l!xp"</f>
        <v>#VALUE!</v>
      </c>
      <c r="FV29" t="e">
        <f>'SurveyRpt_20150223 (1)'!T178+"h_l!xq"</f>
        <v>#VALUE!</v>
      </c>
      <c r="FW29" t="e">
        <f>'SurveyRpt_20150223 (1)'!U178+"h_l!xr"</f>
        <v>#VALUE!</v>
      </c>
      <c r="FX29" t="e">
        <f>'SurveyRpt_20150223 (1)'!V178+"h_l!xs"</f>
        <v>#VALUE!</v>
      </c>
      <c r="FY29" t="e">
        <f>'SurveyRpt_20150223 (1)'!W178+"h_l!xt"</f>
        <v>#VALUE!</v>
      </c>
      <c r="FZ29" t="e">
        <f>'SurveyRpt_20150223 (1)'!X178+"h_l!xu"</f>
        <v>#VALUE!</v>
      </c>
      <c r="GA29" t="e">
        <f>'SurveyRpt_20150223 (1)'!Y178+"h_l!xv"</f>
        <v>#VALUE!</v>
      </c>
      <c r="GB29" t="e">
        <f>'SurveyRpt_20150223 (1)'!Z178+"h_l!xw"</f>
        <v>#VALUE!</v>
      </c>
      <c r="GC29" t="e">
        <f>'SurveyRpt_20150223 (1)'!AA178+"h_l!xx"</f>
        <v>#VALUE!</v>
      </c>
      <c r="GD29" t="e">
        <f>'SurveyRpt_20150223 (1)'!AB178+"h_l!xy"</f>
        <v>#VALUE!</v>
      </c>
      <c r="GE29" t="e">
        <f>'SurveyRpt_20150223 (1)'!AC178+"h_l!xz"</f>
        <v>#VALUE!</v>
      </c>
      <c r="GF29" t="e">
        <f>'SurveyRpt_20150223 (1)'!AD178+"h_l!x{"</f>
        <v>#VALUE!</v>
      </c>
      <c r="GG29" t="e">
        <f>'SurveyRpt_20150223 (1)'!AE178+"h_l!x|"</f>
        <v>#VALUE!</v>
      </c>
      <c r="GH29" t="e">
        <f>'SurveyRpt_20150223 (1)'!AF178+"h_l!x}"</f>
        <v>#VALUE!</v>
      </c>
      <c r="GI29" t="e">
        <f>'SurveyRpt_20150223 (1)'!AG178+"h_l!x~"</f>
        <v>#VALUE!</v>
      </c>
      <c r="GJ29" t="e">
        <f>'SurveyRpt_20150223 (1)'!AH178+"h_l!y#"</f>
        <v>#VALUE!</v>
      </c>
      <c r="GK29" t="e">
        <f>'SurveyRpt_20150223 (1)'!AI178+"h_l!y$"</f>
        <v>#VALUE!</v>
      </c>
      <c r="GL29" t="e">
        <f>'SurveyRpt_20150223 (1)'!AJ178+"h_l!y%"</f>
        <v>#VALUE!</v>
      </c>
      <c r="GM29" t="e">
        <f>'SurveyRpt_20150223 (1)'!AK178+"h_l!y&amp;"</f>
        <v>#VALUE!</v>
      </c>
      <c r="GN29" t="e">
        <f>'SurveyRpt_20150223 (1)'!AL178+"h_l!y'"</f>
        <v>#VALUE!</v>
      </c>
      <c r="GO29" t="e">
        <f>'SurveyRpt_20150223 (1)'!AM178+"h_l!y("</f>
        <v>#VALUE!</v>
      </c>
      <c r="GP29" t="e">
        <f>'SurveyRpt_20150223 (1)'!AN178+"h_l!y)"</f>
        <v>#VALUE!</v>
      </c>
      <c r="GQ29" t="e">
        <f>'SurveyRpt_20150223 (1)'!A179+"h_l!y."</f>
        <v>#VALUE!</v>
      </c>
      <c r="GR29" s="25" t="e">
        <f>'SurveyRpt_20150223 (1)'!B179+"h_l!y/"</f>
        <v>#VALUE!</v>
      </c>
      <c r="GS29" t="e">
        <f>'SurveyRpt_20150223 (1)'!C179+"h_l!y0"</f>
        <v>#VALUE!</v>
      </c>
      <c r="GT29" s="25" t="e">
        <f>'SurveyRpt_20150223 (1)'!D179+"h_l!y1"</f>
        <v>#VALUE!</v>
      </c>
      <c r="GU29" t="e">
        <f>'SurveyRpt_20150223 (1)'!E179+"h_l!y2"</f>
        <v>#VALUE!</v>
      </c>
      <c r="GV29" t="e">
        <f>'SurveyRpt_20150223 (1)'!F179+"h_l!y3"</f>
        <v>#VALUE!</v>
      </c>
      <c r="GW29" t="e">
        <f>'SurveyRpt_20150223 (1)'!G179+"h_l!y4"</f>
        <v>#VALUE!</v>
      </c>
      <c r="GX29" t="e">
        <f>'SurveyRpt_20150223 (1)'!H179+"h_l!y5"</f>
        <v>#VALUE!</v>
      </c>
      <c r="GY29" t="e">
        <f>'SurveyRpt_20150223 (1)'!I179+"h_l!y6"</f>
        <v>#VALUE!</v>
      </c>
      <c r="GZ29" t="e">
        <f>'SurveyRpt_20150223 (1)'!J179+"h_l!y7"</f>
        <v>#VALUE!</v>
      </c>
      <c r="HA29" t="e">
        <f>'SurveyRpt_20150223 (1)'!K179+"h_l!y8"</f>
        <v>#VALUE!</v>
      </c>
      <c r="HB29" t="e">
        <f>'SurveyRpt_20150223 (1)'!L179+"h_l!y9"</f>
        <v>#VALUE!</v>
      </c>
      <c r="HC29" t="e">
        <f>'SurveyRpt_20150223 (1)'!M179+"h_l!y:"</f>
        <v>#VALUE!</v>
      </c>
      <c r="HD29" t="e">
        <f>'SurveyRpt_20150223 (1)'!N179+"h_l!y;"</f>
        <v>#VALUE!</v>
      </c>
      <c r="HE29" t="e">
        <f>'SurveyRpt_20150223 (1)'!O179+"h_l!y&lt;"</f>
        <v>#VALUE!</v>
      </c>
      <c r="HF29" t="e">
        <f>'SurveyRpt_20150223 (1)'!P179+"h_l!y="</f>
        <v>#VALUE!</v>
      </c>
      <c r="HG29" t="e">
        <f>'SurveyRpt_20150223 (1)'!Q179+"h_l!y&gt;"</f>
        <v>#VALUE!</v>
      </c>
      <c r="HH29" t="e">
        <f>'SurveyRpt_20150223 (1)'!R179+"h_l!y?"</f>
        <v>#VALUE!</v>
      </c>
      <c r="HI29" t="e">
        <f>'SurveyRpt_20150223 (1)'!S179+"h_l!y@"</f>
        <v>#VALUE!</v>
      </c>
      <c r="HJ29" t="e">
        <f>'SurveyRpt_20150223 (1)'!T179+"h_l!yA"</f>
        <v>#VALUE!</v>
      </c>
      <c r="HK29" t="e">
        <f>'SurveyRpt_20150223 (1)'!U179+"h_l!yB"</f>
        <v>#VALUE!</v>
      </c>
      <c r="HL29" t="e">
        <f>'SurveyRpt_20150223 (1)'!V179+"h_l!yC"</f>
        <v>#VALUE!</v>
      </c>
      <c r="HM29" t="e">
        <f>'SurveyRpt_20150223 (1)'!W179+"h_l!yD"</f>
        <v>#VALUE!</v>
      </c>
      <c r="HN29" t="e">
        <f>'SurveyRpt_20150223 (1)'!X179+"h_l!yE"</f>
        <v>#VALUE!</v>
      </c>
      <c r="HO29" t="e">
        <f>'SurveyRpt_20150223 (1)'!Y179+"h_l!yF"</f>
        <v>#VALUE!</v>
      </c>
      <c r="HP29" t="e">
        <f>'SurveyRpt_20150223 (1)'!Z179+"h_l!yG"</f>
        <v>#VALUE!</v>
      </c>
      <c r="HQ29" t="e">
        <f>'SurveyRpt_20150223 (1)'!AA179+"h_l!yH"</f>
        <v>#VALUE!</v>
      </c>
      <c r="HR29" t="e">
        <f>'SurveyRpt_20150223 (1)'!AB179+"h_l!yI"</f>
        <v>#VALUE!</v>
      </c>
      <c r="HS29" t="e">
        <f>'SurveyRpt_20150223 (1)'!AC179+"h_l!yJ"</f>
        <v>#VALUE!</v>
      </c>
      <c r="HT29" t="e">
        <f>'SurveyRpt_20150223 (1)'!AD179+"h_l!yK"</f>
        <v>#VALUE!</v>
      </c>
      <c r="HU29" t="e">
        <f>'SurveyRpt_20150223 (1)'!AE179+"h_l!yL"</f>
        <v>#VALUE!</v>
      </c>
      <c r="HV29" t="e">
        <f>'SurveyRpt_20150223 (1)'!AF179+"h_l!yM"</f>
        <v>#VALUE!</v>
      </c>
      <c r="HW29" t="e">
        <f>'SurveyRpt_20150223 (1)'!AG179+"h_l!yN"</f>
        <v>#VALUE!</v>
      </c>
      <c r="HX29" t="e">
        <f>'SurveyRpt_20150223 (1)'!AH179+"h_l!yO"</f>
        <v>#VALUE!</v>
      </c>
      <c r="HY29" t="e">
        <f>'SurveyRpt_20150223 (1)'!AI179+"h_l!yP"</f>
        <v>#VALUE!</v>
      </c>
      <c r="HZ29" t="e">
        <f>'SurveyRpt_20150223 (1)'!AJ179+"h_l!yQ"</f>
        <v>#VALUE!</v>
      </c>
      <c r="IA29" t="e">
        <f>'SurveyRpt_20150223 (1)'!AK179+"h_l!yR"</f>
        <v>#VALUE!</v>
      </c>
      <c r="IB29" t="e">
        <f>'SurveyRpt_20150223 (1)'!AL179+"h_l!yS"</f>
        <v>#VALUE!</v>
      </c>
      <c r="IC29" t="e">
        <f>'SurveyRpt_20150223 (1)'!AM179+"h_l!yT"</f>
        <v>#VALUE!</v>
      </c>
      <c r="ID29" t="e">
        <f>'SurveyRpt_20150223 (1)'!AN179+"h_l!yU"</f>
        <v>#VALUE!</v>
      </c>
      <c r="IE29" t="e">
        <f>'SurveyRpt_20150223 (1)'!A180+"h_l!yV"</f>
        <v>#VALUE!</v>
      </c>
      <c r="IF29" s="25" t="e">
        <f>'SurveyRpt_20150223 (1)'!B180+"h_l!yW"</f>
        <v>#VALUE!</v>
      </c>
      <c r="IG29" t="e">
        <f>'SurveyRpt_20150223 (1)'!C180+"h_l!yX"</f>
        <v>#VALUE!</v>
      </c>
      <c r="IH29" s="25" t="e">
        <f>'SurveyRpt_20150223 (1)'!D180+"h_l!yY"</f>
        <v>#VALUE!</v>
      </c>
      <c r="II29" t="e">
        <f>'SurveyRpt_20150223 (1)'!E180+"h_l!yZ"</f>
        <v>#VALUE!</v>
      </c>
      <c r="IJ29" t="e">
        <f>'SurveyRpt_20150223 (1)'!F180+"h_l!y["</f>
        <v>#VALUE!</v>
      </c>
      <c r="IK29" t="e">
        <f>'SurveyRpt_20150223 (1)'!G180+"h_l!y\"</f>
        <v>#VALUE!</v>
      </c>
      <c r="IL29" t="e">
        <f>'SurveyRpt_20150223 (1)'!H180+"h_l!y]"</f>
        <v>#VALUE!</v>
      </c>
      <c r="IM29" t="e">
        <f>'SurveyRpt_20150223 (1)'!I180+"h_l!y^"</f>
        <v>#VALUE!</v>
      </c>
      <c r="IN29" t="e">
        <f>'SurveyRpt_20150223 (1)'!J180+"h_l!y_"</f>
        <v>#VALUE!</v>
      </c>
      <c r="IO29" t="e">
        <f>'SurveyRpt_20150223 (1)'!K180+"h_l!y`"</f>
        <v>#VALUE!</v>
      </c>
      <c r="IP29" t="e">
        <f>'SurveyRpt_20150223 (1)'!L180+"h_l!ya"</f>
        <v>#VALUE!</v>
      </c>
      <c r="IQ29" t="e">
        <f>'SurveyRpt_20150223 (1)'!M180+"h_l!yb"</f>
        <v>#VALUE!</v>
      </c>
      <c r="IR29" t="e">
        <f>'SurveyRpt_20150223 (1)'!N180+"h_l!yc"</f>
        <v>#VALUE!</v>
      </c>
      <c r="IS29" t="e">
        <f>'SurveyRpt_20150223 (1)'!O180+"h_l!yd"</f>
        <v>#VALUE!</v>
      </c>
      <c r="IT29" t="e">
        <f>'SurveyRpt_20150223 (1)'!P180+"h_l!ye"</f>
        <v>#VALUE!</v>
      </c>
      <c r="IU29" t="e">
        <f>'SurveyRpt_20150223 (1)'!Q180+"h_l!yf"</f>
        <v>#VALUE!</v>
      </c>
      <c r="IV29" t="e">
        <f>'SurveyRpt_20150223 (1)'!R180+"h_l!yg"</f>
        <v>#VALUE!</v>
      </c>
    </row>
    <row r="30" spans="6:256" x14ac:dyDescent="0.25">
      <c r="F30" t="e">
        <f>'SurveyRpt_20150223 (1)'!S180+"h_l!yh"</f>
        <v>#VALUE!</v>
      </c>
      <c r="G30" t="e">
        <f>'SurveyRpt_20150223 (1)'!T180+"h_l!yi"</f>
        <v>#VALUE!</v>
      </c>
      <c r="H30" t="e">
        <f>'SurveyRpt_20150223 (1)'!U180+"h_l!yj"</f>
        <v>#VALUE!</v>
      </c>
      <c r="I30" t="e">
        <f>'SurveyRpt_20150223 (1)'!V180+"h_l!yk"</f>
        <v>#VALUE!</v>
      </c>
      <c r="J30" t="e">
        <f>'SurveyRpt_20150223 (1)'!W180+"h_l!yl"</f>
        <v>#VALUE!</v>
      </c>
      <c r="K30" t="e">
        <f>'SurveyRpt_20150223 (1)'!X180+"h_l!ym"</f>
        <v>#VALUE!</v>
      </c>
      <c r="L30" t="e">
        <f>'SurveyRpt_20150223 (1)'!Y180+"h_l!yn"</f>
        <v>#VALUE!</v>
      </c>
      <c r="M30" t="e">
        <f>'SurveyRpt_20150223 (1)'!Z180+"h_l!yo"</f>
        <v>#VALUE!</v>
      </c>
      <c r="N30" t="e">
        <f>'SurveyRpt_20150223 (1)'!AA180+"h_l!yp"</f>
        <v>#VALUE!</v>
      </c>
      <c r="O30" t="e">
        <f>'SurveyRpt_20150223 (1)'!AB180+"h_l!yq"</f>
        <v>#VALUE!</v>
      </c>
      <c r="P30" t="e">
        <f>'SurveyRpt_20150223 (1)'!AC180+"h_l!yr"</f>
        <v>#VALUE!</v>
      </c>
      <c r="Q30" t="e">
        <f>'SurveyRpt_20150223 (1)'!AD180+"h_l!ys"</f>
        <v>#VALUE!</v>
      </c>
      <c r="R30" t="e">
        <f>'SurveyRpt_20150223 (1)'!AE180+"h_l!yt"</f>
        <v>#VALUE!</v>
      </c>
      <c r="S30" t="e">
        <f>'SurveyRpt_20150223 (1)'!AF180+"h_l!yu"</f>
        <v>#VALUE!</v>
      </c>
      <c r="T30" t="e">
        <f>'SurveyRpt_20150223 (1)'!AG180+"h_l!yv"</f>
        <v>#VALUE!</v>
      </c>
      <c r="U30" t="e">
        <f>'SurveyRpt_20150223 (1)'!AH180+"h_l!yw"</f>
        <v>#VALUE!</v>
      </c>
      <c r="V30" t="e">
        <f>'SurveyRpt_20150223 (1)'!AI180+"h_l!yx"</f>
        <v>#VALUE!</v>
      </c>
      <c r="W30" t="e">
        <f>'SurveyRpt_20150223 (1)'!AJ180+"h_l!yy"</f>
        <v>#VALUE!</v>
      </c>
      <c r="X30" t="e">
        <f>'SurveyRpt_20150223 (1)'!AK180+"h_l!yz"</f>
        <v>#VALUE!</v>
      </c>
      <c r="Y30" t="e">
        <f>'SurveyRpt_20150223 (1)'!AL180+"h_l!y{"</f>
        <v>#VALUE!</v>
      </c>
      <c r="Z30" t="e">
        <f>'SurveyRpt_20150223 (1)'!AM180+"h_l!y|"</f>
        <v>#VALUE!</v>
      </c>
      <c r="AA30" t="e">
        <f>'SurveyRpt_20150223 (1)'!AN180+"h_l!y}"</f>
        <v>#VALUE!</v>
      </c>
      <c r="AB30" t="e">
        <f>'SurveyRpt_20150223 (1)'!A181+"h_l!y~"</f>
        <v>#VALUE!</v>
      </c>
      <c r="AC30" s="25" t="e">
        <f>'SurveyRpt_20150223 (1)'!B181+"h_l!z#"</f>
        <v>#VALUE!</v>
      </c>
      <c r="AD30" t="e">
        <f>'SurveyRpt_20150223 (1)'!C181+"h_l!z$"</f>
        <v>#VALUE!</v>
      </c>
      <c r="AE30" s="25" t="e">
        <f>'SurveyRpt_20150223 (1)'!D181+"h_l!z%"</f>
        <v>#VALUE!</v>
      </c>
      <c r="AF30" t="e">
        <f>'SurveyRpt_20150223 (1)'!E181+"h_l!z&amp;"</f>
        <v>#VALUE!</v>
      </c>
      <c r="AG30" t="e">
        <f>'SurveyRpt_20150223 (1)'!F181+"h_l!z'"</f>
        <v>#VALUE!</v>
      </c>
      <c r="AH30" t="e">
        <f>'SurveyRpt_20150223 (1)'!G181+"h_l!z("</f>
        <v>#VALUE!</v>
      </c>
      <c r="AI30" t="e">
        <f>'SurveyRpt_20150223 (1)'!H181+"h_l!z)"</f>
        <v>#VALUE!</v>
      </c>
      <c r="AJ30" t="e">
        <f>'SurveyRpt_20150223 (1)'!I181+"h_l!z."</f>
        <v>#VALUE!</v>
      </c>
      <c r="AK30" t="e">
        <f>'SurveyRpt_20150223 (1)'!J181+"h_l!z/"</f>
        <v>#VALUE!</v>
      </c>
      <c r="AL30" t="e">
        <f>'SurveyRpt_20150223 (1)'!K181+"h_l!z0"</f>
        <v>#VALUE!</v>
      </c>
      <c r="AM30" t="e">
        <f>'SurveyRpt_20150223 (1)'!L181+"h_l!z1"</f>
        <v>#VALUE!</v>
      </c>
      <c r="AN30" t="e">
        <f>'SurveyRpt_20150223 (1)'!M181+"h_l!z2"</f>
        <v>#VALUE!</v>
      </c>
      <c r="AO30" t="e">
        <f>'SurveyRpt_20150223 (1)'!N181+"h_l!z3"</f>
        <v>#VALUE!</v>
      </c>
      <c r="AP30" t="e">
        <f>'SurveyRpt_20150223 (1)'!O181+"h_l!z4"</f>
        <v>#VALUE!</v>
      </c>
      <c r="AQ30" t="e">
        <f>'SurveyRpt_20150223 (1)'!P181+"h_l!z5"</f>
        <v>#VALUE!</v>
      </c>
      <c r="AR30" t="e">
        <f>'SurveyRpt_20150223 (1)'!Q181+"h_l!z6"</f>
        <v>#VALUE!</v>
      </c>
      <c r="AS30" t="e">
        <f>'SurveyRpt_20150223 (1)'!R181+"h_l!z7"</f>
        <v>#VALUE!</v>
      </c>
      <c r="AT30" t="e">
        <f>'SurveyRpt_20150223 (1)'!S181+"h_l!z8"</f>
        <v>#VALUE!</v>
      </c>
      <c r="AU30" t="e">
        <f>'SurveyRpt_20150223 (1)'!T181+"h_l!z9"</f>
        <v>#VALUE!</v>
      </c>
      <c r="AV30" t="e">
        <f>'SurveyRpt_20150223 (1)'!U181+"h_l!z:"</f>
        <v>#VALUE!</v>
      </c>
      <c r="AW30" t="e">
        <f>'SurveyRpt_20150223 (1)'!V181+"h_l!z;"</f>
        <v>#VALUE!</v>
      </c>
      <c r="AX30" t="e">
        <f>'SurveyRpt_20150223 (1)'!W181+"h_l!z&lt;"</f>
        <v>#VALUE!</v>
      </c>
      <c r="AY30" t="e">
        <f>'SurveyRpt_20150223 (1)'!X181+"h_l!z="</f>
        <v>#VALUE!</v>
      </c>
      <c r="AZ30" t="e">
        <f>'SurveyRpt_20150223 (1)'!Y181+"h_l!z&gt;"</f>
        <v>#VALUE!</v>
      </c>
      <c r="BA30" t="e">
        <f>'SurveyRpt_20150223 (1)'!Z181+"h_l!z?"</f>
        <v>#VALUE!</v>
      </c>
      <c r="BB30" t="e">
        <f>'SurveyRpt_20150223 (1)'!AA181+"h_l!z@"</f>
        <v>#VALUE!</v>
      </c>
      <c r="BC30" t="e">
        <f>'SurveyRpt_20150223 (1)'!AB181+"h_l!zA"</f>
        <v>#VALUE!</v>
      </c>
      <c r="BD30" t="e">
        <f>'SurveyRpt_20150223 (1)'!AC181+"h_l!zB"</f>
        <v>#VALUE!</v>
      </c>
      <c r="BE30" t="e">
        <f>'SurveyRpt_20150223 (1)'!AD181+"h_l!zC"</f>
        <v>#VALUE!</v>
      </c>
      <c r="BF30" t="e">
        <f>'SurveyRpt_20150223 (1)'!AE181+"h_l!zD"</f>
        <v>#VALUE!</v>
      </c>
      <c r="BG30" t="e">
        <f>'SurveyRpt_20150223 (1)'!AF181+"h_l!zE"</f>
        <v>#VALUE!</v>
      </c>
      <c r="BH30" t="e">
        <f>'SurveyRpt_20150223 (1)'!AG181+"h_l!zF"</f>
        <v>#VALUE!</v>
      </c>
      <c r="BI30" t="e">
        <f>'SurveyRpt_20150223 (1)'!AH181+"h_l!zG"</f>
        <v>#VALUE!</v>
      </c>
      <c r="BJ30" t="e">
        <f>'SurveyRpt_20150223 (1)'!AI181+"h_l!zH"</f>
        <v>#VALUE!</v>
      </c>
      <c r="BK30" t="e">
        <f>'SurveyRpt_20150223 (1)'!AJ181+"h_l!zI"</f>
        <v>#VALUE!</v>
      </c>
      <c r="BL30" t="e">
        <f>'SurveyRpt_20150223 (1)'!AK181+"h_l!zJ"</f>
        <v>#VALUE!</v>
      </c>
      <c r="BM30" t="e">
        <f>'SurveyRpt_20150223 (1)'!AL181+"h_l!zK"</f>
        <v>#VALUE!</v>
      </c>
      <c r="BN30" t="e">
        <f>'SurveyRpt_20150223 (1)'!AM181+"h_l!zL"</f>
        <v>#VALUE!</v>
      </c>
      <c r="BO30" t="e">
        <f>'SurveyRpt_20150223 (1)'!AN181+"h_l!zM"</f>
        <v>#VALUE!</v>
      </c>
      <c r="BP30" t="e">
        <f>'SurveyRpt_20150223 (1)'!A182+"h_l!zN"</f>
        <v>#VALUE!</v>
      </c>
      <c r="BQ30" s="25" t="e">
        <f>'SurveyRpt_20150223 (1)'!B182+"h_l!zO"</f>
        <v>#VALUE!</v>
      </c>
      <c r="BR30" t="e">
        <f>'SurveyRpt_20150223 (1)'!C182+"h_l!zP"</f>
        <v>#VALUE!</v>
      </c>
      <c r="BS30" s="25" t="e">
        <f>'SurveyRpt_20150223 (1)'!D182+"h_l!zQ"</f>
        <v>#VALUE!</v>
      </c>
      <c r="BT30" t="e">
        <f>'SurveyRpt_20150223 (1)'!E182+"h_l!zR"</f>
        <v>#VALUE!</v>
      </c>
      <c r="BU30" t="e">
        <f>'SurveyRpt_20150223 (1)'!F182+"h_l!zS"</f>
        <v>#VALUE!</v>
      </c>
      <c r="BV30" t="e">
        <f>'SurveyRpt_20150223 (1)'!G182+"h_l!zT"</f>
        <v>#VALUE!</v>
      </c>
      <c r="BW30" t="e">
        <f>'SurveyRpt_20150223 (1)'!H182+"h_l!zU"</f>
        <v>#VALUE!</v>
      </c>
      <c r="BX30" t="e">
        <f>'SurveyRpt_20150223 (1)'!I182+"h_l!zV"</f>
        <v>#VALUE!</v>
      </c>
      <c r="BY30" t="e">
        <f>'SurveyRpt_20150223 (1)'!J182+"h_l!zW"</f>
        <v>#VALUE!</v>
      </c>
      <c r="BZ30" t="e">
        <f>'SurveyRpt_20150223 (1)'!K182+"h_l!zX"</f>
        <v>#VALUE!</v>
      </c>
      <c r="CA30" t="e">
        <f>'SurveyRpt_20150223 (1)'!L182+"h_l!zY"</f>
        <v>#VALUE!</v>
      </c>
      <c r="CB30" t="e">
        <f>'SurveyRpt_20150223 (1)'!M182+"h_l!zZ"</f>
        <v>#VALUE!</v>
      </c>
      <c r="CC30" t="e">
        <f>'SurveyRpt_20150223 (1)'!N182+"h_l!z["</f>
        <v>#VALUE!</v>
      </c>
      <c r="CD30" t="e">
        <f>'SurveyRpt_20150223 (1)'!O182+"h_l!z\"</f>
        <v>#VALUE!</v>
      </c>
      <c r="CE30" t="e">
        <f>'SurveyRpt_20150223 (1)'!P182+"h_l!z]"</f>
        <v>#VALUE!</v>
      </c>
      <c r="CF30" t="e">
        <f>'SurveyRpt_20150223 (1)'!Q182+"h_l!z^"</f>
        <v>#VALUE!</v>
      </c>
      <c r="CG30" t="e">
        <f>'SurveyRpt_20150223 (1)'!R182+"h_l!z_"</f>
        <v>#VALUE!</v>
      </c>
      <c r="CH30" t="e">
        <f>'SurveyRpt_20150223 (1)'!S182+"h_l!z`"</f>
        <v>#VALUE!</v>
      </c>
      <c r="CI30" t="e">
        <f>'SurveyRpt_20150223 (1)'!T182+"h_l!za"</f>
        <v>#VALUE!</v>
      </c>
      <c r="CJ30" t="e">
        <f>'SurveyRpt_20150223 (1)'!U182+"h_l!zb"</f>
        <v>#VALUE!</v>
      </c>
      <c r="CK30" t="e">
        <f>'SurveyRpt_20150223 (1)'!V182+"h_l!zc"</f>
        <v>#VALUE!</v>
      </c>
      <c r="CL30" t="e">
        <f>'SurveyRpt_20150223 (1)'!W182+"h_l!zd"</f>
        <v>#VALUE!</v>
      </c>
      <c r="CM30" t="e">
        <f>'SurveyRpt_20150223 (1)'!X182+"h_l!ze"</f>
        <v>#VALUE!</v>
      </c>
      <c r="CN30" t="e">
        <f>'SurveyRpt_20150223 (1)'!Y182+"h_l!zf"</f>
        <v>#VALUE!</v>
      </c>
      <c r="CO30" t="e">
        <f>'SurveyRpt_20150223 (1)'!Z182+"h_l!zg"</f>
        <v>#VALUE!</v>
      </c>
      <c r="CP30" t="e">
        <f>'SurveyRpt_20150223 (1)'!AA182+"h_l!zh"</f>
        <v>#VALUE!</v>
      </c>
      <c r="CQ30" t="e">
        <f>'SurveyRpt_20150223 (1)'!AB182+"h_l!zi"</f>
        <v>#VALUE!</v>
      </c>
      <c r="CR30" t="e">
        <f>'SurveyRpt_20150223 (1)'!AC182+"h_l!zj"</f>
        <v>#VALUE!</v>
      </c>
      <c r="CS30" t="e">
        <f>'SurveyRpt_20150223 (1)'!AD182+"h_l!zk"</f>
        <v>#VALUE!</v>
      </c>
      <c r="CT30" t="e">
        <f>'SurveyRpt_20150223 (1)'!AE182+"h_l!zl"</f>
        <v>#VALUE!</v>
      </c>
      <c r="CU30" t="e">
        <f>'SurveyRpt_20150223 (1)'!AF182+"h_l!zm"</f>
        <v>#VALUE!</v>
      </c>
      <c r="CV30" t="e">
        <f>'SurveyRpt_20150223 (1)'!AG182+"h_l!zn"</f>
        <v>#VALUE!</v>
      </c>
      <c r="CW30" t="e">
        <f>'SurveyRpt_20150223 (1)'!AH182+"h_l!zo"</f>
        <v>#VALUE!</v>
      </c>
      <c r="CX30" t="e">
        <f>'SurveyRpt_20150223 (1)'!AI182+"h_l!zp"</f>
        <v>#VALUE!</v>
      </c>
      <c r="CY30" t="e">
        <f>'SurveyRpt_20150223 (1)'!AJ182+"h_l!zq"</f>
        <v>#VALUE!</v>
      </c>
      <c r="CZ30" t="e">
        <f>'SurveyRpt_20150223 (1)'!AK182+"h_l!zr"</f>
        <v>#VALUE!</v>
      </c>
      <c r="DA30" t="e">
        <f>'SurveyRpt_20150223 (1)'!AL182+"h_l!zs"</f>
        <v>#VALUE!</v>
      </c>
      <c r="DB30" t="e">
        <f>'SurveyRpt_20150223 (1)'!AM182+"h_l!zt"</f>
        <v>#VALUE!</v>
      </c>
      <c r="DC30" t="e">
        <f>'SurveyRpt_20150223 (1)'!AN182+"h_l!zu"</f>
        <v>#VALUE!</v>
      </c>
      <c r="DD30" t="e">
        <f>'SurveyRpt_20150223 (1)'!A183+"h_l!zv"</f>
        <v>#VALUE!</v>
      </c>
      <c r="DE30" s="25" t="e">
        <f>'SurveyRpt_20150223 (1)'!B183+"h_l!zw"</f>
        <v>#VALUE!</v>
      </c>
      <c r="DF30" t="e">
        <f>'SurveyRpt_20150223 (1)'!C183+"h_l!zx"</f>
        <v>#VALUE!</v>
      </c>
      <c r="DG30" s="25" t="e">
        <f>'SurveyRpt_20150223 (1)'!D183+"h_l!zy"</f>
        <v>#VALUE!</v>
      </c>
      <c r="DH30" t="e">
        <f>'SurveyRpt_20150223 (1)'!E183+"h_l!zz"</f>
        <v>#VALUE!</v>
      </c>
      <c r="DI30" t="e">
        <f>'SurveyRpt_20150223 (1)'!F183+"h_l!z{"</f>
        <v>#VALUE!</v>
      </c>
      <c r="DJ30" t="e">
        <f>'SurveyRpt_20150223 (1)'!G183+"h_l!z|"</f>
        <v>#VALUE!</v>
      </c>
      <c r="DK30" t="e">
        <f>'SurveyRpt_20150223 (1)'!H183+"h_l!z}"</f>
        <v>#VALUE!</v>
      </c>
      <c r="DL30" t="e">
        <f>'SurveyRpt_20150223 (1)'!I183+"h_l!z~"</f>
        <v>#VALUE!</v>
      </c>
      <c r="DM30" t="e">
        <f>'SurveyRpt_20150223 (1)'!J183+"h_l!{#"</f>
        <v>#VALUE!</v>
      </c>
      <c r="DN30" t="e">
        <f>'SurveyRpt_20150223 (1)'!K183+"h_l!{$"</f>
        <v>#VALUE!</v>
      </c>
      <c r="DO30" t="e">
        <f>'SurveyRpt_20150223 (1)'!L183+"h_l!{%"</f>
        <v>#VALUE!</v>
      </c>
      <c r="DP30" t="e">
        <f>'SurveyRpt_20150223 (1)'!M183+"h_l!{&amp;"</f>
        <v>#VALUE!</v>
      </c>
      <c r="DQ30" t="e">
        <f>'SurveyRpt_20150223 (1)'!N183+"h_l!{'"</f>
        <v>#VALUE!</v>
      </c>
      <c r="DR30" t="e">
        <f>'SurveyRpt_20150223 (1)'!O183+"h_l!{("</f>
        <v>#VALUE!</v>
      </c>
      <c r="DS30" t="e">
        <f>'SurveyRpt_20150223 (1)'!P183+"h_l!{)"</f>
        <v>#VALUE!</v>
      </c>
      <c r="DT30" t="e">
        <f>'SurveyRpt_20150223 (1)'!Q183+"h_l!{."</f>
        <v>#VALUE!</v>
      </c>
      <c r="DU30" t="e">
        <f>'SurveyRpt_20150223 (1)'!R183+"h_l!{/"</f>
        <v>#VALUE!</v>
      </c>
      <c r="DV30" t="e">
        <f>'SurveyRpt_20150223 (1)'!S183+"h_l!{0"</f>
        <v>#VALUE!</v>
      </c>
      <c r="DW30" t="e">
        <f>'SurveyRpt_20150223 (1)'!T183+"h_l!{1"</f>
        <v>#VALUE!</v>
      </c>
      <c r="DX30" t="e">
        <f>'SurveyRpt_20150223 (1)'!U183+"h_l!{2"</f>
        <v>#VALUE!</v>
      </c>
      <c r="DY30" t="e">
        <f>'SurveyRpt_20150223 (1)'!V183+"h_l!{3"</f>
        <v>#VALUE!</v>
      </c>
      <c r="DZ30" t="e">
        <f>'SurveyRpt_20150223 (1)'!W183+"h_l!{4"</f>
        <v>#VALUE!</v>
      </c>
      <c r="EA30" t="e">
        <f>'SurveyRpt_20150223 (1)'!X183+"h_l!{5"</f>
        <v>#VALUE!</v>
      </c>
      <c r="EB30" t="e">
        <f>'SurveyRpt_20150223 (1)'!Y183+"h_l!{6"</f>
        <v>#VALUE!</v>
      </c>
      <c r="EC30" t="e">
        <f>'SurveyRpt_20150223 (1)'!Z183+"h_l!{7"</f>
        <v>#VALUE!</v>
      </c>
      <c r="ED30" t="e">
        <f>'SurveyRpt_20150223 (1)'!AA183+"h_l!{8"</f>
        <v>#VALUE!</v>
      </c>
      <c r="EE30" t="e">
        <f>'SurveyRpt_20150223 (1)'!AB183+"h_l!{9"</f>
        <v>#VALUE!</v>
      </c>
      <c r="EF30" t="e">
        <f>'SurveyRpt_20150223 (1)'!AC183+"h_l!{:"</f>
        <v>#VALUE!</v>
      </c>
      <c r="EG30" t="e">
        <f>'SurveyRpt_20150223 (1)'!AD183+"h_l!{;"</f>
        <v>#VALUE!</v>
      </c>
      <c r="EH30" t="e">
        <f>'SurveyRpt_20150223 (1)'!AE183+"h_l!{&lt;"</f>
        <v>#VALUE!</v>
      </c>
      <c r="EI30" t="e">
        <f>'SurveyRpt_20150223 (1)'!AF183+"h_l!{="</f>
        <v>#VALUE!</v>
      </c>
      <c r="EJ30" t="e">
        <f>'SurveyRpt_20150223 (1)'!AG183+"h_l!{&gt;"</f>
        <v>#VALUE!</v>
      </c>
      <c r="EK30" t="e">
        <f>'SurveyRpt_20150223 (1)'!AH183+"h_l!{?"</f>
        <v>#VALUE!</v>
      </c>
      <c r="EL30" t="e">
        <f>'SurveyRpt_20150223 (1)'!AI183+"h_l!{@"</f>
        <v>#VALUE!</v>
      </c>
      <c r="EM30" t="e">
        <f>'SurveyRpt_20150223 (1)'!AJ183+"h_l!{A"</f>
        <v>#VALUE!</v>
      </c>
      <c r="EN30" t="e">
        <f>'SurveyRpt_20150223 (1)'!AK183+"h_l!{B"</f>
        <v>#VALUE!</v>
      </c>
      <c r="EO30" t="e">
        <f>'SurveyRpt_20150223 (1)'!AL183+"h_l!{C"</f>
        <v>#VALUE!</v>
      </c>
      <c r="EP30" t="e">
        <f>'SurveyRpt_20150223 (1)'!AM183+"h_l!{D"</f>
        <v>#VALUE!</v>
      </c>
      <c r="EQ30" t="e">
        <f>'SurveyRpt_20150223 (1)'!AN183+"h_l!{E"</f>
        <v>#VALUE!</v>
      </c>
      <c r="ER30" t="e">
        <f>'SurveyRpt_20150223 (1)'!A184+"h_l!{F"</f>
        <v>#VALUE!</v>
      </c>
      <c r="ES30" s="25" t="e">
        <f>'SurveyRpt_20150223 (1)'!B184+"h_l!{G"</f>
        <v>#VALUE!</v>
      </c>
      <c r="ET30" t="e">
        <f>'SurveyRpt_20150223 (1)'!C184+"h_l!{H"</f>
        <v>#VALUE!</v>
      </c>
      <c r="EU30" s="25" t="e">
        <f>'SurveyRpt_20150223 (1)'!D184+"h_l!{I"</f>
        <v>#VALUE!</v>
      </c>
      <c r="EV30" t="e">
        <f>'SurveyRpt_20150223 (1)'!E184+"h_l!{J"</f>
        <v>#VALUE!</v>
      </c>
      <c r="EW30" t="e">
        <f>'SurveyRpt_20150223 (1)'!F184+"h_l!{K"</f>
        <v>#VALUE!</v>
      </c>
      <c r="EX30" t="e">
        <f>'SurveyRpt_20150223 (1)'!G184+"h_l!{L"</f>
        <v>#VALUE!</v>
      </c>
      <c r="EY30" t="e">
        <f>'SurveyRpt_20150223 (1)'!H184+"h_l!{M"</f>
        <v>#VALUE!</v>
      </c>
      <c r="EZ30" t="e">
        <f>'SurveyRpt_20150223 (1)'!I184+"h_l!{N"</f>
        <v>#VALUE!</v>
      </c>
      <c r="FA30" t="e">
        <f>'SurveyRpt_20150223 (1)'!J184+"h_l!{O"</f>
        <v>#VALUE!</v>
      </c>
      <c r="FB30" t="e">
        <f>'SurveyRpt_20150223 (1)'!K184+"h_l!{P"</f>
        <v>#VALUE!</v>
      </c>
      <c r="FC30" t="e">
        <f>'SurveyRpt_20150223 (1)'!L184+"h_l!{Q"</f>
        <v>#VALUE!</v>
      </c>
      <c r="FD30" t="e">
        <f>'SurveyRpt_20150223 (1)'!M184+"h_l!{R"</f>
        <v>#VALUE!</v>
      </c>
      <c r="FE30" t="e">
        <f>'SurveyRpt_20150223 (1)'!N184+"h_l!{S"</f>
        <v>#VALUE!</v>
      </c>
      <c r="FF30" t="e">
        <f>'SurveyRpt_20150223 (1)'!O184+"h_l!{T"</f>
        <v>#VALUE!</v>
      </c>
      <c r="FG30" t="e">
        <f>'SurveyRpt_20150223 (1)'!P184+"h_l!{U"</f>
        <v>#VALUE!</v>
      </c>
      <c r="FH30" t="e">
        <f>'SurveyRpt_20150223 (1)'!Q184+"h_l!{V"</f>
        <v>#VALUE!</v>
      </c>
      <c r="FI30" t="e">
        <f>'SurveyRpt_20150223 (1)'!R184+"h_l!{W"</f>
        <v>#VALUE!</v>
      </c>
      <c r="FJ30" t="e">
        <f>'SurveyRpt_20150223 (1)'!S184+"h_l!{X"</f>
        <v>#VALUE!</v>
      </c>
      <c r="FK30" t="e">
        <f>'SurveyRpt_20150223 (1)'!T184+"h_l!{Y"</f>
        <v>#VALUE!</v>
      </c>
      <c r="FL30" t="e">
        <f>'SurveyRpt_20150223 (1)'!U184+"h_l!{Z"</f>
        <v>#VALUE!</v>
      </c>
      <c r="FM30" t="e">
        <f>'SurveyRpt_20150223 (1)'!V184+"h_l!{["</f>
        <v>#VALUE!</v>
      </c>
      <c r="FN30" t="e">
        <f>'SurveyRpt_20150223 (1)'!W184+"h_l!{\"</f>
        <v>#VALUE!</v>
      </c>
      <c r="FO30" t="e">
        <f>'SurveyRpt_20150223 (1)'!X184+"h_l!{]"</f>
        <v>#VALUE!</v>
      </c>
      <c r="FP30" t="e">
        <f>'SurveyRpt_20150223 (1)'!Y184+"h_l!{^"</f>
        <v>#VALUE!</v>
      </c>
      <c r="FQ30" t="e">
        <f>'SurveyRpt_20150223 (1)'!Z184+"h_l!{_"</f>
        <v>#VALUE!</v>
      </c>
      <c r="FR30" t="e">
        <f>'SurveyRpt_20150223 (1)'!AA184+"h_l!{`"</f>
        <v>#VALUE!</v>
      </c>
      <c r="FS30" t="e">
        <f>'SurveyRpt_20150223 (1)'!AB184+"h_l!{a"</f>
        <v>#VALUE!</v>
      </c>
      <c r="FT30" t="e">
        <f>'SurveyRpt_20150223 (1)'!AC184+"h_l!{b"</f>
        <v>#VALUE!</v>
      </c>
      <c r="FU30" t="e">
        <f>'SurveyRpt_20150223 (1)'!AD184+"h_l!{c"</f>
        <v>#VALUE!</v>
      </c>
      <c r="FV30" t="e">
        <f>'SurveyRpt_20150223 (1)'!AE184+"h_l!{d"</f>
        <v>#VALUE!</v>
      </c>
      <c r="FW30" t="e">
        <f>'SurveyRpt_20150223 (1)'!AF184+"h_l!{e"</f>
        <v>#VALUE!</v>
      </c>
      <c r="FX30" t="e">
        <f>'SurveyRpt_20150223 (1)'!AG184+"h_l!{f"</f>
        <v>#VALUE!</v>
      </c>
      <c r="FY30" t="e">
        <f>'SurveyRpt_20150223 (1)'!AH184+"h_l!{g"</f>
        <v>#VALUE!</v>
      </c>
      <c r="FZ30" t="e">
        <f>'SurveyRpt_20150223 (1)'!AI184+"h_l!{h"</f>
        <v>#VALUE!</v>
      </c>
      <c r="GA30" t="e">
        <f>'SurveyRpt_20150223 (1)'!AJ184+"h_l!{i"</f>
        <v>#VALUE!</v>
      </c>
      <c r="GB30" t="e">
        <f>'SurveyRpt_20150223 (1)'!AK184+"h_l!{j"</f>
        <v>#VALUE!</v>
      </c>
      <c r="GC30" t="e">
        <f>'SurveyRpt_20150223 (1)'!AL184+"h_l!{k"</f>
        <v>#VALUE!</v>
      </c>
      <c r="GD30" t="e">
        <f>'SurveyRpt_20150223 (1)'!AM184+"h_l!{l"</f>
        <v>#VALUE!</v>
      </c>
      <c r="GE30" t="e">
        <f>'SurveyRpt_20150223 (1)'!AN184+"h_l!{m"</f>
        <v>#VALUE!</v>
      </c>
      <c r="GF30" t="e">
        <f>'SurveyRpt_20150223 (1)'!A185+"h_l!{n"</f>
        <v>#VALUE!</v>
      </c>
      <c r="GG30" s="25" t="e">
        <f>'SurveyRpt_20150223 (1)'!B185+"h_l!{o"</f>
        <v>#VALUE!</v>
      </c>
      <c r="GH30" t="e">
        <f>'SurveyRpt_20150223 (1)'!C185+"h_l!{p"</f>
        <v>#VALUE!</v>
      </c>
      <c r="GI30" s="25" t="e">
        <f>'SurveyRpt_20150223 (1)'!D185+"h_l!{q"</f>
        <v>#VALUE!</v>
      </c>
      <c r="GJ30" t="e">
        <f>'SurveyRpt_20150223 (1)'!E185+"h_l!{r"</f>
        <v>#VALUE!</v>
      </c>
      <c r="GK30" t="e">
        <f>'SurveyRpt_20150223 (1)'!F185+"h_l!{s"</f>
        <v>#VALUE!</v>
      </c>
      <c r="GL30" t="e">
        <f>'SurveyRpt_20150223 (1)'!G185+"h_l!{t"</f>
        <v>#VALUE!</v>
      </c>
      <c r="GM30" t="e">
        <f>'SurveyRpt_20150223 (1)'!H185+"h_l!{u"</f>
        <v>#VALUE!</v>
      </c>
      <c r="GN30" t="e">
        <f>'SurveyRpt_20150223 (1)'!I185+"h_l!{v"</f>
        <v>#VALUE!</v>
      </c>
      <c r="GO30" t="e">
        <f>'SurveyRpt_20150223 (1)'!J185+"h_l!{w"</f>
        <v>#VALUE!</v>
      </c>
      <c r="GP30" t="e">
        <f>'SurveyRpt_20150223 (1)'!K185+"h_l!{x"</f>
        <v>#VALUE!</v>
      </c>
      <c r="GQ30" t="e">
        <f>'SurveyRpt_20150223 (1)'!L185+"h_l!{y"</f>
        <v>#VALUE!</v>
      </c>
      <c r="GR30" t="e">
        <f>'SurveyRpt_20150223 (1)'!M185+"h_l!{z"</f>
        <v>#VALUE!</v>
      </c>
      <c r="GS30" t="e">
        <f>'SurveyRpt_20150223 (1)'!N185+"h_l!{{"</f>
        <v>#VALUE!</v>
      </c>
      <c r="GT30" t="e">
        <f>'SurveyRpt_20150223 (1)'!O185+"h_l!{|"</f>
        <v>#VALUE!</v>
      </c>
      <c r="GU30" t="e">
        <f>'SurveyRpt_20150223 (1)'!P185+"h_l!{}"</f>
        <v>#VALUE!</v>
      </c>
      <c r="GV30" t="e">
        <f>'SurveyRpt_20150223 (1)'!Q185+"h_l!{~"</f>
        <v>#VALUE!</v>
      </c>
      <c r="GW30" t="e">
        <f>'SurveyRpt_20150223 (1)'!R185+"h_l!|#"</f>
        <v>#VALUE!</v>
      </c>
      <c r="GX30" t="e">
        <f>'SurveyRpt_20150223 (1)'!S185+"h_l!|$"</f>
        <v>#VALUE!</v>
      </c>
      <c r="GY30" t="e">
        <f>'SurveyRpt_20150223 (1)'!T185+"h_l!|%"</f>
        <v>#VALUE!</v>
      </c>
      <c r="GZ30" t="e">
        <f>'SurveyRpt_20150223 (1)'!U185+"h_l!|&amp;"</f>
        <v>#VALUE!</v>
      </c>
      <c r="HA30" t="e">
        <f>'SurveyRpt_20150223 (1)'!V185+"h_l!|'"</f>
        <v>#VALUE!</v>
      </c>
      <c r="HB30" t="e">
        <f>'SurveyRpt_20150223 (1)'!W185+"h_l!|("</f>
        <v>#VALUE!</v>
      </c>
      <c r="HC30" t="e">
        <f>'SurveyRpt_20150223 (1)'!X185+"h_l!|)"</f>
        <v>#VALUE!</v>
      </c>
      <c r="HD30" t="e">
        <f>'SurveyRpt_20150223 (1)'!Y185+"h_l!|."</f>
        <v>#VALUE!</v>
      </c>
      <c r="HE30" t="e">
        <f>'SurveyRpt_20150223 (1)'!Z185+"h_l!|/"</f>
        <v>#VALUE!</v>
      </c>
      <c r="HF30" t="e">
        <f>'SurveyRpt_20150223 (1)'!AA185+"h_l!|0"</f>
        <v>#VALUE!</v>
      </c>
      <c r="HG30" t="e">
        <f>'SurveyRpt_20150223 (1)'!AB185+"h_l!|1"</f>
        <v>#VALUE!</v>
      </c>
      <c r="HH30" t="e">
        <f>'SurveyRpt_20150223 (1)'!AC185+"h_l!|2"</f>
        <v>#VALUE!</v>
      </c>
      <c r="HI30" t="e">
        <f>'SurveyRpt_20150223 (1)'!AD185+"h_l!|3"</f>
        <v>#VALUE!</v>
      </c>
      <c r="HJ30" t="e">
        <f>'SurveyRpt_20150223 (1)'!AE185+"h_l!|4"</f>
        <v>#VALUE!</v>
      </c>
      <c r="HK30" t="e">
        <f>'SurveyRpt_20150223 (1)'!AF185+"h_l!|5"</f>
        <v>#VALUE!</v>
      </c>
      <c r="HL30" t="e">
        <f>'SurveyRpt_20150223 (1)'!AG185+"h_l!|6"</f>
        <v>#VALUE!</v>
      </c>
      <c r="HM30" t="e">
        <f>'SurveyRpt_20150223 (1)'!AH185+"h_l!|7"</f>
        <v>#VALUE!</v>
      </c>
      <c r="HN30" t="e">
        <f>'SurveyRpt_20150223 (1)'!AI185+"h_l!|8"</f>
        <v>#VALUE!</v>
      </c>
      <c r="HO30" t="e">
        <f>'SurveyRpt_20150223 (1)'!AJ185+"h_l!|9"</f>
        <v>#VALUE!</v>
      </c>
      <c r="HP30" t="e">
        <f>'SurveyRpt_20150223 (1)'!AK185+"h_l!|:"</f>
        <v>#VALUE!</v>
      </c>
      <c r="HQ30" t="e">
        <f>'SurveyRpt_20150223 (1)'!AL185+"h_l!|;"</f>
        <v>#VALUE!</v>
      </c>
      <c r="HR30" t="e">
        <f>'SurveyRpt_20150223 (1)'!AM185+"h_l!|&lt;"</f>
        <v>#VALUE!</v>
      </c>
      <c r="HS30" t="e">
        <f>'SurveyRpt_20150223 (1)'!AN185+"h_l!|="</f>
        <v>#VALUE!</v>
      </c>
      <c r="HT30" t="e">
        <f>'SurveyRpt_20150223 (1)'!A186+"h_l!|&gt;"</f>
        <v>#VALUE!</v>
      </c>
      <c r="HU30" s="25" t="e">
        <f>'SurveyRpt_20150223 (1)'!B186+"h_l!|?"</f>
        <v>#VALUE!</v>
      </c>
      <c r="HV30" t="e">
        <f>'SurveyRpt_20150223 (1)'!C186+"h_l!|@"</f>
        <v>#VALUE!</v>
      </c>
      <c r="HW30" s="25" t="e">
        <f>'SurveyRpt_20150223 (1)'!D186+"h_l!|A"</f>
        <v>#VALUE!</v>
      </c>
      <c r="HX30" t="e">
        <f>'SurveyRpt_20150223 (1)'!E186+"h_l!|B"</f>
        <v>#VALUE!</v>
      </c>
      <c r="HY30" t="e">
        <f>'SurveyRpt_20150223 (1)'!F186+"h_l!|C"</f>
        <v>#VALUE!</v>
      </c>
      <c r="HZ30" t="e">
        <f>'SurveyRpt_20150223 (1)'!G186+"h_l!|D"</f>
        <v>#VALUE!</v>
      </c>
      <c r="IA30" t="e">
        <f>'SurveyRpt_20150223 (1)'!H186+"h_l!|E"</f>
        <v>#VALUE!</v>
      </c>
      <c r="IB30" t="e">
        <f>'SurveyRpt_20150223 (1)'!I186+"h_l!|F"</f>
        <v>#VALUE!</v>
      </c>
      <c r="IC30" t="e">
        <f>'SurveyRpt_20150223 (1)'!J186+"h_l!|G"</f>
        <v>#VALUE!</v>
      </c>
      <c r="ID30" t="e">
        <f>'SurveyRpt_20150223 (1)'!K186+"h_l!|H"</f>
        <v>#VALUE!</v>
      </c>
      <c r="IE30" t="e">
        <f>'SurveyRpt_20150223 (1)'!L186+"h_l!|I"</f>
        <v>#VALUE!</v>
      </c>
      <c r="IF30" t="e">
        <f>'SurveyRpt_20150223 (1)'!M186+"h_l!|J"</f>
        <v>#VALUE!</v>
      </c>
      <c r="IG30" t="e">
        <f>'SurveyRpt_20150223 (1)'!N186+"h_l!|K"</f>
        <v>#VALUE!</v>
      </c>
      <c r="IH30" t="e">
        <f>'SurveyRpt_20150223 (1)'!O186+"h_l!|L"</f>
        <v>#VALUE!</v>
      </c>
      <c r="II30" t="e">
        <f>'SurveyRpt_20150223 (1)'!P186+"h_l!|M"</f>
        <v>#VALUE!</v>
      </c>
      <c r="IJ30" t="e">
        <f>'SurveyRpt_20150223 (1)'!Q186+"h_l!|N"</f>
        <v>#VALUE!</v>
      </c>
      <c r="IK30" t="e">
        <f>'SurveyRpt_20150223 (1)'!R186+"h_l!|O"</f>
        <v>#VALUE!</v>
      </c>
      <c r="IL30" t="e">
        <f>'SurveyRpt_20150223 (1)'!S186+"h_l!|P"</f>
        <v>#VALUE!</v>
      </c>
      <c r="IM30" t="e">
        <f>'SurveyRpt_20150223 (1)'!T186+"h_l!|Q"</f>
        <v>#VALUE!</v>
      </c>
      <c r="IN30" t="e">
        <f>'SurveyRpt_20150223 (1)'!U186+"h_l!|R"</f>
        <v>#VALUE!</v>
      </c>
      <c r="IO30" t="e">
        <f>'SurveyRpt_20150223 (1)'!V186+"h_l!|S"</f>
        <v>#VALUE!</v>
      </c>
      <c r="IP30" t="e">
        <f>'SurveyRpt_20150223 (1)'!W186+"h_l!|T"</f>
        <v>#VALUE!</v>
      </c>
      <c r="IQ30" t="e">
        <f>'SurveyRpt_20150223 (1)'!X186+"h_l!|U"</f>
        <v>#VALUE!</v>
      </c>
      <c r="IR30" t="e">
        <f>'SurveyRpt_20150223 (1)'!Y186+"h_l!|V"</f>
        <v>#VALUE!</v>
      </c>
      <c r="IS30" t="e">
        <f>'SurveyRpt_20150223 (1)'!Z186+"h_l!|W"</f>
        <v>#VALUE!</v>
      </c>
      <c r="IT30" t="e">
        <f>'SurveyRpt_20150223 (1)'!AA186+"h_l!|X"</f>
        <v>#VALUE!</v>
      </c>
      <c r="IU30" t="e">
        <f>'SurveyRpt_20150223 (1)'!AB186+"h_l!|Y"</f>
        <v>#VALUE!</v>
      </c>
      <c r="IV30" t="e">
        <f>'SurveyRpt_20150223 (1)'!AC186+"h_l!|Z"</f>
        <v>#VALUE!</v>
      </c>
    </row>
    <row r="31" spans="6:256" x14ac:dyDescent="0.25">
      <c r="F31" t="e">
        <f>'SurveyRpt_20150223 (1)'!AD186+"h_l!|["</f>
        <v>#VALUE!</v>
      </c>
      <c r="G31" t="e">
        <f>'SurveyRpt_20150223 (1)'!AE186+"h_l!|\"</f>
        <v>#VALUE!</v>
      </c>
      <c r="H31" t="e">
        <f>'SurveyRpt_20150223 (1)'!AF186+"h_l!|]"</f>
        <v>#VALUE!</v>
      </c>
      <c r="I31" t="e">
        <f>'SurveyRpt_20150223 (1)'!AG186+"h_l!|^"</f>
        <v>#VALUE!</v>
      </c>
      <c r="J31" t="e">
        <f>'SurveyRpt_20150223 (1)'!AH186+"h_l!|_"</f>
        <v>#VALUE!</v>
      </c>
      <c r="K31" t="e">
        <f>'SurveyRpt_20150223 (1)'!AI186+"h_l!|`"</f>
        <v>#VALUE!</v>
      </c>
      <c r="L31" t="e">
        <f>'SurveyRpt_20150223 (1)'!AJ186+"h_l!|a"</f>
        <v>#VALUE!</v>
      </c>
      <c r="M31" t="e">
        <f>'SurveyRpt_20150223 (1)'!AK186+"h_l!|b"</f>
        <v>#VALUE!</v>
      </c>
      <c r="N31" t="e">
        <f>'SurveyRpt_20150223 (1)'!AL186+"h_l!|c"</f>
        <v>#VALUE!</v>
      </c>
      <c r="O31" t="e">
        <f>'SurveyRpt_20150223 (1)'!AM186+"h_l!|d"</f>
        <v>#VALUE!</v>
      </c>
      <c r="P31" t="e">
        <f>'SurveyRpt_20150223 (1)'!AN186+"h_l!|e"</f>
        <v>#VALUE!</v>
      </c>
      <c r="Q31" t="e">
        <f>'SurveyRpt_20150223 (1)'!A187+"h_l!|f"</f>
        <v>#VALUE!</v>
      </c>
      <c r="R31" s="25" t="e">
        <f>'SurveyRpt_20150223 (1)'!B187+"h_l!|g"</f>
        <v>#VALUE!</v>
      </c>
      <c r="S31" t="e">
        <f>'SurveyRpt_20150223 (1)'!C187+"h_l!|h"</f>
        <v>#VALUE!</v>
      </c>
      <c r="T31" s="25" t="e">
        <f>'SurveyRpt_20150223 (1)'!D187+"h_l!|i"</f>
        <v>#VALUE!</v>
      </c>
      <c r="U31" t="e">
        <f>'SurveyRpt_20150223 (1)'!E187+"h_l!|j"</f>
        <v>#VALUE!</v>
      </c>
      <c r="V31" t="e">
        <f>'SurveyRpt_20150223 (1)'!F187+"h_l!|k"</f>
        <v>#VALUE!</v>
      </c>
      <c r="W31" t="e">
        <f>'SurveyRpt_20150223 (1)'!G187+"h_l!|l"</f>
        <v>#VALUE!</v>
      </c>
      <c r="X31" t="e">
        <f>'SurveyRpt_20150223 (1)'!H187+"h_l!|m"</f>
        <v>#VALUE!</v>
      </c>
      <c r="Y31" t="e">
        <f>'SurveyRpt_20150223 (1)'!I187+"h_l!|n"</f>
        <v>#VALUE!</v>
      </c>
      <c r="Z31" t="e">
        <f>'SurveyRpt_20150223 (1)'!J187+"h_l!|o"</f>
        <v>#VALUE!</v>
      </c>
      <c r="AA31" t="e">
        <f>'SurveyRpt_20150223 (1)'!K187+"h_l!|p"</f>
        <v>#VALUE!</v>
      </c>
      <c r="AB31" t="e">
        <f>'SurveyRpt_20150223 (1)'!L187+"h_l!|q"</f>
        <v>#VALUE!</v>
      </c>
      <c r="AC31" t="e">
        <f>'SurveyRpt_20150223 (1)'!M187+"h_l!|r"</f>
        <v>#VALUE!</v>
      </c>
      <c r="AD31" t="e">
        <f>'SurveyRpt_20150223 (1)'!N187+"h_l!|s"</f>
        <v>#VALUE!</v>
      </c>
      <c r="AE31" t="e">
        <f>'SurveyRpt_20150223 (1)'!O187+"h_l!|t"</f>
        <v>#VALUE!</v>
      </c>
      <c r="AF31" t="e">
        <f>'SurveyRpt_20150223 (1)'!P187+"h_l!|u"</f>
        <v>#VALUE!</v>
      </c>
      <c r="AG31" t="e">
        <f>'SurveyRpt_20150223 (1)'!Q187+"h_l!|v"</f>
        <v>#VALUE!</v>
      </c>
      <c r="AH31" t="e">
        <f>'SurveyRpt_20150223 (1)'!R187+"h_l!|w"</f>
        <v>#VALUE!</v>
      </c>
      <c r="AI31" t="e">
        <f>'SurveyRpt_20150223 (1)'!S187+"h_l!|x"</f>
        <v>#VALUE!</v>
      </c>
      <c r="AJ31" t="e">
        <f>'SurveyRpt_20150223 (1)'!T187+"h_l!|y"</f>
        <v>#VALUE!</v>
      </c>
      <c r="AK31" t="e">
        <f>'SurveyRpt_20150223 (1)'!U187+"h_l!|z"</f>
        <v>#VALUE!</v>
      </c>
      <c r="AL31" t="e">
        <f>'SurveyRpt_20150223 (1)'!V187+"h_l!|{"</f>
        <v>#VALUE!</v>
      </c>
      <c r="AM31" t="e">
        <f>'SurveyRpt_20150223 (1)'!W187+"h_l!||"</f>
        <v>#VALUE!</v>
      </c>
      <c r="AN31" t="e">
        <f>'SurveyRpt_20150223 (1)'!X187+"h_l!|}"</f>
        <v>#VALUE!</v>
      </c>
      <c r="AO31" t="e">
        <f>'SurveyRpt_20150223 (1)'!Y187+"h_l!|~"</f>
        <v>#VALUE!</v>
      </c>
      <c r="AP31" t="e">
        <f>'SurveyRpt_20150223 (1)'!Z187+"h_l!}#"</f>
        <v>#VALUE!</v>
      </c>
      <c r="AQ31" t="e">
        <f>'SurveyRpt_20150223 (1)'!AA187+"h_l!}$"</f>
        <v>#VALUE!</v>
      </c>
      <c r="AR31" t="e">
        <f>'SurveyRpt_20150223 (1)'!AB187+"h_l!}%"</f>
        <v>#VALUE!</v>
      </c>
      <c r="AS31" t="e">
        <f>'SurveyRpt_20150223 (1)'!AC187+"h_l!}&amp;"</f>
        <v>#VALUE!</v>
      </c>
      <c r="AT31" t="e">
        <f>'SurveyRpt_20150223 (1)'!AD187+"h_l!}'"</f>
        <v>#VALUE!</v>
      </c>
      <c r="AU31" t="e">
        <f>'SurveyRpt_20150223 (1)'!AE187+"h_l!}("</f>
        <v>#VALUE!</v>
      </c>
      <c r="AV31" t="e">
        <f>'SurveyRpt_20150223 (1)'!AF187+"h_l!})"</f>
        <v>#VALUE!</v>
      </c>
      <c r="AW31" t="e">
        <f>'SurveyRpt_20150223 (1)'!AG187+"h_l!}."</f>
        <v>#VALUE!</v>
      </c>
      <c r="AX31" t="e">
        <f>'SurveyRpt_20150223 (1)'!AH187+"h_l!}/"</f>
        <v>#VALUE!</v>
      </c>
      <c r="AY31" t="e">
        <f>'SurveyRpt_20150223 (1)'!AI187+"h_l!}0"</f>
        <v>#VALUE!</v>
      </c>
      <c r="AZ31" t="e">
        <f>'SurveyRpt_20150223 (1)'!AJ187+"h_l!}1"</f>
        <v>#VALUE!</v>
      </c>
      <c r="BA31" t="e">
        <f>'SurveyRpt_20150223 (1)'!AK187+"h_l!}2"</f>
        <v>#VALUE!</v>
      </c>
      <c r="BB31" t="e">
        <f>'SurveyRpt_20150223 (1)'!AL187+"h_l!}3"</f>
        <v>#VALUE!</v>
      </c>
      <c r="BC31" t="e">
        <f>'SurveyRpt_20150223 (1)'!AM187+"h_l!}4"</f>
        <v>#VALUE!</v>
      </c>
      <c r="BD31" t="e">
        <f>'SurveyRpt_20150223 (1)'!AN187+"h_l!}5"</f>
        <v>#VALUE!</v>
      </c>
      <c r="BE31" t="e">
        <f>'SurveyRpt_20150223 (1)'!A188+"h_l!}6"</f>
        <v>#VALUE!</v>
      </c>
      <c r="BF31" s="25" t="e">
        <f>'SurveyRpt_20150223 (1)'!B188+"h_l!}7"</f>
        <v>#VALUE!</v>
      </c>
      <c r="BG31" t="e">
        <f>'SurveyRpt_20150223 (1)'!C188+"h_l!}8"</f>
        <v>#VALUE!</v>
      </c>
      <c r="BH31" s="25" t="e">
        <f>'SurveyRpt_20150223 (1)'!D188+"h_l!}9"</f>
        <v>#VALUE!</v>
      </c>
      <c r="BI31" t="e">
        <f>'SurveyRpt_20150223 (1)'!E188+"h_l!}:"</f>
        <v>#VALUE!</v>
      </c>
      <c r="BJ31" t="e">
        <f>'SurveyRpt_20150223 (1)'!F188+"h_l!};"</f>
        <v>#VALUE!</v>
      </c>
      <c r="BK31" t="e">
        <f>'SurveyRpt_20150223 (1)'!G188+"h_l!}&lt;"</f>
        <v>#VALUE!</v>
      </c>
      <c r="BL31" t="e">
        <f>'SurveyRpt_20150223 (1)'!H188+"h_l!}="</f>
        <v>#VALUE!</v>
      </c>
      <c r="BM31" t="e">
        <f>'SurveyRpt_20150223 (1)'!I188+"h_l!}&gt;"</f>
        <v>#VALUE!</v>
      </c>
      <c r="BN31" t="e">
        <f>'SurveyRpt_20150223 (1)'!J188+"h_l!}?"</f>
        <v>#VALUE!</v>
      </c>
      <c r="BO31" t="e">
        <f>'SurveyRpt_20150223 (1)'!K188+"h_l!}@"</f>
        <v>#VALUE!</v>
      </c>
      <c r="BP31" t="e">
        <f>'SurveyRpt_20150223 (1)'!L188+"h_l!}A"</f>
        <v>#VALUE!</v>
      </c>
      <c r="BQ31" t="e">
        <f>'SurveyRpt_20150223 (1)'!M188+"h_l!}B"</f>
        <v>#VALUE!</v>
      </c>
      <c r="BR31" t="e">
        <f>'SurveyRpt_20150223 (1)'!N188+"h_l!}C"</f>
        <v>#VALUE!</v>
      </c>
      <c r="BS31" t="e">
        <f>'SurveyRpt_20150223 (1)'!O188+"h_l!}D"</f>
        <v>#VALUE!</v>
      </c>
      <c r="BT31" t="e">
        <f>'SurveyRpt_20150223 (1)'!P188+"h_l!}E"</f>
        <v>#VALUE!</v>
      </c>
      <c r="BU31" t="e">
        <f>'SurveyRpt_20150223 (1)'!Q188+"h_l!}F"</f>
        <v>#VALUE!</v>
      </c>
      <c r="BV31" t="e">
        <f>'SurveyRpt_20150223 (1)'!R188+"h_l!}G"</f>
        <v>#VALUE!</v>
      </c>
      <c r="BW31" t="e">
        <f>'SurveyRpt_20150223 (1)'!S188+"h_l!}H"</f>
        <v>#VALUE!</v>
      </c>
      <c r="BX31" t="e">
        <f>'SurveyRpt_20150223 (1)'!T188+"h_l!}I"</f>
        <v>#VALUE!</v>
      </c>
      <c r="BY31" t="e">
        <f>'SurveyRpt_20150223 (1)'!U188+"h_l!}J"</f>
        <v>#VALUE!</v>
      </c>
      <c r="BZ31" t="e">
        <f>'SurveyRpt_20150223 (1)'!V188+"h_l!}K"</f>
        <v>#VALUE!</v>
      </c>
      <c r="CA31" t="e">
        <f>'SurveyRpt_20150223 (1)'!W188+"h_l!}L"</f>
        <v>#VALUE!</v>
      </c>
      <c r="CB31" t="e">
        <f>'SurveyRpt_20150223 (1)'!X188+"h_l!}M"</f>
        <v>#VALUE!</v>
      </c>
      <c r="CC31" t="e">
        <f>'SurveyRpt_20150223 (1)'!Y188+"h_l!}N"</f>
        <v>#VALUE!</v>
      </c>
      <c r="CD31" t="e">
        <f>'SurveyRpt_20150223 (1)'!Z188+"h_l!}O"</f>
        <v>#VALUE!</v>
      </c>
      <c r="CE31" t="e">
        <f>'SurveyRpt_20150223 (1)'!AA188+"h_l!}P"</f>
        <v>#VALUE!</v>
      </c>
      <c r="CF31" t="e">
        <f>'SurveyRpt_20150223 (1)'!AB188+"h_l!}Q"</f>
        <v>#VALUE!</v>
      </c>
      <c r="CG31" t="e">
        <f>'SurveyRpt_20150223 (1)'!AC188+"h_l!}R"</f>
        <v>#VALUE!</v>
      </c>
      <c r="CH31" t="e">
        <f>'SurveyRpt_20150223 (1)'!AD188+"h_l!}S"</f>
        <v>#VALUE!</v>
      </c>
      <c r="CI31" t="e">
        <f>'SurveyRpt_20150223 (1)'!AE188+"h_l!}T"</f>
        <v>#VALUE!</v>
      </c>
      <c r="CJ31" t="e">
        <f>'SurveyRpt_20150223 (1)'!AF188+"h_l!}U"</f>
        <v>#VALUE!</v>
      </c>
      <c r="CK31" t="e">
        <f>'SurveyRpt_20150223 (1)'!AG188+"h_l!}V"</f>
        <v>#VALUE!</v>
      </c>
      <c r="CL31" t="e">
        <f>'SurveyRpt_20150223 (1)'!AH188+"h_l!}W"</f>
        <v>#VALUE!</v>
      </c>
      <c r="CM31" t="e">
        <f>'SurveyRpt_20150223 (1)'!AI188+"h_l!}X"</f>
        <v>#VALUE!</v>
      </c>
      <c r="CN31" t="e">
        <f>'SurveyRpt_20150223 (1)'!AJ188+"h_l!}Y"</f>
        <v>#VALUE!</v>
      </c>
      <c r="CO31" t="e">
        <f>'SurveyRpt_20150223 (1)'!AK188+"h_l!}Z"</f>
        <v>#VALUE!</v>
      </c>
      <c r="CP31" t="e">
        <f>'SurveyRpt_20150223 (1)'!AL188+"h_l!}["</f>
        <v>#VALUE!</v>
      </c>
      <c r="CQ31" t="e">
        <f>'SurveyRpt_20150223 (1)'!AM188+"h_l!}\"</f>
        <v>#VALUE!</v>
      </c>
      <c r="CR31" t="e">
        <f>'SurveyRpt_20150223 (1)'!AN188+"h_l!}]"</f>
        <v>#VALUE!</v>
      </c>
      <c r="CS31" t="e">
        <f>'SurveyRpt_20150223 (1)'!A189+"h_l!}^"</f>
        <v>#VALUE!</v>
      </c>
      <c r="CT31" s="25" t="e">
        <f>'SurveyRpt_20150223 (1)'!B189+"h_l!}_"</f>
        <v>#VALUE!</v>
      </c>
      <c r="CU31" t="e">
        <f>'SurveyRpt_20150223 (1)'!C189+"h_l!}`"</f>
        <v>#VALUE!</v>
      </c>
      <c r="CV31" s="25" t="e">
        <f>'SurveyRpt_20150223 (1)'!D189+"h_l!}a"</f>
        <v>#VALUE!</v>
      </c>
      <c r="CW31" t="e">
        <f>'SurveyRpt_20150223 (1)'!E189+"h_l!}b"</f>
        <v>#VALUE!</v>
      </c>
      <c r="CX31" t="e">
        <f>'SurveyRpt_20150223 (1)'!F189+"h_l!}c"</f>
        <v>#VALUE!</v>
      </c>
      <c r="CY31" t="e">
        <f>'SurveyRpt_20150223 (1)'!G189+"h_l!}d"</f>
        <v>#VALUE!</v>
      </c>
      <c r="CZ31" t="e">
        <f>'SurveyRpt_20150223 (1)'!H189+"h_l!}e"</f>
        <v>#VALUE!</v>
      </c>
      <c r="DA31" t="e">
        <f>'SurveyRpt_20150223 (1)'!I189+"h_l!}f"</f>
        <v>#VALUE!</v>
      </c>
      <c r="DB31" t="e">
        <f>'SurveyRpt_20150223 (1)'!J189+"h_l!}g"</f>
        <v>#VALUE!</v>
      </c>
      <c r="DC31" t="e">
        <f>'SurveyRpt_20150223 (1)'!K189+"h_l!}h"</f>
        <v>#VALUE!</v>
      </c>
      <c r="DD31" t="e">
        <f>'SurveyRpt_20150223 (1)'!L189+"h_l!}i"</f>
        <v>#VALUE!</v>
      </c>
      <c r="DE31" t="e">
        <f>'SurveyRpt_20150223 (1)'!M189+"h_l!}j"</f>
        <v>#VALUE!</v>
      </c>
      <c r="DF31" t="e">
        <f>'SurveyRpt_20150223 (1)'!N189+"h_l!}k"</f>
        <v>#VALUE!</v>
      </c>
      <c r="DG31" t="e">
        <f>'SurveyRpt_20150223 (1)'!O189+"h_l!}l"</f>
        <v>#VALUE!</v>
      </c>
      <c r="DH31" t="e">
        <f>'SurveyRpt_20150223 (1)'!P189+"h_l!}m"</f>
        <v>#VALUE!</v>
      </c>
      <c r="DI31" t="e">
        <f>'SurveyRpt_20150223 (1)'!Q189+"h_l!}n"</f>
        <v>#VALUE!</v>
      </c>
      <c r="DJ31" t="e">
        <f>'SurveyRpt_20150223 (1)'!R189+"h_l!}o"</f>
        <v>#VALUE!</v>
      </c>
      <c r="DK31" t="e">
        <f>'SurveyRpt_20150223 (1)'!S189+"h_l!}p"</f>
        <v>#VALUE!</v>
      </c>
      <c r="DL31" t="e">
        <f>'SurveyRpt_20150223 (1)'!T189+"h_l!}q"</f>
        <v>#VALUE!</v>
      </c>
      <c r="DM31" t="e">
        <f>'SurveyRpt_20150223 (1)'!U189+"h_l!}r"</f>
        <v>#VALUE!</v>
      </c>
      <c r="DN31" t="e">
        <f>'SurveyRpt_20150223 (1)'!V189+"h_l!}s"</f>
        <v>#VALUE!</v>
      </c>
      <c r="DO31" t="e">
        <f>'SurveyRpt_20150223 (1)'!W189+"h_l!}t"</f>
        <v>#VALUE!</v>
      </c>
      <c r="DP31" t="e">
        <f>'SurveyRpt_20150223 (1)'!X189+"h_l!}u"</f>
        <v>#VALUE!</v>
      </c>
      <c r="DQ31" t="e">
        <f>'SurveyRpt_20150223 (1)'!Y189+"h_l!}v"</f>
        <v>#VALUE!</v>
      </c>
      <c r="DR31" t="e">
        <f>'SurveyRpt_20150223 (1)'!Z189+"h_l!}w"</f>
        <v>#VALUE!</v>
      </c>
      <c r="DS31" t="e">
        <f>'SurveyRpt_20150223 (1)'!AA189+"h_l!}x"</f>
        <v>#VALUE!</v>
      </c>
      <c r="DT31" t="e">
        <f>'SurveyRpt_20150223 (1)'!AB189+"h_l!}y"</f>
        <v>#VALUE!</v>
      </c>
      <c r="DU31" t="e">
        <f>'SurveyRpt_20150223 (1)'!AC189+"h_l!}z"</f>
        <v>#VALUE!</v>
      </c>
      <c r="DV31" t="e">
        <f>'SurveyRpt_20150223 (1)'!AD189+"h_l!}{"</f>
        <v>#VALUE!</v>
      </c>
      <c r="DW31" t="e">
        <f>'SurveyRpt_20150223 (1)'!AE189+"h_l!}|"</f>
        <v>#VALUE!</v>
      </c>
      <c r="DX31" t="e">
        <f>'SurveyRpt_20150223 (1)'!AF189+"h_l!}}"</f>
        <v>#VALUE!</v>
      </c>
      <c r="DY31" t="e">
        <f>'SurveyRpt_20150223 (1)'!AG189+"h_l!}~"</f>
        <v>#VALUE!</v>
      </c>
      <c r="DZ31" t="e">
        <f>'SurveyRpt_20150223 (1)'!AH189+"h_l!~#"</f>
        <v>#VALUE!</v>
      </c>
      <c r="EA31" t="e">
        <f>'SurveyRpt_20150223 (1)'!AI189+"h_l!~$"</f>
        <v>#VALUE!</v>
      </c>
      <c r="EB31" t="e">
        <f>'SurveyRpt_20150223 (1)'!AJ189+"h_l!~%"</f>
        <v>#VALUE!</v>
      </c>
      <c r="EC31" t="e">
        <f>'SurveyRpt_20150223 (1)'!AK189+"h_l!~&amp;"</f>
        <v>#VALUE!</v>
      </c>
      <c r="ED31" t="e">
        <f>'SurveyRpt_20150223 (1)'!AL189+"h_l!~'"</f>
        <v>#VALUE!</v>
      </c>
      <c r="EE31" t="e">
        <f>'SurveyRpt_20150223 (1)'!AM189+"h_l!~("</f>
        <v>#VALUE!</v>
      </c>
      <c r="EF31" t="e">
        <f>'SurveyRpt_20150223 (1)'!AN189+"h_l!~)"</f>
        <v>#VALUE!</v>
      </c>
      <c r="EG31" t="e">
        <f>'SurveyRpt_20150223 (1)'!A190+"h_l!~."</f>
        <v>#VALUE!</v>
      </c>
      <c r="EH31" s="25" t="e">
        <f>'SurveyRpt_20150223 (1)'!B190+"h_l!~/"</f>
        <v>#VALUE!</v>
      </c>
      <c r="EI31" t="e">
        <f>'SurveyRpt_20150223 (1)'!C190+"h_l!~0"</f>
        <v>#VALUE!</v>
      </c>
      <c r="EJ31" s="25" t="e">
        <f>'SurveyRpt_20150223 (1)'!D190+"h_l!~1"</f>
        <v>#VALUE!</v>
      </c>
      <c r="EK31" t="e">
        <f>'SurveyRpt_20150223 (1)'!E190+"h_l!~2"</f>
        <v>#VALUE!</v>
      </c>
      <c r="EL31" t="e">
        <f>'SurveyRpt_20150223 (1)'!F190+"h_l!~3"</f>
        <v>#VALUE!</v>
      </c>
      <c r="EM31" t="e">
        <f>'SurveyRpt_20150223 (1)'!G190+"h_l!~4"</f>
        <v>#VALUE!</v>
      </c>
      <c r="EN31" t="e">
        <f>'SurveyRpt_20150223 (1)'!H190+"h_l!~5"</f>
        <v>#VALUE!</v>
      </c>
      <c r="EO31" t="e">
        <f>'SurveyRpt_20150223 (1)'!I190+"h_l!~6"</f>
        <v>#VALUE!</v>
      </c>
      <c r="EP31" t="e">
        <f>'SurveyRpt_20150223 (1)'!J190+"h_l!~7"</f>
        <v>#VALUE!</v>
      </c>
      <c r="EQ31" t="e">
        <f>'SurveyRpt_20150223 (1)'!K190+"h_l!~8"</f>
        <v>#VALUE!</v>
      </c>
      <c r="ER31" t="e">
        <f>'SurveyRpt_20150223 (1)'!L190+"h_l!~9"</f>
        <v>#VALUE!</v>
      </c>
      <c r="ES31" t="e">
        <f>'SurveyRpt_20150223 (1)'!M190+"h_l!~:"</f>
        <v>#VALUE!</v>
      </c>
      <c r="ET31" t="e">
        <f>'SurveyRpt_20150223 (1)'!N190+"h_l!~;"</f>
        <v>#VALUE!</v>
      </c>
      <c r="EU31" t="e">
        <f>'SurveyRpt_20150223 (1)'!O190+"h_l!~&lt;"</f>
        <v>#VALUE!</v>
      </c>
      <c r="EV31" t="e">
        <f>'SurveyRpt_20150223 (1)'!P190+"h_l!~="</f>
        <v>#VALUE!</v>
      </c>
      <c r="EW31" t="e">
        <f>'SurveyRpt_20150223 (1)'!Q190+"h_l!~&gt;"</f>
        <v>#VALUE!</v>
      </c>
      <c r="EX31" t="e">
        <f>'SurveyRpt_20150223 (1)'!R190+"h_l!~?"</f>
        <v>#VALUE!</v>
      </c>
      <c r="EY31" t="e">
        <f>'SurveyRpt_20150223 (1)'!S190+"h_l!~@"</f>
        <v>#VALUE!</v>
      </c>
      <c r="EZ31" t="e">
        <f>'SurveyRpt_20150223 (1)'!T190+"h_l!~A"</f>
        <v>#VALUE!</v>
      </c>
      <c r="FA31" t="e">
        <f>'SurveyRpt_20150223 (1)'!U190+"h_l!~B"</f>
        <v>#VALUE!</v>
      </c>
      <c r="FB31" t="e">
        <f>'SurveyRpt_20150223 (1)'!V190+"h_l!~C"</f>
        <v>#VALUE!</v>
      </c>
      <c r="FC31" t="e">
        <f>'SurveyRpt_20150223 (1)'!W190+"h_l!~D"</f>
        <v>#VALUE!</v>
      </c>
      <c r="FD31" t="e">
        <f>'SurveyRpt_20150223 (1)'!X190+"h_l!~E"</f>
        <v>#VALUE!</v>
      </c>
      <c r="FE31" t="e">
        <f>'SurveyRpt_20150223 (1)'!Y190+"h_l!~F"</f>
        <v>#VALUE!</v>
      </c>
      <c r="FF31" t="e">
        <f>'SurveyRpt_20150223 (1)'!Z190+"h_l!~G"</f>
        <v>#VALUE!</v>
      </c>
      <c r="FG31" t="e">
        <f>'SurveyRpt_20150223 (1)'!AA190+"h_l!~H"</f>
        <v>#VALUE!</v>
      </c>
      <c r="FH31" t="e">
        <f>'SurveyRpt_20150223 (1)'!AB190+"h_l!~I"</f>
        <v>#VALUE!</v>
      </c>
      <c r="FI31" t="e">
        <f>'SurveyRpt_20150223 (1)'!AC190+"h_l!~J"</f>
        <v>#VALUE!</v>
      </c>
      <c r="FJ31" t="e">
        <f>'SurveyRpt_20150223 (1)'!AD190+"h_l!~K"</f>
        <v>#VALUE!</v>
      </c>
      <c r="FK31" t="e">
        <f>'SurveyRpt_20150223 (1)'!AE190+"h_l!~L"</f>
        <v>#VALUE!</v>
      </c>
      <c r="FL31" t="e">
        <f>'SurveyRpt_20150223 (1)'!AF190+"h_l!~M"</f>
        <v>#VALUE!</v>
      </c>
      <c r="FM31" t="e">
        <f>'SurveyRpt_20150223 (1)'!AG190+"h_l!~N"</f>
        <v>#VALUE!</v>
      </c>
      <c r="FN31" t="e">
        <f>'SurveyRpt_20150223 (1)'!AH190+"h_l!~O"</f>
        <v>#VALUE!</v>
      </c>
      <c r="FO31" t="e">
        <f>'SurveyRpt_20150223 (1)'!AI190+"h_l!~P"</f>
        <v>#VALUE!</v>
      </c>
      <c r="FP31" t="e">
        <f>'SurveyRpt_20150223 (1)'!AJ190+"h_l!~Q"</f>
        <v>#VALUE!</v>
      </c>
      <c r="FQ31" t="e">
        <f>'SurveyRpt_20150223 (1)'!AK190+"h_l!~R"</f>
        <v>#VALUE!</v>
      </c>
      <c r="FR31" t="e">
        <f>'SurveyRpt_20150223 (1)'!AL190+"h_l!~S"</f>
        <v>#VALUE!</v>
      </c>
      <c r="FS31" t="e">
        <f>'SurveyRpt_20150223 (1)'!AM190+"h_l!~T"</f>
        <v>#VALUE!</v>
      </c>
      <c r="FT31" t="e">
        <f>'SurveyRpt_20150223 (1)'!AN190+"h_l!~U"</f>
        <v>#VALUE!</v>
      </c>
      <c r="FU31" t="e">
        <f>'SurveyRpt_20150223 (1)'!A191+"h_l!~V"</f>
        <v>#VALUE!</v>
      </c>
      <c r="FV31" s="25" t="e">
        <f>'SurveyRpt_20150223 (1)'!B191+"h_l!~W"</f>
        <v>#VALUE!</v>
      </c>
      <c r="FW31" t="e">
        <f>'SurveyRpt_20150223 (1)'!C191+"h_l!~X"</f>
        <v>#VALUE!</v>
      </c>
      <c r="FX31" s="25" t="e">
        <f>'SurveyRpt_20150223 (1)'!D191+"h_l!~Y"</f>
        <v>#VALUE!</v>
      </c>
      <c r="FY31" t="e">
        <f>'SurveyRpt_20150223 (1)'!E191+"h_l!~Z"</f>
        <v>#VALUE!</v>
      </c>
      <c r="FZ31" t="e">
        <f>'SurveyRpt_20150223 (1)'!F191+"h_l!~["</f>
        <v>#VALUE!</v>
      </c>
      <c r="GA31" t="e">
        <f>'SurveyRpt_20150223 (1)'!G191+"h_l!~\"</f>
        <v>#VALUE!</v>
      </c>
      <c r="GB31" t="e">
        <f>'SurveyRpt_20150223 (1)'!H191+"h_l!~]"</f>
        <v>#VALUE!</v>
      </c>
      <c r="GC31" t="e">
        <f>'SurveyRpt_20150223 (1)'!I191+"h_l!~^"</f>
        <v>#VALUE!</v>
      </c>
      <c r="GD31" t="e">
        <f>'SurveyRpt_20150223 (1)'!J191+"h_l!~_"</f>
        <v>#VALUE!</v>
      </c>
      <c r="GE31" t="e">
        <f>'SurveyRpt_20150223 (1)'!K191+"h_l!~`"</f>
        <v>#VALUE!</v>
      </c>
      <c r="GF31" t="e">
        <f>'SurveyRpt_20150223 (1)'!L191+"h_l!~a"</f>
        <v>#VALUE!</v>
      </c>
      <c r="GG31" t="e">
        <f>'SurveyRpt_20150223 (1)'!M191+"h_l!~b"</f>
        <v>#VALUE!</v>
      </c>
      <c r="GH31" t="e">
        <f>'SurveyRpt_20150223 (1)'!N191+"h_l!~c"</f>
        <v>#VALUE!</v>
      </c>
      <c r="GI31" t="e">
        <f>'SurveyRpt_20150223 (1)'!O191+"h_l!~d"</f>
        <v>#VALUE!</v>
      </c>
      <c r="GJ31" t="e">
        <f>'SurveyRpt_20150223 (1)'!P191+"h_l!~e"</f>
        <v>#VALUE!</v>
      </c>
      <c r="GK31" t="e">
        <f>'SurveyRpt_20150223 (1)'!Q191+"h_l!~f"</f>
        <v>#VALUE!</v>
      </c>
      <c r="GL31" t="e">
        <f>'SurveyRpt_20150223 (1)'!R191+"h_l!~g"</f>
        <v>#VALUE!</v>
      </c>
      <c r="GM31" t="e">
        <f>'SurveyRpt_20150223 (1)'!S191+"h_l!~h"</f>
        <v>#VALUE!</v>
      </c>
      <c r="GN31" t="e">
        <f>'SurveyRpt_20150223 (1)'!T191+"h_l!~i"</f>
        <v>#VALUE!</v>
      </c>
      <c r="GO31" t="e">
        <f>'SurveyRpt_20150223 (1)'!U191+"h_l!~j"</f>
        <v>#VALUE!</v>
      </c>
      <c r="GP31" t="e">
        <f>'SurveyRpt_20150223 (1)'!V191+"h_l!~k"</f>
        <v>#VALUE!</v>
      </c>
      <c r="GQ31" t="e">
        <f>'SurveyRpt_20150223 (1)'!W191+"h_l!~l"</f>
        <v>#VALUE!</v>
      </c>
      <c r="GR31" t="e">
        <f>'SurveyRpt_20150223 (1)'!X191+"h_l!~m"</f>
        <v>#VALUE!</v>
      </c>
      <c r="GS31" t="e">
        <f>'SurveyRpt_20150223 (1)'!Y191+"h_l!~n"</f>
        <v>#VALUE!</v>
      </c>
      <c r="GT31" t="e">
        <f>'SurveyRpt_20150223 (1)'!Z191+"h_l!~o"</f>
        <v>#VALUE!</v>
      </c>
      <c r="GU31" t="e">
        <f>'SurveyRpt_20150223 (1)'!AA191+"h_l!~p"</f>
        <v>#VALUE!</v>
      </c>
      <c r="GV31" t="e">
        <f>'SurveyRpt_20150223 (1)'!AB191+"h_l!~q"</f>
        <v>#VALUE!</v>
      </c>
      <c r="GW31" t="e">
        <f>'SurveyRpt_20150223 (1)'!AC191+"h_l!~r"</f>
        <v>#VALUE!</v>
      </c>
      <c r="GX31" t="e">
        <f>'SurveyRpt_20150223 (1)'!AD191+"h_l!~s"</f>
        <v>#VALUE!</v>
      </c>
      <c r="GY31" t="e">
        <f>'SurveyRpt_20150223 (1)'!AE191+"h_l!~t"</f>
        <v>#VALUE!</v>
      </c>
      <c r="GZ31" t="e">
        <f>'SurveyRpt_20150223 (1)'!AF191+"h_l!~u"</f>
        <v>#VALUE!</v>
      </c>
      <c r="HA31" t="e">
        <f>'SurveyRpt_20150223 (1)'!AG191+"h_l!~v"</f>
        <v>#VALUE!</v>
      </c>
      <c r="HB31" t="e">
        <f>'SurveyRpt_20150223 (1)'!AH191+"h_l!~w"</f>
        <v>#VALUE!</v>
      </c>
      <c r="HC31" t="e">
        <f>'SurveyRpt_20150223 (1)'!AI191+"h_l!~x"</f>
        <v>#VALUE!</v>
      </c>
      <c r="HD31" t="e">
        <f>'SurveyRpt_20150223 (1)'!AJ191+"h_l!~y"</f>
        <v>#VALUE!</v>
      </c>
      <c r="HE31" t="e">
        <f>'SurveyRpt_20150223 (1)'!AK191+"h_l!~z"</f>
        <v>#VALUE!</v>
      </c>
      <c r="HF31" t="e">
        <f>'SurveyRpt_20150223 (1)'!AL191+"h_l!~{"</f>
        <v>#VALUE!</v>
      </c>
      <c r="HG31" t="e">
        <f>'SurveyRpt_20150223 (1)'!AM191+"h_l!~|"</f>
        <v>#VALUE!</v>
      </c>
      <c r="HH31" t="e">
        <f>'SurveyRpt_20150223 (1)'!AN191+"h_l!~}"</f>
        <v>#VALUE!</v>
      </c>
      <c r="HI31" t="e">
        <f>'SurveyRpt_20150223 (1)'!A192+"h_l!~~"</f>
        <v>#VALUE!</v>
      </c>
      <c r="HJ31" s="25" t="e">
        <f>'SurveyRpt_20150223 (1)'!B192+"h_l!$##"</f>
        <v>#VALUE!</v>
      </c>
      <c r="HK31" t="e">
        <f>'SurveyRpt_20150223 (1)'!C192+"h_l!$#$"</f>
        <v>#VALUE!</v>
      </c>
      <c r="HL31" s="25" t="e">
        <f>'SurveyRpt_20150223 (1)'!D192+"h_l!$#%"</f>
        <v>#VALUE!</v>
      </c>
      <c r="HM31" t="e">
        <f>'SurveyRpt_20150223 (1)'!E192+"h_l!$#&amp;"</f>
        <v>#VALUE!</v>
      </c>
      <c r="HN31" t="e">
        <f>'SurveyRpt_20150223 (1)'!F192+"h_l!$#'"</f>
        <v>#VALUE!</v>
      </c>
      <c r="HO31" t="e">
        <f>'SurveyRpt_20150223 (1)'!G192+"h_l!$#("</f>
        <v>#VALUE!</v>
      </c>
      <c r="HP31" t="e">
        <f>'SurveyRpt_20150223 (1)'!H192+"h_l!$#)"</f>
        <v>#VALUE!</v>
      </c>
      <c r="HQ31" t="e">
        <f>'SurveyRpt_20150223 (1)'!I192+"h_l!$#."</f>
        <v>#VALUE!</v>
      </c>
      <c r="HR31" t="e">
        <f>'SurveyRpt_20150223 (1)'!J192+"h_l!$#/"</f>
        <v>#VALUE!</v>
      </c>
      <c r="HS31" t="e">
        <f>'SurveyRpt_20150223 (1)'!K192+"h_l!$#0"</f>
        <v>#VALUE!</v>
      </c>
      <c r="HT31" t="e">
        <f>'SurveyRpt_20150223 (1)'!L192+"h_l!$#1"</f>
        <v>#VALUE!</v>
      </c>
      <c r="HU31" t="e">
        <f>'SurveyRpt_20150223 (1)'!M192+"h_l!$#2"</f>
        <v>#VALUE!</v>
      </c>
      <c r="HV31" t="e">
        <f>'SurveyRpt_20150223 (1)'!N192+"h_l!$#3"</f>
        <v>#VALUE!</v>
      </c>
      <c r="HW31" t="e">
        <f>'SurveyRpt_20150223 (1)'!O192+"h_l!$#4"</f>
        <v>#VALUE!</v>
      </c>
      <c r="HX31" t="e">
        <f>'SurveyRpt_20150223 (1)'!P192+"h_l!$#5"</f>
        <v>#VALUE!</v>
      </c>
      <c r="HY31" t="e">
        <f>'SurveyRpt_20150223 (1)'!Q192+"h_l!$#6"</f>
        <v>#VALUE!</v>
      </c>
      <c r="HZ31" t="e">
        <f>'SurveyRpt_20150223 (1)'!R192+"h_l!$#7"</f>
        <v>#VALUE!</v>
      </c>
      <c r="IA31" t="e">
        <f>'SurveyRpt_20150223 (1)'!S192+"h_l!$#8"</f>
        <v>#VALUE!</v>
      </c>
      <c r="IB31" t="e">
        <f>'SurveyRpt_20150223 (1)'!T192+"h_l!$#9"</f>
        <v>#VALUE!</v>
      </c>
      <c r="IC31" t="e">
        <f>'SurveyRpt_20150223 (1)'!U192+"h_l!$#:"</f>
        <v>#VALUE!</v>
      </c>
      <c r="ID31" t="e">
        <f>'SurveyRpt_20150223 (1)'!V192+"h_l!$#;"</f>
        <v>#VALUE!</v>
      </c>
      <c r="IE31" t="e">
        <f>'SurveyRpt_20150223 (1)'!W192+"h_l!$#&lt;"</f>
        <v>#VALUE!</v>
      </c>
      <c r="IF31" t="e">
        <f>'SurveyRpt_20150223 (1)'!X192+"h_l!$#="</f>
        <v>#VALUE!</v>
      </c>
      <c r="IG31" t="e">
        <f>'SurveyRpt_20150223 (1)'!Y192+"h_l!$#&gt;"</f>
        <v>#VALUE!</v>
      </c>
      <c r="IH31" t="e">
        <f>'SurveyRpt_20150223 (1)'!Z192+"h_l!$#?"</f>
        <v>#VALUE!</v>
      </c>
      <c r="II31" t="e">
        <f>'SurveyRpt_20150223 (1)'!AA192+"h_l!$#@"</f>
        <v>#VALUE!</v>
      </c>
      <c r="IJ31" t="e">
        <f>'SurveyRpt_20150223 (1)'!AB192+"h_l!$#A"</f>
        <v>#VALUE!</v>
      </c>
      <c r="IK31" t="e">
        <f>'SurveyRpt_20150223 (1)'!AC192+"h_l!$#B"</f>
        <v>#VALUE!</v>
      </c>
      <c r="IL31" t="e">
        <f>'SurveyRpt_20150223 (1)'!AD192+"h_l!$#C"</f>
        <v>#VALUE!</v>
      </c>
      <c r="IM31" t="e">
        <f>'SurveyRpt_20150223 (1)'!AE192+"h_l!$#D"</f>
        <v>#VALUE!</v>
      </c>
      <c r="IN31" t="e">
        <f>'SurveyRpt_20150223 (1)'!AF192+"h_l!$#E"</f>
        <v>#VALUE!</v>
      </c>
      <c r="IO31" t="e">
        <f>'SurveyRpt_20150223 (1)'!AG192+"h_l!$#F"</f>
        <v>#VALUE!</v>
      </c>
      <c r="IP31" t="e">
        <f>'SurveyRpt_20150223 (1)'!AH192+"h_l!$#G"</f>
        <v>#VALUE!</v>
      </c>
      <c r="IQ31" t="e">
        <f>'SurveyRpt_20150223 (1)'!AI192+"h_l!$#H"</f>
        <v>#VALUE!</v>
      </c>
      <c r="IR31" t="e">
        <f>'SurveyRpt_20150223 (1)'!AJ192+"h_l!$#I"</f>
        <v>#VALUE!</v>
      </c>
      <c r="IS31" t="e">
        <f>'SurveyRpt_20150223 (1)'!AK192+"h_l!$#J"</f>
        <v>#VALUE!</v>
      </c>
      <c r="IT31" t="e">
        <f>'SurveyRpt_20150223 (1)'!AL192+"h_l!$#K"</f>
        <v>#VALUE!</v>
      </c>
      <c r="IU31" t="e">
        <f>'SurveyRpt_20150223 (1)'!AM192+"h_l!$#L"</f>
        <v>#VALUE!</v>
      </c>
      <c r="IV31" t="e">
        <f>'SurveyRpt_20150223 (1)'!AN192+"h_l!$#M"</f>
        <v>#VALUE!</v>
      </c>
    </row>
    <row r="32" spans="6:256" x14ac:dyDescent="0.25">
      <c r="F32" t="e">
        <f>'SurveyRpt_20150223 (1)'!A193+"h_l!$#N"</f>
        <v>#VALUE!</v>
      </c>
      <c r="G32" s="25" t="e">
        <f>'SurveyRpt_20150223 (1)'!B193+"h_l!$#O"</f>
        <v>#VALUE!</v>
      </c>
      <c r="H32" t="e">
        <f>'SurveyRpt_20150223 (1)'!C193+"h_l!$#P"</f>
        <v>#VALUE!</v>
      </c>
      <c r="I32" s="25" t="e">
        <f>'SurveyRpt_20150223 (1)'!D193+"h_l!$#Q"</f>
        <v>#VALUE!</v>
      </c>
      <c r="J32" t="e">
        <f>'SurveyRpt_20150223 (1)'!E193+"h_l!$#R"</f>
        <v>#VALUE!</v>
      </c>
      <c r="K32" t="e">
        <f>'SurveyRpt_20150223 (1)'!F193+"h_l!$#S"</f>
        <v>#VALUE!</v>
      </c>
      <c r="L32" t="e">
        <f>'SurveyRpt_20150223 (1)'!G193+"h_l!$#T"</f>
        <v>#VALUE!</v>
      </c>
      <c r="M32" t="e">
        <f>'SurveyRpt_20150223 (1)'!H193+"h_l!$#U"</f>
        <v>#VALUE!</v>
      </c>
      <c r="N32" t="e">
        <f>'SurveyRpt_20150223 (1)'!I193+"h_l!$#V"</f>
        <v>#VALUE!</v>
      </c>
      <c r="O32" t="e">
        <f>'SurveyRpt_20150223 (1)'!J193+"h_l!$#W"</f>
        <v>#VALUE!</v>
      </c>
      <c r="P32" t="e">
        <f>'SurveyRpt_20150223 (1)'!K193+"h_l!$#X"</f>
        <v>#VALUE!</v>
      </c>
      <c r="Q32" t="e">
        <f>'SurveyRpt_20150223 (1)'!L193+"h_l!$#Y"</f>
        <v>#VALUE!</v>
      </c>
      <c r="R32" t="e">
        <f>'SurveyRpt_20150223 (1)'!M193+"h_l!$#Z"</f>
        <v>#VALUE!</v>
      </c>
      <c r="S32" t="e">
        <f>'SurveyRpt_20150223 (1)'!N193+"h_l!$#["</f>
        <v>#VALUE!</v>
      </c>
      <c r="T32" t="e">
        <f>'SurveyRpt_20150223 (1)'!O193+"h_l!$#\"</f>
        <v>#VALUE!</v>
      </c>
      <c r="U32" t="e">
        <f>'SurveyRpt_20150223 (1)'!P193+"h_l!$#]"</f>
        <v>#VALUE!</v>
      </c>
      <c r="V32" t="e">
        <f>'SurveyRpt_20150223 (1)'!Q193+"h_l!$#^"</f>
        <v>#VALUE!</v>
      </c>
      <c r="W32" t="e">
        <f>'SurveyRpt_20150223 (1)'!R193+"h_l!$#_"</f>
        <v>#VALUE!</v>
      </c>
      <c r="X32" t="e">
        <f>'SurveyRpt_20150223 (1)'!S193+"h_l!$#`"</f>
        <v>#VALUE!</v>
      </c>
      <c r="Y32" t="e">
        <f>'SurveyRpt_20150223 (1)'!T193+"h_l!$#a"</f>
        <v>#VALUE!</v>
      </c>
      <c r="Z32" t="e">
        <f>'SurveyRpt_20150223 (1)'!U193+"h_l!$#b"</f>
        <v>#VALUE!</v>
      </c>
      <c r="AA32" t="e">
        <f>'SurveyRpt_20150223 (1)'!V193+"h_l!$#c"</f>
        <v>#VALUE!</v>
      </c>
      <c r="AB32" t="e">
        <f>'SurveyRpt_20150223 (1)'!W193+"h_l!$#d"</f>
        <v>#VALUE!</v>
      </c>
      <c r="AC32" t="e">
        <f>'SurveyRpt_20150223 (1)'!X193+"h_l!$#e"</f>
        <v>#VALUE!</v>
      </c>
      <c r="AD32" t="e">
        <f>'SurveyRpt_20150223 (1)'!Y193+"h_l!$#f"</f>
        <v>#VALUE!</v>
      </c>
      <c r="AE32" t="e">
        <f>'SurveyRpt_20150223 (1)'!Z193+"h_l!$#g"</f>
        <v>#VALUE!</v>
      </c>
      <c r="AF32" t="e">
        <f>'SurveyRpt_20150223 (1)'!AA193+"h_l!$#h"</f>
        <v>#VALUE!</v>
      </c>
      <c r="AG32" t="e">
        <f>'SurveyRpt_20150223 (1)'!AB193+"h_l!$#i"</f>
        <v>#VALUE!</v>
      </c>
      <c r="AH32" t="e">
        <f>'SurveyRpt_20150223 (1)'!AC193+"h_l!$#j"</f>
        <v>#VALUE!</v>
      </c>
      <c r="AI32" t="e">
        <f>'SurveyRpt_20150223 (1)'!AD193+"h_l!$#k"</f>
        <v>#VALUE!</v>
      </c>
      <c r="AJ32" t="e">
        <f>'SurveyRpt_20150223 (1)'!AE193+"h_l!$#l"</f>
        <v>#VALUE!</v>
      </c>
      <c r="AK32" t="e">
        <f>'SurveyRpt_20150223 (1)'!AF193+"h_l!$#m"</f>
        <v>#VALUE!</v>
      </c>
      <c r="AL32" t="e">
        <f>'SurveyRpt_20150223 (1)'!AG193+"h_l!$#n"</f>
        <v>#VALUE!</v>
      </c>
      <c r="AM32" t="e">
        <f>'SurveyRpt_20150223 (1)'!AH193+"h_l!$#o"</f>
        <v>#VALUE!</v>
      </c>
      <c r="AN32" t="e">
        <f>'SurveyRpt_20150223 (1)'!AI193+"h_l!$#p"</f>
        <v>#VALUE!</v>
      </c>
      <c r="AO32" t="e">
        <f>'SurveyRpt_20150223 (1)'!AJ193+"h_l!$#q"</f>
        <v>#VALUE!</v>
      </c>
      <c r="AP32" t="e">
        <f>'SurveyRpt_20150223 (1)'!AK193+"h_l!$#r"</f>
        <v>#VALUE!</v>
      </c>
      <c r="AQ32" t="e">
        <f>'SurveyRpt_20150223 (1)'!AL193+"h_l!$#s"</f>
        <v>#VALUE!</v>
      </c>
      <c r="AR32" t="e">
        <f>'SurveyRpt_20150223 (1)'!AM193+"h_l!$#t"</f>
        <v>#VALUE!</v>
      </c>
      <c r="AS32" t="e">
        <f>'SurveyRpt_20150223 (1)'!AN193+"h_l!$#u"</f>
        <v>#VALUE!</v>
      </c>
      <c r="AT32" t="e">
        <f>'SurveyRpt_20150223 (1)'!A194+"h_l!$#v"</f>
        <v>#VALUE!</v>
      </c>
      <c r="AU32" s="25" t="e">
        <f>'SurveyRpt_20150223 (1)'!B194+"h_l!$#w"</f>
        <v>#VALUE!</v>
      </c>
      <c r="AV32" t="e">
        <f>'SurveyRpt_20150223 (1)'!C194+"h_l!$#x"</f>
        <v>#VALUE!</v>
      </c>
      <c r="AW32" s="25" t="e">
        <f>'SurveyRpt_20150223 (1)'!D194+"h_l!$#y"</f>
        <v>#VALUE!</v>
      </c>
      <c r="AX32" t="e">
        <f>'SurveyRpt_20150223 (1)'!E194+"h_l!$#z"</f>
        <v>#VALUE!</v>
      </c>
      <c r="AY32" t="e">
        <f>'SurveyRpt_20150223 (1)'!F194+"h_l!$#{"</f>
        <v>#VALUE!</v>
      </c>
      <c r="AZ32" t="e">
        <f>'SurveyRpt_20150223 (1)'!G194+"h_l!$#|"</f>
        <v>#VALUE!</v>
      </c>
      <c r="BA32" t="e">
        <f>'SurveyRpt_20150223 (1)'!H194+"h_l!$#}"</f>
        <v>#VALUE!</v>
      </c>
      <c r="BB32" t="e">
        <f>'SurveyRpt_20150223 (1)'!I194+"h_l!$#~"</f>
        <v>#VALUE!</v>
      </c>
      <c r="BC32" t="e">
        <f>'SurveyRpt_20150223 (1)'!J194+"h_l!$$#"</f>
        <v>#VALUE!</v>
      </c>
      <c r="BD32" t="e">
        <f>'SurveyRpt_20150223 (1)'!K194+"h_l!$$$"</f>
        <v>#VALUE!</v>
      </c>
      <c r="BE32" t="e">
        <f>'SurveyRpt_20150223 (1)'!L194+"h_l!$$%"</f>
        <v>#VALUE!</v>
      </c>
      <c r="BF32" t="e">
        <f>'SurveyRpt_20150223 (1)'!M194+"h_l!$$&amp;"</f>
        <v>#VALUE!</v>
      </c>
      <c r="BG32" t="e">
        <f>'SurveyRpt_20150223 (1)'!N194+"h_l!$$'"</f>
        <v>#VALUE!</v>
      </c>
      <c r="BH32" t="e">
        <f>'SurveyRpt_20150223 (1)'!O194+"h_l!$$("</f>
        <v>#VALUE!</v>
      </c>
      <c r="BI32" t="e">
        <f>'SurveyRpt_20150223 (1)'!P194+"h_l!$$)"</f>
        <v>#VALUE!</v>
      </c>
      <c r="BJ32" t="e">
        <f>'SurveyRpt_20150223 (1)'!Q194+"h_l!$$."</f>
        <v>#VALUE!</v>
      </c>
      <c r="BK32" t="e">
        <f>'SurveyRpt_20150223 (1)'!R194+"h_l!$$/"</f>
        <v>#VALUE!</v>
      </c>
      <c r="BL32" t="e">
        <f>'SurveyRpt_20150223 (1)'!S194+"h_l!$$0"</f>
        <v>#VALUE!</v>
      </c>
      <c r="BM32" t="e">
        <f>'SurveyRpt_20150223 (1)'!T194+"h_l!$$1"</f>
        <v>#VALUE!</v>
      </c>
      <c r="BN32" t="e">
        <f>'SurveyRpt_20150223 (1)'!U194+"h_l!$$2"</f>
        <v>#VALUE!</v>
      </c>
      <c r="BO32" t="e">
        <f>'SurveyRpt_20150223 (1)'!V194+"h_l!$$3"</f>
        <v>#VALUE!</v>
      </c>
      <c r="BP32" t="e">
        <f>'SurveyRpt_20150223 (1)'!W194+"h_l!$$4"</f>
        <v>#VALUE!</v>
      </c>
      <c r="BQ32" t="e">
        <f>'SurveyRpt_20150223 (1)'!X194+"h_l!$$5"</f>
        <v>#VALUE!</v>
      </c>
      <c r="BR32" t="e">
        <f>'SurveyRpt_20150223 (1)'!Y194+"h_l!$$6"</f>
        <v>#VALUE!</v>
      </c>
      <c r="BS32" t="e">
        <f>'SurveyRpt_20150223 (1)'!Z194+"h_l!$$7"</f>
        <v>#VALUE!</v>
      </c>
      <c r="BT32" t="e">
        <f>'SurveyRpt_20150223 (1)'!AA194+"h_l!$$8"</f>
        <v>#VALUE!</v>
      </c>
      <c r="BU32" t="e">
        <f>'SurveyRpt_20150223 (1)'!AB194+"h_l!$$9"</f>
        <v>#VALUE!</v>
      </c>
      <c r="BV32" t="e">
        <f>'SurveyRpt_20150223 (1)'!AC194+"h_l!$$:"</f>
        <v>#VALUE!</v>
      </c>
      <c r="BW32" t="e">
        <f>'SurveyRpt_20150223 (1)'!AD194+"h_l!$$;"</f>
        <v>#VALUE!</v>
      </c>
      <c r="BX32" t="e">
        <f>'SurveyRpt_20150223 (1)'!AE194+"h_l!$$&lt;"</f>
        <v>#VALUE!</v>
      </c>
      <c r="BY32" t="e">
        <f>'SurveyRpt_20150223 (1)'!AF194+"h_l!$$="</f>
        <v>#VALUE!</v>
      </c>
      <c r="BZ32" t="e">
        <f>'SurveyRpt_20150223 (1)'!AG194+"h_l!$$&gt;"</f>
        <v>#VALUE!</v>
      </c>
      <c r="CA32" t="e">
        <f>'SurveyRpt_20150223 (1)'!AH194+"h_l!$$?"</f>
        <v>#VALUE!</v>
      </c>
      <c r="CB32" t="e">
        <f>'SurveyRpt_20150223 (1)'!AI194+"h_l!$$@"</f>
        <v>#VALUE!</v>
      </c>
      <c r="CC32" t="e">
        <f>'SurveyRpt_20150223 (1)'!AJ194+"h_l!$$A"</f>
        <v>#VALUE!</v>
      </c>
      <c r="CD32" t="e">
        <f>'SurveyRpt_20150223 (1)'!AK194+"h_l!$$B"</f>
        <v>#VALUE!</v>
      </c>
      <c r="CE32" t="e">
        <f>'SurveyRpt_20150223 (1)'!AL194+"h_l!$$C"</f>
        <v>#VALUE!</v>
      </c>
      <c r="CF32" t="e">
        <f>'SurveyRpt_20150223 (1)'!AM194+"h_l!$$D"</f>
        <v>#VALUE!</v>
      </c>
      <c r="CG32" t="e">
        <f>'SurveyRpt_20150223 (1)'!AN194+"h_l!$$E"</f>
        <v>#VALUE!</v>
      </c>
      <c r="CH32" t="e">
        <f>'SurveyRpt_20150223 (1)'!A195+"h_l!$$F"</f>
        <v>#VALUE!</v>
      </c>
      <c r="CI32" s="25" t="e">
        <f>'SurveyRpt_20150223 (1)'!B195+"h_l!$$G"</f>
        <v>#VALUE!</v>
      </c>
      <c r="CJ32" t="e">
        <f>'SurveyRpt_20150223 (1)'!C195+"h_l!$$H"</f>
        <v>#VALUE!</v>
      </c>
      <c r="CK32" s="25" t="e">
        <f>'SurveyRpt_20150223 (1)'!D195+"h_l!$$I"</f>
        <v>#VALUE!</v>
      </c>
      <c r="CL32" t="e">
        <f>'SurveyRpt_20150223 (1)'!E195+"h_l!$$J"</f>
        <v>#VALUE!</v>
      </c>
      <c r="CM32" t="e">
        <f>'SurveyRpt_20150223 (1)'!F195+"h_l!$$K"</f>
        <v>#VALUE!</v>
      </c>
      <c r="CN32" t="e">
        <f>'SurveyRpt_20150223 (1)'!G195+"h_l!$$L"</f>
        <v>#VALUE!</v>
      </c>
      <c r="CO32" t="e">
        <f>'SurveyRpt_20150223 (1)'!H195+"h_l!$$M"</f>
        <v>#VALUE!</v>
      </c>
      <c r="CP32" t="e">
        <f>'SurveyRpt_20150223 (1)'!I195+"h_l!$$N"</f>
        <v>#VALUE!</v>
      </c>
      <c r="CQ32" t="e">
        <f>'SurveyRpt_20150223 (1)'!J195+"h_l!$$O"</f>
        <v>#VALUE!</v>
      </c>
      <c r="CR32" t="e">
        <f>'SurveyRpt_20150223 (1)'!K195+"h_l!$$P"</f>
        <v>#VALUE!</v>
      </c>
      <c r="CS32" t="e">
        <f>'SurveyRpt_20150223 (1)'!L195+"h_l!$$Q"</f>
        <v>#VALUE!</v>
      </c>
      <c r="CT32" t="e">
        <f>'SurveyRpt_20150223 (1)'!M195+"h_l!$$R"</f>
        <v>#VALUE!</v>
      </c>
      <c r="CU32" t="e">
        <f>'SurveyRpt_20150223 (1)'!N195+"h_l!$$S"</f>
        <v>#VALUE!</v>
      </c>
      <c r="CV32" t="e">
        <f>'SurveyRpt_20150223 (1)'!O195+"h_l!$$T"</f>
        <v>#VALUE!</v>
      </c>
      <c r="CW32" t="e">
        <f>'SurveyRpt_20150223 (1)'!P195+"h_l!$$U"</f>
        <v>#VALUE!</v>
      </c>
      <c r="CX32" t="e">
        <f>'SurveyRpt_20150223 (1)'!Q195+"h_l!$$V"</f>
        <v>#VALUE!</v>
      </c>
      <c r="CY32" t="e">
        <f>'SurveyRpt_20150223 (1)'!R195+"h_l!$$W"</f>
        <v>#VALUE!</v>
      </c>
      <c r="CZ32" t="e">
        <f>'SurveyRpt_20150223 (1)'!S195+"h_l!$$X"</f>
        <v>#VALUE!</v>
      </c>
      <c r="DA32" t="e">
        <f>'SurveyRpt_20150223 (1)'!T195+"h_l!$$Y"</f>
        <v>#VALUE!</v>
      </c>
      <c r="DB32" t="e">
        <f>'SurveyRpt_20150223 (1)'!U195+"h_l!$$Z"</f>
        <v>#VALUE!</v>
      </c>
      <c r="DC32" t="e">
        <f>'SurveyRpt_20150223 (1)'!V195+"h_l!$$["</f>
        <v>#VALUE!</v>
      </c>
      <c r="DD32" t="e">
        <f>'SurveyRpt_20150223 (1)'!W195+"h_l!$$\"</f>
        <v>#VALUE!</v>
      </c>
      <c r="DE32" t="e">
        <f>'SurveyRpt_20150223 (1)'!X195+"h_l!$$]"</f>
        <v>#VALUE!</v>
      </c>
      <c r="DF32" t="e">
        <f>'SurveyRpt_20150223 (1)'!Y195+"h_l!$$^"</f>
        <v>#VALUE!</v>
      </c>
      <c r="DG32" t="e">
        <f>'SurveyRpt_20150223 (1)'!Z195+"h_l!$$_"</f>
        <v>#VALUE!</v>
      </c>
      <c r="DH32" t="e">
        <f>'SurveyRpt_20150223 (1)'!AA195+"h_l!$$`"</f>
        <v>#VALUE!</v>
      </c>
      <c r="DI32" t="e">
        <f>'SurveyRpt_20150223 (1)'!AB195+"h_l!$$a"</f>
        <v>#VALUE!</v>
      </c>
      <c r="DJ32" t="e">
        <f>'SurveyRpt_20150223 (1)'!AC195+"h_l!$$b"</f>
        <v>#VALUE!</v>
      </c>
      <c r="DK32" t="e">
        <f>'SurveyRpt_20150223 (1)'!AD195+"h_l!$$c"</f>
        <v>#VALUE!</v>
      </c>
      <c r="DL32" t="e">
        <f>'SurveyRpt_20150223 (1)'!AE195+"h_l!$$d"</f>
        <v>#VALUE!</v>
      </c>
      <c r="DM32" t="e">
        <f>'SurveyRpt_20150223 (1)'!AF195+"h_l!$$e"</f>
        <v>#VALUE!</v>
      </c>
      <c r="DN32" t="e">
        <f>'SurveyRpt_20150223 (1)'!AG195+"h_l!$$f"</f>
        <v>#VALUE!</v>
      </c>
      <c r="DO32" t="e">
        <f>'SurveyRpt_20150223 (1)'!AH195+"h_l!$$g"</f>
        <v>#VALUE!</v>
      </c>
      <c r="DP32" t="e">
        <f>'SurveyRpt_20150223 (1)'!AI195+"h_l!$$h"</f>
        <v>#VALUE!</v>
      </c>
      <c r="DQ32" t="e">
        <f>'SurveyRpt_20150223 (1)'!AJ195+"h_l!$$i"</f>
        <v>#VALUE!</v>
      </c>
      <c r="DR32" t="e">
        <f>'SurveyRpt_20150223 (1)'!AK195+"h_l!$$j"</f>
        <v>#VALUE!</v>
      </c>
      <c r="DS32" t="e">
        <f>'SurveyRpt_20150223 (1)'!AL195+"h_l!$$k"</f>
        <v>#VALUE!</v>
      </c>
      <c r="DT32" t="e">
        <f>'SurveyRpt_20150223 (1)'!AM195+"h_l!$$l"</f>
        <v>#VALUE!</v>
      </c>
      <c r="DU32" t="e">
        <f>'SurveyRpt_20150223 (1)'!AN195+"h_l!$$m"</f>
        <v>#VALUE!</v>
      </c>
      <c r="DV32" t="e">
        <f>'SurveyRpt_20150223 (1)'!A196+"h_l!$$n"</f>
        <v>#VALUE!</v>
      </c>
      <c r="DW32" s="25" t="e">
        <f>'SurveyRpt_20150223 (1)'!B196+"h_l!$$o"</f>
        <v>#VALUE!</v>
      </c>
      <c r="DX32" t="e">
        <f>'SurveyRpt_20150223 (1)'!C196+"h_l!$$p"</f>
        <v>#VALUE!</v>
      </c>
      <c r="DY32" s="25" t="e">
        <f>'SurveyRpt_20150223 (1)'!D196+"h_l!$$q"</f>
        <v>#VALUE!</v>
      </c>
      <c r="DZ32" t="e">
        <f>'SurveyRpt_20150223 (1)'!E196+"h_l!$$r"</f>
        <v>#VALUE!</v>
      </c>
      <c r="EA32" t="e">
        <f>'SurveyRpt_20150223 (1)'!F196+"h_l!$$s"</f>
        <v>#VALUE!</v>
      </c>
      <c r="EB32" t="e">
        <f>'SurveyRpt_20150223 (1)'!G196+"h_l!$$t"</f>
        <v>#VALUE!</v>
      </c>
      <c r="EC32" t="e">
        <f>'SurveyRpt_20150223 (1)'!H196+"h_l!$$u"</f>
        <v>#VALUE!</v>
      </c>
      <c r="ED32" t="e">
        <f>'SurveyRpt_20150223 (1)'!I196+"h_l!$$v"</f>
        <v>#VALUE!</v>
      </c>
      <c r="EE32" t="e">
        <f>'SurveyRpt_20150223 (1)'!J196+"h_l!$$w"</f>
        <v>#VALUE!</v>
      </c>
      <c r="EF32" t="e">
        <f>'SurveyRpt_20150223 (1)'!K196+"h_l!$$x"</f>
        <v>#VALUE!</v>
      </c>
      <c r="EG32" t="e">
        <f>'SurveyRpt_20150223 (1)'!L196+"h_l!$$y"</f>
        <v>#VALUE!</v>
      </c>
      <c r="EH32" t="e">
        <f>'SurveyRpt_20150223 (1)'!M196+"h_l!$$z"</f>
        <v>#VALUE!</v>
      </c>
      <c r="EI32" t="e">
        <f>'SurveyRpt_20150223 (1)'!N196+"h_l!$${"</f>
        <v>#VALUE!</v>
      </c>
      <c r="EJ32" t="e">
        <f>'SurveyRpt_20150223 (1)'!O196+"h_l!$$|"</f>
        <v>#VALUE!</v>
      </c>
      <c r="EK32" t="e">
        <f>'SurveyRpt_20150223 (1)'!P196+"h_l!$$}"</f>
        <v>#VALUE!</v>
      </c>
      <c r="EL32" t="e">
        <f>'SurveyRpt_20150223 (1)'!Q196+"h_l!$$~"</f>
        <v>#VALUE!</v>
      </c>
      <c r="EM32" t="e">
        <f>'SurveyRpt_20150223 (1)'!R196+"h_l!$%#"</f>
        <v>#VALUE!</v>
      </c>
      <c r="EN32" t="e">
        <f>'SurveyRpt_20150223 (1)'!S196+"h_l!$%$"</f>
        <v>#VALUE!</v>
      </c>
      <c r="EO32" t="e">
        <f>'SurveyRpt_20150223 (1)'!T196+"h_l!$%%"</f>
        <v>#VALUE!</v>
      </c>
      <c r="EP32" t="e">
        <f>'SurveyRpt_20150223 (1)'!U196+"h_l!$%&amp;"</f>
        <v>#VALUE!</v>
      </c>
      <c r="EQ32" t="e">
        <f>'SurveyRpt_20150223 (1)'!V196+"h_l!$%'"</f>
        <v>#VALUE!</v>
      </c>
      <c r="ER32" t="e">
        <f>'SurveyRpt_20150223 (1)'!W196+"h_l!$%("</f>
        <v>#VALUE!</v>
      </c>
      <c r="ES32" t="e">
        <f>'SurveyRpt_20150223 (1)'!X196+"h_l!$%)"</f>
        <v>#VALUE!</v>
      </c>
      <c r="ET32" t="e">
        <f>'SurveyRpt_20150223 (1)'!Y196+"h_l!$%."</f>
        <v>#VALUE!</v>
      </c>
      <c r="EU32" t="e">
        <f>'SurveyRpt_20150223 (1)'!Z196+"h_l!$%/"</f>
        <v>#VALUE!</v>
      </c>
      <c r="EV32" t="e">
        <f>'SurveyRpt_20150223 (1)'!AA196+"h_l!$%0"</f>
        <v>#VALUE!</v>
      </c>
      <c r="EW32" t="e">
        <f>'SurveyRpt_20150223 (1)'!AB196+"h_l!$%1"</f>
        <v>#VALUE!</v>
      </c>
      <c r="EX32" t="e">
        <f>'SurveyRpt_20150223 (1)'!AC196+"h_l!$%2"</f>
        <v>#VALUE!</v>
      </c>
      <c r="EY32" t="e">
        <f>'SurveyRpt_20150223 (1)'!AD196+"h_l!$%3"</f>
        <v>#VALUE!</v>
      </c>
      <c r="EZ32" t="e">
        <f>'SurveyRpt_20150223 (1)'!AE196+"h_l!$%4"</f>
        <v>#VALUE!</v>
      </c>
      <c r="FA32" t="e">
        <f>'SurveyRpt_20150223 (1)'!AF196+"h_l!$%5"</f>
        <v>#VALUE!</v>
      </c>
      <c r="FB32" t="e">
        <f>'SurveyRpt_20150223 (1)'!AG196+"h_l!$%6"</f>
        <v>#VALUE!</v>
      </c>
      <c r="FC32" t="e">
        <f>'SurveyRpt_20150223 (1)'!AH196+"h_l!$%7"</f>
        <v>#VALUE!</v>
      </c>
      <c r="FD32" t="e">
        <f>'SurveyRpt_20150223 (1)'!AI196+"h_l!$%8"</f>
        <v>#VALUE!</v>
      </c>
      <c r="FE32" t="e">
        <f>'SurveyRpt_20150223 (1)'!AJ196+"h_l!$%9"</f>
        <v>#VALUE!</v>
      </c>
      <c r="FF32" t="e">
        <f>'SurveyRpt_20150223 (1)'!AK196+"h_l!$%:"</f>
        <v>#VALUE!</v>
      </c>
      <c r="FG32" t="e">
        <f>'SurveyRpt_20150223 (1)'!AL196+"h_l!$%;"</f>
        <v>#VALUE!</v>
      </c>
      <c r="FH32" t="e">
        <f>'SurveyRpt_20150223 (1)'!AM196+"h_l!$%&lt;"</f>
        <v>#VALUE!</v>
      </c>
      <c r="FI32" t="e">
        <f>'SurveyRpt_20150223 (1)'!AN196+"h_l!$%="</f>
        <v>#VALUE!</v>
      </c>
      <c r="FJ32" t="e">
        <f>'SurveyRpt_20150223 (1)'!A197+"h_l!$%&gt;"</f>
        <v>#VALUE!</v>
      </c>
      <c r="FK32" s="25" t="e">
        <f>'SurveyRpt_20150223 (1)'!B197+"h_l!$%?"</f>
        <v>#VALUE!</v>
      </c>
      <c r="FL32" t="e">
        <f>'SurveyRpt_20150223 (1)'!C197+"h_l!$%@"</f>
        <v>#VALUE!</v>
      </c>
      <c r="FM32" s="25" t="e">
        <f>'SurveyRpt_20150223 (1)'!D197+"h_l!$%A"</f>
        <v>#VALUE!</v>
      </c>
      <c r="FN32" t="e">
        <f>'SurveyRpt_20150223 (1)'!E197+"h_l!$%B"</f>
        <v>#VALUE!</v>
      </c>
      <c r="FO32" t="e">
        <f>'SurveyRpt_20150223 (1)'!F197+"h_l!$%C"</f>
        <v>#VALUE!</v>
      </c>
      <c r="FP32" t="e">
        <f>'SurveyRpt_20150223 (1)'!G197+"h_l!$%D"</f>
        <v>#VALUE!</v>
      </c>
      <c r="FQ32" t="e">
        <f>'SurveyRpt_20150223 (1)'!H197+"h_l!$%E"</f>
        <v>#VALUE!</v>
      </c>
      <c r="FR32" t="e">
        <f>'SurveyRpt_20150223 (1)'!I197+"h_l!$%F"</f>
        <v>#VALUE!</v>
      </c>
      <c r="FS32" t="e">
        <f>'SurveyRpt_20150223 (1)'!J197+"h_l!$%G"</f>
        <v>#VALUE!</v>
      </c>
      <c r="FT32" t="e">
        <f>'SurveyRpt_20150223 (1)'!K197+"h_l!$%H"</f>
        <v>#VALUE!</v>
      </c>
      <c r="FU32" t="e">
        <f>'SurveyRpt_20150223 (1)'!L197+"h_l!$%I"</f>
        <v>#VALUE!</v>
      </c>
      <c r="FV32" t="e">
        <f>'SurveyRpt_20150223 (1)'!M197+"h_l!$%J"</f>
        <v>#VALUE!</v>
      </c>
      <c r="FW32" t="e">
        <f>'SurveyRpt_20150223 (1)'!N197+"h_l!$%K"</f>
        <v>#VALUE!</v>
      </c>
      <c r="FX32" t="e">
        <f>'SurveyRpt_20150223 (1)'!O197+"h_l!$%L"</f>
        <v>#VALUE!</v>
      </c>
      <c r="FY32" t="e">
        <f>'SurveyRpt_20150223 (1)'!P197+"h_l!$%M"</f>
        <v>#VALUE!</v>
      </c>
      <c r="FZ32" t="e">
        <f>'SurveyRpt_20150223 (1)'!Q197+"h_l!$%N"</f>
        <v>#VALUE!</v>
      </c>
      <c r="GA32" t="e">
        <f>'SurveyRpt_20150223 (1)'!R197+"h_l!$%O"</f>
        <v>#VALUE!</v>
      </c>
      <c r="GB32" t="e">
        <f>'SurveyRpt_20150223 (1)'!S197+"h_l!$%P"</f>
        <v>#VALUE!</v>
      </c>
      <c r="GC32" t="e">
        <f>'SurveyRpt_20150223 (1)'!T197+"h_l!$%Q"</f>
        <v>#VALUE!</v>
      </c>
      <c r="GD32" t="e">
        <f>'SurveyRpt_20150223 (1)'!U197+"h_l!$%R"</f>
        <v>#VALUE!</v>
      </c>
      <c r="GE32" t="e">
        <f>'SurveyRpt_20150223 (1)'!V197+"h_l!$%S"</f>
        <v>#VALUE!</v>
      </c>
      <c r="GF32" t="e">
        <f>'SurveyRpt_20150223 (1)'!W197+"h_l!$%T"</f>
        <v>#VALUE!</v>
      </c>
      <c r="GG32" t="e">
        <f>'SurveyRpt_20150223 (1)'!X197+"h_l!$%U"</f>
        <v>#VALUE!</v>
      </c>
      <c r="GH32" t="e">
        <f>'SurveyRpt_20150223 (1)'!Y197+"h_l!$%V"</f>
        <v>#VALUE!</v>
      </c>
      <c r="GI32" t="e">
        <f>'SurveyRpt_20150223 (1)'!Z197+"h_l!$%W"</f>
        <v>#VALUE!</v>
      </c>
      <c r="GJ32" t="e">
        <f>'SurveyRpt_20150223 (1)'!AA197+"h_l!$%X"</f>
        <v>#VALUE!</v>
      </c>
      <c r="GK32" t="e">
        <f>'SurveyRpt_20150223 (1)'!AB197+"h_l!$%Y"</f>
        <v>#VALUE!</v>
      </c>
      <c r="GL32" t="e">
        <f>'SurveyRpt_20150223 (1)'!AC197+"h_l!$%Z"</f>
        <v>#VALUE!</v>
      </c>
      <c r="GM32" t="e">
        <f>'SurveyRpt_20150223 (1)'!AD197+"h_l!$%["</f>
        <v>#VALUE!</v>
      </c>
      <c r="GN32" t="e">
        <f>'SurveyRpt_20150223 (1)'!AE197+"h_l!$%\"</f>
        <v>#VALUE!</v>
      </c>
      <c r="GO32" t="e">
        <f>'SurveyRpt_20150223 (1)'!AF197+"h_l!$%]"</f>
        <v>#VALUE!</v>
      </c>
      <c r="GP32" t="e">
        <f>'SurveyRpt_20150223 (1)'!AG197+"h_l!$%^"</f>
        <v>#VALUE!</v>
      </c>
      <c r="GQ32" t="e">
        <f>'SurveyRpt_20150223 (1)'!AH197+"h_l!$%_"</f>
        <v>#VALUE!</v>
      </c>
      <c r="GR32" t="e">
        <f>'SurveyRpt_20150223 (1)'!AI197+"h_l!$%`"</f>
        <v>#VALUE!</v>
      </c>
      <c r="GS32" t="e">
        <f>'SurveyRpt_20150223 (1)'!AJ197+"h_l!$%a"</f>
        <v>#VALUE!</v>
      </c>
      <c r="GT32" t="e">
        <f>'SurveyRpt_20150223 (1)'!AK197+"h_l!$%b"</f>
        <v>#VALUE!</v>
      </c>
      <c r="GU32" t="e">
        <f>'SurveyRpt_20150223 (1)'!AL197+"h_l!$%c"</f>
        <v>#VALUE!</v>
      </c>
      <c r="GV32" t="e">
        <f>'SurveyRpt_20150223 (1)'!AM197+"h_l!$%d"</f>
        <v>#VALUE!</v>
      </c>
      <c r="GW32" t="e">
        <f>'SurveyRpt_20150223 (1)'!AN197+"h_l!$%e"</f>
        <v>#VALUE!</v>
      </c>
      <c r="GX32" t="e">
        <f>'SurveyRpt_20150223 (1)'!A198+"h_l!$%f"</f>
        <v>#VALUE!</v>
      </c>
      <c r="GY32" s="25" t="e">
        <f>'SurveyRpt_20150223 (1)'!B198+"h_l!$%g"</f>
        <v>#VALUE!</v>
      </c>
      <c r="GZ32" t="e">
        <f>'SurveyRpt_20150223 (1)'!C198+"h_l!$%h"</f>
        <v>#VALUE!</v>
      </c>
      <c r="HA32" s="25" t="e">
        <f>'SurveyRpt_20150223 (1)'!D198+"h_l!$%i"</f>
        <v>#VALUE!</v>
      </c>
      <c r="HB32" t="e">
        <f>'SurveyRpt_20150223 (1)'!E198+"h_l!$%j"</f>
        <v>#VALUE!</v>
      </c>
      <c r="HC32" t="e">
        <f>'SurveyRpt_20150223 (1)'!F198+"h_l!$%k"</f>
        <v>#VALUE!</v>
      </c>
      <c r="HD32" t="e">
        <f>'SurveyRpt_20150223 (1)'!G198+"h_l!$%l"</f>
        <v>#VALUE!</v>
      </c>
      <c r="HE32" t="e">
        <f>'SurveyRpt_20150223 (1)'!H198+"h_l!$%m"</f>
        <v>#VALUE!</v>
      </c>
      <c r="HF32" t="e">
        <f>'SurveyRpt_20150223 (1)'!I198+"h_l!$%n"</f>
        <v>#VALUE!</v>
      </c>
      <c r="HG32" t="e">
        <f>'SurveyRpt_20150223 (1)'!J198+"h_l!$%o"</f>
        <v>#VALUE!</v>
      </c>
      <c r="HH32" t="e">
        <f>'SurveyRpt_20150223 (1)'!K198+"h_l!$%p"</f>
        <v>#VALUE!</v>
      </c>
      <c r="HI32" t="e">
        <f>'SurveyRpt_20150223 (1)'!L198+"h_l!$%q"</f>
        <v>#VALUE!</v>
      </c>
      <c r="HJ32" t="e">
        <f>'SurveyRpt_20150223 (1)'!M198+"h_l!$%r"</f>
        <v>#VALUE!</v>
      </c>
      <c r="HK32" t="e">
        <f>'SurveyRpt_20150223 (1)'!N198+"h_l!$%s"</f>
        <v>#VALUE!</v>
      </c>
      <c r="HL32" t="e">
        <f>'SurveyRpt_20150223 (1)'!O198+"h_l!$%t"</f>
        <v>#VALUE!</v>
      </c>
      <c r="HM32" t="e">
        <f>'SurveyRpt_20150223 (1)'!P198+"h_l!$%u"</f>
        <v>#VALUE!</v>
      </c>
      <c r="HN32" t="e">
        <f>'SurveyRpt_20150223 (1)'!Q198+"h_l!$%v"</f>
        <v>#VALUE!</v>
      </c>
      <c r="HO32" t="e">
        <f>'SurveyRpt_20150223 (1)'!R198+"h_l!$%w"</f>
        <v>#VALUE!</v>
      </c>
      <c r="HP32" t="e">
        <f>'SurveyRpt_20150223 (1)'!S198+"h_l!$%x"</f>
        <v>#VALUE!</v>
      </c>
      <c r="HQ32" t="e">
        <f>'SurveyRpt_20150223 (1)'!T198+"h_l!$%y"</f>
        <v>#VALUE!</v>
      </c>
      <c r="HR32" t="e">
        <f>'SurveyRpt_20150223 (1)'!U198+"h_l!$%z"</f>
        <v>#VALUE!</v>
      </c>
      <c r="HS32" t="e">
        <f>'SurveyRpt_20150223 (1)'!V198+"h_l!$%{"</f>
        <v>#VALUE!</v>
      </c>
      <c r="HT32" t="e">
        <f>'SurveyRpt_20150223 (1)'!W198+"h_l!$%|"</f>
        <v>#VALUE!</v>
      </c>
      <c r="HU32" t="e">
        <f>'SurveyRpt_20150223 (1)'!X198+"h_l!$%}"</f>
        <v>#VALUE!</v>
      </c>
      <c r="HV32" t="e">
        <f>'SurveyRpt_20150223 (1)'!Y198+"h_l!$%~"</f>
        <v>#VALUE!</v>
      </c>
      <c r="HW32" t="e">
        <f>'SurveyRpt_20150223 (1)'!Z198+"h_l!$&amp;#"</f>
        <v>#VALUE!</v>
      </c>
      <c r="HX32" t="e">
        <f>'SurveyRpt_20150223 (1)'!AA198+"h_l!$&amp;$"</f>
        <v>#VALUE!</v>
      </c>
      <c r="HY32" t="e">
        <f>'SurveyRpt_20150223 (1)'!AB198+"h_l!$&amp;%"</f>
        <v>#VALUE!</v>
      </c>
      <c r="HZ32" t="e">
        <f>'SurveyRpt_20150223 (1)'!AC198+"h_l!$&amp;&amp;"</f>
        <v>#VALUE!</v>
      </c>
      <c r="IA32" t="e">
        <f>'SurveyRpt_20150223 (1)'!AD198+"h_l!$&amp;'"</f>
        <v>#VALUE!</v>
      </c>
      <c r="IB32" t="e">
        <f>'SurveyRpt_20150223 (1)'!AE198+"h_l!$&amp;("</f>
        <v>#VALUE!</v>
      </c>
      <c r="IC32" t="e">
        <f>'SurveyRpt_20150223 (1)'!AF198+"h_l!$&amp;)"</f>
        <v>#VALUE!</v>
      </c>
      <c r="ID32" t="e">
        <f>'SurveyRpt_20150223 (1)'!AG198+"h_l!$&amp;."</f>
        <v>#VALUE!</v>
      </c>
      <c r="IE32" t="e">
        <f>'SurveyRpt_20150223 (1)'!AH198+"h_l!$&amp;/"</f>
        <v>#VALUE!</v>
      </c>
      <c r="IF32" t="e">
        <f>'SurveyRpt_20150223 (1)'!AI198+"h_l!$&amp;0"</f>
        <v>#VALUE!</v>
      </c>
      <c r="IG32" t="e">
        <f>'SurveyRpt_20150223 (1)'!AJ198+"h_l!$&amp;1"</f>
        <v>#VALUE!</v>
      </c>
      <c r="IH32" t="e">
        <f>'SurveyRpt_20150223 (1)'!AK198+"h_l!$&amp;2"</f>
        <v>#VALUE!</v>
      </c>
      <c r="II32" t="e">
        <f>'SurveyRpt_20150223 (1)'!AL198+"h_l!$&amp;3"</f>
        <v>#VALUE!</v>
      </c>
      <c r="IJ32" t="e">
        <f>'SurveyRpt_20150223 (1)'!AM198+"h_l!$&amp;4"</f>
        <v>#VALUE!</v>
      </c>
      <c r="IK32" t="e">
        <f>'SurveyRpt_20150223 (1)'!AN198+"h_l!$&amp;5"</f>
        <v>#VALUE!</v>
      </c>
      <c r="IL32" t="e">
        <f>'SurveyRpt_20150223 (1)'!A199+"h_l!$&amp;6"</f>
        <v>#VALUE!</v>
      </c>
      <c r="IM32" s="25" t="e">
        <f>'SurveyRpt_20150223 (1)'!B199+"h_l!$&amp;7"</f>
        <v>#VALUE!</v>
      </c>
      <c r="IN32" t="e">
        <f>'SurveyRpt_20150223 (1)'!C199+"h_l!$&amp;8"</f>
        <v>#VALUE!</v>
      </c>
      <c r="IO32" s="25" t="e">
        <f>'SurveyRpt_20150223 (1)'!D199+"h_l!$&amp;9"</f>
        <v>#VALUE!</v>
      </c>
      <c r="IP32" t="e">
        <f>'SurveyRpt_20150223 (1)'!E199+"h_l!$&amp;:"</f>
        <v>#VALUE!</v>
      </c>
      <c r="IQ32" t="e">
        <f>'SurveyRpt_20150223 (1)'!F199+"h_l!$&amp;;"</f>
        <v>#VALUE!</v>
      </c>
      <c r="IR32" t="e">
        <f>'SurveyRpt_20150223 (1)'!G199+"h_l!$&amp;&lt;"</f>
        <v>#VALUE!</v>
      </c>
      <c r="IS32" t="e">
        <f>'SurveyRpt_20150223 (1)'!H199+"h_l!$&amp;="</f>
        <v>#VALUE!</v>
      </c>
      <c r="IT32" t="e">
        <f>'SurveyRpt_20150223 (1)'!I199+"h_l!$&amp;&gt;"</f>
        <v>#VALUE!</v>
      </c>
      <c r="IU32" t="e">
        <f>'SurveyRpt_20150223 (1)'!J199+"h_l!$&amp;?"</f>
        <v>#VALUE!</v>
      </c>
      <c r="IV32" t="e">
        <f>'SurveyRpt_20150223 (1)'!K199+"h_l!$&amp;@"</f>
        <v>#VALUE!</v>
      </c>
    </row>
    <row r="33" spans="6:256" x14ac:dyDescent="0.25">
      <c r="F33" t="e">
        <f>'SurveyRpt_20150223 (1)'!L199+"h_l!$&amp;A"</f>
        <v>#VALUE!</v>
      </c>
      <c r="G33" t="e">
        <f>'SurveyRpt_20150223 (1)'!M199+"h_l!$&amp;B"</f>
        <v>#VALUE!</v>
      </c>
      <c r="H33" t="e">
        <f>'SurveyRpt_20150223 (1)'!N199+"h_l!$&amp;C"</f>
        <v>#VALUE!</v>
      </c>
      <c r="I33" t="e">
        <f>'SurveyRpt_20150223 (1)'!O199+"h_l!$&amp;D"</f>
        <v>#VALUE!</v>
      </c>
      <c r="J33" t="e">
        <f>'SurveyRpt_20150223 (1)'!P199+"h_l!$&amp;E"</f>
        <v>#VALUE!</v>
      </c>
      <c r="K33" t="e">
        <f>'SurveyRpt_20150223 (1)'!Q199+"h_l!$&amp;F"</f>
        <v>#VALUE!</v>
      </c>
      <c r="L33" t="e">
        <f>'SurveyRpt_20150223 (1)'!R199+"h_l!$&amp;G"</f>
        <v>#VALUE!</v>
      </c>
      <c r="M33" t="e">
        <f>'SurveyRpt_20150223 (1)'!S199+"h_l!$&amp;H"</f>
        <v>#VALUE!</v>
      </c>
      <c r="N33" t="e">
        <f>'SurveyRpt_20150223 (1)'!T199+"h_l!$&amp;I"</f>
        <v>#VALUE!</v>
      </c>
      <c r="O33" t="e">
        <f>'SurveyRpt_20150223 (1)'!U199+"h_l!$&amp;J"</f>
        <v>#VALUE!</v>
      </c>
      <c r="P33" t="e">
        <f>'SurveyRpt_20150223 (1)'!V199+"h_l!$&amp;K"</f>
        <v>#VALUE!</v>
      </c>
      <c r="Q33" t="e">
        <f>'SurveyRpt_20150223 (1)'!W199+"h_l!$&amp;L"</f>
        <v>#VALUE!</v>
      </c>
      <c r="R33" t="e">
        <f>'SurveyRpt_20150223 (1)'!X199+"h_l!$&amp;M"</f>
        <v>#VALUE!</v>
      </c>
      <c r="S33" t="e">
        <f>'SurveyRpt_20150223 (1)'!Y199+"h_l!$&amp;N"</f>
        <v>#VALUE!</v>
      </c>
      <c r="T33" t="e">
        <f>'SurveyRpt_20150223 (1)'!Z199+"h_l!$&amp;O"</f>
        <v>#VALUE!</v>
      </c>
      <c r="U33" t="e">
        <f>'SurveyRpt_20150223 (1)'!AA199+"h_l!$&amp;P"</f>
        <v>#VALUE!</v>
      </c>
      <c r="V33" t="e">
        <f>'SurveyRpt_20150223 (1)'!AB199+"h_l!$&amp;Q"</f>
        <v>#VALUE!</v>
      </c>
      <c r="W33" t="e">
        <f>'SurveyRpt_20150223 (1)'!AC199+"h_l!$&amp;R"</f>
        <v>#VALUE!</v>
      </c>
      <c r="X33" t="e">
        <f>'SurveyRpt_20150223 (1)'!AD199+"h_l!$&amp;S"</f>
        <v>#VALUE!</v>
      </c>
      <c r="Y33" t="e">
        <f>'SurveyRpt_20150223 (1)'!AE199+"h_l!$&amp;T"</f>
        <v>#VALUE!</v>
      </c>
      <c r="Z33" t="e">
        <f>'SurveyRpt_20150223 (1)'!AF199+"h_l!$&amp;U"</f>
        <v>#VALUE!</v>
      </c>
      <c r="AA33" t="e">
        <f>'SurveyRpt_20150223 (1)'!AG199+"h_l!$&amp;V"</f>
        <v>#VALUE!</v>
      </c>
      <c r="AB33" t="e">
        <f>'SurveyRpt_20150223 (1)'!AH199+"h_l!$&amp;W"</f>
        <v>#VALUE!</v>
      </c>
      <c r="AC33" t="e">
        <f>'SurveyRpt_20150223 (1)'!AI199+"h_l!$&amp;X"</f>
        <v>#VALUE!</v>
      </c>
      <c r="AD33" t="e">
        <f>'SurveyRpt_20150223 (1)'!AJ199+"h_l!$&amp;Y"</f>
        <v>#VALUE!</v>
      </c>
      <c r="AE33" t="e">
        <f>'SurveyRpt_20150223 (1)'!AK199+"h_l!$&amp;Z"</f>
        <v>#VALUE!</v>
      </c>
      <c r="AF33" t="e">
        <f>'SurveyRpt_20150223 (1)'!AL199+"h_l!$&amp;["</f>
        <v>#VALUE!</v>
      </c>
      <c r="AG33" t="e">
        <f>'SurveyRpt_20150223 (1)'!AM199+"h_l!$&amp;\"</f>
        <v>#VALUE!</v>
      </c>
      <c r="AH33" t="e">
        <f>'SurveyRpt_20150223 (1)'!AN199+"h_l!$&amp;]"</f>
        <v>#VALUE!</v>
      </c>
      <c r="AI33" t="e">
        <f>'SurveyRpt_20150223 (1)'!A200+"h_l!$&amp;^"</f>
        <v>#VALUE!</v>
      </c>
      <c r="AJ33" s="25" t="e">
        <f>'SurveyRpt_20150223 (1)'!B200+"h_l!$&amp;_"</f>
        <v>#VALUE!</v>
      </c>
      <c r="AK33" t="e">
        <f>'SurveyRpt_20150223 (1)'!C200+"h_l!$&amp;`"</f>
        <v>#VALUE!</v>
      </c>
      <c r="AL33" s="25" t="e">
        <f>'SurveyRpt_20150223 (1)'!D200+"h_l!$&amp;a"</f>
        <v>#VALUE!</v>
      </c>
      <c r="AM33" t="e">
        <f>'SurveyRpt_20150223 (1)'!E200+"h_l!$&amp;b"</f>
        <v>#VALUE!</v>
      </c>
      <c r="AN33" t="e">
        <f>'SurveyRpt_20150223 (1)'!F200+"h_l!$&amp;c"</f>
        <v>#VALUE!</v>
      </c>
      <c r="AO33" t="e">
        <f>'SurveyRpt_20150223 (1)'!G200+"h_l!$&amp;d"</f>
        <v>#VALUE!</v>
      </c>
      <c r="AP33" t="e">
        <f>'SurveyRpt_20150223 (1)'!H200+"h_l!$&amp;e"</f>
        <v>#VALUE!</v>
      </c>
      <c r="AQ33" t="e">
        <f>'SurveyRpt_20150223 (1)'!I200+"h_l!$&amp;f"</f>
        <v>#VALUE!</v>
      </c>
      <c r="AR33" t="e">
        <f>'SurveyRpt_20150223 (1)'!J200+"h_l!$&amp;g"</f>
        <v>#VALUE!</v>
      </c>
      <c r="AS33" t="e">
        <f>'SurveyRpt_20150223 (1)'!K200+"h_l!$&amp;h"</f>
        <v>#VALUE!</v>
      </c>
      <c r="AT33" t="e">
        <f>'SurveyRpt_20150223 (1)'!L200+"h_l!$&amp;i"</f>
        <v>#VALUE!</v>
      </c>
      <c r="AU33" t="e">
        <f>'SurveyRpt_20150223 (1)'!M200+"h_l!$&amp;j"</f>
        <v>#VALUE!</v>
      </c>
      <c r="AV33" t="e">
        <f>'SurveyRpt_20150223 (1)'!N200+"h_l!$&amp;k"</f>
        <v>#VALUE!</v>
      </c>
      <c r="AW33" t="e">
        <f>'SurveyRpt_20150223 (1)'!O200+"h_l!$&amp;l"</f>
        <v>#VALUE!</v>
      </c>
      <c r="AX33" t="e">
        <f>'SurveyRpt_20150223 (1)'!P200+"h_l!$&amp;m"</f>
        <v>#VALUE!</v>
      </c>
      <c r="AY33" t="e">
        <f>'SurveyRpt_20150223 (1)'!Q200+"h_l!$&amp;n"</f>
        <v>#VALUE!</v>
      </c>
      <c r="AZ33" t="e">
        <f>'SurveyRpt_20150223 (1)'!R200+"h_l!$&amp;o"</f>
        <v>#VALUE!</v>
      </c>
      <c r="BA33" t="e">
        <f>'SurveyRpt_20150223 (1)'!S200+"h_l!$&amp;p"</f>
        <v>#VALUE!</v>
      </c>
      <c r="BB33" t="e">
        <f>'SurveyRpt_20150223 (1)'!T200+"h_l!$&amp;q"</f>
        <v>#VALUE!</v>
      </c>
      <c r="BC33" t="e">
        <f>'SurveyRpt_20150223 (1)'!U200+"h_l!$&amp;r"</f>
        <v>#VALUE!</v>
      </c>
      <c r="BD33" t="e">
        <f>'SurveyRpt_20150223 (1)'!V200+"h_l!$&amp;s"</f>
        <v>#VALUE!</v>
      </c>
      <c r="BE33" t="e">
        <f>'SurveyRpt_20150223 (1)'!W200+"h_l!$&amp;t"</f>
        <v>#VALUE!</v>
      </c>
      <c r="BF33" t="e">
        <f>'SurveyRpt_20150223 (1)'!X200+"h_l!$&amp;u"</f>
        <v>#VALUE!</v>
      </c>
      <c r="BG33" t="e">
        <f>'SurveyRpt_20150223 (1)'!Y200+"h_l!$&amp;v"</f>
        <v>#VALUE!</v>
      </c>
      <c r="BH33" t="e">
        <f>'SurveyRpt_20150223 (1)'!Z200+"h_l!$&amp;w"</f>
        <v>#VALUE!</v>
      </c>
      <c r="BI33" t="e">
        <f>'SurveyRpt_20150223 (1)'!AA200+"h_l!$&amp;x"</f>
        <v>#VALUE!</v>
      </c>
      <c r="BJ33" t="e">
        <f>'SurveyRpt_20150223 (1)'!AB200+"h_l!$&amp;y"</f>
        <v>#VALUE!</v>
      </c>
      <c r="BK33" t="e">
        <f>'SurveyRpt_20150223 (1)'!AC200+"h_l!$&amp;z"</f>
        <v>#VALUE!</v>
      </c>
      <c r="BL33" t="e">
        <f>'SurveyRpt_20150223 (1)'!AD200+"h_l!$&amp;{"</f>
        <v>#VALUE!</v>
      </c>
      <c r="BM33" t="e">
        <f>'SurveyRpt_20150223 (1)'!AE200+"h_l!$&amp;|"</f>
        <v>#VALUE!</v>
      </c>
      <c r="BN33" t="e">
        <f>'SurveyRpt_20150223 (1)'!AF200+"h_l!$&amp;}"</f>
        <v>#VALUE!</v>
      </c>
      <c r="BO33" t="e">
        <f>'SurveyRpt_20150223 (1)'!AG200+"h_l!$&amp;~"</f>
        <v>#VALUE!</v>
      </c>
      <c r="BP33" t="e">
        <f>'SurveyRpt_20150223 (1)'!AH200+"h_l!$'#"</f>
        <v>#VALUE!</v>
      </c>
      <c r="BQ33" t="e">
        <f>'SurveyRpt_20150223 (1)'!AI200+"h_l!$'$"</f>
        <v>#VALUE!</v>
      </c>
      <c r="BR33" t="e">
        <f>'SurveyRpt_20150223 (1)'!AJ200+"h_l!$'%"</f>
        <v>#VALUE!</v>
      </c>
      <c r="BS33" t="e">
        <f>'SurveyRpt_20150223 (1)'!AK200+"h_l!$'&amp;"</f>
        <v>#VALUE!</v>
      </c>
      <c r="BT33" t="e">
        <f>'SurveyRpt_20150223 (1)'!AL200+"h_l!$''"</f>
        <v>#VALUE!</v>
      </c>
      <c r="BU33" t="e">
        <f>'SurveyRpt_20150223 (1)'!AM200+"h_l!$'("</f>
        <v>#VALUE!</v>
      </c>
      <c r="BV33" t="e">
        <f>'SurveyRpt_20150223 (1)'!AN200+"h_l!$')"</f>
        <v>#VALUE!</v>
      </c>
      <c r="BW33" t="e">
        <f>'SurveyRpt_20150223 (1)'!A201+"h_l!$'."</f>
        <v>#VALUE!</v>
      </c>
      <c r="BX33" s="25" t="e">
        <f>'SurveyRpt_20150223 (1)'!B201+"h_l!$'/"</f>
        <v>#VALUE!</v>
      </c>
      <c r="BY33" t="e">
        <f>'SurveyRpt_20150223 (1)'!C201+"h_l!$'0"</f>
        <v>#VALUE!</v>
      </c>
      <c r="BZ33" s="25" t="e">
        <f>'SurveyRpt_20150223 (1)'!D201+"h_l!$'1"</f>
        <v>#VALUE!</v>
      </c>
      <c r="CA33" t="e">
        <f>'SurveyRpt_20150223 (1)'!E201+"h_l!$'2"</f>
        <v>#VALUE!</v>
      </c>
      <c r="CB33" t="e">
        <f>'SurveyRpt_20150223 (1)'!F201+"h_l!$'3"</f>
        <v>#VALUE!</v>
      </c>
      <c r="CC33" t="e">
        <f>'SurveyRpt_20150223 (1)'!G201+"h_l!$'4"</f>
        <v>#VALUE!</v>
      </c>
      <c r="CD33" t="e">
        <f>'SurveyRpt_20150223 (1)'!H201+"h_l!$'5"</f>
        <v>#VALUE!</v>
      </c>
      <c r="CE33" t="e">
        <f>'SurveyRpt_20150223 (1)'!I201+"h_l!$'6"</f>
        <v>#VALUE!</v>
      </c>
      <c r="CF33" t="e">
        <f>'SurveyRpt_20150223 (1)'!J201+"h_l!$'7"</f>
        <v>#VALUE!</v>
      </c>
      <c r="CG33" t="e">
        <f>'SurveyRpt_20150223 (1)'!K201+"h_l!$'8"</f>
        <v>#VALUE!</v>
      </c>
      <c r="CH33" t="e">
        <f>'SurveyRpt_20150223 (1)'!L201+"h_l!$'9"</f>
        <v>#VALUE!</v>
      </c>
      <c r="CI33" t="e">
        <f>'SurveyRpt_20150223 (1)'!M201+"h_l!$':"</f>
        <v>#VALUE!</v>
      </c>
      <c r="CJ33" t="e">
        <f>'SurveyRpt_20150223 (1)'!N201+"h_l!$';"</f>
        <v>#VALUE!</v>
      </c>
      <c r="CK33" t="e">
        <f>'SurveyRpt_20150223 (1)'!O201+"h_l!$'&lt;"</f>
        <v>#VALUE!</v>
      </c>
      <c r="CL33" t="e">
        <f>'SurveyRpt_20150223 (1)'!P201+"h_l!$'="</f>
        <v>#VALUE!</v>
      </c>
      <c r="CM33" t="e">
        <f>'SurveyRpt_20150223 (1)'!Q201+"h_l!$'&gt;"</f>
        <v>#VALUE!</v>
      </c>
      <c r="CN33" t="e">
        <f>'SurveyRpt_20150223 (1)'!R201+"h_l!$'?"</f>
        <v>#VALUE!</v>
      </c>
      <c r="CO33" t="e">
        <f>'SurveyRpt_20150223 (1)'!S201+"h_l!$'@"</f>
        <v>#VALUE!</v>
      </c>
      <c r="CP33" t="e">
        <f>'SurveyRpt_20150223 (1)'!T201+"h_l!$'A"</f>
        <v>#VALUE!</v>
      </c>
      <c r="CQ33" t="e">
        <f>'SurveyRpt_20150223 (1)'!U201+"h_l!$'B"</f>
        <v>#VALUE!</v>
      </c>
      <c r="CR33" t="e">
        <f>'SurveyRpt_20150223 (1)'!V201+"h_l!$'C"</f>
        <v>#VALUE!</v>
      </c>
      <c r="CS33" t="e">
        <f>'SurveyRpt_20150223 (1)'!W201+"h_l!$'D"</f>
        <v>#VALUE!</v>
      </c>
      <c r="CT33" t="e">
        <f>'SurveyRpt_20150223 (1)'!X201+"h_l!$'E"</f>
        <v>#VALUE!</v>
      </c>
      <c r="CU33" t="e">
        <f>'SurveyRpt_20150223 (1)'!Y201+"h_l!$'F"</f>
        <v>#VALUE!</v>
      </c>
      <c r="CV33" t="e">
        <f>'SurveyRpt_20150223 (1)'!Z201+"h_l!$'G"</f>
        <v>#VALUE!</v>
      </c>
      <c r="CW33" t="e">
        <f>'SurveyRpt_20150223 (1)'!AA201+"h_l!$'H"</f>
        <v>#VALUE!</v>
      </c>
      <c r="CX33" t="e">
        <f>'SurveyRpt_20150223 (1)'!AB201+"h_l!$'I"</f>
        <v>#VALUE!</v>
      </c>
      <c r="CY33" t="e">
        <f>'SurveyRpt_20150223 (1)'!AC201+"h_l!$'J"</f>
        <v>#VALUE!</v>
      </c>
      <c r="CZ33" t="e">
        <f>'SurveyRpt_20150223 (1)'!AD201+"h_l!$'K"</f>
        <v>#VALUE!</v>
      </c>
      <c r="DA33" t="e">
        <f>'SurveyRpt_20150223 (1)'!AE201+"h_l!$'L"</f>
        <v>#VALUE!</v>
      </c>
      <c r="DB33" t="e">
        <f>'SurveyRpt_20150223 (1)'!AF201+"h_l!$'M"</f>
        <v>#VALUE!</v>
      </c>
      <c r="DC33" t="e">
        <f>'SurveyRpt_20150223 (1)'!AG201+"h_l!$'N"</f>
        <v>#VALUE!</v>
      </c>
      <c r="DD33" t="e">
        <f>'SurveyRpt_20150223 (1)'!AH201+"h_l!$'O"</f>
        <v>#VALUE!</v>
      </c>
      <c r="DE33" t="e">
        <f>'SurveyRpt_20150223 (1)'!AI201+"h_l!$'P"</f>
        <v>#VALUE!</v>
      </c>
      <c r="DF33" t="e">
        <f>'SurveyRpt_20150223 (1)'!AJ201+"h_l!$'Q"</f>
        <v>#VALUE!</v>
      </c>
      <c r="DG33" t="e">
        <f>'SurveyRpt_20150223 (1)'!AK201+"h_l!$'R"</f>
        <v>#VALUE!</v>
      </c>
      <c r="DH33" t="e">
        <f>'SurveyRpt_20150223 (1)'!AL201+"h_l!$'S"</f>
        <v>#VALUE!</v>
      </c>
      <c r="DI33" t="e">
        <f>'SurveyRpt_20150223 (1)'!AM201+"h_l!$'T"</f>
        <v>#VALUE!</v>
      </c>
      <c r="DJ33" t="e">
        <f>'SurveyRpt_20150223 (1)'!AN201+"h_l!$'U"</f>
        <v>#VALUE!</v>
      </c>
      <c r="DK33" t="e">
        <f>'SurveyRpt_20150223 (1)'!A202+"h_l!$'V"</f>
        <v>#VALUE!</v>
      </c>
      <c r="DL33" s="25" t="e">
        <f>'SurveyRpt_20150223 (1)'!B202+"h_l!$'W"</f>
        <v>#VALUE!</v>
      </c>
      <c r="DM33" t="e">
        <f>'SurveyRpt_20150223 (1)'!C202+"h_l!$'X"</f>
        <v>#VALUE!</v>
      </c>
      <c r="DN33" s="25" t="e">
        <f>'SurveyRpt_20150223 (1)'!D202+"h_l!$'Y"</f>
        <v>#VALUE!</v>
      </c>
      <c r="DO33" t="e">
        <f>'SurveyRpt_20150223 (1)'!E202+"h_l!$'Z"</f>
        <v>#VALUE!</v>
      </c>
      <c r="DP33" t="e">
        <f>'SurveyRpt_20150223 (1)'!F202+"h_l!$'["</f>
        <v>#VALUE!</v>
      </c>
      <c r="DQ33" t="e">
        <f>'SurveyRpt_20150223 (1)'!G202+"h_l!$'\"</f>
        <v>#VALUE!</v>
      </c>
      <c r="DR33" t="e">
        <f>'SurveyRpt_20150223 (1)'!H202+"h_l!$']"</f>
        <v>#VALUE!</v>
      </c>
      <c r="DS33" t="e">
        <f>'SurveyRpt_20150223 (1)'!I202+"h_l!$'^"</f>
        <v>#VALUE!</v>
      </c>
      <c r="DT33" t="e">
        <f>'SurveyRpt_20150223 (1)'!J202+"h_l!$'_"</f>
        <v>#VALUE!</v>
      </c>
      <c r="DU33" t="e">
        <f>'SurveyRpt_20150223 (1)'!K202+"h_l!$'`"</f>
        <v>#VALUE!</v>
      </c>
      <c r="DV33" t="e">
        <f>'SurveyRpt_20150223 (1)'!L202+"h_l!$'a"</f>
        <v>#VALUE!</v>
      </c>
      <c r="DW33" t="e">
        <f>'SurveyRpt_20150223 (1)'!M202+"h_l!$'b"</f>
        <v>#VALUE!</v>
      </c>
      <c r="DX33" t="e">
        <f>'SurveyRpt_20150223 (1)'!N202+"h_l!$'c"</f>
        <v>#VALUE!</v>
      </c>
      <c r="DY33" t="e">
        <f>'SurveyRpt_20150223 (1)'!O202+"h_l!$'d"</f>
        <v>#VALUE!</v>
      </c>
      <c r="DZ33" t="e">
        <f>'SurveyRpt_20150223 (1)'!P202+"h_l!$'e"</f>
        <v>#VALUE!</v>
      </c>
      <c r="EA33" t="e">
        <f>'SurveyRpt_20150223 (1)'!Q202+"h_l!$'f"</f>
        <v>#VALUE!</v>
      </c>
      <c r="EB33" t="e">
        <f>'SurveyRpt_20150223 (1)'!R202+"h_l!$'g"</f>
        <v>#VALUE!</v>
      </c>
      <c r="EC33" t="e">
        <f>'SurveyRpt_20150223 (1)'!S202+"h_l!$'h"</f>
        <v>#VALUE!</v>
      </c>
      <c r="ED33" t="e">
        <f>'SurveyRpt_20150223 (1)'!T202+"h_l!$'i"</f>
        <v>#VALUE!</v>
      </c>
      <c r="EE33" t="e">
        <f>'SurveyRpt_20150223 (1)'!U202+"h_l!$'j"</f>
        <v>#VALUE!</v>
      </c>
      <c r="EF33" t="e">
        <f>'SurveyRpt_20150223 (1)'!V202+"h_l!$'k"</f>
        <v>#VALUE!</v>
      </c>
      <c r="EG33" t="e">
        <f>'SurveyRpt_20150223 (1)'!W202+"h_l!$'l"</f>
        <v>#VALUE!</v>
      </c>
      <c r="EH33" t="e">
        <f>'SurveyRpt_20150223 (1)'!X202+"h_l!$'m"</f>
        <v>#VALUE!</v>
      </c>
      <c r="EI33" t="e">
        <f>'SurveyRpt_20150223 (1)'!Y202+"h_l!$'n"</f>
        <v>#VALUE!</v>
      </c>
      <c r="EJ33" t="e">
        <f>'SurveyRpt_20150223 (1)'!Z202+"h_l!$'o"</f>
        <v>#VALUE!</v>
      </c>
      <c r="EK33" t="e">
        <f>'SurveyRpt_20150223 (1)'!AA202+"h_l!$'p"</f>
        <v>#VALUE!</v>
      </c>
      <c r="EL33" t="e">
        <f>'SurveyRpt_20150223 (1)'!AB202+"h_l!$'q"</f>
        <v>#VALUE!</v>
      </c>
      <c r="EM33" t="e">
        <f>'SurveyRpt_20150223 (1)'!AC202+"h_l!$'r"</f>
        <v>#VALUE!</v>
      </c>
      <c r="EN33" t="e">
        <f>'SurveyRpt_20150223 (1)'!AD202+"h_l!$'s"</f>
        <v>#VALUE!</v>
      </c>
      <c r="EO33" t="e">
        <f>'SurveyRpt_20150223 (1)'!AE202+"h_l!$'t"</f>
        <v>#VALUE!</v>
      </c>
      <c r="EP33" t="e">
        <f>'SurveyRpt_20150223 (1)'!AF202+"h_l!$'u"</f>
        <v>#VALUE!</v>
      </c>
      <c r="EQ33" t="e">
        <f>'SurveyRpt_20150223 (1)'!AG202+"h_l!$'v"</f>
        <v>#VALUE!</v>
      </c>
      <c r="ER33" t="e">
        <f>'SurveyRpt_20150223 (1)'!AH202+"h_l!$'w"</f>
        <v>#VALUE!</v>
      </c>
      <c r="ES33" t="e">
        <f>'SurveyRpt_20150223 (1)'!AI202+"h_l!$'x"</f>
        <v>#VALUE!</v>
      </c>
      <c r="ET33" t="e">
        <f>'SurveyRpt_20150223 (1)'!AJ202+"h_l!$'y"</f>
        <v>#VALUE!</v>
      </c>
      <c r="EU33" t="e">
        <f>'SurveyRpt_20150223 (1)'!AK202+"h_l!$'z"</f>
        <v>#VALUE!</v>
      </c>
      <c r="EV33" t="e">
        <f>'SurveyRpt_20150223 (1)'!AL202+"h_l!$'{"</f>
        <v>#VALUE!</v>
      </c>
      <c r="EW33" t="e">
        <f>'SurveyRpt_20150223 (1)'!AM202+"h_l!$'|"</f>
        <v>#VALUE!</v>
      </c>
      <c r="EX33" t="e">
        <f>'SurveyRpt_20150223 (1)'!AN202+"h_l!$'}"</f>
        <v>#VALUE!</v>
      </c>
      <c r="EY33" t="e">
        <f>'SurveyRpt_20150223 (1)'!A203+"h_l!$'~"</f>
        <v>#VALUE!</v>
      </c>
      <c r="EZ33" s="25" t="e">
        <f>'SurveyRpt_20150223 (1)'!B203+"h_l!$(#"</f>
        <v>#VALUE!</v>
      </c>
      <c r="FA33" t="e">
        <f>'SurveyRpt_20150223 (1)'!C203+"h_l!$($"</f>
        <v>#VALUE!</v>
      </c>
      <c r="FB33" s="25" t="e">
        <f>'SurveyRpt_20150223 (1)'!D203+"h_l!$(%"</f>
        <v>#VALUE!</v>
      </c>
      <c r="FC33" t="e">
        <f>'SurveyRpt_20150223 (1)'!E203+"h_l!$(&amp;"</f>
        <v>#VALUE!</v>
      </c>
      <c r="FD33" t="e">
        <f>'SurveyRpt_20150223 (1)'!F203+"h_l!$('"</f>
        <v>#VALUE!</v>
      </c>
      <c r="FE33" t="e">
        <f>'SurveyRpt_20150223 (1)'!G203+"h_l!$(("</f>
        <v>#VALUE!</v>
      </c>
      <c r="FF33" t="e">
        <f>'SurveyRpt_20150223 (1)'!H203+"h_l!$()"</f>
        <v>#VALUE!</v>
      </c>
      <c r="FG33" t="e">
        <f>'SurveyRpt_20150223 (1)'!I203+"h_l!$(."</f>
        <v>#VALUE!</v>
      </c>
      <c r="FH33" t="e">
        <f>'SurveyRpt_20150223 (1)'!J203+"h_l!$(/"</f>
        <v>#VALUE!</v>
      </c>
      <c r="FI33" t="e">
        <f>'SurveyRpt_20150223 (1)'!K203+"h_l!$(0"</f>
        <v>#VALUE!</v>
      </c>
      <c r="FJ33" t="e">
        <f>'SurveyRpt_20150223 (1)'!L203+"h_l!$(1"</f>
        <v>#VALUE!</v>
      </c>
      <c r="FK33" t="e">
        <f>'SurveyRpt_20150223 (1)'!M203+"h_l!$(2"</f>
        <v>#VALUE!</v>
      </c>
      <c r="FL33" t="e">
        <f>'SurveyRpt_20150223 (1)'!N203+"h_l!$(3"</f>
        <v>#VALUE!</v>
      </c>
      <c r="FM33" t="e">
        <f>'SurveyRpt_20150223 (1)'!O203+"h_l!$(4"</f>
        <v>#VALUE!</v>
      </c>
      <c r="FN33" t="e">
        <f>'SurveyRpt_20150223 (1)'!P203+"h_l!$(5"</f>
        <v>#VALUE!</v>
      </c>
      <c r="FO33" t="e">
        <f>'SurveyRpt_20150223 (1)'!Q203+"h_l!$(6"</f>
        <v>#VALUE!</v>
      </c>
      <c r="FP33" t="e">
        <f>'SurveyRpt_20150223 (1)'!R203+"h_l!$(7"</f>
        <v>#VALUE!</v>
      </c>
      <c r="FQ33" t="e">
        <f>'SurveyRpt_20150223 (1)'!S203+"h_l!$(8"</f>
        <v>#VALUE!</v>
      </c>
      <c r="FR33" t="e">
        <f>'SurveyRpt_20150223 (1)'!T203+"h_l!$(9"</f>
        <v>#VALUE!</v>
      </c>
      <c r="FS33" t="e">
        <f>'SurveyRpt_20150223 (1)'!U203+"h_l!$(:"</f>
        <v>#VALUE!</v>
      </c>
      <c r="FT33" t="e">
        <f>'SurveyRpt_20150223 (1)'!V203+"h_l!$(;"</f>
        <v>#VALUE!</v>
      </c>
      <c r="FU33" t="e">
        <f>'SurveyRpt_20150223 (1)'!W203+"h_l!$(&lt;"</f>
        <v>#VALUE!</v>
      </c>
      <c r="FV33" t="e">
        <f>'SurveyRpt_20150223 (1)'!X203+"h_l!$(="</f>
        <v>#VALUE!</v>
      </c>
      <c r="FW33" t="e">
        <f>'SurveyRpt_20150223 (1)'!Y203+"h_l!$(&gt;"</f>
        <v>#VALUE!</v>
      </c>
      <c r="FX33" t="e">
        <f>'SurveyRpt_20150223 (1)'!Z203+"h_l!$(?"</f>
        <v>#VALUE!</v>
      </c>
      <c r="FY33" t="e">
        <f>'SurveyRpt_20150223 (1)'!AA203+"h_l!$(@"</f>
        <v>#VALUE!</v>
      </c>
      <c r="FZ33" t="e">
        <f>'SurveyRpt_20150223 (1)'!AB203+"h_l!$(A"</f>
        <v>#VALUE!</v>
      </c>
      <c r="GA33" t="e">
        <f>'SurveyRpt_20150223 (1)'!AC203+"h_l!$(B"</f>
        <v>#VALUE!</v>
      </c>
      <c r="GB33" t="e">
        <f>'SurveyRpt_20150223 (1)'!AD203+"h_l!$(C"</f>
        <v>#VALUE!</v>
      </c>
      <c r="GC33" t="e">
        <f>'SurveyRpt_20150223 (1)'!AE203+"h_l!$(D"</f>
        <v>#VALUE!</v>
      </c>
      <c r="GD33" t="e">
        <f>'SurveyRpt_20150223 (1)'!AF203+"h_l!$(E"</f>
        <v>#VALUE!</v>
      </c>
      <c r="GE33" t="e">
        <f>'SurveyRpt_20150223 (1)'!AG203+"h_l!$(F"</f>
        <v>#VALUE!</v>
      </c>
      <c r="GF33" t="e">
        <f>'SurveyRpt_20150223 (1)'!AH203+"h_l!$(G"</f>
        <v>#VALUE!</v>
      </c>
      <c r="GG33" t="e">
        <f>'SurveyRpt_20150223 (1)'!AI203+"h_l!$(H"</f>
        <v>#VALUE!</v>
      </c>
      <c r="GH33" t="e">
        <f>'SurveyRpt_20150223 (1)'!AJ203+"h_l!$(I"</f>
        <v>#VALUE!</v>
      </c>
      <c r="GI33" t="e">
        <f>'SurveyRpt_20150223 (1)'!AK203+"h_l!$(J"</f>
        <v>#VALUE!</v>
      </c>
      <c r="GJ33" t="e">
        <f>'SurveyRpt_20150223 (1)'!AL203+"h_l!$(K"</f>
        <v>#VALUE!</v>
      </c>
      <c r="GK33" t="e">
        <f>'SurveyRpt_20150223 (1)'!AM203+"h_l!$(L"</f>
        <v>#VALUE!</v>
      </c>
      <c r="GL33" t="e">
        <f>'SurveyRpt_20150223 (1)'!AN203+"h_l!$(M"</f>
        <v>#VALUE!</v>
      </c>
      <c r="GM33" t="e">
        <f>'SurveyRpt_20150223 (1)'!A204+"h_l!$(N"</f>
        <v>#VALUE!</v>
      </c>
      <c r="GN33" s="25" t="e">
        <f>'SurveyRpt_20150223 (1)'!B204+"h_l!$(O"</f>
        <v>#VALUE!</v>
      </c>
      <c r="GO33" t="e">
        <f>'SurveyRpt_20150223 (1)'!C204+"h_l!$(P"</f>
        <v>#VALUE!</v>
      </c>
      <c r="GP33" s="25" t="e">
        <f>'SurveyRpt_20150223 (1)'!D204+"h_l!$(Q"</f>
        <v>#VALUE!</v>
      </c>
      <c r="GQ33" t="e">
        <f>'SurveyRpt_20150223 (1)'!E204+"h_l!$(R"</f>
        <v>#VALUE!</v>
      </c>
      <c r="GR33" t="e">
        <f>'SurveyRpt_20150223 (1)'!F204+"h_l!$(S"</f>
        <v>#VALUE!</v>
      </c>
      <c r="GS33" t="e">
        <f>'SurveyRpt_20150223 (1)'!G204+"h_l!$(T"</f>
        <v>#VALUE!</v>
      </c>
      <c r="GT33" t="e">
        <f>'SurveyRpt_20150223 (1)'!H204+"h_l!$(U"</f>
        <v>#VALUE!</v>
      </c>
      <c r="GU33" t="e">
        <f>'SurveyRpt_20150223 (1)'!I204+"h_l!$(V"</f>
        <v>#VALUE!</v>
      </c>
      <c r="GV33" t="e">
        <f>'SurveyRpt_20150223 (1)'!J204+"h_l!$(W"</f>
        <v>#VALUE!</v>
      </c>
      <c r="GW33" t="e">
        <f>'SurveyRpt_20150223 (1)'!K204+"h_l!$(X"</f>
        <v>#VALUE!</v>
      </c>
      <c r="GX33" t="e">
        <f>'SurveyRpt_20150223 (1)'!L204+"h_l!$(Y"</f>
        <v>#VALUE!</v>
      </c>
      <c r="GY33" t="e">
        <f>'SurveyRpt_20150223 (1)'!M204+"h_l!$(Z"</f>
        <v>#VALUE!</v>
      </c>
      <c r="GZ33" t="e">
        <f>'SurveyRpt_20150223 (1)'!N204+"h_l!$(["</f>
        <v>#VALUE!</v>
      </c>
      <c r="HA33" t="e">
        <f>'SurveyRpt_20150223 (1)'!O204+"h_l!$(\"</f>
        <v>#VALUE!</v>
      </c>
      <c r="HB33" t="e">
        <f>'SurveyRpt_20150223 (1)'!P204+"h_l!$(]"</f>
        <v>#VALUE!</v>
      </c>
      <c r="HC33" t="e">
        <f>'SurveyRpt_20150223 (1)'!Q204+"h_l!$(^"</f>
        <v>#VALUE!</v>
      </c>
      <c r="HD33" t="e">
        <f>'SurveyRpt_20150223 (1)'!R204+"h_l!$(_"</f>
        <v>#VALUE!</v>
      </c>
      <c r="HE33" t="e">
        <f>'SurveyRpt_20150223 (1)'!S204+"h_l!$(`"</f>
        <v>#VALUE!</v>
      </c>
      <c r="HF33" t="e">
        <f>'SurveyRpt_20150223 (1)'!T204+"h_l!$(a"</f>
        <v>#VALUE!</v>
      </c>
      <c r="HG33" t="e">
        <f>'SurveyRpt_20150223 (1)'!U204+"h_l!$(b"</f>
        <v>#VALUE!</v>
      </c>
      <c r="HH33" t="e">
        <f>'SurveyRpt_20150223 (1)'!V204+"h_l!$(c"</f>
        <v>#VALUE!</v>
      </c>
      <c r="HI33" t="e">
        <f>'SurveyRpt_20150223 (1)'!W204+"h_l!$(d"</f>
        <v>#VALUE!</v>
      </c>
      <c r="HJ33" t="e">
        <f>'SurveyRpt_20150223 (1)'!X204+"h_l!$(e"</f>
        <v>#VALUE!</v>
      </c>
      <c r="HK33" t="e">
        <f>'SurveyRpt_20150223 (1)'!Y204+"h_l!$(f"</f>
        <v>#VALUE!</v>
      </c>
      <c r="HL33" t="e">
        <f>'SurveyRpt_20150223 (1)'!Z204+"h_l!$(g"</f>
        <v>#VALUE!</v>
      </c>
      <c r="HM33" t="e">
        <f>'SurveyRpt_20150223 (1)'!AA204+"h_l!$(h"</f>
        <v>#VALUE!</v>
      </c>
      <c r="HN33" t="e">
        <f>'SurveyRpt_20150223 (1)'!AB204+"h_l!$(i"</f>
        <v>#VALUE!</v>
      </c>
      <c r="HO33" t="e">
        <f>'SurveyRpt_20150223 (1)'!AC204+"h_l!$(j"</f>
        <v>#VALUE!</v>
      </c>
      <c r="HP33" t="e">
        <f>'SurveyRpt_20150223 (1)'!AD204+"h_l!$(k"</f>
        <v>#VALUE!</v>
      </c>
      <c r="HQ33" t="e">
        <f>'SurveyRpt_20150223 (1)'!AE204+"h_l!$(l"</f>
        <v>#VALUE!</v>
      </c>
      <c r="HR33" t="e">
        <f>'SurveyRpt_20150223 (1)'!AF204+"h_l!$(m"</f>
        <v>#VALUE!</v>
      </c>
      <c r="HS33" t="e">
        <f>'SurveyRpt_20150223 (1)'!AG204+"h_l!$(n"</f>
        <v>#VALUE!</v>
      </c>
      <c r="HT33" t="e">
        <f>'SurveyRpt_20150223 (1)'!AH204+"h_l!$(o"</f>
        <v>#VALUE!</v>
      </c>
      <c r="HU33" t="e">
        <f>'SurveyRpt_20150223 (1)'!AI204+"h_l!$(p"</f>
        <v>#VALUE!</v>
      </c>
      <c r="HV33" t="e">
        <f>'SurveyRpt_20150223 (1)'!AJ204+"h_l!$(q"</f>
        <v>#VALUE!</v>
      </c>
      <c r="HW33" t="e">
        <f>'SurveyRpt_20150223 (1)'!AK204+"h_l!$(r"</f>
        <v>#VALUE!</v>
      </c>
      <c r="HX33" t="e">
        <f>'SurveyRpt_20150223 (1)'!AL204+"h_l!$(s"</f>
        <v>#VALUE!</v>
      </c>
      <c r="HY33" t="e">
        <f>'SurveyRpt_20150223 (1)'!AM204+"h_l!$(t"</f>
        <v>#VALUE!</v>
      </c>
      <c r="HZ33" t="e">
        <f>'SurveyRpt_20150223 (1)'!AN204+"h_l!$(u"</f>
        <v>#VALUE!</v>
      </c>
      <c r="IA33" t="e">
        <f>'SurveyRpt_20150223 (1)'!A205+"h_l!$(v"</f>
        <v>#VALUE!</v>
      </c>
      <c r="IB33" s="25" t="e">
        <f>'SurveyRpt_20150223 (1)'!B205+"h_l!$(w"</f>
        <v>#VALUE!</v>
      </c>
      <c r="IC33" t="e">
        <f>'SurveyRpt_20150223 (1)'!C205+"h_l!$(x"</f>
        <v>#VALUE!</v>
      </c>
      <c r="ID33" s="25" t="e">
        <f>'SurveyRpt_20150223 (1)'!D205+"h_l!$(y"</f>
        <v>#VALUE!</v>
      </c>
      <c r="IE33" t="e">
        <f>'SurveyRpt_20150223 (1)'!E205+"h_l!$(z"</f>
        <v>#VALUE!</v>
      </c>
      <c r="IF33" t="e">
        <f>'SurveyRpt_20150223 (1)'!F205+"h_l!$({"</f>
        <v>#VALUE!</v>
      </c>
      <c r="IG33" t="e">
        <f>'SurveyRpt_20150223 (1)'!G205+"h_l!$(|"</f>
        <v>#VALUE!</v>
      </c>
      <c r="IH33" t="e">
        <f>'SurveyRpt_20150223 (1)'!H205+"h_l!$(}"</f>
        <v>#VALUE!</v>
      </c>
      <c r="II33" t="e">
        <f>'SurveyRpt_20150223 (1)'!I205+"h_l!$(~"</f>
        <v>#VALUE!</v>
      </c>
      <c r="IJ33" t="e">
        <f>'SurveyRpt_20150223 (1)'!J205+"h_l!$)#"</f>
        <v>#VALUE!</v>
      </c>
      <c r="IK33" t="e">
        <f>'SurveyRpt_20150223 (1)'!K205+"h_l!$)$"</f>
        <v>#VALUE!</v>
      </c>
      <c r="IL33" t="e">
        <f>'SurveyRpt_20150223 (1)'!L205+"h_l!$)%"</f>
        <v>#VALUE!</v>
      </c>
      <c r="IM33" t="e">
        <f>'SurveyRpt_20150223 (1)'!M205+"h_l!$)&amp;"</f>
        <v>#VALUE!</v>
      </c>
      <c r="IN33" t="e">
        <f>'SurveyRpt_20150223 (1)'!N205+"h_l!$)'"</f>
        <v>#VALUE!</v>
      </c>
      <c r="IO33" t="e">
        <f>'SurveyRpt_20150223 (1)'!O205+"h_l!$)("</f>
        <v>#VALUE!</v>
      </c>
      <c r="IP33" t="e">
        <f>'SurveyRpt_20150223 (1)'!P205+"h_l!$))"</f>
        <v>#VALUE!</v>
      </c>
      <c r="IQ33" t="e">
        <f>'SurveyRpt_20150223 (1)'!Q205+"h_l!$)."</f>
        <v>#VALUE!</v>
      </c>
      <c r="IR33" t="e">
        <f>'SurveyRpt_20150223 (1)'!R205+"h_l!$)/"</f>
        <v>#VALUE!</v>
      </c>
      <c r="IS33" t="e">
        <f>'SurveyRpt_20150223 (1)'!S205+"h_l!$)0"</f>
        <v>#VALUE!</v>
      </c>
      <c r="IT33" t="e">
        <f>'SurveyRpt_20150223 (1)'!T205+"h_l!$)1"</f>
        <v>#VALUE!</v>
      </c>
      <c r="IU33" t="e">
        <f>'SurveyRpt_20150223 (1)'!U205+"h_l!$)2"</f>
        <v>#VALUE!</v>
      </c>
      <c r="IV33" t="e">
        <f>'SurveyRpt_20150223 (1)'!V205+"h_l!$)3"</f>
        <v>#VALUE!</v>
      </c>
    </row>
    <row r="34" spans="6:256" x14ac:dyDescent="0.25">
      <c r="F34" t="e">
        <f>'SurveyRpt_20150223 (1)'!W205+"h_l!$)4"</f>
        <v>#VALUE!</v>
      </c>
      <c r="G34" t="e">
        <f>'SurveyRpt_20150223 (1)'!X205+"h_l!$)5"</f>
        <v>#VALUE!</v>
      </c>
      <c r="H34" t="e">
        <f>'SurveyRpt_20150223 (1)'!Y205+"h_l!$)6"</f>
        <v>#VALUE!</v>
      </c>
      <c r="I34" t="e">
        <f>'SurveyRpt_20150223 (1)'!Z205+"h_l!$)7"</f>
        <v>#VALUE!</v>
      </c>
      <c r="J34" t="e">
        <f>'SurveyRpt_20150223 (1)'!AA205+"h_l!$)8"</f>
        <v>#VALUE!</v>
      </c>
      <c r="K34" t="e">
        <f>'SurveyRpt_20150223 (1)'!AB205+"h_l!$)9"</f>
        <v>#VALUE!</v>
      </c>
      <c r="L34" t="e">
        <f>'SurveyRpt_20150223 (1)'!AC205+"h_l!$):"</f>
        <v>#VALUE!</v>
      </c>
      <c r="M34" t="e">
        <f>'SurveyRpt_20150223 (1)'!AD205+"h_l!$);"</f>
        <v>#VALUE!</v>
      </c>
      <c r="N34" t="e">
        <f>'SurveyRpt_20150223 (1)'!AE205+"h_l!$)&lt;"</f>
        <v>#VALUE!</v>
      </c>
      <c r="O34" t="e">
        <f>'SurveyRpt_20150223 (1)'!AF205+"h_l!$)="</f>
        <v>#VALUE!</v>
      </c>
      <c r="P34" t="e">
        <f>'SurveyRpt_20150223 (1)'!AG205+"h_l!$)&gt;"</f>
        <v>#VALUE!</v>
      </c>
      <c r="Q34" t="e">
        <f>'SurveyRpt_20150223 (1)'!AH205+"h_l!$)?"</f>
        <v>#VALUE!</v>
      </c>
      <c r="R34" t="e">
        <f>'SurveyRpt_20150223 (1)'!AI205+"h_l!$)@"</f>
        <v>#VALUE!</v>
      </c>
      <c r="S34" t="e">
        <f>'SurveyRpt_20150223 (1)'!AJ205+"h_l!$)A"</f>
        <v>#VALUE!</v>
      </c>
      <c r="T34" t="e">
        <f>'SurveyRpt_20150223 (1)'!AK205+"h_l!$)B"</f>
        <v>#VALUE!</v>
      </c>
      <c r="U34" t="e">
        <f>'SurveyRpt_20150223 (1)'!AL205+"h_l!$)C"</f>
        <v>#VALUE!</v>
      </c>
      <c r="V34" t="e">
        <f>'SurveyRpt_20150223 (1)'!AM205+"h_l!$)D"</f>
        <v>#VALUE!</v>
      </c>
      <c r="W34" t="e">
        <f>'SurveyRpt_20150223 (1)'!AN205+"h_l!$)E"</f>
        <v>#VALUE!</v>
      </c>
      <c r="X34" t="e">
        <f>'SurveyRpt_20150223 (1)'!A206+"h_l!$)F"</f>
        <v>#VALUE!</v>
      </c>
      <c r="Y34" s="25" t="e">
        <f>'SurveyRpt_20150223 (1)'!B206+"h_l!$)G"</f>
        <v>#VALUE!</v>
      </c>
      <c r="Z34" t="e">
        <f>'SurveyRpt_20150223 (1)'!C206+"h_l!$)H"</f>
        <v>#VALUE!</v>
      </c>
      <c r="AA34" s="25" t="e">
        <f>'SurveyRpt_20150223 (1)'!D206+"h_l!$)I"</f>
        <v>#VALUE!</v>
      </c>
      <c r="AB34" t="e">
        <f>'SurveyRpt_20150223 (1)'!E206+"h_l!$)J"</f>
        <v>#VALUE!</v>
      </c>
      <c r="AC34" t="e">
        <f>'SurveyRpt_20150223 (1)'!F206+"h_l!$)K"</f>
        <v>#VALUE!</v>
      </c>
      <c r="AD34" t="e">
        <f>'SurveyRpt_20150223 (1)'!G206+"h_l!$)L"</f>
        <v>#VALUE!</v>
      </c>
      <c r="AE34" t="e">
        <f>'SurveyRpt_20150223 (1)'!H206+"h_l!$)M"</f>
        <v>#VALUE!</v>
      </c>
      <c r="AF34" t="e">
        <f>'SurveyRpt_20150223 (1)'!I206+"h_l!$)N"</f>
        <v>#VALUE!</v>
      </c>
      <c r="AG34" t="e">
        <f>'SurveyRpt_20150223 (1)'!J206+"h_l!$)O"</f>
        <v>#VALUE!</v>
      </c>
      <c r="AH34" t="e">
        <f>'SurveyRpt_20150223 (1)'!K206+"h_l!$)P"</f>
        <v>#VALUE!</v>
      </c>
      <c r="AI34" t="e">
        <f>'SurveyRpt_20150223 (1)'!L206+"h_l!$)Q"</f>
        <v>#VALUE!</v>
      </c>
      <c r="AJ34" t="e">
        <f>'SurveyRpt_20150223 (1)'!M206+"h_l!$)R"</f>
        <v>#VALUE!</v>
      </c>
      <c r="AK34" t="e">
        <f>'SurveyRpt_20150223 (1)'!N206+"h_l!$)S"</f>
        <v>#VALUE!</v>
      </c>
      <c r="AL34" t="e">
        <f>'SurveyRpt_20150223 (1)'!O206+"h_l!$)T"</f>
        <v>#VALUE!</v>
      </c>
      <c r="AM34" t="e">
        <f>'SurveyRpt_20150223 (1)'!P206+"h_l!$)U"</f>
        <v>#VALUE!</v>
      </c>
      <c r="AN34" t="e">
        <f>'SurveyRpt_20150223 (1)'!Q206+"h_l!$)V"</f>
        <v>#VALUE!</v>
      </c>
      <c r="AO34" t="e">
        <f>'SurveyRpt_20150223 (1)'!R206+"h_l!$)W"</f>
        <v>#VALUE!</v>
      </c>
      <c r="AP34" t="e">
        <f>'SurveyRpt_20150223 (1)'!S206+"h_l!$)X"</f>
        <v>#VALUE!</v>
      </c>
      <c r="AQ34" t="e">
        <f>'SurveyRpt_20150223 (1)'!T206+"h_l!$)Y"</f>
        <v>#VALUE!</v>
      </c>
      <c r="AR34" t="e">
        <f>'SurveyRpt_20150223 (1)'!U206+"h_l!$)Z"</f>
        <v>#VALUE!</v>
      </c>
      <c r="AS34" t="e">
        <f>'SurveyRpt_20150223 (1)'!V206+"h_l!$)["</f>
        <v>#VALUE!</v>
      </c>
      <c r="AT34" t="e">
        <f>'SurveyRpt_20150223 (1)'!W206+"h_l!$)\"</f>
        <v>#VALUE!</v>
      </c>
      <c r="AU34" t="e">
        <f>'SurveyRpt_20150223 (1)'!X206+"h_l!$)]"</f>
        <v>#VALUE!</v>
      </c>
      <c r="AV34" t="e">
        <f>'SurveyRpt_20150223 (1)'!Y206+"h_l!$)^"</f>
        <v>#VALUE!</v>
      </c>
      <c r="AW34" t="e">
        <f>'SurveyRpt_20150223 (1)'!Z206+"h_l!$)_"</f>
        <v>#VALUE!</v>
      </c>
      <c r="AX34" t="e">
        <f>'SurveyRpt_20150223 (1)'!AA206+"h_l!$)`"</f>
        <v>#VALUE!</v>
      </c>
      <c r="AY34" t="e">
        <f>'SurveyRpt_20150223 (1)'!AB206+"h_l!$)a"</f>
        <v>#VALUE!</v>
      </c>
      <c r="AZ34" t="e">
        <f>'SurveyRpt_20150223 (1)'!AC206+"h_l!$)b"</f>
        <v>#VALUE!</v>
      </c>
      <c r="BA34" t="e">
        <f>'SurveyRpt_20150223 (1)'!AD206+"h_l!$)c"</f>
        <v>#VALUE!</v>
      </c>
      <c r="BB34" t="e">
        <f>'SurveyRpt_20150223 (1)'!AE206+"h_l!$)d"</f>
        <v>#VALUE!</v>
      </c>
      <c r="BC34" t="e">
        <f>'SurveyRpt_20150223 (1)'!AF206+"h_l!$)e"</f>
        <v>#VALUE!</v>
      </c>
      <c r="BD34" t="e">
        <f>'SurveyRpt_20150223 (1)'!AG206+"h_l!$)f"</f>
        <v>#VALUE!</v>
      </c>
      <c r="BE34" t="e">
        <f>'SurveyRpt_20150223 (1)'!AH206+"h_l!$)g"</f>
        <v>#VALUE!</v>
      </c>
      <c r="BF34" t="e">
        <f>'SurveyRpt_20150223 (1)'!AI206+"h_l!$)h"</f>
        <v>#VALUE!</v>
      </c>
      <c r="BG34" t="e">
        <f>'SurveyRpt_20150223 (1)'!AJ206+"h_l!$)i"</f>
        <v>#VALUE!</v>
      </c>
      <c r="BH34" t="e">
        <f>'SurveyRpt_20150223 (1)'!AK206+"h_l!$)j"</f>
        <v>#VALUE!</v>
      </c>
      <c r="BI34" t="e">
        <f>'SurveyRpt_20150223 (1)'!AL206+"h_l!$)k"</f>
        <v>#VALUE!</v>
      </c>
      <c r="BJ34" t="e">
        <f>'SurveyRpt_20150223 (1)'!AM206+"h_l!$)l"</f>
        <v>#VALUE!</v>
      </c>
      <c r="BK34" t="e">
        <f>'SurveyRpt_20150223 (1)'!AN206+"h_l!$)m"</f>
        <v>#VALUE!</v>
      </c>
      <c r="BL34" t="e">
        <f>'SurveyRpt_20150223 (1)'!A207+"h_l!$)n"</f>
        <v>#VALUE!</v>
      </c>
      <c r="BM34" s="25" t="e">
        <f>'SurveyRpt_20150223 (1)'!B207+"h_l!$)o"</f>
        <v>#VALUE!</v>
      </c>
      <c r="BN34" t="e">
        <f>'SurveyRpt_20150223 (1)'!C207+"h_l!$)p"</f>
        <v>#VALUE!</v>
      </c>
      <c r="BO34" s="25" t="e">
        <f>'SurveyRpt_20150223 (1)'!D207+"h_l!$)q"</f>
        <v>#VALUE!</v>
      </c>
      <c r="BP34" t="e">
        <f>'SurveyRpt_20150223 (1)'!E207+"h_l!$)r"</f>
        <v>#VALUE!</v>
      </c>
      <c r="BQ34" t="e">
        <f>'SurveyRpt_20150223 (1)'!F207+"h_l!$)s"</f>
        <v>#VALUE!</v>
      </c>
      <c r="BR34" t="e">
        <f>'SurveyRpt_20150223 (1)'!G207+"h_l!$)t"</f>
        <v>#VALUE!</v>
      </c>
      <c r="BS34" t="e">
        <f>'SurveyRpt_20150223 (1)'!H207+"h_l!$)u"</f>
        <v>#VALUE!</v>
      </c>
      <c r="BT34" t="e">
        <f>'SurveyRpt_20150223 (1)'!I207+"h_l!$)v"</f>
        <v>#VALUE!</v>
      </c>
      <c r="BU34" t="e">
        <f>'SurveyRpt_20150223 (1)'!J207+"h_l!$)w"</f>
        <v>#VALUE!</v>
      </c>
      <c r="BV34" t="e">
        <f>'SurveyRpt_20150223 (1)'!K207+"h_l!$)x"</f>
        <v>#VALUE!</v>
      </c>
      <c r="BW34" t="e">
        <f>'SurveyRpt_20150223 (1)'!L207+"h_l!$)y"</f>
        <v>#VALUE!</v>
      </c>
      <c r="BX34" t="e">
        <f>'SurveyRpt_20150223 (1)'!M207+"h_l!$)z"</f>
        <v>#VALUE!</v>
      </c>
      <c r="BY34" t="e">
        <f>'SurveyRpt_20150223 (1)'!N207+"h_l!$){"</f>
        <v>#VALUE!</v>
      </c>
      <c r="BZ34" t="e">
        <f>'SurveyRpt_20150223 (1)'!O207+"h_l!$)|"</f>
        <v>#VALUE!</v>
      </c>
      <c r="CA34" t="e">
        <f>'SurveyRpt_20150223 (1)'!P207+"h_l!$)}"</f>
        <v>#VALUE!</v>
      </c>
      <c r="CB34" t="e">
        <f>'SurveyRpt_20150223 (1)'!Q207+"h_l!$)~"</f>
        <v>#VALUE!</v>
      </c>
      <c r="CC34" t="e">
        <f>'SurveyRpt_20150223 (1)'!R207+"h_l!$.#"</f>
        <v>#VALUE!</v>
      </c>
      <c r="CD34" t="e">
        <f>'SurveyRpt_20150223 (1)'!S207+"h_l!$.$"</f>
        <v>#VALUE!</v>
      </c>
      <c r="CE34" t="e">
        <f>'SurveyRpt_20150223 (1)'!T207+"h_l!$.%"</f>
        <v>#VALUE!</v>
      </c>
      <c r="CF34" t="e">
        <f>'SurveyRpt_20150223 (1)'!U207+"h_l!$.&amp;"</f>
        <v>#VALUE!</v>
      </c>
      <c r="CG34" t="e">
        <f>'SurveyRpt_20150223 (1)'!V207+"h_l!$.'"</f>
        <v>#VALUE!</v>
      </c>
      <c r="CH34" t="e">
        <f>'SurveyRpt_20150223 (1)'!W207+"h_l!$.("</f>
        <v>#VALUE!</v>
      </c>
      <c r="CI34" t="e">
        <f>'SurveyRpt_20150223 (1)'!X207+"h_l!$.)"</f>
        <v>#VALUE!</v>
      </c>
      <c r="CJ34" t="e">
        <f>'SurveyRpt_20150223 (1)'!Y207+"h_l!$.."</f>
        <v>#VALUE!</v>
      </c>
      <c r="CK34" t="e">
        <f>'SurveyRpt_20150223 (1)'!Z207+"h_l!$./"</f>
        <v>#VALUE!</v>
      </c>
      <c r="CL34" t="e">
        <f>'SurveyRpt_20150223 (1)'!AA207+"h_l!$.0"</f>
        <v>#VALUE!</v>
      </c>
      <c r="CM34" t="e">
        <f>'SurveyRpt_20150223 (1)'!AB207+"h_l!$.1"</f>
        <v>#VALUE!</v>
      </c>
      <c r="CN34" t="e">
        <f>'SurveyRpt_20150223 (1)'!AC207+"h_l!$.2"</f>
        <v>#VALUE!</v>
      </c>
      <c r="CO34" t="e">
        <f>'SurveyRpt_20150223 (1)'!AD207+"h_l!$.3"</f>
        <v>#VALUE!</v>
      </c>
      <c r="CP34" t="e">
        <f>'SurveyRpt_20150223 (1)'!AE207+"h_l!$.4"</f>
        <v>#VALUE!</v>
      </c>
      <c r="CQ34" t="e">
        <f>'SurveyRpt_20150223 (1)'!AF207+"h_l!$.5"</f>
        <v>#VALUE!</v>
      </c>
      <c r="CR34" t="e">
        <f>'SurveyRpt_20150223 (1)'!AG207+"h_l!$.6"</f>
        <v>#VALUE!</v>
      </c>
      <c r="CS34" t="e">
        <f>'SurveyRpt_20150223 (1)'!AH207+"h_l!$.7"</f>
        <v>#VALUE!</v>
      </c>
      <c r="CT34" t="e">
        <f>'SurveyRpt_20150223 (1)'!AI207+"h_l!$.8"</f>
        <v>#VALUE!</v>
      </c>
      <c r="CU34" t="e">
        <f>'SurveyRpt_20150223 (1)'!AJ207+"h_l!$.9"</f>
        <v>#VALUE!</v>
      </c>
      <c r="CV34" t="e">
        <f>'SurveyRpt_20150223 (1)'!AK207+"h_l!$.:"</f>
        <v>#VALUE!</v>
      </c>
      <c r="CW34" t="e">
        <f>'SurveyRpt_20150223 (1)'!AL207+"h_l!$.;"</f>
        <v>#VALUE!</v>
      </c>
      <c r="CX34" t="e">
        <f>'SurveyRpt_20150223 (1)'!AM207+"h_l!$.&lt;"</f>
        <v>#VALUE!</v>
      </c>
      <c r="CY34" t="e">
        <f>'SurveyRpt_20150223 (1)'!AN207+"h_l!$.="</f>
        <v>#VALUE!</v>
      </c>
      <c r="CZ34" t="e">
        <f>'SurveyRpt_20150223 (1)'!A208+"h_l!$.&gt;"</f>
        <v>#VALUE!</v>
      </c>
      <c r="DA34" s="25" t="e">
        <f>'SurveyRpt_20150223 (1)'!B208+"h_l!$.?"</f>
        <v>#VALUE!</v>
      </c>
      <c r="DB34" t="e">
        <f>'SurveyRpt_20150223 (1)'!C208+"h_l!$.@"</f>
        <v>#VALUE!</v>
      </c>
      <c r="DC34" s="25" t="e">
        <f>'SurveyRpt_20150223 (1)'!D208+"h_l!$.A"</f>
        <v>#VALUE!</v>
      </c>
      <c r="DD34" t="e">
        <f>'SurveyRpt_20150223 (1)'!E208+"h_l!$.B"</f>
        <v>#VALUE!</v>
      </c>
      <c r="DE34" t="e">
        <f>'SurveyRpt_20150223 (1)'!F208+"h_l!$.C"</f>
        <v>#VALUE!</v>
      </c>
      <c r="DF34" t="e">
        <f>'SurveyRpt_20150223 (1)'!G208+"h_l!$.D"</f>
        <v>#VALUE!</v>
      </c>
      <c r="DG34" t="e">
        <f>'SurveyRpt_20150223 (1)'!H208+"h_l!$.E"</f>
        <v>#VALUE!</v>
      </c>
      <c r="DH34" t="e">
        <f>'SurveyRpt_20150223 (1)'!I208+"h_l!$.F"</f>
        <v>#VALUE!</v>
      </c>
      <c r="DI34" t="e">
        <f>'SurveyRpt_20150223 (1)'!J208+"h_l!$.G"</f>
        <v>#VALUE!</v>
      </c>
      <c r="DJ34" t="e">
        <f>'SurveyRpt_20150223 (1)'!K208+"h_l!$.H"</f>
        <v>#VALUE!</v>
      </c>
      <c r="DK34" t="e">
        <f>'SurveyRpt_20150223 (1)'!L208+"h_l!$.I"</f>
        <v>#VALUE!</v>
      </c>
      <c r="DL34" t="e">
        <f>'SurveyRpt_20150223 (1)'!M208+"h_l!$.J"</f>
        <v>#VALUE!</v>
      </c>
      <c r="DM34" t="e">
        <f>'SurveyRpt_20150223 (1)'!N208+"h_l!$.K"</f>
        <v>#VALUE!</v>
      </c>
      <c r="DN34" t="e">
        <f>'SurveyRpt_20150223 (1)'!O208+"h_l!$.L"</f>
        <v>#VALUE!</v>
      </c>
      <c r="DO34" t="e">
        <f>'SurveyRpt_20150223 (1)'!P208+"h_l!$.M"</f>
        <v>#VALUE!</v>
      </c>
      <c r="DP34" t="e">
        <f>'SurveyRpt_20150223 (1)'!Q208+"h_l!$.N"</f>
        <v>#VALUE!</v>
      </c>
      <c r="DQ34" t="e">
        <f>'SurveyRpt_20150223 (1)'!R208+"h_l!$.O"</f>
        <v>#VALUE!</v>
      </c>
      <c r="DR34" t="e">
        <f>'SurveyRpt_20150223 (1)'!S208+"h_l!$.P"</f>
        <v>#VALUE!</v>
      </c>
      <c r="DS34" t="e">
        <f>'SurveyRpt_20150223 (1)'!T208+"h_l!$.Q"</f>
        <v>#VALUE!</v>
      </c>
      <c r="DT34" t="e">
        <f>'SurveyRpt_20150223 (1)'!U208+"h_l!$.R"</f>
        <v>#VALUE!</v>
      </c>
      <c r="DU34" t="e">
        <f>'SurveyRpt_20150223 (1)'!V208+"h_l!$.S"</f>
        <v>#VALUE!</v>
      </c>
      <c r="DV34" t="e">
        <f>'SurveyRpt_20150223 (1)'!W208+"h_l!$.T"</f>
        <v>#VALUE!</v>
      </c>
      <c r="DW34" t="e">
        <f>'SurveyRpt_20150223 (1)'!X208+"h_l!$.U"</f>
        <v>#VALUE!</v>
      </c>
      <c r="DX34" t="e">
        <f>'SurveyRpt_20150223 (1)'!Y208+"h_l!$.V"</f>
        <v>#VALUE!</v>
      </c>
      <c r="DY34" t="e">
        <f>'SurveyRpt_20150223 (1)'!Z208+"h_l!$.W"</f>
        <v>#VALUE!</v>
      </c>
      <c r="DZ34" t="e">
        <f>'SurveyRpt_20150223 (1)'!AA208+"h_l!$.X"</f>
        <v>#VALUE!</v>
      </c>
      <c r="EA34" t="e">
        <f>'SurveyRpt_20150223 (1)'!AB208+"h_l!$.Y"</f>
        <v>#VALUE!</v>
      </c>
      <c r="EB34" t="e">
        <f>'SurveyRpt_20150223 (1)'!AC208+"h_l!$.Z"</f>
        <v>#VALUE!</v>
      </c>
      <c r="EC34" t="e">
        <f>'SurveyRpt_20150223 (1)'!AD208+"h_l!$.["</f>
        <v>#VALUE!</v>
      </c>
      <c r="ED34" t="e">
        <f>'SurveyRpt_20150223 (1)'!AE208+"h_l!$.\"</f>
        <v>#VALUE!</v>
      </c>
      <c r="EE34" t="e">
        <f>'SurveyRpt_20150223 (1)'!AF208+"h_l!$.]"</f>
        <v>#VALUE!</v>
      </c>
      <c r="EF34" t="e">
        <f>'SurveyRpt_20150223 (1)'!AG208+"h_l!$.^"</f>
        <v>#VALUE!</v>
      </c>
      <c r="EG34" t="e">
        <f>'SurveyRpt_20150223 (1)'!AH208+"h_l!$._"</f>
        <v>#VALUE!</v>
      </c>
      <c r="EH34" t="e">
        <f>'SurveyRpt_20150223 (1)'!AI208+"h_l!$.`"</f>
        <v>#VALUE!</v>
      </c>
      <c r="EI34" t="e">
        <f>'SurveyRpt_20150223 (1)'!AJ208+"h_l!$.a"</f>
        <v>#VALUE!</v>
      </c>
      <c r="EJ34" t="e">
        <f>'SurveyRpt_20150223 (1)'!AK208+"h_l!$.b"</f>
        <v>#VALUE!</v>
      </c>
      <c r="EK34" t="e">
        <f>'SurveyRpt_20150223 (1)'!AL208+"h_l!$.c"</f>
        <v>#VALUE!</v>
      </c>
      <c r="EL34" t="e">
        <f>'SurveyRpt_20150223 (1)'!AM208+"h_l!$.d"</f>
        <v>#VALUE!</v>
      </c>
      <c r="EM34" t="e">
        <f>'SurveyRpt_20150223 (1)'!AN208+"h_l!$.e"</f>
        <v>#VALUE!</v>
      </c>
      <c r="EN34" t="e">
        <f>'SurveyRpt_20150223 (1)'!A209+"h_l!$.f"</f>
        <v>#VALUE!</v>
      </c>
      <c r="EO34" s="25" t="e">
        <f>'SurveyRpt_20150223 (1)'!B209+"h_l!$.g"</f>
        <v>#VALUE!</v>
      </c>
      <c r="EP34" t="e">
        <f>'SurveyRpt_20150223 (1)'!C209+"h_l!$.h"</f>
        <v>#VALUE!</v>
      </c>
      <c r="EQ34" s="25" t="e">
        <f>'SurveyRpt_20150223 (1)'!D209+"h_l!$.i"</f>
        <v>#VALUE!</v>
      </c>
      <c r="ER34" t="e">
        <f>'SurveyRpt_20150223 (1)'!E209+"h_l!$.j"</f>
        <v>#VALUE!</v>
      </c>
      <c r="ES34" t="e">
        <f>'SurveyRpt_20150223 (1)'!F209+"h_l!$.k"</f>
        <v>#VALUE!</v>
      </c>
      <c r="ET34" t="e">
        <f>'SurveyRpt_20150223 (1)'!G209+"h_l!$.l"</f>
        <v>#VALUE!</v>
      </c>
      <c r="EU34" t="e">
        <f>'SurveyRpt_20150223 (1)'!H209+"h_l!$.m"</f>
        <v>#VALUE!</v>
      </c>
      <c r="EV34" t="e">
        <f>'SurveyRpt_20150223 (1)'!I209+"h_l!$.n"</f>
        <v>#VALUE!</v>
      </c>
      <c r="EW34" t="e">
        <f>'SurveyRpt_20150223 (1)'!J209+"h_l!$.o"</f>
        <v>#VALUE!</v>
      </c>
      <c r="EX34" t="e">
        <f>'SurveyRpt_20150223 (1)'!K209+"h_l!$.p"</f>
        <v>#VALUE!</v>
      </c>
      <c r="EY34" t="e">
        <f>'SurveyRpt_20150223 (1)'!L209+"h_l!$.q"</f>
        <v>#VALUE!</v>
      </c>
      <c r="EZ34" t="e">
        <f>'SurveyRpt_20150223 (1)'!M209+"h_l!$.r"</f>
        <v>#VALUE!</v>
      </c>
      <c r="FA34" t="e">
        <f>'SurveyRpt_20150223 (1)'!N209+"h_l!$.s"</f>
        <v>#VALUE!</v>
      </c>
      <c r="FB34" t="e">
        <f>'SurveyRpt_20150223 (1)'!O209+"h_l!$.t"</f>
        <v>#VALUE!</v>
      </c>
      <c r="FC34" t="e">
        <f>'SurveyRpt_20150223 (1)'!P209+"h_l!$.u"</f>
        <v>#VALUE!</v>
      </c>
      <c r="FD34" t="e">
        <f>'SurveyRpt_20150223 (1)'!Q209+"h_l!$.v"</f>
        <v>#VALUE!</v>
      </c>
      <c r="FE34" t="e">
        <f>'SurveyRpt_20150223 (1)'!R209+"h_l!$.w"</f>
        <v>#VALUE!</v>
      </c>
      <c r="FF34" t="e">
        <f>'SurveyRpt_20150223 (1)'!S209+"h_l!$.x"</f>
        <v>#VALUE!</v>
      </c>
      <c r="FG34" t="e">
        <f>'SurveyRpt_20150223 (1)'!T209+"h_l!$.y"</f>
        <v>#VALUE!</v>
      </c>
      <c r="FH34" t="e">
        <f>'SurveyRpt_20150223 (1)'!U209+"h_l!$.z"</f>
        <v>#VALUE!</v>
      </c>
      <c r="FI34" t="e">
        <f>'SurveyRpt_20150223 (1)'!V209+"h_l!$.{"</f>
        <v>#VALUE!</v>
      </c>
      <c r="FJ34" t="e">
        <f>'SurveyRpt_20150223 (1)'!W209+"h_l!$.|"</f>
        <v>#VALUE!</v>
      </c>
      <c r="FK34" t="e">
        <f>'SurveyRpt_20150223 (1)'!X209+"h_l!$.}"</f>
        <v>#VALUE!</v>
      </c>
      <c r="FL34" t="e">
        <f>'SurveyRpt_20150223 (1)'!Y209+"h_l!$.~"</f>
        <v>#VALUE!</v>
      </c>
      <c r="FM34" t="e">
        <f>'SurveyRpt_20150223 (1)'!Z209+"h_l!$/#"</f>
        <v>#VALUE!</v>
      </c>
      <c r="FN34" t="e">
        <f>'SurveyRpt_20150223 (1)'!AA209+"h_l!$/$"</f>
        <v>#VALUE!</v>
      </c>
      <c r="FO34" t="e">
        <f>'SurveyRpt_20150223 (1)'!AB209+"h_l!$/%"</f>
        <v>#VALUE!</v>
      </c>
      <c r="FP34" t="e">
        <f>'SurveyRpt_20150223 (1)'!AC209+"h_l!$/&amp;"</f>
        <v>#VALUE!</v>
      </c>
      <c r="FQ34" t="e">
        <f>'SurveyRpt_20150223 (1)'!AD209+"h_l!$/'"</f>
        <v>#VALUE!</v>
      </c>
      <c r="FR34" t="e">
        <f>'SurveyRpt_20150223 (1)'!AE209+"h_l!$/("</f>
        <v>#VALUE!</v>
      </c>
      <c r="FS34" t="e">
        <f>'SurveyRpt_20150223 (1)'!AF209+"h_l!$/)"</f>
        <v>#VALUE!</v>
      </c>
      <c r="FT34" t="e">
        <f>'SurveyRpt_20150223 (1)'!AG209+"h_l!$/."</f>
        <v>#VALUE!</v>
      </c>
      <c r="FU34" t="e">
        <f>'SurveyRpt_20150223 (1)'!AH209+"h_l!$//"</f>
        <v>#VALUE!</v>
      </c>
      <c r="FV34" t="e">
        <f>'SurveyRpt_20150223 (1)'!AI209+"h_l!$/0"</f>
        <v>#VALUE!</v>
      </c>
      <c r="FW34" t="e">
        <f>'SurveyRpt_20150223 (1)'!AJ209+"h_l!$/1"</f>
        <v>#VALUE!</v>
      </c>
      <c r="FX34" t="e">
        <f>'SurveyRpt_20150223 (1)'!AK209+"h_l!$/2"</f>
        <v>#VALUE!</v>
      </c>
      <c r="FY34" t="e">
        <f>'SurveyRpt_20150223 (1)'!AL209+"h_l!$/3"</f>
        <v>#VALUE!</v>
      </c>
      <c r="FZ34" t="e">
        <f>'SurveyRpt_20150223 (1)'!AM209+"h_l!$/4"</f>
        <v>#VALUE!</v>
      </c>
      <c r="GA34" t="e">
        <f>'SurveyRpt_20150223 (1)'!AN209+"h_l!$/5"</f>
        <v>#VALUE!</v>
      </c>
      <c r="GB34" t="e">
        <f>'SurveyRpt_20150223 (1)'!A210+"h_l!$/6"</f>
        <v>#VALUE!</v>
      </c>
      <c r="GC34" s="25" t="e">
        <f>'SurveyRpt_20150223 (1)'!B210+"h_l!$/7"</f>
        <v>#VALUE!</v>
      </c>
      <c r="GD34" t="e">
        <f>'SurveyRpt_20150223 (1)'!C210+"h_l!$/8"</f>
        <v>#VALUE!</v>
      </c>
      <c r="GE34" s="25" t="e">
        <f>'SurveyRpt_20150223 (1)'!D210+"h_l!$/9"</f>
        <v>#VALUE!</v>
      </c>
      <c r="GF34" t="e">
        <f>'SurveyRpt_20150223 (1)'!E210+"h_l!$/:"</f>
        <v>#VALUE!</v>
      </c>
      <c r="GG34" t="e">
        <f>'SurveyRpt_20150223 (1)'!F210+"h_l!$/;"</f>
        <v>#VALUE!</v>
      </c>
      <c r="GH34" t="e">
        <f>'SurveyRpt_20150223 (1)'!G210+"h_l!$/&lt;"</f>
        <v>#VALUE!</v>
      </c>
      <c r="GI34" t="e">
        <f>'SurveyRpt_20150223 (1)'!H210+"h_l!$/="</f>
        <v>#VALUE!</v>
      </c>
      <c r="GJ34" t="e">
        <f>'SurveyRpt_20150223 (1)'!I210+"h_l!$/&gt;"</f>
        <v>#VALUE!</v>
      </c>
      <c r="GK34" t="e">
        <f>'SurveyRpt_20150223 (1)'!J210+"h_l!$/?"</f>
        <v>#VALUE!</v>
      </c>
      <c r="GL34" t="e">
        <f>'SurveyRpt_20150223 (1)'!K210+"h_l!$/@"</f>
        <v>#VALUE!</v>
      </c>
      <c r="GM34" t="e">
        <f>'SurveyRpt_20150223 (1)'!L210+"h_l!$/A"</f>
        <v>#VALUE!</v>
      </c>
      <c r="GN34" t="e">
        <f>'SurveyRpt_20150223 (1)'!M210+"h_l!$/B"</f>
        <v>#VALUE!</v>
      </c>
      <c r="GO34" t="e">
        <f>'SurveyRpt_20150223 (1)'!N210+"h_l!$/C"</f>
        <v>#VALUE!</v>
      </c>
      <c r="GP34" t="e">
        <f>'SurveyRpt_20150223 (1)'!O210+"h_l!$/D"</f>
        <v>#VALUE!</v>
      </c>
      <c r="GQ34" t="e">
        <f>'SurveyRpt_20150223 (1)'!P210+"h_l!$/E"</f>
        <v>#VALUE!</v>
      </c>
      <c r="GR34" t="e">
        <f>'SurveyRpt_20150223 (1)'!Q210+"h_l!$/F"</f>
        <v>#VALUE!</v>
      </c>
      <c r="GS34" t="e">
        <f>'SurveyRpt_20150223 (1)'!R210+"h_l!$/G"</f>
        <v>#VALUE!</v>
      </c>
      <c r="GT34" t="e">
        <f>'SurveyRpt_20150223 (1)'!S210+"h_l!$/H"</f>
        <v>#VALUE!</v>
      </c>
      <c r="GU34" t="e">
        <f>'SurveyRpt_20150223 (1)'!T210+"h_l!$/I"</f>
        <v>#VALUE!</v>
      </c>
      <c r="GV34" t="e">
        <f>'SurveyRpt_20150223 (1)'!U210+"h_l!$/J"</f>
        <v>#VALUE!</v>
      </c>
      <c r="GW34" t="e">
        <f>'SurveyRpt_20150223 (1)'!V210+"h_l!$/K"</f>
        <v>#VALUE!</v>
      </c>
      <c r="GX34" t="e">
        <f>'SurveyRpt_20150223 (1)'!W210+"h_l!$/L"</f>
        <v>#VALUE!</v>
      </c>
      <c r="GY34" t="e">
        <f>'SurveyRpt_20150223 (1)'!X210+"h_l!$/M"</f>
        <v>#VALUE!</v>
      </c>
      <c r="GZ34" t="e">
        <f>'SurveyRpt_20150223 (1)'!Y210+"h_l!$/N"</f>
        <v>#VALUE!</v>
      </c>
      <c r="HA34" t="e">
        <f>'SurveyRpt_20150223 (1)'!Z210+"h_l!$/O"</f>
        <v>#VALUE!</v>
      </c>
      <c r="HB34" t="e">
        <f>'SurveyRpt_20150223 (1)'!AA210+"h_l!$/P"</f>
        <v>#VALUE!</v>
      </c>
      <c r="HC34" t="e">
        <f>'SurveyRpt_20150223 (1)'!AB210+"h_l!$/Q"</f>
        <v>#VALUE!</v>
      </c>
      <c r="HD34" t="e">
        <f>'SurveyRpt_20150223 (1)'!AC210+"h_l!$/R"</f>
        <v>#VALUE!</v>
      </c>
      <c r="HE34" t="e">
        <f>'SurveyRpt_20150223 (1)'!AD210+"h_l!$/S"</f>
        <v>#VALUE!</v>
      </c>
      <c r="HF34" t="e">
        <f>'SurveyRpt_20150223 (1)'!AE210+"h_l!$/T"</f>
        <v>#VALUE!</v>
      </c>
      <c r="HG34" t="e">
        <f>'SurveyRpt_20150223 (1)'!AF210+"h_l!$/U"</f>
        <v>#VALUE!</v>
      </c>
      <c r="HH34" t="e">
        <f>'SurveyRpt_20150223 (1)'!AG210+"h_l!$/V"</f>
        <v>#VALUE!</v>
      </c>
      <c r="HI34" t="e">
        <f>'SurveyRpt_20150223 (1)'!AH210+"h_l!$/W"</f>
        <v>#VALUE!</v>
      </c>
      <c r="HJ34" t="e">
        <f>'SurveyRpt_20150223 (1)'!AI210+"h_l!$/X"</f>
        <v>#VALUE!</v>
      </c>
      <c r="HK34" t="e">
        <f>'SurveyRpt_20150223 (1)'!AJ210+"h_l!$/Y"</f>
        <v>#VALUE!</v>
      </c>
      <c r="HL34" t="e">
        <f>'SurveyRpt_20150223 (1)'!AK210+"h_l!$/Z"</f>
        <v>#VALUE!</v>
      </c>
      <c r="HM34" t="e">
        <f>'SurveyRpt_20150223 (1)'!AL210+"h_l!$/["</f>
        <v>#VALUE!</v>
      </c>
      <c r="HN34" t="e">
        <f>'SurveyRpt_20150223 (1)'!AM210+"h_l!$/\"</f>
        <v>#VALUE!</v>
      </c>
      <c r="HO34" t="e">
        <f>'SurveyRpt_20150223 (1)'!AN210+"h_l!$/]"</f>
        <v>#VALUE!</v>
      </c>
      <c r="HP34" t="e">
        <f>'SurveyRpt_20150223 (1)'!A211+"h_l!$/^"</f>
        <v>#VALUE!</v>
      </c>
      <c r="HQ34" s="25" t="e">
        <f>'SurveyRpt_20150223 (1)'!B211+"h_l!$/_"</f>
        <v>#VALUE!</v>
      </c>
      <c r="HR34" t="e">
        <f>'SurveyRpt_20150223 (1)'!C211+"h_l!$/`"</f>
        <v>#VALUE!</v>
      </c>
      <c r="HS34" s="25" t="e">
        <f>'SurveyRpt_20150223 (1)'!D211+"h_l!$/a"</f>
        <v>#VALUE!</v>
      </c>
      <c r="HT34" t="e">
        <f>'SurveyRpt_20150223 (1)'!E211+"h_l!$/b"</f>
        <v>#VALUE!</v>
      </c>
      <c r="HU34" t="e">
        <f>'SurveyRpt_20150223 (1)'!F211+"h_l!$/c"</f>
        <v>#VALUE!</v>
      </c>
      <c r="HV34" t="e">
        <f>'SurveyRpt_20150223 (1)'!G211+"h_l!$/d"</f>
        <v>#VALUE!</v>
      </c>
      <c r="HW34" t="e">
        <f>'SurveyRpt_20150223 (1)'!H211+"h_l!$/e"</f>
        <v>#VALUE!</v>
      </c>
      <c r="HX34" t="e">
        <f>'SurveyRpt_20150223 (1)'!I211+"h_l!$/f"</f>
        <v>#VALUE!</v>
      </c>
      <c r="HY34" t="e">
        <f>'SurveyRpt_20150223 (1)'!J211+"h_l!$/g"</f>
        <v>#VALUE!</v>
      </c>
      <c r="HZ34" t="e">
        <f>'SurveyRpt_20150223 (1)'!K211+"h_l!$/h"</f>
        <v>#VALUE!</v>
      </c>
      <c r="IA34" t="e">
        <f>'SurveyRpt_20150223 (1)'!L211+"h_l!$/i"</f>
        <v>#VALUE!</v>
      </c>
      <c r="IB34" t="e">
        <f>'SurveyRpt_20150223 (1)'!M211+"h_l!$/j"</f>
        <v>#VALUE!</v>
      </c>
      <c r="IC34" t="e">
        <f>'SurveyRpt_20150223 (1)'!N211+"h_l!$/k"</f>
        <v>#VALUE!</v>
      </c>
      <c r="ID34" t="e">
        <f>'SurveyRpt_20150223 (1)'!O211+"h_l!$/l"</f>
        <v>#VALUE!</v>
      </c>
      <c r="IE34" t="e">
        <f>'SurveyRpt_20150223 (1)'!P211+"h_l!$/m"</f>
        <v>#VALUE!</v>
      </c>
      <c r="IF34" t="e">
        <f>'SurveyRpt_20150223 (1)'!Q211+"h_l!$/n"</f>
        <v>#VALUE!</v>
      </c>
      <c r="IG34" t="e">
        <f>'SurveyRpt_20150223 (1)'!R211+"h_l!$/o"</f>
        <v>#VALUE!</v>
      </c>
      <c r="IH34" t="e">
        <f>'SurveyRpt_20150223 (1)'!S211+"h_l!$/p"</f>
        <v>#VALUE!</v>
      </c>
      <c r="II34" t="e">
        <f>'SurveyRpt_20150223 (1)'!T211+"h_l!$/q"</f>
        <v>#VALUE!</v>
      </c>
      <c r="IJ34" t="e">
        <f>'SurveyRpt_20150223 (1)'!U211+"h_l!$/r"</f>
        <v>#VALUE!</v>
      </c>
      <c r="IK34" t="e">
        <f>'SurveyRpt_20150223 (1)'!V211+"h_l!$/s"</f>
        <v>#VALUE!</v>
      </c>
      <c r="IL34" t="e">
        <f>'SurveyRpt_20150223 (1)'!W211+"h_l!$/t"</f>
        <v>#VALUE!</v>
      </c>
      <c r="IM34" t="e">
        <f>'SurveyRpt_20150223 (1)'!X211+"h_l!$/u"</f>
        <v>#VALUE!</v>
      </c>
      <c r="IN34" t="e">
        <f>'SurveyRpt_20150223 (1)'!Y211+"h_l!$/v"</f>
        <v>#VALUE!</v>
      </c>
      <c r="IO34" t="e">
        <f>'SurveyRpt_20150223 (1)'!Z211+"h_l!$/w"</f>
        <v>#VALUE!</v>
      </c>
      <c r="IP34" t="e">
        <f>'SurveyRpt_20150223 (1)'!AA211+"h_l!$/x"</f>
        <v>#VALUE!</v>
      </c>
      <c r="IQ34" t="e">
        <f>'SurveyRpt_20150223 (1)'!AB211+"h_l!$/y"</f>
        <v>#VALUE!</v>
      </c>
      <c r="IR34" t="e">
        <f>'SurveyRpt_20150223 (1)'!AC211+"h_l!$/z"</f>
        <v>#VALUE!</v>
      </c>
      <c r="IS34" t="e">
        <f>'SurveyRpt_20150223 (1)'!AD211+"h_l!$/{"</f>
        <v>#VALUE!</v>
      </c>
      <c r="IT34" t="e">
        <f>'SurveyRpt_20150223 (1)'!AE211+"h_l!$/|"</f>
        <v>#VALUE!</v>
      </c>
      <c r="IU34" t="e">
        <f>'SurveyRpt_20150223 (1)'!AF211+"h_l!$/}"</f>
        <v>#VALUE!</v>
      </c>
      <c r="IV34" t="e">
        <f>'SurveyRpt_20150223 (1)'!AG211+"h_l!$/~"</f>
        <v>#VALUE!</v>
      </c>
    </row>
    <row r="35" spans="6:256" x14ac:dyDescent="0.25">
      <c r="F35" t="e">
        <f>'SurveyRpt_20150223 (1)'!AH211+"h_l!$0#"</f>
        <v>#VALUE!</v>
      </c>
      <c r="G35" t="e">
        <f>'SurveyRpt_20150223 (1)'!AI211+"h_l!$0$"</f>
        <v>#VALUE!</v>
      </c>
      <c r="H35" t="e">
        <f>'SurveyRpt_20150223 (1)'!AJ211+"h_l!$0%"</f>
        <v>#VALUE!</v>
      </c>
      <c r="I35" t="e">
        <f>'SurveyRpt_20150223 (1)'!AK211+"h_l!$0&amp;"</f>
        <v>#VALUE!</v>
      </c>
      <c r="J35" t="e">
        <f>'SurveyRpt_20150223 (1)'!AL211+"h_l!$0'"</f>
        <v>#VALUE!</v>
      </c>
      <c r="K35" t="e">
        <f>'SurveyRpt_20150223 (1)'!AM211+"h_l!$0("</f>
        <v>#VALUE!</v>
      </c>
      <c r="L35" t="e">
        <f>'SurveyRpt_20150223 (1)'!AN211+"h_l!$0)"</f>
        <v>#VALUE!</v>
      </c>
      <c r="M35" t="e">
        <f>'SurveyRpt_20150223 (1)'!A212+"h_l!$0."</f>
        <v>#VALUE!</v>
      </c>
      <c r="N35" s="25" t="e">
        <f>'SurveyRpt_20150223 (1)'!B212+"h_l!$0/"</f>
        <v>#VALUE!</v>
      </c>
      <c r="O35" t="e">
        <f>'SurveyRpt_20150223 (1)'!C212+"h_l!$00"</f>
        <v>#VALUE!</v>
      </c>
      <c r="P35" s="25" t="e">
        <f>'SurveyRpt_20150223 (1)'!D212+"h_l!$01"</f>
        <v>#VALUE!</v>
      </c>
      <c r="Q35" t="e">
        <f>'SurveyRpt_20150223 (1)'!E212+"h_l!$02"</f>
        <v>#VALUE!</v>
      </c>
      <c r="R35" t="e">
        <f>'SurveyRpt_20150223 (1)'!F212+"h_l!$03"</f>
        <v>#VALUE!</v>
      </c>
      <c r="S35" t="e">
        <f>'SurveyRpt_20150223 (1)'!G212+"h_l!$04"</f>
        <v>#VALUE!</v>
      </c>
      <c r="T35" t="e">
        <f>'SurveyRpt_20150223 (1)'!H212+"h_l!$05"</f>
        <v>#VALUE!</v>
      </c>
      <c r="U35" t="e">
        <f>'SurveyRpt_20150223 (1)'!I212+"h_l!$06"</f>
        <v>#VALUE!</v>
      </c>
      <c r="V35" t="e">
        <f>'SurveyRpt_20150223 (1)'!J212+"h_l!$07"</f>
        <v>#VALUE!</v>
      </c>
      <c r="W35" t="e">
        <f>'SurveyRpt_20150223 (1)'!K212+"h_l!$08"</f>
        <v>#VALUE!</v>
      </c>
      <c r="X35" t="e">
        <f>'SurveyRpt_20150223 (1)'!L212+"h_l!$09"</f>
        <v>#VALUE!</v>
      </c>
      <c r="Y35" t="e">
        <f>'SurveyRpt_20150223 (1)'!M212+"h_l!$0:"</f>
        <v>#VALUE!</v>
      </c>
      <c r="Z35" t="e">
        <f>'SurveyRpt_20150223 (1)'!N212+"h_l!$0;"</f>
        <v>#VALUE!</v>
      </c>
      <c r="AA35" t="e">
        <f>'SurveyRpt_20150223 (1)'!O212+"h_l!$0&lt;"</f>
        <v>#VALUE!</v>
      </c>
      <c r="AB35" t="e">
        <f>'SurveyRpt_20150223 (1)'!P212+"h_l!$0="</f>
        <v>#VALUE!</v>
      </c>
      <c r="AC35" t="e">
        <f>'SurveyRpt_20150223 (1)'!Q212+"h_l!$0&gt;"</f>
        <v>#VALUE!</v>
      </c>
      <c r="AD35" t="e">
        <f>'SurveyRpt_20150223 (1)'!R212+"h_l!$0?"</f>
        <v>#VALUE!</v>
      </c>
      <c r="AE35" t="e">
        <f>'SurveyRpt_20150223 (1)'!S212+"h_l!$0@"</f>
        <v>#VALUE!</v>
      </c>
      <c r="AF35" t="e">
        <f>'SurveyRpt_20150223 (1)'!T212+"h_l!$0A"</f>
        <v>#VALUE!</v>
      </c>
      <c r="AG35" t="e">
        <f>'SurveyRpt_20150223 (1)'!U212+"h_l!$0B"</f>
        <v>#VALUE!</v>
      </c>
      <c r="AH35" t="e">
        <f>'SurveyRpt_20150223 (1)'!V212+"h_l!$0C"</f>
        <v>#VALUE!</v>
      </c>
      <c r="AI35" t="e">
        <f>'SurveyRpt_20150223 (1)'!W212+"h_l!$0D"</f>
        <v>#VALUE!</v>
      </c>
      <c r="AJ35" t="e">
        <f>'SurveyRpt_20150223 (1)'!X212+"h_l!$0E"</f>
        <v>#VALUE!</v>
      </c>
      <c r="AK35" t="e">
        <f>'SurveyRpt_20150223 (1)'!Y212+"h_l!$0F"</f>
        <v>#VALUE!</v>
      </c>
      <c r="AL35" t="e">
        <f>'SurveyRpt_20150223 (1)'!Z212+"h_l!$0G"</f>
        <v>#VALUE!</v>
      </c>
      <c r="AM35" t="e">
        <f>'SurveyRpt_20150223 (1)'!AA212+"h_l!$0H"</f>
        <v>#VALUE!</v>
      </c>
      <c r="AN35" t="e">
        <f>'SurveyRpt_20150223 (1)'!AB212+"h_l!$0I"</f>
        <v>#VALUE!</v>
      </c>
      <c r="AO35" t="e">
        <f>'SurveyRpt_20150223 (1)'!AC212+"h_l!$0J"</f>
        <v>#VALUE!</v>
      </c>
      <c r="AP35" t="e">
        <f>'SurveyRpt_20150223 (1)'!AD212+"h_l!$0K"</f>
        <v>#VALUE!</v>
      </c>
      <c r="AQ35" t="e">
        <f>'SurveyRpt_20150223 (1)'!AE212+"h_l!$0L"</f>
        <v>#VALUE!</v>
      </c>
      <c r="AR35" t="e">
        <f>'SurveyRpt_20150223 (1)'!AF212+"h_l!$0M"</f>
        <v>#VALUE!</v>
      </c>
      <c r="AS35" t="e">
        <f>'SurveyRpt_20150223 (1)'!AG212+"h_l!$0N"</f>
        <v>#VALUE!</v>
      </c>
      <c r="AT35" t="e">
        <f>'SurveyRpt_20150223 (1)'!AH212+"h_l!$0O"</f>
        <v>#VALUE!</v>
      </c>
      <c r="AU35" t="e">
        <f>'SurveyRpt_20150223 (1)'!AI212+"h_l!$0P"</f>
        <v>#VALUE!</v>
      </c>
      <c r="AV35" t="e">
        <f>'SurveyRpt_20150223 (1)'!AJ212+"h_l!$0Q"</f>
        <v>#VALUE!</v>
      </c>
      <c r="AW35" t="e">
        <f>'SurveyRpt_20150223 (1)'!AK212+"h_l!$0R"</f>
        <v>#VALUE!</v>
      </c>
      <c r="AX35" t="e">
        <f>'SurveyRpt_20150223 (1)'!AL212+"h_l!$0S"</f>
        <v>#VALUE!</v>
      </c>
      <c r="AY35" t="e">
        <f>'SurveyRpt_20150223 (1)'!AM212+"h_l!$0T"</f>
        <v>#VALUE!</v>
      </c>
      <c r="AZ35" t="e">
        <f>'SurveyRpt_20150223 (1)'!AN212+"h_l!$0U"</f>
        <v>#VALUE!</v>
      </c>
      <c r="BA35" t="e">
        <f>'SurveyRpt_20150223 (1)'!A213+"h_l!$0V"</f>
        <v>#VALUE!</v>
      </c>
      <c r="BB35" s="25" t="e">
        <f>'SurveyRpt_20150223 (1)'!B213+"h_l!$0W"</f>
        <v>#VALUE!</v>
      </c>
      <c r="BC35" t="e">
        <f>'SurveyRpt_20150223 (1)'!C213+"h_l!$0X"</f>
        <v>#VALUE!</v>
      </c>
      <c r="BD35" s="25" t="e">
        <f>'SurveyRpt_20150223 (1)'!D213+"h_l!$0Y"</f>
        <v>#VALUE!</v>
      </c>
      <c r="BE35" t="e">
        <f>'SurveyRpt_20150223 (1)'!E213+"h_l!$0Z"</f>
        <v>#VALUE!</v>
      </c>
      <c r="BF35" t="e">
        <f>'SurveyRpt_20150223 (1)'!F213+"h_l!$0["</f>
        <v>#VALUE!</v>
      </c>
      <c r="BG35" t="e">
        <f>'SurveyRpt_20150223 (1)'!G213+"h_l!$0\"</f>
        <v>#VALUE!</v>
      </c>
      <c r="BH35" t="e">
        <f>'SurveyRpt_20150223 (1)'!H213+"h_l!$0]"</f>
        <v>#VALUE!</v>
      </c>
      <c r="BI35" t="e">
        <f>'SurveyRpt_20150223 (1)'!I213+"h_l!$0^"</f>
        <v>#VALUE!</v>
      </c>
      <c r="BJ35" t="e">
        <f>'SurveyRpt_20150223 (1)'!J213+"h_l!$0_"</f>
        <v>#VALUE!</v>
      </c>
      <c r="BK35" t="e">
        <f>'SurveyRpt_20150223 (1)'!K213+"h_l!$0`"</f>
        <v>#VALUE!</v>
      </c>
      <c r="BL35" t="e">
        <f>'SurveyRpt_20150223 (1)'!L213+"h_l!$0a"</f>
        <v>#VALUE!</v>
      </c>
      <c r="BM35" t="e">
        <f>'SurveyRpt_20150223 (1)'!M213+"h_l!$0b"</f>
        <v>#VALUE!</v>
      </c>
      <c r="BN35" t="e">
        <f>'SurveyRpt_20150223 (1)'!N213+"h_l!$0c"</f>
        <v>#VALUE!</v>
      </c>
      <c r="BO35" t="e">
        <f>'SurveyRpt_20150223 (1)'!O213+"h_l!$0d"</f>
        <v>#VALUE!</v>
      </c>
      <c r="BP35" t="e">
        <f>'SurveyRpt_20150223 (1)'!P213+"h_l!$0e"</f>
        <v>#VALUE!</v>
      </c>
      <c r="BQ35" t="e">
        <f>'SurveyRpt_20150223 (1)'!Q213+"h_l!$0f"</f>
        <v>#VALUE!</v>
      </c>
      <c r="BR35" t="e">
        <f>'SurveyRpt_20150223 (1)'!R213+"h_l!$0g"</f>
        <v>#VALUE!</v>
      </c>
      <c r="BS35" t="e">
        <f>'SurveyRpt_20150223 (1)'!S213+"h_l!$0h"</f>
        <v>#VALUE!</v>
      </c>
      <c r="BT35" t="e">
        <f>'SurveyRpt_20150223 (1)'!T213+"h_l!$0i"</f>
        <v>#VALUE!</v>
      </c>
      <c r="BU35" t="e">
        <f>'SurveyRpt_20150223 (1)'!U213+"h_l!$0j"</f>
        <v>#VALUE!</v>
      </c>
      <c r="BV35" t="e">
        <f>'SurveyRpt_20150223 (1)'!V213+"h_l!$0k"</f>
        <v>#VALUE!</v>
      </c>
      <c r="BW35" t="e">
        <f>'SurveyRpt_20150223 (1)'!W213+"h_l!$0l"</f>
        <v>#VALUE!</v>
      </c>
      <c r="BX35" t="e">
        <f>'SurveyRpt_20150223 (1)'!X213+"h_l!$0m"</f>
        <v>#VALUE!</v>
      </c>
      <c r="BY35" t="e">
        <f>'SurveyRpt_20150223 (1)'!Y213+"h_l!$0n"</f>
        <v>#VALUE!</v>
      </c>
      <c r="BZ35" t="e">
        <f>'SurveyRpt_20150223 (1)'!Z213+"h_l!$0o"</f>
        <v>#VALUE!</v>
      </c>
      <c r="CA35" t="e">
        <f>'SurveyRpt_20150223 (1)'!AA213+"h_l!$0p"</f>
        <v>#VALUE!</v>
      </c>
      <c r="CB35" t="e">
        <f>'SurveyRpt_20150223 (1)'!AB213+"h_l!$0q"</f>
        <v>#VALUE!</v>
      </c>
      <c r="CC35" t="e">
        <f>'SurveyRpt_20150223 (1)'!AC213+"h_l!$0r"</f>
        <v>#VALUE!</v>
      </c>
      <c r="CD35" t="e">
        <f>'SurveyRpt_20150223 (1)'!AD213+"h_l!$0s"</f>
        <v>#VALUE!</v>
      </c>
      <c r="CE35" t="e">
        <f>'SurveyRpt_20150223 (1)'!AE213+"h_l!$0t"</f>
        <v>#VALUE!</v>
      </c>
      <c r="CF35" t="e">
        <f>'SurveyRpt_20150223 (1)'!AF213+"h_l!$0u"</f>
        <v>#VALUE!</v>
      </c>
      <c r="CG35" t="e">
        <f>'SurveyRpt_20150223 (1)'!AG213+"h_l!$0v"</f>
        <v>#VALUE!</v>
      </c>
      <c r="CH35" t="e">
        <f>'SurveyRpt_20150223 (1)'!AH213+"h_l!$0w"</f>
        <v>#VALUE!</v>
      </c>
      <c r="CI35" t="e">
        <f>'SurveyRpt_20150223 (1)'!AI213+"h_l!$0x"</f>
        <v>#VALUE!</v>
      </c>
      <c r="CJ35" t="e">
        <f>'SurveyRpt_20150223 (1)'!AJ213+"h_l!$0y"</f>
        <v>#VALUE!</v>
      </c>
      <c r="CK35" t="e">
        <f>'SurveyRpt_20150223 (1)'!AK213+"h_l!$0z"</f>
        <v>#VALUE!</v>
      </c>
      <c r="CL35" t="e">
        <f>'SurveyRpt_20150223 (1)'!AL213+"h_l!$0{"</f>
        <v>#VALUE!</v>
      </c>
      <c r="CM35" t="e">
        <f>'SurveyRpt_20150223 (1)'!AM213+"h_l!$0|"</f>
        <v>#VALUE!</v>
      </c>
      <c r="CN35" t="e">
        <f>'SurveyRpt_20150223 (1)'!AN213+"h_l!$0}"</f>
        <v>#VALUE!</v>
      </c>
      <c r="CO35" t="e">
        <f>'SurveyRpt_20150223 (1)'!A214+"h_l!$0~"</f>
        <v>#VALUE!</v>
      </c>
      <c r="CP35" s="25" t="e">
        <f>'SurveyRpt_20150223 (1)'!B214+"h_l!$1#"</f>
        <v>#VALUE!</v>
      </c>
      <c r="CQ35" t="e">
        <f>'SurveyRpt_20150223 (1)'!C214+"h_l!$1$"</f>
        <v>#VALUE!</v>
      </c>
      <c r="CR35" s="25" t="e">
        <f>'SurveyRpt_20150223 (1)'!D214+"h_l!$1%"</f>
        <v>#VALUE!</v>
      </c>
      <c r="CS35" t="e">
        <f>'SurveyRpt_20150223 (1)'!E214+"h_l!$1&amp;"</f>
        <v>#VALUE!</v>
      </c>
      <c r="CT35" t="e">
        <f>'SurveyRpt_20150223 (1)'!F214+"h_l!$1'"</f>
        <v>#VALUE!</v>
      </c>
      <c r="CU35" t="e">
        <f>'SurveyRpt_20150223 (1)'!G214+"h_l!$1("</f>
        <v>#VALUE!</v>
      </c>
      <c r="CV35" t="e">
        <f>'SurveyRpt_20150223 (1)'!H214+"h_l!$1)"</f>
        <v>#VALUE!</v>
      </c>
      <c r="CW35" t="e">
        <f>'SurveyRpt_20150223 (1)'!I214+"h_l!$1."</f>
        <v>#VALUE!</v>
      </c>
      <c r="CX35" t="e">
        <f>'SurveyRpt_20150223 (1)'!J214+"h_l!$1/"</f>
        <v>#VALUE!</v>
      </c>
      <c r="CY35" t="e">
        <f>'SurveyRpt_20150223 (1)'!K214+"h_l!$10"</f>
        <v>#VALUE!</v>
      </c>
      <c r="CZ35" t="e">
        <f>'SurveyRpt_20150223 (1)'!L214+"h_l!$11"</f>
        <v>#VALUE!</v>
      </c>
      <c r="DA35" t="e">
        <f>'SurveyRpt_20150223 (1)'!M214+"h_l!$12"</f>
        <v>#VALUE!</v>
      </c>
      <c r="DB35" t="e">
        <f>'SurveyRpt_20150223 (1)'!N214+"h_l!$13"</f>
        <v>#VALUE!</v>
      </c>
      <c r="DC35" t="e">
        <f>'SurveyRpt_20150223 (1)'!O214+"h_l!$14"</f>
        <v>#VALUE!</v>
      </c>
      <c r="DD35" t="e">
        <f>'SurveyRpt_20150223 (1)'!P214+"h_l!$15"</f>
        <v>#VALUE!</v>
      </c>
      <c r="DE35" t="e">
        <f>'SurveyRpt_20150223 (1)'!Q214+"h_l!$16"</f>
        <v>#VALUE!</v>
      </c>
      <c r="DF35" t="e">
        <f>'SurveyRpt_20150223 (1)'!R214+"h_l!$17"</f>
        <v>#VALUE!</v>
      </c>
      <c r="DG35" t="e">
        <f>'SurveyRpt_20150223 (1)'!S214+"h_l!$18"</f>
        <v>#VALUE!</v>
      </c>
      <c r="DH35" t="e">
        <f>'SurveyRpt_20150223 (1)'!T214+"h_l!$19"</f>
        <v>#VALUE!</v>
      </c>
      <c r="DI35" t="e">
        <f>'SurveyRpt_20150223 (1)'!U214+"h_l!$1:"</f>
        <v>#VALUE!</v>
      </c>
      <c r="DJ35" t="e">
        <f>'SurveyRpt_20150223 (1)'!V214+"h_l!$1;"</f>
        <v>#VALUE!</v>
      </c>
      <c r="DK35" t="e">
        <f>'SurveyRpt_20150223 (1)'!W214+"h_l!$1&lt;"</f>
        <v>#VALUE!</v>
      </c>
      <c r="DL35" t="e">
        <f>'SurveyRpt_20150223 (1)'!X214+"h_l!$1="</f>
        <v>#VALUE!</v>
      </c>
      <c r="DM35" t="e">
        <f>'SurveyRpt_20150223 (1)'!Y214+"h_l!$1&gt;"</f>
        <v>#VALUE!</v>
      </c>
      <c r="DN35" t="e">
        <f>'SurveyRpt_20150223 (1)'!Z214+"h_l!$1?"</f>
        <v>#VALUE!</v>
      </c>
      <c r="DO35" t="e">
        <f>'SurveyRpt_20150223 (1)'!AA214+"h_l!$1@"</f>
        <v>#VALUE!</v>
      </c>
      <c r="DP35" t="e">
        <f>'SurveyRpt_20150223 (1)'!AB214+"h_l!$1A"</f>
        <v>#VALUE!</v>
      </c>
      <c r="DQ35" t="e">
        <f>'SurveyRpt_20150223 (1)'!AC214+"h_l!$1B"</f>
        <v>#VALUE!</v>
      </c>
      <c r="DR35" t="e">
        <f>'SurveyRpt_20150223 (1)'!AD214+"h_l!$1C"</f>
        <v>#VALUE!</v>
      </c>
      <c r="DS35" t="e">
        <f>'SurveyRpt_20150223 (1)'!AE214+"h_l!$1D"</f>
        <v>#VALUE!</v>
      </c>
      <c r="DT35" t="e">
        <f>'SurveyRpt_20150223 (1)'!AF214+"h_l!$1E"</f>
        <v>#VALUE!</v>
      </c>
      <c r="DU35" t="e">
        <f>'SurveyRpt_20150223 (1)'!AG214+"h_l!$1F"</f>
        <v>#VALUE!</v>
      </c>
      <c r="DV35" t="e">
        <f>'SurveyRpt_20150223 (1)'!AH214+"h_l!$1G"</f>
        <v>#VALUE!</v>
      </c>
      <c r="DW35" t="e">
        <f>'SurveyRpt_20150223 (1)'!AI214+"h_l!$1H"</f>
        <v>#VALUE!</v>
      </c>
      <c r="DX35" t="e">
        <f>'SurveyRpt_20150223 (1)'!AJ214+"h_l!$1I"</f>
        <v>#VALUE!</v>
      </c>
      <c r="DY35" t="e">
        <f>'SurveyRpt_20150223 (1)'!AK214+"h_l!$1J"</f>
        <v>#VALUE!</v>
      </c>
      <c r="DZ35" t="e">
        <f>'SurveyRpt_20150223 (1)'!AL214+"h_l!$1K"</f>
        <v>#VALUE!</v>
      </c>
      <c r="EA35" t="e">
        <f>'SurveyRpt_20150223 (1)'!AM214+"h_l!$1L"</f>
        <v>#VALUE!</v>
      </c>
      <c r="EB35" t="e">
        <f>'SurveyRpt_20150223 (1)'!AN214+"h_l!$1M"</f>
        <v>#VALUE!</v>
      </c>
      <c r="EC35" t="e">
        <f>'SurveyRpt_20150223 (1)'!A215+"h_l!$1N"</f>
        <v>#VALUE!</v>
      </c>
      <c r="ED35" s="25" t="e">
        <f>'SurveyRpt_20150223 (1)'!B215+"h_l!$1O"</f>
        <v>#VALUE!</v>
      </c>
      <c r="EE35" t="e">
        <f>'SurveyRpt_20150223 (1)'!C215+"h_l!$1P"</f>
        <v>#VALUE!</v>
      </c>
      <c r="EF35" s="25" t="e">
        <f>'SurveyRpt_20150223 (1)'!D215+"h_l!$1Q"</f>
        <v>#VALUE!</v>
      </c>
      <c r="EG35" t="e">
        <f>'SurveyRpt_20150223 (1)'!E215+"h_l!$1R"</f>
        <v>#VALUE!</v>
      </c>
      <c r="EH35" t="e">
        <f>'SurveyRpt_20150223 (1)'!F215+"h_l!$1S"</f>
        <v>#VALUE!</v>
      </c>
      <c r="EI35" t="e">
        <f>'SurveyRpt_20150223 (1)'!G215+"h_l!$1T"</f>
        <v>#VALUE!</v>
      </c>
      <c r="EJ35" t="e">
        <f>'SurveyRpt_20150223 (1)'!H215+"h_l!$1U"</f>
        <v>#VALUE!</v>
      </c>
      <c r="EK35" t="e">
        <f>'SurveyRpt_20150223 (1)'!I215+"h_l!$1V"</f>
        <v>#VALUE!</v>
      </c>
      <c r="EL35" t="e">
        <f>'SurveyRpt_20150223 (1)'!J215+"h_l!$1W"</f>
        <v>#VALUE!</v>
      </c>
      <c r="EM35" t="e">
        <f>'SurveyRpt_20150223 (1)'!K215+"h_l!$1X"</f>
        <v>#VALUE!</v>
      </c>
      <c r="EN35" t="e">
        <f>'SurveyRpt_20150223 (1)'!L215+"h_l!$1Y"</f>
        <v>#VALUE!</v>
      </c>
      <c r="EO35" t="e">
        <f>'SurveyRpt_20150223 (1)'!M215+"h_l!$1Z"</f>
        <v>#VALUE!</v>
      </c>
      <c r="EP35" t="e">
        <f>'SurveyRpt_20150223 (1)'!N215+"h_l!$1["</f>
        <v>#VALUE!</v>
      </c>
      <c r="EQ35" t="e">
        <f>'SurveyRpt_20150223 (1)'!O215+"h_l!$1\"</f>
        <v>#VALUE!</v>
      </c>
      <c r="ER35" t="e">
        <f>'SurveyRpt_20150223 (1)'!P215+"h_l!$1]"</f>
        <v>#VALUE!</v>
      </c>
      <c r="ES35" t="e">
        <f>'SurveyRpt_20150223 (1)'!Q215+"h_l!$1^"</f>
        <v>#VALUE!</v>
      </c>
      <c r="ET35" t="e">
        <f>'SurveyRpt_20150223 (1)'!R215+"h_l!$1_"</f>
        <v>#VALUE!</v>
      </c>
      <c r="EU35" t="e">
        <f>'SurveyRpt_20150223 (1)'!S215+"h_l!$1`"</f>
        <v>#VALUE!</v>
      </c>
      <c r="EV35" t="e">
        <f>'SurveyRpt_20150223 (1)'!T215+"h_l!$1a"</f>
        <v>#VALUE!</v>
      </c>
      <c r="EW35" t="e">
        <f>'SurveyRpt_20150223 (1)'!U215+"h_l!$1b"</f>
        <v>#VALUE!</v>
      </c>
      <c r="EX35" t="e">
        <f>'SurveyRpt_20150223 (1)'!V215+"h_l!$1c"</f>
        <v>#VALUE!</v>
      </c>
      <c r="EY35" t="e">
        <f>'SurveyRpt_20150223 (1)'!W215+"h_l!$1d"</f>
        <v>#VALUE!</v>
      </c>
      <c r="EZ35" t="e">
        <f>'SurveyRpt_20150223 (1)'!X215+"h_l!$1e"</f>
        <v>#VALUE!</v>
      </c>
      <c r="FA35" t="e">
        <f>'SurveyRpt_20150223 (1)'!Y215+"h_l!$1f"</f>
        <v>#VALUE!</v>
      </c>
      <c r="FB35" t="e">
        <f>'SurveyRpt_20150223 (1)'!Z215+"h_l!$1g"</f>
        <v>#VALUE!</v>
      </c>
      <c r="FC35" t="e">
        <f>'SurveyRpt_20150223 (1)'!AA215+"h_l!$1h"</f>
        <v>#VALUE!</v>
      </c>
      <c r="FD35" t="e">
        <f>'SurveyRpt_20150223 (1)'!AB215+"h_l!$1i"</f>
        <v>#VALUE!</v>
      </c>
      <c r="FE35" t="e">
        <f>'SurveyRpt_20150223 (1)'!AC215+"h_l!$1j"</f>
        <v>#VALUE!</v>
      </c>
      <c r="FF35" t="e">
        <f>'SurveyRpt_20150223 (1)'!AD215+"h_l!$1k"</f>
        <v>#VALUE!</v>
      </c>
      <c r="FG35" t="e">
        <f>'SurveyRpt_20150223 (1)'!AE215+"h_l!$1l"</f>
        <v>#VALUE!</v>
      </c>
      <c r="FH35" t="e">
        <f>'SurveyRpt_20150223 (1)'!AF215+"h_l!$1m"</f>
        <v>#VALUE!</v>
      </c>
      <c r="FI35" t="e">
        <f>'SurveyRpt_20150223 (1)'!AG215+"h_l!$1n"</f>
        <v>#VALUE!</v>
      </c>
      <c r="FJ35" t="e">
        <f>'SurveyRpt_20150223 (1)'!AH215+"h_l!$1o"</f>
        <v>#VALUE!</v>
      </c>
      <c r="FK35" t="e">
        <f>'SurveyRpt_20150223 (1)'!AI215+"h_l!$1p"</f>
        <v>#VALUE!</v>
      </c>
      <c r="FL35" t="e">
        <f>'SurveyRpt_20150223 (1)'!AJ215+"h_l!$1q"</f>
        <v>#VALUE!</v>
      </c>
      <c r="FM35" t="e">
        <f>'SurveyRpt_20150223 (1)'!AK215+"h_l!$1r"</f>
        <v>#VALUE!</v>
      </c>
      <c r="FN35" t="e">
        <f>'SurveyRpt_20150223 (1)'!AL215+"h_l!$1s"</f>
        <v>#VALUE!</v>
      </c>
      <c r="FO35" t="e">
        <f>'SurveyRpt_20150223 (1)'!AM215+"h_l!$1t"</f>
        <v>#VALUE!</v>
      </c>
      <c r="FP35" t="e">
        <f>'SurveyRpt_20150223 (1)'!AN215+"h_l!$1u"</f>
        <v>#VALUE!</v>
      </c>
      <c r="FQ35" t="e">
        <f>'SurveyRpt_20150223 (1)'!A216+"h_l!$1v"</f>
        <v>#VALUE!</v>
      </c>
      <c r="FR35" s="25" t="e">
        <f>'SurveyRpt_20150223 (1)'!B216+"h_l!$1w"</f>
        <v>#VALUE!</v>
      </c>
      <c r="FS35" t="e">
        <f>'SurveyRpt_20150223 (1)'!C216+"h_l!$1x"</f>
        <v>#VALUE!</v>
      </c>
      <c r="FT35" s="25" t="e">
        <f>'SurveyRpt_20150223 (1)'!D216+"h_l!$1y"</f>
        <v>#VALUE!</v>
      </c>
      <c r="FU35" t="e">
        <f>'SurveyRpt_20150223 (1)'!E216+"h_l!$1z"</f>
        <v>#VALUE!</v>
      </c>
      <c r="FV35" t="e">
        <f>'SurveyRpt_20150223 (1)'!F216+"h_l!$1{"</f>
        <v>#VALUE!</v>
      </c>
      <c r="FW35" t="e">
        <f>'SurveyRpt_20150223 (1)'!G216+"h_l!$1|"</f>
        <v>#VALUE!</v>
      </c>
      <c r="FX35" t="e">
        <f>'SurveyRpt_20150223 (1)'!H216+"h_l!$1}"</f>
        <v>#VALUE!</v>
      </c>
      <c r="FY35" t="e">
        <f>'SurveyRpt_20150223 (1)'!I216+"h_l!$1~"</f>
        <v>#VALUE!</v>
      </c>
      <c r="FZ35" t="e">
        <f>'SurveyRpt_20150223 (1)'!J216+"h_l!$2#"</f>
        <v>#VALUE!</v>
      </c>
      <c r="GA35" t="e">
        <f>'SurveyRpt_20150223 (1)'!K216+"h_l!$2$"</f>
        <v>#VALUE!</v>
      </c>
      <c r="GB35" t="e">
        <f>'SurveyRpt_20150223 (1)'!L216+"h_l!$2%"</f>
        <v>#VALUE!</v>
      </c>
      <c r="GC35" t="e">
        <f>'SurveyRpt_20150223 (1)'!M216+"h_l!$2&amp;"</f>
        <v>#VALUE!</v>
      </c>
      <c r="GD35" t="e">
        <f>'SurveyRpt_20150223 (1)'!N216+"h_l!$2'"</f>
        <v>#VALUE!</v>
      </c>
      <c r="GE35" t="e">
        <f>'SurveyRpt_20150223 (1)'!O216+"h_l!$2("</f>
        <v>#VALUE!</v>
      </c>
      <c r="GF35" t="e">
        <f>'SurveyRpt_20150223 (1)'!P216+"h_l!$2)"</f>
        <v>#VALUE!</v>
      </c>
      <c r="GG35" t="e">
        <f>'SurveyRpt_20150223 (1)'!Q216+"h_l!$2."</f>
        <v>#VALUE!</v>
      </c>
      <c r="GH35" t="e">
        <f>'SurveyRpt_20150223 (1)'!R216+"h_l!$2/"</f>
        <v>#VALUE!</v>
      </c>
      <c r="GI35" t="e">
        <f>'SurveyRpt_20150223 (1)'!S216+"h_l!$20"</f>
        <v>#VALUE!</v>
      </c>
      <c r="GJ35" t="e">
        <f>'SurveyRpt_20150223 (1)'!T216+"h_l!$21"</f>
        <v>#VALUE!</v>
      </c>
      <c r="GK35" t="e">
        <f>'SurveyRpt_20150223 (1)'!U216+"h_l!$22"</f>
        <v>#VALUE!</v>
      </c>
      <c r="GL35" t="e">
        <f>'SurveyRpt_20150223 (1)'!V216+"h_l!$23"</f>
        <v>#VALUE!</v>
      </c>
      <c r="GM35" t="e">
        <f>'SurveyRpt_20150223 (1)'!W216+"h_l!$24"</f>
        <v>#VALUE!</v>
      </c>
      <c r="GN35" t="e">
        <f>'SurveyRpt_20150223 (1)'!X216+"h_l!$25"</f>
        <v>#VALUE!</v>
      </c>
      <c r="GO35" t="e">
        <f>'SurveyRpt_20150223 (1)'!Y216+"h_l!$26"</f>
        <v>#VALUE!</v>
      </c>
      <c r="GP35" t="e">
        <f>'SurveyRpt_20150223 (1)'!Z216+"h_l!$27"</f>
        <v>#VALUE!</v>
      </c>
      <c r="GQ35" t="e">
        <f>'SurveyRpt_20150223 (1)'!AA216+"h_l!$28"</f>
        <v>#VALUE!</v>
      </c>
      <c r="GR35" t="e">
        <f>'SurveyRpt_20150223 (1)'!AB216+"h_l!$29"</f>
        <v>#VALUE!</v>
      </c>
      <c r="GS35" t="e">
        <f>'SurveyRpt_20150223 (1)'!AC216+"h_l!$2:"</f>
        <v>#VALUE!</v>
      </c>
      <c r="GT35" t="e">
        <f>'SurveyRpt_20150223 (1)'!AD216+"h_l!$2;"</f>
        <v>#VALUE!</v>
      </c>
      <c r="GU35" t="e">
        <f>'SurveyRpt_20150223 (1)'!AE216+"h_l!$2&lt;"</f>
        <v>#VALUE!</v>
      </c>
      <c r="GV35" t="e">
        <f>'SurveyRpt_20150223 (1)'!AF216+"h_l!$2="</f>
        <v>#VALUE!</v>
      </c>
      <c r="GW35" t="e">
        <f>'SurveyRpt_20150223 (1)'!AG216+"h_l!$2&gt;"</f>
        <v>#VALUE!</v>
      </c>
      <c r="GX35" t="e">
        <f>'SurveyRpt_20150223 (1)'!AH216+"h_l!$2?"</f>
        <v>#VALUE!</v>
      </c>
      <c r="GY35" t="e">
        <f>'SurveyRpt_20150223 (1)'!AI216+"h_l!$2@"</f>
        <v>#VALUE!</v>
      </c>
      <c r="GZ35" t="e">
        <f>'SurveyRpt_20150223 (1)'!AJ216+"h_l!$2A"</f>
        <v>#VALUE!</v>
      </c>
      <c r="HA35" t="e">
        <f>'SurveyRpt_20150223 (1)'!AK216+"h_l!$2B"</f>
        <v>#VALUE!</v>
      </c>
      <c r="HB35" t="e">
        <f>'SurveyRpt_20150223 (1)'!AL216+"h_l!$2C"</f>
        <v>#VALUE!</v>
      </c>
      <c r="HC35" t="e">
        <f>'SurveyRpt_20150223 (1)'!AM216+"h_l!$2D"</f>
        <v>#VALUE!</v>
      </c>
      <c r="HD35" t="e">
        <f>'SurveyRpt_20150223 (1)'!AN216+"h_l!$2E"</f>
        <v>#VALUE!</v>
      </c>
      <c r="HE35" t="e">
        <f>'SurveyRpt_20150223 (1)'!A217+"h_l!$2F"</f>
        <v>#VALUE!</v>
      </c>
      <c r="HF35" s="25" t="e">
        <f>'SurveyRpt_20150223 (1)'!B217+"h_l!$2G"</f>
        <v>#VALUE!</v>
      </c>
      <c r="HG35" t="e">
        <f>'SurveyRpt_20150223 (1)'!C217+"h_l!$2H"</f>
        <v>#VALUE!</v>
      </c>
      <c r="HH35" s="25" t="e">
        <f>'SurveyRpt_20150223 (1)'!D217+"h_l!$2I"</f>
        <v>#VALUE!</v>
      </c>
      <c r="HI35" t="e">
        <f>'SurveyRpt_20150223 (1)'!E217+"h_l!$2J"</f>
        <v>#VALUE!</v>
      </c>
      <c r="HJ35" t="e">
        <f>'SurveyRpt_20150223 (1)'!F217+"h_l!$2K"</f>
        <v>#VALUE!</v>
      </c>
      <c r="HK35" t="e">
        <f>'SurveyRpt_20150223 (1)'!G217+"h_l!$2L"</f>
        <v>#VALUE!</v>
      </c>
      <c r="HL35" t="e">
        <f>'SurveyRpt_20150223 (1)'!H217+"h_l!$2M"</f>
        <v>#VALUE!</v>
      </c>
      <c r="HM35" t="e">
        <f>'SurveyRpt_20150223 (1)'!I217+"h_l!$2N"</f>
        <v>#VALUE!</v>
      </c>
      <c r="HN35" t="e">
        <f>'SurveyRpt_20150223 (1)'!J217+"h_l!$2O"</f>
        <v>#VALUE!</v>
      </c>
      <c r="HO35" t="e">
        <f>'SurveyRpt_20150223 (1)'!K217+"h_l!$2P"</f>
        <v>#VALUE!</v>
      </c>
      <c r="HP35" t="e">
        <f>'SurveyRpt_20150223 (1)'!L217+"h_l!$2Q"</f>
        <v>#VALUE!</v>
      </c>
      <c r="HQ35" t="e">
        <f>'SurveyRpt_20150223 (1)'!M217+"h_l!$2R"</f>
        <v>#VALUE!</v>
      </c>
      <c r="HR35" t="e">
        <f>'SurveyRpt_20150223 (1)'!N217+"h_l!$2S"</f>
        <v>#VALUE!</v>
      </c>
      <c r="HS35" t="e">
        <f>'SurveyRpt_20150223 (1)'!O217+"h_l!$2T"</f>
        <v>#VALUE!</v>
      </c>
      <c r="HT35" t="e">
        <f>'SurveyRpt_20150223 (1)'!P217+"h_l!$2U"</f>
        <v>#VALUE!</v>
      </c>
      <c r="HU35" t="e">
        <f>'SurveyRpt_20150223 (1)'!Q217+"h_l!$2V"</f>
        <v>#VALUE!</v>
      </c>
      <c r="HV35" t="e">
        <f>'SurveyRpt_20150223 (1)'!R217+"h_l!$2W"</f>
        <v>#VALUE!</v>
      </c>
      <c r="HW35" t="e">
        <f>'SurveyRpt_20150223 (1)'!S217+"h_l!$2X"</f>
        <v>#VALUE!</v>
      </c>
      <c r="HX35" t="e">
        <f>'SurveyRpt_20150223 (1)'!T217+"h_l!$2Y"</f>
        <v>#VALUE!</v>
      </c>
      <c r="HY35" t="e">
        <f>'SurveyRpt_20150223 (1)'!U217+"h_l!$2Z"</f>
        <v>#VALUE!</v>
      </c>
      <c r="HZ35" t="e">
        <f>'SurveyRpt_20150223 (1)'!V217+"h_l!$2["</f>
        <v>#VALUE!</v>
      </c>
      <c r="IA35" t="e">
        <f>'SurveyRpt_20150223 (1)'!W217+"h_l!$2\"</f>
        <v>#VALUE!</v>
      </c>
      <c r="IB35" t="e">
        <f>'SurveyRpt_20150223 (1)'!X217+"h_l!$2]"</f>
        <v>#VALUE!</v>
      </c>
      <c r="IC35" t="e">
        <f>'SurveyRpt_20150223 (1)'!Y217+"h_l!$2^"</f>
        <v>#VALUE!</v>
      </c>
      <c r="ID35" t="e">
        <f>'SurveyRpt_20150223 (1)'!Z217+"h_l!$2_"</f>
        <v>#VALUE!</v>
      </c>
      <c r="IE35" t="e">
        <f>'SurveyRpt_20150223 (1)'!AA217+"h_l!$2`"</f>
        <v>#VALUE!</v>
      </c>
      <c r="IF35" t="e">
        <f>'SurveyRpt_20150223 (1)'!AB217+"h_l!$2a"</f>
        <v>#VALUE!</v>
      </c>
      <c r="IG35" t="e">
        <f>'SurveyRpt_20150223 (1)'!AC217+"h_l!$2b"</f>
        <v>#VALUE!</v>
      </c>
      <c r="IH35" t="e">
        <f>'SurveyRpt_20150223 (1)'!AD217+"h_l!$2c"</f>
        <v>#VALUE!</v>
      </c>
      <c r="II35" t="e">
        <f>'SurveyRpt_20150223 (1)'!AE217+"h_l!$2d"</f>
        <v>#VALUE!</v>
      </c>
      <c r="IJ35" t="e">
        <f>'SurveyRpt_20150223 (1)'!AF217+"h_l!$2e"</f>
        <v>#VALUE!</v>
      </c>
      <c r="IK35" t="e">
        <f>'SurveyRpt_20150223 (1)'!AG217+"h_l!$2f"</f>
        <v>#VALUE!</v>
      </c>
      <c r="IL35" t="e">
        <f>'SurveyRpt_20150223 (1)'!AH217+"h_l!$2g"</f>
        <v>#VALUE!</v>
      </c>
      <c r="IM35" t="e">
        <f>'SurveyRpt_20150223 (1)'!AI217+"h_l!$2h"</f>
        <v>#VALUE!</v>
      </c>
      <c r="IN35" t="e">
        <f>'SurveyRpt_20150223 (1)'!AJ217+"h_l!$2i"</f>
        <v>#VALUE!</v>
      </c>
      <c r="IO35" t="e">
        <f>'SurveyRpt_20150223 (1)'!AK217+"h_l!$2j"</f>
        <v>#VALUE!</v>
      </c>
      <c r="IP35" t="e">
        <f>'SurveyRpt_20150223 (1)'!AL217+"h_l!$2k"</f>
        <v>#VALUE!</v>
      </c>
      <c r="IQ35" t="e">
        <f>'SurveyRpt_20150223 (1)'!AM217+"h_l!$2l"</f>
        <v>#VALUE!</v>
      </c>
      <c r="IR35" t="e">
        <f>'SurveyRpt_20150223 (1)'!AN217+"h_l!$2m"</f>
        <v>#VALUE!</v>
      </c>
      <c r="IS35" t="e">
        <f>'SurveyRpt_20150223 (1)'!A218+"h_l!$2n"</f>
        <v>#VALUE!</v>
      </c>
      <c r="IT35" s="25" t="e">
        <f>'SurveyRpt_20150223 (1)'!B218+"h_l!$2o"</f>
        <v>#VALUE!</v>
      </c>
      <c r="IU35" t="e">
        <f>'SurveyRpt_20150223 (1)'!C218+"h_l!$2p"</f>
        <v>#VALUE!</v>
      </c>
      <c r="IV35" s="25" t="e">
        <f>'SurveyRpt_20150223 (1)'!D218+"h_l!$2q"</f>
        <v>#VALUE!</v>
      </c>
    </row>
    <row r="36" spans="6:256" x14ac:dyDescent="0.25">
      <c r="F36" t="e">
        <f>'SurveyRpt_20150223 (1)'!E218+"h_l!$2r"</f>
        <v>#VALUE!</v>
      </c>
      <c r="G36" t="e">
        <f>'SurveyRpt_20150223 (1)'!F218+"h_l!$2s"</f>
        <v>#VALUE!</v>
      </c>
      <c r="H36" t="e">
        <f>'SurveyRpt_20150223 (1)'!G218+"h_l!$2t"</f>
        <v>#VALUE!</v>
      </c>
      <c r="I36" t="e">
        <f>'SurveyRpt_20150223 (1)'!H218+"h_l!$2u"</f>
        <v>#VALUE!</v>
      </c>
      <c r="J36" t="e">
        <f>'SurveyRpt_20150223 (1)'!I218+"h_l!$2v"</f>
        <v>#VALUE!</v>
      </c>
      <c r="K36" t="e">
        <f>'SurveyRpt_20150223 (1)'!J218+"h_l!$2w"</f>
        <v>#VALUE!</v>
      </c>
      <c r="L36" t="e">
        <f>'SurveyRpt_20150223 (1)'!K218+"h_l!$2x"</f>
        <v>#VALUE!</v>
      </c>
      <c r="M36" t="e">
        <f>'SurveyRpt_20150223 (1)'!L218+"h_l!$2y"</f>
        <v>#VALUE!</v>
      </c>
      <c r="N36" t="e">
        <f>'SurveyRpt_20150223 (1)'!M218+"h_l!$2z"</f>
        <v>#VALUE!</v>
      </c>
      <c r="O36" t="e">
        <f>'SurveyRpt_20150223 (1)'!N218+"h_l!$2{"</f>
        <v>#VALUE!</v>
      </c>
      <c r="P36" t="e">
        <f>'SurveyRpt_20150223 (1)'!O218+"h_l!$2|"</f>
        <v>#VALUE!</v>
      </c>
      <c r="Q36" t="e">
        <f>'SurveyRpt_20150223 (1)'!P218+"h_l!$2}"</f>
        <v>#VALUE!</v>
      </c>
      <c r="R36" t="e">
        <f>'SurveyRpt_20150223 (1)'!Q218+"h_l!$2~"</f>
        <v>#VALUE!</v>
      </c>
      <c r="S36" t="e">
        <f>'SurveyRpt_20150223 (1)'!R218+"h_l!$3#"</f>
        <v>#VALUE!</v>
      </c>
      <c r="T36" t="e">
        <f>'SurveyRpt_20150223 (1)'!S218+"h_l!$3$"</f>
        <v>#VALUE!</v>
      </c>
      <c r="U36" t="e">
        <f>'SurveyRpt_20150223 (1)'!T218+"h_l!$3%"</f>
        <v>#VALUE!</v>
      </c>
      <c r="V36" t="e">
        <f>'SurveyRpt_20150223 (1)'!U218+"h_l!$3&amp;"</f>
        <v>#VALUE!</v>
      </c>
      <c r="W36" t="e">
        <f>'SurveyRpt_20150223 (1)'!V218+"h_l!$3'"</f>
        <v>#VALUE!</v>
      </c>
      <c r="X36" t="e">
        <f>'SurveyRpt_20150223 (1)'!W218+"h_l!$3("</f>
        <v>#VALUE!</v>
      </c>
      <c r="Y36" t="e">
        <f>'SurveyRpt_20150223 (1)'!X218+"h_l!$3)"</f>
        <v>#VALUE!</v>
      </c>
      <c r="Z36" t="e">
        <f>'SurveyRpt_20150223 (1)'!Y218+"h_l!$3."</f>
        <v>#VALUE!</v>
      </c>
      <c r="AA36" t="e">
        <f>'SurveyRpt_20150223 (1)'!Z218+"h_l!$3/"</f>
        <v>#VALUE!</v>
      </c>
      <c r="AB36" t="e">
        <f>'SurveyRpt_20150223 (1)'!AA218+"h_l!$30"</f>
        <v>#VALUE!</v>
      </c>
      <c r="AC36" t="e">
        <f>'SurveyRpt_20150223 (1)'!AB218+"h_l!$31"</f>
        <v>#VALUE!</v>
      </c>
      <c r="AD36" t="e">
        <f>'SurveyRpt_20150223 (1)'!AC218+"h_l!$32"</f>
        <v>#VALUE!</v>
      </c>
      <c r="AE36" t="e">
        <f>'SurveyRpt_20150223 (1)'!AD218+"h_l!$33"</f>
        <v>#VALUE!</v>
      </c>
      <c r="AF36" t="e">
        <f>'SurveyRpt_20150223 (1)'!AE218+"h_l!$34"</f>
        <v>#VALUE!</v>
      </c>
      <c r="AG36" t="e">
        <f>'SurveyRpt_20150223 (1)'!AF218+"h_l!$35"</f>
        <v>#VALUE!</v>
      </c>
      <c r="AH36" t="e">
        <f>'SurveyRpt_20150223 (1)'!AG218+"h_l!$36"</f>
        <v>#VALUE!</v>
      </c>
      <c r="AI36" t="e">
        <f>'SurveyRpt_20150223 (1)'!AH218+"h_l!$37"</f>
        <v>#VALUE!</v>
      </c>
      <c r="AJ36" t="e">
        <f>'SurveyRpt_20150223 (1)'!AI218+"h_l!$38"</f>
        <v>#VALUE!</v>
      </c>
      <c r="AK36" t="e">
        <f>'SurveyRpt_20150223 (1)'!AJ218+"h_l!$39"</f>
        <v>#VALUE!</v>
      </c>
      <c r="AL36" t="e">
        <f>'SurveyRpt_20150223 (1)'!AK218+"h_l!$3:"</f>
        <v>#VALUE!</v>
      </c>
      <c r="AM36" t="e">
        <f>'SurveyRpt_20150223 (1)'!AL218+"h_l!$3;"</f>
        <v>#VALUE!</v>
      </c>
      <c r="AN36" t="e">
        <f>'SurveyRpt_20150223 (1)'!AM218+"h_l!$3&lt;"</f>
        <v>#VALUE!</v>
      </c>
      <c r="AO36" t="e">
        <f>'SurveyRpt_20150223 (1)'!AN218+"h_l!$3="</f>
        <v>#VALUE!</v>
      </c>
      <c r="AP36" t="e">
        <f>'SurveyRpt_20150223 (1)'!A219+"h_l!$3&gt;"</f>
        <v>#VALUE!</v>
      </c>
      <c r="AQ36" s="25" t="e">
        <f>'SurveyRpt_20150223 (1)'!B219+"h_l!$3?"</f>
        <v>#VALUE!</v>
      </c>
      <c r="AR36" t="e">
        <f>'SurveyRpt_20150223 (1)'!C219+"h_l!$3@"</f>
        <v>#VALUE!</v>
      </c>
      <c r="AS36" s="25" t="e">
        <f>'SurveyRpt_20150223 (1)'!D219+"h_l!$3A"</f>
        <v>#VALUE!</v>
      </c>
      <c r="AT36" t="e">
        <f>'SurveyRpt_20150223 (1)'!E219+"h_l!$3B"</f>
        <v>#VALUE!</v>
      </c>
      <c r="AU36" t="e">
        <f>'SurveyRpt_20150223 (1)'!F219+"h_l!$3C"</f>
        <v>#VALUE!</v>
      </c>
      <c r="AV36" t="e">
        <f>'SurveyRpt_20150223 (1)'!G219+"h_l!$3D"</f>
        <v>#VALUE!</v>
      </c>
      <c r="AW36" t="e">
        <f>'SurveyRpt_20150223 (1)'!H219+"h_l!$3E"</f>
        <v>#VALUE!</v>
      </c>
      <c r="AX36" t="e">
        <f>'SurveyRpt_20150223 (1)'!I219+"h_l!$3F"</f>
        <v>#VALUE!</v>
      </c>
      <c r="AY36" t="e">
        <f>'SurveyRpt_20150223 (1)'!J219+"h_l!$3G"</f>
        <v>#VALUE!</v>
      </c>
      <c r="AZ36" t="e">
        <f>'SurveyRpt_20150223 (1)'!K219+"h_l!$3H"</f>
        <v>#VALUE!</v>
      </c>
      <c r="BA36" t="e">
        <f>'SurveyRpt_20150223 (1)'!L219+"h_l!$3I"</f>
        <v>#VALUE!</v>
      </c>
      <c r="BB36" t="e">
        <f>'SurveyRpt_20150223 (1)'!M219+"h_l!$3J"</f>
        <v>#VALUE!</v>
      </c>
      <c r="BC36" t="e">
        <f>'SurveyRpt_20150223 (1)'!N219+"h_l!$3K"</f>
        <v>#VALUE!</v>
      </c>
      <c r="BD36" t="e">
        <f>'SurveyRpt_20150223 (1)'!O219+"h_l!$3L"</f>
        <v>#VALUE!</v>
      </c>
      <c r="BE36" t="e">
        <f>'SurveyRpt_20150223 (1)'!P219+"h_l!$3M"</f>
        <v>#VALUE!</v>
      </c>
      <c r="BF36" t="e">
        <f>'SurveyRpt_20150223 (1)'!Q219+"h_l!$3N"</f>
        <v>#VALUE!</v>
      </c>
      <c r="BG36" t="e">
        <f>'SurveyRpt_20150223 (1)'!R219+"h_l!$3O"</f>
        <v>#VALUE!</v>
      </c>
      <c r="BH36" t="e">
        <f>'SurveyRpt_20150223 (1)'!S219+"h_l!$3P"</f>
        <v>#VALUE!</v>
      </c>
      <c r="BI36" t="e">
        <f>'SurveyRpt_20150223 (1)'!T219+"h_l!$3Q"</f>
        <v>#VALUE!</v>
      </c>
      <c r="BJ36" t="e">
        <f>'SurveyRpt_20150223 (1)'!U219+"h_l!$3R"</f>
        <v>#VALUE!</v>
      </c>
      <c r="BK36" t="e">
        <f>'SurveyRpt_20150223 (1)'!V219+"h_l!$3S"</f>
        <v>#VALUE!</v>
      </c>
      <c r="BL36" t="e">
        <f>'SurveyRpt_20150223 (1)'!W219+"h_l!$3T"</f>
        <v>#VALUE!</v>
      </c>
      <c r="BM36" t="e">
        <f>'SurveyRpt_20150223 (1)'!X219+"h_l!$3U"</f>
        <v>#VALUE!</v>
      </c>
      <c r="BN36" t="e">
        <f>'SurveyRpt_20150223 (1)'!Y219+"h_l!$3V"</f>
        <v>#VALUE!</v>
      </c>
      <c r="BO36" t="e">
        <f>'SurveyRpt_20150223 (1)'!Z219+"h_l!$3W"</f>
        <v>#VALUE!</v>
      </c>
      <c r="BP36" t="e">
        <f>'SurveyRpt_20150223 (1)'!AA219+"h_l!$3X"</f>
        <v>#VALUE!</v>
      </c>
      <c r="BQ36" t="e">
        <f>'SurveyRpt_20150223 (1)'!AB219+"h_l!$3Y"</f>
        <v>#VALUE!</v>
      </c>
      <c r="BR36" t="e">
        <f>'SurveyRpt_20150223 (1)'!AC219+"h_l!$3Z"</f>
        <v>#VALUE!</v>
      </c>
      <c r="BS36" t="e">
        <f>'SurveyRpt_20150223 (1)'!AD219+"h_l!$3["</f>
        <v>#VALUE!</v>
      </c>
      <c r="BT36" t="e">
        <f>'SurveyRpt_20150223 (1)'!AE219+"h_l!$3\"</f>
        <v>#VALUE!</v>
      </c>
      <c r="BU36" t="e">
        <f>'SurveyRpt_20150223 (1)'!AF219+"h_l!$3]"</f>
        <v>#VALUE!</v>
      </c>
      <c r="BV36" t="e">
        <f>'SurveyRpt_20150223 (1)'!AG219+"h_l!$3^"</f>
        <v>#VALUE!</v>
      </c>
      <c r="BW36" t="e">
        <f>'SurveyRpt_20150223 (1)'!AH219+"h_l!$3_"</f>
        <v>#VALUE!</v>
      </c>
      <c r="BX36" t="e">
        <f>'SurveyRpt_20150223 (1)'!AI219+"h_l!$3`"</f>
        <v>#VALUE!</v>
      </c>
      <c r="BY36" t="e">
        <f>'SurveyRpt_20150223 (1)'!AJ219+"h_l!$3a"</f>
        <v>#VALUE!</v>
      </c>
      <c r="BZ36" t="e">
        <f>'SurveyRpt_20150223 (1)'!AK219+"h_l!$3b"</f>
        <v>#VALUE!</v>
      </c>
      <c r="CA36" t="e">
        <f>'SurveyRpt_20150223 (1)'!AL219+"h_l!$3c"</f>
        <v>#VALUE!</v>
      </c>
      <c r="CB36" t="e">
        <f>'SurveyRpt_20150223 (1)'!AM219+"h_l!$3d"</f>
        <v>#VALUE!</v>
      </c>
      <c r="CC36" t="e">
        <f>'SurveyRpt_20150223 (1)'!AN219+"h_l!$3e"</f>
        <v>#VALUE!</v>
      </c>
      <c r="CD36" t="e">
        <f>'SurveyRpt_20150223 (1)'!A220+"h_l!$3f"</f>
        <v>#VALUE!</v>
      </c>
      <c r="CE36" s="25" t="e">
        <f>'SurveyRpt_20150223 (1)'!B220+"h_l!$3g"</f>
        <v>#VALUE!</v>
      </c>
      <c r="CF36" t="e">
        <f>'SurveyRpt_20150223 (1)'!C220+"h_l!$3h"</f>
        <v>#VALUE!</v>
      </c>
      <c r="CG36" s="25" t="e">
        <f>'SurveyRpt_20150223 (1)'!D220+"h_l!$3i"</f>
        <v>#VALUE!</v>
      </c>
      <c r="CH36" t="e">
        <f>'SurveyRpt_20150223 (1)'!E220+"h_l!$3j"</f>
        <v>#VALUE!</v>
      </c>
      <c r="CI36" t="e">
        <f>'SurveyRpt_20150223 (1)'!F220+"h_l!$3k"</f>
        <v>#VALUE!</v>
      </c>
      <c r="CJ36" t="e">
        <f>'SurveyRpt_20150223 (1)'!G220+"h_l!$3l"</f>
        <v>#VALUE!</v>
      </c>
      <c r="CK36" t="e">
        <f>'SurveyRpt_20150223 (1)'!H220+"h_l!$3m"</f>
        <v>#VALUE!</v>
      </c>
      <c r="CL36" t="e">
        <f>'SurveyRpt_20150223 (1)'!I220+"h_l!$3n"</f>
        <v>#VALUE!</v>
      </c>
      <c r="CM36" t="e">
        <f>'SurveyRpt_20150223 (1)'!J220+"h_l!$3o"</f>
        <v>#VALUE!</v>
      </c>
      <c r="CN36" t="e">
        <f>'SurveyRpt_20150223 (1)'!K220+"h_l!$3p"</f>
        <v>#VALUE!</v>
      </c>
      <c r="CO36" t="e">
        <f>'SurveyRpt_20150223 (1)'!L220+"h_l!$3q"</f>
        <v>#VALUE!</v>
      </c>
      <c r="CP36" t="e">
        <f>'SurveyRpt_20150223 (1)'!M220+"h_l!$3r"</f>
        <v>#VALUE!</v>
      </c>
      <c r="CQ36" t="e">
        <f>'SurveyRpt_20150223 (1)'!N220+"h_l!$3s"</f>
        <v>#VALUE!</v>
      </c>
      <c r="CR36" t="e">
        <f>'SurveyRpt_20150223 (1)'!O220+"h_l!$3t"</f>
        <v>#VALUE!</v>
      </c>
      <c r="CS36" t="e">
        <f>'SurveyRpt_20150223 (1)'!P220+"h_l!$3u"</f>
        <v>#VALUE!</v>
      </c>
      <c r="CT36" t="e">
        <f>'SurveyRpt_20150223 (1)'!Q220+"h_l!$3v"</f>
        <v>#VALUE!</v>
      </c>
      <c r="CU36" t="e">
        <f>'SurveyRpt_20150223 (1)'!R220+"h_l!$3w"</f>
        <v>#VALUE!</v>
      </c>
      <c r="CV36" t="e">
        <f>'SurveyRpt_20150223 (1)'!S220+"h_l!$3x"</f>
        <v>#VALUE!</v>
      </c>
      <c r="CW36" t="e">
        <f>'SurveyRpt_20150223 (1)'!T220+"h_l!$3y"</f>
        <v>#VALUE!</v>
      </c>
      <c r="CX36" t="e">
        <f>'SurveyRpt_20150223 (1)'!U220+"h_l!$3z"</f>
        <v>#VALUE!</v>
      </c>
      <c r="CY36" t="e">
        <f>'SurveyRpt_20150223 (1)'!V220+"h_l!$3{"</f>
        <v>#VALUE!</v>
      </c>
      <c r="CZ36" t="e">
        <f>'SurveyRpt_20150223 (1)'!W220+"h_l!$3|"</f>
        <v>#VALUE!</v>
      </c>
      <c r="DA36" t="e">
        <f>'SurveyRpt_20150223 (1)'!X220+"h_l!$3}"</f>
        <v>#VALUE!</v>
      </c>
      <c r="DB36" t="e">
        <f>'SurveyRpt_20150223 (1)'!Y220+"h_l!$3~"</f>
        <v>#VALUE!</v>
      </c>
      <c r="DC36" t="e">
        <f>'SurveyRpt_20150223 (1)'!Z220+"h_l!$4#"</f>
        <v>#VALUE!</v>
      </c>
      <c r="DD36" t="e">
        <f>'SurveyRpt_20150223 (1)'!AA220+"h_l!$4$"</f>
        <v>#VALUE!</v>
      </c>
      <c r="DE36" t="e">
        <f>'SurveyRpt_20150223 (1)'!AB220+"h_l!$4%"</f>
        <v>#VALUE!</v>
      </c>
      <c r="DF36" t="e">
        <f>'SurveyRpt_20150223 (1)'!AC220+"h_l!$4&amp;"</f>
        <v>#VALUE!</v>
      </c>
      <c r="DG36" t="e">
        <f>'SurveyRpt_20150223 (1)'!AD220+"h_l!$4'"</f>
        <v>#VALUE!</v>
      </c>
      <c r="DH36" t="e">
        <f>'SurveyRpt_20150223 (1)'!AE220+"h_l!$4("</f>
        <v>#VALUE!</v>
      </c>
      <c r="DI36" t="e">
        <f>'SurveyRpt_20150223 (1)'!AF220+"h_l!$4)"</f>
        <v>#VALUE!</v>
      </c>
      <c r="DJ36" t="e">
        <f>'SurveyRpt_20150223 (1)'!AG220+"h_l!$4."</f>
        <v>#VALUE!</v>
      </c>
      <c r="DK36" t="e">
        <f>'SurveyRpt_20150223 (1)'!AH220+"h_l!$4/"</f>
        <v>#VALUE!</v>
      </c>
      <c r="DL36" t="e">
        <f>'SurveyRpt_20150223 (1)'!AI220+"h_l!$40"</f>
        <v>#VALUE!</v>
      </c>
      <c r="DM36" t="e">
        <f>'SurveyRpt_20150223 (1)'!AJ220+"h_l!$41"</f>
        <v>#VALUE!</v>
      </c>
      <c r="DN36" t="e">
        <f>'SurveyRpt_20150223 (1)'!AK220+"h_l!$42"</f>
        <v>#VALUE!</v>
      </c>
      <c r="DO36" t="e">
        <f>'SurveyRpt_20150223 (1)'!AL220+"h_l!$43"</f>
        <v>#VALUE!</v>
      </c>
      <c r="DP36" t="e">
        <f>'SurveyRpt_20150223 (1)'!AM220+"h_l!$44"</f>
        <v>#VALUE!</v>
      </c>
      <c r="DQ36" t="e">
        <f>'SurveyRpt_20150223 (1)'!AN220+"h_l!$45"</f>
        <v>#VALUE!</v>
      </c>
      <c r="DR36" t="e">
        <f>'SurveyRpt_20150223 (1)'!A221+"h_l!$46"</f>
        <v>#VALUE!</v>
      </c>
      <c r="DS36" s="25" t="e">
        <f>'SurveyRpt_20150223 (1)'!B221+"h_l!$47"</f>
        <v>#VALUE!</v>
      </c>
      <c r="DT36" t="e">
        <f>'SurveyRpt_20150223 (1)'!C221+"h_l!$48"</f>
        <v>#VALUE!</v>
      </c>
      <c r="DU36" s="25" t="e">
        <f>'SurveyRpt_20150223 (1)'!D221+"h_l!$49"</f>
        <v>#VALUE!</v>
      </c>
      <c r="DV36" t="e">
        <f>'SurveyRpt_20150223 (1)'!E221+"h_l!$4:"</f>
        <v>#VALUE!</v>
      </c>
      <c r="DW36" t="e">
        <f>'SurveyRpt_20150223 (1)'!F221+"h_l!$4;"</f>
        <v>#VALUE!</v>
      </c>
      <c r="DX36" t="e">
        <f>'SurveyRpt_20150223 (1)'!G221+"h_l!$4&lt;"</f>
        <v>#VALUE!</v>
      </c>
      <c r="DY36" t="e">
        <f>'SurveyRpt_20150223 (1)'!H221+"h_l!$4="</f>
        <v>#VALUE!</v>
      </c>
      <c r="DZ36" t="e">
        <f>'SurveyRpt_20150223 (1)'!I221+"h_l!$4&gt;"</f>
        <v>#VALUE!</v>
      </c>
      <c r="EA36" t="e">
        <f>'SurveyRpt_20150223 (1)'!J221+"h_l!$4?"</f>
        <v>#VALUE!</v>
      </c>
      <c r="EB36" t="e">
        <f>'SurveyRpt_20150223 (1)'!K221+"h_l!$4@"</f>
        <v>#VALUE!</v>
      </c>
      <c r="EC36" t="e">
        <f>'SurveyRpt_20150223 (1)'!L221+"h_l!$4A"</f>
        <v>#VALUE!</v>
      </c>
      <c r="ED36" t="e">
        <f>'SurveyRpt_20150223 (1)'!M221+"h_l!$4B"</f>
        <v>#VALUE!</v>
      </c>
      <c r="EE36" t="e">
        <f>'SurveyRpt_20150223 (1)'!N221+"h_l!$4C"</f>
        <v>#VALUE!</v>
      </c>
      <c r="EF36" t="e">
        <f>'SurveyRpt_20150223 (1)'!O221+"h_l!$4D"</f>
        <v>#VALUE!</v>
      </c>
      <c r="EG36" t="e">
        <f>'SurveyRpt_20150223 (1)'!P221+"h_l!$4E"</f>
        <v>#VALUE!</v>
      </c>
      <c r="EH36" t="e">
        <f>'SurveyRpt_20150223 (1)'!Q221+"h_l!$4F"</f>
        <v>#VALUE!</v>
      </c>
      <c r="EI36" t="e">
        <f>'SurveyRpt_20150223 (1)'!R221+"h_l!$4G"</f>
        <v>#VALUE!</v>
      </c>
      <c r="EJ36" t="e">
        <f>'SurveyRpt_20150223 (1)'!S221+"h_l!$4H"</f>
        <v>#VALUE!</v>
      </c>
      <c r="EK36" t="e">
        <f>'SurveyRpt_20150223 (1)'!T221+"h_l!$4I"</f>
        <v>#VALUE!</v>
      </c>
      <c r="EL36" t="e">
        <f>'SurveyRpt_20150223 (1)'!U221+"h_l!$4J"</f>
        <v>#VALUE!</v>
      </c>
      <c r="EM36" t="e">
        <f>'SurveyRpt_20150223 (1)'!V221+"h_l!$4K"</f>
        <v>#VALUE!</v>
      </c>
      <c r="EN36" t="e">
        <f>'SurveyRpt_20150223 (1)'!W221+"h_l!$4L"</f>
        <v>#VALUE!</v>
      </c>
      <c r="EO36" t="e">
        <f>'SurveyRpt_20150223 (1)'!X221+"h_l!$4M"</f>
        <v>#VALUE!</v>
      </c>
      <c r="EP36" t="e">
        <f>'SurveyRpt_20150223 (1)'!Y221+"h_l!$4N"</f>
        <v>#VALUE!</v>
      </c>
      <c r="EQ36" t="e">
        <f>'SurveyRpt_20150223 (1)'!Z221+"h_l!$4O"</f>
        <v>#VALUE!</v>
      </c>
      <c r="ER36" t="e">
        <f>'SurveyRpt_20150223 (1)'!AA221+"h_l!$4P"</f>
        <v>#VALUE!</v>
      </c>
      <c r="ES36" t="e">
        <f>'SurveyRpt_20150223 (1)'!AB221+"h_l!$4Q"</f>
        <v>#VALUE!</v>
      </c>
      <c r="ET36" t="e">
        <f>'SurveyRpt_20150223 (1)'!AC221+"h_l!$4R"</f>
        <v>#VALUE!</v>
      </c>
      <c r="EU36" t="e">
        <f>'SurveyRpt_20150223 (1)'!AD221+"h_l!$4S"</f>
        <v>#VALUE!</v>
      </c>
      <c r="EV36" t="e">
        <f>'SurveyRpt_20150223 (1)'!AE221+"h_l!$4T"</f>
        <v>#VALUE!</v>
      </c>
      <c r="EW36" t="e">
        <f>'SurveyRpt_20150223 (1)'!AF221+"h_l!$4U"</f>
        <v>#VALUE!</v>
      </c>
      <c r="EX36" t="e">
        <f>'SurveyRpt_20150223 (1)'!AG221+"h_l!$4V"</f>
        <v>#VALUE!</v>
      </c>
      <c r="EY36" t="e">
        <f>'SurveyRpt_20150223 (1)'!AH221+"h_l!$4W"</f>
        <v>#VALUE!</v>
      </c>
      <c r="EZ36" t="e">
        <f>'SurveyRpt_20150223 (1)'!AI221+"h_l!$4X"</f>
        <v>#VALUE!</v>
      </c>
      <c r="FA36" t="e">
        <f>'SurveyRpt_20150223 (1)'!AJ221+"h_l!$4Y"</f>
        <v>#VALUE!</v>
      </c>
      <c r="FB36" t="e">
        <f>'SurveyRpt_20150223 (1)'!AK221+"h_l!$4Z"</f>
        <v>#VALUE!</v>
      </c>
      <c r="FC36" t="e">
        <f>'SurveyRpt_20150223 (1)'!AL221+"h_l!$4["</f>
        <v>#VALUE!</v>
      </c>
      <c r="FD36" t="e">
        <f>'SurveyRpt_20150223 (1)'!AM221+"h_l!$4\"</f>
        <v>#VALUE!</v>
      </c>
      <c r="FE36" t="e">
        <f>'SurveyRpt_20150223 (1)'!AN221+"h_l!$4]"</f>
        <v>#VALUE!</v>
      </c>
      <c r="FF36" t="e">
        <f>'SurveyRpt_20150223 (1)'!A222+"h_l!$4^"</f>
        <v>#VALUE!</v>
      </c>
      <c r="FG36" s="25" t="e">
        <f>'SurveyRpt_20150223 (1)'!B222+"h_l!$4_"</f>
        <v>#VALUE!</v>
      </c>
      <c r="FH36" t="e">
        <f>'SurveyRpt_20150223 (1)'!C222+"h_l!$4`"</f>
        <v>#VALUE!</v>
      </c>
      <c r="FI36" s="25" t="e">
        <f>'SurveyRpt_20150223 (1)'!D222+"h_l!$4a"</f>
        <v>#VALUE!</v>
      </c>
      <c r="FJ36" t="e">
        <f>'SurveyRpt_20150223 (1)'!E222+"h_l!$4b"</f>
        <v>#VALUE!</v>
      </c>
      <c r="FK36" t="e">
        <f>'SurveyRpt_20150223 (1)'!F222+"h_l!$4c"</f>
        <v>#VALUE!</v>
      </c>
      <c r="FL36" t="e">
        <f>'SurveyRpt_20150223 (1)'!G222+"h_l!$4d"</f>
        <v>#VALUE!</v>
      </c>
      <c r="FM36" t="e">
        <f>'SurveyRpt_20150223 (1)'!H222+"h_l!$4e"</f>
        <v>#VALUE!</v>
      </c>
      <c r="FN36" t="e">
        <f>'SurveyRpt_20150223 (1)'!I222+"h_l!$4f"</f>
        <v>#VALUE!</v>
      </c>
      <c r="FO36" t="e">
        <f>'SurveyRpt_20150223 (1)'!J222+"h_l!$4g"</f>
        <v>#VALUE!</v>
      </c>
      <c r="FP36" t="e">
        <f>'SurveyRpt_20150223 (1)'!K222+"h_l!$4h"</f>
        <v>#VALUE!</v>
      </c>
      <c r="FQ36" t="e">
        <f>'SurveyRpt_20150223 (1)'!L222+"h_l!$4i"</f>
        <v>#VALUE!</v>
      </c>
      <c r="FR36" t="e">
        <f>'SurveyRpt_20150223 (1)'!M222+"h_l!$4j"</f>
        <v>#VALUE!</v>
      </c>
      <c r="FS36" t="e">
        <f>'SurveyRpt_20150223 (1)'!N222+"h_l!$4k"</f>
        <v>#VALUE!</v>
      </c>
      <c r="FT36" t="e">
        <f>'SurveyRpt_20150223 (1)'!O222+"h_l!$4l"</f>
        <v>#VALUE!</v>
      </c>
      <c r="FU36" t="e">
        <f>'SurveyRpt_20150223 (1)'!P222+"h_l!$4m"</f>
        <v>#VALUE!</v>
      </c>
      <c r="FV36" t="e">
        <f>'SurveyRpt_20150223 (1)'!Q222+"h_l!$4n"</f>
        <v>#VALUE!</v>
      </c>
      <c r="FW36" t="e">
        <f>'SurveyRpt_20150223 (1)'!R222+"h_l!$4o"</f>
        <v>#VALUE!</v>
      </c>
      <c r="FX36" t="e">
        <f>'SurveyRpt_20150223 (1)'!S222+"h_l!$4p"</f>
        <v>#VALUE!</v>
      </c>
      <c r="FY36" t="e">
        <f>'SurveyRpt_20150223 (1)'!T222+"h_l!$4q"</f>
        <v>#VALUE!</v>
      </c>
      <c r="FZ36" t="e">
        <f>'SurveyRpt_20150223 (1)'!U222+"h_l!$4r"</f>
        <v>#VALUE!</v>
      </c>
      <c r="GA36" t="e">
        <f>'SurveyRpt_20150223 (1)'!V222+"h_l!$4s"</f>
        <v>#VALUE!</v>
      </c>
      <c r="GB36" t="e">
        <f>'SurveyRpt_20150223 (1)'!W222+"h_l!$4t"</f>
        <v>#VALUE!</v>
      </c>
      <c r="GC36" t="e">
        <f>'SurveyRpt_20150223 (1)'!X222+"h_l!$4u"</f>
        <v>#VALUE!</v>
      </c>
      <c r="GD36" t="e">
        <f>'SurveyRpt_20150223 (1)'!Y222+"h_l!$4v"</f>
        <v>#VALUE!</v>
      </c>
      <c r="GE36" t="e">
        <f>'SurveyRpt_20150223 (1)'!Z222+"h_l!$4w"</f>
        <v>#VALUE!</v>
      </c>
      <c r="GF36" t="e">
        <f>'SurveyRpt_20150223 (1)'!AA222+"h_l!$4x"</f>
        <v>#VALUE!</v>
      </c>
      <c r="GG36" t="e">
        <f>'SurveyRpt_20150223 (1)'!AB222+"h_l!$4y"</f>
        <v>#VALUE!</v>
      </c>
      <c r="GH36" t="e">
        <f>'SurveyRpt_20150223 (1)'!AC222+"h_l!$4z"</f>
        <v>#VALUE!</v>
      </c>
      <c r="GI36" t="e">
        <f>'SurveyRpt_20150223 (1)'!AD222+"h_l!$4{"</f>
        <v>#VALUE!</v>
      </c>
      <c r="GJ36" t="e">
        <f>'SurveyRpt_20150223 (1)'!AE222+"h_l!$4|"</f>
        <v>#VALUE!</v>
      </c>
      <c r="GK36" t="e">
        <f>'SurveyRpt_20150223 (1)'!AF222+"h_l!$4}"</f>
        <v>#VALUE!</v>
      </c>
      <c r="GL36" t="e">
        <f>'SurveyRpt_20150223 (1)'!AG222+"h_l!$4~"</f>
        <v>#VALUE!</v>
      </c>
      <c r="GM36" t="e">
        <f>'SurveyRpt_20150223 (1)'!AH222+"h_l!$5#"</f>
        <v>#VALUE!</v>
      </c>
      <c r="GN36" t="e">
        <f>'SurveyRpt_20150223 (1)'!AI222+"h_l!$5$"</f>
        <v>#VALUE!</v>
      </c>
      <c r="GO36" t="e">
        <f>'SurveyRpt_20150223 (1)'!AJ222+"h_l!$5%"</f>
        <v>#VALUE!</v>
      </c>
      <c r="GP36" t="e">
        <f>'SurveyRpt_20150223 (1)'!AK222+"h_l!$5&amp;"</f>
        <v>#VALUE!</v>
      </c>
      <c r="GQ36" t="e">
        <f>'SurveyRpt_20150223 (1)'!AL222+"h_l!$5'"</f>
        <v>#VALUE!</v>
      </c>
      <c r="GR36" t="e">
        <f>'SurveyRpt_20150223 (1)'!AM222+"h_l!$5("</f>
        <v>#VALUE!</v>
      </c>
      <c r="GS36" t="e">
        <f>'SurveyRpt_20150223 (1)'!AN222+"h_l!$5)"</f>
        <v>#VALUE!</v>
      </c>
      <c r="GT36" t="e">
        <f>'SurveyRpt_20150223 (1)'!A223+"h_l!$5."</f>
        <v>#VALUE!</v>
      </c>
      <c r="GU36" s="25" t="e">
        <f>'SurveyRpt_20150223 (1)'!B223+"h_l!$5/"</f>
        <v>#VALUE!</v>
      </c>
      <c r="GV36" t="e">
        <f>'SurveyRpt_20150223 (1)'!C223+"h_l!$50"</f>
        <v>#VALUE!</v>
      </c>
      <c r="GW36" s="25" t="e">
        <f>'SurveyRpt_20150223 (1)'!D223+"h_l!$51"</f>
        <v>#VALUE!</v>
      </c>
      <c r="GX36" t="e">
        <f>'SurveyRpt_20150223 (1)'!E223+"h_l!$52"</f>
        <v>#VALUE!</v>
      </c>
      <c r="GY36" t="e">
        <f>'SurveyRpt_20150223 (1)'!F223+"h_l!$53"</f>
        <v>#VALUE!</v>
      </c>
      <c r="GZ36" t="e">
        <f>'SurveyRpt_20150223 (1)'!G223+"h_l!$54"</f>
        <v>#VALUE!</v>
      </c>
      <c r="HA36" t="e">
        <f>'SurveyRpt_20150223 (1)'!H223+"h_l!$55"</f>
        <v>#VALUE!</v>
      </c>
      <c r="HB36" t="e">
        <f>'SurveyRpt_20150223 (1)'!I223+"h_l!$56"</f>
        <v>#VALUE!</v>
      </c>
      <c r="HC36" t="e">
        <f>'SurveyRpt_20150223 (1)'!J223+"h_l!$57"</f>
        <v>#VALUE!</v>
      </c>
      <c r="HD36" t="e">
        <f>'SurveyRpt_20150223 (1)'!K223+"h_l!$58"</f>
        <v>#VALUE!</v>
      </c>
      <c r="HE36" t="e">
        <f>'SurveyRpt_20150223 (1)'!L223+"h_l!$59"</f>
        <v>#VALUE!</v>
      </c>
      <c r="HF36" t="e">
        <f>'SurveyRpt_20150223 (1)'!M223+"h_l!$5:"</f>
        <v>#VALUE!</v>
      </c>
      <c r="HG36" t="e">
        <f>'SurveyRpt_20150223 (1)'!N223+"h_l!$5;"</f>
        <v>#VALUE!</v>
      </c>
      <c r="HH36" t="e">
        <f>'SurveyRpt_20150223 (1)'!O223+"h_l!$5&lt;"</f>
        <v>#VALUE!</v>
      </c>
      <c r="HI36" t="e">
        <f>'SurveyRpt_20150223 (1)'!P223+"h_l!$5="</f>
        <v>#VALUE!</v>
      </c>
      <c r="HJ36" t="e">
        <f>'SurveyRpt_20150223 (1)'!Q223+"h_l!$5&gt;"</f>
        <v>#VALUE!</v>
      </c>
      <c r="HK36" t="e">
        <f>'SurveyRpt_20150223 (1)'!R223+"h_l!$5?"</f>
        <v>#VALUE!</v>
      </c>
      <c r="HL36" t="e">
        <f>'SurveyRpt_20150223 (1)'!S223+"h_l!$5@"</f>
        <v>#VALUE!</v>
      </c>
      <c r="HM36" t="e">
        <f>'SurveyRpt_20150223 (1)'!T223+"h_l!$5A"</f>
        <v>#VALUE!</v>
      </c>
      <c r="HN36" t="e">
        <f>'SurveyRpt_20150223 (1)'!U223+"h_l!$5B"</f>
        <v>#VALUE!</v>
      </c>
      <c r="HO36" t="e">
        <f>'SurveyRpt_20150223 (1)'!V223+"h_l!$5C"</f>
        <v>#VALUE!</v>
      </c>
      <c r="HP36" t="e">
        <f>'SurveyRpt_20150223 (1)'!W223+"h_l!$5D"</f>
        <v>#VALUE!</v>
      </c>
      <c r="HQ36" t="e">
        <f>'SurveyRpt_20150223 (1)'!X223+"h_l!$5E"</f>
        <v>#VALUE!</v>
      </c>
      <c r="HR36" t="e">
        <f>'SurveyRpt_20150223 (1)'!Y223+"h_l!$5F"</f>
        <v>#VALUE!</v>
      </c>
      <c r="HS36" t="e">
        <f>'SurveyRpt_20150223 (1)'!Z223+"h_l!$5G"</f>
        <v>#VALUE!</v>
      </c>
      <c r="HT36" t="e">
        <f>'SurveyRpt_20150223 (1)'!AA223+"h_l!$5H"</f>
        <v>#VALUE!</v>
      </c>
      <c r="HU36" t="e">
        <f>'SurveyRpt_20150223 (1)'!AB223+"h_l!$5I"</f>
        <v>#VALUE!</v>
      </c>
      <c r="HV36" t="e">
        <f>'SurveyRpt_20150223 (1)'!AC223+"h_l!$5J"</f>
        <v>#VALUE!</v>
      </c>
      <c r="HW36" t="e">
        <f>'SurveyRpt_20150223 (1)'!AD223+"h_l!$5K"</f>
        <v>#VALUE!</v>
      </c>
      <c r="HX36" t="e">
        <f>'SurveyRpt_20150223 (1)'!AE223+"h_l!$5L"</f>
        <v>#VALUE!</v>
      </c>
      <c r="HY36" t="e">
        <f>'SurveyRpt_20150223 (1)'!AF223+"h_l!$5M"</f>
        <v>#VALUE!</v>
      </c>
      <c r="HZ36" t="e">
        <f>'SurveyRpt_20150223 (1)'!AG223+"h_l!$5N"</f>
        <v>#VALUE!</v>
      </c>
      <c r="IA36" t="e">
        <f>'SurveyRpt_20150223 (1)'!AH223+"h_l!$5O"</f>
        <v>#VALUE!</v>
      </c>
      <c r="IB36" t="e">
        <f>'SurveyRpt_20150223 (1)'!AI223+"h_l!$5P"</f>
        <v>#VALUE!</v>
      </c>
      <c r="IC36" t="e">
        <f>'SurveyRpt_20150223 (1)'!AJ223+"h_l!$5Q"</f>
        <v>#VALUE!</v>
      </c>
      <c r="ID36" t="e">
        <f>'SurveyRpt_20150223 (1)'!AK223+"h_l!$5R"</f>
        <v>#VALUE!</v>
      </c>
      <c r="IE36" t="e">
        <f>'SurveyRpt_20150223 (1)'!AL223+"h_l!$5S"</f>
        <v>#VALUE!</v>
      </c>
      <c r="IF36" t="e">
        <f>'SurveyRpt_20150223 (1)'!AM223+"h_l!$5T"</f>
        <v>#VALUE!</v>
      </c>
      <c r="IG36" t="e">
        <f>'SurveyRpt_20150223 (1)'!AN223+"h_l!$5U"</f>
        <v>#VALUE!</v>
      </c>
      <c r="IH36" t="e">
        <f>'SurveyRpt_20150223 (1)'!A224+"h_l!$5V"</f>
        <v>#VALUE!</v>
      </c>
      <c r="II36" s="25" t="e">
        <f>'SurveyRpt_20150223 (1)'!B224+"h_l!$5W"</f>
        <v>#VALUE!</v>
      </c>
      <c r="IJ36" t="e">
        <f>'SurveyRpt_20150223 (1)'!C224+"h_l!$5X"</f>
        <v>#VALUE!</v>
      </c>
      <c r="IK36" s="25" t="e">
        <f>'SurveyRpt_20150223 (1)'!D224+"h_l!$5Y"</f>
        <v>#VALUE!</v>
      </c>
      <c r="IL36" t="e">
        <f>'SurveyRpt_20150223 (1)'!E224+"h_l!$5Z"</f>
        <v>#VALUE!</v>
      </c>
      <c r="IM36" t="e">
        <f>'SurveyRpt_20150223 (1)'!F224+"h_l!$5["</f>
        <v>#VALUE!</v>
      </c>
      <c r="IN36" t="e">
        <f>'SurveyRpt_20150223 (1)'!G224+"h_l!$5\"</f>
        <v>#VALUE!</v>
      </c>
      <c r="IO36" t="e">
        <f>'SurveyRpt_20150223 (1)'!H224+"h_l!$5]"</f>
        <v>#VALUE!</v>
      </c>
      <c r="IP36" t="e">
        <f>'SurveyRpt_20150223 (1)'!I224+"h_l!$5^"</f>
        <v>#VALUE!</v>
      </c>
      <c r="IQ36" t="e">
        <f>'SurveyRpt_20150223 (1)'!J224+"h_l!$5_"</f>
        <v>#VALUE!</v>
      </c>
      <c r="IR36" t="e">
        <f>'SurveyRpt_20150223 (1)'!K224+"h_l!$5`"</f>
        <v>#VALUE!</v>
      </c>
      <c r="IS36" t="e">
        <f>'SurveyRpt_20150223 (1)'!L224+"h_l!$5a"</f>
        <v>#VALUE!</v>
      </c>
      <c r="IT36" t="e">
        <f>'SurveyRpt_20150223 (1)'!M224+"h_l!$5b"</f>
        <v>#VALUE!</v>
      </c>
      <c r="IU36" t="e">
        <f>'SurveyRpt_20150223 (1)'!N224+"h_l!$5c"</f>
        <v>#VALUE!</v>
      </c>
      <c r="IV36" t="e">
        <f>'SurveyRpt_20150223 (1)'!O224+"h_l!$5d"</f>
        <v>#VALUE!</v>
      </c>
    </row>
    <row r="37" spans="6:256" x14ac:dyDescent="0.25">
      <c r="F37" t="e">
        <f>'SurveyRpt_20150223 (1)'!P224+"h_l!$5e"</f>
        <v>#VALUE!</v>
      </c>
      <c r="G37" t="e">
        <f>'SurveyRpt_20150223 (1)'!Q224+"h_l!$5f"</f>
        <v>#VALUE!</v>
      </c>
      <c r="H37" t="e">
        <f>'SurveyRpt_20150223 (1)'!R224+"h_l!$5g"</f>
        <v>#VALUE!</v>
      </c>
      <c r="I37" t="e">
        <f>'SurveyRpt_20150223 (1)'!S224+"h_l!$5h"</f>
        <v>#VALUE!</v>
      </c>
      <c r="J37" t="e">
        <f>'SurveyRpt_20150223 (1)'!T224+"h_l!$5i"</f>
        <v>#VALUE!</v>
      </c>
      <c r="K37" t="e">
        <f>'SurveyRpt_20150223 (1)'!U224+"h_l!$5j"</f>
        <v>#VALUE!</v>
      </c>
      <c r="L37" t="e">
        <f>'SurveyRpt_20150223 (1)'!V224+"h_l!$5k"</f>
        <v>#VALUE!</v>
      </c>
      <c r="M37" t="e">
        <f>'SurveyRpt_20150223 (1)'!W224+"h_l!$5l"</f>
        <v>#VALUE!</v>
      </c>
      <c r="N37" t="e">
        <f>'SurveyRpt_20150223 (1)'!X224+"h_l!$5m"</f>
        <v>#VALUE!</v>
      </c>
      <c r="O37" t="e">
        <f>'SurveyRpt_20150223 (1)'!Y224+"h_l!$5n"</f>
        <v>#VALUE!</v>
      </c>
      <c r="P37" t="e">
        <f>'SurveyRpt_20150223 (1)'!Z224+"h_l!$5o"</f>
        <v>#VALUE!</v>
      </c>
      <c r="Q37" t="e">
        <f>'SurveyRpt_20150223 (1)'!AA224+"h_l!$5p"</f>
        <v>#VALUE!</v>
      </c>
      <c r="R37" t="e">
        <f>'SurveyRpt_20150223 (1)'!AB224+"h_l!$5q"</f>
        <v>#VALUE!</v>
      </c>
      <c r="S37" t="e">
        <f>'SurveyRpt_20150223 (1)'!AC224+"h_l!$5r"</f>
        <v>#VALUE!</v>
      </c>
      <c r="T37" t="e">
        <f>'SurveyRpt_20150223 (1)'!AD224+"h_l!$5s"</f>
        <v>#VALUE!</v>
      </c>
      <c r="U37" t="e">
        <f>'SurveyRpt_20150223 (1)'!AE224+"h_l!$5t"</f>
        <v>#VALUE!</v>
      </c>
      <c r="V37" t="e">
        <f>'SurveyRpt_20150223 (1)'!AF224+"h_l!$5u"</f>
        <v>#VALUE!</v>
      </c>
      <c r="W37" t="e">
        <f>'SurveyRpt_20150223 (1)'!AG224+"h_l!$5v"</f>
        <v>#VALUE!</v>
      </c>
      <c r="X37" t="e">
        <f>'SurveyRpt_20150223 (1)'!AH224+"h_l!$5w"</f>
        <v>#VALUE!</v>
      </c>
      <c r="Y37" t="e">
        <f>'SurveyRpt_20150223 (1)'!AI224+"h_l!$5x"</f>
        <v>#VALUE!</v>
      </c>
      <c r="Z37" t="e">
        <f>'SurveyRpt_20150223 (1)'!AJ224+"h_l!$5y"</f>
        <v>#VALUE!</v>
      </c>
      <c r="AA37" t="e">
        <f>'SurveyRpt_20150223 (1)'!AK224+"h_l!$5z"</f>
        <v>#VALUE!</v>
      </c>
      <c r="AB37" t="e">
        <f>'SurveyRpt_20150223 (1)'!AL224+"h_l!$5{"</f>
        <v>#VALUE!</v>
      </c>
      <c r="AC37" t="e">
        <f>'SurveyRpt_20150223 (1)'!AM224+"h_l!$5|"</f>
        <v>#VALUE!</v>
      </c>
      <c r="AD37" t="e">
        <f>'SurveyRpt_20150223 (1)'!AN224+"h_l!$5}"</f>
        <v>#VALUE!</v>
      </c>
      <c r="AE37" t="e">
        <f>'SurveyRpt_20150223 (1)'!A225+"h_l!$5~"</f>
        <v>#VALUE!</v>
      </c>
      <c r="AF37" s="25" t="e">
        <f>'SurveyRpt_20150223 (1)'!B225+"h_l!$6#"</f>
        <v>#VALUE!</v>
      </c>
      <c r="AG37" t="e">
        <f>'SurveyRpt_20150223 (1)'!C225+"h_l!$6$"</f>
        <v>#VALUE!</v>
      </c>
      <c r="AH37" s="25" t="e">
        <f>'SurveyRpt_20150223 (1)'!D225+"h_l!$6%"</f>
        <v>#VALUE!</v>
      </c>
      <c r="AI37" t="e">
        <f>'SurveyRpt_20150223 (1)'!E225+"h_l!$6&amp;"</f>
        <v>#VALUE!</v>
      </c>
      <c r="AJ37" t="e">
        <f>'SurveyRpt_20150223 (1)'!F225+"h_l!$6'"</f>
        <v>#VALUE!</v>
      </c>
      <c r="AK37" t="e">
        <f>'SurveyRpt_20150223 (1)'!G225+"h_l!$6("</f>
        <v>#VALUE!</v>
      </c>
      <c r="AL37" t="e">
        <f>'SurveyRpt_20150223 (1)'!H225+"h_l!$6)"</f>
        <v>#VALUE!</v>
      </c>
      <c r="AM37" t="e">
        <f>'SurveyRpt_20150223 (1)'!I225+"h_l!$6."</f>
        <v>#VALUE!</v>
      </c>
      <c r="AN37" t="e">
        <f>'SurveyRpt_20150223 (1)'!J225+"h_l!$6/"</f>
        <v>#VALUE!</v>
      </c>
      <c r="AO37" t="e">
        <f>'SurveyRpt_20150223 (1)'!K225+"h_l!$60"</f>
        <v>#VALUE!</v>
      </c>
      <c r="AP37" t="e">
        <f>'SurveyRpt_20150223 (1)'!L225+"h_l!$61"</f>
        <v>#VALUE!</v>
      </c>
      <c r="AQ37" t="e">
        <f>'SurveyRpt_20150223 (1)'!M225+"h_l!$62"</f>
        <v>#VALUE!</v>
      </c>
      <c r="AR37" t="e">
        <f>'SurveyRpt_20150223 (1)'!N225+"h_l!$63"</f>
        <v>#VALUE!</v>
      </c>
      <c r="AS37" t="e">
        <f>'SurveyRpt_20150223 (1)'!O225+"h_l!$64"</f>
        <v>#VALUE!</v>
      </c>
      <c r="AT37" t="e">
        <f>'SurveyRpt_20150223 (1)'!P225+"h_l!$65"</f>
        <v>#VALUE!</v>
      </c>
      <c r="AU37" t="e">
        <f>'SurveyRpt_20150223 (1)'!Q225+"h_l!$66"</f>
        <v>#VALUE!</v>
      </c>
      <c r="AV37" t="e">
        <f>'SurveyRpt_20150223 (1)'!R225+"h_l!$67"</f>
        <v>#VALUE!</v>
      </c>
      <c r="AW37" t="e">
        <f>'SurveyRpt_20150223 (1)'!S225+"h_l!$68"</f>
        <v>#VALUE!</v>
      </c>
      <c r="AX37" t="e">
        <f>'SurveyRpt_20150223 (1)'!T225+"h_l!$69"</f>
        <v>#VALUE!</v>
      </c>
      <c r="AY37" t="e">
        <f>'SurveyRpt_20150223 (1)'!U225+"h_l!$6:"</f>
        <v>#VALUE!</v>
      </c>
      <c r="AZ37" t="e">
        <f>'SurveyRpt_20150223 (1)'!V225+"h_l!$6;"</f>
        <v>#VALUE!</v>
      </c>
      <c r="BA37" t="e">
        <f>'SurveyRpt_20150223 (1)'!W225+"h_l!$6&lt;"</f>
        <v>#VALUE!</v>
      </c>
      <c r="BB37" t="e">
        <f>'SurveyRpt_20150223 (1)'!X225+"h_l!$6="</f>
        <v>#VALUE!</v>
      </c>
      <c r="BC37" t="e">
        <f>'SurveyRpt_20150223 (1)'!Y225+"h_l!$6&gt;"</f>
        <v>#VALUE!</v>
      </c>
      <c r="BD37" t="e">
        <f>'SurveyRpt_20150223 (1)'!Z225+"h_l!$6?"</f>
        <v>#VALUE!</v>
      </c>
      <c r="BE37" t="e">
        <f>'SurveyRpt_20150223 (1)'!AA225+"h_l!$6@"</f>
        <v>#VALUE!</v>
      </c>
      <c r="BF37" t="e">
        <f>'SurveyRpt_20150223 (1)'!AB225+"h_l!$6A"</f>
        <v>#VALUE!</v>
      </c>
      <c r="BG37" t="e">
        <f>'SurveyRpt_20150223 (1)'!AC225+"h_l!$6B"</f>
        <v>#VALUE!</v>
      </c>
      <c r="BH37" t="e">
        <f>'SurveyRpt_20150223 (1)'!AD225+"h_l!$6C"</f>
        <v>#VALUE!</v>
      </c>
      <c r="BI37" t="e">
        <f>'SurveyRpt_20150223 (1)'!AE225+"h_l!$6D"</f>
        <v>#VALUE!</v>
      </c>
      <c r="BJ37" t="e">
        <f>'SurveyRpt_20150223 (1)'!AF225+"h_l!$6E"</f>
        <v>#VALUE!</v>
      </c>
      <c r="BK37" t="e">
        <f>'SurveyRpt_20150223 (1)'!AG225+"h_l!$6F"</f>
        <v>#VALUE!</v>
      </c>
      <c r="BL37" t="e">
        <f>'SurveyRpt_20150223 (1)'!AH225+"h_l!$6G"</f>
        <v>#VALUE!</v>
      </c>
      <c r="BM37" t="e">
        <f>'SurveyRpt_20150223 (1)'!AI225+"h_l!$6H"</f>
        <v>#VALUE!</v>
      </c>
      <c r="BN37" t="e">
        <f>'SurveyRpt_20150223 (1)'!AJ225+"h_l!$6I"</f>
        <v>#VALUE!</v>
      </c>
      <c r="BO37" t="e">
        <f>'SurveyRpt_20150223 (1)'!AK225+"h_l!$6J"</f>
        <v>#VALUE!</v>
      </c>
      <c r="BP37" t="e">
        <f>'SurveyRpt_20150223 (1)'!AL225+"h_l!$6K"</f>
        <v>#VALUE!</v>
      </c>
      <c r="BQ37" t="e">
        <f>'SurveyRpt_20150223 (1)'!AM225+"h_l!$6L"</f>
        <v>#VALUE!</v>
      </c>
      <c r="BR37" t="e">
        <f>'SurveyRpt_20150223 (1)'!AN225+"h_l!$6M"</f>
        <v>#VALUE!</v>
      </c>
      <c r="BS37" t="e">
        <f>'SurveyRpt_20150223 (1)'!A226+"h_l!$6N"</f>
        <v>#VALUE!</v>
      </c>
      <c r="BT37" s="25" t="e">
        <f>'SurveyRpt_20150223 (1)'!B226+"h_l!$6O"</f>
        <v>#VALUE!</v>
      </c>
      <c r="BU37" t="e">
        <f>'SurveyRpt_20150223 (1)'!C226+"h_l!$6P"</f>
        <v>#VALUE!</v>
      </c>
      <c r="BV37" s="25" t="e">
        <f>'SurveyRpt_20150223 (1)'!D226+"h_l!$6Q"</f>
        <v>#VALUE!</v>
      </c>
      <c r="BW37" t="e">
        <f>'SurveyRpt_20150223 (1)'!E226+"h_l!$6R"</f>
        <v>#VALUE!</v>
      </c>
      <c r="BX37" t="e">
        <f>'SurveyRpt_20150223 (1)'!F226+"h_l!$6S"</f>
        <v>#VALUE!</v>
      </c>
      <c r="BY37" t="e">
        <f>'SurveyRpt_20150223 (1)'!G226+"h_l!$6T"</f>
        <v>#VALUE!</v>
      </c>
      <c r="BZ37" t="e">
        <f>'SurveyRpt_20150223 (1)'!H226+"h_l!$6U"</f>
        <v>#VALUE!</v>
      </c>
      <c r="CA37" t="e">
        <f>'SurveyRpt_20150223 (1)'!I226+"h_l!$6V"</f>
        <v>#VALUE!</v>
      </c>
      <c r="CB37" t="e">
        <f>'SurveyRpt_20150223 (1)'!J226+"h_l!$6W"</f>
        <v>#VALUE!</v>
      </c>
      <c r="CC37" t="e">
        <f>'SurveyRpt_20150223 (1)'!K226+"h_l!$6X"</f>
        <v>#VALUE!</v>
      </c>
      <c r="CD37" t="e">
        <f>'SurveyRpt_20150223 (1)'!L226+"h_l!$6Y"</f>
        <v>#VALUE!</v>
      </c>
      <c r="CE37" t="e">
        <f>'SurveyRpt_20150223 (1)'!M226+"h_l!$6Z"</f>
        <v>#VALUE!</v>
      </c>
      <c r="CF37" t="e">
        <f>'SurveyRpt_20150223 (1)'!N226+"h_l!$6["</f>
        <v>#VALUE!</v>
      </c>
      <c r="CG37" t="e">
        <f>'SurveyRpt_20150223 (1)'!O226+"h_l!$6\"</f>
        <v>#VALUE!</v>
      </c>
      <c r="CH37" t="e">
        <f>'SurveyRpt_20150223 (1)'!P226+"h_l!$6]"</f>
        <v>#VALUE!</v>
      </c>
      <c r="CI37" t="e">
        <f>'SurveyRpt_20150223 (1)'!Q226+"h_l!$6^"</f>
        <v>#VALUE!</v>
      </c>
      <c r="CJ37" t="e">
        <f>'SurveyRpt_20150223 (1)'!R226+"h_l!$6_"</f>
        <v>#VALUE!</v>
      </c>
      <c r="CK37" t="e">
        <f>'SurveyRpt_20150223 (1)'!S226+"h_l!$6`"</f>
        <v>#VALUE!</v>
      </c>
      <c r="CL37" t="e">
        <f>'SurveyRpt_20150223 (1)'!T226+"h_l!$6a"</f>
        <v>#VALUE!</v>
      </c>
      <c r="CM37" t="e">
        <f>'SurveyRpt_20150223 (1)'!U226+"h_l!$6b"</f>
        <v>#VALUE!</v>
      </c>
      <c r="CN37" t="e">
        <f>'SurveyRpt_20150223 (1)'!V226+"h_l!$6c"</f>
        <v>#VALUE!</v>
      </c>
      <c r="CO37" t="e">
        <f>'SurveyRpt_20150223 (1)'!W226+"h_l!$6d"</f>
        <v>#VALUE!</v>
      </c>
      <c r="CP37" t="e">
        <f>'SurveyRpt_20150223 (1)'!X226+"h_l!$6e"</f>
        <v>#VALUE!</v>
      </c>
      <c r="CQ37" t="e">
        <f>'SurveyRpt_20150223 (1)'!Y226+"h_l!$6f"</f>
        <v>#VALUE!</v>
      </c>
      <c r="CR37" t="e">
        <f>'SurveyRpt_20150223 (1)'!Z226+"h_l!$6g"</f>
        <v>#VALUE!</v>
      </c>
      <c r="CS37" t="e">
        <f>'SurveyRpt_20150223 (1)'!AA226+"h_l!$6h"</f>
        <v>#VALUE!</v>
      </c>
      <c r="CT37" t="e">
        <f>'SurveyRpt_20150223 (1)'!AB226+"h_l!$6i"</f>
        <v>#VALUE!</v>
      </c>
      <c r="CU37" t="e">
        <f>'SurveyRpt_20150223 (1)'!AC226+"h_l!$6j"</f>
        <v>#VALUE!</v>
      </c>
      <c r="CV37" t="e">
        <f>'SurveyRpt_20150223 (1)'!AD226+"h_l!$6k"</f>
        <v>#VALUE!</v>
      </c>
      <c r="CW37" t="e">
        <f>'SurveyRpt_20150223 (1)'!AE226+"h_l!$6l"</f>
        <v>#VALUE!</v>
      </c>
      <c r="CX37" t="e">
        <f>'SurveyRpt_20150223 (1)'!AF226+"h_l!$6m"</f>
        <v>#VALUE!</v>
      </c>
      <c r="CY37" t="e">
        <f>'SurveyRpt_20150223 (1)'!AG226+"h_l!$6n"</f>
        <v>#VALUE!</v>
      </c>
      <c r="CZ37" t="e">
        <f>'SurveyRpt_20150223 (1)'!AH226+"h_l!$6o"</f>
        <v>#VALUE!</v>
      </c>
      <c r="DA37" t="e">
        <f>'SurveyRpt_20150223 (1)'!AI226+"h_l!$6p"</f>
        <v>#VALUE!</v>
      </c>
      <c r="DB37" t="e">
        <f>'SurveyRpt_20150223 (1)'!AJ226+"h_l!$6q"</f>
        <v>#VALUE!</v>
      </c>
      <c r="DC37" t="e">
        <f>'SurveyRpt_20150223 (1)'!AK226+"h_l!$6r"</f>
        <v>#VALUE!</v>
      </c>
      <c r="DD37" t="e">
        <f>'SurveyRpt_20150223 (1)'!AL226+"h_l!$6s"</f>
        <v>#VALUE!</v>
      </c>
      <c r="DE37" t="e">
        <f>'SurveyRpt_20150223 (1)'!AM226+"h_l!$6t"</f>
        <v>#VALUE!</v>
      </c>
      <c r="DF37" t="e">
        <f>'SurveyRpt_20150223 (1)'!AN226+"h_l!$6u"</f>
        <v>#VALUE!</v>
      </c>
      <c r="DG37" t="e">
        <f>'SurveyRpt_20150223 (1)'!A227+"h_l!$6v"</f>
        <v>#VALUE!</v>
      </c>
      <c r="DH37" s="25" t="e">
        <f>'SurveyRpt_20150223 (1)'!B227+"h_l!$6w"</f>
        <v>#VALUE!</v>
      </c>
      <c r="DI37" t="e">
        <f>'SurveyRpt_20150223 (1)'!C227+"h_l!$6x"</f>
        <v>#VALUE!</v>
      </c>
      <c r="DJ37" s="25" t="e">
        <f>'SurveyRpt_20150223 (1)'!D227+"h_l!$6y"</f>
        <v>#VALUE!</v>
      </c>
      <c r="DK37" t="e">
        <f>'SurveyRpt_20150223 (1)'!E227+"h_l!$6z"</f>
        <v>#VALUE!</v>
      </c>
      <c r="DL37" t="e">
        <f>'SurveyRpt_20150223 (1)'!F227+"h_l!$6{"</f>
        <v>#VALUE!</v>
      </c>
      <c r="DM37" t="e">
        <f>'SurveyRpt_20150223 (1)'!G227+"h_l!$6|"</f>
        <v>#VALUE!</v>
      </c>
      <c r="DN37" t="e">
        <f>'SurveyRpt_20150223 (1)'!H227+"h_l!$6}"</f>
        <v>#VALUE!</v>
      </c>
      <c r="DO37" t="e">
        <f>'SurveyRpt_20150223 (1)'!I227+"h_l!$6~"</f>
        <v>#VALUE!</v>
      </c>
      <c r="DP37" t="e">
        <f>'SurveyRpt_20150223 (1)'!J227+"h_l!$7#"</f>
        <v>#VALUE!</v>
      </c>
      <c r="DQ37" t="e">
        <f>'SurveyRpt_20150223 (1)'!K227+"h_l!$7$"</f>
        <v>#VALUE!</v>
      </c>
      <c r="DR37" t="e">
        <f>'SurveyRpt_20150223 (1)'!L227+"h_l!$7%"</f>
        <v>#VALUE!</v>
      </c>
      <c r="DS37" t="e">
        <f>'SurveyRpt_20150223 (1)'!M227+"h_l!$7&amp;"</f>
        <v>#VALUE!</v>
      </c>
      <c r="DT37" t="e">
        <f>'SurveyRpt_20150223 (1)'!N227+"h_l!$7'"</f>
        <v>#VALUE!</v>
      </c>
      <c r="DU37" t="e">
        <f>'SurveyRpt_20150223 (1)'!O227+"h_l!$7("</f>
        <v>#VALUE!</v>
      </c>
      <c r="DV37" t="e">
        <f>'SurveyRpt_20150223 (1)'!P227+"h_l!$7)"</f>
        <v>#VALUE!</v>
      </c>
      <c r="DW37" t="e">
        <f>'SurveyRpt_20150223 (1)'!Q227+"h_l!$7."</f>
        <v>#VALUE!</v>
      </c>
      <c r="DX37" t="e">
        <f>'SurveyRpt_20150223 (1)'!R227+"h_l!$7/"</f>
        <v>#VALUE!</v>
      </c>
      <c r="DY37" t="e">
        <f>'SurveyRpt_20150223 (1)'!S227+"h_l!$70"</f>
        <v>#VALUE!</v>
      </c>
      <c r="DZ37" t="e">
        <f>'SurveyRpt_20150223 (1)'!T227+"h_l!$71"</f>
        <v>#VALUE!</v>
      </c>
      <c r="EA37" t="e">
        <f>'SurveyRpt_20150223 (1)'!U227+"h_l!$72"</f>
        <v>#VALUE!</v>
      </c>
      <c r="EB37" t="e">
        <f>'SurveyRpt_20150223 (1)'!V227+"h_l!$73"</f>
        <v>#VALUE!</v>
      </c>
      <c r="EC37" t="e">
        <f>'SurveyRpt_20150223 (1)'!W227+"h_l!$74"</f>
        <v>#VALUE!</v>
      </c>
      <c r="ED37" t="e">
        <f>'SurveyRpt_20150223 (1)'!X227+"h_l!$75"</f>
        <v>#VALUE!</v>
      </c>
      <c r="EE37" t="e">
        <f>'SurveyRpt_20150223 (1)'!Y227+"h_l!$76"</f>
        <v>#VALUE!</v>
      </c>
      <c r="EF37" t="e">
        <f>'SurveyRpt_20150223 (1)'!Z227+"h_l!$77"</f>
        <v>#VALUE!</v>
      </c>
      <c r="EG37" t="e">
        <f>'SurveyRpt_20150223 (1)'!AA227+"h_l!$78"</f>
        <v>#VALUE!</v>
      </c>
      <c r="EH37" t="e">
        <f>'SurveyRpt_20150223 (1)'!AB227+"h_l!$79"</f>
        <v>#VALUE!</v>
      </c>
      <c r="EI37" t="e">
        <f>'SurveyRpt_20150223 (1)'!AC227+"h_l!$7:"</f>
        <v>#VALUE!</v>
      </c>
      <c r="EJ37" t="e">
        <f>'SurveyRpt_20150223 (1)'!AD227+"h_l!$7;"</f>
        <v>#VALUE!</v>
      </c>
      <c r="EK37" t="e">
        <f>'SurveyRpt_20150223 (1)'!AE227+"h_l!$7&lt;"</f>
        <v>#VALUE!</v>
      </c>
      <c r="EL37" t="e">
        <f>'SurveyRpt_20150223 (1)'!AF227+"h_l!$7="</f>
        <v>#VALUE!</v>
      </c>
      <c r="EM37" t="e">
        <f>'SurveyRpt_20150223 (1)'!AG227+"h_l!$7&gt;"</f>
        <v>#VALUE!</v>
      </c>
      <c r="EN37" t="e">
        <f>'SurveyRpt_20150223 (1)'!AH227+"h_l!$7?"</f>
        <v>#VALUE!</v>
      </c>
      <c r="EO37" t="e">
        <f>'SurveyRpt_20150223 (1)'!AI227+"h_l!$7@"</f>
        <v>#VALUE!</v>
      </c>
      <c r="EP37" t="e">
        <f>'SurveyRpt_20150223 (1)'!AJ227+"h_l!$7A"</f>
        <v>#VALUE!</v>
      </c>
      <c r="EQ37" t="e">
        <f>'SurveyRpt_20150223 (1)'!AK227+"h_l!$7B"</f>
        <v>#VALUE!</v>
      </c>
      <c r="ER37" t="e">
        <f>'SurveyRpt_20150223 (1)'!AL227+"h_l!$7C"</f>
        <v>#VALUE!</v>
      </c>
      <c r="ES37" t="e">
        <f>'SurveyRpt_20150223 (1)'!AM227+"h_l!$7D"</f>
        <v>#VALUE!</v>
      </c>
      <c r="ET37" t="e">
        <f>'SurveyRpt_20150223 (1)'!AN227+"h_l!$7E"</f>
        <v>#VALUE!</v>
      </c>
      <c r="EU37" t="e">
        <f>'SurveyRpt_20150223 (1)'!A228+"h_l!$7F"</f>
        <v>#VALUE!</v>
      </c>
      <c r="EV37" s="25" t="e">
        <f>'SurveyRpt_20150223 (1)'!B228+"h_l!$7G"</f>
        <v>#VALUE!</v>
      </c>
      <c r="EW37" t="e">
        <f>'SurveyRpt_20150223 (1)'!C228+"h_l!$7H"</f>
        <v>#VALUE!</v>
      </c>
      <c r="EX37" s="25" t="e">
        <f>'SurveyRpt_20150223 (1)'!D228+"h_l!$7I"</f>
        <v>#VALUE!</v>
      </c>
      <c r="EY37" t="e">
        <f>'SurveyRpt_20150223 (1)'!E228+"h_l!$7J"</f>
        <v>#VALUE!</v>
      </c>
      <c r="EZ37" t="e">
        <f>'SurveyRpt_20150223 (1)'!F228+"h_l!$7K"</f>
        <v>#VALUE!</v>
      </c>
      <c r="FA37" t="e">
        <f>'SurveyRpt_20150223 (1)'!G228+"h_l!$7L"</f>
        <v>#VALUE!</v>
      </c>
      <c r="FB37" t="e">
        <f>'SurveyRpt_20150223 (1)'!H228+"h_l!$7M"</f>
        <v>#VALUE!</v>
      </c>
      <c r="FC37" t="e">
        <f>'SurveyRpt_20150223 (1)'!I228+"h_l!$7N"</f>
        <v>#VALUE!</v>
      </c>
      <c r="FD37" t="e">
        <f>'SurveyRpt_20150223 (1)'!J228+"h_l!$7O"</f>
        <v>#VALUE!</v>
      </c>
      <c r="FE37" t="e">
        <f>'SurveyRpt_20150223 (1)'!K228+"h_l!$7P"</f>
        <v>#VALUE!</v>
      </c>
      <c r="FF37" t="e">
        <f>'SurveyRpt_20150223 (1)'!L228+"h_l!$7Q"</f>
        <v>#VALUE!</v>
      </c>
      <c r="FG37" t="e">
        <f>'SurveyRpt_20150223 (1)'!M228+"h_l!$7R"</f>
        <v>#VALUE!</v>
      </c>
      <c r="FH37" t="e">
        <f>'SurveyRpt_20150223 (1)'!N228+"h_l!$7S"</f>
        <v>#VALUE!</v>
      </c>
      <c r="FI37" t="e">
        <f>'SurveyRpt_20150223 (1)'!O228+"h_l!$7T"</f>
        <v>#VALUE!</v>
      </c>
      <c r="FJ37" t="e">
        <f>'SurveyRpt_20150223 (1)'!P228+"h_l!$7U"</f>
        <v>#VALUE!</v>
      </c>
      <c r="FK37" t="e">
        <f>'SurveyRpt_20150223 (1)'!Q228+"h_l!$7V"</f>
        <v>#VALUE!</v>
      </c>
      <c r="FL37" t="e">
        <f>'SurveyRpt_20150223 (1)'!R228+"h_l!$7W"</f>
        <v>#VALUE!</v>
      </c>
      <c r="FM37" t="e">
        <f>'SurveyRpt_20150223 (1)'!S228+"h_l!$7X"</f>
        <v>#VALUE!</v>
      </c>
      <c r="FN37" t="e">
        <f>'SurveyRpt_20150223 (1)'!T228+"h_l!$7Y"</f>
        <v>#VALUE!</v>
      </c>
      <c r="FO37" t="e">
        <f>'SurveyRpt_20150223 (1)'!U228+"h_l!$7Z"</f>
        <v>#VALUE!</v>
      </c>
      <c r="FP37" t="e">
        <f>'SurveyRpt_20150223 (1)'!V228+"h_l!$7["</f>
        <v>#VALUE!</v>
      </c>
      <c r="FQ37" t="e">
        <f>'SurveyRpt_20150223 (1)'!W228+"h_l!$7\"</f>
        <v>#VALUE!</v>
      </c>
      <c r="FR37" t="e">
        <f>'SurveyRpt_20150223 (1)'!X228+"h_l!$7]"</f>
        <v>#VALUE!</v>
      </c>
      <c r="FS37" t="e">
        <f>'SurveyRpt_20150223 (1)'!Y228+"h_l!$7^"</f>
        <v>#VALUE!</v>
      </c>
      <c r="FT37" t="e">
        <f>'SurveyRpt_20150223 (1)'!Z228+"h_l!$7_"</f>
        <v>#VALUE!</v>
      </c>
      <c r="FU37" t="e">
        <f>'SurveyRpt_20150223 (1)'!AA228+"h_l!$7`"</f>
        <v>#VALUE!</v>
      </c>
      <c r="FV37" t="e">
        <f>'SurveyRpt_20150223 (1)'!AB228+"h_l!$7a"</f>
        <v>#VALUE!</v>
      </c>
      <c r="FW37" t="e">
        <f>'SurveyRpt_20150223 (1)'!AC228+"h_l!$7b"</f>
        <v>#VALUE!</v>
      </c>
      <c r="FX37" t="e">
        <f>'SurveyRpt_20150223 (1)'!AD228+"h_l!$7c"</f>
        <v>#VALUE!</v>
      </c>
      <c r="FY37" t="e">
        <f>'SurveyRpt_20150223 (1)'!AE228+"h_l!$7d"</f>
        <v>#VALUE!</v>
      </c>
      <c r="FZ37" t="e">
        <f>'SurveyRpt_20150223 (1)'!AF228+"h_l!$7e"</f>
        <v>#VALUE!</v>
      </c>
      <c r="GA37" t="e">
        <f>'SurveyRpt_20150223 (1)'!AG228+"h_l!$7f"</f>
        <v>#VALUE!</v>
      </c>
      <c r="GB37" t="e">
        <f>'SurveyRpt_20150223 (1)'!AH228+"h_l!$7g"</f>
        <v>#VALUE!</v>
      </c>
      <c r="GC37" t="e">
        <f>'SurveyRpt_20150223 (1)'!AI228+"h_l!$7h"</f>
        <v>#VALUE!</v>
      </c>
      <c r="GD37" t="e">
        <f>'SurveyRpt_20150223 (1)'!AJ228+"h_l!$7i"</f>
        <v>#VALUE!</v>
      </c>
      <c r="GE37" t="e">
        <f>'SurveyRpt_20150223 (1)'!AK228+"h_l!$7j"</f>
        <v>#VALUE!</v>
      </c>
      <c r="GF37" t="e">
        <f>'SurveyRpt_20150223 (1)'!AL228+"h_l!$7k"</f>
        <v>#VALUE!</v>
      </c>
      <c r="GG37" t="e">
        <f>'SurveyRpt_20150223 (1)'!AM228+"h_l!$7l"</f>
        <v>#VALUE!</v>
      </c>
      <c r="GH37" t="e">
        <f>'SurveyRpt_20150223 (1)'!AN228+"h_l!$7m"</f>
        <v>#VALUE!</v>
      </c>
      <c r="GI37" t="e">
        <f>'SurveyRpt_20150223 (1)'!A229+"h_l!$7n"</f>
        <v>#VALUE!</v>
      </c>
      <c r="GJ37" s="25" t="e">
        <f>'SurveyRpt_20150223 (1)'!B229+"h_l!$7o"</f>
        <v>#VALUE!</v>
      </c>
      <c r="GK37" t="e">
        <f>'SurveyRpt_20150223 (1)'!C229+"h_l!$7p"</f>
        <v>#VALUE!</v>
      </c>
      <c r="GL37" s="25" t="e">
        <f>'SurveyRpt_20150223 (1)'!D229+"h_l!$7q"</f>
        <v>#VALUE!</v>
      </c>
      <c r="GM37" t="e">
        <f>'SurveyRpt_20150223 (1)'!E229+"h_l!$7r"</f>
        <v>#VALUE!</v>
      </c>
      <c r="GN37" t="e">
        <f>'SurveyRpt_20150223 (1)'!F229+"h_l!$7s"</f>
        <v>#VALUE!</v>
      </c>
      <c r="GO37" t="e">
        <f>'SurveyRpt_20150223 (1)'!G229+"h_l!$7t"</f>
        <v>#VALUE!</v>
      </c>
      <c r="GP37" t="e">
        <f>'SurveyRpt_20150223 (1)'!H229+"h_l!$7u"</f>
        <v>#VALUE!</v>
      </c>
      <c r="GQ37" t="e">
        <f>'SurveyRpt_20150223 (1)'!I229+"h_l!$7v"</f>
        <v>#VALUE!</v>
      </c>
      <c r="GR37" t="e">
        <f>'SurveyRpt_20150223 (1)'!J229+"h_l!$7w"</f>
        <v>#VALUE!</v>
      </c>
      <c r="GS37" t="e">
        <f>'SurveyRpt_20150223 (1)'!K229+"h_l!$7x"</f>
        <v>#VALUE!</v>
      </c>
      <c r="GT37" t="e">
        <f>'SurveyRpt_20150223 (1)'!L229+"h_l!$7y"</f>
        <v>#VALUE!</v>
      </c>
      <c r="GU37" t="e">
        <f>'SurveyRpt_20150223 (1)'!M229+"h_l!$7z"</f>
        <v>#VALUE!</v>
      </c>
      <c r="GV37" t="e">
        <f>'SurveyRpt_20150223 (1)'!N229+"h_l!$7{"</f>
        <v>#VALUE!</v>
      </c>
      <c r="GW37" t="e">
        <f>'SurveyRpt_20150223 (1)'!O229+"h_l!$7|"</f>
        <v>#VALUE!</v>
      </c>
      <c r="GX37" t="e">
        <f>'SurveyRpt_20150223 (1)'!P229+"h_l!$7}"</f>
        <v>#VALUE!</v>
      </c>
      <c r="GY37" t="e">
        <f>'SurveyRpt_20150223 (1)'!Q229+"h_l!$7~"</f>
        <v>#VALUE!</v>
      </c>
      <c r="GZ37" t="e">
        <f>'SurveyRpt_20150223 (1)'!R229+"h_l!$8#"</f>
        <v>#VALUE!</v>
      </c>
      <c r="HA37" t="e">
        <f>'SurveyRpt_20150223 (1)'!S229+"h_l!$8$"</f>
        <v>#VALUE!</v>
      </c>
      <c r="HB37" t="e">
        <f>'SurveyRpt_20150223 (1)'!T229+"h_l!$8%"</f>
        <v>#VALUE!</v>
      </c>
      <c r="HC37" t="e">
        <f>'SurveyRpt_20150223 (1)'!U229+"h_l!$8&amp;"</f>
        <v>#VALUE!</v>
      </c>
      <c r="HD37" t="e">
        <f>'SurveyRpt_20150223 (1)'!V229+"h_l!$8'"</f>
        <v>#VALUE!</v>
      </c>
      <c r="HE37" t="e">
        <f>'SurveyRpt_20150223 (1)'!W229+"h_l!$8("</f>
        <v>#VALUE!</v>
      </c>
      <c r="HF37" t="e">
        <f>'SurveyRpt_20150223 (1)'!X229+"h_l!$8)"</f>
        <v>#VALUE!</v>
      </c>
      <c r="HG37" t="e">
        <f>'SurveyRpt_20150223 (1)'!Y229+"h_l!$8."</f>
        <v>#VALUE!</v>
      </c>
      <c r="HH37" t="e">
        <f>'SurveyRpt_20150223 (1)'!Z229+"h_l!$8/"</f>
        <v>#VALUE!</v>
      </c>
      <c r="HI37" t="e">
        <f>'SurveyRpt_20150223 (1)'!AA229+"h_l!$80"</f>
        <v>#VALUE!</v>
      </c>
      <c r="HJ37" t="e">
        <f>'SurveyRpt_20150223 (1)'!AB229+"h_l!$81"</f>
        <v>#VALUE!</v>
      </c>
      <c r="HK37" t="e">
        <f>'SurveyRpt_20150223 (1)'!AC229+"h_l!$82"</f>
        <v>#VALUE!</v>
      </c>
      <c r="HL37" t="e">
        <f>'SurveyRpt_20150223 (1)'!AD229+"h_l!$83"</f>
        <v>#VALUE!</v>
      </c>
      <c r="HM37" t="e">
        <f>'SurveyRpt_20150223 (1)'!AE229+"h_l!$84"</f>
        <v>#VALUE!</v>
      </c>
      <c r="HN37" t="e">
        <f>'SurveyRpt_20150223 (1)'!AF229+"h_l!$85"</f>
        <v>#VALUE!</v>
      </c>
      <c r="HO37" t="e">
        <f>'SurveyRpt_20150223 (1)'!AG229+"h_l!$86"</f>
        <v>#VALUE!</v>
      </c>
      <c r="HP37" t="e">
        <f>'SurveyRpt_20150223 (1)'!AH229+"h_l!$87"</f>
        <v>#VALUE!</v>
      </c>
      <c r="HQ37" t="e">
        <f>'SurveyRpt_20150223 (1)'!AI229+"h_l!$88"</f>
        <v>#VALUE!</v>
      </c>
      <c r="HR37" t="e">
        <f>'SurveyRpt_20150223 (1)'!AJ229+"h_l!$89"</f>
        <v>#VALUE!</v>
      </c>
      <c r="HS37" t="e">
        <f>'SurveyRpt_20150223 (1)'!AK229+"h_l!$8:"</f>
        <v>#VALUE!</v>
      </c>
      <c r="HT37" t="e">
        <f>'SurveyRpt_20150223 (1)'!AL229+"h_l!$8;"</f>
        <v>#VALUE!</v>
      </c>
      <c r="HU37" t="e">
        <f>'SurveyRpt_20150223 (1)'!AM229+"h_l!$8&lt;"</f>
        <v>#VALUE!</v>
      </c>
      <c r="HV37" t="e">
        <f>'SurveyRpt_20150223 (1)'!AN229+"h_l!$8="</f>
        <v>#VALUE!</v>
      </c>
      <c r="HW37" t="e">
        <f>'SurveyRpt_20150223 (1)'!A230+"h_l!$8&gt;"</f>
        <v>#VALUE!</v>
      </c>
      <c r="HX37" s="25" t="e">
        <f>'SurveyRpt_20150223 (1)'!B230+"h_l!$8?"</f>
        <v>#VALUE!</v>
      </c>
      <c r="HY37" t="e">
        <f>'SurveyRpt_20150223 (1)'!C230+"h_l!$8@"</f>
        <v>#VALUE!</v>
      </c>
      <c r="HZ37" s="25" t="e">
        <f>'SurveyRpt_20150223 (1)'!D230+"h_l!$8A"</f>
        <v>#VALUE!</v>
      </c>
      <c r="IA37" t="e">
        <f>'SurveyRpt_20150223 (1)'!E230+"h_l!$8B"</f>
        <v>#VALUE!</v>
      </c>
      <c r="IB37" t="e">
        <f>'SurveyRpt_20150223 (1)'!F230+"h_l!$8C"</f>
        <v>#VALUE!</v>
      </c>
      <c r="IC37" t="e">
        <f>'SurveyRpt_20150223 (1)'!G230+"h_l!$8D"</f>
        <v>#VALUE!</v>
      </c>
      <c r="ID37" t="e">
        <f>'SurveyRpt_20150223 (1)'!H230+"h_l!$8E"</f>
        <v>#VALUE!</v>
      </c>
      <c r="IE37" t="e">
        <f>'SurveyRpt_20150223 (1)'!I230+"h_l!$8F"</f>
        <v>#VALUE!</v>
      </c>
      <c r="IF37" t="e">
        <f>'SurveyRpt_20150223 (1)'!J230+"h_l!$8G"</f>
        <v>#VALUE!</v>
      </c>
      <c r="IG37" t="e">
        <f>'SurveyRpt_20150223 (1)'!K230+"h_l!$8H"</f>
        <v>#VALUE!</v>
      </c>
      <c r="IH37" t="e">
        <f>'SurveyRpt_20150223 (1)'!L230+"h_l!$8I"</f>
        <v>#VALUE!</v>
      </c>
      <c r="II37" t="e">
        <f>'SurveyRpt_20150223 (1)'!M230+"h_l!$8J"</f>
        <v>#VALUE!</v>
      </c>
      <c r="IJ37" t="e">
        <f>'SurveyRpt_20150223 (1)'!N230+"h_l!$8K"</f>
        <v>#VALUE!</v>
      </c>
      <c r="IK37" t="e">
        <f>'SurveyRpt_20150223 (1)'!O230+"h_l!$8L"</f>
        <v>#VALUE!</v>
      </c>
      <c r="IL37" t="e">
        <f>'SurveyRpt_20150223 (1)'!P230+"h_l!$8M"</f>
        <v>#VALUE!</v>
      </c>
      <c r="IM37" t="e">
        <f>'SurveyRpt_20150223 (1)'!Q230+"h_l!$8N"</f>
        <v>#VALUE!</v>
      </c>
      <c r="IN37" t="e">
        <f>'SurveyRpt_20150223 (1)'!R230+"h_l!$8O"</f>
        <v>#VALUE!</v>
      </c>
      <c r="IO37" t="e">
        <f>'SurveyRpt_20150223 (1)'!S230+"h_l!$8P"</f>
        <v>#VALUE!</v>
      </c>
      <c r="IP37" t="e">
        <f>'SurveyRpt_20150223 (1)'!T230+"h_l!$8Q"</f>
        <v>#VALUE!</v>
      </c>
      <c r="IQ37" t="e">
        <f>'SurveyRpt_20150223 (1)'!U230+"h_l!$8R"</f>
        <v>#VALUE!</v>
      </c>
      <c r="IR37" t="e">
        <f>'SurveyRpt_20150223 (1)'!V230+"h_l!$8S"</f>
        <v>#VALUE!</v>
      </c>
      <c r="IS37" t="e">
        <f>'SurveyRpt_20150223 (1)'!W230+"h_l!$8T"</f>
        <v>#VALUE!</v>
      </c>
      <c r="IT37" t="e">
        <f>'SurveyRpt_20150223 (1)'!X230+"h_l!$8U"</f>
        <v>#VALUE!</v>
      </c>
      <c r="IU37" t="e">
        <f>'SurveyRpt_20150223 (1)'!Y230+"h_l!$8V"</f>
        <v>#VALUE!</v>
      </c>
      <c r="IV37" t="e">
        <f>'SurveyRpt_20150223 (1)'!Z230+"h_l!$8W"</f>
        <v>#VALUE!</v>
      </c>
    </row>
    <row r="38" spans="6:256" x14ac:dyDescent="0.25">
      <c r="F38" t="e">
        <f>'SurveyRpt_20150223 (1)'!AA230+"h_l!$8X"</f>
        <v>#VALUE!</v>
      </c>
      <c r="G38" t="e">
        <f>'SurveyRpt_20150223 (1)'!AB230+"h_l!$8Y"</f>
        <v>#VALUE!</v>
      </c>
      <c r="H38" t="e">
        <f>'SurveyRpt_20150223 (1)'!AC230+"h_l!$8Z"</f>
        <v>#VALUE!</v>
      </c>
      <c r="I38" t="e">
        <f>'SurveyRpt_20150223 (1)'!AD230+"h_l!$8["</f>
        <v>#VALUE!</v>
      </c>
      <c r="J38" t="e">
        <f>'SurveyRpt_20150223 (1)'!AE230+"h_l!$8\"</f>
        <v>#VALUE!</v>
      </c>
      <c r="K38" t="e">
        <f>'SurveyRpt_20150223 (1)'!AF230+"h_l!$8]"</f>
        <v>#VALUE!</v>
      </c>
      <c r="L38" t="e">
        <f>'SurveyRpt_20150223 (1)'!AG230+"h_l!$8^"</f>
        <v>#VALUE!</v>
      </c>
      <c r="M38" t="e">
        <f>'SurveyRpt_20150223 (1)'!AH230+"h_l!$8_"</f>
        <v>#VALUE!</v>
      </c>
      <c r="N38" t="e">
        <f>'SurveyRpt_20150223 (1)'!AI230+"h_l!$8`"</f>
        <v>#VALUE!</v>
      </c>
      <c r="O38" t="e">
        <f>'SurveyRpt_20150223 (1)'!AJ230+"h_l!$8a"</f>
        <v>#VALUE!</v>
      </c>
      <c r="P38" t="e">
        <f>'SurveyRpt_20150223 (1)'!AK230+"h_l!$8b"</f>
        <v>#VALUE!</v>
      </c>
      <c r="Q38" t="e">
        <f>'SurveyRpt_20150223 (1)'!AL230+"h_l!$8c"</f>
        <v>#VALUE!</v>
      </c>
      <c r="R38" t="e">
        <f>'SurveyRpt_20150223 (1)'!AM230+"h_l!$8d"</f>
        <v>#VALUE!</v>
      </c>
      <c r="S38" t="e">
        <f>'SurveyRpt_20150223 (1)'!AN230+"h_l!$8e"</f>
        <v>#VALUE!</v>
      </c>
      <c r="T38" t="e">
        <f>'SurveyRpt_20150223 (1)'!A231+"h_l!$8f"</f>
        <v>#VALUE!</v>
      </c>
      <c r="U38" s="25" t="e">
        <f>'SurveyRpt_20150223 (1)'!B231+"h_l!$8g"</f>
        <v>#VALUE!</v>
      </c>
      <c r="V38" t="e">
        <f>'SurveyRpt_20150223 (1)'!C231+"h_l!$8h"</f>
        <v>#VALUE!</v>
      </c>
      <c r="W38" s="25" t="e">
        <f>'SurveyRpt_20150223 (1)'!D231+"h_l!$8i"</f>
        <v>#VALUE!</v>
      </c>
      <c r="X38" t="e">
        <f>'SurveyRpt_20150223 (1)'!E231+"h_l!$8j"</f>
        <v>#VALUE!</v>
      </c>
      <c r="Y38" t="e">
        <f>'SurveyRpt_20150223 (1)'!F231+"h_l!$8k"</f>
        <v>#VALUE!</v>
      </c>
      <c r="Z38" t="e">
        <f>'SurveyRpt_20150223 (1)'!G231+"h_l!$8l"</f>
        <v>#VALUE!</v>
      </c>
      <c r="AA38" t="e">
        <f>'SurveyRpt_20150223 (1)'!H231+"h_l!$8m"</f>
        <v>#VALUE!</v>
      </c>
      <c r="AB38" t="e">
        <f>'SurveyRpt_20150223 (1)'!I231+"h_l!$8n"</f>
        <v>#VALUE!</v>
      </c>
      <c r="AC38" t="e">
        <f>'SurveyRpt_20150223 (1)'!J231+"h_l!$8o"</f>
        <v>#VALUE!</v>
      </c>
      <c r="AD38" t="e">
        <f>'SurveyRpt_20150223 (1)'!K231+"h_l!$8p"</f>
        <v>#VALUE!</v>
      </c>
      <c r="AE38" t="e">
        <f>'SurveyRpt_20150223 (1)'!L231+"h_l!$8q"</f>
        <v>#VALUE!</v>
      </c>
      <c r="AF38" t="e">
        <f>'SurveyRpt_20150223 (1)'!M231+"h_l!$8r"</f>
        <v>#VALUE!</v>
      </c>
      <c r="AG38" t="e">
        <f>'SurveyRpt_20150223 (1)'!N231+"h_l!$8s"</f>
        <v>#VALUE!</v>
      </c>
      <c r="AH38" t="e">
        <f>'SurveyRpt_20150223 (1)'!O231+"h_l!$8t"</f>
        <v>#VALUE!</v>
      </c>
      <c r="AI38" t="e">
        <f>'SurveyRpt_20150223 (1)'!P231+"h_l!$8u"</f>
        <v>#VALUE!</v>
      </c>
      <c r="AJ38" t="e">
        <f>'SurveyRpt_20150223 (1)'!Q231+"h_l!$8v"</f>
        <v>#VALUE!</v>
      </c>
      <c r="AK38" t="e">
        <f>'SurveyRpt_20150223 (1)'!R231+"h_l!$8w"</f>
        <v>#VALUE!</v>
      </c>
      <c r="AL38" t="e">
        <f>'SurveyRpt_20150223 (1)'!S231+"h_l!$8x"</f>
        <v>#VALUE!</v>
      </c>
      <c r="AM38" t="e">
        <f>'SurveyRpt_20150223 (1)'!T231+"h_l!$8y"</f>
        <v>#VALUE!</v>
      </c>
      <c r="AN38" t="e">
        <f>'SurveyRpt_20150223 (1)'!U231+"h_l!$8z"</f>
        <v>#VALUE!</v>
      </c>
      <c r="AO38" t="e">
        <f>'SurveyRpt_20150223 (1)'!V231+"h_l!$8{"</f>
        <v>#VALUE!</v>
      </c>
      <c r="AP38" t="e">
        <f>'SurveyRpt_20150223 (1)'!W231+"h_l!$8|"</f>
        <v>#VALUE!</v>
      </c>
      <c r="AQ38" t="e">
        <f>'SurveyRpt_20150223 (1)'!X231+"h_l!$8}"</f>
        <v>#VALUE!</v>
      </c>
      <c r="AR38" t="e">
        <f>'SurveyRpt_20150223 (1)'!Y231+"h_l!$8~"</f>
        <v>#VALUE!</v>
      </c>
      <c r="AS38" t="e">
        <f>'SurveyRpt_20150223 (1)'!Z231+"h_l!$9#"</f>
        <v>#VALUE!</v>
      </c>
      <c r="AT38" t="e">
        <f>'SurveyRpt_20150223 (1)'!AA231+"h_l!$9$"</f>
        <v>#VALUE!</v>
      </c>
      <c r="AU38" t="e">
        <f>'SurveyRpt_20150223 (1)'!AB231+"h_l!$9%"</f>
        <v>#VALUE!</v>
      </c>
      <c r="AV38" t="e">
        <f>'SurveyRpt_20150223 (1)'!AC231+"h_l!$9&amp;"</f>
        <v>#VALUE!</v>
      </c>
      <c r="AW38" t="e">
        <f>'SurveyRpt_20150223 (1)'!AD231+"h_l!$9'"</f>
        <v>#VALUE!</v>
      </c>
      <c r="AX38" t="e">
        <f>'SurveyRpt_20150223 (1)'!AE231+"h_l!$9("</f>
        <v>#VALUE!</v>
      </c>
      <c r="AY38" t="e">
        <f>'SurveyRpt_20150223 (1)'!AF231+"h_l!$9)"</f>
        <v>#VALUE!</v>
      </c>
      <c r="AZ38" t="e">
        <f>'SurveyRpt_20150223 (1)'!AG231+"h_l!$9."</f>
        <v>#VALUE!</v>
      </c>
      <c r="BA38" t="e">
        <f>'SurveyRpt_20150223 (1)'!AH231+"h_l!$9/"</f>
        <v>#VALUE!</v>
      </c>
      <c r="BB38" t="e">
        <f>'SurveyRpt_20150223 (1)'!AI231+"h_l!$90"</f>
        <v>#VALUE!</v>
      </c>
      <c r="BC38" t="e">
        <f>'SurveyRpt_20150223 (1)'!AJ231+"h_l!$91"</f>
        <v>#VALUE!</v>
      </c>
      <c r="BD38" t="e">
        <f>'SurveyRpt_20150223 (1)'!AK231+"h_l!$92"</f>
        <v>#VALUE!</v>
      </c>
      <c r="BE38" t="e">
        <f>'SurveyRpt_20150223 (1)'!AL231+"h_l!$93"</f>
        <v>#VALUE!</v>
      </c>
      <c r="BF38" t="e">
        <f>'SurveyRpt_20150223 (1)'!AM231+"h_l!$94"</f>
        <v>#VALUE!</v>
      </c>
      <c r="BG38" t="e">
        <f>'SurveyRpt_20150223 (1)'!AN231+"h_l!$95"</f>
        <v>#VALUE!</v>
      </c>
      <c r="BH38" t="e">
        <f>'SurveyRpt_20150223 (1)'!A232+"h_l!$96"</f>
        <v>#VALUE!</v>
      </c>
      <c r="BI38" s="25" t="e">
        <f>'SurveyRpt_20150223 (1)'!B232+"h_l!$97"</f>
        <v>#VALUE!</v>
      </c>
      <c r="BJ38" t="e">
        <f>'SurveyRpt_20150223 (1)'!C232+"h_l!$98"</f>
        <v>#VALUE!</v>
      </c>
      <c r="BK38" s="25" t="e">
        <f>'SurveyRpt_20150223 (1)'!D232+"h_l!$99"</f>
        <v>#VALUE!</v>
      </c>
      <c r="BL38" t="e">
        <f>'SurveyRpt_20150223 (1)'!E232+"h_l!$9:"</f>
        <v>#VALUE!</v>
      </c>
      <c r="BM38" t="e">
        <f>'SurveyRpt_20150223 (1)'!F232+"h_l!$9;"</f>
        <v>#VALUE!</v>
      </c>
      <c r="BN38" t="e">
        <f>'SurveyRpt_20150223 (1)'!G232+"h_l!$9&lt;"</f>
        <v>#VALUE!</v>
      </c>
      <c r="BO38" t="e">
        <f>'SurveyRpt_20150223 (1)'!H232+"h_l!$9="</f>
        <v>#VALUE!</v>
      </c>
      <c r="BP38" t="e">
        <f>'SurveyRpt_20150223 (1)'!I232+"h_l!$9&gt;"</f>
        <v>#VALUE!</v>
      </c>
      <c r="BQ38" t="e">
        <f>'SurveyRpt_20150223 (1)'!J232+"h_l!$9?"</f>
        <v>#VALUE!</v>
      </c>
      <c r="BR38" t="e">
        <f>'SurveyRpt_20150223 (1)'!K232+"h_l!$9@"</f>
        <v>#VALUE!</v>
      </c>
      <c r="BS38" t="e">
        <f>'SurveyRpt_20150223 (1)'!L232+"h_l!$9A"</f>
        <v>#VALUE!</v>
      </c>
      <c r="BT38" t="e">
        <f>'SurveyRpt_20150223 (1)'!M232+"h_l!$9B"</f>
        <v>#VALUE!</v>
      </c>
      <c r="BU38" t="e">
        <f>'SurveyRpt_20150223 (1)'!N232+"h_l!$9C"</f>
        <v>#VALUE!</v>
      </c>
      <c r="BV38" t="e">
        <f>'SurveyRpt_20150223 (1)'!O232+"h_l!$9D"</f>
        <v>#VALUE!</v>
      </c>
      <c r="BW38" t="e">
        <f>'SurveyRpt_20150223 (1)'!P232+"h_l!$9E"</f>
        <v>#VALUE!</v>
      </c>
      <c r="BX38" t="e">
        <f>'SurveyRpt_20150223 (1)'!Q232+"h_l!$9F"</f>
        <v>#VALUE!</v>
      </c>
      <c r="BY38" t="e">
        <f>'SurveyRpt_20150223 (1)'!R232+"h_l!$9G"</f>
        <v>#VALUE!</v>
      </c>
      <c r="BZ38" t="e">
        <f>'SurveyRpt_20150223 (1)'!S232+"h_l!$9H"</f>
        <v>#VALUE!</v>
      </c>
      <c r="CA38" t="e">
        <f>'SurveyRpt_20150223 (1)'!T232+"h_l!$9I"</f>
        <v>#VALUE!</v>
      </c>
      <c r="CB38" t="e">
        <f>'SurveyRpt_20150223 (1)'!U232+"h_l!$9J"</f>
        <v>#VALUE!</v>
      </c>
      <c r="CC38" t="e">
        <f>'SurveyRpt_20150223 (1)'!V232+"h_l!$9K"</f>
        <v>#VALUE!</v>
      </c>
      <c r="CD38" t="e">
        <f>'SurveyRpt_20150223 (1)'!W232+"h_l!$9L"</f>
        <v>#VALUE!</v>
      </c>
      <c r="CE38" t="e">
        <f>'SurveyRpt_20150223 (1)'!X232+"h_l!$9M"</f>
        <v>#VALUE!</v>
      </c>
      <c r="CF38" t="e">
        <f>'SurveyRpt_20150223 (1)'!Y232+"h_l!$9N"</f>
        <v>#VALUE!</v>
      </c>
      <c r="CG38" t="e">
        <f>'SurveyRpt_20150223 (1)'!Z232+"h_l!$9O"</f>
        <v>#VALUE!</v>
      </c>
      <c r="CH38" t="e">
        <f>'SurveyRpt_20150223 (1)'!AA232+"h_l!$9P"</f>
        <v>#VALUE!</v>
      </c>
      <c r="CI38" t="e">
        <f>'SurveyRpt_20150223 (1)'!AB232+"h_l!$9Q"</f>
        <v>#VALUE!</v>
      </c>
      <c r="CJ38" t="e">
        <f>'SurveyRpt_20150223 (1)'!AC232+"h_l!$9R"</f>
        <v>#VALUE!</v>
      </c>
      <c r="CK38" t="e">
        <f>'SurveyRpt_20150223 (1)'!AD232+"h_l!$9S"</f>
        <v>#VALUE!</v>
      </c>
      <c r="CL38" t="e">
        <f>'SurveyRpt_20150223 (1)'!AE232+"h_l!$9T"</f>
        <v>#VALUE!</v>
      </c>
      <c r="CM38" t="e">
        <f>'SurveyRpt_20150223 (1)'!AF232+"h_l!$9U"</f>
        <v>#VALUE!</v>
      </c>
      <c r="CN38" t="e">
        <f>'SurveyRpt_20150223 (1)'!AG232+"h_l!$9V"</f>
        <v>#VALUE!</v>
      </c>
      <c r="CO38" t="e">
        <f>'SurveyRpt_20150223 (1)'!AH232+"h_l!$9W"</f>
        <v>#VALUE!</v>
      </c>
      <c r="CP38" t="e">
        <f>'SurveyRpt_20150223 (1)'!AI232+"h_l!$9X"</f>
        <v>#VALUE!</v>
      </c>
      <c r="CQ38" t="e">
        <f>'SurveyRpt_20150223 (1)'!AJ232+"h_l!$9Y"</f>
        <v>#VALUE!</v>
      </c>
      <c r="CR38" t="e">
        <f>'SurveyRpt_20150223 (1)'!AK232+"h_l!$9Z"</f>
        <v>#VALUE!</v>
      </c>
      <c r="CS38" t="e">
        <f>'SurveyRpt_20150223 (1)'!AL232+"h_l!$9["</f>
        <v>#VALUE!</v>
      </c>
      <c r="CT38" t="e">
        <f>'SurveyRpt_20150223 (1)'!AM232+"h_l!$9\"</f>
        <v>#VALUE!</v>
      </c>
      <c r="CU38" t="e">
        <f>'SurveyRpt_20150223 (1)'!AN232+"h_l!$9]"</f>
        <v>#VALUE!</v>
      </c>
      <c r="CV38" t="e">
        <f>'SurveyRpt_20150223 (1)'!A233+"h_l!$9^"</f>
        <v>#VALUE!</v>
      </c>
      <c r="CW38" s="25" t="e">
        <f>'SurveyRpt_20150223 (1)'!B233+"h_l!$9_"</f>
        <v>#VALUE!</v>
      </c>
      <c r="CX38" t="e">
        <f>'SurveyRpt_20150223 (1)'!C233+"h_l!$9`"</f>
        <v>#VALUE!</v>
      </c>
      <c r="CY38" s="25" t="e">
        <f>'SurveyRpt_20150223 (1)'!D233+"h_l!$9a"</f>
        <v>#VALUE!</v>
      </c>
      <c r="CZ38" t="e">
        <f>'SurveyRpt_20150223 (1)'!E233+"h_l!$9b"</f>
        <v>#VALUE!</v>
      </c>
      <c r="DA38" t="e">
        <f>'SurveyRpt_20150223 (1)'!F233+"h_l!$9c"</f>
        <v>#VALUE!</v>
      </c>
      <c r="DB38" t="e">
        <f>'SurveyRpt_20150223 (1)'!G233+"h_l!$9d"</f>
        <v>#VALUE!</v>
      </c>
      <c r="DC38" t="e">
        <f>'SurveyRpt_20150223 (1)'!H233+"h_l!$9e"</f>
        <v>#VALUE!</v>
      </c>
      <c r="DD38" t="e">
        <f>'SurveyRpt_20150223 (1)'!I233+"h_l!$9f"</f>
        <v>#VALUE!</v>
      </c>
      <c r="DE38" t="e">
        <f>'SurveyRpt_20150223 (1)'!J233+"h_l!$9g"</f>
        <v>#VALUE!</v>
      </c>
      <c r="DF38" t="e">
        <f>'SurveyRpt_20150223 (1)'!K233+"h_l!$9h"</f>
        <v>#VALUE!</v>
      </c>
      <c r="DG38" t="e">
        <f>'SurveyRpt_20150223 (1)'!L233+"h_l!$9i"</f>
        <v>#VALUE!</v>
      </c>
      <c r="DH38" t="e">
        <f>'SurveyRpt_20150223 (1)'!M233+"h_l!$9j"</f>
        <v>#VALUE!</v>
      </c>
      <c r="DI38" t="e">
        <f>'SurveyRpt_20150223 (1)'!N233+"h_l!$9k"</f>
        <v>#VALUE!</v>
      </c>
      <c r="DJ38" t="e">
        <f>'SurveyRpt_20150223 (1)'!O233+"h_l!$9l"</f>
        <v>#VALUE!</v>
      </c>
      <c r="DK38" t="e">
        <f>'SurveyRpt_20150223 (1)'!P233+"h_l!$9m"</f>
        <v>#VALUE!</v>
      </c>
      <c r="DL38" t="e">
        <f>'SurveyRpt_20150223 (1)'!Q233+"h_l!$9n"</f>
        <v>#VALUE!</v>
      </c>
      <c r="DM38" t="e">
        <f>'SurveyRpt_20150223 (1)'!R233+"h_l!$9o"</f>
        <v>#VALUE!</v>
      </c>
      <c r="DN38" t="e">
        <f>'SurveyRpt_20150223 (1)'!S233+"h_l!$9p"</f>
        <v>#VALUE!</v>
      </c>
      <c r="DO38" t="e">
        <f>'SurveyRpt_20150223 (1)'!T233+"h_l!$9q"</f>
        <v>#VALUE!</v>
      </c>
      <c r="DP38" t="e">
        <f>'SurveyRpt_20150223 (1)'!U233+"h_l!$9r"</f>
        <v>#VALUE!</v>
      </c>
      <c r="DQ38" t="e">
        <f>'SurveyRpt_20150223 (1)'!V233+"h_l!$9s"</f>
        <v>#VALUE!</v>
      </c>
      <c r="DR38" t="e">
        <f>'SurveyRpt_20150223 (1)'!W233+"h_l!$9t"</f>
        <v>#VALUE!</v>
      </c>
      <c r="DS38" t="e">
        <f>'SurveyRpt_20150223 (1)'!X233+"h_l!$9u"</f>
        <v>#VALUE!</v>
      </c>
      <c r="DT38" t="e">
        <f>'SurveyRpt_20150223 (1)'!Y233+"h_l!$9v"</f>
        <v>#VALUE!</v>
      </c>
      <c r="DU38" t="e">
        <f>'SurveyRpt_20150223 (1)'!Z233+"h_l!$9w"</f>
        <v>#VALUE!</v>
      </c>
      <c r="DV38" t="e">
        <f>'SurveyRpt_20150223 (1)'!AA233+"h_l!$9x"</f>
        <v>#VALUE!</v>
      </c>
      <c r="DW38" t="e">
        <f>'SurveyRpt_20150223 (1)'!AB233+"h_l!$9y"</f>
        <v>#VALUE!</v>
      </c>
      <c r="DX38" t="e">
        <f>'SurveyRpt_20150223 (1)'!AC233+"h_l!$9z"</f>
        <v>#VALUE!</v>
      </c>
      <c r="DY38" t="e">
        <f>'SurveyRpt_20150223 (1)'!AD233+"h_l!$9{"</f>
        <v>#VALUE!</v>
      </c>
      <c r="DZ38" t="e">
        <f>'SurveyRpt_20150223 (1)'!AE233+"h_l!$9|"</f>
        <v>#VALUE!</v>
      </c>
      <c r="EA38" t="e">
        <f>'SurveyRpt_20150223 (1)'!AF233+"h_l!$9}"</f>
        <v>#VALUE!</v>
      </c>
      <c r="EB38" t="e">
        <f>'SurveyRpt_20150223 (1)'!AG233+"h_l!$9~"</f>
        <v>#VALUE!</v>
      </c>
      <c r="EC38" t="e">
        <f>'SurveyRpt_20150223 (1)'!AH233+"h_l!$:#"</f>
        <v>#VALUE!</v>
      </c>
      <c r="ED38" t="e">
        <f>'SurveyRpt_20150223 (1)'!AI233+"h_l!$:$"</f>
        <v>#VALUE!</v>
      </c>
      <c r="EE38" t="e">
        <f>'SurveyRpt_20150223 (1)'!AJ233+"h_l!$:%"</f>
        <v>#VALUE!</v>
      </c>
      <c r="EF38" t="e">
        <f>'SurveyRpt_20150223 (1)'!AK233+"h_l!$:&amp;"</f>
        <v>#VALUE!</v>
      </c>
      <c r="EG38" t="e">
        <f>'SurveyRpt_20150223 (1)'!AL233+"h_l!$:'"</f>
        <v>#VALUE!</v>
      </c>
      <c r="EH38" t="e">
        <f>'SurveyRpt_20150223 (1)'!AM233+"h_l!$:("</f>
        <v>#VALUE!</v>
      </c>
      <c r="EI38" t="e">
        <f>'SurveyRpt_20150223 (1)'!AN233+"h_l!$:)"</f>
        <v>#VALUE!</v>
      </c>
      <c r="EJ38" t="e">
        <f>'SurveyRpt_20150223 (1)'!A234+"h_l!$:."</f>
        <v>#VALUE!</v>
      </c>
      <c r="EK38" s="25" t="e">
        <f>'SurveyRpt_20150223 (1)'!B234+"h_l!$:/"</f>
        <v>#VALUE!</v>
      </c>
      <c r="EL38" t="e">
        <f>'SurveyRpt_20150223 (1)'!C234+"h_l!$:0"</f>
        <v>#VALUE!</v>
      </c>
      <c r="EM38" s="25" t="e">
        <f>'SurveyRpt_20150223 (1)'!D234+"h_l!$:1"</f>
        <v>#VALUE!</v>
      </c>
      <c r="EN38" t="e">
        <f>'SurveyRpt_20150223 (1)'!E234+"h_l!$:2"</f>
        <v>#VALUE!</v>
      </c>
      <c r="EO38" t="e">
        <f>'SurveyRpt_20150223 (1)'!F234+"h_l!$:3"</f>
        <v>#VALUE!</v>
      </c>
      <c r="EP38" t="e">
        <f>'SurveyRpt_20150223 (1)'!G234+"h_l!$:4"</f>
        <v>#VALUE!</v>
      </c>
      <c r="EQ38" t="e">
        <f>'SurveyRpt_20150223 (1)'!H234+"h_l!$:5"</f>
        <v>#VALUE!</v>
      </c>
      <c r="ER38" t="e">
        <f>'SurveyRpt_20150223 (1)'!I234+"h_l!$:6"</f>
        <v>#VALUE!</v>
      </c>
      <c r="ES38" t="e">
        <f>'SurveyRpt_20150223 (1)'!J234+"h_l!$:7"</f>
        <v>#VALUE!</v>
      </c>
      <c r="ET38" t="e">
        <f>'SurveyRpt_20150223 (1)'!K234+"h_l!$:8"</f>
        <v>#VALUE!</v>
      </c>
      <c r="EU38" t="e">
        <f>'SurveyRpt_20150223 (1)'!L234+"h_l!$:9"</f>
        <v>#VALUE!</v>
      </c>
      <c r="EV38" t="e">
        <f>'SurveyRpt_20150223 (1)'!M234+"h_l!$::"</f>
        <v>#VALUE!</v>
      </c>
      <c r="EW38" t="e">
        <f>'SurveyRpt_20150223 (1)'!N234+"h_l!$:;"</f>
        <v>#VALUE!</v>
      </c>
      <c r="EX38" t="e">
        <f>'SurveyRpt_20150223 (1)'!O234+"h_l!$:&lt;"</f>
        <v>#VALUE!</v>
      </c>
      <c r="EY38" t="e">
        <f>'SurveyRpt_20150223 (1)'!P234+"h_l!$:="</f>
        <v>#VALUE!</v>
      </c>
      <c r="EZ38" t="e">
        <f>'SurveyRpt_20150223 (1)'!Q234+"h_l!$:&gt;"</f>
        <v>#VALUE!</v>
      </c>
      <c r="FA38" t="e">
        <f>'SurveyRpt_20150223 (1)'!R234+"h_l!$:?"</f>
        <v>#VALUE!</v>
      </c>
      <c r="FB38" t="e">
        <f>'SurveyRpt_20150223 (1)'!S234+"h_l!$:@"</f>
        <v>#VALUE!</v>
      </c>
      <c r="FC38" t="e">
        <f>'SurveyRpt_20150223 (1)'!T234+"h_l!$:A"</f>
        <v>#VALUE!</v>
      </c>
      <c r="FD38" t="e">
        <f>'SurveyRpt_20150223 (1)'!U234+"h_l!$:B"</f>
        <v>#VALUE!</v>
      </c>
      <c r="FE38" t="e">
        <f>'SurveyRpt_20150223 (1)'!V234+"h_l!$:C"</f>
        <v>#VALUE!</v>
      </c>
      <c r="FF38" t="e">
        <f>'SurveyRpt_20150223 (1)'!W234+"h_l!$:D"</f>
        <v>#VALUE!</v>
      </c>
      <c r="FG38" t="e">
        <f>'SurveyRpt_20150223 (1)'!X234+"h_l!$:E"</f>
        <v>#VALUE!</v>
      </c>
      <c r="FH38" t="e">
        <f>'SurveyRpt_20150223 (1)'!Y234+"h_l!$:F"</f>
        <v>#VALUE!</v>
      </c>
      <c r="FI38" t="e">
        <f>'SurveyRpt_20150223 (1)'!Z234+"h_l!$:G"</f>
        <v>#VALUE!</v>
      </c>
      <c r="FJ38" t="e">
        <f>'SurveyRpt_20150223 (1)'!AA234+"h_l!$:H"</f>
        <v>#VALUE!</v>
      </c>
      <c r="FK38" t="e">
        <f>'SurveyRpt_20150223 (1)'!AB234+"h_l!$:I"</f>
        <v>#VALUE!</v>
      </c>
      <c r="FL38" t="e">
        <f>'SurveyRpt_20150223 (1)'!AC234+"h_l!$:J"</f>
        <v>#VALUE!</v>
      </c>
      <c r="FM38" t="e">
        <f>'SurveyRpt_20150223 (1)'!AD234+"h_l!$:K"</f>
        <v>#VALUE!</v>
      </c>
      <c r="FN38" t="e">
        <f>'SurveyRpt_20150223 (1)'!AE234+"h_l!$:L"</f>
        <v>#VALUE!</v>
      </c>
      <c r="FO38" t="e">
        <f>'SurveyRpt_20150223 (1)'!AF234+"h_l!$:M"</f>
        <v>#VALUE!</v>
      </c>
      <c r="FP38" t="e">
        <f>'SurveyRpt_20150223 (1)'!AG234+"h_l!$:N"</f>
        <v>#VALUE!</v>
      </c>
      <c r="FQ38" t="e">
        <f>'SurveyRpt_20150223 (1)'!AH234+"h_l!$:O"</f>
        <v>#VALUE!</v>
      </c>
      <c r="FR38" t="e">
        <f>'SurveyRpt_20150223 (1)'!AI234+"h_l!$:P"</f>
        <v>#VALUE!</v>
      </c>
      <c r="FS38" t="e">
        <f>'SurveyRpt_20150223 (1)'!AJ234+"h_l!$:Q"</f>
        <v>#VALUE!</v>
      </c>
      <c r="FT38" t="e">
        <f>'SurveyRpt_20150223 (1)'!AK234+"h_l!$:R"</f>
        <v>#VALUE!</v>
      </c>
      <c r="FU38" t="e">
        <f>'SurveyRpt_20150223 (1)'!AL234+"h_l!$:S"</f>
        <v>#VALUE!</v>
      </c>
      <c r="FV38" t="e">
        <f>'SurveyRpt_20150223 (1)'!AM234+"h_l!$:T"</f>
        <v>#VALUE!</v>
      </c>
      <c r="FW38" t="e">
        <f>'SurveyRpt_20150223 (1)'!AN234+"h_l!$:U"</f>
        <v>#VALUE!</v>
      </c>
      <c r="FX38" t="e">
        <f>'SurveyRpt_20150223 (1)'!A235+"h_l!$:V"</f>
        <v>#VALUE!</v>
      </c>
      <c r="FY38" s="25" t="e">
        <f>'SurveyRpt_20150223 (1)'!B235+"h_l!$:W"</f>
        <v>#VALUE!</v>
      </c>
      <c r="FZ38" t="e">
        <f>'SurveyRpt_20150223 (1)'!C235+"h_l!$:X"</f>
        <v>#VALUE!</v>
      </c>
      <c r="GA38" s="25" t="e">
        <f>'SurveyRpt_20150223 (1)'!D235+"h_l!$:Y"</f>
        <v>#VALUE!</v>
      </c>
      <c r="GB38" t="e">
        <f>'SurveyRpt_20150223 (1)'!E235+"h_l!$:Z"</f>
        <v>#VALUE!</v>
      </c>
      <c r="GC38" t="e">
        <f>'SurveyRpt_20150223 (1)'!F235+"h_l!$:["</f>
        <v>#VALUE!</v>
      </c>
      <c r="GD38" t="e">
        <f>'SurveyRpt_20150223 (1)'!G235+"h_l!$:\"</f>
        <v>#VALUE!</v>
      </c>
      <c r="GE38" t="e">
        <f>'SurveyRpt_20150223 (1)'!H235+"h_l!$:]"</f>
        <v>#VALUE!</v>
      </c>
      <c r="GF38" t="e">
        <f>'SurveyRpt_20150223 (1)'!I235+"h_l!$:^"</f>
        <v>#VALUE!</v>
      </c>
      <c r="GG38" t="e">
        <f>'SurveyRpt_20150223 (1)'!J235+"h_l!$:_"</f>
        <v>#VALUE!</v>
      </c>
      <c r="GH38" t="e">
        <f>'SurveyRpt_20150223 (1)'!K235+"h_l!$:`"</f>
        <v>#VALUE!</v>
      </c>
      <c r="GI38" t="e">
        <f>'SurveyRpt_20150223 (1)'!L235+"h_l!$:a"</f>
        <v>#VALUE!</v>
      </c>
      <c r="GJ38" t="e">
        <f>'SurveyRpt_20150223 (1)'!M235+"h_l!$:b"</f>
        <v>#VALUE!</v>
      </c>
      <c r="GK38" t="e">
        <f>'SurveyRpt_20150223 (1)'!N235+"h_l!$:c"</f>
        <v>#VALUE!</v>
      </c>
      <c r="GL38" t="e">
        <f>'SurveyRpt_20150223 (1)'!O235+"h_l!$:d"</f>
        <v>#VALUE!</v>
      </c>
      <c r="GM38" t="e">
        <f>'SurveyRpt_20150223 (1)'!P235+"h_l!$:e"</f>
        <v>#VALUE!</v>
      </c>
      <c r="GN38" t="e">
        <f>'SurveyRpt_20150223 (1)'!Q235+"h_l!$:f"</f>
        <v>#VALUE!</v>
      </c>
      <c r="GO38" t="e">
        <f>'SurveyRpt_20150223 (1)'!R235+"h_l!$:g"</f>
        <v>#VALUE!</v>
      </c>
      <c r="GP38" t="e">
        <f>'SurveyRpt_20150223 (1)'!S235+"h_l!$:h"</f>
        <v>#VALUE!</v>
      </c>
      <c r="GQ38" t="e">
        <f>'SurveyRpt_20150223 (1)'!T235+"h_l!$:i"</f>
        <v>#VALUE!</v>
      </c>
      <c r="GR38" t="e">
        <f>'SurveyRpt_20150223 (1)'!U235+"h_l!$:j"</f>
        <v>#VALUE!</v>
      </c>
      <c r="GS38" t="e">
        <f>'SurveyRpt_20150223 (1)'!V235+"h_l!$:k"</f>
        <v>#VALUE!</v>
      </c>
      <c r="GT38" t="e">
        <f>'SurveyRpt_20150223 (1)'!W235+"h_l!$:l"</f>
        <v>#VALUE!</v>
      </c>
      <c r="GU38" t="e">
        <f>'SurveyRpt_20150223 (1)'!X235+"h_l!$:m"</f>
        <v>#VALUE!</v>
      </c>
      <c r="GV38" t="e">
        <f>'SurveyRpt_20150223 (1)'!Y235+"h_l!$:n"</f>
        <v>#VALUE!</v>
      </c>
      <c r="GW38" t="e">
        <f>'SurveyRpt_20150223 (1)'!Z235+"h_l!$:o"</f>
        <v>#VALUE!</v>
      </c>
      <c r="GX38" t="e">
        <f>'SurveyRpt_20150223 (1)'!AA235+"h_l!$:p"</f>
        <v>#VALUE!</v>
      </c>
      <c r="GY38" t="e">
        <f>'SurveyRpt_20150223 (1)'!AB235+"h_l!$:q"</f>
        <v>#VALUE!</v>
      </c>
      <c r="GZ38" t="e">
        <f>'SurveyRpt_20150223 (1)'!AC235+"h_l!$:r"</f>
        <v>#VALUE!</v>
      </c>
      <c r="HA38" t="e">
        <f>'SurveyRpt_20150223 (1)'!AD235+"h_l!$:s"</f>
        <v>#VALUE!</v>
      </c>
      <c r="HB38" t="e">
        <f>'SurveyRpt_20150223 (1)'!AE235+"h_l!$:t"</f>
        <v>#VALUE!</v>
      </c>
      <c r="HC38" t="e">
        <f>'SurveyRpt_20150223 (1)'!AF235+"h_l!$:u"</f>
        <v>#VALUE!</v>
      </c>
      <c r="HD38" t="e">
        <f>'SurveyRpt_20150223 (1)'!AG235+"h_l!$:v"</f>
        <v>#VALUE!</v>
      </c>
      <c r="HE38" t="e">
        <f>'SurveyRpt_20150223 (1)'!AH235+"h_l!$:w"</f>
        <v>#VALUE!</v>
      </c>
      <c r="HF38" t="e">
        <f>'SurveyRpt_20150223 (1)'!AI235+"h_l!$:x"</f>
        <v>#VALUE!</v>
      </c>
      <c r="HG38" t="e">
        <f>'SurveyRpt_20150223 (1)'!AJ235+"h_l!$:y"</f>
        <v>#VALUE!</v>
      </c>
      <c r="HH38" t="e">
        <f>'SurveyRpt_20150223 (1)'!AK235+"h_l!$:z"</f>
        <v>#VALUE!</v>
      </c>
      <c r="HI38" t="e">
        <f>'SurveyRpt_20150223 (1)'!AL235+"h_l!$:{"</f>
        <v>#VALUE!</v>
      </c>
      <c r="HJ38" t="e">
        <f>'SurveyRpt_20150223 (1)'!AM235+"h_l!$:|"</f>
        <v>#VALUE!</v>
      </c>
      <c r="HK38" t="e">
        <f>'SurveyRpt_20150223 (1)'!AN235+"h_l!$:}"</f>
        <v>#VALUE!</v>
      </c>
      <c r="HL38" t="e">
        <f>'SurveyRpt_20150223 (1)'!A236+"h_l!$:~"</f>
        <v>#VALUE!</v>
      </c>
      <c r="HM38" s="25" t="e">
        <f>'SurveyRpt_20150223 (1)'!B236+"h_l!$;#"</f>
        <v>#VALUE!</v>
      </c>
      <c r="HN38" t="e">
        <f>'SurveyRpt_20150223 (1)'!C236+"h_l!$;$"</f>
        <v>#VALUE!</v>
      </c>
      <c r="HO38" s="25" t="e">
        <f>'SurveyRpt_20150223 (1)'!D236+"h_l!$;%"</f>
        <v>#VALUE!</v>
      </c>
      <c r="HP38" t="e">
        <f>'SurveyRpt_20150223 (1)'!E236+"h_l!$;&amp;"</f>
        <v>#VALUE!</v>
      </c>
      <c r="HQ38" t="e">
        <f>'SurveyRpt_20150223 (1)'!F236+"h_l!$;'"</f>
        <v>#VALUE!</v>
      </c>
      <c r="HR38" t="e">
        <f>'SurveyRpt_20150223 (1)'!G236+"h_l!$;("</f>
        <v>#VALUE!</v>
      </c>
      <c r="HS38" t="e">
        <f>'SurveyRpt_20150223 (1)'!H236+"h_l!$;)"</f>
        <v>#VALUE!</v>
      </c>
      <c r="HT38" t="e">
        <f>'SurveyRpt_20150223 (1)'!I236+"h_l!$;."</f>
        <v>#VALUE!</v>
      </c>
      <c r="HU38" t="e">
        <f>'SurveyRpt_20150223 (1)'!J236+"h_l!$;/"</f>
        <v>#VALUE!</v>
      </c>
      <c r="HV38" t="e">
        <f>'SurveyRpt_20150223 (1)'!K236+"h_l!$;0"</f>
        <v>#VALUE!</v>
      </c>
      <c r="HW38" t="e">
        <f>'SurveyRpt_20150223 (1)'!L236+"h_l!$;1"</f>
        <v>#VALUE!</v>
      </c>
      <c r="HX38" t="e">
        <f>'SurveyRpt_20150223 (1)'!M236+"h_l!$;2"</f>
        <v>#VALUE!</v>
      </c>
      <c r="HY38" t="e">
        <f>'SurveyRpt_20150223 (1)'!N236+"h_l!$;3"</f>
        <v>#VALUE!</v>
      </c>
      <c r="HZ38" t="e">
        <f>'SurveyRpt_20150223 (1)'!O236+"h_l!$;4"</f>
        <v>#VALUE!</v>
      </c>
      <c r="IA38" t="e">
        <f>'SurveyRpt_20150223 (1)'!P236+"h_l!$;5"</f>
        <v>#VALUE!</v>
      </c>
      <c r="IB38" t="e">
        <f>'SurveyRpt_20150223 (1)'!Q236+"h_l!$;6"</f>
        <v>#VALUE!</v>
      </c>
      <c r="IC38" t="e">
        <f>'SurveyRpt_20150223 (1)'!R236+"h_l!$;7"</f>
        <v>#VALUE!</v>
      </c>
      <c r="ID38" t="e">
        <f>'SurveyRpt_20150223 (1)'!S236+"h_l!$;8"</f>
        <v>#VALUE!</v>
      </c>
      <c r="IE38" t="e">
        <f>'SurveyRpt_20150223 (1)'!T236+"h_l!$;9"</f>
        <v>#VALUE!</v>
      </c>
      <c r="IF38" t="e">
        <f>'SurveyRpt_20150223 (1)'!U236+"h_l!$;:"</f>
        <v>#VALUE!</v>
      </c>
      <c r="IG38" t="e">
        <f>'SurveyRpt_20150223 (1)'!V236+"h_l!$;;"</f>
        <v>#VALUE!</v>
      </c>
      <c r="IH38" t="e">
        <f>'SurveyRpt_20150223 (1)'!W236+"h_l!$;&lt;"</f>
        <v>#VALUE!</v>
      </c>
      <c r="II38" t="e">
        <f>'SurveyRpt_20150223 (1)'!X236+"h_l!$;="</f>
        <v>#VALUE!</v>
      </c>
      <c r="IJ38" t="e">
        <f>'SurveyRpt_20150223 (1)'!Y236+"h_l!$;&gt;"</f>
        <v>#VALUE!</v>
      </c>
      <c r="IK38" t="e">
        <f>'SurveyRpt_20150223 (1)'!Z236+"h_l!$;?"</f>
        <v>#VALUE!</v>
      </c>
      <c r="IL38" t="e">
        <f>'SurveyRpt_20150223 (1)'!AA236+"h_l!$;@"</f>
        <v>#VALUE!</v>
      </c>
      <c r="IM38" t="e">
        <f>'SurveyRpt_20150223 (1)'!AB236+"h_l!$;A"</f>
        <v>#VALUE!</v>
      </c>
      <c r="IN38" t="e">
        <f>'SurveyRpt_20150223 (1)'!AC236+"h_l!$;B"</f>
        <v>#VALUE!</v>
      </c>
      <c r="IO38" t="e">
        <f>'SurveyRpt_20150223 (1)'!AD236+"h_l!$;C"</f>
        <v>#VALUE!</v>
      </c>
      <c r="IP38" t="e">
        <f>'SurveyRpt_20150223 (1)'!AE236+"h_l!$;D"</f>
        <v>#VALUE!</v>
      </c>
      <c r="IQ38" t="e">
        <f>'SurveyRpt_20150223 (1)'!AF236+"h_l!$;E"</f>
        <v>#VALUE!</v>
      </c>
      <c r="IR38" t="e">
        <f>'SurveyRpt_20150223 (1)'!AG236+"h_l!$;F"</f>
        <v>#VALUE!</v>
      </c>
      <c r="IS38" t="e">
        <f>'SurveyRpt_20150223 (1)'!AH236+"h_l!$;G"</f>
        <v>#VALUE!</v>
      </c>
      <c r="IT38" t="e">
        <f>'SurveyRpt_20150223 (1)'!AI236+"h_l!$;H"</f>
        <v>#VALUE!</v>
      </c>
      <c r="IU38" t="e">
        <f>'SurveyRpt_20150223 (1)'!AJ236+"h_l!$;I"</f>
        <v>#VALUE!</v>
      </c>
      <c r="IV38" t="e">
        <f>'SurveyRpt_20150223 (1)'!AK236+"h_l!$;J"</f>
        <v>#VALUE!</v>
      </c>
    </row>
    <row r="39" spans="6:256" x14ac:dyDescent="0.25">
      <c r="F39" t="e">
        <f>'SurveyRpt_20150223 (1)'!AL236+"h_l!$;K"</f>
        <v>#VALUE!</v>
      </c>
      <c r="G39" t="e">
        <f>'SurveyRpt_20150223 (1)'!AM236+"h_l!$;L"</f>
        <v>#VALUE!</v>
      </c>
      <c r="H39" t="e">
        <f>'SurveyRpt_20150223 (1)'!AN236+"h_l!$;M"</f>
        <v>#VALUE!</v>
      </c>
      <c r="I39" t="e">
        <f>'SurveyRpt_20150223 (1)'!A237+"h_l!$;N"</f>
        <v>#VALUE!</v>
      </c>
      <c r="J39" s="25" t="e">
        <f>'SurveyRpt_20150223 (1)'!B237+"h_l!$;O"</f>
        <v>#VALUE!</v>
      </c>
      <c r="K39" t="e">
        <f>'SurveyRpt_20150223 (1)'!C237+"h_l!$;P"</f>
        <v>#VALUE!</v>
      </c>
      <c r="L39" s="25" t="e">
        <f>'SurveyRpt_20150223 (1)'!D237+"h_l!$;Q"</f>
        <v>#VALUE!</v>
      </c>
      <c r="M39" t="e">
        <f>'SurveyRpt_20150223 (1)'!E237+"h_l!$;R"</f>
        <v>#VALUE!</v>
      </c>
      <c r="N39" t="e">
        <f>'SurveyRpt_20150223 (1)'!F237+"h_l!$;S"</f>
        <v>#VALUE!</v>
      </c>
      <c r="O39" t="e">
        <f>'SurveyRpt_20150223 (1)'!G237+"h_l!$;T"</f>
        <v>#VALUE!</v>
      </c>
      <c r="P39" t="e">
        <f>'SurveyRpt_20150223 (1)'!H237+"h_l!$;U"</f>
        <v>#VALUE!</v>
      </c>
      <c r="Q39" t="e">
        <f>'SurveyRpt_20150223 (1)'!I237+"h_l!$;V"</f>
        <v>#VALUE!</v>
      </c>
      <c r="R39" t="e">
        <f>'SurveyRpt_20150223 (1)'!J237+"h_l!$;W"</f>
        <v>#VALUE!</v>
      </c>
      <c r="S39" t="e">
        <f>'SurveyRpt_20150223 (1)'!K237+"h_l!$;X"</f>
        <v>#VALUE!</v>
      </c>
      <c r="T39" t="e">
        <f>'SurveyRpt_20150223 (1)'!L237+"h_l!$;Y"</f>
        <v>#VALUE!</v>
      </c>
      <c r="U39" t="e">
        <f>'SurveyRpt_20150223 (1)'!M237+"h_l!$;Z"</f>
        <v>#VALUE!</v>
      </c>
      <c r="V39" t="e">
        <f>'SurveyRpt_20150223 (1)'!N237+"h_l!$;["</f>
        <v>#VALUE!</v>
      </c>
      <c r="W39" t="e">
        <f>'SurveyRpt_20150223 (1)'!O237+"h_l!$;\"</f>
        <v>#VALUE!</v>
      </c>
      <c r="X39" t="e">
        <f>'SurveyRpt_20150223 (1)'!P237+"h_l!$;]"</f>
        <v>#VALUE!</v>
      </c>
      <c r="Y39" t="e">
        <f>'SurveyRpt_20150223 (1)'!Q237+"h_l!$;^"</f>
        <v>#VALUE!</v>
      </c>
      <c r="Z39" t="e">
        <f>'SurveyRpt_20150223 (1)'!R237+"h_l!$;_"</f>
        <v>#VALUE!</v>
      </c>
      <c r="AA39" t="e">
        <f>'SurveyRpt_20150223 (1)'!S237+"h_l!$;`"</f>
        <v>#VALUE!</v>
      </c>
      <c r="AB39" t="e">
        <f>'SurveyRpt_20150223 (1)'!T237+"h_l!$;a"</f>
        <v>#VALUE!</v>
      </c>
      <c r="AC39" t="e">
        <f>'SurveyRpt_20150223 (1)'!U237+"h_l!$;b"</f>
        <v>#VALUE!</v>
      </c>
      <c r="AD39" t="e">
        <f>'SurveyRpt_20150223 (1)'!V237+"h_l!$;c"</f>
        <v>#VALUE!</v>
      </c>
      <c r="AE39" t="e">
        <f>'SurveyRpt_20150223 (1)'!W237+"h_l!$;d"</f>
        <v>#VALUE!</v>
      </c>
      <c r="AF39" t="e">
        <f>'SurveyRpt_20150223 (1)'!X237+"h_l!$;e"</f>
        <v>#VALUE!</v>
      </c>
      <c r="AG39" t="e">
        <f>'SurveyRpt_20150223 (1)'!Y237+"h_l!$;f"</f>
        <v>#VALUE!</v>
      </c>
      <c r="AH39" t="e">
        <f>'SurveyRpt_20150223 (1)'!Z237+"h_l!$;g"</f>
        <v>#VALUE!</v>
      </c>
      <c r="AI39" t="e">
        <f>'SurveyRpt_20150223 (1)'!AA237+"h_l!$;h"</f>
        <v>#VALUE!</v>
      </c>
      <c r="AJ39" t="e">
        <f>'SurveyRpt_20150223 (1)'!AB237+"h_l!$;i"</f>
        <v>#VALUE!</v>
      </c>
      <c r="AK39" t="e">
        <f>'SurveyRpt_20150223 (1)'!AC237+"h_l!$;j"</f>
        <v>#VALUE!</v>
      </c>
      <c r="AL39" t="e">
        <f>'SurveyRpt_20150223 (1)'!AD237+"h_l!$;k"</f>
        <v>#VALUE!</v>
      </c>
      <c r="AM39" t="e">
        <f>'SurveyRpt_20150223 (1)'!AE237+"h_l!$;l"</f>
        <v>#VALUE!</v>
      </c>
      <c r="AN39" t="e">
        <f>'SurveyRpt_20150223 (1)'!AF237+"h_l!$;m"</f>
        <v>#VALUE!</v>
      </c>
      <c r="AO39" t="e">
        <f>'SurveyRpt_20150223 (1)'!AG237+"h_l!$;n"</f>
        <v>#VALUE!</v>
      </c>
      <c r="AP39" t="e">
        <f>'SurveyRpt_20150223 (1)'!AH237+"h_l!$;o"</f>
        <v>#VALUE!</v>
      </c>
      <c r="AQ39" t="e">
        <f>'SurveyRpt_20150223 (1)'!AI237+"h_l!$;p"</f>
        <v>#VALUE!</v>
      </c>
      <c r="AR39" t="e">
        <f>'SurveyRpt_20150223 (1)'!AJ237+"h_l!$;q"</f>
        <v>#VALUE!</v>
      </c>
      <c r="AS39" t="e">
        <f>'SurveyRpt_20150223 (1)'!AK237+"h_l!$;r"</f>
        <v>#VALUE!</v>
      </c>
      <c r="AT39" t="e">
        <f>'SurveyRpt_20150223 (1)'!AL237+"h_l!$;s"</f>
        <v>#VALUE!</v>
      </c>
      <c r="AU39" t="e">
        <f>'SurveyRpt_20150223 (1)'!AM237+"h_l!$;t"</f>
        <v>#VALUE!</v>
      </c>
      <c r="AV39" t="e">
        <f>'SurveyRpt_20150223 (1)'!AN237+"h_l!$;u"</f>
        <v>#VALUE!</v>
      </c>
      <c r="AW39" t="e">
        <f>'SurveyRpt_20150223 (1)'!A238+"h_l!$;v"</f>
        <v>#VALUE!</v>
      </c>
      <c r="AX39" s="25" t="e">
        <f>'SurveyRpt_20150223 (1)'!B238+"h_l!$;w"</f>
        <v>#VALUE!</v>
      </c>
      <c r="AY39" t="e">
        <f>'SurveyRpt_20150223 (1)'!C238+"h_l!$;x"</f>
        <v>#VALUE!</v>
      </c>
      <c r="AZ39" s="25" t="e">
        <f>'SurveyRpt_20150223 (1)'!D238+"h_l!$;y"</f>
        <v>#VALUE!</v>
      </c>
      <c r="BA39" t="e">
        <f>'SurveyRpt_20150223 (1)'!E238+"h_l!$;z"</f>
        <v>#VALUE!</v>
      </c>
      <c r="BB39" t="e">
        <f>'SurveyRpt_20150223 (1)'!F238+"h_l!$;{"</f>
        <v>#VALUE!</v>
      </c>
      <c r="BC39" t="e">
        <f>'SurveyRpt_20150223 (1)'!G238+"h_l!$;|"</f>
        <v>#VALUE!</v>
      </c>
      <c r="BD39" t="e">
        <f>'SurveyRpt_20150223 (1)'!H238+"h_l!$;}"</f>
        <v>#VALUE!</v>
      </c>
      <c r="BE39" t="e">
        <f>'SurveyRpt_20150223 (1)'!I238+"h_l!$;~"</f>
        <v>#VALUE!</v>
      </c>
      <c r="BF39" t="e">
        <f>'SurveyRpt_20150223 (1)'!J238+"h_l!$&lt;#"</f>
        <v>#VALUE!</v>
      </c>
      <c r="BG39" t="e">
        <f>'SurveyRpt_20150223 (1)'!K238+"h_l!$&lt;$"</f>
        <v>#VALUE!</v>
      </c>
      <c r="BH39" t="e">
        <f>'SurveyRpt_20150223 (1)'!L238+"h_l!$&lt;%"</f>
        <v>#VALUE!</v>
      </c>
      <c r="BI39" t="e">
        <f>'SurveyRpt_20150223 (1)'!M238+"h_l!$&lt;&amp;"</f>
        <v>#VALUE!</v>
      </c>
      <c r="BJ39" t="e">
        <f>'SurveyRpt_20150223 (1)'!N238+"h_l!$&lt;'"</f>
        <v>#VALUE!</v>
      </c>
      <c r="BK39" t="e">
        <f>'SurveyRpt_20150223 (1)'!O238+"h_l!$&lt;("</f>
        <v>#VALUE!</v>
      </c>
      <c r="BL39" t="e">
        <f>'SurveyRpt_20150223 (1)'!P238+"h_l!$&lt;)"</f>
        <v>#VALUE!</v>
      </c>
      <c r="BM39" t="e">
        <f>'SurveyRpt_20150223 (1)'!Q238+"h_l!$&lt;."</f>
        <v>#VALUE!</v>
      </c>
      <c r="BN39" t="e">
        <f>'SurveyRpt_20150223 (1)'!R238+"h_l!$&lt;/"</f>
        <v>#VALUE!</v>
      </c>
      <c r="BO39" t="e">
        <f>'SurveyRpt_20150223 (1)'!S238+"h_l!$&lt;0"</f>
        <v>#VALUE!</v>
      </c>
      <c r="BP39" t="e">
        <f>'SurveyRpt_20150223 (1)'!T238+"h_l!$&lt;1"</f>
        <v>#VALUE!</v>
      </c>
      <c r="BQ39" t="e">
        <f>'SurveyRpt_20150223 (1)'!U238+"h_l!$&lt;2"</f>
        <v>#VALUE!</v>
      </c>
      <c r="BR39" t="e">
        <f>'SurveyRpt_20150223 (1)'!V238+"h_l!$&lt;3"</f>
        <v>#VALUE!</v>
      </c>
      <c r="BS39" t="e">
        <f>'SurveyRpt_20150223 (1)'!W238+"h_l!$&lt;4"</f>
        <v>#VALUE!</v>
      </c>
      <c r="BT39" t="e">
        <f>'SurveyRpt_20150223 (1)'!X238+"h_l!$&lt;5"</f>
        <v>#VALUE!</v>
      </c>
      <c r="BU39" t="e">
        <f>'SurveyRpt_20150223 (1)'!Y238+"h_l!$&lt;6"</f>
        <v>#VALUE!</v>
      </c>
      <c r="BV39" t="e">
        <f>'SurveyRpt_20150223 (1)'!Z238+"h_l!$&lt;7"</f>
        <v>#VALUE!</v>
      </c>
      <c r="BW39" t="e">
        <f>'SurveyRpt_20150223 (1)'!AA238+"h_l!$&lt;8"</f>
        <v>#VALUE!</v>
      </c>
      <c r="BX39" t="e">
        <f>'SurveyRpt_20150223 (1)'!AB238+"h_l!$&lt;9"</f>
        <v>#VALUE!</v>
      </c>
      <c r="BY39" t="e">
        <f>'SurveyRpt_20150223 (1)'!AC238+"h_l!$&lt;:"</f>
        <v>#VALUE!</v>
      </c>
      <c r="BZ39" t="e">
        <f>'SurveyRpt_20150223 (1)'!AD238+"h_l!$&lt;;"</f>
        <v>#VALUE!</v>
      </c>
      <c r="CA39" t="e">
        <f>'SurveyRpt_20150223 (1)'!AE238+"h_l!$&lt;&lt;"</f>
        <v>#VALUE!</v>
      </c>
      <c r="CB39" t="e">
        <f>'SurveyRpt_20150223 (1)'!AF238+"h_l!$&lt;="</f>
        <v>#VALUE!</v>
      </c>
      <c r="CC39" t="e">
        <f>'SurveyRpt_20150223 (1)'!AG238+"h_l!$&lt;&gt;"</f>
        <v>#VALUE!</v>
      </c>
      <c r="CD39" t="e">
        <f>'SurveyRpt_20150223 (1)'!AH238+"h_l!$&lt;?"</f>
        <v>#VALUE!</v>
      </c>
      <c r="CE39" t="e">
        <f>'SurveyRpt_20150223 (1)'!AI238+"h_l!$&lt;@"</f>
        <v>#VALUE!</v>
      </c>
      <c r="CF39" t="e">
        <f>'SurveyRpt_20150223 (1)'!AJ238+"h_l!$&lt;A"</f>
        <v>#VALUE!</v>
      </c>
      <c r="CG39" t="e">
        <f>'SurveyRpt_20150223 (1)'!AK238+"h_l!$&lt;B"</f>
        <v>#VALUE!</v>
      </c>
      <c r="CH39" t="e">
        <f>'SurveyRpt_20150223 (1)'!AL238+"h_l!$&lt;C"</f>
        <v>#VALUE!</v>
      </c>
      <c r="CI39" t="e">
        <f>'SurveyRpt_20150223 (1)'!AM238+"h_l!$&lt;D"</f>
        <v>#VALUE!</v>
      </c>
      <c r="CJ39" t="e">
        <f>'SurveyRpt_20150223 (1)'!AN238+"h_l!$&lt;E"</f>
        <v>#VALUE!</v>
      </c>
      <c r="CK39" t="e">
        <f>'SurveyRpt_20150223 (1)'!A239+"h_l!$&lt;F"</f>
        <v>#VALUE!</v>
      </c>
      <c r="CL39" s="25" t="e">
        <f>'SurveyRpt_20150223 (1)'!B239+"h_l!$&lt;G"</f>
        <v>#VALUE!</v>
      </c>
      <c r="CM39" t="e">
        <f>'SurveyRpt_20150223 (1)'!C239+"h_l!$&lt;H"</f>
        <v>#VALUE!</v>
      </c>
      <c r="CN39" s="25" t="e">
        <f>'SurveyRpt_20150223 (1)'!D239+"h_l!$&lt;I"</f>
        <v>#VALUE!</v>
      </c>
      <c r="CO39" t="e">
        <f>'SurveyRpt_20150223 (1)'!E239+"h_l!$&lt;J"</f>
        <v>#VALUE!</v>
      </c>
      <c r="CP39" t="e">
        <f>'SurveyRpt_20150223 (1)'!F239+"h_l!$&lt;K"</f>
        <v>#VALUE!</v>
      </c>
      <c r="CQ39" t="e">
        <f>'SurveyRpt_20150223 (1)'!G239+"h_l!$&lt;L"</f>
        <v>#VALUE!</v>
      </c>
      <c r="CR39" t="e">
        <f>'SurveyRpt_20150223 (1)'!H239+"h_l!$&lt;M"</f>
        <v>#VALUE!</v>
      </c>
      <c r="CS39" t="e">
        <f>'SurveyRpt_20150223 (1)'!I239+"h_l!$&lt;N"</f>
        <v>#VALUE!</v>
      </c>
      <c r="CT39" t="e">
        <f>'SurveyRpt_20150223 (1)'!J239+"h_l!$&lt;O"</f>
        <v>#VALUE!</v>
      </c>
      <c r="CU39" t="e">
        <f>'SurveyRpt_20150223 (1)'!K239+"h_l!$&lt;P"</f>
        <v>#VALUE!</v>
      </c>
      <c r="CV39" t="e">
        <f>'SurveyRpt_20150223 (1)'!L239+"h_l!$&lt;Q"</f>
        <v>#VALUE!</v>
      </c>
      <c r="CW39" t="e">
        <f>'SurveyRpt_20150223 (1)'!M239+"h_l!$&lt;R"</f>
        <v>#VALUE!</v>
      </c>
      <c r="CX39" t="e">
        <f>'SurveyRpt_20150223 (1)'!N239+"h_l!$&lt;S"</f>
        <v>#VALUE!</v>
      </c>
      <c r="CY39" t="e">
        <f>'SurveyRpt_20150223 (1)'!O239+"h_l!$&lt;T"</f>
        <v>#VALUE!</v>
      </c>
      <c r="CZ39" t="e">
        <f>'SurveyRpt_20150223 (1)'!P239+"h_l!$&lt;U"</f>
        <v>#VALUE!</v>
      </c>
      <c r="DA39" t="e">
        <f>'SurveyRpt_20150223 (1)'!Q239+"h_l!$&lt;V"</f>
        <v>#VALUE!</v>
      </c>
      <c r="DB39" t="e">
        <f>'SurveyRpt_20150223 (1)'!R239+"h_l!$&lt;W"</f>
        <v>#VALUE!</v>
      </c>
      <c r="DC39" t="e">
        <f>'SurveyRpt_20150223 (1)'!S239+"h_l!$&lt;X"</f>
        <v>#VALUE!</v>
      </c>
      <c r="DD39" t="e">
        <f>'SurveyRpt_20150223 (1)'!T239+"h_l!$&lt;Y"</f>
        <v>#VALUE!</v>
      </c>
      <c r="DE39" t="e">
        <f>'SurveyRpt_20150223 (1)'!U239+"h_l!$&lt;Z"</f>
        <v>#VALUE!</v>
      </c>
      <c r="DF39" t="e">
        <f>'SurveyRpt_20150223 (1)'!V239+"h_l!$&lt;["</f>
        <v>#VALUE!</v>
      </c>
      <c r="DG39" t="e">
        <f>'SurveyRpt_20150223 (1)'!W239+"h_l!$&lt;\"</f>
        <v>#VALUE!</v>
      </c>
      <c r="DH39" t="e">
        <f>'SurveyRpt_20150223 (1)'!X239+"h_l!$&lt;]"</f>
        <v>#VALUE!</v>
      </c>
      <c r="DI39" t="e">
        <f>'SurveyRpt_20150223 (1)'!Y239+"h_l!$&lt;^"</f>
        <v>#VALUE!</v>
      </c>
      <c r="DJ39" t="e">
        <f>'SurveyRpt_20150223 (1)'!Z239+"h_l!$&lt;_"</f>
        <v>#VALUE!</v>
      </c>
      <c r="DK39" t="e">
        <f>'SurveyRpt_20150223 (1)'!AA239+"h_l!$&lt;`"</f>
        <v>#VALUE!</v>
      </c>
      <c r="DL39" t="e">
        <f>'SurveyRpt_20150223 (1)'!AB239+"h_l!$&lt;a"</f>
        <v>#VALUE!</v>
      </c>
      <c r="DM39" t="e">
        <f>'SurveyRpt_20150223 (1)'!AC239+"h_l!$&lt;b"</f>
        <v>#VALUE!</v>
      </c>
      <c r="DN39" t="e">
        <f>'SurveyRpt_20150223 (1)'!AD239+"h_l!$&lt;c"</f>
        <v>#VALUE!</v>
      </c>
      <c r="DO39" t="e">
        <f>'SurveyRpt_20150223 (1)'!AE239+"h_l!$&lt;d"</f>
        <v>#VALUE!</v>
      </c>
      <c r="DP39" t="e">
        <f>'SurveyRpt_20150223 (1)'!AF239+"h_l!$&lt;e"</f>
        <v>#VALUE!</v>
      </c>
      <c r="DQ39" t="e">
        <f>'SurveyRpt_20150223 (1)'!AG239+"h_l!$&lt;f"</f>
        <v>#VALUE!</v>
      </c>
      <c r="DR39" t="e">
        <f>'SurveyRpt_20150223 (1)'!AH239+"h_l!$&lt;g"</f>
        <v>#VALUE!</v>
      </c>
      <c r="DS39" t="e">
        <f>'SurveyRpt_20150223 (1)'!AI239+"h_l!$&lt;h"</f>
        <v>#VALUE!</v>
      </c>
      <c r="DT39" t="e">
        <f>'SurveyRpt_20150223 (1)'!AJ239+"h_l!$&lt;i"</f>
        <v>#VALUE!</v>
      </c>
      <c r="DU39" t="e">
        <f>'SurveyRpt_20150223 (1)'!AK239+"h_l!$&lt;j"</f>
        <v>#VALUE!</v>
      </c>
      <c r="DV39" t="e">
        <f>'SurveyRpt_20150223 (1)'!AL239+"h_l!$&lt;k"</f>
        <v>#VALUE!</v>
      </c>
      <c r="DW39" t="e">
        <f>'SurveyRpt_20150223 (1)'!AM239+"h_l!$&lt;l"</f>
        <v>#VALUE!</v>
      </c>
      <c r="DX39" t="e">
        <f>'SurveyRpt_20150223 (1)'!AN239+"h_l!$&lt;m"</f>
        <v>#VALUE!</v>
      </c>
      <c r="DY39" t="e">
        <f>'SurveyRpt_20150223 (1)'!A240+"h_l!$&lt;n"</f>
        <v>#VALUE!</v>
      </c>
      <c r="DZ39" s="25" t="e">
        <f>'SurveyRpt_20150223 (1)'!B240+"h_l!$&lt;o"</f>
        <v>#VALUE!</v>
      </c>
      <c r="EA39" t="e">
        <f>'SurveyRpt_20150223 (1)'!C240+"h_l!$&lt;p"</f>
        <v>#VALUE!</v>
      </c>
      <c r="EB39" s="25" t="e">
        <f>'SurveyRpt_20150223 (1)'!D240+"h_l!$&lt;q"</f>
        <v>#VALUE!</v>
      </c>
      <c r="EC39" t="e">
        <f>'SurveyRpt_20150223 (1)'!E240+"h_l!$&lt;r"</f>
        <v>#VALUE!</v>
      </c>
      <c r="ED39" t="e">
        <f>'SurveyRpt_20150223 (1)'!F240+"h_l!$&lt;s"</f>
        <v>#VALUE!</v>
      </c>
      <c r="EE39" t="e">
        <f>'SurveyRpt_20150223 (1)'!G240+"h_l!$&lt;t"</f>
        <v>#VALUE!</v>
      </c>
      <c r="EF39" t="e">
        <f>'SurveyRpt_20150223 (1)'!H240+"h_l!$&lt;u"</f>
        <v>#VALUE!</v>
      </c>
      <c r="EG39" t="e">
        <f>'SurveyRpt_20150223 (1)'!I240+"h_l!$&lt;v"</f>
        <v>#VALUE!</v>
      </c>
      <c r="EH39" t="e">
        <f>'SurveyRpt_20150223 (1)'!J240+"h_l!$&lt;w"</f>
        <v>#VALUE!</v>
      </c>
      <c r="EI39" t="e">
        <f>'SurveyRpt_20150223 (1)'!K240+"h_l!$&lt;x"</f>
        <v>#VALUE!</v>
      </c>
      <c r="EJ39" t="e">
        <f>'SurveyRpt_20150223 (1)'!L240+"h_l!$&lt;y"</f>
        <v>#VALUE!</v>
      </c>
      <c r="EK39" t="e">
        <f>'SurveyRpt_20150223 (1)'!M240+"h_l!$&lt;z"</f>
        <v>#VALUE!</v>
      </c>
      <c r="EL39" t="e">
        <f>'SurveyRpt_20150223 (1)'!N240+"h_l!$&lt;{"</f>
        <v>#VALUE!</v>
      </c>
      <c r="EM39" t="e">
        <f>'SurveyRpt_20150223 (1)'!O240+"h_l!$&lt;|"</f>
        <v>#VALUE!</v>
      </c>
      <c r="EN39" t="e">
        <f>'SurveyRpt_20150223 (1)'!P240+"h_l!$&lt;}"</f>
        <v>#VALUE!</v>
      </c>
      <c r="EO39" t="e">
        <f>'SurveyRpt_20150223 (1)'!Q240+"h_l!$&lt;~"</f>
        <v>#VALUE!</v>
      </c>
      <c r="EP39" t="e">
        <f>'SurveyRpt_20150223 (1)'!R240+"h_l!$=#"</f>
        <v>#VALUE!</v>
      </c>
      <c r="EQ39" t="e">
        <f>'SurveyRpt_20150223 (1)'!S240+"h_l!$=$"</f>
        <v>#VALUE!</v>
      </c>
      <c r="ER39" t="e">
        <f>'SurveyRpt_20150223 (1)'!T240+"h_l!$=%"</f>
        <v>#VALUE!</v>
      </c>
      <c r="ES39" t="e">
        <f>'SurveyRpt_20150223 (1)'!U240+"h_l!$=&amp;"</f>
        <v>#VALUE!</v>
      </c>
      <c r="ET39" t="e">
        <f>'SurveyRpt_20150223 (1)'!V240+"h_l!$='"</f>
        <v>#VALUE!</v>
      </c>
      <c r="EU39" t="e">
        <f>'SurveyRpt_20150223 (1)'!W240+"h_l!$=("</f>
        <v>#VALUE!</v>
      </c>
      <c r="EV39" t="e">
        <f>'SurveyRpt_20150223 (1)'!X240+"h_l!$=)"</f>
        <v>#VALUE!</v>
      </c>
      <c r="EW39" t="e">
        <f>'SurveyRpt_20150223 (1)'!Y240+"h_l!$=."</f>
        <v>#VALUE!</v>
      </c>
      <c r="EX39" t="e">
        <f>'SurveyRpt_20150223 (1)'!Z240+"h_l!$=/"</f>
        <v>#VALUE!</v>
      </c>
      <c r="EY39" t="e">
        <f>'SurveyRpt_20150223 (1)'!AA240+"h_l!$=0"</f>
        <v>#VALUE!</v>
      </c>
      <c r="EZ39" t="e">
        <f>'SurveyRpt_20150223 (1)'!AB240+"h_l!$=1"</f>
        <v>#VALUE!</v>
      </c>
      <c r="FA39" t="e">
        <f>'SurveyRpt_20150223 (1)'!AC240+"h_l!$=2"</f>
        <v>#VALUE!</v>
      </c>
      <c r="FB39" t="e">
        <f>'SurveyRpt_20150223 (1)'!AD240+"h_l!$=3"</f>
        <v>#VALUE!</v>
      </c>
      <c r="FC39" t="e">
        <f>'SurveyRpt_20150223 (1)'!AE240+"h_l!$=4"</f>
        <v>#VALUE!</v>
      </c>
      <c r="FD39" t="e">
        <f>'SurveyRpt_20150223 (1)'!AF240+"h_l!$=5"</f>
        <v>#VALUE!</v>
      </c>
      <c r="FE39" t="e">
        <f>'SurveyRpt_20150223 (1)'!AG240+"h_l!$=6"</f>
        <v>#VALUE!</v>
      </c>
      <c r="FF39" t="e">
        <f>'SurveyRpt_20150223 (1)'!AH240+"h_l!$=7"</f>
        <v>#VALUE!</v>
      </c>
      <c r="FG39" t="e">
        <f>'SurveyRpt_20150223 (1)'!AI240+"h_l!$=8"</f>
        <v>#VALUE!</v>
      </c>
      <c r="FH39" t="e">
        <f>'SurveyRpt_20150223 (1)'!AJ240+"h_l!$=9"</f>
        <v>#VALUE!</v>
      </c>
      <c r="FI39" t="e">
        <f>'SurveyRpt_20150223 (1)'!AK240+"h_l!$=:"</f>
        <v>#VALUE!</v>
      </c>
      <c r="FJ39" t="e">
        <f>'SurveyRpt_20150223 (1)'!AL240+"h_l!$=;"</f>
        <v>#VALUE!</v>
      </c>
      <c r="FK39" t="e">
        <f>'SurveyRpt_20150223 (1)'!AM240+"h_l!$=&lt;"</f>
        <v>#VALUE!</v>
      </c>
      <c r="FL39" t="e">
        <f>'SurveyRpt_20150223 (1)'!AN240+"h_l!$=="</f>
        <v>#VALUE!</v>
      </c>
      <c r="FM39" t="e">
        <f>'SurveyRpt_20150223 (1)'!A241+"h_l!$=&gt;"</f>
        <v>#VALUE!</v>
      </c>
      <c r="FN39" s="25" t="e">
        <f>'SurveyRpt_20150223 (1)'!B241+"h_l!$=?"</f>
        <v>#VALUE!</v>
      </c>
      <c r="FO39" t="e">
        <f>'SurveyRpt_20150223 (1)'!C241+"h_l!$=@"</f>
        <v>#VALUE!</v>
      </c>
      <c r="FP39" s="25" t="e">
        <f>'SurveyRpt_20150223 (1)'!D241+"h_l!$=A"</f>
        <v>#VALUE!</v>
      </c>
      <c r="FQ39" t="e">
        <f>'SurveyRpt_20150223 (1)'!E241+"h_l!$=B"</f>
        <v>#VALUE!</v>
      </c>
      <c r="FR39" t="e">
        <f>'SurveyRpt_20150223 (1)'!F241+"h_l!$=C"</f>
        <v>#VALUE!</v>
      </c>
      <c r="FS39" t="e">
        <f>'SurveyRpt_20150223 (1)'!G241+"h_l!$=D"</f>
        <v>#VALUE!</v>
      </c>
      <c r="FT39" t="e">
        <f>'SurveyRpt_20150223 (1)'!H241+"h_l!$=E"</f>
        <v>#VALUE!</v>
      </c>
      <c r="FU39" t="e">
        <f>'SurveyRpt_20150223 (1)'!I241+"h_l!$=F"</f>
        <v>#VALUE!</v>
      </c>
      <c r="FV39" t="e">
        <f>'SurveyRpt_20150223 (1)'!J241+"h_l!$=G"</f>
        <v>#VALUE!</v>
      </c>
      <c r="FW39" t="e">
        <f>'SurveyRpt_20150223 (1)'!K241+"h_l!$=H"</f>
        <v>#VALUE!</v>
      </c>
      <c r="FX39" t="e">
        <f>'SurveyRpt_20150223 (1)'!L241+"h_l!$=I"</f>
        <v>#VALUE!</v>
      </c>
      <c r="FY39" t="e">
        <f>'SurveyRpt_20150223 (1)'!M241+"h_l!$=J"</f>
        <v>#VALUE!</v>
      </c>
      <c r="FZ39" t="e">
        <f>'SurveyRpt_20150223 (1)'!N241+"h_l!$=K"</f>
        <v>#VALUE!</v>
      </c>
      <c r="GA39" t="e">
        <f>'SurveyRpt_20150223 (1)'!O241+"h_l!$=L"</f>
        <v>#VALUE!</v>
      </c>
      <c r="GB39" t="e">
        <f>'SurveyRpt_20150223 (1)'!P241+"h_l!$=M"</f>
        <v>#VALUE!</v>
      </c>
      <c r="GC39" t="e">
        <f>'SurveyRpt_20150223 (1)'!Q241+"h_l!$=N"</f>
        <v>#VALUE!</v>
      </c>
      <c r="GD39" t="e">
        <f>'SurveyRpt_20150223 (1)'!R241+"h_l!$=O"</f>
        <v>#VALUE!</v>
      </c>
      <c r="GE39" t="e">
        <f>'SurveyRpt_20150223 (1)'!S241+"h_l!$=P"</f>
        <v>#VALUE!</v>
      </c>
      <c r="GF39" t="e">
        <f>'SurveyRpt_20150223 (1)'!T241+"h_l!$=Q"</f>
        <v>#VALUE!</v>
      </c>
      <c r="GG39" t="e">
        <f>'SurveyRpt_20150223 (1)'!U241+"h_l!$=R"</f>
        <v>#VALUE!</v>
      </c>
      <c r="GH39" t="e">
        <f>'SurveyRpt_20150223 (1)'!V241+"h_l!$=S"</f>
        <v>#VALUE!</v>
      </c>
      <c r="GI39" t="e">
        <f>'SurveyRpt_20150223 (1)'!W241+"h_l!$=T"</f>
        <v>#VALUE!</v>
      </c>
      <c r="GJ39" t="e">
        <f>'SurveyRpt_20150223 (1)'!X241+"h_l!$=U"</f>
        <v>#VALUE!</v>
      </c>
      <c r="GK39" t="e">
        <f>'SurveyRpt_20150223 (1)'!Y241+"h_l!$=V"</f>
        <v>#VALUE!</v>
      </c>
      <c r="GL39" t="e">
        <f>'SurveyRpt_20150223 (1)'!Z241+"h_l!$=W"</f>
        <v>#VALUE!</v>
      </c>
      <c r="GM39" t="e">
        <f>'SurveyRpt_20150223 (1)'!AA241+"h_l!$=X"</f>
        <v>#VALUE!</v>
      </c>
      <c r="GN39" t="e">
        <f>'SurveyRpt_20150223 (1)'!AB241+"h_l!$=Y"</f>
        <v>#VALUE!</v>
      </c>
      <c r="GO39" t="e">
        <f>'SurveyRpt_20150223 (1)'!AC241+"h_l!$=Z"</f>
        <v>#VALUE!</v>
      </c>
      <c r="GP39" t="e">
        <f>'SurveyRpt_20150223 (1)'!AD241+"h_l!$=["</f>
        <v>#VALUE!</v>
      </c>
      <c r="GQ39" t="e">
        <f>'SurveyRpt_20150223 (1)'!AE241+"h_l!$=\"</f>
        <v>#VALUE!</v>
      </c>
      <c r="GR39" t="e">
        <f>'SurveyRpt_20150223 (1)'!AF241+"h_l!$=]"</f>
        <v>#VALUE!</v>
      </c>
      <c r="GS39" t="e">
        <f>'SurveyRpt_20150223 (1)'!AG241+"h_l!$=^"</f>
        <v>#VALUE!</v>
      </c>
      <c r="GT39" t="e">
        <f>'SurveyRpt_20150223 (1)'!AH241+"h_l!$=_"</f>
        <v>#VALUE!</v>
      </c>
      <c r="GU39" t="e">
        <f>'SurveyRpt_20150223 (1)'!AI241+"h_l!$=`"</f>
        <v>#VALUE!</v>
      </c>
      <c r="GV39" t="e">
        <f>'SurveyRpt_20150223 (1)'!AJ241+"h_l!$=a"</f>
        <v>#VALUE!</v>
      </c>
      <c r="GW39" t="e">
        <f>'SurveyRpt_20150223 (1)'!AK241+"h_l!$=b"</f>
        <v>#VALUE!</v>
      </c>
      <c r="GX39" t="e">
        <f>'SurveyRpt_20150223 (1)'!AL241+"h_l!$=c"</f>
        <v>#VALUE!</v>
      </c>
      <c r="GY39" t="e">
        <f>'SurveyRpt_20150223 (1)'!AM241+"h_l!$=d"</f>
        <v>#VALUE!</v>
      </c>
      <c r="GZ39" t="e">
        <f>'SurveyRpt_20150223 (1)'!AN241+"h_l!$=e"</f>
        <v>#VALUE!</v>
      </c>
      <c r="HA39" t="e">
        <f>'SurveyRpt_20150223 (1)'!A242+"h_l!$=f"</f>
        <v>#VALUE!</v>
      </c>
      <c r="HB39" s="25" t="e">
        <f>'SurveyRpt_20150223 (1)'!B242+"h_l!$=g"</f>
        <v>#VALUE!</v>
      </c>
      <c r="HC39" t="e">
        <f>'SurveyRpt_20150223 (1)'!C242+"h_l!$=h"</f>
        <v>#VALUE!</v>
      </c>
      <c r="HD39" s="25" t="e">
        <f>'SurveyRpt_20150223 (1)'!D242+"h_l!$=i"</f>
        <v>#VALUE!</v>
      </c>
      <c r="HE39" t="e">
        <f>'SurveyRpt_20150223 (1)'!E242+"h_l!$=j"</f>
        <v>#VALUE!</v>
      </c>
      <c r="HF39" t="e">
        <f>'SurveyRpt_20150223 (1)'!F242+"h_l!$=k"</f>
        <v>#VALUE!</v>
      </c>
      <c r="HG39" t="e">
        <f>'SurveyRpt_20150223 (1)'!G242+"h_l!$=l"</f>
        <v>#VALUE!</v>
      </c>
      <c r="HH39" t="e">
        <f>'SurveyRpt_20150223 (1)'!H242+"h_l!$=m"</f>
        <v>#VALUE!</v>
      </c>
      <c r="HI39" t="e">
        <f>'SurveyRpt_20150223 (1)'!I242+"h_l!$=n"</f>
        <v>#VALUE!</v>
      </c>
      <c r="HJ39" t="e">
        <f>'SurveyRpt_20150223 (1)'!J242+"h_l!$=o"</f>
        <v>#VALUE!</v>
      </c>
      <c r="HK39" t="e">
        <f>'SurveyRpt_20150223 (1)'!K242+"h_l!$=p"</f>
        <v>#VALUE!</v>
      </c>
      <c r="HL39" t="e">
        <f>'SurveyRpt_20150223 (1)'!L242+"h_l!$=q"</f>
        <v>#VALUE!</v>
      </c>
      <c r="HM39" t="e">
        <f>'SurveyRpt_20150223 (1)'!M242+"h_l!$=r"</f>
        <v>#VALUE!</v>
      </c>
      <c r="HN39" t="e">
        <f>'SurveyRpt_20150223 (1)'!N242+"h_l!$=s"</f>
        <v>#VALUE!</v>
      </c>
      <c r="HO39" t="e">
        <f>'SurveyRpt_20150223 (1)'!O242+"h_l!$=t"</f>
        <v>#VALUE!</v>
      </c>
      <c r="HP39" t="e">
        <f>'SurveyRpt_20150223 (1)'!P242+"h_l!$=u"</f>
        <v>#VALUE!</v>
      </c>
      <c r="HQ39" t="e">
        <f>'SurveyRpt_20150223 (1)'!Q242+"h_l!$=v"</f>
        <v>#VALUE!</v>
      </c>
      <c r="HR39" t="e">
        <f>'SurveyRpt_20150223 (1)'!R242+"h_l!$=w"</f>
        <v>#VALUE!</v>
      </c>
      <c r="HS39" t="e">
        <f>'SurveyRpt_20150223 (1)'!S242+"h_l!$=x"</f>
        <v>#VALUE!</v>
      </c>
      <c r="HT39" t="e">
        <f>'SurveyRpt_20150223 (1)'!T242+"h_l!$=y"</f>
        <v>#VALUE!</v>
      </c>
      <c r="HU39" t="e">
        <f>'SurveyRpt_20150223 (1)'!U242+"h_l!$=z"</f>
        <v>#VALUE!</v>
      </c>
      <c r="HV39" t="e">
        <f>'SurveyRpt_20150223 (1)'!V242+"h_l!$={"</f>
        <v>#VALUE!</v>
      </c>
      <c r="HW39" t="e">
        <f>'SurveyRpt_20150223 (1)'!W242+"h_l!$=|"</f>
        <v>#VALUE!</v>
      </c>
      <c r="HX39" t="e">
        <f>'SurveyRpt_20150223 (1)'!X242+"h_l!$=}"</f>
        <v>#VALUE!</v>
      </c>
      <c r="HY39" t="e">
        <f>'SurveyRpt_20150223 (1)'!Y242+"h_l!$=~"</f>
        <v>#VALUE!</v>
      </c>
      <c r="HZ39" t="e">
        <f>'SurveyRpt_20150223 (1)'!Z242+"h_l!$&gt;#"</f>
        <v>#VALUE!</v>
      </c>
      <c r="IA39" t="e">
        <f>'SurveyRpt_20150223 (1)'!AA242+"h_l!$&gt;$"</f>
        <v>#VALUE!</v>
      </c>
      <c r="IB39" t="e">
        <f>'SurveyRpt_20150223 (1)'!AB242+"h_l!$&gt;%"</f>
        <v>#VALUE!</v>
      </c>
      <c r="IC39" t="e">
        <f>'SurveyRpt_20150223 (1)'!AC242+"h_l!$&gt;&amp;"</f>
        <v>#VALUE!</v>
      </c>
      <c r="ID39" t="e">
        <f>'SurveyRpt_20150223 (1)'!AD242+"h_l!$&gt;'"</f>
        <v>#VALUE!</v>
      </c>
      <c r="IE39" t="e">
        <f>'SurveyRpt_20150223 (1)'!AE242+"h_l!$&gt;("</f>
        <v>#VALUE!</v>
      </c>
      <c r="IF39" t="e">
        <f>'SurveyRpt_20150223 (1)'!AF242+"h_l!$&gt;)"</f>
        <v>#VALUE!</v>
      </c>
      <c r="IG39" t="e">
        <f>'SurveyRpt_20150223 (1)'!AG242+"h_l!$&gt;."</f>
        <v>#VALUE!</v>
      </c>
      <c r="IH39" t="e">
        <f>'SurveyRpt_20150223 (1)'!AH242+"h_l!$&gt;/"</f>
        <v>#VALUE!</v>
      </c>
      <c r="II39" t="e">
        <f>'SurveyRpt_20150223 (1)'!AI242+"h_l!$&gt;0"</f>
        <v>#VALUE!</v>
      </c>
      <c r="IJ39" t="e">
        <f>'SurveyRpt_20150223 (1)'!AJ242+"h_l!$&gt;1"</f>
        <v>#VALUE!</v>
      </c>
      <c r="IK39" t="e">
        <f>'SurveyRpt_20150223 (1)'!AK242+"h_l!$&gt;2"</f>
        <v>#VALUE!</v>
      </c>
      <c r="IL39" t="e">
        <f>'SurveyRpt_20150223 (1)'!AL242+"h_l!$&gt;3"</f>
        <v>#VALUE!</v>
      </c>
      <c r="IM39" t="e">
        <f>'SurveyRpt_20150223 (1)'!AM242+"h_l!$&gt;4"</f>
        <v>#VALUE!</v>
      </c>
      <c r="IN39" t="e">
        <f>'SurveyRpt_20150223 (1)'!AN242+"h_l!$&gt;5"</f>
        <v>#VALUE!</v>
      </c>
      <c r="IO39" t="e">
        <f>'SurveyRpt_20150223 (1)'!A243+"h_l!$&gt;6"</f>
        <v>#VALUE!</v>
      </c>
      <c r="IP39" s="25" t="e">
        <f>'SurveyRpt_20150223 (1)'!B243+"h_l!$&gt;7"</f>
        <v>#VALUE!</v>
      </c>
      <c r="IQ39" t="e">
        <f>'SurveyRpt_20150223 (1)'!C243+"h_l!$&gt;8"</f>
        <v>#VALUE!</v>
      </c>
      <c r="IR39" s="25" t="e">
        <f>'SurveyRpt_20150223 (1)'!D243+"h_l!$&gt;9"</f>
        <v>#VALUE!</v>
      </c>
      <c r="IS39" t="e">
        <f>'SurveyRpt_20150223 (1)'!E243+"h_l!$&gt;:"</f>
        <v>#VALUE!</v>
      </c>
      <c r="IT39" t="e">
        <f>'SurveyRpt_20150223 (1)'!F243+"h_l!$&gt;;"</f>
        <v>#VALUE!</v>
      </c>
      <c r="IU39" t="e">
        <f>'SurveyRpt_20150223 (1)'!G243+"h_l!$&gt;&lt;"</f>
        <v>#VALUE!</v>
      </c>
      <c r="IV39" t="e">
        <f>'SurveyRpt_20150223 (1)'!H243+"h_l!$&gt;="</f>
        <v>#VALUE!</v>
      </c>
    </row>
    <row r="40" spans="6:256" x14ac:dyDescent="0.25">
      <c r="F40" t="e">
        <f>'SurveyRpt_20150223 (1)'!I243+"h_l!$&gt;&gt;"</f>
        <v>#VALUE!</v>
      </c>
      <c r="G40" t="e">
        <f>'SurveyRpt_20150223 (1)'!J243+"h_l!$&gt;?"</f>
        <v>#VALUE!</v>
      </c>
      <c r="H40" t="e">
        <f>'SurveyRpt_20150223 (1)'!K243+"h_l!$&gt;@"</f>
        <v>#VALUE!</v>
      </c>
      <c r="I40" t="e">
        <f>'SurveyRpt_20150223 (1)'!L243+"h_l!$&gt;A"</f>
        <v>#VALUE!</v>
      </c>
      <c r="J40" t="e">
        <f>'SurveyRpt_20150223 (1)'!M243+"h_l!$&gt;B"</f>
        <v>#VALUE!</v>
      </c>
      <c r="K40" t="e">
        <f>'SurveyRpt_20150223 (1)'!N243+"h_l!$&gt;C"</f>
        <v>#VALUE!</v>
      </c>
      <c r="L40" t="e">
        <f>'SurveyRpt_20150223 (1)'!O243+"h_l!$&gt;D"</f>
        <v>#VALUE!</v>
      </c>
      <c r="M40" t="e">
        <f>'SurveyRpt_20150223 (1)'!P243+"h_l!$&gt;E"</f>
        <v>#VALUE!</v>
      </c>
      <c r="N40" t="e">
        <f>'SurveyRpt_20150223 (1)'!Q243+"h_l!$&gt;F"</f>
        <v>#VALUE!</v>
      </c>
      <c r="O40" t="e">
        <f>'SurveyRpt_20150223 (1)'!R243+"h_l!$&gt;G"</f>
        <v>#VALUE!</v>
      </c>
      <c r="P40" t="e">
        <f>'SurveyRpt_20150223 (1)'!S243+"h_l!$&gt;H"</f>
        <v>#VALUE!</v>
      </c>
      <c r="Q40" t="e">
        <f>'SurveyRpt_20150223 (1)'!T243+"h_l!$&gt;I"</f>
        <v>#VALUE!</v>
      </c>
      <c r="R40" t="e">
        <f>'SurveyRpt_20150223 (1)'!U243+"h_l!$&gt;J"</f>
        <v>#VALUE!</v>
      </c>
      <c r="S40" t="e">
        <f>'SurveyRpt_20150223 (1)'!V243+"h_l!$&gt;K"</f>
        <v>#VALUE!</v>
      </c>
      <c r="T40" t="e">
        <f>'SurveyRpt_20150223 (1)'!W243+"h_l!$&gt;L"</f>
        <v>#VALUE!</v>
      </c>
      <c r="U40" t="e">
        <f>'SurveyRpt_20150223 (1)'!X243+"h_l!$&gt;M"</f>
        <v>#VALUE!</v>
      </c>
      <c r="V40" t="e">
        <f>'SurveyRpt_20150223 (1)'!Y243+"h_l!$&gt;N"</f>
        <v>#VALUE!</v>
      </c>
      <c r="W40" t="e">
        <f>'SurveyRpt_20150223 (1)'!Z243+"h_l!$&gt;O"</f>
        <v>#VALUE!</v>
      </c>
      <c r="X40" t="e">
        <f>'SurveyRpt_20150223 (1)'!AA243+"h_l!$&gt;P"</f>
        <v>#VALUE!</v>
      </c>
      <c r="Y40" t="e">
        <f>'SurveyRpt_20150223 (1)'!AB243+"h_l!$&gt;Q"</f>
        <v>#VALUE!</v>
      </c>
      <c r="Z40" t="e">
        <f>'SurveyRpt_20150223 (1)'!AC243+"h_l!$&gt;R"</f>
        <v>#VALUE!</v>
      </c>
      <c r="AA40" t="e">
        <f>'SurveyRpt_20150223 (1)'!AD243+"h_l!$&gt;S"</f>
        <v>#VALUE!</v>
      </c>
      <c r="AB40" t="e">
        <f>'SurveyRpt_20150223 (1)'!AE243+"h_l!$&gt;T"</f>
        <v>#VALUE!</v>
      </c>
      <c r="AC40" t="e">
        <f>'SurveyRpt_20150223 (1)'!AF243+"h_l!$&gt;U"</f>
        <v>#VALUE!</v>
      </c>
      <c r="AD40" t="e">
        <f>'SurveyRpt_20150223 (1)'!AG243+"h_l!$&gt;V"</f>
        <v>#VALUE!</v>
      </c>
      <c r="AE40" t="e">
        <f>'SurveyRpt_20150223 (1)'!AH243+"h_l!$&gt;W"</f>
        <v>#VALUE!</v>
      </c>
      <c r="AF40" t="e">
        <f>'SurveyRpt_20150223 (1)'!AI243+"h_l!$&gt;X"</f>
        <v>#VALUE!</v>
      </c>
      <c r="AG40" t="e">
        <f>'SurveyRpt_20150223 (1)'!AJ243+"h_l!$&gt;Y"</f>
        <v>#VALUE!</v>
      </c>
      <c r="AH40" t="e">
        <f>'SurveyRpt_20150223 (1)'!AK243+"h_l!$&gt;Z"</f>
        <v>#VALUE!</v>
      </c>
      <c r="AI40" t="e">
        <f>'SurveyRpt_20150223 (1)'!AL243+"h_l!$&gt;["</f>
        <v>#VALUE!</v>
      </c>
      <c r="AJ40" t="e">
        <f>'SurveyRpt_20150223 (1)'!AM243+"h_l!$&gt;\"</f>
        <v>#VALUE!</v>
      </c>
      <c r="AK40" t="e">
        <f>'SurveyRpt_20150223 (1)'!AN243+"h_l!$&gt;]"</f>
        <v>#VALUE!</v>
      </c>
      <c r="AL40" t="e">
        <f>'SurveyRpt_20150223 (1)'!A244+"h_l!$&gt;^"</f>
        <v>#VALUE!</v>
      </c>
      <c r="AM40" s="25" t="e">
        <f>'SurveyRpt_20150223 (1)'!B244+"h_l!$&gt;_"</f>
        <v>#VALUE!</v>
      </c>
      <c r="AN40" t="e">
        <f>'SurveyRpt_20150223 (1)'!C244+"h_l!$&gt;`"</f>
        <v>#VALUE!</v>
      </c>
      <c r="AO40" s="25" t="e">
        <f>'SurveyRpt_20150223 (1)'!D244+"h_l!$&gt;a"</f>
        <v>#VALUE!</v>
      </c>
      <c r="AP40" t="e">
        <f>'SurveyRpt_20150223 (1)'!E244+"h_l!$&gt;b"</f>
        <v>#VALUE!</v>
      </c>
      <c r="AQ40" t="e">
        <f>'SurveyRpt_20150223 (1)'!F244+"h_l!$&gt;c"</f>
        <v>#VALUE!</v>
      </c>
      <c r="AR40" t="e">
        <f>'SurveyRpt_20150223 (1)'!G244+"h_l!$&gt;d"</f>
        <v>#VALUE!</v>
      </c>
      <c r="AS40" t="e">
        <f>'SurveyRpt_20150223 (1)'!H244+"h_l!$&gt;e"</f>
        <v>#VALUE!</v>
      </c>
      <c r="AT40" t="e">
        <f>'SurveyRpt_20150223 (1)'!I244+"h_l!$&gt;f"</f>
        <v>#VALUE!</v>
      </c>
      <c r="AU40" t="e">
        <f>'SurveyRpt_20150223 (1)'!J244+"h_l!$&gt;g"</f>
        <v>#VALUE!</v>
      </c>
      <c r="AV40" t="e">
        <f>'SurveyRpt_20150223 (1)'!K244+"h_l!$&gt;h"</f>
        <v>#VALUE!</v>
      </c>
      <c r="AW40" t="e">
        <f>'SurveyRpt_20150223 (1)'!L244+"h_l!$&gt;i"</f>
        <v>#VALUE!</v>
      </c>
      <c r="AX40" t="e">
        <f>'SurveyRpt_20150223 (1)'!M244+"h_l!$&gt;j"</f>
        <v>#VALUE!</v>
      </c>
      <c r="AY40" t="e">
        <f>'SurveyRpt_20150223 (1)'!N244+"h_l!$&gt;k"</f>
        <v>#VALUE!</v>
      </c>
      <c r="AZ40" t="e">
        <f>'SurveyRpt_20150223 (1)'!O244+"h_l!$&gt;l"</f>
        <v>#VALUE!</v>
      </c>
      <c r="BA40" t="e">
        <f>'SurveyRpt_20150223 (1)'!P244+"h_l!$&gt;m"</f>
        <v>#VALUE!</v>
      </c>
      <c r="BB40" t="e">
        <f>'SurveyRpt_20150223 (1)'!Q244+"h_l!$&gt;n"</f>
        <v>#VALUE!</v>
      </c>
      <c r="BC40" t="e">
        <f>'SurveyRpt_20150223 (1)'!R244+"h_l!$&gt;o"</f>
        <v>#VALUE!</v>
      </c>
      <c r="BD40" t="e">
        <f>'SurveyRpt_20150223 (1)'!S244+"h_l!$&gt;p"</f>
        <v>#VALUE!</v>
      </c>
      <c r="BE40" t="e">
        <f>'SurveyRpt_20150223 (1)'!T244+"h_l!$&gt;q"</f>
        <v>#VALUE!</v>
      </c>
      <c r="BF40" t="e">
        <f>'SurveyRpt_20150223 (1)'!U244+"h_l!$&gt;r"</f>
        <v>#VALUE!</v>
      </c>
      <c r="BG40" t="e">
        <f>'SurveyRpt_20150223 (1)'!V244+"h_l!$&gt;s"</f>
        <v>#VALUE!</v>
      </c>
      <c r="BH40" t="e">
        <f>'SurveyRpt_20150223 (1)'!W244+"h_l!$&gt;t"</f>
        <v>#VALUE!</v>
      </c>
      <c r="BI40" t="e">
        <f>'SurveyRpt_20150223 (1)'!X244+"h_l!$&gt;u"</f>
        <v>#VALUE!</v>
      </c>
      <c r="BJ40" t="e">
        <f>'SurveyRpt_20150223 (1)'!Y244+"h_l!$&gt;v"</f>
        <v>#VALUE!</v>
      </c>
      <c r="BK40" t="e">
        <f>'SurveyRpt_20150223 (1)'!Z244+"h_l!$&gt;w"</f>
        <v>#VALUE!</v>
      </c>
      <c r="BL40" t="e">
        <f>'SurveyRpt_20150223 (1)'!AA244+"h_l!$&gt;x"</f>
        <v>#VALUE!</v>
      </c>
      <c r="BM40" t="e">
        <f>'SurveyRpt_20150223 (1)'!AB244+"h_l!$&gt;y"</f>
        <v>#VALUE!</v>
      </c>
      <c r="BN40" t="e">
        <f>'SurveyRpt_20150223 (1)'!AC244+"h_l!$&gt;z"</f>
        <v>#VALUE!</v>
      </c>
      <c r="BO40" t="e">
        <f>'SurveyRpt_20150223 (1)'!AD244+"h_l!$&gt;{"</f>
        <v>#VALUE!</v>
      </c>
      <c r="BP40" t="e">
        <f>'SurveyRpt_20150223 (1)'!AE244+"h_l!$&gt;|"</f>
        <v>#VALUE!</v>
      </c>
      <c r="BQ40" t="e">
        <f>'SurveyRpt_20150223 (1)'!AF244+"h_l!$&gt;}"</f>
        <v>#VALUE!</v>
      </c>
      <c r="BR40" t="e">
        <f>'SurveyRpt_20150223 (1)'!AG244+"h_l!$&gt;~"</f>
        <v>#VALUE!</v>
      </c>
      <c r="BS40" t="e">
        <f>'SurveyRpt_20150223 (1)'!AH244+"h_l!$?#"</f>
        <v>#VALUE!</v>
      </c>
      <c r="BT40" t="e">
        <f>'SurveyRpt_20150223 (1)'!AI244+"h_l!$?$"</f>
        <v>#VALUE!</v>
      </c>
      <c r="BU40" t="e">
        <f>'SurveyRpt_20150223 (1)'!AJ244+"h_l!$?%"</f>
        <v>#VALUE!</v>
      </c>
      <c r="BV40" t="e">
        <f>'SurveyRpt_20150223 (1)'!AK244+"h_l!$?&amp;"</f>
        <v>#VALUE!</v>
      </c>
      <c r="BW40" t="e">
        <f>'SurveyRpt_20150223 (1)'!AL244+"h_l!$?'"</f>
        <v>#VALUE!</v>
      </c>
      <c r="BX40" t="e">
        <f>'SurveyRpt_20150223 (1)'!AM244+"h_l!$?("</f>
        <v>#VALUE!</v>
      </c>
      <c r="BY40" t="e">
        <f>'SurveyRpt_20150223 (1)'!AN244+"h_l!$?)"</f>
        <v>#VALUE!</v>
      </c>
      <c r="BZ40" t="e">
        <f>'SurveyRpt_20150223 (1)'!A245+"h_l!$?."</f>
        <v>#VALUE!</v>
      </c>
      <c r="CA40" s="25" t="e">
        <f>'SurveyRpt_20150223 (1)'!B245+"h_l!$?/"</f>
        <v>#VALUE!</v>
      </c>
      <c r="CB40" t="e">
        <f>'SurveyRpt_20150223 (1)'!C245+"h_l!$?0"</f>
        <v>#VALUE!</v>
      </c>
      <c r="CC40" s="25" t="e">
        <f>'SurveyRpt_20150223 (1)'!D245+"h_l!$?1"</f>
        <v>#VALUE!</v>
      </c>
      <c r="CD40" t="e">
        <f>'SurveyRpt_20150223 (1)'!E245+"h_l!$?2"</f>
        <v>#VALUE!</v>
      </c>
      <c r="CE40" t="e">
        <f>'SurveyRpt_20150223 (1)'!F245+"h_l!$?3"</f>
        <v>#VALUE!</v>
      </c>
      <c r="CF40" t="e">
        <f>'SurveyRpt_20150223 (1)'!G245+"h_l!$?4"</f>
        <v>#VALUE!</v>
      </c>
      <c r="CG40" t="e">
        <f>'SurveyRpt_20150223 (1)'!H245+"h_l!$?5"</f>
        <v>#VALUE!</v>
      </c>
      <c r="CH40" t="e">
        <f>'SurveyRpt_20150223 (1)'!I245+"h_l!$?6"</f>
        <v>#VALUE!</v>
      </c>
      <c r="CI40" t="e">
        <f>'SurveyRpt_20150223 (1)'!J245+"h_l!$?7"</f>
        <v>#VALUE!</v>
      </c>
      <c r="CJ40" t="e">
        <f>'SurveyRpt_20150223 (1)'!K245+"h_l!$?8"</f>
        <v>#VALUE!</v>
      </c>
      <c r="CK40" t="e">
        <f>'SurveyRpt_20150223 (1)'!L245+"h_l!$?9"</f>
        <v>#VALUE!</v>
      </c>
      <c r="CL40" t="e">
        <f>'SurveyRpt_20150223 (1)'!M245+"h_l!$?:"</f>
        <v>#VALUE!</v>
      </c>
      <c r="CM40" t="e">
        <f>'SurveyRpt_20150223 (1)'!N245+"h_l!$?;"</f>
        <v>#VALUE!</v>
      </c>
      <c r="CN40" t="e">
        <f>'SurveyRpt_20150223 (1)'!O245+"h_l!$?&lt;"</f>
        <v>#VALUE!</v>
      </c>
      <c r="CO40" t="e">
        <f>'SurveyRpt_20150223 (1)'!P245+"h_l!$?="</f>
        <v>#VALUE!</v>
      </c>
      <c r="CP40" t="e">
        <f>'SurveyRpt_20150223 (1)'!Q245+"h_l!$?&gt;"</f>
        <v>#VALUE!</v>
      </c>
      <c r="CQ40" t="e">
        <f>'SurveyRpt_20150223 (1)'!R245+"h_l!$??"</f>
        <v>#VALUE!</v>
      </c>
      <c r="CR40" t="e">
        <f>'SurveyRpt_20150223 (1)'!S245+"h_l!$?@"</f>
        <v>#VALUE!</v>
      </c>
      <c r="CS40" t="e">
        <f>'SurveyRpt_20150223 (1)'!T245+"h_l!$?A"</f>
        <v>#VALUE!</v>
      </c>
      <c r="CT40" t="e">
        <f>'SurveyRpt_20150223 (1)'!U245+"h_l!$?B"</f>
        <v>#VALUE!</v>
      </c>
      <c r="CU40" t="e">
        <f>'SurveyRpt_20150223 (1)'!V245+"h_l!$?C"</f>
        <v>#VALUE!</v>
      </c>
      <c r="CV40" t="e">
        <f>'SurveyRpt_20150223 (1)'!W245+"h_l!$?D"</f>
        <v>#VALUE!</v>
      </c>
      <c r="CW40" t="e">
        <f>'SurveyRpt_20150223 (1)'!X245+"h_l!$?E"</f>
        <v>#VALUE!</v>
      </c>
      <c r="CX40" t="e">
        <f>'SurveyRpt_20150223 (1)'!Y245+"h_l!$?F"</f>
        <v>#VALUE!</v>
      </c>
      <c r="CY40" t="e">
        <f>'SurveyRpt_20150223 (1)'!Z245+"h_l!$?G"</f>
        <v>#VALUE!</v>
      </c>
      <c r="CZ40" t="e">
        <f>'SurveyRpt_20150223 (1)'!AA245+"h_l!$?H"</f>
        <v>#VALUE!</v>
      </c>
      <c r="DA40" t="e">
        <f>'SurveyRpt_20150223 (1)'!AB245+"h_l!$?I"</f>
        <v>#VALUE!</v>
      </c>
      <c r="DB40" t="e">
        <f>'SurveyRpt_20150223 (1)'!AC245+"h_l!$?J"</f>
        <v>#VALUE!</v>
      </c>
      <c r="DC40" t="e">
        <f>'SurveyRpt_20150223 (1)'!AD245+"h_l!$?K"</f>
        <v>#VALUE!</v>
      </c>
      <c r="DD40" t="e">
        <f>'SurveyRpt_20150223 (1)'!AE245+"h_l!$?L"</f>
        <v>#VALUE!</v>
      </c>
      <c r="DE40" t="e">
        <f>'SurveyRpt_20150223 (1)'!AF245+"h_l!$?M"</f>
        <v>#VALUE!</v>
      </c>
      <c r="DF40" t="e">
        <f>'SurveyRpt_20150223 (1)'!AG245+"h_l!$?N"</f>
        <v>#VALUE!</v>
      </c>
      <c r="DG40" t="e">
        <f>'SurveyRpt_20150223 (1)'!AH245+"h_l!$?O"</f>
        <v>#VALUE!</v>
      </c>
      <c r="DH40" t="e">
        <f>'SurveyRpt_20150223 (1)'!AI245+"h_l!$?P"</f>
        <v>#VALUE!</v>
      </c>
      <c r="DI40" t="e">
        <f>'SurveyRpt_20150223 (1)'!AJ245+"h_l!$?Q"</f>
        <v>#VALUE!</v>
      </c>
      <c r="DJ40" t="e">
        <f>'SurveyRpt_20150223 (1)'!AK245+"h_l!$?R"</f>
        <v>#VALUE!</v>
      </c>
      <c r="DK40" t="e">
        <f>'SurveyRpt_20150223 (1)'!AL245+"h_l!$?S"</f>
        <v>#VALUE!</v>
      </c>
      <c r="DL40" t="e">
        <f>'SurveyRpt_20150223 (1)'!AM245+"h_l!$?T"</f>
        <v>#VALUE!</v>
      </c>
      <c r="DM40" t="e">
        <f>'SurveyRpt_20150223 (1)'!AN245+"h_l!$?U"</f>
        <v>#VALUE!</v>
      </c>
      <c r="DN40" t="e">
        <f>'SurveyRpt_20150223 (1)'!A246+"h_l!$?V"</f>
        <v>#VALUE!</v>
      </c>
      <c r="DO40" s="25" t="e">
        <f>'SurveyRpt_20150223 (1)'!B246+"h_l!$?W"</f>
        <v>#VALUE!</v>
      </c>
      <c r="DP40" t="e">
        <f>'SurveyRpt_20150223 (1)'!C246+"h_l!$?X"</f>
        <v>#VALUE!</v>
      </c>
      <c r="DQ40" s="25" t="e">
        <f>'SurveyRpt_20150223 (1)'!D246+"h_l!$?Y"</f>
        <v>#VALUE!</v>
      </c>
      <c r="DR40" t="e">
        <f>'SurveyRpt_20150223 (1)'!E246+"h_l!$?Z"</f>
        <v>#VALUE!</v>
      </c>
      <c r="DS40" t="e">
        <f>'SurveyRpt_20150223 (1)'!F246+"h_l!$?["</f>
        <v>#VALUE!</v>
      </c>
      <c r="DT40" t="e">
        <f>'SurveyRpt_20150223 (1)'!G246+"h_l!$?\"</f>
        <v>#VALUE!</v>
      </c>
      <c r="DU40" t="e">
        <f>'SurveyRpt_20150223 (1)'!H246+"h_l!$?]"</f>
        <v>#VALUE!</v>
      </c>
      <c r="DV40" t="e">
        <f>'SurveyRpt_20150223 (1)'!I246+"h_l!$?^"</f>
        <v>#VALUE!</v>
      </c>
      <c r="DW40" t="e">
        <f>'SurveyRpt_20150223 (1)'!J246+"h_l!$?_"</f>
        <v>#VALUE!</v>
      </c>
      <c r="DX40" t="e">
        <f>'SurveyRpt_20150223 (1)'!K246+"h_l!$?`"</f>
        <v>#VALUE!</v>
      </c>
      <c r="DY40" t="e">
        <f>'SurveyRpt_20150223 (1)'!L246+"h_l!$?a"</f>
        <v>#VALUE!</v>
      </c>
      <c r="DZ40" t="e">
        <f>'SurveyRpt_20150223 (1)'!M246+"h_l!$?b"</f>
        <v>#VALUE!</v>
      </c>
      <c r="EA40" t="e">
        <f>'SurveyRpt_20150223 (1)'!N246+"h_l!$?c"</f>
        <v>#VALUE!</v>
      </c>
      <c r="EB40" t="e">
        <f>'SurveyRpt_20150223 (1)'!O246+"h_l!$?d"</f>
        <v>#VALUE!</v>
      </c>
      <c r="EC40" t="e">
        <f>'SurveyRpt_20150223 (1)'!P246+"h_l!$?e"</f>
        <v>#VALUE!</v>
      </c>
      <c r="ED40" t="e">
        <f>'SurveyRpt_20150223 (1)'!Q246+"h_l!$?f"</f>
        <v>#VALUE!</v>
      </c>
      <c r="EE40" t="e">
        <f>'SurveyRpt_20150223 (1)'!R246+"h_l!$?g"</f>
        <v>#VALUE!</v>
      </c>
      <c r="EF40" t="e">
        <f>'SurveyRpt_20150223 (1)'!S246+"h_l!$?h"</f>
        <v>#VALUE!</v>
      </c>
      <c r="EG40" t="e">
        <f>'SurveyRpt_20150223 (1)'!T246+"h_l!$?i"</f>
        <v>#VALUE!</v>
      </c>
      <c r="EH40" t="e">
        <f>'SurveyRpt_20150223 (1)'!U246+"h_l!$?j"</f>
        <v>#VALUE!</v>
      </c>
      <c r="EI40" t="e">
        <f>'SurveyRpt_20150223 (1)'!V246+"h_l!$?k"</f>
        <v>#VALUE!</v>
      </c>
      <c r="EJ40" t="e">
        <f>'SurveyRpt_20150223 (1)'!W246+"h_l!$?l"</f>
        <v>#VALUE!</v>
      </c>
      <c r="EK40" t="e">
        <f>'SurveyRpt_20150223 (1)'!X246+"h_l!$?m"</f>
        <v>#VALUE!</v>
      </c>
      <c r="EL40" t="e">
        <f>'SurveyRpt_20150223 (1)'!Y246+"h_l!$?n"</f>
        <v>#VALUE!</v>
      </c>
      <c r="EM40" t="e">
        <f>'SurveyRpt_20150223 (1)'!Z246+"h_l!$?o"</f>
        <v>#VALUE!</v>
      </c>
      <c r="EN40" t="e">
        <f>'SurveyRpt_20150223 (1)'!AA246+"h_l!$?p"</f>
        <v>#VALUE!</v>
      </c>
      <c r="EO40" t="e">
        <f>'SurveyRpt_20150223 (1)'!AB246+"h_l!$?q"</f>
        <v>#VALUE!</v>
      </c>
      <c r="EP40" t="e">
        <f>'SurveyRpt_20150223 (1)'!AC246+"h_l!$?r"</f>
        <v>#VALUE!</v>
      </c>
      <c r="EQ40" t="e">
        <f>'SurveyRpt_20150223 (1)'!AD246+"h_l!$?s"</f>
        <v>#VALUE!</v>
      </c>
      <c r="ER40" t="e">
        <f>'SurveyRpt_20150223 (1)'!AE246+"h_l!$?t"</f>
        <v>#VALUE!</v>
      </c>
      <c r="ES40" t="e">
        <f>'SurveyRpt_20150223 (1)'!AF246+"h_l!$?u"</f>
        <v>#VALUE!</v>
      </c>
      <c r="ET40" t="e">
        <f>'SurveyRpt_20150223 (1)'!AG246+"h_l!$?v"</f>
        <v>#VALUE!</v>
      </c>
      <c r="EU40" t="e">
        <f>'SurveyRpt_20150223 (1)'!AH246+"h_l!$?w"</f>
        <v>#VALUE!</v>
      </c>
      <c r="EV40" t="e">
        <f>'SurveyRpt_20150223 (1)'!AI246+"h_l!$?x"</f>
        <v>#VALUE!</v>
      </c>
      <c r="EW40" t="e">
        <f>'SurveyRpt_20150223 (1)'!AJ246+"h_l!$?y"</f>
        <v>#VALUE!</v>
      </c>
      <c r="EX40" t="e">
        <f>'SurveyRpt_20150223 (1)'!AK246+"h_l!$?z"</f>
        <v>#VALUE!</v>
      </c>
      <c r="EY40" t="e">
        <f>'SurveyRpt_20150223 (1)'!AL246+"h_l!$?{"</f>
        <v>#VALUE!</v>
      </c>
      <c r="EZ40" t="e">
        <f>'SurveyRpt_20150223 (1)'!AM246+"h_l!$?|"</f>
        <v>#VALUE!</v>
      </c>
      <c r="FA40" t="e">
        <f>'SurveyRpt_20150223 (1)'!AN246+"h_l!$?}"</f>
        <v>#VALUE!</v>
      </c>
      <c r="FB40" t="e">
        <f>'SurveyRpt_20150223 (1)'!A247+"h_l!$?~"</f>
        <v>#VALUE!</v>
      </c>
      <c r="FC40" s="25" t="e">
        <f>'SurveyRpt_20150223 (1)'!B247+"h_l!$@#"</f>
        <v>#VALUE!</v>
      </c>
      <c r="FD40" t="e">
        <f>'SurveyRpt_20150223 (1)'!C247+"h_l!$@$"</f>
        <v>#VALUE!</v>
      </c>
      <c r="FE40" s="25" t="e">
        <f>'SurveyRpt_20150223 (1)'!D247+"h_l!$@%"</f>
        <v>#VALUE!</v>
      </c>
      <c r="FF40" t="e">
        <f>'SurveyRpt_20150223 (1)'!E247+"h_l!$@&amp;"</f>
        <v>#VALUE!</v>
      </c>
      <c r="FG40" t="e">
        <f>'SurveyRpt_20150223 (1)'!F247+"h_l!$@'"</f>
        <v>#VALUE!</v>
      </c>
      <c r="FH40" t="e">
        <f>'SurveyRpt_20150223 (1)'!G247+"h_l!$@("</f>
        <v>#VALUE!</v>
      </c>
      <c r="FI40" t="e">
        <f>'SurveyRpt_20150223 (1)'!H247+"h_l!$@)"</f>
        <v>#VALUE!</v>
      </c>
      <c r="FJ40" t="e">
        <f>'SurveyRpt_20150223 (1)'!I247+"h_l!$@."</f>
        <v>#VALUE!</v>
      </c>
      <c r="FK40" t="e">
        <f>'SurveyRpt_20150223 (1)'!J247+"h_l!$@/"</f>
        <v>#VALUE!</v>
      </c>
      <c r="FL40" t="e">
        <f>'SurveyRpt_20150223 (1)'!K247+"h_l!$@0"</f>
        <v>#VALUE!</v>
      </c>
      <c r="FM40" t="e">
        <f>'SurveyRpt_20150223 (1)'!L247+"h_l!$@1"</f>
        <v>#VALUE!</v>
      </c>
      <c r="FN40" t="e">
        <f>'SurveyRpt_20150223 (1)'!M247+"h_l!$@2"</f>
        <v>#VALUE!</v>
      </c>
      <c r="FO40" t="e">
        <f>'SurveyRpt_20150223 (1)'!N247+"h_l!$@3"</f>
        <v>#VALUE!</v>
      </c>
      <c r="FP40" t="e">
        <f>'SurveyRpt_20150223 (1)'!O247+"h_l!$@4"</f>
        <v>#VALUE!</v>
      </c>
      <c r="FQ40" t="e">
        <f>'SurveyRpt_20150223 (1)'!P247+"h_l!$@5"</f>
        <v>#VALUE!</v>
      </c>
      <c r="FR40" t="e">
        <f>'SurveyRpt_20150223 (1)'!Q247+"h_l!$@6"</f>
        <v>#VALUE!</v>
      </c>
      <c r="FS40" t="e">
        <f>'SurveyRpt_20150223 (1)'!R247+"h_l!$@7"</f>
        <v>#VALUE!</v>
      </c>
      <c r="FT40" t="e">
        <f>'SurveyRpt_20150223 (1)'!S247+"h_l!$@8"</f>
        <v>#VALUE!</v>
      </c>
      <c r="FU40" t="e">
        <f>'SurveyRpt_20150223 (1)'!T247+"h_l!$@9"</f>
        <v>#VALUE!</v>
      </c>
      <c r="FV40" t="e">
        <f>'SurveyRpt_20150223 (1)'!U247+"h_l!$@:"</f>
        <v>#VALUE!</v>
      </c>
      <c r="FW40" t="e">
        <f>'SurveyRpt_20150223 (1)'!V247+"h_l!$@;"</f>
        <v>#VALUE!</v>
      </c>
      <c r="FX40" t="e">
        <f>'SurveyRpt_20150223 (1)'!W247+"h_l!$@&lt;"</f>
        <v>#VALUE!</v>
      </c>
      <c r="FY40" t="e">
        <f>'SurveyRpt_20150223 (1)'!X247+"h_l!$@="</f>
        <v>#VALUE!</v>
      </c>
      <c r="FZ40" t="e">
        <f>'SurveyRpt_20150223 (1)'!Y247+"h_l!$@&gt;"</f>
        <v>#VALUE!</v>
      </c>
      <c r="GA40" t="e">
        <f>'SurveyRpt_20150223 (1)'!Z247+"h_l!$@?"</f>
        <v>#VALUE!</v>
      </c>
      <c r="GB40" t="e">
        <f>'SurveyRpt_20150223 (1)'!AA247+"h_l!$@@"</f>
        <v>#VALUE!</v>
      </c>
      <c r="GC40" t="e">
        <f>'SurveyRpt_20150223 (1)'!AB247+"h_l!$@A"</f>
        <v>#VALUE!</v>
      </c>
      <c r="GD40" t="e">
        <f>'SurveyRpt_20150223 (1)'!AC247+"h_l!$@B"</f>
        <v>#VALUE!</v>
      </c>
      <c r="GE40" t="e">
        <f>'SurveyRpt_20150223 (1)'!AD247+"h_l!$@C"</f>
        <v>#VALUE!</v>
      </c>
      <c r="GF40" t="e">
        <f>'SurveyRpt_20150223 (1)'!AE247+"h_l!$@D"</f>
        <v>#VALUE!</v>
      </c>
      <c r="GG40" t="e">
        <f>'SurveyRpt_20150223 (1)'!AF247+"h_l!$@E"</f>
        <v>#VALUE!</v>
      </c>
      <c r="GH40" t="e">
        <f>'SurveyRpt_20150223 (1)'!AG247+"h_l!$@F"</f>
        <v>#VALUE!</v>
      </c>
      <c r="GI40" t="e">
        <f>'SurveyRpt_20150223 (1)'!AH247+"h_l!$@G"</f>
        <v>#VALUE!</v>
      </c>
      <c r="GJ40" t="e">
        <f>'SurveyRpt_20150223 (1)'!AI247+"h_l!$@H"</f>
        <v>#VALUE!</v>
      </c>
      <c r="GK40" t="e">
        <f>'SurveyRpt_20150223 (1)'!AJ247+"h_l!$@I"</f>
        <v>#VALUE!</v>
      </c>
      <c r="GL40" t="e">
        <f>'SurveyRpt_20150223 (1)'!AK247+"h_l!$@J"</f>
        <v>#VALUE!</v>
      </c>
      <c r="GM40" t="e">
        <f>'SurveyRpt_20150223 (1)'!AL247+"h_l!$@K"</f>
        <v>#VALUE!</v>
      </c>
      <c r="GN40" t="e">
        <f>'SurveyRpt_20150223 (1)'!AM247+"h_l!$@L"</f>
        <v>#VALUE!</v>
      </c>
      <c r="GO40" t="e">
        <f>'SurveyRpt_20150223 (1)'!AN247+"h_l!$@M"</f>
        <v>#VALUE!</v>
      </c>
      <c r="GP40" t="e">
        <f>'SurveyRpt_20150223 (1)'!A248+"h_l!$@N"</f>
        <v>#VALUE!</v>
      </c>
      <c r="GQ40" s="25" t="e">
        <f>'SurveyRpt_20150223 (1)'!B248+"h_l!$@O"</f>
        <v>#VALUE!</v>
      </c>
      <c r="GR40" t="e">
        <f>'SurveyRpt_20150223 (1)'!C248+"h_l!$@P"</f>
        <v>#VALUE!</v>
      </c>
      <c r="GS40" s="25" t="e">
        <f>'SurveyRpt_20150223 (1)'!D248+"h_l!$@Q"</f>
        <v>#VALUE!</v>
      </c>
      <c r="GT40" t="e">
        <f>'SurveyRpt_20150223 (1)'!E248+"h_l!$@R"</f>
        <v>#VALUE!</v>
      </c>
      <c r="GU40" t="e">
        <f>'SurveyRpt_20150223 (1)'!F248+"h_l!$@S"</f>
        <v>#VALUE!</v>
      </c>
      <c r="GV40" t="e">
        <f>'SurveyRpt_20150223 (1)'!G248+"h_l!$@T"</f>
        <v>#VALUE!</v>
      </c>
      <c r="GW40" t="e">
        <f>'SurveyRpt_20150223 (1)'!H248+"h_l!$@U"</f>
        <v>#VALUE!</v>
      </c>
      <c r="GX40" t="e">
        <f>'SurveyRpt_20150223 (1)'!I248+"h_l!$@V"</f>
        <v>#VALUE!</v>
      </c>
      <c r="GY40" t="e">
        <f>'SurveyRpt_20150223 (1)'!J248+"h_l!$@W"</f>
        <v>#VALUE!</v>
      </c>
      <c r="GZ40" t="e">
        <f>'SurveyRpt_20150223 (1)'!K248+"h_l!$@X"</f>
        <v>#VALUE!</v>
      </c>
      <c r="HA40" t="e">
        <f>'SurveyRpt_20150223 (1)'!L248+"h_l!$@Y"</f>
        <v>#VALUE!</v>
      </c>
      <c r="HB40" t="e">
        <f>'SurveyRpt_20150223 (1)'!M248+"h_l!$@Z"</f>
        <v>#VALUE!</v>
      </c>
      <c r="HC40" t="e">
        <f>'SurveyRpt_20150223 (1)'!N248+"h_l!$@["</f>
        <v>#VALUE!</v>
      </c>
      <c r="HD40" t="e">
        <f>'SurveyRpt_20150223 (1)'!O248+"h_l!$@\"</f>
        <v>#VALUE!</v>
      </c>
      <c r="HE40" t="e">
        <f>'SurveyRpt_20150223 (1)'!P248+"h_l!$@]"</f>
        <v>#VALUE!</v>
      </c>
      <c r="HF40" t="e">
        <f>'SurveyRpt_20150223 (1)'!Q248+"h_l!$@^"</f>
        <v>#VALUE!</v>
      </c>
      <c r="HG40" t="e">
        <f>'SurveyRpt_20150223 (1)'!R248+"h_l!$@_"</f>
        <v>#VALUE!</v>
      </c>
      <c r="HH40" t="e">
        <f>'SurveyRpt_20150223 (1)'!S248+"h_l!$@`"</f>
        <v>#VALUE!</v>
      </c>
      <c r="HI40" t="e">
        <f>'SurveyRpt_20150223 (1)'!T248+"h_l!$@a"</f>
        <v>#VALUE!</v>
      </c>
      <c r="HJ40" t="e">
        <f>'SurveyRpt_20150223 (1)'!U248+"h_l!$@b"</f>
        <v>#VALUE!</v>
      </c>
      <c r="HK40" t="e">
        <f>'SurveyRpt_20150223 (1)'!V248+"h_l!$@c"</f>
        <v>#VALUE!</v>
      </c>
      <c r="HL40" t="e">
        <f>'SurveyRpt_20150223 (1)'!W248+"h_l!$@d"</f>
        <v>#VALUE!</v>
      </c>
      <c r="HM40" t="e">
        <f>'SurveyRpt_20150223 (1)'!X248+"h_l!$@e"</f>
        <v>#VALUE!</v>
      </c>
      <c r="HN40" t="e">
        <f>'SurveyRpt_20150223 (1)'!Y248+"h_l!$@f"</f>
        <v>#VALUE!</v>
      </c>
      <c r="HO40" t="e">
        <f>'SurveyRpt_20150223 (1)'!Z248+"h_l!$@g"</f>
        <v>#VALUE!</v>
      </c>
      <c r="HP40" t="e">
        <f>'SurveyRpt_20150223 (1)'!AA248+"h_l!$@h"</f>
        <v>#VALUE!</v>
      </c>
      <c r="HQ40" t="e">
        <f>'SurveyRpt_20150223 (1)'!AB248+"h_l!$@i"</f>
        <v>#VALUE!</v>
      </c>
      <c r="HR40" t="e">
        <f>'SurveyRpt_20150223 (1)'!AC248+"h_l!$@j"</f>
        <v>#VALUE!</v>
      </c>
      <c r="HS40" t="e">
        <f>'SurveyRpt_20150223 (1)'!AD248+"h_l!$@k"</f>
        <v>#VALUE!</v>
      </c>
      <c r="HT40" t="e">
        <f>'SurveyRpt_20150223 (1)'!AE248+"h_l!$@l"</f>
        <v>#VALUE!</v>
      </c>
      <c r="HU40" t="e">
        <f>'SurveyRpt_20150223 (1)'!AF248+"h_l!$@m"</f>
        <v>#VALUE!</v>
      </c>
      <c r="HV40" t="e">
        <f>'SurveyRpt_20150223 (1)'!AG248+"h_l!$@n"</f>
        <v>#VALUE!</v>
      </c>
      <c r="HW40" t="e">
        <f>'SurveyRpt_20150223 (1)'!AH248+"h_l!$@o"</f>
        <v>#VALUE!</v>
      </c>
      <c r="HX40" t="e">
        <f>'SurveyRpt_20150223 (1)'!AI248+"h_l!$@p"</f>
        <v>#VALUE!</v>
      </c>
      <c r="HY40" t="e">
        <f>'SurveyRpt_20150223 (1)'!AJ248+"h_l!$@q"</f>
        <v>#VALUE!</v>
      </c>
      <c r="HZ40" t="e">
        <f>'SurveyRpt_20150223 (1)'!AK248+"h_l!$@r"</f>
        <v>#VALUE!</v>
      </c>
      <c r="IA40" t="e">
        <f>'SurveyRpt_20150223 (1)'!AL248+"h_l!$@s"</f>
        <v>#VALUE!</v>
      </c>
      <c r="IB40" t="e">
        <f>'SurveyRpt_20150223 (1)'!AM248+"h_l!$@t"</f>
        <v>#VALUE!</v>
      </c>
      <c r="IC40" t="e">
        <f>'SurveyRpt_20150223 (1)'!AN248+"h_l!$@u"</f>
        <v>#VALUE!</v>
      </c>
      <c r="ID40" t="e">
        <f>'SurveyRpt_20150223 (1)'!A249+"h_l!$@v"</f>
        <v>#VALUE!</v>
      </c>
      <c r="IE40" s="25" t="e">
        <f>'SurveyRpt_20150223 (1)'!B249+"h_l!$@w"</f>
        <v>#VALUE!</v>
      </c>
      <c r="IF40" t="e">
        <f>'SurveyRpt_20150223 (1)'!C249+"h_l!$@x"</f>
        <v>#VALUE!</v>
      </c>
      <c r="IG40" s="25" t="e">
        <f>'SurveyRpt_20150223 (1)'!D249+"h_l!$@y"</f>
        <v>#VALUE!</v>
      </c>
      <c r="IH40" t="e">
        <f>'SurveyRpt_20150223 (1)'!E249+"h_l!$@z"</f>
        <v>#VALUE!</v>
      </c>
      <c r="II40" t="e">
        <f>'SurveyRpt_20150223 (1)'!F249+"h_l!$@{"</f>
        <v>#VALUE!</v>
      </c>
      <c r="IJ40" t="e">
        <f>'SurveyRpt_20150223 (1)'!G249+"h_l!$@|"</f>
        <v>#VALUE!</v>
      </c>
      <c r="IK40" t="e">
        <f>'SurveyRpt_20150223 (1)'!H249+"h_l!$@}"</f>
        <v>#VALUE!</v>
      </c>
      <c r="IL40" t="e">
        <f>'SurveyRpt_20150223 (1)'!I249+"h_l!$@~"</f>
        <v>#VALUE!</v>
      </c>
      <c r="IM40" t="e">
        <f>'SurveyRpt_20150223 (1)'!J249+"h_l!$A#"</f>
        <v>#VALUE!</v>
      </c>
      <c r="IN40" t="e">
        <f>'SurveyRpt_20150223 (1)'!K249+"h_l!$A$"</f>
        <v>#VALUE!</v>
      </c>
      <c r="IO40" t="e">
        <f>'SurveyRpt_20150223 (1)'!L249+"h_l!$A%"</f>
        <v>#VALUE!</v>
      </c>
      <c r="IP40" t="e">
        <f>'SurveyRpt_20150223 (1)'!M249+"h_l!$A&amp;"</f>
        <v>#VALUE!</v>
      </c>
      <c r="IQ40" t="e">
        <f>'SurveyRpt_20150223 (1)'!N249+"h_l!$A'"</f>
        <v>#VALUE!</v>
      </c>
      <c r="IR40" t="e">
        <f>'SurveyRpt_20150223 (1)'!O249+"h_l!$A("</f>
        <v>#VALUE!</v>
      </c>
      <c r="IS40" t="e">
        <f>'SurveyRpt_20150223 (1)'!P249+"h_l!$A)"</f>
        <v>#VALUE!</v>
      </c>
      <c r="IT40" t="e">
        <f>'SurveyRpt_20150223 (1)'!Q249+"h_l!$A."</f>
        <v>#VALUE!</v>
      </c>
      <c r="IU40" t="e">
        <f>'SurveyRpt_20150223 (1)'!R249+"h_l!$A/"</f>
        <v>#VALUE!</v>
      </c>
      <c r="IV40" t="e">
        <f>'SurveyRpt_20150223 (1)'!S249+"h_l!$A0"</f>
        <v>#VALUE!</v>
      </c>
    </row>
    <row r="41" spans="6:256" x14ac:dyDescent="0.25">
      <c r="F41" t="e">
        <f>'SurveyRpt_20150223 (1)'!T249+"h_l!$A1"</f>
        <v>#VALUE!</v>
      </c>
      <c r="G41" t="e">
        <f>'SurveyRpt_20150223 (1)'!U249+"h_l!$A2"</f>
        <v>#VALUE!</v>
      </c>
      <c r="H41" t="e">
        <f>'SurveyRpt_20150223 (1)'!V249+"h_l!$A3"</f>
        <v>#VALUE!</v>
      </c>
      <c r="I41" t="e">
        <f>'SurveyRpt_20150223 (1)'!W249+"h_l!$A4"</f>
        <v>#VALUE!</v>
      </c>
      <c r="J41" t="e">
        <f>'SurveyRpt_20150223 (1)'!X249+"h_l!$A5"</f>
        <v>#VALUE!</v>
      </c>
      <c r="K41" t="e">
        <f>'SurveyRpt_20150223 (1)'!Y249+"h_l!$A6"</f>
        <v>#VALUE!</v>
      </c>
      <c r="L41" t="e">
        <f>'SurveyRpt_20150223 (1)'!Z249+"h_l!$A7"</f>
        <v>#VALUE!</v>
      </c>
      <c r="M41" t="e">
        <f>'SurveyRpt_20150223 (1)'!AA249+"h_l!$A8"</f>
        <v>#VALUE!</v>
      </c>
      <c r="N41" t="e">
        <f>'SurveyRpt_20150223 (1)'!AB249+"h_l!$A9"</f>
        <v>#VALUE!</v>
      </c>
      <c r="O41" t="e">
        <f>'SurveyRpt_20150223 (1)'!AC249+"h_l!$A:"</f>
        <v>#VALUE!</v>
      </c>
      <c r="P41" t="e">
        <f>'SurveyRpt_20150223 (1)'!AD249+"h_l!$A;"</f>
        <v>#VALUE!</v>
      </c>
      <c r="Q41" t="e">
        <f>'SurveyRpt_20150223 (1)'!AE249+"h_l!$A&lt;"</f>
        <v>#VALUE!</v>
      </c>
      <c r="R41" t="e">
        <f>'SurveyRpt_20150223 (1)'!AF249+"h_l!$A="</f>
        <v>#VALUE!</v>
      </c>
      <c r="S41" t="e">
        <f>'SurveyRpt_20150223 (1)'!AG249+"h_l!$A&gt;"</f>
        <v>#VALUE!</v>
      </c>
      <c r="T41" t="e">
        <f>'SurveyRpt_20150223 (1)'!AH249+"h_l!$A?"</f>
        <v>#VALUE!</v>
      </c>
      <c r="U41" t="e">
        <f>'SurveyRpt_20150223 (1)'!AI249+"h_l!$A@"</f>
        <v>#VALUE!</v>
      </c>
      <c r="V41" t="e">
        <f>'SurveyRpt_20150223 (1)'!AJ249+"h_l!$AA"</f>
        <v>#VALUE!</v>
      </c>
      <c r="W41" t="e">
        <f>'SurveyRpt_20150223 (1)'!AK249+"h_l!$AB"</f>
        <v>#VALUE!</v>
      </c>
      <c r="X41" t="e">
        <f>'SurveyRpt_20150223 (1)'!AL249+"h_l!$AC"</f>
        <v>#VALUE!</v>
      </c>
      <c r="Y41" t="e">
        <f>'SurveyRpt_20150223 (1)'!AM249+"h_l!$AD"</f>
        <v>#VALUE!</v>
      </c>
      <c r="Z41" t="e">
        <f>'SurveyRpt_20150223 (1)'!AN249+"h_l!$AE"</f>
        <v>#VALUE!</v>
      </c>
      <c r="AA41" t="e">
        <f>'SurveyRpt_20150223 (1)'!A250+"h_l!$AF"</f>
        <v>#VALUE!</v>
      </c>
      <c r="AB41" s="25" t="e">
        <f>'SurveyRpt_20150223 (1)'!B250+"h_l!$AG"</f>
        <v>#VALUE!</v>
      </c>
      <c r="AC41" t="e">
        <f>'SurveyRpt_20150223 (1)'!C250+"h_l!$AH"</f>
        <v>#VALUE!</v>
      </c>
      <c r="AD41" s="25" t="e">
        <f>'SurveyRpt_20150223 (1)'!D250+"h_l!$AI"</f>
        <v>#VALUE!</v>
      </c>
      <c r="AE41" t="e">
        <f>'SurveyRpt_20150223 (1)'!E250+"h_l!$AJ"</f>
        <v>#VALUE!</v>
      </c>
      <c r="AF41" t="e">
        <f>'SurveyRpt_20150223 (1)'!F250+"h_l!$AK"</f>
        <v>#VALUE!</v>
      </c>
      <c r="AG41" t="e">
        <f>'SurveyRpt_20150223 (1)'!G250+"h_l!$AL"</f>
        <v>#VALUE!</v>
      </c>
      <c r="AH41" t="e">
        <f>'SurveyRpt_20150223 (1)'!H250+"h_l!$AM"</f>
        <v>#VALUE!</v>
      </c>
      <c r="AI41" t="e">
        <f>'SurveyRpt_20150223 (1)'!I250+"h_l!$AN"</f>
        <v>#VALUE!</v>
      </c>
      <c r="AJ41" t="e">
        <f>'SurveyRpt_20150223 (1)'!J250+"h_l!$AO"</f>
        <v>#VALUE!</v>
      </c>
      <c r="AK41" t="e">
        <f>'SurveyRpt_20150223 (1)'!K250+"h_l!$AP"</f>
        <v>#VALUE!</v>
      </c>
      <c r="AL41" t="e">
        <f>'SurveyRpt_20150223 (1)'!L250+"h_l!$AQ"</f>
        <v>#VALUE!</v>
      </c>
      <c r="AM41" t="e">
        <f>'SurveyRpt_20150223 (1)'!M250+"h_l!$AR"</f>
        <v>#VALUE!</v>
      </c>
      <c r="AN41" t="e">
        <f>'SurveyRpt_20150223 (1)'!N250+"h_l!$AS"</f>
        <v>#VALUE!</v>
      </c>
      <c r="AO41" t="e">
        <f>'SurveyRpt_20150223 (1)'!O250+"h_l!$AT"</f>
        <v>#VALUE!</v>
      </c>
      <c r="AP41" t="e">
        <f>'SurveyRpt_20150223 (1)'!P250+"h_l!$AU"</f>
        <v>#VALUE!</v>
      </c>
      <c r="AQ41" t="e">
        <f>'SurveyRpt_20150223 (1)'!Q250+"h_l!$AV"</f>
        <v>#VALUE!</v>
      </c>
      <c r="AR41" t="e">
        <f>'SurveyRpt_20150223 (1)'!R250+"h_l!$AW"</f>
        <v>#VALUE!</v>
      </c>
      <c r="AS41" t="e">
        <f>'SurveyRpt_20150223 (1)'!S250+"h_l!$AX"</f>
        <v>#VALUE!</v>
      </c>
      <c r="AT41" t="e">
        <f>'SurveyRpt_20150223 (1)'!T250+"h_l!$AY"</f>
        <v>#VALUE!</v>
      </c>
      <c r="AU41" t="e">
        <f>'SurveyRpt_20150223 (1)'!U250+"h_l!$AZ"</f>
        <v>#VALUE!</v>
      </c>
      <c r="AV41" t="e">
        <f>'SurveyRpt_20150223 (1)'!V250+"h_l!$A["</f>
        <v>#VALUE!</v>
      </c>
      <c r="AW41" t="e">
        <f>'SurveyRpt_20150223 (1)'!W250+"h_l!$A\"</f>
        <v>#VALUE!</v>
      </c>
      <c r="AX41" t="e">
        <f>'SurveyRpt_20150223 (1)'!X250+"h_l!$A]"</f>
        <v>#VALUE!</v>
      </c>
      <c r="AY41" t="e">
        <f>'SurveyRpt_20150223 (1)'!Y250+"h_l!$A^"</f>
        <v>#VALUE!</v>
      </c>
      <c r="AZ41" t="e">
        <f>'SurveyRpt_20150223 (1)'!Z250+"h_l!$A_"</f>
        <v>#VALUE!</v>
      </c>
      <c r="BA41" t="e">
        <f>'SurveyRpt_20150223 (1)'!AA250+"h_l!$A`"</f>
        <v>#VALUE!</v>
      </c>
      <c r="BB41" t="e">
        <f>'SurveyRpt_20150223 (1)'!AB250+"h_l!$Aa"</f>
        <v>#VALUE!</v>
      </c>
      <c r="BC41" t="e">
        <f>'SurveyRpt_20150223 (1)'!AC250+"h_l!$Ab"</f>
        <v>#VALUE!</v>
      </c>
      <c r="BD41" t="e">
        <f>'SurveyRpt_20150223 (1)'!AD250+"h_l!$Ac"</f>
        <v>#VALUE!</v>
      </c>
      <c r="BE41" t="e">
        <f>'SurveyRpt_20150223 (1)'!AE250+"h_l!$Ad"</f>
        <v>#VALUE!</v>
      </c>
      <c r="BF41" t="e">
        <f>'SurveyRpt_20150223 (1)'!AF250+"h_l!$Ae"</f>
        <v>#VALUE!</v>
      </c>
      <c r="BG41" t="e">
        <f>'SurveyRpt_20150223 (1)'!AG250+"h_l!$Af"</f>
        <v>#VALUE!</v>
      </c>
      <c r="BH41" t="e">
        <f>'SurveyRpt_20150223 (1)'!AH250+"h_l!$Ag"</f>
        <v>#VALUE!</v>
      </c>
      <c r="BI41" t="e">
        <f>'SurveyRpt_20150223 (1)'!AI250+"h_l!$Ah"</f>
        <v>#VALUE!</v>
      </c>
      <c r="BJ41" t="e">
        <f>'SurveyRpt_20150223 (1)'!AJ250+"h_l!$Ai"</f>
        <v>#VALUE!</v>
      </c>
      <c r="BK41" t="e">
        <f>'SurveyRpt_20150223 (1)'!AK250+"h_l!$Aj"</f>
        <v>#VALUE!</v>
      </c>
      <c r="BL41" t="e">
        <f>'SurveyRpt_20150223 (1)'!AL250+"h_l!$Ak"</f>
        <v>#VALUE!</v>
      </c>
      <c r="BM41" t="e">
        <f>'SurveyRpt_20150223 (1)'!AM250+"h_l!$Al"</f>
        <v>#VALUE!</v>
      </c>
      <c r="BN41" t="e">
        <f>'SurveyRpt_20150223 (1)'!AN250+"h_l!$Am"</f>
        <v>#VALUE!</v>
      </c>
      <c r="BO41" t="e">
        <f>'SurveyRpt_20150223 (1)'!A251+"h_l!$An"</f>
        <v>#VALUE!</v>
      </c>
      <c r="BP41" s="25" t="e">
        <f>'SurveyRpt_20150223 (1)'!B251+"h_l!$Ao"</f>
        <v>#VALUE!</v>
      </c>
      <c r="BQ41" t="e">
        <f>'SurveyRpt_20150223 (1)'!C251+"h_l!$Ap"</f>
        <v>#VALUE!</v>
      </c>
      <c r="BR41" s="25" t="e">
        <f>'SurveyRpt_20150223 (1)'!D251+"h_l!$Aq"</f>
        <v>#VALUE!</v>
      </c>
      <c r="BS41" t="e">
        <f>'SurveyRpt_20150223 (1)'!E251+"h_l!$Ar"</f>
        <v>#VALUE!</v>
      </c>
      <c r="BT41" t="e">
        <f>'SurveyRpt_20150223 (1)'!F251+"h_l!$As"</f>
        <v>#VALUE!</v>
      </c>
      <c r="BU41" t="e">
        <f>'SurveyRpt_20150223 (1)'!G251+"h_l!$At"</f>
        <v>#VALUE!</v>
      </c>
      <c r="BV41" t="e">
        <f>'SurveyRpt_20150223 (1)'!H251+"h_l!$Au"</f>
        <v>#VALUE!</v>
      </c>
      <c r="BW41" t="e">
        <f>'SurveyRpt_20150223 (1)'!I251+"h_l!$Av"</f>
        <v>#VALUE!</v>
      </c>
      <c r="BX41" t="e">
        <f>'SurveyRpt_20150223 (1)'!J251+"h_l!$Aw"</f>
        <v>#VALUE!</v>
      </c>
      <c r="BY41" t="e">
        <f>'SurveyRpt_20150223 (1)'!K251+"h_l!$Ax"</f>
        <v>#VALUE!</v>
      </c>
      <c r="BZ41" t="e">
        <f>'SurveyRpt_20150223 (1)'!L251+"h_l!$Ay"</f>
        <v>#VALUE!</v>
      </c>
      <c r="CA41" t="e">
        <f>'SurveyRpt_20150223 (1)'!M251+"h_l!$Az"</f>
        <v>#VALUE!</v>
      </c>
      <c r="CB41" t="e">
        <f>'SurveyRpt_20150223 (1)'!N251+"h_l!$A{"</f>
        <v>#VALUE!</v>
      </c>
      <c r="CC41" t="e">
        <f>'SurveyRpt_20150223 (1)'!O251+"h_l!$A|"</f>
        <v>#VALUE!</v>
      </c>
      <c r="CD41" t="e">
        <f>'SurveyRpt_20150223 (1)'!P251+"h_l!$A}"</f>
        <v>#VALUE!</v>
      </c>
      <c r="CE41" t="e">
        <f>'SurveyRpt_20150223 (1)'!Q251+"h_l!$A~"</f>
        <v>#VALUE!</v>
      </c>
      <c r="CF41" t="e">
        <f>'SurveyRpt_20150223 (1)'!R251+"h_l!$B#"</f>
        <v>#VALUE!</v>
      </c>
      <c r="CG41" t="e">
        <f>'SurveyRpt_20150223 (1)'!S251+"h_l!$B$"</f>
        <v>#VALUE!</v>
      </c>
      <c r="CH41" t="e">
        <f>'SurveyRpt_20150223 (1)'!T251+"h_l!$B%"</f>
        <v>#VALUE!</v>
      </c>
      <c r="CI41" t="e">
        <f>'SurveyRpt_20150223 (1)'!U251+"h_l!$B&amp;"</f>
        <v>#VALUE!</v>
      </c>
      <c r="CJ41" t="e">
        <f>'SurveyRpt_20150223 (1)'!V251+"h_l!$B'"</f>
        <v>#VALUE!</v>
      </c>
      <c r="CK41" t="e">
        <f>'SurveyRpt_20150223 (1)'!W251+"h_l!$B("</f>
        <v>#VALUE!</v>
      </c>
      <c r="CL41" t="e">
        <f>'SurveyRpt_20150223 (1)'!X251+"h_l!$B)"</f>
        <v>#VALUE!</v>
      </c>
      <c r="CM41" t="e">
        <f>'SurveyRpt_20150223 (1)'!Y251+"h_l!$B."</f>
        <v>#VALUE!</v>
      </c>
      <c r="CN41" t="e">
        <f>'SurveyRpt_20150223 (1)'!Z251+"h_l!$B/"</f>
        <v>#VALUE!</v>
      </c>
      <c r="CO41" t="e">
        <f>'SurveyRpt_20150223 (1)'!AA251+"h_l!$B0"</f>
        <v>#VALUE!</v>
      </c>
      <c r="CP41" t="e">
        <f>'SurveyRpt_20150223 (1)'!AB251+"h_l!$B1"</f>
        <v>#VALUE!</v>
      </c>
      <c r="CQ41" t="e">
        <f>'SurveyRpt_20150223 (1)'!AC251+"h_l!$B2"</f>
        <v>#VALUE!</v>
      </c>
      <c r="CR41" t="e">
        <f>'SurveyRpt_20150223 (1)'!AD251+"h_l!$B3"</f>
        <v>#VALUE!</v>
      </c>
      <c r="CS41" t="e">
        <f>'SurveyRpt_20150223 (1)'!AE251+"h_l!$B4"</f>
        <v>#VALUE!</v>
      </c>
      <c r="CT41" t="e">
        <f>'SurveyRpt_20150223 (1)'!AF251+"h_l!$B5"</f>
        <v>#VALUE!</v>
      </c>
      <c r="CU41" t="e">
        <f>'SurveyRpt_20150223 (1)'!AG251+"h_l!$B6"</f>
        <v>#VALUE!</v>
      </c>
      <c r="CV41" t="e">
        <f>'SurveyRpt_20150223 (1)'!AH251+"h_l!$B7"</f>
        <v>#VALUE!</v>
      </c>
      <c r="CW41" t="e">
        <f>'SurveyRpt_20150223 (1)'!AI251+"h_l!$B8"</f>
        <v>#VALUE!</v>
      </c>
      <c r="CX41" t="e">
        <f>'SurveyRpt_20150223 (1)'!AJ251+"h_l!$B9"</f>
        <v>#VALUE!</v>
      </c>
      <c r="CY41" t="e">
        <f>'SurveyRpt_20150223 (1)'!AK251+"h_l!$B:"</f>
        <v>#VALUE!</v>
      </c>
      <c r="CZ41" t="e">
        <f>'SurveyRpt_20150223 (1)'!AL251+"h_l!$B;"</f>
        <v>#VALUE!</v>
      </c>
      <c r="DA41" t="e">
        <f>'SurveyRpt_20150223 (1)'!AM251+"h_l!$B&lt;"</f>
        <v>#VALUE!</v>
      </c>
      <c r="DB41" t="e">
        <f>'SurveyRpt_20150223 (1)'!AN251+"h_l!$B="</f>
        <v>#VALUE!</v>
      </c>
      <c r="DC41" t="e">
        <f>'SurveyRpt_20150223 (1)'!A252+"h_l!$B&gt;"</f>
        <v>#VALUE!</v>
      </c>
      <c r="DD41" s="25" t="e">
        <f>'SurveyRpt_20150223 (1)'!B252+"h_l!$B?"</f>
        <v>#VALUE!</v>
      </c>
      <c r="DE41" t="e">
        <f>'SurveyRpt_20150223 (1)'!C252+"h_l!$B@"</f>
        <v>#VALUE!</v>
      </c>
      <c r="DF41" s="25" t="e">
        <f>'SurveyRpt_20150223 (1)'!D252+"h_l!$BA"</f>
        <v>#VALUE!</v>
      </c>
      <c r="DG41" t="e">
        <f>'SurveyRpt_20150223 (1)'!E252+"h_l!$BB"</f>
        <v>#VALUE!</v>
      </c>
      <c r="DH41" t="e">
        <f>'SurveyRpt_20150223 (1)'!F252+"h_l!$BC"</f>
        <v>#VALUE!</v>
      </c>
      <c r="DI41" t="e">
        <f>'SurveyRpt_20150223 (1)'!G252+"h_l!$BD"</f>
        <v>#VALUE!</v>
      </c>
      <c r="DJ41" t="e">
        <f>'SurveyRpt_20150223 (1)'!H252+"h_l!$BE"</f>
        <v>#VALUE!</v>
      </c>
      <c r="DK41" t="e">
        <f>'SurveyRpt_20150223 (1)'!I252+"h_l!$BF"</f>
        <v>#VALUE!</v>
      </c>
      <c r="DL41" t="e">
        <f>'SurveyRpt_20150223 (1)'!J252+"h_l!$BG"</f>
        <v>#VALUE!</v>
      </c>
      <c r="DM41" t="e">
        <f>'SurveyRpt_20150223 (1)'!K252+"h_l!$BH"</f>
        <v>#VALUE!</v>
      </c>
      <c r="DN41" t="e">
        <f>'SurveyRpt_20150223 (1)'!L252+"h_l!$BI"</f>
        <v>#VALUE!</v>
      </c>
      <c r="DO41" t="e">
        <f>'SurveyRpt_20150223 (1)'!M252+"h_l!$BJ"</f>
        <v>#VALUE!</v>
      </c>
      <c r="DP41" t="e">
        <f>'SurveyRpt_20150223 (1)'!N252+"h_l!$BK"</f>
        <v>#VALUE!</v>
      </c>
      <c r="DQ41" t="e">
        <f>'SurveyRpt_20150223 (1)'!O252+"h_l!$BL"</f>
        <v>#VALUE!</v>
      </c>
      <c r="DR41" t="e">
        <f>'SurveyRpt_20150223 (1)'!P252+"h_l!$BM"</f>
        <v>#VALUE!</v>
      </c>
      <c r="DS41" t="e">
        <f>'SurveyRpt_20150223 (1)'!Q252+"h_l!$BN"</f>
        <v>#VALUE!</v>
      </c>
      <c r="DT41" t="e">
        <f>'SurveyRpt_20150223 (1)'!R252+"h_l!$BO"</f>
        <v>#VALUE!</v>
      </c>
      <c r="DU41" t="e">
        <f>'SurveyRpt_20150223 (1)'!S252+"h_l!$BP"</f>
        <v>#VALUE!</v>
      </c>
      <c r="DV41" t="e">
        <f>'SurveyRpt_20150223 (1)'!T252+"h_l!$BQ"</f>
        <v>#VALUE!</v>
      </c>
      <c r="DW41" t="e">
        <f>'SurveyRpt_20150223 (1)'!U252+"h_l!$BR"</f>
        <v>#VALUE!</v>
      </c>
      <c r="DX41" t="e">
        <f>'SurveyRpt_20150223 (1)'!V252+"h_l!$BS"</f>
        <v>#VALUE!</v>
      </c>
      <c r="DY41" t="e">
        <f>'SurveyRpt_20150223 (1)'!W252+"h_l!$BT"</f>
        <v>#VALUE!</v>
      </c>
      <c r="DZ41" t="e">
        <f>'SurveyRpt_20150223 (1)'!X252+"h_l!$BU"</f>
        <v>#VALUE!</v>
      </c>
      <c r="EA41" t="e">
        <f>'SurveyRpt_20150223 (1)'!Y252+"h_l!$BV"</f>
        <v>#VALUE!</v>
      </c>
      <c r="EB41" t="e">
        <f>'SurveyRpt_20150223 (1)'!Z252+"h_l!$BW"</f>
        <v>#VALUE!</v>
      </c>
      <c r="EC41" t="e">
        <f>'SurveyRpt_20150223 (1)'!AA252+"h_l!$BX"</f>
        <v>#VALUE!</v>
      </c>
      <c r="ED41" t="e">
        <f>'SurveyRpt_20150223 (1)'!AB252+"h_l!$BY"</f>
        <v>#VALUE!</v>
      </c>
      <c r="EE41" t="e">
        <f>'SurveyRpt_20150223 (1)'!AC252+"h_l!$BZ"</f>
        <v>#VALUE!</v>
      </c>
      <c r="EF41" t="e">
        <f>'SurveyRpt_20150223 (1)'!AD252+"h_l!$B["</f>
        <v>#VALUE!</v>
      </c>
      <c r="EG41" t="e">
        <f>'SurveyRpt_20150223 (1)'!AE252+"h_l!$B\"</f>
        <v>#VALUE!</v>
      </c>
      <c r="EH41" t="e">
        <f>'SurveyRpt_20150223 (1)'!AF252+"h_l!$B]"</f>
        <v>#VALUE!</v>
      </c>
      <c r="EI41" t="e">
        <f>'SurveyRpt_20150223 (1)'!AG252+"h_l!$B^"</f>
        <v>#VALUE!</v>
      </c>
      <c r="EJ41" t="e">
        <f>'SurveyRpt_20150223 (1)'!AH252+"h_l!$B_"</f>
        <v>#VALUE!</v>
      </c>
      <c r="EK41" t="e">
        <f>'SurveyRpt_20150223 (1)'!AI252+"h_l!$B`"</f>
        <v>#VALUE!</v>
      </c>
      <c r="EL41" t="e">
        <f>'SurveyRpt_20150223 (1)'!AJ252+"h_l!$Ba"</f>
        <v>#VALUE!</v>
      </c>
      <c r="EM41" t="e">
        <f>'SurveyRpt_20150223 (1)'!AK252+"h_l!$Bb"</f>
        <v>#VALUE!</v>
      </c>
      <c r="EN41" t="e">
        <f>'SurveyRpt_20150223 (1)'!AL252+"h_l!$Bc"</f>
        <v>#VALUE!</v>
      </c>
      <c r="EO41" t="e">
        <f>'SurveyRpt_20150223 (1)'!AM252+"h_l!$Bd"</f>
        <v>#VALUE!</v>
      </c>
      <c r="EP41" t="e">
        <f>'SurveyRpt_20150223 (1)'!AN252+"h_l!$Be"</f>
        <v>#VALUE!</v>
      </c>
      <c r="EQ41" t="e">
        <f>'SurveyRpt_20150223 (1)'!A253+"h_l!$Bf"</f>
        <v>#VALUE!</v>
      </c>
      <c r="ER41" s="25" t="e">
        <f>'SurveyRpt_20150223 (1)'!B253+"h_l!$Bg"</f>
        <v>#VALUE!</v>
      </c>
      <c r="ES41" t="e">
        <f>'SurveyRpt_20150223 (1)'!C253+"h_l!$Bh"</f>
        <v>#VALUE!</v>
      </c>
      <c r="ET41" s="25" t="e">
        <f>'SurveyRpt_20150223 (1)'!D253+"h_l!$Bi"</f>
        <v>#VALUE!</v>
      </c>
      <c r="EU41" t="e">
        <f>'SurveyRpt_20150223 (1)'!E253+"h_l!$Bj"</f>
        <v>#VALUE!</v>
      </c>
      <c r="EV41" t="e">
        <f>'SurveyRpt_20150223 (1)'!F253+"h_l!$Bk"</f>
        <v>#VALUE!</v>
      </c>
      <c r="EW41" t="e">
        <f>'SurveyRpt_20150223 (1)'!G253+"h_l!$Bl"</f>
        <v>#VALUE!</v>
      </c>
      <c r="EX41" t="e">
        <f>'SurveyRpt_20150223 (1)'!H253+"h_l!$Bm"</f>
        <v>#VALUE!</v>
      </c>
      <c r="EY41" t="e">
        <f>'SurveyRpt_20150223 (1)'!I253+"h_l!$Bn"</f>
        <v>#VALUE!</v>
      </c>
      <c r="EZ41" t="e">
        <f>'SurveyRpt_20150223 (1)'!J253+"h_l!$Bo"</f>
        <v>#VALUE!</v>
      </c>
      <c r="FA41" t="e">
        <f>'SurveyRpt_20150223 (1)'!K253+"h_l!$Bp"</f>
        <v>#VALUE!</v>
      </c>
      <c r="FB41" t="e">
        <f>'SurveyRpt_20150223 (1)'!L253+"h_l!$Bq"</f>
        <v>#VALUE!</v>
      </c>
      <c r="FC41" t="e">
        <f>'SurveyRpt_20150223 (1)'!M253+"h_l!$Br"</f>
        <v>#VALUE!</v>
      </c>
      <c r="FD41" t="e">
        <f>'SurveyRpt_20150223 (1)'!N253+"h_l!$Bs"</f>
        <v>#VALUE!</v>
      </c>
      <c r="FE41" t="e">
        <f>'SurveyRpt_20150223 (1)'!O253+"h_l!$Bt"</f>
        <v>#VALUE!</v>
      </c>
      <c r="FF41" t="e">
        <f>'SurveyRpt_20150223 (1)'!P253+"h_l!$Bu"</f>
        <v>#VALUE!</v>
      </c>
      <c r="FG41" t="e">
        <f>'SurveyRpt_20150223 (1)'!Q253+"h_l!$Bv"</f>
        <v>#VALUE!</v>
      </c>
      <c r="FH41" t="e">
        <f>'SurveyRpt_20150223 (1)'!R253+"h_l!$Bw"</f>
        <v>#VALUE!</v>
      </c>
      <c r="FI41" t="e">
        <f>'SurveyRpt_20150223 (1)'!S253+"h_l!$Bx"</f>
        <v>#VALUE!</v>
      </c>
      <c r="FJ41" t="e">
        <f>'SurveyRpt_20150223 (1)'!T253+"h_l!$By"</f>
        <v>#VALUE!</v>
      </c>
      <c r="FK41" t="e">
        <f>'SurveyRpt_20150223 (1)'!U253+"h_l!$Bz"</f>
        <v>#VALUE!</v>
      </c>
      <c r="FL41" t="e">
        <f>'SurveyRpt_20150223 (1)'!V253+"h_l!$B{"</f>
        <v>#VALUE!</v>
      </c>
      <c r="FM41" t="e">
        <f>'SurveyRpt_20150223 (1)'!W253+"h_l!$B|"</f>
        <v>#VALUE!</v>
      </c>
      <c r="FN41" t="e">
        <f>'SurveyRpt_20150223 (1)'!X253+"h_l!$B}"</f>
        <v>#VALUE!</v>
      </c>
      <c r="FO41" t="e">
        <f>'SurveyRpt_20150223 (1)'!Y253+"h_l!$B~"</f>
        <v>#VALUE!</v>
      </c>
      <c r="FP41" t="e">
        <f>'SurveyRpt_20150223 (1)'!Z253+"h_l!$C#"</f>
        <v>#VALUE!</v>
      </c>
      <c r="FQ41" t="e">
        <f>'SurveyRpt_20150223 (1)'!AA253+"h_l!$C$"</f>
        <v>#VALUE!</v>
      </c>
      <c r="FR41" t="e">
        <f>'SurveyRpt_20150223 (1)'!AB253+"h_l!$C%"</f>
        <v>#VALUE!</v>
      </c>
      <c r="FS41" t="e">
        <f>'SurveyRpt_20150223 (1)'!AC253+"h_l!$C&amp;"</f>
        <v>#VALUE!</v>
      </c>
      <c r="FT41" t="e">
        <f>'SurveyRpt_20150223 (1)'!AD253+"h_l!$C'"</f>
        <v>#VALUE!</v>
      </c>
      <c r="FU41" t="e">
        <f>'SurveyRpt_20150223 (1)'!AE253+"h_l!$C("</f>
        <v>#VALUE!</v>
      </c>
      <c r="FV41" t="e">
        <f>'SurveyRpt_20150223 (1)'!AF253+"h_l!$C)"</f>
        <v>#VALUE!</v>
      </c>
      <c r="FW41" t="e">
        <f>'SurveyRpt_20150223 (1)'!AG253+"h_l!$C."</f>
        <v>#VALUE!</v>
      </c>
      <c r="FX41" t="e">
        <f>'SurveyRpt_20150223 (1)'!AH253+"h_l!$C/"</f>
        <v>#VALUE!</v>
      </c>
      <c r="FY41" t="e">
        <f>'SurveyRpt_20150223 (1)'!AI253+"h_l!$C0"</f>
        <v>#VALUE!</v>
      </c>
      <c r="FZ41" t="e">
        <f>'SurveyRpt_20150223 (1)'!AJ253+"h_l!$C1"</f>
        <v>#VALUE!</v>
      </c>
      <c r="GA41" t="e">
        <f>'SurveyRpt_20150223 (1)'!AK253+"h_l!$C2"</f>
        <v>#VALUE!</v>
      </c>
      <c r="GB41" t="e">
        <f>'SurveyRpt_20150223 (1)'!AL253+"h_l!$C3"</f>
        <v>#VALUE!</v>
      </c>
      <c r="GC41" t="e">
        <f>'SurveyRpt_20150223 (1)'!AM253+"h_l!$C4"</f>
        <v>#VALUE!</v>
      </c>
      <c r="GD41" t="e">
        <f>'SurveyRpt_20150223 (1)'!AN253+"h_l!$C5"</f>
        <v>#VALUE!</v>
      </c>
      <c r="GE41" t="e">
        <f>'SurveyRpt_20150223 (1)'!A254+"h_l!$C6"</f>
        <v>#VALUE!</v>
      </c>
      <c r="GF41" s="25" t="e">
        <f>'SurveyRpt_20150223 (1)'!B254+"h_l!$C7"</f>
        <v>#VALUE!</v>
      </c>
      <c r="GG41" t="e">
        <f>'SurveyRpt_20150223 (1)'!C254+"h_l!$C8"</f>
        <v>#VALUE!</v>
      </c>
      <c r="GH41" s="25" t="e">
        <f>'SurveyRpt_20150223 (1)'!D254+"h_l!$C9"</f>
        <v>#VALUE!</v>
      </c>
      <c r="GI41" t="e">
        <f>'SurveyRpt_20150223 (1)'!E254+"h_l!$C:"</f>
        <v>#VALUE!</v>
      </c>
      <c r="GJ41" t="e">
        <f>'SurveyRpt_20150223 (1)'!F254+"h_l!$C;"</f>
        <v>#VALUE!</v>
      </c>
      <c r="GK41" t="e">
        <f>'SurveyRpt_20150223 (1)'!G254+"h_l!$C&lt;"</f>
        <v>#VALUE!</v>
      </c>
      <c r="GL41" t="e">
        <f>'SurveyRpt_20150223 (1)'!H254+"h_l!$C="</f>
        <v>#VALUE!</v>
      </c>
      <c r="GM41" t="e">
        <f>'SurveyRpt_20150223 (1)'!I254+"h_l!$C&gt;"</f>
        <v>#VALUE!</v>
      </c>
      <c r="GN41" t="e">
        <f>'SurveyRpt_20150223 (1)'!J254+"h_l!$C?"</f>
        <v>#VALUE!</v>
      </c>
      <c r="GO41" t="e">
        <f>'SurveyRpt_20150223 (1)'!K254+"h_l!$C@"</f>
        <v>#VALUE!</v>
      </c>
      <c r="GP41" t="e">
        <f>'SurveyRpt_20150223 (1)'!L254+"h_l!$CA"</f>
        <v>#VALUE!</v>
      </c>
      <c r="GQ41" t="e">
        <f>'SurveyRpt_20150223 (1)'!M254+"h_l!$CB"</f>
        <v>#VALUE!</v>
      </c>
      <c r="GR41" t="e">
        <f>'SurveyRpt_20150223 (1)'!N254+"h_l!$CC"</f>
        <v>#VALUE!</v>
      </c>
      <c r="GS41" t="e">
        <f>'SurveyRpt_20150223 (1)'!O254+"h_l!$CD"</f>
        <v>#VALUE!</v>
      </c>
      <c r="GT41" t="e">
        <f>'SurveyRpt_20150223 (1)'!P254+"h_l!$CE"</f>
        <v>#VALUE!</v>
      </c>
      <c r="GU41" t="e">
        <f>'SurveyRpt_20150223 (1)'!Q254+"h_l!$CF"</f>
        <v>#VALUE!</v>
      </c>
      <c r="GV41" t="e">
        <f>'SurveyRpt_20150223 (1)'!R254+"h_l!$CG"</f>
        <v>#VALUE!</v>
      </c>
      <c r="GW41" t="e">
        <f>'SurveyRpt_20150223 (1)'!S254+"h_l!$CH"</f>
        <v>#VALUE!</v>
      </c>
      <c r="GX41" t="e">
        <f>'SurveyRpt_20150223 (1)'!T254+"h_l!$CI"</f>
        <v>#VALUE!</v>
      </c>
      <c r="GY41" t="e">
        <f>'SurveyRpt_20150223 (1)'!U254+"h_l!$CJ"</f>
        <v>#VALUE!</v>
      </c>
      <c r="GZ41" t="e">
        <f>'SurveyRpt_20150223 (1)'!V254+"h_l!$CK"</f>
        <v>#VALUE!</v>
      </c>
      <c r="HA41" t="e">
        <f>'SurveyRpt_20150223 (1)'!W254+"h_l!$CL"</f>
        <v>#VALUE!</v>
      </c>
      <c r="HB41" t="e">
        <f>'SurveyRpt_20150223 (1)'!X254+"h_l!$CM"</f>
        <v>#VALUE!</v>
      </c>
      <c r="HC41" t="e">
        <f>'SurveyRpt_20150223 (1)'!Y254+"h_l!$CN"</f>
        <v>#VALUE!</v>
      </c>
      <c r="HD41" t="e">
        <f>'SurveyRpt_20150223 (1)'!Z254+"h_l!$CO"</f>
        <v>#VALUE!</v>
      </c>
      <c r="HE41" t="e">
        <f>'SurveyRpt_20150223 (1)'!AA254+"h_l!$CP"</f>
        <v>#VALUE!</v>
      </c>
      <c r="HF41" t="e">
        <f>'SurveyRpt_20150223 (1)'!AB254+"h_l!$CQ"</f>
        <v>#VALUE!</v>
      </c>
      <c r="HG41" t="e">
        <f>'SurveyRpt_20150223 (1)'!AC254+"h_l!$CR"</f>
        <v>#VALUE!</v>
      </c>
      <c r="HH41" t="e">
        <f>'SurveyRpt_20150223 (1)'!AD254+"h_l!$CS"</f>
        <v>#VALUE!</v>
      </c>
      <c r="HI41" t="e">
        <f>'SurveyRpt_20150223 (1)'!AE254+"h_l!$CT"</f>
        <v>#VALUE!</v>
      </c>
      <c r="HJ41" t="e">
        <f>'SurveyRpt_20150223 (1)'!AF254+"h_l!$CU"</f>
        <v>#VALUE!</v>
      </c>
      <c r="HK41" t="e">
        <f>'SurveyRpt_20150223 (1)'!AG254+"h_l!$CV"</f>
        <v>#VALUE!</v>
      </c>
      <c r="HL41" t="e">
        <f>'SurveyRpt_20150223 (1)'!AH254+"h_l!$CW"</f>
        <v>#VALUE!</v>
      </c>
      <c r="HM41" t="e">
        <f>'SurveyRpt_20150223 (1)'!AI254+"h_l!$CX"</f>
        <v>#VALUE!</v>
      </c>
      <c r="HN41" t="e">
        <f>'SurveyRpt_20150223 (1)'!AJ254+"h_l!$CY"</f>
        <v>#VALUE!</v>
      </c>
      <c r="HO41" t="e">
        <f>'SurveyRpt_20150223 (1)'!AK254+"h_l!$CZ"</f>
        <v>#VALUE!</v>
      </c>
      <c r="HP41" t="e">
        <f>'SurveyRpt_20150223 (1)'!AL254+"h_l!$C["</f>
        <v>#VALUE!</v>
      </c>
      <c r="HQ41" t="e">
        <f>'SurveyRpt_20150223 (1)'!AM254+"h_l!$C\"</f>
        <v>#VALUE!</v>
      </c>
      <c r="HR41" t="e">
        <f>'SurveyRpt_20150223 (1)'!AN254+"h_l!$C]"</f>
        <v>#VALUE!</v>
      </c>
      <c r="HS41" t="e">
        <f>'SurveyRpt_20150223 (1)'!A255+"h_l!$C^"</f>
        <v>#VALUE!</v>
      </c>
      <c r="HT41" s="25" t="e">
        <f>'SurveyRpt_20150223 (1)'!B255+"h_l!$C_"</f>
        <v>#VALUE!</v>
      </c>
      <c r="HU41" t="e">
        <f>'SurveyRpt_20150223 (1)'!C255+"h_l!$C`"</f>
        <v>#VALUE!</v>
      </c>
      <c r="HV41" s="25" t="e">
        <f>'SurveyRpt_20150223 (1)'!D255+"h_l!$Ca"</f>
        <v>#VALUE!</v>
      </c>
      <c r="HW41" t="e">
        <f>'SurveyRpt_20150223 (1)'!E255+"h_l!$Cb"</f>
        <v>#VALUE!</v>
      </c>
      <c r="HX41" t="e">
        <f>'SurveyRpt_20150223 (1)'!F255+"h_l!$Cc"</f>
        <v>#VALUE!</v>
      </c>
      <c r="HY41" t="e">
        <f>'SurveyRpt_20150223 (1)'!G255+"h_l!$Cd"</f>
        <v>#VALUE!</v>
      </c>
      <c r="HZ41" t="e">
        <f>'SurveyRpt_20150223 (1)'!H255+"h_l!$Ce"</f>
        <v>#VALUE!</v>
      </c>
      <c r="IA41" t="e">
        <f>'SurveyRpt_20150223 (1)'!I255+"h_l!$Cf"</f>
        <v>#VALUE!</v>
      </c>
      <c r="IB41" t="e">
        <f>'SurveyRpt_20150223 (1)'!J255+"h_l!$Cg"</f>
        <v>#VALUE!</v>
      </c>
      <c r="IC41" t="e">
        <f>'SurveyRpt_20150223 (1)'!K255+"h_l!$Ch"</f>
        <v>#VALUE!</v>
      </c>
      <c r="ID41" t="e">
        <f>'SurveyRpt_20150223 (1)'!L255+"h_l!$Ci"</f>
        <v>#VALUE!</v>
      </c>
      <c r="IE41" t="e">
        <f>'SurveyRpt_20150223 (1)'!M255+"h_l!$Cj"</f>
        <v>#VALUE!</v>
      </c>
      <c r="IF41" t="e">
        <f>'SurveyRpt_20150223 (1)'!N255+"h_l!$Ck"</f>
        <v>#VALUE!</v>
      </c>
      <c r="IG41" t="e">
        <f>'SurveyRpt_20150223 (1)'!O255+"h_l!$Cl"</f>
        <v>#VALUE!</v>
      </c>
      <c r="IH41" t="e">
        <f>'SurveyRpt_20150223 (1)'!P255+"h_l!$Cm"</f>
        <v>#VALUE!</v>
      </c>
      <c r="II41" t="e">
        <f>'SurveyRpt_20150223 (1)'!Q255+"h_l!$Cn"</f>
        <v>#VALUE!</v>
      </c>
      <c r="IJ41" t="e">
        <f>'SurveyRpt_20150223 (1)'!R255+"h_l!$Co"</f>
        <v>#VALUE!</v>
      </c>
      <c r="IK41" t="e">
        <f>'SurveyRpt_20150223 (1)'!S255+"h_l!$Cp"</f>
        <v>#VALUE!</v>
      </c>
      <c r="IL41" t="e">
        <f>'SurveyRpt_20150223 (1)'!T255+"h_l!$Cq"</f>
        <v>#VALUE!</v>
      </c>
      <c r="IM41" t="e">
        <f>'SurveyRpt_20150223 (1)'!U255+"h_l!$Cr"</f>
        <v>#VALUE!</v>
      </c>
      <c r="IN41" t="e">
        <f>'SurveyRpt_20150223 (1)'!V255+"h_l!$Cs"</f>
        <v>#VALUE!</v>
      </c>
      <c r="IO41" t="e">
        <f>'SurveyRpt_20150223 (1)'!W255+"h_l!$Ct"</f>
        <v>#VALUE!</v>
      </c>
      <c r="IP41" t="e">
        <f>'SurveyRpt_20150223 (1)'!X255+"h_l!$Cu"</f>
        <v>#VALUE!</v>
      </c>
      <c r="IQ41" t="e">
        <f>'SurveyRpt_20150223 (1)'!Y255+"h_l!$Cv"</f>
        <v>#VALUE!</v>
      </c>
      <c r="IR41" t="e">
        <f>'SurveyRpt_20150223 (1)'!Z255+"h_l!$Cw"</f>
        <v>#VALUE!</v>
      </c>
      <c r="IS41" t="e">
        <f>'SurveyRpt_20150223 (1)'!AA255+"h_l!$Cx"</f>
        <v>#VALUE!</v>
      </c>
      <c r="IT41" t="e">
        <f>'SurveyRpt_20150223 (1)'!AB255+"h_l!$Cy"</f>
        <v>#VALUE!</v>
      </c>
      <c r="IU41" t="e">
        <f>'SurveyRpt_20150223 (1)'!AC255+"h_l!$Cz"</f>
        <v>#VALUE!</v>
      </c>
      <c r="IV41" t="e">
        <f>'SurveyRpt_20150223 (1)'!AD255+"h_l!$C{"</f>
        <v>#VALUE!</v>
      </c>
    </row>
    <row r="42" spans="6:256" x14ac:dyDescent="0.25">
      <c r="F42" t="e">
        <f>'SurveyRpt_20150223 (1)'!AE255+"h_l!$C|"</f>
        <v>#VALUE!</v>
      </c>
      <c r="G42" t="e">
        <f>'SurveyRpt_20150223 (1)'!AF255+"h_l!$C}"</f>
        <v>#VALUE!</v>
      </c>
      <c r="H42" t="e">
        <f>'SurveyRpt_20150223 (1)'!AG255+"h_l!$C~"</f>
        <v>#VALUE!</v>
      </c>
      <c r="I42" t="e">
        <f>'SurveyRpt_20150223 (1)'!AH255+"h_l!$D#"</f>
        <v>#VALUE!</v>
      </c>
      <c r="J42" t="e">
        <f>'SurveyRpt_20150223 (1)'!AI255+"h_l!$D$"</f>
        <v>#VALUE!</v>
      </c>
      <c r="K42" t="e">
        <f>'SurveyRpt_20150223 (1)'!AJ255+"h_l!$D%"</f>
        <v>#VALUE!</v>
      </c>
      <c r="L42" t="e">
        <f>'SurveyRpt_20150223 (1)'!AK255+"h_l!$D&amp;"</f>
        <v>#VALUE!</v>
      </c>
      <c r="M42" t="e">
        <f>'SurveyRpt_20150223 (1)'!AL255+"h_l!$D'"</f>
        <v>#VALUE!</v>
      </c>
      <c r="N42" t="e">
        <f>'SurveyRpt_20150223 (1)'!AM255+"h_l!$D("</f>
        <v>#VALUE!</v>
      </c>
      <c r="O42" t="e">
        <f>'SurveyRpt_20150223 (1)'!AN255+"h_l!$D)"</f>
        <v>#VALUE!</v>
      </c>
      <c r="P42" t="e">
        <f>'SurveyRpt_20150223 (1)'!A256+"h_l!$D."</f>
        <v>#VALUE!</v>
      </c>
      <c r="Q42" s="25" t="e">
        <f>'SurveyRpt_20150223 (1)'!B256+"h_l!$D/"</f>
        <v>#VALUE!</v>
      </c>
      <c r="R42" t="e">
        <f>'SurveyRpt_20150223 (1)'!C256+"h_l!$D0"</f>
        <v>#VALUE!</v>
      </c>
      <c r="S42" s="25" t="e">
        <f>'SurveyRpt_20150223 (1)'!D256+"h_l!$D1"</f>
        <v>#VALUE!</v>
      </c>
      <c r="T42" t="e">
        <f>'SurveyRpt_20150223 (1)'!E256+"h_l!$D2"</f>
        <v>#VALUE!</v>
      </c>
      <c r="U42" t="e">
        <f>'SurveyRpt_20150223 (1)'!F256+"h_l!$D3"</f>
        <v>#VALUE!</v>
      </c>
      <c r="V42" t="e">
        <f>'SurveyRpt_20150223 (1)'!G256+"h_l!$D4"</f>
        <v>#VALUE!</v>
      </c>
      <c r="W42" t="e">
        <f>'SurveyRpt_20150223 (1)'!H256+"h_l!$D5"</f>
        <v>#VALUE!</v>
      </c>
      <c r="X42" t="e">
        <f>'SurveyRpt_20150223 (1)'!I256+"h_l!$D6"</f>
        <v>#VALUE!</v>
      </c>
      <c r="Y42" t="e">
        <f>'SurveyRpt_20150223 (1)'!J256+"h_l!$D7"</f>
        <v>#VALUE!</v>
      </c>
      <c r="Z42" t="e">
        <f>'SurveyRpt_20150223 (1)'!K256+"h_l!$D8"</f>
        <v>#VALUE!</v>
      </c>
      <c r="AA42" t="e">
        <f>'SurveyRpt_20150223 (1)'!L256+"h_l!$D9"</f>
        <v>#VALUE!</v>
      </c>
      <c r="AB42" t="e">
        <f>'SurveyRpt_20150223 (1)'!M256+"h_l!$D:"</f>
        <v>#VALUE!</v>
      </c>
      <c r="AC42" t="e">
        <f>'SurveyRpt_20150223 (1)'!N256+"h_l!$D;"</f>
        <v>#VALUE!</v>
      </c>
      <c r="AD42" t="e">
        <f>'SurveyRpt_20150223 (1)'!O256+"h_l!$D&lt;"</f>
        <v>#VALUE!</v>
      </c>
      <c r="AE42" t="e">
        <f>'SurveyRpt_20150223 (1)'!P256+"h_l!$D="</f>
        <v>#VALUE!</v>
      </c>
      <c r="AF42" t="e">
        <f>'SurveyRpt_20150223 (1)'!Q256+"h_l!$D&gt;"</f>
        <v>#VALUE!</v>
      </c>
      <c r="AG42" t="e">
        <f>'SurveyRpt_20150223 (1)'!R256+"h_l!$D?"</f>
        <v>#VALUE!</v>
      </c>
      <c r="AH42" t="e">
        <f>'SurveyRpt_20150223 (1)'!S256+"h_l!$D@"</f>
        <v>#VALUE!</v>
      </c>
      <c r="AI42" t="e">
        <f>'SurveyRpt_20150223 (1)'!T256+"h_l!$DA"</f>
        <v>#VALUE!</v>
      </c>
      <c r="AJ42" t="e">
        <f>'SurveyRpt_20150223 (1)'!U256+"h_l!$DB"</f>
        <v>#VALUE!</v>
      </c>
      <c r="AK42" t="e">
        <f>'SurveyRpt_20150223 (1)'!V256+"h_l!$DC"</f>
        <v>#VALUE!</v>
      </c>
      <c r="AL42" t="e">
        <f>'SurveyRpt_20150223 (1)'!W256+"h_l!$DD"</f>
        <v>#VALUE!</v>
      </c>
      <c r="AM42" t="e">
        <f>'SurveyRpt_20150223 (1)'!X256+"h_l!$DE"</f>
        <v>#VALUE!</v>
      </c>
      <c r="AN42" t="e">
        <f>'SurveyRpt_20150223 (1)'!Y256+"h_l!$DF"</f>
        <v>#VALUE!</v>
      </c>
      <c r="AO42" t="e">
        <f>'SurveyRpt_20150223 (1)'!Z256+"h_l!$DG"</f>
        <v>#VALUE!</v>
      </c>
      <c r="AP42" t="e">
        <f>'SurveyRpt_20150223 (1)'!AA256+"h_l!$DH"</f>
        <v>#VALUE!</v>
      </c>
      <c r="AQ42" t="e">
        <f>'SurveyRpt_20150223 (1)'!AB256+"h_l!$DI"</f>
        <v>#VALUE!</v>
      </c>
      <c r="AR42" t="e">
        <f>'SurveyRpt_20150223 (1)'!AC256+"h_l!$DJ"</f>
        <v>#VALUE!</v>
      </c>
      <c r="AS42" t="e">
        <f>'SurveyRpt_20150223 (1)'!AD256+"h_l!$DK"</f>
        <v>#VALUE!</v>
      </c>
      <c r="AT42" t="e">
        <f>'SurveyRpt_20150223 (1)'!AE256+"h_l!$DL"</f>
        <v>#VALUE!</v>
      </c>
      <c r="AU42" t="e">
        <f>'SurveyRpt_20150223 (1)'!AF256+"h_l!$DM"</f>
        <v>#VALUE!</v>
      </c>
      <c r="AV42" t="e">
        <f>'SurveyRpt_20150223 (1)'!AG256+"h_l!$DN"</f>
        <v>#VALUE!</v>
      </c>
      <c r="AW42" t="e">
        <f>'SurveyRpt_20150223 (1)'!AH256+"h_l!$DO"</f>
        <v>#VALUE!</v>
      </c>
      <c r="AX42" t="e">
        <f>'SurveyRpt_20150223 (1)'!AI256+"h_l!$DP"</f>
        <v>#VALUE!</v>
      </c>
      <c r="AY42" t="e">
        <f>'SurveyRpt_20150223 (1)'!AJ256+"h_l!$DQ"</f>
        <v>#VALUE!</v>
      </c>
      <c r="AZ42" t="e">
        <f>'SurveyRpt_20150223 (1)'!AK256+"h_l!$DR"</f>
        <v>#VALUE!</v>
      </c>
      <c r="BA42" t="e">
        <f>'SurveyRpt_20150223 (1)'!AL256+"h_l!$DS"</f>
        <v>#VALUE!</v>
      </c>
      <c r="BB42" t="e">
        <f>'SurveyRpt_20150223 (1)'!AM256+"h_l!$DT"</f>
        <v>#VALUE!</v>
      </c>
      <c r="BC42" t="e">
        <f>'SurveyRpt_20150223 (1)'!AN256+"h_l!$DU"</f>
        <v>#VALUE!</v>
      </c>
      <c r="BD42" t="e">
        <f>'SurveyRpt_20150223 (1)'!A257+"h_l!$DV"</f>
        <v>#VALUE!</v>
      </c>
      <c r="BE42" s="25" t="e">
        <f>'SurveyRpt_20150223 (1)'!B257+"h_l!$DW"</f>
        <v>#VALUE!</v>
      </c>
      <c r="BF42" t="e">
        <f>'SurveyRpt_20150223 (1)'!C257+"h_l!$DX"</f>
        <v>#VALUE!</v>
      </c>
      <c r="BG42" s="25" t="e">
        <f>'SurveyRpt_20150223 (1)'!D257+"h_l!$DY"</f>
        <v>#VALUE!</v>
      </c>
      <c r="BH42" t="e">
        <f>'SurveyRpt_20150223 (1)'!E257+"h_l!$DZ"</f>
        <v>#VALUE!</v>
      </c>
      <c r="BI42" t="e">
        <f>'SurveyRpt_20150223 (1)'!F257+"h_l!$D["</f>
        <v>#VALUE!</v>
      </c>
      <c r="BJ42" t="e">
        <f>'SurveyRpt_20150223 (1)'!G257+"h_l!$D\"</f>
        <v>#VALUE!</v>
      </c>
      <c r="BK42" t="e">
        <f>'SurveyRpt_20150223 (1)'!H257+"h_l!$D]"</f>
        <v>#VALUE!</v>
      </c>
      <c r="BL42" t="e">
        <f>'SurveyRpt_20150223 (1)'!I257+"h_l!$D^"</f>
        <v>#VALUE!</v>
      </c>
      <c r="BM42" t="e">
        <f>'SurveyRpt_20150223 (1)'!J257+"h_l!$D_"</f>
        <v>#VALUE!</v>
      </c>
      <c r="BN42" t="e">
        <f>'SurveyRpt_20150223 (1)'!K257+"h_l!$D`"</f>
        <v>#VALUE!</v>
      </c>
      <c r="BO42" t="e">
        <f>'SurveyRpt_20150223 (1)'!L257+"h_l!$Da"</f>
        <v>#VALUE!</v>
      </c>
      <c r="BP42" t="e">
        <f>'SurveyRpt_20150223 (1)'!M257+"h_l!$Db"</f>
        <v>#VALUE!</v>
      </c>
      <c r="BQ42" t="e">
        <f>'SurveyRpt_20150223 (1)'!N257+"h_l!$Dc"</f>
        <v>#VALUE!</v>
      </c>
      <c r="BR42" t="e">
        <f>'SurveyRpt_20150223 (1)'!O257+"h_l!$Dd"</f>
        <v>#VALUE!</v>
      </c>
      <c r="BS42" t="e">
        <f>'SurveyRpt_20150223 (1)'!P257+"h_l!$De"</f>
        <v>#VALUE!</v>
      </c>
      <c r="BT42" t="e">
        <f>'SurveyRpt_20150223 (1)'!Q257+"h_l!$Df"</f>
        <v>#VALUE!</v>
      </c>
      <c r="BU42" t="e">
        <f>'SurveyRpt_20150223 (1)'!R257+"h_l!$Dg"</f>
        <v>#VALUE!</v>
      </c>
      <c r="BV42" t="e">
        <f>'SurveyRpt_20150223 (1)'!S257+"h_l!$Dh"</f>
        <v>#VALUE!</v>
      </c>
      <c r="BW42" t="e">
        <f>'SurveyRpt_20150223 (1)'!T257+"h_l!$Di"</f>
        <v>#VALUE!</v>
      </c>
      <c r="BX42" t="e">
        <f>'SurveyRpt_20150223 (1)'!U257+"h_l!$Dj"</f>
        <v>#VALUE!</v>
      </c>
      <c r="BY42" t="e">
        <f>'SurveyRpt_20150223 (1)'!V257+"h_l!$Dk"</f>
        <v>#VALUE!</v>
      </c>
      <c r="BZ42" t="e">
        <f>'SurveyRpt_20150223 (1)'!W257+"h_l!$Dl"</f>
        <v>#VALUE!</v>
      </c>
      <c r="CA42" t="e">
        <f>'SurveyRpt_20150223 (1)'!X257+"h_l!$Dm"</f>
        <v>#VALUE!</v>
      </c>
      <c r="CB42" t="e">
        <f>'SurveyRpt_20150223 (1)'!Y257+"h_l!$Dn"</f>
        <v>#VALUE!</v>
      </c>
      <c r="CC42" t="e">
        <f>'SurveyRpt_20150223 (1)'!Z257+"h_l!$Do"</f>
        <v>#VALUE!</v>
      </c>
      <c r="CD42" t="e">
        <f>'SurveyRpt_20150223 (1)'!AA257+"h_l!$Dp"</f>
        <v>#VALUE!</v>
      </c>
      <c r="CE42" t="e">
        <f>'SurveyRpt_20150223 (1)'!AB257+"h_l!$Dq"</f>
        <v>#VALUE!</v>
      </c>
      <c r="CF42" t="e">
        <f>'SurveyRpt_20150223 (1)'!AC257+"h_l!$Dr"</f>
        <v>#VALUE!</v>
      </c>
      <c r="CG42" t="e">
        <f>'SurveyRpt_20150223 (1)'!AD257+"h_l!$Ds"</f>
        <v>#VALUE!</v>
      </c>
      <c r="CH42" t="e">
        <f>'SurveyRpt_20150223 (1)'!AE257+"h_l!$Dt"</f>
        <v>#VALUE!</v>
      </c>
      <c r="CI42" t="e">
        <f>'SurveyRpt_20150223 (1)'!AF257+"h_l!$Du"</f>
        <v>#VALUE!</v>
      </c>
      <c r="CJ42" t="e">
        <f>'SurveyRpt_20150223 (1)'!AG257+"h_l!$Dv"</f>
        <v>#VALUE!</v>
      </c>
      <c r="CK42" t="e">
        <f>'SurveyRpt_20150223 (1)'!AH257+"h_l!$Dw"</f>
        <v>#VALUE!</v>
      </c>
      <c r="CL42" t="e">
        <f>'SurveyRpt_20150223 (1)'!AI257+"h_l!$Dx"</f>
        <v>#VALUE!</v>
      </c>
      <c r="CM42" t="e">
        <f>'SurveyRpt_20150223 (1)'!AJ257+"h_l!$Dy"</f>
        <v>#VALUE!</v>
      </c>
      <c r="CN42" t="e">
        <f>'SurveyRpt_20150223 (1)'!AK257+"h_l!$Dz"</f>
        <v>#VALUE!</v>
      </c>
      <c r="CO42" t="e">
        <f>'SurveyRpt_20150223 (1)'!AL257+"h_l!$D{"</f>
        <v>#VALUE!</v>
      </c>
      <c r="CP42" t="e">
        <f>'SurveyRpt_20150223 (1)'!AM257+"h_l!$D|"</f>
        <v>#VALUE!</v>
      </c>
      <c r="CQ42" t="e">
        <f>'SurveyRpt_20150223 (1)'!AN257+"h_l!$D}"</f>
        <v>#VALUE!</v>
      </c>
      <c r="CR42" t="e">
        <f>'SurveyRpt_20150223 (1)'!A258+"h_l!$D~"</f>
        <v>#VALUE!</v>
      </c>
      <c r="CS42" s="25" t="e">
        <f>'SurveyRpt_20150223 (1)'!B258+"h_l!$E#"</f>
        <v>#VALUE!</v>
      </c>
      <c r="CT42" t="e">
        <f>'SurveyRpt_20150223 (1)'!C258+"h_l!$E$"</f>
        <v>#VALUE!</v>
      </c>
      <c r="CU42" s="25" t="e">
        <f>'SurveyRpt_20150223 (1)'!D258+"h_l!$E%"</f>
        <v>#VALUE!</v>
      </c>
      <c r="CV42" t="e">
        <f>'SurveyRpt_20150223 (1)'!E258+"h_l!$E&amp;"</f>
        <v>#VALUE!</v>
      </c>
      <c r="CW42" t="e">
        <f>'SurveyRpt_20150223 (1)'!F258+"h_l!$E'"</f>
        <v>#VALUE!</v>
      </c>
      <c r="CX42" t="e">
        <f>'SurveyRpt_20150223 (1)'!G258+"h_l!$E("</f>
        <v>#VALUE!</v>
      </c>
      <c r="CY42" t="e">
        <f>'SurveyRpt_20150223 (1)'!H258+"h_l!$E)"</f>
        <v>#VALUE!</v>
      </c>
      <c r="CZ42" t="e">
        <f>'SurveyRpt_20150223 (1)'!I258+"h_l!$E."</f>
        <v>#VALUE!</v>
      </c>
      <c r="DA42" t="e">
        <f>'SurveyRpt_20150223 (1)'!J258+"h_l!$E/"</f>
        <v>#VALUE!</v>
      </c>
      <c r="DB42" t="e">
        <f>'SurveyRpt_20150223 (1)'!K258+"h_l!$E0"</f>
        <v>#VALUE!</v>
      </c>
      <c r="DC42" t="e">
        <f>'SurveyRpt_20150223 (1)'!L258+"h_l!$E1"</f>
        <v>#VALUE!</v>
      </c>
      <c r="DD42" t="e">
        <f>'SurveyRpt_20150223 (1)'!M258+"h_l!$E2"</f>
        <v>#VALUE!</v>
      </c>
      <c r="DE42" t="e">
        <f>'SurveyRpt_20150223 (1)'!N258+"h_l!$E3"</f>
        <v>#VALUE!</v>
      </c>
      <c r="DF42" t="e">
        <f>'SurveyRpt_20150223 (1)'!O258+"h_l!$E4"</f>
        <v>#VALUE!</v>
      </c>
      <c r="DG42" t="e">
        <f>'SurveyRpt_20150223 (1)'!P258+"h_l!$E5"</f>
        <v>#VALUE!</v>
      </c>
      <c r="DH42" t="e">
        <f>'SurveyRpt_20150223 (1)'!Q258+"h_l!$E6"</f>
        <v>#VALUE!</v>
      </c>
      <c r="DI42" t="e">
        <f>'SurveyRpt_20150223 (1)'!R258+"h_l!$E7"</f>
        <v>#VALUE!</v>
      </c>
      <c r="DJ42" t="e">
        <f>'SurveyRpt_20150223 (1)'!S258+"h_l!$E8"</f>
        <v>#VALUE!</v>
      </c>
      <c r="DK42" t="e">
        <f>'SurveyRpt_20150223 (1)'!T258+"h_l!$E9"</f>
        <v>#VALUE!</v>
      </c>
      <c r="DL42" t="e">
        <f>'SurveyRpt_20150223 (1)'!U258+"h_l!$E:"</f>
        <v>#VALUE!</v>
      </c>
      <c r="DM42" t="e">
        <f>'SurveyRpt_20150223 (1)'!V258+"h_l!$E;"</f>
        <v>#VALUE!</v>
      </c>
      <c r="DN42" t="e">
        <f>'SurveyRpt_20150223 (1)'!W258+"h_l!$E&lt;"</f>
        <v>#VALUE!</v>
      </c>
      <c r="DO42" t="e">
        <f>'SurveyRpt_20150223 (1)'!X258+"h_l!$E="</f>
        <v>#VALUE!</v>
      </c>
      <c r="DP42" t="e">
        <f>'SurveyRpt_20150223 (1)'!Y258+"h_l!$E&gt;"</f>
        <v>#VALUE!</v>
      </c>
      <c r="DQ42" t="e">
        <f>'SurveyRpt_20150223 (1)'!Z258+"h_l!$E?"</f>
        <v>#VALUE!</v>
      </c>
      <c r="DR42" t="e">
        <f>'SurveyRpt_20150223 (1)'!AA258+"h_l!$E@"</f>
        <v>#VALUE!</v>
      </c>
      <c r="DS42" t="e">
        <f>'SurveyRpt_20150223 (1)'!AB258+"h_l!$EA"</f>
        <v>#VALUE!</v>
      </c>
      <c r="DT42" t="e">
        <f>'SurveyRpt_20150223 (1)'!AC258+"h_l!$EB"</f>
        <v>#VALUE!</v>
      </c>
      <c r="DU42" t="e">
        <f>'SurveyRpt_20150223 (1)'!AD258+"h_l!$EC"</f>
        <v>#VALUE!</v>
      </c>
      <c r="DV42" t="e">
        <f>'SurveyRpt_20150223 (1)'!AE258+"h_l!$ED"</f>
        <v>#VALUE!</v>
      </c>
      <c r="DW42" t="e">
        <f>'SurveyRpt_20150223 (1)'!AF258+"h_l!$EE"</f>
        <v>#VALUE!</v>
      </c>
      <c r="DX42" t="e">
        <f>'SurveyRpt_20150223 (1)'!AG258+"h_l!$EF"</f>
        <v>#VALUE!</v>
      </c>
      <c r="DY42" t="e">
        <f>'SurveyRpt_20150223 (1)'!AH258+"h_l!$EG"</f>
        <v>#VALUE!</v>
      </c>
      <c r="DZ42" t="e">
        <f>'SurveyRpt_20150223 (1)'!AI258+"h_l!$EH"</f>
        <v>#VALUE!</v>
      </c>
      <c r="EA42" t="e">
        <f>'SurveyRpt_20150223 (1)'!AJ258+"h_l!$EI"</f>
        <v>#VALUE!</v>
      </c>
      <c r="EB42" t="e">
        <f>'SurveyRpt_20150223 (1)'!AK258+"h_l!$EJ"</f>
        <v>#VALUE!</v>
      </c>
      <c r="EC42" t="e">
        <f>'SurveyRpt_20150223 (1)'!AL258+"h_l!$EK"</f>
        <v>#VALUE!</v>
      </c>
      <c r="ED42" t="e">
        <f>'SurveyRpt_20150223 (1)'!AM258+"h_l!$EL"</f>
        <v>#VALUE!</v>
      </c>
      <c r="EE42" t="e">
        <f>'SurveyRpt_20150223 (1)'!AN258+"h_l!$EM"</f>
        <v>#VALUE!</v>
      </c>
      <c r="EF42" t="e">
        <f>'SurveyRpt_20150223 (1)'!A259+"h_l!$EN"</f>
        <v>#VALUE!</v>
      </c>
      <c r="EG42" s="25" t="e">
        <f>'SurveyRpt_20150223 (1)'!B259+"h_l!$EO"</f>
        <v>#VALUE!</v>
      </c>
      <c r="EH42" t="e">
        <f>'SurveyRpt_20150223 (1)'!C259+"h_l!$EP"</f>
        <v>#VALUE!</v>
      </c>
      <c r="EI42" s="25" t="e">
        <f>'SurveyRpt_20150223 (1)'!D259+"h_l!$EQ"</f>
        <v>#VALUE!</v>
      </c>
      <c r="EJ42" t="e">
        <f>'SurveyRpt_20150223 (1)'!E259+"h_l!$ER"</f>
        <v>#VALUE!</v>
      </c>
      <c r="EK42" t="e">
        <f>'SurveyRpt_20150223 (1)'!F259+"h_l!$ES"</f>
        <v>#VALUE!</v>
      </c>
      <c r="EL42" t="e">
        <f>'SurveyRpt_20150223 (1)'!G259+"h_l!$ET"</f>
        <v>#VALUE!</v>
      </c>
      <c r="EM42" t="e">
        <f>'SurveyRpt_20150223 (1)'!H259+"h_l!$EU"</f>
        <v>#VALUE!</v>
      </c>
      <c r="EN42" t="e">
        <f>'SurveyRpt_20150223 (1)'!I259+"h_l!$EV"</f>
        <v>#VALUE!</v>
      </c>
      <c r="EO42" t="e">
        <f>'SurveyRpt_20150223 (1)'!J259+"h_l!$EW"</f>
        <v>#VALUE!</v>
      </c>
      <c r="EP42" t="e">
        <f>'SurveyRpt_20150223 (1)'!K259+"h_l!$EX"</f>
        <v>#VALUE!</v>
      </c>
      <c r="EQ42" t="e">
        <f>'SurveyRpt_20150223 (1)'!L259+"h_l!$EY"</f>
        <v>#VALUE!</v>
      </c>
      <c r="ER42" t="e">
        <f>'SurveyRpt_20150223 (1)'!M259+"h_l!$EZ"</f>
        <v>#VALUE!</v>
      </c>
      <c r="ES42" t="e">
        <f>'SurveyRpt_20150223 (1)'!N259+"h_l!$E["</f>
        <v>#VALUE!</v>
      </c>
      <c r="ET42" t="e">
        <f>'SurveyRpt_20150223 (1)'!O259+"h_l!$E\"</f>
        <v>#VALUE!</v>
      </c>
      <c r="EU42" t="e">
        <f>'SurveyRpt_20150223 (1)'!P259+"h_l!$E]"</f>
        <v>#VALUE!</v>
      </c>
      <c r="EV42" t="e">
        <f>'SurveyRpt_20150223 (1)'!Q259+"h_l!$E^"</f>
        <v>#VALUE!</v>
      </c>
      <c r="EW42" t="e">
        <f>'SurveyRpt_20150223 (1)'!R259+"h_l!$E_"</f>
        <v>#VALUE!</v>
      </c>
      <c r="EX42" t="e">
        <f>'SurveyRpt_20150223 (1)'!S259+"h_l!$E`"</f>
        <v>#VALUE!</v>
      </c>
      <c r="EY42" t="e">
        <f>'SurveyRpt_20150223 (1)'!T259+"h_l!$Ea"</f>
        <v>#VALUE!</v>
      </c>
      <c r="EZ42" t="e">
        <f>'SurveyRpt_20150223 (1)'!U259+"h_l!$Eb"</f>
        <v>#VALUE!</v>
      </c>
      <c r="FA42" t="e">
        <f>'SurveyRpt_20150223 (1)'!V259+"h_l!$Ec"</f>
        <v>#VALUE!</v>
      </c>
      <c r="FB42" t="e">
        <f>'SurveyRpt_20150223 (1)'!W259+"h_l!$Ed"</f>
        <v>#VALUE!</v>
      </c>
      <c r="FC42" t="e">
        <f>'SurveyRpt_20150223 (1)'!X259+"h_l!$Ee"</f>
        <v>#VALUE!</v>
      </c>
      <c r="FD42" t="e">
        <f>'SurveyRpt_20150223 (1)'!Y259+"h_l!$Ef"</f>
        <v>#VALUE!</v>
      </c>
      <c r="FE42" t="e">
        <f>'SurveyRpt_20150223 (1)'!Z259+"h_l!$Eg"</f>
        <v>#VALUE!</v>
      </c>
      <c r="FF42" t="e">
        <f>'SurveyRpt_20150223 (1)'!AA259+"h_l!$Eh"</f>
        <v>#VALUE!</v>
      </c>
      <c r="FG42" t="e">
        <f>'SurveyRpt_20150223 (1)'!AB259+"h_l!$Ei"</f>
        <v>#VALUE!</v>
      </c>
      <c r="FH42" t="e">
        <f>'SurveyRpt_20150223 (1)'!AC259+"h_l!$Ej"</f>
        <v>#VALUE!</v>
      </c>
      <c r="FI42" t="e">
        <f>'SurveyRpt_20150223 (1)'!AD259+"h_l!$Ek"</f>
        <v>#VALUE!</v>
      </c>
      <c r="FJ42" t="e">
        <f>'SurveyRpt_20150223 (1)'!AE259+"h_l!$El"</f>
        <v>#VALUE!</v>
      </c>
      <c r="FK42" t="e">
        <f>'SurveyRpt_20150223 (1)'!AF259+"h_l!$Em"</f>
        <v>#VALUE!</v>
      </c>
      <c r="FL42" t="e">
        <f>'SurveyRpt_20150223 (1)'!AG259+"h_l!$En"</f>
        <v>#VALUE!</v>
      </c>
      <c r="FM42" t="e">
        <f>'SurveyRpt_20150223 (1)'!AH259+"h_l!$Eo"</f>
        <v>#VALUE!</v>
      </c>
      <c r="FN42" t="e">
        <f>'SurveyRpt_20150223 (1)'!AI259+"h_l!$Ep"</f>
        <v>#VALUE!</v>
      </c>
      <c r="FO42" t="e">
        <f>'SurveyRpt_20150223 (1)'!AJ259+"h_l!$Eq"</f>
        <v>#VALUE!</v>
      </c>
      <c r="FP42" t="e">
        <f>'SurveyRpt_20150223 (1)'!AK259+"h_l!$Er"</f>
        <v>#VALUE!</v>
      </c>
      <c r="FQ42" t="e">
        <f>'SurveyRpt_20150223 (1)'!AL259+"h_l!$Es"</f>
        <v>#VALUE!</v>
      </c>
      <c r="FR42" t="e">
        <f>'SurveyRpt_20150223 (1)'!AM259+"h_l!$Et"</f>
        <v>#VALUE!</v>
      </c>
      <c r="FS42" t="e">
        <f>'SurveyRpt_20150223 (1)'!AN259+"h_l!$Eu"</f>
        <v>#VALUE!</v>
      </c>
      <c r="FT42" t="e">
        <f>'SurveyRpt_20150223 (1)'!A260+"h_l!$Ev"</f>
        <v>#VALUE!</v>
      </c>
      <c r="FU42" s="25" t="e">
        <f>'SurveyRpt_20150223 (1)'!B260+"h_l!$Ew"</f>
        <v>#VALUE!</v>
      </c>
      <c r="FV42" t="e">
        <f>'SurveyRpt_20150223 (1)'!C260+"h_l!$Ex"</f>
        <v>#VALUE!</v>
      </c>
      <c r="FW42" s="25" t="e">
        <f>'SurveyRpt_20150223 (1)'!D260+"h_l!$Ey"</f>
        <v>#VALUE!</v>
      </c>
      <c r="FX42" t="e">
        <f>'SurveyRpt_20150223 (1)'!E260+"h_l!$Ez"</f>
        <v>#VALUE!</v>
      </c>
      <c r="FY42" t="e">
        <f>'SurveyRpt_20150223 (1)'!F260+"h_l!$E{"</f>
        <v>#VALUE!</v>
      </c>
      <c r="FZ42" t="e">
        <f>'SurveyRpt_20150223 (1)'!G260+"h_l!$E|"</f>
        <v>#VALUE!</v>
      </c>
      <c r="GA42" t="e">
        <f>'SurveyRpt_20150223 (1)'!H260+"h_l!$E}"</f>
        <v>#VALUE!</v>
      </c>
      <c r="GB42" t="e">
        <f>'SurveyRpt_20150223 (1)'!I260+"h_l!$E~"</f>
        <v>#VALUE!</v>
      </c>
      <c r="GC42" t="e">
        <f>'SurveyRpt_20150223 (1)'!J260+"h_l!$F#"</f>
        <v>#VALUE!</v>
      </c>
      <c r="GD42" t="e">
        <f>'SurveyRpt_20150223 (1)'!K260+"h_l!$F$"</f>
        <v>#VALUE!</v>
      </c>
      <c r="GE42" t="e">
        <f>'SurveyRpt_20150223 (1)'!L260+"h_l!$F%"</f>
        <v>#VALUE!</v>
      </c>
      <c r="GF42" t="e">
        <f>'SurveyRpt_20150223 (1)'!M260+"h_l!$F&amp;"</f>
        <v>#VALUE!</v>
      </c>
      <c r="GG42" t="e">
        <f>'SurveyRpt_20150223 (1)'!N260+"h_l!$F'"</f>
        <v>#VALUE!</v>
      </c>
      <c r="GH42" t="e">
        <f>'SurveyRpt_20150223 (1)'!O260+"h_l!$F("</f>
        <v>#VALUE!</v>
      </c>
      <c r="GI42" t="e">
        <f>'SurveyRpt_20150223 (1)'!P260+"h_l!$F)"</f>
        <v>#VALUE!</v>
      </c>
      <c r="GJ42" t="e">
        <f>'SurveyRpt_20150223 (1)'!Q260+"h_l!$F."</f>
        <v>#VALUE!</v>
      </c>
      <c r="GK42" t="e">
        <f>'SurveyRpt_20150223 (1)'!R260+"h_l!$F/"</f>
        <v>#VALUE!</v>
      </c>
      <c r="GL42" t="e">
        <f>'SurveyRpt_20150223 (1)'!S260+"h_l!$F0"</f>
        <v>#VALUE!</v>
      </c>
      <c r="GM42" t="e">
        <f>'SurveyRpt_20150223 (1)'!T260+"h_l!$F1"</f>
        <v>#VALUE!</v>
      </c>
      <c r="GN42" t="e">
        <f>'SurveyRpt_20150223 (1)'!U260+"h_l!$F2"</f>
        <v>#VALUE!</v>
      </c>
      <c r="GO42" t="e">
        <f>'SurveyRpt_20150223 (1)'!V260+"h_l!$F3"</f>
        <v>#VALUE!</v>
      </c>
      <c r="GP42" t="e">
        <f>'SurveyRpt_20150223 (1)'!W260+"h_l!$F4"</f>
        <v>#VALUE!</v>
      </c>
      <c r="GQ42" t="e">
        <f>'SurveyRpt_20150223 (1)'!X260+"h_l!$F5"</f>
        <v>#VALUE!</v>
      </c>
      <c r="GR42" t="e">
        <f>'SurveyRpt_20150223 (1)'!Y260+"h_l!$F6"</f>
        <v>#VALUE!</v>
      </c>
      <c r="GS42" t="e">
        <f>'SurveyRpt_20150223 (1)'!Z260+"h_l!$F7"</f>
        <v>#VALUE!</v>
      </c>
      <c r="GT42" t="e">
        <f>'SurveyRpt_20150223 (1)'!AA260+"h_l!$F8"</f>
        <v>#VALUE!</v>
      </c>
      <c r="GU42" t="e">
        <f>'SurveyRpt_20150223 (1)'!AB260+"h_l!$F9"</f>
        <v>#VALUE!</v>
      </c>
      <c r="GV42" t="e">
        <f>'SurveyRpt_20150223 (1)'!AC260+"h_l!$F:"</f>
        <v>#VALUE!</v>
      </c>
      <c r="GW42" t="e">
        <f>'SurveyRpt_20150223 (1)'!AD260+"h_l!$F;"</f>
        <v>#VALUE!</v>
      </c>
      <c r="GX42" t="e">
        <f>'SurveyRpt_20150223 (1)'!AE260+"h_l!$F&lt;"</f>
        <v>#VALUE!</v>
      </c>
      <c r="GY42" t="e">
        <f>'SurveyRpt_20150223 (1)'!AF260+"h_l!$F="</f>
        <v>#VALUE!</v>
      </c>
      <c r="GZ42" t="e">
        <f>'SurveyRpt_20150223 (1)'!AG260+"h_l!$F&gt;"</f>
        <v>#VALUE!</v>
      </c>
      <c r="HA42" t="e">
        <f>'SurveyRpt_20150223 (1)'!AH260+"h_l!$F?"</f>
        <v>#VALUE!</v>
      </c>
      <c r="HB42" t="e">
        <f>'SurveyRpt_20150223 (1)'!AI260+"h_l!$F@"</f>
        <v>#VALUE!</v>
      </c>
      <c r="HC42" t="e">
        <f>'SurveyRpt_20150223 (1)'!AJ260+"h_l!$FA"</f>
        <v>#VALUE!</v>
      </c>
      <c r="HD42" t="e">
        <f>'SurveyRpt_20150223 (1)'!AK260+"h_l!$FB"</f>
        <v>#VALUE!</v>
      </c>
      <c r="HE42" t="e">
        <f>'SurveyRpt_20150223 (1)'!AL260+"h_l!$FC"</f>
        <v>#VALUE!</v>
      </c>
      <c r="HF42" t="e">
        <f>'SurveyRpt_20150223 (1)'!AM260+"h_l!$FD"</f>
        <v>#VALUE!</v>
      </c>
      <c r="HG42" t="e">
        <f>'SurveyRpt_20150223 (1)'!AN260+"h_l!$FE"</f>
        <v>#VALUE!</v>
      </c>
      <c r="HH42" t="e">
        <f>'SurveyRpt_20150223 (1)'!A261+"h_l!$FF"</f>
        <v>#VALUE!</v>
      </c>
      <c r="HI42" s="25" t="e">
        <f>'SurveyRpt_20150223 (1)'!B261+"h_l!$FG"</f>
        <v>#VALUE!</v>
      </c>
      <c r="HJ42" t="e">
        <f>'SurveyRpt_20150223 (1)'!C261+"h_l!$FH"</f>
        <v>#VALUE!</v>
      </c>
      <c r="HK42" s="25" t="e">
        <f>'SurveyRpt_20150223 (1)'!D261+"h_l!$FI"</f>
        <v>#VALUE!</v>
      </c>
      <c r="HL42" t="e">
        <f>'SurveyRpt_20150223 (1)'!E261+"h_l!$FJ"</f>
        <v>#VALUE!</v>
      </c>
      <c r="HM42" t="e">
        <f>'SurveyRpt_20150223 (1)'!F261+"h_l!$FK"</f>
        <v>#VALUE!</v>
      </c>
      <c r="HN42" t="e">
        <f>'SurveyRpt_20150223 (1)'!G261+"h_l!$FL"</f>
        <v>#VALUE!</v>
      </c>
      <c r="HO42" t="e">
        <f>'SurveyRpt_20150223 (1)'!H261+"h_l!$FM"</f>
        <v>#VALUE!</v>
      </c>
      <c r="HP42" t="e">
        <f>'SurveyRpt_20150223 (1)'!I261+"h_l!$FN"</f>
        <v>#VALUE!</v>
      </c>
      <c r="HQ42" t="e">
        <f>'SurveyRpt_20150223 (1)'!J261+"h_l!$FO"</f>
        <v>#VALUE!</v>
      </c>
      <c r="HR42" t="e">
        <f>'SurveyRpt_20150223 (1)'!K261+"h_l!$FP"</f>
        <v>#VALUE!</v>
      </c>
      <c r="HS42" t="e">
        <f>'SurveyRpt_20150223 (1)'!L261+"h_l!$FQ"</f>
        <v>#VALUE!</v>
      </c>
      <c r="HT42" t="e">
        <f>'SurveyRpt_20150223 (1)'!M261+"h_l!$FR"</f>
        <v>#VALUE!</v>
      </c>
      <c r="HU42" t="e">
        <f>'SurveyRpt_20150223 (1)'!N261+"h_l!$FS"</f>
        <v>#VALUE!</v>
      </c>
      <c r="HV42" t="e">
        <f>'SurveyRpt_20150223 (1)'!O261+"h_l!$FT"</f>
        <v>#VALUE!</v>
      </c>
      <c r="HW42" t="e">
        <f>'SurveyRpt_20150223 (1)'!P261+"h_l!$FU"</f>
        <v>#VALUE!</v>
      </c>
      <c r="HX42" t="e">
        <f>'SurveyRpt_20150223 (1)'!Q261+"h_l!$FV"</f>
        <v>#VALUE!</v>
      </c>
      <c r="HY42" t="e">
        <f>'SurveyRpt_20150223 (1)'!R261+"h_l!$FW"</f>
        <v>#VALUE!</v>
      </c>
      <c r="HZ42" t="e">
        <f>'SurveyRpt_20150223 (1)'!S261+"h_l!$FX"</f>
        <v>#VALUE!</v>
      </c>
      <c r="IA42" t="e">
        <f>'SurveyRpt_20150223 (1)'!T261+"h_l!$FY"</f>
        <v>#VALUE!</v>
      </c>
      <c r="IB42" t="e">
        <f>'SurveyRpt_20150223 (1)'!U261+"h_l!$FZ"</f>
        <v>#VALUE!</v>
      </c>
      <c r="IC42" t="e">
        <f>'SurveyRpt_20150223 (1)'!V261+"h_l!$F["</f>
        <v>#VALUE!</v>
      </c>
      <c r="ID42" t="e">
        <f>'SurveyRpt_20150223 (1)'!W261+"h_l!$F\"</f>
        <v>#VALUE!</v>
      </c>
      <c r="IE42" t="e">
        <f>'SurveyRpt_20150223 (1)'!X261+"h_l!$F]"</f>
        <v>#VALUE!</v>
      </c>
      <c r="IF42" t="e">
        <f>'SurveyRpt_20150223 (1)'!Y261+"h_l!$F^"</f>
        <v>#VALUE!</v>
      </c>
      <c r="IG42" t="e">
        <f>'SurveyRpt_20150223 (1)'!Z261+"h_l!$F_"</f>
        <v>#VALUE!</v>
      </c>
      <c r="IH42" t="e">
        <f>'SurveyRpt_20150223 (1)'!AA261+"h_l!$F`"</f>
        <v>#VALUE!</v>
      </c>
      <c r="II42" t="e">
        <f>'SurveyRpt_20150223 (1)'!AB261+"h_l!$Fa"</f>
        <v>#VALUE!</v>
      </c>
      <c r="IJ42" t="e">
        <f>'SurveyRpt_20150223 (1)'!AC261+"h_l!$Fb"</f>
        <v>#VALUE!</v>
      </c>
      <c r="IK42" t="e">
        <f>'SurveyRpt_20150223 (1)'!AD261+"h_l!$Fc"</f>
        <v>#VALUE!</v>
      </c>
      <c r="IL42" t="e">
        <f>'SurveyRpt_20150223 (1)'!AE261+"h_l!$Fd"</f>
        <v>#VALUE!</v>
      </c>
      <c r="IM42" t="e">
        <f>'SurveyRpt_20150223 (1)'!AF261+"h_l!$Fe"</f>
        <v>#VALUE!</v>
      </c>
      <c r="IN42" t="e">
        <f>'SurveyRpt_20150223 (1)'!AG261+"h_l!$Ff"</f>
        <v>#VALUE!</v>
      </c>
      <c r="IO42" t="e">
        <f>'SurveyRpt_20150223 (1)'!AH261+"h_l!$Fg"</f>
        <v>#VALUE!</v>
      </c>
      <c r="IP42" t="e">
        <f>'SurveyRpt_20150223 (1)'!AI261+"h_l!$Fh"</f>
        <v>#VALUE!</v>
      </c>
      <c r="IQ42" t="e">
        <f>'SurveyRpt_20150223 (1)'!AJ261+"h_l!$Fi"</f>
        <v>#VALUE!</v>
      </c>
      <c r="IR42" t="e">
        <f>'SurveyRpt_20150223 (1)'!AK261+"h_l!$Fj"</f>
        <v>#VALUE!</v>
      </c>
      <c r="IS42" t="e">
        <f>'SurveyRpt_20150223 (1)'!AL261+"h_l!$Fk"</f>
        <v>#VALUE!</v>
      </c>
      <c r="IT42" t="e">
        <f>'SurveyRpt_20150223 (1)'!AM261+"h_l!$Fl"</f>
        <v>#VALUE!</v>
      </c>
      <c r="IU42" t="e">
        <f>'SurveyRpt_20150223 (1)'!AN261+"h_l!$Fm"</f>
        <v>#VALUE!</v>
      </c>
      <c r="IV42" t="e">
        <f>'SurveyRpt_20150223 (1)'!A262+"h_l!$Fn"</f>
        <v>#VALUE!</v>
      </c>
    </row>
    <row r="43" spans="6:256" x14ac:dyDescent="0.25">
      <c r="F43" s="25" t="e">
        <f>'SurveyRpt_20150223 (1)'!B262+"h_l!$Fo"</f>
        <v>#VALUE!</v>
      </c>
      <c r="G43" t="e">
        <f>'SurveyRpt_20150223 (1)'!C262+"h_l!$Fp"</f>
        <v>#VALUE!</v>
      </c>
      <c r="H43" s="25" t="e">
        <f>'SurveyRpt_20150223 (1)'!D262+"h_l!$Fq"</f>
        <v>#VALUE!</v>
      </c>
      <c r="I43" t="e">
        <f>'SurveyRpt_20150223 (1)'!E262+"h_l!$Fr"</f>
        <v>#VALUE!</v>
      </c>
      <c r="J43" t="e">
        <f>'SurveyRpt_20150223 (1)'!F262+"h_l!$Fs"</f>
        <v>#VALUE!</v>
      </c>
      <c r="K43" t="e">
        <f>'SurveyRpt_20150223 (1)'!G262+"h_l!$Ft"</f>
        <v>#VALUE!</v>
      </c>
      <c r="L43" t="e">
        <f>'SurveyRpt_20150223 (1)'!H262+"h_l!$Fu"</f>
        <v>#VALUE!</v>
      </c>
      <c r="M43" t="e">
        <f>'SurveyRpt_20150223 (1)'!I262+"h_l!$Fv"</f>
        <v>#VALUE!</v>
      </c>
      <c r="N43" t="e">
        <f>'SurveyRpt_20150223 (1)'!J262+"h_l!$Fw"</f>
        <v>#VALUE!</v>
      </c>
      <c r="O43" t="e">
        <f>'SurveyRpt_20150223 (1)'!K262+"h_l!$Fx"</f>
        <v>#VALUE!</v>
      </c>
      <c r="P43" t="e">
        <f>'SurveyRpt_20150223 (1)'!L262+"h_l!$Fy"</f>
        <v>#VALUE!</v>
      </c>
      <c r="Q43" t="e">
        <f>'SurveyRpt_20150223 (1)'!M262+"h_l!$Fz"</f>
        <v>#VALUE!</v>
      </c>
      <c r="R43" t="e">
        <f>'SurveyRpt_20150223 (1)'!N262+"h_l!$F{"</f>
        <v>#VALUE!</v>
      </c>
      <c r="S43" t="e">
        <f>'SurveyRpt_20150223 (1)'!O262+"h_l!$F|"</f>
        <v>#VALUE!</v>
      </c>
      <c r="T43" t="e">
        <f>'SurveyRpt_20150223 (1)'!P262+"h_l!$F}"</f>
        <v>#VALUE!</v>
      </c>
      <c r="U43" t="e">
        <f>'SurveyRpt_20150223 (1)'!Q262+"h_l!$F~"</f>
        <v>#VALUE!</v>
      </c>
      <c r="V43" t="e">
        <f>'SurveyRpt_20150223 (1)'!R262+"h_l!$G#"</f>
        <v>#VALUE!</v>
      </c>
      <c r="W43" t="e">
        <f>'SurveyRpt_20150223 (1)'!S262+"h_l!$G$"</f>
        <v>#VALUE!</v>
      </c>
      <c r="X43" t="e">
        <f>'SurveyRpt_20150223 (1)'!T262+"h_l!$G%"</f>
        <v>#VALUE!</v>
      </c>
      <c r="Y43" t="e">
        <f>'SurveyRpt_20150223 (1)'!U262+"h_l!$G&amp;"</f>
        <v>#VALUE!</v>
      </c>
      <c r="Z43" t="e">
        <f>'SurveyRpt_20150223 (1)'!V262+"h_l!$G'"</f>
        <v>#VALUE!</v>
      </c>
      <c r="AA43" t="e">
        <f>'SurveyRpt_20150223 (1)'!W262+"h_l!$G("</f>
        <v>#VALUE!</v>
      </c>
      <c r="AB43" t="e">
        <f>'SurveyRpt_20150223 (1)'!X262+"h_l!$G)"</f>
        <v>#VALUE!</v>
      </c>
      <c r="AC43" t="e">
        <f>'SurveyRpt_20150223 (1)'!Y262+"h_l!$G."</f>
        <v>#VALUE!</v>
      </c>
      <c r="AD43" t="e">
        <f>'SurveyRpt_20150223 (1)'!Z262+"h_l!$G/"</f>
        <v>#VALUE!</v>
      </c>
      <c r="AE43" t="e">
        <f>'SurveyRpt_20150223 (1)'!AA262+"h_l!$G0"</f>
        <v>#VALUE!</v>
      </c>
      <c r="AF43" t="e">
        <f>'SurveyRpt_20150223 (1)'!AB262+"h_l!$G1"</f>
        <v>#VALUE!</v>
      </c>
      <c r="AG43" t="e">
        <f>'SurveyRpt_20150223 (1)'!AC262+"h_l!$G2"</f>
        <v>#VALUE!</v>
      </c>
      <c r="AH43" t="e">
        <f>'SurveyRpt_20150223 (1)'!AD262+"h_l!$G3"</f>
        <v>#VALUE!</v>
      </c>
      <c r="AI43" t="e">
        <f>'SurveyRpt_20150223 (1)'!AE262+"h_l!$G4"</f>
        <v>#VALUE!</v>
      </c>
      <c r="AJ43" t="e">
        <f>'SurveyRpt_20150223 (1)'!AF262+"h_l!$G5"</f>
        <v>#VALUE!</v>
      </c>
      <c r="AK43" t="e">
        <f>'SurveyRpt_20150223 (1)'!AG262+"h_l!$G6"</f>
        <v>#VALUE!</v>
      </c>
      <c r="AL43" t="e">
        <f>'SurveyRpt_20150223 (1)'!AH262+"h_l!$G7"</f>
        <v>#VALUE!</v>
      </c>
      <c r="AM43" t="e">
        <f>'SurveyRpt_20150223 (1)'!AI262+"h_l!$G8"</f>
        <v>#VALUE!</v>
      </c>
      <c r="AN43" t="e">
        <f>'SurveyRpt_20150223 (1)'!AJ262+"h_l!$G9"</f>
        <v>#VALUE!</v>
      </c>
      <c r="AO43" t="e">
        <f>'SurveyRpt_20150223 (1)'!AK262+"h_l!$G:"</f>
        <v>#VALUE!</v>
      </c>
      <c r="AP43" t="e">
        <f>'SurveyRpt_20150223 (1)'!AL262+"h_l!$G;"</f>
        <v>#VALUE!</v>
      </c>
      <c r="AQ43" t="e">
        <f>'SurveyRpt_20150223 (1)'!AM262+"h_l!$G&lt;"</f>
        <v>#VALUE!</v>
      </c>
      <c r="AR43" t="e">
        <f>'SurveyRpt_20150223 (1)'!AN262+"h_l!$G="</f>
        <v>#VALUE!</v>
      </c>
      <c r="AS43" t="e">
        <f>'SurveyRpt_20150223 (1)'!A263+"h_l!$G&gt;"</f>
        <v>#VALUE!</v>
      </c>
      <c r="AT43" s="25" t="e">
        <f>'SurveyRpt_20150223 (1)'!B263+"h_l!$G?"</f>
        <v>#VALUE!</v>
      </c>
      <c r="AU43" t="e">
        <f>'SurveyRpt_20150223 (1)'!C263+"h_l!$G@"</f>
        <v>#VALUE!</v>
      </c>
      <c r="AV43" s="25" t="e">
        <f>'SurveyRpt_20150223 (1)'!D263+"h_l!$GA"</f>
        <v>#VALUE!</v>
      </c>
      <c r="AW43" t="e">
        <f>'SurveyRpt_20150223 (1)'!E263+"h_l!$GB"</f>
        <v>#VALUE!</v>
      </c>
      <c r="AX43" t="e">
        <f>'SurveyRpt_20150223 (1)'!F263+"h_l!$GC"</f>
        <v>#VALUE!</v>
      </c>
      <c r="AY43" t="e">
        <f>'SurveyRpt_20150223 (1)'!G263+"h_l!$GD"</f>
        <v>#VALUE!</v>
      </c>
      <c r="AZ43" t="e">
        <f>'SurveyRpt_20150223 (1)'!H263+"h_l!$GE"</f>
        <v>#VALUE!</v>
      </c>
      <c r="BA43" t="e">
        <f>'SurveyRpt_20150223 (1)'!I263+"h_l!$GF"</f>
        <v>#VALUE!</v>
      </c>
      <c r="BB43" t="e">
        <f>'SurveyRpt_20150223 (1)'!J263+"h_l!$GG"</f>
        <v>#VALUE!</v>
      </c>
      <c r="BC43" t="e">
        <f>'SurveyRpt_20150223 (1)'!K263+"h_l!$GH"</f>
        <v>#VALUE!</v>
      </c>
      <c r="BD43" t="e">
        <f>'SurveyRpt_20150223 (1)'!L263+"h_l!$GI"</f>
        <v>#VALUE!</v>
      </c>
      <c r="BE43" t="e">
        <f>'SurveyRpt_20150223 (1)'!M263+"h_l!$GJ"</f>
        <v>#VALUE!</v>
      </c>
      <c r="BF43" t="e">
        <f>'SurveyRpt_20150223 (1)'!N263+"h_l!$GK"</f>
        <v>#VALUE!</v>
      </c>
      <c r="BG43" t="e">
        <f>'SurveyRpt_20150223 (1)'!O263+"h_l!$GL"</f>
        <v>#VALUE!</v>
      </c>
      <c r="BH43" t="e">
        <f>'SurveyRpt_20150223 (1)'!P263+"h_l!$GM"</f>
        <v>#VALUE!</v>
      </c>
      <c r="BI43" t="e">
        <f>'SurveyRpt_20150223 (1)'!Q263+"h_l!$GN"</f>
        <v>#VALUE!</v>
      </c>
      <c r="BJ43" t="e">
        <f>'SurveyRpt_20150223 (1)'!R263+"h_l!$GO"</f>
        <v>#VALUE!</v>
      </c>
      <c r="BK43" t="e">
        <f>'SurveyRpt_20150223 (1)'!S263+"h_l!$GP"</f>
        <v>#VALUE!</v>
      </c>
      <c r="BL43" t="e">
        <f>'SurveyRpt_20150223 (1)'!T263+"h_l!$GQ"</f>
        <v>#VALUE!</v>
      </c>
      <c r="BM43" t="e">
        <f>'SurveyRpt_20150223 (1)'!U263+"h_l!$GR"</f>
        <v>#VALUE!</v>
      </c>
      <c r="BN43" t="e">
        <f>'SurveyRpt_20150223 (1)'!V263+"h_l!$GS"</f>
        <v>#VALUE!</v>
      </c>
      <c r="BO43" t="e">
        <f>'SurveyRpt_20150223 (1)'!W263+"h_l!$GT"</f>
        <v>#VALUE!</v>
      </c>
      <c r="BP43" t="e">
        <f>'SurveyRpt_20150223 (1)'!X263+"h_l!$GU"</f>
        <v>#VALUE!</v>
      </c>
      <c r="BQ43" t="e">
        <f>'SurveyRpt_20150223 (1)'!Y263+"h_l!$GV"</f>
        <v>#VALUE!</v>
      </c>
      <c r="BR43" t="e">
        <f>'SurveyRpt_20150223 (1)'!Z263+"h_l!$GW"</f>
        <v>#VALUE!</v>
      </c>
      <c r="BS43" t="e">
        <f>'SurveyRpt_20150223 (1)'!AA263+"h_l!$GX"</f>
        <v>#VALUE!</v>
      </c>
      <c r="BT43" t="e">
        <f>'SurveyRpt_20150223 (1)'!AB263+"h_l!$GY"</f>
        <v>#VALUE!</v>
      </c>
      <c r="BU43" t="e">
        <f>'SurveyRpt_20150223 (1)'!AC263+"h_l!$GZ"</f>
        <v>#VALUE!</v>
      </c>
      <c r="BV43" t="e">
        <f>'SurveyRpt_20150223 (1)'!AD263+"h_l!$G["</f>
        <v>#VALUE!</v>
      </c>
      <c r="BW43" t="e">
        <f>'SurveyRpt_20150223 (1)'!AE263+"h_l!$G\"</f>
        <v>#VALUE!</v>
      </c>
      <c r="BX43" t="e">
        <f>'SurveyRpt_20150223 (1)'!AF263+"h_l!$G]"</f>
        <v>#VALUE!</v>
      </c>
      <c r="BY43" t="e">
        <f>'SurveyRpt_20150223 (1)'!AG263+"h_l!$G^"</f>
        <v>#VALUE!</v>
      </c>
      <c r="BZ43" t="e">
        <f>'SurveyRpt_20150223 (1)'!AH263+"h_l!$G_"</f>
        <v>#VALUE!</v>
      </c>
      <c r="CA43" t="e">
        <f>'SurveyRpt_20150223 (1)'!AI263+"h_l!$G`"</f>
        <v>#VALUE!</v>
      </c>
      <c r="CB43" t="e">
        <f>'SurveyRpt_20150223 (1)'!AJ263+"h_l!$Ga"</f>
        <v>#VALUE!</v>
      </c>
      <c r="CC43" t="e">
        <f>'SurveyRpt_20150223 (1)'!AK263+"h_l!$Gb"</f>
        <v>#VALUE!</v>
      </c>
      <c r="CD43" t="e">
        <f>'SurveyRpt_20150223 (1)'!AL263+"h_l!$Gc"</f>
        <v>#VALUE!</v>
      </c>
      <c r="CE43" t="e">
        <f>'SurveyRpt_20150223 (1)'!AM263+"h_l!$Gd"</f>
        <v>#VALUE!</v>
      </c>
      <c r="CF43" t="e">
        <f>'SurveyRpt_20150223 (1)'!AN263+"h_l!$Ge"</f>
        <v>#VALUE!</v>
      </c>
      <c r="CG43" t="e">
        <f>'SurveyRpt_20150223 (1)'!A264+"h_l!$Gf"</f>
        <v>#VALUE!</v>
      </c>
      <c r="CH43" s="25" t="e">
        <f>'SurveyRpt_20150223 (1)'!B264+"h_l!$Gg"</f>
        <v>#VALUE!</v>
      </c>
      <c r="CI43" t="e">
        <f>'SurveyRpt_20150223 (1)'!C264+"h_l!$Gh"</f>
        <v>#VALUE!</v>
      </c>
      <c r="CJ43" s="25" t="e">
        <f>'SurveyRpt_20150223 (1)'!D264+"h_l!$Gi"</f>
        <v>#VALUE!</v>
      </c>
      <c r="CK43" t="e">
        <f>'SurveyRpt_20150223 (1)'!E264+"h_l!$Gj"</f>
        <v>#VALUE!</v>
      </c>
      <c r="CL43" t="e">
        <f>'SurveyRpt_20150223 (1)'!F264+"h_l!$Gk"</f>
        <v>#VALUE!</v>
      </c>
      <c r="CM43" t="e">
        <f>'SurveyRpt_20150223 (1)'!G264+"h_l!$Gl"</f>
        <v>#VALUE!</v>
      </c>
      <c r="CN43" t="e">
        <f>'SurveyRpt_20150223 (1)'!H264+"h_l!$Gm"</f>
        <v>#VALUE!</v>
      </c>
      <c r="CO43" t="e">
        <f>'SurveyRpt_20150223 (1)'!I264+"h_l!$Gn"</f>
        <v>#VALUE!</v>
      </c>
      <c r="CP43" t="e">
        <f>'SurveyRpt_20150223 (1)'!J264+"h_l!$Go"</f>
        <v>#VALUE!</v>
      </c>
      <c r="CQ43" t="e">
        <f>'SurveyRpt_20150223 (1)'!K264+"h_l!$Gp"</f>
        <v>#VALUE!</v>
      </c>
      <c r="CR43" t="e">
        <f>'SurveyRpt_20150223 (1)'!L264+"h_l!$Gq"</f>
        <v>#VALUE!</v>
      </c>
      <c r="CS43" t="e">
        <f>'SurveyRpt_20150223 (1)'!M264+"h_l!$Gr"</f>
        <v>#VALUE!</v>
      </c>
      <c r="CT43" t="e">
        <f>'SurveyRpt_20150223 (1)'!N264+"h_l!$Gs"</f>
        <v>#VALUE!</v>
      </c>
      <c r="CU43" t="e">
        <f>'SurveyRpt_20150223 (1)'!O264+"h_l!$Gt"</f>
        <v>#VALUE!</v>
      </c>
      <c r="CV43" t="e">
        <f>'SurveyRpt_20150223 (1)'!P264+"h_l!$Gu"</f>
        <v>#VALUE!</v>
      </c>
      <c r="CW43" t="e">
        <f>'SurveyRpt_20150223 (1)'!Q264+"h_l!$Gv"</f>
        <v>#VALUE!</v>
      </c>
      <c r="CX43" t="e">
        <f>'SurveyRpt_20150223 (1)'!R264+"h_l!$Gw"</f>
        <v>#VALUE!</v>
      </c>
      <c r="CY43" t="e">
        <f>'SurveyRpt_20150223 (1)'!S264+"h_l!$Gx"</f>
        <v>#VALUE!</v>
      </c>
      <c r="CZ43" t="e">
        <f>'SurveyRpt_20150223 (1)'!T264+"h_l!$Gy"</f>
        <v>#VALUE!</v>
      </c>
      <c r="DA43" t="e">
        <f>'SurveyRpt_20150223 (1)'!U264+"h_l!$Gz"</f>
        <v>#VALUE!</v>
      </c>
      <c r="DB43" t="e">
        <f>'SurveyRpt_20150223 (1)'!V264+"h_l!$G{"</f>
        <v>#VALUE!</v>
      </c>
      <c r="DC43" t="e">
        <f>'SurveyRpt_20150223 (1)'!W264+"h_l!$G|"</f>
        <v>#VALUE!</v>
      </c>
      <c r="DD43" t="e">
        <f>'SurveyRpt_20150223 (1)'!X264+"h_l!$G}"</f>
        <v>#VALUE!</v>
      </c>
      <c r="DE43" t="e">
        <f>'SurveyRpt_20150223 (1)'!Y264+"h_l!$G~"</f>
        <v>#VALUE!</v>
      </c>
      <c r="DF43" t="e">
        <f>'SurveyRpt_20150223 (1)'!Z264+"h_l!$H#"</f>
        <v>#VALUE!</v>
      </c>
      <c r="DG43" t="e">
        <f>'SurveyRpt_20150223 (1)'!AA264+"h_l!$H$"</f>
        <v>#VALUE!</v>
      </c>
      <c r="DH43" t="e">
        <f>'SurveyRpt_20150223 (1)'!AB264+"h_l!$H%"</f>
        <v>#VALUE!</v>
      </c>
      <c r="DI43" t="e">
        <f>'SurveyRpt_20150223 (1)'!AC264+"h_l!$H&amp;"</f>
        <v>#VALUE!</v>
      </c>
      <c r="DJ43" t="e">
        <f>'SurveyRpt_20150223 (1)'!AD264+"h_l!$H'"</f>
        <v>#VALUE!</v>
      </c>
      <c r="DK43" t="e">
        <f>'SurveyRpt_20150223 (1)'!AE264+"h_l!$H("</f>
        <v>#VALUE!</v>
      </c>
      <c r="DL43" t="e">
        <f>'SurveyRpt_20150223 (1)'!AF264+"h_l!$H)"</f>
        <v>#VALUE!</v>
      </c>
      <c r="DM43" t="e">
        <f>'SurveyRpt_20150223 (1)'!AG264+"h_l!$H."</f>
        <v>#VALUE!</v>
      </c>
      <c r="DN43" t="e">
        <f>'SurveyRpt_20150223 (1)'!AH264+"h_l!$H/"</f>
        <v>#VALUE!</v>
      </c>
      <c r="DO43" t="e">
        <f>'SurveyRpt_20150223 (1)'!AI264+"h_l!$H0"</f>
        <v>#VALUE!</v>
      </c>
      <c r="DP43" t="e">
        <f>'SurveyRpt_20150223 (1)'!AJ264+"h_l!$H1"</f>
        <v>#VALUE!</v>
      </c>
      <c r="DQ43" t="e">
        <f>'SurveyRpt_20150223 (1)'!AK264+"h_l!$H2"</f>
        <v>#VALUE!</v>
      </c>
      <c r="DR43" t="e">
        <f>'SurveyRpt_20150223 (1)'!AL264+"h_l!$H3"</f>
        <v>#VALUE!</v>
      </c>
      <c r="DS43" t="e">
        <f>'SurveyRpt_20150223 (1)'!AM264+"h_l!$H4"</f>
        <v>#VALUE!</v>
      </c>
      <c r="DT43" t="e">
        <f>'SurveyRpt_20150223 (1)'!AN264+"h_l!$H5"</f>
        <v>#VALUE!</v>
      </c>
      <c r="DU43" t="e">
        <f>'SurveyRpt_20150223 (1)'!A265+"h_l!$H6"</f>
        <v>#VALUE!</v>
      </c>
      <c r="DV43" s="25" t="e">
        <f>'SurveyRpt_20150223 (1)'!B265+"h_l!$H7"</f>
        <v>#VALUE!</v>
      </c>
      <c r="DW43" t="e">
        <f>'SurveyRpt_20150223 (1)'!C265+"h_l!$H8"</f>
        <v>#VALUE!</v>
      </c>
      <c r="DX43" s="25" t="e">
        <f>'SurveyRpt_20150223 (1)'!D265+"h_l!$H9"</f>
        <v>#VALUE!</v>
      </c>
      <c r="DY43" t="e">
        <f>'SurveyRpt_20150223 (1)'!E265+"h_l!$H:"</f>
        <v>#VALUE!</v>
      </c>
      <c r="DZ43" t="e">
        <f>'SurveyRpt_20150223 (1)'!F265+"h_l!$H;"</f>
        <v>#VALUE!</v>
      </c>
      <c r="EA43" t="e">
        <f>'SurveyRpt_20150223 (1)'!G265+"h_l!$H&lt;"</f>
        <v>#VALUE!</v>
      </c>
      <c r="EB43" t="e">
        <f>'SurveyRpt_20150223 (1)'!H265+"h_l!$H="</f>
        <v>#VALUE!</v>
      </c>
      <c r="EC43" t="e">
        <f>'SurveyRpt_20150223 (1)'!I265+"h_l!$H&gt;"</f>
        <v>#VALUE!</v>
      </c>
      <c r="ED43" t="e">
        <f>'SurveyRpt_20150223 (1)'!J265+"h_l!$H?"</f>
        <v>#VALUE!</v>
      </c>
      <c r="EE43" t="e">
        <f>'SurveyRpt_20150223 (1)'!K265+"h_l!$H@"</f>
        <v>#VALUE!</v>
      </c>
      <c r="EF43" t="e">
        <f>'SurveyRpt_20150223 (1)'!L265+"h_l!$HA"</f>
        <v>#VALUE!</v>
      </c>
      <c r="EG43" t="e">
        <f>'SurveyRpt_20150223 (1)'!M265+"h_l!$HB"</f>
        <v>#VALUE!</v>
      </c>
      <c r="EH43" t="e">
        <f>'SurveyRpt_20150223 (1)'!N265+"h_l!$HC"</f>
        <v>#VALUE!</v>
      </c>
      <c r="EI43" t="e">
        <f>'SurveyRpt_20150223 (1)'!O265+"h_l!$HD"</f>
        <v>#VALUE!</v>
      </c>
      <c r="EJ43" t="e">
        <f>'SurveyRpt_20150223 (1)'!P265+"h_l!$HE"</f>
        <v>#VALUE!</v>
      </c>
      <c r="EK43" t="e">
        <f>'SurveyRpt_20150223 (1)'!Q265+"h_l!$HF"</f>
        <v>#VALUE!</v>
      </c>
      <c r="EL43" t="e">
        <f>'SurveyRpt_20150223 (1)'!R265+"h_l!$HG"</f>
        <v>#VALUE!</v>
      </c>
      <c r="EM43" t="e">
        <f>'SurveyRpt_20150223 (1)'!S265+"h_l!$HH"</f>
        <v>#VALUE!</v>
      </c>
      <c r="EN43" t="e">
        <f>'SurveyRpt_20150223 (1)'!T265+"h_l!$HI"</f>
        <v>#VALUE!</v>
      </c>
      <c r="EO43" t="e">
        <f>'SurveyRpt_20150223 (1)'!U265+"h_l!$HJ"</f>
        <v>#VALUE!</v>
      </c>
      <c r="EP43" t="e">
        <f>'SurveyRpt_20150223 (1)'!V265+"h_l!$HK"</f>
        <v>#VALUE!</v>
      </c>
      <c r="EQ43" t="e">
        <f>'SurveyRpt_20150223 (1)'!W265+"h_l!$HL"</f>
        <v>#VALUE!</v>
      </c>
      <c r="ER43" t="e">
        <f>'SurveyRpt_20150223 (1)'!X265+"h_l!$HM"</f>
        <v>#VALUE!</v>
      </c>
      <c r="ES43" t="e">
        <f>'SurveyRpt_20150223 (1)'!Y265+"h_l!$HN"</f>
        <v>#VALUE!</v>
      </c>
      <c r="ET43" t="e">
        <f>'SurveyRpt_20150223 (1)'!Z265+"h_l!$HO"</f>
        <v>#VALUE!</v>
      </c>
      <c r="EU43" t="e">
        <f>'SurveyRpt_20150223 (1)'!AA265+"h_l!$HP"</f>
        <v>#VALUE!</v>
      </c>
      <c r="EV43" t="e">
        <f>'SurveyRpt_20150223 (1)'!AB265+"h_l!$HQ"</f>
        <v>#VALUE!</v>
      </c>
      <c r="EW43" t="e">
        <f>'SurveyRpt_20150223 (1)'!AC265+"h_l!$HR"</f>
        <v>#VALUE!</v>
      </c>
      <c r="EX43" t="e">
        <f>'SurveyRpt_20150223 (1)'!AD265+"h_l!$HS"</f>
        <v>#VALUE!</v>
      </c>
      <c r="EY43" t="e">
        <f>'SurveyRpt_20150223 (1)'!AE265+"h_l!$HT"</f>
        <v>#VALUE!</v>
      </c>
      <c r="EZ43" t="e">
        <f>'SurveyRpt_20150223 (1)'!AF265+"h_l!$HU"</f>
        <v>#VALUE!</v>
      </c>
      <c r="FA43" t="e">
        <f>'SurveyRpt_20150223 (1)'!AG265+"h_l!$HV"</f>
        <v>#VALUE!</v>
      </c>
      <c r="FB43" t="e">
        <f>'SurveyRpt_20150223 (1)'!AH265+"h_l!$HW"</f>
        <v>#VALUE!</v>
      </c>
      <c r="FC43" t="e">
        <f>'SurveyRpt_20150223 (1)'!AI265+"h_l!$HX"</f>
        <v>#VALUE!</v>
      </c>
      <c r="FD43" t="e">
        <f>'SurveyRpt_20150223 (1)'!AJ265+"h_l!$HY"</f>
        <v>#VALUE!</v>
      </c>
      <c r="FE43" t="e">
        <f>'SurveyRpt_20150223 (1)'!AK265+"h_l!$HZ"</f>
        <v>#VALUE!</v>
      </c>
      <c r="FF43" t="e">
        <f>'SurveyRpt_20150223 (1)'!AL265+"h_l!$H["</f>
        <v>#VALUE!</v>
      </c>
      <c r="FG43" t="e">
        <f>'SurveyRpt_20150223 (1)'!AM265+"h_l!$H\"</f>
        <v>#VALUE!</v>
      </c>
      <c r="FH43" t="e">
        <f>'SurveyRpt_20150223 (1)'!AN265+"h_l!$H]"</f>
        <v>#VALUE!</v>
      </c>
      <c r="FI43" t="e">
        <f>'SurveyRpt_20150223 (1)'!A266+"h_l!$H^"</f>
        <v>#VALUE!</v>
      </c>
      <c r="FJ43" s="25" t="e">
        <f>'SurveyRpt_20150223 (1)'!B266+"h_l!$H_"</f>
        <v>#VALUE!</v>
      </c>
      <c r="FK43" t="e">
        <f>'SurveyRpt_20150223 (1)'!C266+"h_l!$H`"</f>
        <v>#VALUE!</v>
      </c>
      <c r="FL43" s="25" t="e">
        <f>'SurveyRpt_20150223 (1)'!D266+"h_l!$Ha"</f>
        <v>#VALUE!</v>
      </c>
      <c r="FM43" t="e">
        <f>'SurveyRpt_20150223 (1)'!E266+"h_l!$Hb"</f>
        <v>#VALUE!</v>
      </c>
      <c r="FN43" t="e">
        <f>'SurveyRpt_20150223 (1)'!F266+"h_l!$Hc"</f>
        <v>#VALUE!</v>
      </c>
      <c r="FO43" t="e">
        <f>'SurveyRpt_20150223 (1)'!G266+"h_l!$Hd"</f>
        <v>#VALUE!</v>
      </c>
      <c r="FP43" t="e">
        <f>'SurveyRpt_20150223 (1)'!H266+"h_l!$He"</f>
        <v>#VALUE!</v>
      </c>
      <c r="FQ43" t="e">
        <f>'SurveyRpt_20150223 (1)'!I266+"h_l!$Hf"</f>
        <v>#VALUE!</v>
      </c>
      <c r="FR43" t="e">
        <f>'SurveyRpt_20150223 (1)'!J266+"h_l!$Hg"</f>
        <v>#VALUE!</v>
      </c>
      <c r="FS43" t="e">
        <f>'SurveyRpt_20150223 (1)'!K266+"h_l!$Hh"</f>
        <v>#VALUE!</v>
      </c>
      <c r="FT43" t="e">
        <f>'SurveyRpt_20150223 (1)'!L266+"h_l!$Hi"</f>
        <v>#VALUE!</v>
      </c>
      <c r="FU43" t="e">
        <f>'SurveyRpt_20150223 (1)'!M266+"h_l!$Hj"</f>
        <v>#VALUE!</v>
      </c>
      <c r="FV43" t="e">
        <f>'SurveyRpt_20150223 (1)'!N266+"h_l!$Hk"</f>
        <v>#VALUE!</v>
      </c>
      <c r="FW43" t="e">
        <f>'SurveyRpt_20150223 (1)'!O266+"h_l!$Hl"</f>
        <v>#VALUE!</v>
      </c>
      <c r="FX43" t="e">
        <f>'SurveyRpt_20150223 (1)'!P266+"h_l!$Hm"</f>
        <v>#VALUE!</v>
      </c>
      <c r="FY43" t="e">
        <f>'SurveyRpt_20150223 (1)'!Q266+"h_l!$Hn"</f>
        <v>#VALUE!</v>
      </c>
      <c r="FZ43" t="e">
        <f>'SurveyRpt_20150223 (1)'!R266+"h_l!$Ho"</f>
        <v>#VALUE!</v>
      </c>
      <c r="GA43" t="e">
        <f>'SurveyRpt_20150223 (1)'!S266+"h_l!$Hp"</f>
        <v>#VALUE!</v>
      </c>
      <c r="GB43" t="e">
        <f>'SurveyRpt_20150223 (1)'!T266+"h_l!$Hq"</f>
        <v>#VALUE!</v>
      </c>
      <c r="GC43" t="e">
        <f>'SurveyRpt_20150223 (1)'!U266+"h_l!$Hr"</f>
        <v>#VALUE!</v>
      </c>
      <c r="GD43" t="e">
        <f>'SurveyRpt_20150223 (1)'!V266+"h_l!$Hs"</f>
        <v>#VALUE!</v>
      </c>
      <c r="GE43" t="e">
        <f>'SurveyRpt_20150223 (1)'!W266+"h_l!$Ht"</f>
        <v>#VALUE!</v>
      </c>
      <c r="GF43" t="e">
        <f>'SurveyRpt_20150223 (1)'!X266+"h_l!$Hu"</f>
        <v>#VALUE!</v>
      </c>
      <c r="GG43" t="e">
        <f>'SurveyRpt_20150223 (1)'!Y266+"h_l!$Hv"</f>
        <v>#VALUE!</v>
      </c>
      <c r="GH43" t="e">
        <f>'SurveyRpt_20150223 (1)'!Z266+"h_l!$Hw"</f>
        <v>#VALUE!</v>
      </c>
      <c r="GI43" t="e">
        <f>'SurveyRpt_20150223 (1)'!AA266+"h_l!$Hx"</f>
        <v>#VALUE!</v>
      </c>
      <c r="GJ43" t="e">
        <f>'SurveyRpt_20150223 (1)'!AB266+"h_l!$Hy"</f>
        <v>#VALUE!</v>
      </c>
      <c r="GK43" t="e">
        <f>'SurveyRpt_20150223 (1)'!AC266+"h_l!$Hz"</f>
        <v>#VALUE!</v>
      </c>
      <c r="GL43" t="e">
        <f>'SurveyRpt_20150223 (1)'!AD266+"h_l!$H{"</f>
        <v>#VALUE!</v>
      </c>
      <c r="GM43" t="e">
        <f>'SurveyRpt_20150223 (1)'!AE266+"h_l!$H|"</f>
        <v>#VALUE!</v>
      </c>
      <c r="GN43" t="e">
        <f>'SurveyRpt_20150223 (1)'!AF266+"h_l!$H}"</f>
        <v>#VALUE!</v>
      </c>
      <c r="GO43" t="e">
        <f>'SurveyRpt_20150223 (1)'!AG266+"h_l!$H~"</f>
        <v>#VALUE!</v>
      </c>
      <c r="GP43" t="e">
        <f>'SurveyRpt_20150223 (1)'!AH266+"h_l!$I#"</f>
        <v>#VALUE!</v>
      </c>
      <c r="GQ43" t="e">
        <f>'SurveyRpt_20150223 (1)'!AI266+"h_l!$I$"</f>
        <v>#VALUE!</v>
      </c>
      <c r="GR43" t="e">
        <f>'SurveyRpt_20150223 (1)'!AJ266+"h_l!$I%"</f>
        <v>#VALUE!</v>
      </c>
      <c r="GS43" t="e">
        <f>'SurveyRpt_20150223 (1)'!AK266+"h_l!$I&amp;"</f>
        <v>#VALUE!</v>
      </c>
      <c r="GT43" t="e">
        <f>'SurveyRpt_20150223 (1)'!AL266+"h_l!$I'"</f>
        <v>#VALUE!</v>
      </c>
      <c r="GU43" t="e">
        <f>'SurveyRpt_20150223 (1)'!AM266+"h_l!$I("</f>
        <v>#VALUE!</v>
      </c>
      <c r="GV43" t="e">
        <f>'SurveyRpt_20150223 (1)'!AN266+"h_l!$I)"</f>
        <v>#VALUE!</v>
      </c>
      <c r="GW43" t="e">
        <f>'SurveyRpt_20150223 (1)'!A267+"h_l!$I."</f>
        <v>#VALUE!</v>
      </c>
      <c r="GX43" s="25" t="e">
        <f>'SurveyRpt_20150223 (1)'!B267+"h_l!$I/"</f>
        <v>#VALUE!</v>
      </c>
      <c r="GY43" t="e">
        <f>'SurveyRpt_20150223 (1)'!C267+"h_l!$I0"</f>
        <v>#VALUE!</v>
      </c>
      <c r="GZ43" s="25" t="e">
        <f>'SurveyRpt_20150223 (1)'!D267+"h_l!$I1"</f>
        <v>#VALUE!</v>
      </c>
      <c r="HA43" t="e">
        <f>'SurveyRpt_20150223 (1)'!E267+"h_l!$I2"</f>
        <v>#VALUE!</v>
      </c>
      <c r="HB43" t="e">
        <f>'SurveyRpt_20150223 (1)'!F267+"h_l!$I3"</f>
        <v>#VALUE!</v>
      </c>
      <c r="HC43" t="e">
        <f>'SurveyRpt_20150223 (1)'!G267+"h_l!$I4"</f>
        <v>#VALUE!</v>
      </c>
      <c r="HD43" t="e">
        <f>'SurveyRpt_20150223 (1)'!H267+"h_l!$I5"</f>
        <v>#VALUE!</v>
      </c>
      <c r="HE43" t="e">
        <f>'SurveyRpt_20150223 (1)'!I267+"h_l!$I6"</f>
        <v>#VALUE!</v>
      </c>
      <c r="HF43" t="e">
        <f>'SurveyRpt_20150223 (1)'!J267+"h_l!$I7"</f>
        <v>#VALUE!</v>
      </c>
      <c r="HG43" t="e">
        <f>'SurveyRpt_20150223 (1)'!K267+"h_l!$I8"</f>
        <v>#VALUE!</v>
      </c>
      <c r="HH43" t="e">
        <f>'SurveyRpt_20150223 (1)'!L267+"h_l!$I9"</f>
        <v>#VALUE!</v>
      </c>
      <c r="HI43" t="e">
        <f>'SurveyRpt_20150223 (1)'!M267+"h_l!$I:"</f>
        <v>#VALUE!</v>
      </c>
      <c r="HJ43" t="e">
        <f>'SurveyRpt_20150223 (1)'!N267+"h_l!$I;"</f>
        <v>#VALUE!</v>
      </c>
      <c r="HK43" t="e">
        <f>'SurveyRpt_20150223 (1)'!O267+"h_l!$I&lt;"</f>
        <v>#VALUE!</v>
      </c>
      <c r="HL43" t="e">
        <f>'SurveyRpt_20150223 (1)'!P267+"h_l!$I="</f>
        <v>#VALUE!</v>
      </c>
      <c r="HM43" t="e">
        <f>'SurveyRpt_20150223 (1)'!Q267+"h_l!$I&gt;"</f>
        <v>#VALUE!</v>
      </c>
      <c r="HN43" t="e">
        <f>'SurveyRpt_20150223 (1)'!R267+"h_l!$I?"</f>
        <v>#VALUE!</v>
      </c>
      <c r="HO43" t="e">
        <f>'SurveyRpt_20150223 (1)'!S267+"h_l!$I@"</f>
        <v>#VALUE!</v>
      </c>
      <c r="HP43" t="e">
        <f>'SurveyRpt_20150223 (1)'!T267+"h_l!$IA"</f>
        <v>#VALUE!</v>
      </c>
      <c r="HQ43" t="e">
        <f>'SurveyRpt_20150223 (1)'!U267+"h_l!$IB"</f>
        <v>#VALUE!</v>
      </c>
      <c r="HR43" t="e">
        <f>'SurveyRpt_20150223 (1)'!V267+"h_l!$IC"</f>
        <v>#VALUE!</v>
      </c>
      <c r="HS43" t="e">
        <f>'SurveyRpt_20150223 (1)'!W267+"h_l!$ID"</f>
        <v>#VALUE!</v>
      </c>
      <c r="HT43" t="e">
        <f>'SurveyRpt_20150223 (1)'!X267+"h_l!$IE"</f>
        <v>#VALUE!</v>
      </c>
      <c r="HU43" t="e">
        <f>'SurveyRpt_20150223 (1)'!Y267+"h_l!$IF"</f>
        <v>#VALUE!</v>
      </c>
      <c r="HV43" t="e">
        <f>'SurveyRpt_20150223 (1)'!Z267+"h_l!$IG"</f>
        <v>#VALUE!</v>
      </c>
      <c r="HW43" t="e">
        <f>'SurveyRpt_20150223 (1)'!AA267+"h_l!$IH"</f>
        <v>#VALUE!</v>
      </c>
      <c r="HX43" t="e">
        <f>'SurveyRpt_20150223 (1)'!AB267+"h_l!$II"</f>
        <v>#VALUE!</v>
      </c>
      <c r="HY43" t="e">
        <f>'SurveyRpt_20150223 (1)'!AC267+"h_l!$IJ"</f>
        <v>#VALUE!</v>
      </c>
      <c r="HZ43" t="e">
        <f>'SurveyRpt_20150223 (1)'!AD267+"h_l!$IK"</f>
        <v>#VALUE!</v>
      </c>
      <c r="IA43" t="e">
        <f>'SurveyRpt_20150223 (1)'!AE267+"h_l!$IL"</f>
        <v>#VALUE!</v>
      </c>
      <c r="IB43" t="e">
        <f>'SurveyRpt_20150223 (1)'!AF267+"h_l!$IM"</f>
        <v>#VALUE!</v>
      </c>
      <c r="IC43" t="e">
        <f>'SurveyRpt_20150223 (1)'!AG267+"h_l!$IN"</f>
        <v>#VALUE!</v>
      </c>
      <c r="ID43" t="e">
        <f>'SurveyRpt_20150223 (1)'!AH267+"h_l!$IO"</f>
        <v>#VALUE!</v>
      </c>
      <c r="IE43" t="e">
        <f>'SurveyRpt_20150223 (1)'!AI267+"h_l!$IP"</f>
        <v>#VALUE!</v>
      </c>
      <c r="IF43" t="e">
        <f>'SurveyRpt_20150223 (1)'!AJ267+"h_l!$IQ"</f>
        <v>#VALUE!</v>
      </c>
      <c r="IG43" t="e">
        <f>'SurveyRpt_20150223 (1)'!AK267+"h_l!$IR"</f>
        <v>#VALUE!</v>
      </c>
      <c r="IH43" t="e">
        <f>'SurveyRpt_20150223 (1)'!AL267+"h_l!$IS"</f>
        <v>#VALUE!</v>
      </c>
      <c r="II43" t="e">
        <f>'SurveyRpt_20150223 (1)'!AM267+"h_l!$IT"</f>
        <v>#VALUE!</v>
      </c>
      <c r="IJ43" t="e">
        <f>'SurveyRpt_20150223 (1)'!AN267+"h_l!$IU"</f>
        <v>#VALUE!</v>
      </c>
      <c r="IK43" t="e">
        <f>'SurveyRpt_20150223 (1)'!A268+"h_l!$IV"</f>
        <v>#VALUE!</v>
      </c>
      <c r="IL43" s="25" t="e">
        <f>'SurveyRpt_20150223 (1)'!B268+"h_l!$IW"</f>
        <v>#VALUE!</v>
      </c>
      <c r="IM43" t="e">
        <f>'SurveyRpt_20150223 (1)'!C268+"h_l!$IX"</f>
        <v>#VALUE!</v>
      </c>
      <c r="IN43" s="25" t="e">
        <f>'SurveyRpt_20150223 (1)'!D268+"h_l!$IY"</f>
        <v>#VALUE!</v>
      </c>
      <c r="IO43" t="e">
        <f>'SurveyRpt_20150223 (1)'!E268+"h_l!$IZ"</f>
        <v>#VALUE!</v>
      </c>
      <c r="IP43" t="e">
        <f>'SurveyRpt_20150223 (1)'!F268+"h_l!$I["</f>
        <v>#VALUE!</v>
      </c>
      <c r="IQ43" t="e">
        <f>'SurveyRpt_20150223 (1)'!G268+"h_l!$I\"</f>
        <v>#VALUE!</v>
      </c>
      <c r="IR43" t="e">
        <f>'SurveyRpt_20150223 (1)'!H268+"h_l!$I]"</f>
        <v>#VALUE!</v>
      </c>
      <c r="IS43" t="e">
        <f>'SurveyRpt_20150223 (1)'!I268+"h_l!$I^"</f>
        <v>#VALUE!</v>
      </c>
      <c r="IT43" t="e">
        <f>'SurveyRpt_20150223 (1)'!J268+"h_l!$I_"</f>
        <v>#VALUE!</v>
      </c>
      <c r="IU43" t="e">
        <f>'SurveyRpt_20150223 (1)'!K268+"h_l!$I`"</f>
        <v>#VALUE!</v>
      </c>
      <c r="IV43" t="e">
        <f>'SurveyRpt_20150223 (1)'!L268+"h_l!$Ia"</f>
        <v>#VALUE!</v>
      </c>
    </row>
    <row r="44" spans="6:256" x14ac:dyDescent="0.25">
      <c r="F44" t="e">
        <f>'SurveyRpt_20150223 (1)'!M268+"h_l!$Ib"</f>
        <v>#VALUE!</v>
      </c>
      <c r="G44" t="e">
        <f>'SurveyRpt_20150223 (1)'!N268+"h_l!$Ic"</f>
        <v>#VALUE!</v>
      </c>
      <c r="H44" t="e">
        <f>'SurveyRpt_20150223 (1)'!O268+"h_l!$Id"</f>
        <v>#VALUE!</v>
      </c>
      <c r="I44" t="e">
        <f>'SurveyRpt_20150223 (1)'!P268+"h_l!$Ie"</f>
        <v>#VALUE!</v>
      </c>
      <c r="J44" t="e">
        <f>'SurveyRpt_20150223 (1)'!Q268+"h_l!$If"</f>
        <v>#VALUE!</v>
      </c>
      <c r="K44" t="e">
        <f>'SurveyRpt_20150223 (1)'!R268+"h_l!$Ig"</f>
        <v>#VALUE!</v>
      </c>
      <c r="L44" t="e">
        <f>'SurveyRpt_20150223 (1)'!S268+"h_l!$Ih"</f>
        <v>#VALUE!</v>
      </c>
      <c r="M44" t="e">
        <f>'SurveyRpt_20150223 (1)'!T268+"h_l!$Ii"</f>
        <v>#VALUE!</v>
      </c>
      <c r="N44" t="e">
        <f>'SurveyRpt_20150223 (1)'!U268+"h_l!$Ij"</f>
        <v>#VALUE!</v>
      </c>
      <c r="O44" t="e">
        <f>'SurveyRpt_20150223 (1)'!V268+"h_l!$Ik"</f>
        <v>#VALUE!</v>
      </c>
      <c r="P44" t="e">
        <f>'SurveyRpt_20150223 (1)'!W268+"h_l!$Il"</f>
        <v>#VALUE!</v>
      </c>
      <c r="Q44" t="e">
        <f>'SurveyRpt_20150223 (1)'!X268+"h_l!$Im"</f>
        <v>#VALUE!</v>
      </c>
      <c r="R44" t="e">
        <f>'SurveyRpt_20150223 (1)'!Y268+"h_l!$In"</f>
        <v>#VALUE!</v>
      </c>
      <c r="S44" t="e">
        <f>'SurveyRpt_20150223 (1)'!Z268+"h_l!$Io"</f>
        <v>#VALUE!</v>
      </c>
      <c r="T44" t="e">
        <f>'SurveyRpt_20150223 (1)'!AA268+"h_l!$Ip"</f>
        <v>#VALUE!</v>
      </c>
      <c r="U44" t="e">
        <f>'SurveyRpt_20150223 (1)'!AB268+"h_l!$Iq"</f>
        <v>#VALUE!</v>
      </c>
      <c r="V44" t="e">
        <f>'SurveyRpt_20150223 (1)'!AC268+"h_l!$Ir"</f>
        <v>#VALUE!</v>
      </c>
      <c r="W44" t="e">
        <f>'SurveyRpt_20150223 (1)'!AD268+"h_l!$Is"</f>
        <v>#VALUE!</v>
      </c>
      <c r="X44" t="e">
        <f>'SurveyRpt_20150223 (1)'!AE268+"h_l!$It"</f>
        <v>#VALUE!</v>
      </c>
      <c r="Y44" t="e">
        <f>'SurveyRpt_20150223 (1)'!AF268+"h_l!$Iu"</f>
        <v>#VALUE!</v>
      </c>
      <c r="Z44" t="e">
        <f>'SurveyRpt_20150223 (1)'!AG268+"h_l!$Iv"</f>
        <v>#VALUE!</v>
      </c>
      <c r="AA44" t="e">
        <f>'SurveyRpt_20150223 (1)'!AH268+"h_l!$Iw"</f>
        <v>#VALUE!</v>
      </c>
      <c r="AB44" t="e">
        <f>'SurveyRpt_20150223 (1)'!AI268+"h_l!$Ix"</f>
        <v>#VALUE!</v>
      </c>
      <c r="AC44" t="e">
        <f>'SurveyRpt_20150223 (1)'!AJ268+"h_l!$Iy"</f>
        <v>#VALUE!</v>
      </c>
      <c r="AD44" t="e">
        <f>'SurveyRpt_20150223 (1)'!AK268+"h_l!$Iz"</f>
        <v>#VALUE!</v>
      </c>
      <c r="AE44" t="e">
        <f>'SurveyRpt_20150223 (1)'!AL268+"h_l!$I{"</f>
        <v>#VALUE!</v>
      </c>
      <c r="AF44" t="e">
        <f>'SurveyRpt_20150223 (1)'!AM268+"h_l!$I|"</f>
        <v>#VALUE!</v>
      </c>
      <c r="AG44" t="e">
        <f>'SurveyRpt_20150223 (1)'!AN268+"h_l!$I}"</f>
        <v>#VALUE!</v>
      </c>
      <c r="AH44" t="e">
        <f>'SurveyRpt_20150223 (1)'!A269+"h_l!$I~"</f>
        <v>#VALUE!</v>
      </c>
      <c r="AI44" s="25" t="e">
        <f>'SurveyRpt_20150223 (1)'!B269+"h_l!$J#"</f>
        <v>#VALUE!</v>
      </c>
      <c r="AJ44" t="e">
        <f>'SurveyRpt_20150223 (1)'!C269+"h_l!$J$"</f>
        <v>#VALUE!</v>
      </c>
      <c r="AK44" s="25" t="e">
        <f>'SurveyRpt_20150223 (1)'!D269+"h_l!$J%"</f>
        <v>#VALUE!</v>
      </c>
      <c r="AL44" t="e">
        <f>'SurveyRpt_20150223 (1)'!E269+"h_l!$J&amp;"</f>
        <v>#VALUE!</v>
      </c>
      <c r="AM44" t="e">
        <f>'SurveyRpt_20150223 (1)'!F269+"h_l!$J'"</f>
        <v>#VALUE!</v>
      </c>
      <c r="AN44" t="e">
        <f>'SurveyRpt_20150223 (1)'!G269+"h_l!$J("</f>
        <v>#VALUE!</v>
      </c>
      <c r="AO44" t="e">
        <f>'SurveyRpt_20150223 (1)'!H269+"h_l!$J)"</f>
        <v>#VALUE!</v>
      </c>
      <c r="AP44" t="e">
        <f>'SurveyRpt_20150223 (1)'!I269+"h_l!$J."</f>
        <v>#VALUE!</v>
      </c>
      <c r="AQ44" t="e">
        <f>'SurveyRpt_20150223 (1)'!J269+"h_l!$J/"</f>
        <v>#VALUE!</v>
      </c>
      <c r="AR44" t="e">
        <f>'SurveyRpt_20150223 (1)'!K269+"h_l!$J0"</f>
        <v>#VALUE!</v>
      </c>
      <c r="AS44" t="e">
        <f>'SurveyRpt_20150223 (1)'!L269+"h_l!$J1"</f>
        <v>#VALUE!</v>
      </c>
      <c r="AT44" t="e">
        <f>'SurveyRpt_20150223 (1)'!M269+"h_l!$J2"</f>
        <v>#VALUE!</v>
      </c>
      <c r="AU44" t="e">
        <f>'SurveyRpt_20150223 (1)'!N269+"h_l!$J3"</f>
        <v>#VALUE!</v>
      </c>
      <c r="AV44" t="e">
        <f>'SurveyRpt_20150223 (1)'!O269+"h_l!$J4"</f>
        <v>#VALUE!</v>
      </c>
      <c r="AW44" t="e">
        <f>'SurveyRpt_20150223 (1)'!P269+"h_l!$J5"</f>
        <v>#VALUE!</v>
      </c>
      <c r="AX44" t="e">
        <f>'SurveyRpt_20150223 (1)'!Q269+"h_l!$J6"</f>
        <v>#VALUE!</v>
      </c>
      <c r="AY44" t="e">
        <f>'SurveyRpt_20150223 (1)'!R269+"h_l!$J7"</f>
        <v>#VALUE!</v>
      </c>
      <c r="AZ44" t="e">
        <f>'SurveyRpt_20150223 (1)'!S269+"h_l!$J8"</f>
        <v>#VALUE!</v>
      </c>
      <c r="BA44" t="e">
        <f>'SurveyRpt_20150223 (1)'!T269+"h_l!$J9"</f>
        <v>#VALUE!</v>
      </c>
      <c r="BB44" t="e">
        <f>'SurveyRpt_20150223 (1)'!U269+"h_l!$J:"</f>
        <v>#VALUE!</v>
      </c>
      <c r="BC44" t="e">
        <f>'SurveyRpt_20150223 (1)'!V269+"h_l!$J;"</f>
        <v>#VALUE!</v>
      </c>
      <c r="BD44" t="e">
        <f>'SurveyRpt_20150223 (1)'!W269+"h_l!$J&lt;"</f>
        <v>#VALUE!</v>
      </c>
      <c r="BE44" t="e">
        <f>'SurveyRpt_20150223 (1)'!X269+"h_l!$J="</f>
        <v>#VALUE!</v>
      </c>
      <c r="BF44" t="e">
        <f>'SurveyRpt_20150223 (1)'!Y269+"h_l!$J&gt;"</f>
        <v>#VALUE!</v>
      </c>
      <c r="BG44" t="e">
        <f>'SurveyRpt_20150223 (1)'!Z269+"h_l!$J?"</f>
        <v>#VALUE!</v>
      </c>
      <c r="BH44" t="e">
        <f>'SurveyRpt_20150223 (1)'!AA269+"h_l!$J@"</f>
        <v>#VALUE!</v>
      </c>
      <c r="BI44" t="e">
        <f>'SurveyRpt_20150223 (1)'!AB269+"h_l!$JA"</f>
        <v>#VALUE!</v>
      </c>
      <c r="BJ44" t="e">
        <f>'SurveyRpt_20150223 (1)'!AC269+"h_l!$JB"</f>
        <v>#VALUE!</v>
      </c>
      <c r="BK44" t="e">
        <f>'SurveyRpt_20150223 (1)'!AD269+"h_l!$JC"</f>
        <v>#VALUE!</v>
      </c>
      <c r="BL44" t="e">
        <f>'SurveyRpt_20150223 (1)'!AE269+"h_l!$JD"</f>
        <v>#VALUE!</v>
      </c>
      <c r="BM44" t="e">
        <f>'SurveyRpt_20150223 (1)'!AF269+"h_l!$JE"</f>
        <v>#VALUE!</v>
      </c>
      <c r="BN44" t="e">
        <f>'SurveyRpt_20150223 (1)'!AG269+"h_l!$JF"</f>
        <v>#VALUE!</v>
      </c>
      <c r="BO44" t="e">
        <f>'SurveyRpt_20150223 (1)'!AH269+"h_l!$JG"</f>
        <v>#VALUE!</v>
      </c>
      <c r="BP44" t="e">
        <f>'SurveyRpt_20150223 (1)'!AI269+"h_l!$JH"</f>
        <v>#VALUE!</v>
      </c>
      <c r="BQ44" t="e">
        <f>'SurveyRpt_20150223 (1)'!AJ269+"h_l!$JI"</f>
        <v>#VALUE!</v>
      </c>
      <c r="BR44" t="e">
        <f>'SurveyRpt_20150223 (1)'!AK269+"h_l!$JJ"</f>
        <v>#VALUE!</v>
      </c>
      <c r="BS44" t="e">
        <f>'SurveyRpt_20150223 (1)'!AL269+"h_l!$JK"</f>
        <v>#VALUE!</v>
      </c>
      <c r="BT44" t="e">
        <f>'SurveyRpt_20150223 (1)'!AM269+"h_l!$JL"</f>
        <v>#VALUE!</v>
      </c>
      <c r="BU44" t="e">
        <f>'SurveyRpt_20150223 (1)'!AN269+"h_l!$JM"</f>
        <v>#VALUE!</v>
      </c>
      <c r="BV44" t="e">
        <f>'SurveyRpt_20150223 (1)'!A270+"h_l!$JN"</f>
        <v>#VALUE!</v>
      </c>
      <c r="BW44" s="25" t="e">
        <f>'SurveyRpt_20150223 (1)'!B270+"h_l!$JO"</f>
        <v>#VALUE!</v>
      </c>
      <c r="BX44" t="e">
        <f>'SurveyRpt_20150223 (1)'!C270+"h_l!$JP"</f>
        <v>#VALUE!</v>
      </c>
      <c r="BY44" s="25" t="e">
        <f>'SurveyRpt_20150223 (1)'!D270+"h_l!$JQ"</f>
        <v>#VALUE!</v>
      </c>
      <c r="BZ44" t="e">
        <f>'SurveyRpt_20150223 (1)'!E270+"h_l!$JR"</f>
        <v>#VALUE!</v>
      </c>
      <c r="CA44" t="e">
        <f>'SurveyRpt_20150223 (1)'!F270+"h_l!$JS"</f>
        <v>#VALUE!</v>
      </c>
      <c r="CB44" t="e">
        <f>'SurveyRpt_20150223 (1)'!G270+"h_l!$JT"</f>
        <v>#VALUE!</v>
      </c>
      <c r="CC44" t="e">
        <f>'SurveyRpt_20150223 (1)'!H270+"h_l!$JU"</f>
        <v>#VALUE!</v>
      </c>
      <c r="CD44" t="e">
        <f>'SurveyRpt_20150223 (1)'!I270+"h_l!$JV"</f>
        <v>#VALUE!</v>
      </c>
      <c r="CE44" t="e">
        <f>'SurveyRpt_20150223 (1)'!J270+"h_l!$JW"</f>
        <v>#VALUE!</v>
      </c>
      <c r="CF44" t="e">
        <f>'SurveyRpt_20150223 (1)'!K270+"h_l!$JX"</f>
        <v>#VALUE!</v>
      </c>
      <c r="CG44" t="e">
        <f>'SurveyRpt_20150223 (1)'!L270+"h_l!$JY"</f>
        <v>#VALUE!</v>
      </c>
      <c r="CH44" t="e">
        <f>'SurveyRpt_20150223 (1)'!M270+"h_l!$JZ"</f>
        <v>#VALUE!</v>
      </c>
      <c r="CI44" t="e">
        <f>'SurveyRpt_20150223 (1)'!N270+"h_l!$J["</f>
        <v>#VALUE!</v>
      </c>
      <c r="CJ44" t="e">
        <f>'SurveyRpt_20150223 (1)'!O270+"h_l!$J\"</f>
        <v>#VALUE!</v>
      </c>
      <c r="CK44" t="e">
        <f>'SurveyRpt_20150223 (1)'!P270+"h_l!$J]"</f>
        <v>#VALUE!</v>
      </c>
      <c r="CL44" t="e">
        <f>'SurveyRpt_20150223 (1)'!Q270+"h_l!$J^"</f>
        <v>#VALUE!</v>
      </c>
      <c r="CM44" t="e">
        <f>'SurveyRpt_20150223 (1)'!R270+"h_l!$J_"</f>
        <v>#VALUE!</v>
      </c>
      <c r="CN44" t="e">
        <f>'SurveyRpt_20150223 (1)'!S270+"h_l!$J`"</f>
        <v>#VALUE!</v>
      </c>
      <c r="CO44" t="e">
        <f>'SurveyRpt_20150223 (1)'!T270+"h_l!$Ja"</f>
        <v>#VALUE!</v>
      </c>
      <c r="CP44" t="e">
        <f>'SurveyRpt_20150223 (1)'!U270+"h_l!$Jb"</f>
        <v>#VALUE!</v>
      </c>
      <c r="CQ44" t="e">
        <f>'SurveyRpt_20150223 (1)'!V270+"h_l!$Jc"</f>
        <v>#VALUE!</v>
      </c>
      <c r="CR44" t="e">
        <f>'SurveyRpt_20150223 (1)'!W270+"h_l!$Jd"</f>
        <v>#VALUE!</v>
      </c>
      <c r="CS44" t="e">
        <f>'SurveyRpt_20150223 (1)'!X270+"h_l!$Je"</f>
        <v>#VALUE!</v>
      </c>
      <c r="CT44" t="e">
        <f>'SurveyRpt_20150223 (1)'!Y270+"h_l!$Jf"</f>
        <v>#VALUE!</v>
      </c>
      <c r="CU44" t="e">
        <f>'SurveyRpt_20150223 (1)'!Z270+"h_l!$Jg"</f>
        <v>#VALUE!</v>
      </c>
      <c r="CV44" t="e">
        <f>'SurveyRpt_20150223 (1)'!AA270+"h_l!$Jh"</f>
        <v>#VALUE!</v>
      </c>
      <c r="CW44" t="e">
        <f>'SurveyRpt_20150223 (1)'!AB270+"h_l!$Ji"</f>
        <v>#VALUE!</v>
      </c>
      <c r="CX44" t="e">
        <f>'SurveyRpt_20150223 (1)'!AC270+"h_l!$Jj"</f>
        <v>#VALUE!</v>
      </c>
      <c r="CY44" t="e">
        <f>'SurveyRpt_20150223 (1)'!AD270+"h_l!$Jk"</f>
        <v>#VALUE!</v>
      </c>
      <c r="CZ44" t="e">
        <f>'SurveyRpt_20150223 (1)'!AE270+"h_l!$Jl"</f>
        <v>#VALUE!</v>
      </c>
      <c r="DA44" t="e">
        <f>'SurveyRpt_20150223 (1)'!AF270+"h_l!$Jm"</f>
        <v>#VALUE!</v>
      </c>
      <c r="DB44" t="e">
        <f>'SurveyRpt_20150223 (1)'!AG270+"h_l!$Jn"</f>
        <v>#VALUE!</v>
      </c>
      <c r="DC44" t="e">
        <f>'SurveyRpt_20150223 (1)'!AH270+"h_l!$Jo"</f>
        <v>#VALUE!</v>
      </c>
      <c r="DD44" t="e">
        <f>'SurveyRpt_20150223 (1)'!AI270+"h_l!$Jp"</f>
        <v>#VALUE!</v>
      </c>
      <c r="DE44" t="e">
        <f>'SurveyRpt_20150223 (1)'!AJ270+"h_l!$Jq"</f>
        <v>#VALUE!</v>
      </c>
      <c r="DF44" t="e">
        <f>'SurveyRpt_20150223 (1)'!AK270+"h_l!$Jr"</f>
        <v>#VALUE!</v>
      </c>
      <c r="DG44" t="e">
        <f>'SurveyRpt_20150223 (1)'!AL270+"h_l!$Js"</f>
        <v>#VALUE!</v>
      </c>
      <c r="DH44" t="e">
        <f>'SurveyRpt_20150223 (1)'!AM270+"h_l!$Jt"</f>
        <v>#VALUE!</v>
      </c>
      <c r="DI44" t="e">
        <f>'SurveyRpt_20150223 (1)'!AN270+"h_l!$Ju"</f>
        <v>#VALUE!</v>
      </c>
      <c r="DJ44" t="e">
        <f>'SurveyRpt_20150223 (1)'!A271+"h_l!$Jv"</f>
        <v>#VALUE!</v>
      </c>
      <c r="DK44" s="25" t="e">
        <f>'SurveyRpt_20150223 (1)'!B271+"h_l!$Jw"</f>
        <v>#VALUE!</v>
      </c>
      <c r="DL44" t="e">
        <f>'SurveyRpt_20150223 (1)'!C271+"h_l!$Jx"</f>
        <v>#VALUE!</v>
      </c>
      <c r="DM44" s="25" t="e">
        <f>'SurveyRpt_20150223 (1)'!D271+"h_l!$Jy"</f>
        <v>#VALUE!</v>
      </c>
      <c r="DN44" t="e">
        <f>'SurveyRpt_20150223 (1)'!E271+"h_l!$Jz"</f>
        <v>#VALUE!</v>
      </c>
      <c r="DO44" t="e">
        <f>'SurveyRpt_20150223 (1)'!F271+"h_l!$J{"</f>
        <v>#VALUE!</v>
      </c>
      <c r="DP44" t="e">
        <f>'SurveyRpt_20150223 (1)'!G271+"h_l!$J|"</f>
        <v>#VALUE!</v>
      </c>
      <c r="DQ44" t="e">
        <f>'SurveyRpt_20150223 (1)'!H271+"h_l!$J}"</f>
        <v>#VALUE!</v>
      </c>
      <c r="DR44" t="e">
        <f>'SurveyRpt_20150223 (1)'!I271+"h_l!$J~"</f>
        <v>#VALUE!</v>
      </c>
      <c r="DS44" t="e">
        <f>'SurveyRpt_20150223 (1)'!J271+"h_l!$K#"</f>
        <v>#VALUE!</v>
      </c>
      <c r="DT44" t="e">
        <f>'SurveyRpt_20150223 (1)'!K271+"h_l!$K$"</f>
        <v>#VALUE!</v>
      </c>
      <c r="DU44" t="e">
        <f>'SurveyRpt_20150223 (1)'!L271+"h_l!$K%"</f>
        <v>#VALUE!</v>
      </c>
      <c r="DV44" t="e">
        <f>'SurveyRpt_20150223 (1)'!M271+"h_l!$K&amp;"</f>
        <v>#VALUE!</v>
      </c>
      <c r="DW44" t="e">
        <f>'SurveyRpt_20150223 (1)'!N271+"h_l!$K'"</f>
        <v>#VALUE!</v>
      </c>
      <c r="DX44" t="e">
        <f>'SurveyRpt_20150223 (1)'!O271+"h_l!$K("</f>
        <v>#VALUE!</v>
      </c>
      <c r="DY44" t="e">
        <f>'SurveyRpt_20150223 (1)'!P271+"h_l!$K)"</f>
        <v>#VALUE!</v>
      </c>
      <c r="DZ44" t="e">
        <f>'SurveyRpt_20150223 (1)'!Q271+"h_l!$K."</f>
        <v>#VALUE!</v>
      </c>
      <c r="EA44" t="e">
        <f>'SurveyRpt_20150223 (1)'!R271+"h_l!$K/"</f>
        <v>#VALUE!</v>
      </c>
      <c r="EB44" t="e">
        <f>'SurveyRpt_20150223 (1)'!S271+"h_l!$K0"</f>
        <v>#VALUE!</v>
      </c>
      <c r="EC44" t="e">
        <f>'SurveyRpt_20150223 (1)'!T271+"h_l!$K1"</f>
        <v>#VALUE!</v>
      </c>
      <c r="ED44" t="e">
        <f>'SurveyRpt_20150223 (1)'!U271+"h_l!$K2"</f>
        <v>#VALUE!</v>
      </c>
      <c r="EE44" t="e">
        <f>'SurveyRpt_20150223 (1)'!V271+"h_l!$K3"</f>
        <v>#VALUE!</v>
      </c>
      <c r="EF44" t="e">
        <f>'SurveyRpt_20150223 (1)'!W271+"h_l!$K4"</f>
        <v>#VALUE!</v>
      </c>
      <c r="EG44" t="e">
        <f>'SurveyRpt_20150223 (1)'!X271+"h_l!$K5"</f>
        <v>#VALUE!</v>
      </c>
      <c r="EH44" t="e">
        <f>'SurveyRpt_20150223 (1)'!Y271+"h_l!$K6"</f>
        <v>#VALUE!</v>
      </c>
      <c r="EI44" t="e">
        <f>'SurveyRpt_20150223 (1)'!Z271+"h_l!$K7"</f>
        <v>#VALUE!</v>
      </c>
      <c r="EJ44" t="e">
        <f>'SurveyRpt_20150223 (1)'!AA271+"h_l!$K8"</f>
        <v>#VALUE!</v>
      </c>
      <c r="EK44" t="e">
        <f>'SurveyRpt_20150223 (1)'!AB271+"h_l!$K9"</f>
        <v>#VALUE!</v>
      </c>
      <c r="EL44" t="e">
        <f>'SurveyRpt_20150223 (1)'!AC271+"h_l!$K:"</f>
        <v>#VALUE!</v>
      </c>
      <c r="EM44" t="e">
        <f>'SurveyRpt_20150223 (1)'!AD271+"h_l!$K;"</f>
        <v>#VALUE!</v>
      </c>
      <c r="EN44" t="e">
        <f>'SurveyRpt_20150223 (1)'!AE271+"h_l!$K&lt;"</f>
        <v>#VALUE!</v>
      </c>
      <c r="EO44" t="e">
        <f>'SurveyRpt_20150223 (1)'!AF271+"h_l!$K="</f>
        <v>#VALUE!</v>
      </c>
      <c r="EP44" t="e">
        <f>'SurveyRpt_20150223 (1)'!AG271+"h_l!$K&gt;"</f>
        <v>#VALUE!</v>
      </c>
      <c r="EQ44" t="e">
        <f>'SurveyRpt_20150223 (1)'!AH271+"h_l!$K?"</f>
        <v>#VALUE!</v>
      </c>
      <c r="ER44" t="e">
        <f>'SurveyRpt_20150223 (1)'!AI271+"h_l!$K@"</f>
        <v>#VALUE!</v>
      </c>
      <c r="ES44" t="e">
        <f>'SurveyRpt_20150223 (1)'!AJ271+"h_l!$KA"</f>
        <v>#VALUE!</v>
      </c>
      <c r="ET44" t="e">
        <f>'SurveyRpt_20150223 (1)'!AK271+"h_l!$KB"</f>
        <v>#VALUE!</v>
      </c>
      <c r="EU44" t="e">
        <f>'SurveyRpt_20150223 (1)'!AL271+"h_l!$KC"</f>
        <v>#VALUE!</v>
      </c>
      <c r="EV44" t="e">
        <f>'SurveyRpt_20150223 (1)'!AM271+"h_l!$KD"</f>
        <v>#VALUE!</v>
      </c>
      <c r="EW44" t="e">
        <f>'SurveyRpt_20150223 (1)'!AN271+"h_l!$KE"</f>
        <v>#VALUE!</v>
      </c>
      <c r="EX44" t="e">
        <f>'SurveyRpt_20150223 (1)'!A272+"h_l!$KF"</f>
        <v>#VALUE!</v>
      </c>
      <c r="EY44" s="25" t="e">
        <f>'SurveyRpt_20150223 (1)'!B272+"h_l!$KG"</f>
        <v>#VALUE!</v>
      </c>
      <c r="EZ44" t="e">
        <f>'SurveyRpt_20150223 (1)'!C272+"h_l!$KH"</f>
        <v>#VALUE!</v>
      </c>
      <c r="FA44" s="25" t="e">
        <f>'SurveyRpt_20150223 (1)'!D272+"h_l!$KI"</f>
        <v>#VALUE!</v>
      </c>
      <c r="FB44" t="e">
        <f>'SurveyRpt_20150223 (1)'!E272+"h_l!$KJ"</f>
        <v>#VALUE!</v>
      </c>
      <c r="FC44" t="e">
        <f>'SurveyRpt_20150223 (1)'!F272+"h_l!$KK"</f>
        <v>#VALUE!</v>
      </c>
      <c r="FD44" t="e">
        <f>'SurveyRpt_20150223 (1)'!G272+"h_l!$KL"</f>
        <v>#VALUE!</v>
      </c>
      <c r="FE44" t="e">
        <f>'SurveyRpt_20150223 (1)'!H272+"h_l!$KM"</f>
        <v>#VALUE!</v>
      </c>
      <c r="FF44" t="e">
        <f>'SurveyRpt_20150223 (1)'!I272+"h_l!$KN"</f>
        <v>#VALUE!</v>
      </c>
      <c r="FG44" t="e">
        <f>'SurveyRpt_20150223 (1)'!J272+"h_l!$KO"</f>
        <v>#VALUE!</v>
      </c>
      <c r="FH44" t="e">
        <f>'SurveyRpt_20150223 (1)'!K272+"h_l!$KP"</f>
        <v>#VALUE!</v>
      </c>
      <c r="FI44" t="e">
        <f>'SurveyRpt_20150223 (1)'!L272+"h_l!$KQ"</f>
        <v>#VALUE!</v>
      </c>
      <c r="FJ44" t="e">
        <f>'SurveyRpt_20150223 (1)'!M272+"h_l!$KR"</f>
        <v>#VALUE!</v>
      </c>
      <c r="FK44" t="e">
        <f>'SurveyRpt_20150223 (1)'!N272+"h_l!$KS"</f>
        <v>#VALUE!</v>
      </c>
      <c r="FL44" t="e">
        <f>'SurveyRpt_20150223 (1)'!O272+"h_l!$KT"</f>
        <v>#VALUE!</v>
      </c>
      <c r="FM44" t="e">
        <f>'SurveyRpt_20150223 (1)'!P272+"h_l!$KU"</f>
        <v>#VALUE!</v>
      </c>
      <c r="FN44" t="e">
        <f>'SurveyRpt_20150223 (1)'!Q272+"h_l!$KV"</f>
        <v>#VALUE!</v>
      </c>
      <c r="FO44" t="e">
        <f>'SurveyRpt_20150223 (1)'!R272+"h_l!$KW"</f>
        <v>#VALUE!</v>
      </c>
      <c r="FP44" t="e">
        <f>'SurveyRpt_20150223 (1)'!S272+"h_l!$KX"</f>
        <v>#VALUE!</v>
      </c>
      <c r="FQ44" t="e">
        <f>'SurveyRpt_20150223 (1)'!T272+"h_l!$KY"</f>
        <v>#VALUE!</v>
      </c>
      <c r="FR44" t="e">
        <f>'SurveyRpt_20150223 (1)'!U272+"h_l!$KZ"</f>
        <v>#VALUE!</v>
      </c>
      <c r="FS44" t="e">
        <f>'SurveyRpt_20150223 (1)'!V272+"h_l!$K["</f>
        <v>#VALUE!</v>
      </c>
      <c r="FT44" t="e">
        <f>'SurveyRpt_20150223 (1)'!W272+"h_l!$K\"</f>
        <v>#VALUE!</v>
      </c>
      <c r="FU44" t="e">
        <f>'SurveyRpt_20150223 (1)'!X272+"h_l!$K]"</f>
        <v>#VALUE!</v>
      </c>
      <c r="FV44" t="e">
        <f>'SurveyRpt_20150223 (1)'!Y272+"h_l!$K^"</f>
        <v>#VALUE!</v>
      </c>
      <c r="FW44" t="e">
        <f>'SurveyRpt_20150223 (1)'!Z272+"h_l!$K_"</f>
        <v>#VALUE!</v>
      </c>
      <c r="FX44" t="e">
        <f>'SurveyRpt_20150223 (1)'!AA272+"h_l!$K`"</f>
        <v>#VALUE!</v>
      </c>
      <c r="FY44" t="e">
        <f>'SurveyRpt_20150223 (1)'!AB272+"h_l!$Ka"</f>
        <v>#VALUE!</v>
      </c>
      <c r="FZ44" t="e">
        <f>'SurveyRpt_20150223 (1)'!AC272+"h_l!$Kb"</f>
        <v>#VALUE!</v>
      </c>
      <c r="GA44" t="e">
        <f>'SurveyRpt_20150223 (1)'!AD272+"h_l!$Kc"</f>
        <v>#VALUE!</v>
      </c>
      <c r="GB44" t="e">
        <f>'SurveyRpt_20150223 (1)'!AE272+"h_l!$Kd"</f>
        <v>#VALUE!</v>
      </c>
      <c r="GC44" t="e">
        <f>'SurveyRpt_20150223 (1)'!AF272+"h_l!$Ke"</f>
        <v>#VALUE!</v>
      </c>
      <c r="GD44" t="e">
        <f>'SurveyRpt_20150223 (1)'!AG272+"h_l!$Kf"</f>
        <v>#VALUE!</v>
      </c>
      <c r="GE44" t="e">
        <f>'SurveyRpt_20150223 (1)'!AH272+"h_l!$Kg"</f>
        <v>#VALUE!</v>
      </c>
      <c r="GF44" t="e">
        <f>'SurveyRpt_20150223 (1)'!AI272+"h_l!$Kh"</f>
        <v>#VALUE!</v>
      </c>
      <c r="GG44" t="e">
        <f>'SurveyRpt_20150223 (1)'!AJ272+"h_l!$Ki"</f>
        <v>#VALUE!</v>
      </c>
      <c r="GH44" t="e">
        <f>'SurveyRpt_20150223 (1)'!AK272+"h_l!$Kj"</f>
        <v>#VALUE!</v>
      </c>
      <c r="GI44" t="e">
        <f>'SurveyRpt_20150223 (1)'!AL272+"h_l!$Kk"</f>
        <v>#VALUE!</v>
      </c>
      <c r="GJ44" t="e">
        <f>'SurveyRpt_20150223 (1)'!AM272+"h_l!$Kl"</f>
        <v>#VALUE!</v>
      </c>
      <c r="GK44" t="e">
        <f>'SurveyRpt_20150223 (1)'!AN272+"h_l!$Km"</f>
        <v>#VALUE!</v>
      </c>
      <c r="GL44" t="e">
        <f>'SurveyRpt_20150223 (1)'!A273+"h_l!$Kn"</f>
        <v>#VALUE!</v>
      </c>
      <c r="GM44" s="25" t="e">
        <f>'SurveyRpt_20150223 (1)'!B273+"h_l!$Ko"</f>
        <v>#VALUE!</v>
      </c>
      <c r="GN44" t="e">
        <f>'SurveyRpt_20150223 (1)'!C273+"h_l!$Kp"</f>
        <v>#VALUE!</v>
      </c>
      <c r="GO44" s="25" t="e">
        <f>'SurveyRpt_20150223 (1)'!D273+"h_l!$Kq"</f>
        <v>#VALUE!</v>
      </c>
      <c r="GP44" t="e">
        <f>'SurveyRpt_20150223 (1)'!E273+"h_l!$Kr"</f>
        <v>#VALUE!</v>
      </c>
      <c r="GQ44" t="e">
        <f>'SurveyRpt_20150223 (1)'!F273+"h_l!$Ks"</f>
        <v>#VALUE!</v>
      </c>
      <c r="GR44" t="e">
        <f>'SurveyRpt_20150223 (1)'!G273+"h_l!$Kt"</f>
        <v>#VALUE!</v>
      </c>
      <c r="GS44" t="e">
        <f>'SurveyRpt_20150223 (1)'!H273+"h_l!$Ku"</f>
        <v>#VALUE!</v>
      </c>
      <c r="GT44" t="e">
        <f>'SurveyRpt_20150223 (1)'!I273+"h_l!$Kv"</f>
        <v>#VALUE!</v>
      </c>
      <c r="GU44" t="e">
        <f>'SurveyRpt_20150223 (1)'!J273+"h_l!$Kw"</f>
        <v>#VALUE!</v>
      </c>
      <c r="GV44" t="e">
        <f>'SurveyRpt_20150223 (1)'!K273+"h_l!$Kx"</f>
        <v>#VALUE!</v>
      </c>
      <c r="GW44" t="e">
        <f>'SurveyRpt_20150223 (1)'!L273+"h_l!$Ky"</f>
        <v>#VALUE!</v>
      </c>
      <c r="GX44" t="e">
        <f>'SurveyRpt_20150223 (1)'!M273+"h_l!$Kz"</f>
        <v>#VALUE!</v>
      </c>
      <c r="GY44" t="e">
        <f>'SurveyRpt_20150223 (1)'!N273+"h_l!$K{"</f>
        <v>#VALUE!</v>
      </c>
      <c r="GZ44" t="e">
        <f>'SurveyRpt_20150223 (1)'!O273+"h_l!$K|"</f>
        <v>#VALUE!</v>
      </c>
      <c r="HA44" t="e">
        <f>'SurveyRpt_20150223 (1)'!P273+"h_l!$K}"</f>
        <v>#VALUE!</v>
      </c>
      <c r="HB44" t="e">
        <f>'SurveyRpt_20150223 (1)'!Q273+"h_l!$K~"</f>
        <v>#VALUE!</v>
      </c>
      <c r="HC44" t="e">
        <f>'SurveyRpt_20150223 (1)'!R273+"h_l!$L#"</f>
        <v>#VALUE!</v>
      </c>
      <c r="HD44" t="e">
        <f>'SurveyRpt_20150223 (1)'!S273+"h_l!$L$"</f>
        <v>#VALUE!</v>
      </c>
      <c r="HE44" t="e">
        <f>'SurveyRpt_20150223 (1)'!T273+"h_l!$L%"</f>
        <v>#VALUE!</v>
      </c>
      <c r="HF44" t="e">
        <f>'SurveyRpt_20150223 (1)'!U273+"h_l!$L&amp;"</f>
        <v>#VALUE!</v>
      </c>
      <c r="HG44" t="e">
        <f>'SurveyRpt_20150223 (1)'!V273+"h_l!$L'"</f>
        <v>#VALUE!</v>
      </c>
      <c r="HH44" t="e">
        <f>'SurveyRpt_20150223 (1)'!W273+"h_l!$L("</f>
        <v>#VALUE!</v>
      </c>
      <c r="HI44" t="e">
        <f>'SurveyRpt_20150223 (1)'!X273+"h_l!$L)"</f>
        <v>#VALUE!</v>
      </c>
      <c r="HJ44" t="e">
        <f>'SurveyRpt_20150223 (1)'!Y273+"h_l!$L."</f>
        <v>#VALUE!</v>
      </c>
      <c r="HK44" t="e">
        <f>'SurveyRpt_20150223 (1)'!Z273+"h_l!$L/"</f>
        <v>#VALUE!</v>
      </c>
      <c r="HL44" t="e">
        <f>'SurveyRpt_20150223 (1)'!AA273+"h_l!$L0"</f>
        <v>#VALUE!</v>
      </c>
      <c r="HM44" t="e">
        <f>'SurveyRpt_20150223 (1)'!AB273+"h_l!$L1"</f>
        <v>#VALUE!</v>
      </c>
      <c r="HN44" t="e">
        <f>'SurveyRpt_20150223 (1)'!AC273+"h_l!$L2"</f>
        <v>#VALUE!</v>
      </c>
      <c r="HO44" t="e">
        <f>'SurveyRpt_20150223 (1)'!AD273+"h_l!$L3"</f>
        <v>#VALUE!</v>
      </c>
      <c r="HP44" t="e">
        <f>'SurveyRpt_20150223 (1)'!AE273+"h_l!$L4"</f>
        <v>#VALUE!</v>
      </c>
      <c r="HQ44" t="e">
        <f>'SurveyRpt_20150223 (1)'!AF273+"h_l!$L5"</f>
        <v>#VALUE!</v>
      </c>
      <c r="HR44" t="e">
        <f>'SurveyRpt_20150223 (1)'!AG273+"h_l!$L6"</f>
        <v>#VALUE!</v>
      </c>
      <c r="HS44" t="e">
        <f>'SurveyRpt_20150223 (1)'!AH273+"h_l!$L7"</f>
        <v>#VALUE!</v>
      </c>
      <c r="HT44" t="e">
        <f>'SurveyRpt_20150223 (1)'!AI273+"h_l!$L8"</f>
        <v>#VALUE!</v>
      </c>
      <c r="HU44" t="e">
        <f>'SurveyRpt_20150223 (1)'!AJ273+"h_l!$L9"</f>
        <v>#VALUE!</v>
      </c>
      <c r="HV44" t="e">
        <f>'SurveyRpt_20150223 (1)'!AK273+"h_l!$L:"</f>
        <v>#VALUE!</v>
      </c>
      <c r="HW44" t="e">
        <f>'SurveyRpt_20150223 (1)'!AL273+"h_l!$L;"</f>
        <v>#VALUE!</v>
      </c>
      <c r="HX44" t="e">
        <f>'SurveyRpt_20150223 (1)'!AM273+"h_l!$L&lt;"</f>
        <v>#VALUE!</v>
      </c>
      <c r="HY44" t="e">
        <f>'SurveyRpt_20150223 (1)'!AN273+"h_l!$L="</f>
        <v>#VALUE!</v>
      </c>
      <c r="HZ44" t="e">
        <f>'SurveyRpt_20150223 (1)'!A274+"h_l!$L&gt;"</f>
        <v>#VALUE!</v>
      </c>
      <c r="IA44" s="25" t="e">
        <f>'SurveyRpt_20150223 (1)'!B274+"h_l!$L?"</f>
        <v>#VALUE!</v>
      </c>
      <c r="IB44" t="e">
        <f>'SurveyRpt_20150223 (1)'!C274+"h_l!$L@"</f>
        <v>#VALUE!</v>
      </c>
      <c r="IC44" s="25" t="e">
        <f>'SurveyRpt_20150223 (1)'!D274+"h_l!$LA"</f>
        <v>#VALUE!</v>
      </c>
      <c r="ID44" t="e">
        <f>'SurveyRpt_20150223 (1)'!E274+"h_l!$LB"</f>
        <v>#VALUE!</v>
      </c>
      <c r="IE44" t="e">
        <f>'SurveyRpt_20150223 (1)'!F274+"h_l!$LC"</f>
        <v>#VALUE!</v>
      </c>
      <c r="IF44" t="e">
        <f>'SurveyRpt_20150223 (1)'!G274+"h_l!$LD"</f>
        <v>#VALUE!</v>
      </c>
      <c r="IG44" t="e">
        <f>'SurveyRpt_20150223 (1)'!H274+"h_l!$LE"</f>
        <v>#VALUE!</v>
      </c>
      <c r="IH44" t="e">
        <f>'SurveyRpt_20150223 (1)'!I274+"h_l!$LF"</f>
        <v>#VALUE!</v>
      </c>
      <c r="II44" t="e">
        <f>'SurveyRpt_20150223 (1)'!J274+"h_l!$LG"</f>
        <v>#VALUE!</v>
      </c>
      <c r="IJ44" t="e">
        <f>'SurveyRpt_20150223 (1)'!K274+"h_l!$LH"</f>
        <v>#VALUE!</v>
      </c>
      <c r="IK44" t="e">
        <f>'SurveyRpt_20150223 (1)'!L274+"h_l!$LI"</f>
        <v>#VALUE!</v>
      </c>
      <c r="IL44" t="e">
        <f>'SurveyRpt_20150223 (1)'!M274+"h_l!$LJ"</f>
        <v>#VALUE!</v>
      </c>
      <c r="IM44" t="e">
        <f>'SurveyRpt_20150223 (1)'!N274+"h_l!$LK"</f>
        <v>#VALUE!</v>
      </c>
      <c r="IN44" t="e">
        <f>'SurveyRpt_20150223 (1)'!O274+"h_l!$LL"</f>
        <v>#VALUE!</v>
      </c>
      <c r="IO44" t="e">
        <f>'SurveyRpt_20150223 (1)'!P274+"h_l!$LM"</f>
        <v>#VALUE!</v>
      </c>
      <c r="IP44" t="e">
        <f>'SurveyRpt_20150223 (1)'!Q274+"h_l!$LN"</f>
        <v>#VALUE!</v>
      </c>
      <c r="IQ44" t="e">
        <f>'SurveyRpt_20150223 (1)'!R274+"h_l!$LO"</f>
        <v>#VALUE!</v>
      </c>
      <c r="IR44" t="e">
        <f>'SurveyRpt_20150223 (1)'!S274+"h_l!$LP"</f>
        <v>#VALUE!</v>
      </c>
      <c r="IS44" t="e">
        <f>'SurveyRpt_20150223 (1)'!T274+"h_l!$LQ"</f>
        <v>#VALUE!</v>
      </c>
      <c r="IT44" t="e">
        <f>'SurveyRpt_20150223 (1)'!U274+"h_l!$LR"</f>
        <v>#VALUE!</v>
      </c>
      <c r="IU44" t="e">
        <f>'SurveyRpt_20150223 (1)'!V274+"h_l!$LS"</f>
        <v>#VALUE!</v>
      </c>
      <c r="IV44" t="e">
        <f>'SurveyRpt_20150223 (1)'!W274+"h_l!$LT"</f>
        <v>#VALUE!</v>
      </c>
    </row>
    <row r="45" spans="6:256" x14ac:dyDescent="0.25">
      <c r="F45" t="e">
        <f>'SurveyRpt_20150223 (1)'!X274+"h_l!$LU"</f>
        <v>#VALUE!</v>
      </c>
      <c r="G45" t="e">
        <f>'SurveyRpt_20150223 (1)'!Y274+"h_l!$LV"</f>
        <v>#VALUE!</v>
      </c>
      <c r="H45" t="e">
        <f>'SurveyRpt_20150223 (1)'!Z274+"h_l!$LW"</f>
        <v>#VALUE!</v>
      </c>
      <c r="I45" t="e">
        <f>'SurveyRpt_20150223 (1)'!AA274+"h_l!$LX"</f>
        <v>#VALUE!</v>
      </c>
      <c r="J45" t="e">
        <f>'SurveyRpt_20150223 (1)'!AB274+"h_l!$LY"</f>
        <v>#VALUE!</v>
      </c>
      <c r="K45" t="e">
        <f>'SurveyRpt_20150223 (1)'!AC274+"h_l!$LZ"</f>
        <v>#VALUE!</v>
      </c>
      <c r="L45" t="e">
        <f>'SurveyRpt_20150223 (1)'!AD274+"h_l!$L["</f>
        <v>#VALUE!</v>
      </c>
      <c r="M45" t="e">
        <f>'SurveyRpt_20150223 (1)'!AE274+"h_l!$L\"</f>
        <v>#VALUE!</v>
      </c>
      <c r="N45" t="e">
        <f>'SurveyRpt_20150223 (1)'!AF274+"h_l!$L]"</f>
        <v>#VALUE!</v>
      </c>
      <c r="O45" t="e">
        <f>'SurveyRpt_20150223 (1)'!AG274+"h_l!$L^"</f>
        <v>#VALUE!</v>
      </c>
      <c r="P45" t="e">
        <f>'SurveyRpt_20150223 (1)'!AH274+"h_l!$L_"</f>
        <v>#VALUE!</v>
      </c>
      <c r="Q45" t="e">
        <f>'SurveyRpt_20150223 (1)'!AI274+"h_l!$L`"</f>
        <v>#VALUE!</v>
      </c>
      <c r="R45" t="e">
        <f>'SurveyRpt_20150223 (1)'!AJ274+"h_l!$La"</f>
        <v>#VALUE!</v>
      </c>
      <c r="S45" t="e">
        <f>'SurveyRpt_20150223 (1)'!AK274+"h_l!$Lb"</f>
        <v>#VALUE!</v>
      </c>
      <c r="T45" t="e">
        <f>'SurveyRpt_20150223 (1)'!AL274+"h_l!$Lc"</f>
        <v>#VALUE!</v>
      </c>
      <c r="U45" t="e">
        <f>'SurveyRpt_20150223 (1)'!AM274+"h_l!$Ld"</f>
        <v>#VALUE!</v>
      </c>
      <c r="V45" t="e">
        <f>'SurveyRpt_20150223 (1)'!AN274+"h_l!$Le"</f>
        <v>#VALUE!</v>
      </c>
      <c r="W45" t="e">
        <f>'SurveyRpt_20150223 (1)'!A275+"h_l!$Lf"</f>
        <v>#VALUE!</v>
      </c>
      <c r="X45" s="25" t="e">
        <f>'SurveyRpt_20150223 (1)'!B275+"h_l!$Lg"</f>
        <v>#VALUE!</v>
      </c>
      <c r="Y45" t="e">
        <f>'SurveyRpt_20150223 (1)'!C275+"h_l!$Lh"</f>
        <v>#VALUE!</v>
      </c>
      <c r="Z45" s="25" t="e">
        <f>'SurveyRpt_20150223 (1)'!D275+"h_l!$Li"</f>
        <v>#VALUE!</v>
      </c>
      <c r="AA45" t="e">
        <f>'SurveyRpt_20150223 (1)'!E275+"h_l!$Lj"</f>
        <v>#VALUE!</v>
      </c>
      <c r="AB45" t="e">
        <f>'SurveyRpt_20150223 (1)'!F275+"h_l!$Lk"</f>
        <v>#VALUE!</v>
      </c>
      <c r="AC45" t="e">
        <f>'SurveyRpt_20150223 (1)'!G275+"h_l!$Ll"</f>
        <v>#VALUE!</v>
      </c>
      <c r="AD45" t="e">
        <f>'SurveyRpt_20150223 (1)'!H275+"h_l!$Lm"</f>
        <v>#VALUE!</v>
      </c>
      <c r="AE45" t="e">
        <f>'SurveyRpt_20150223 (1)'!I275+"h_l!$Ln"</f>
        <v>#VALUE!</v>
      </c>
      <c r="AF45" t="e">
        <f>'SurveyRpt_20150223 (1)'!J275+"h_l!$Lo"</f>
        <v>#VALUE!</v>
      </c>
      <c r="AG45" t="e">
        <f>'SurveyRpt_20150223 (1)'!K275+"h_l!$Lp"</f>
        <v>#VALUE!</v>
      </c>
      <c r="AH45" t="e">
        <f>'SurveyRpt_20150223 (1)'!L275+"h_l!$Lq"</f>
        <v>#VALUE!</v>
      </c>
      <c r="AI45" t="e">
        <f>'SurveyRpt_20150223 (1)'!M275+"h_l!$Lr"</f>
        <v>#VALUE!</v>
      </c>
      <c r="AJ45" t="e">
        <f>'SurveyRpt_20150223 (1)'!N275+"h_l!$Ls"</f>
        <v>#VALUE!</v>
      </c>
      <c r="AK45" t="e">
        <f>'SurveyRpt_20150223 (1)'!O275+"h_l!$Lt"</f>
        <v>#VALUE!</v>
      </c>
      <c r="AL45" t="e">
        <f>'SurveyRpt_20150223 (1)'!P275+"h_l!$Lu"</f>
        <v>#VALUE!</v>
      </c>
      <c r="AM45" t="e">
        <f>'SurveyRpt_20150223 (1)'!Q275+"h_l!$Lv"</f>
        <v>#VALUE!</v>
      </c>
      <c r="AN45" t="e">
        <f>'SurveyRpt_20150223 (1)'!R275+"h_l!$Lw"</f>
        <v>#VALUE!</v>
      </c>
      <c r="AO45" t="e">
        <f>'SurveyRpt_20150223 (1)'!S275+"h_l!$Lx"</f>
        <v>#VALUE!</v>
      </c>
      <c r="AP45" t="e">
        <f>'SurveyRpt_20150223 (1)'!T275+"h_l!$Ly"</f>
        <v>#VALUE!</v>
      </c>
      <c r="AQ45" t="e">
        <f>'SurveyRpt_20150223 (1)'!U275+"h_l!$Lz"</f>
        <v>#VALUE!</v>
      </c>
      <c r="AR45" t="e">
        <f>'SurveyRpt_20150223 (1)'!V275+"h_l!$L{"</f>
        <v>#VALUE!</v>
      </c>
      <c r="AS45" t="e">
        <f>'SurveyRpt_20150223 (1)'!W275+"h_l!$L|"</f>
        <v>#VALUE!</v>
      </c>
      <c r="AT45" t="e">
        <f>'SurveyRpt_20150223 (1)'!X275+"h_l!$L}"</f>
        <v>#VALUE!</v>
      </c>
      <c r="AU45" t="e">
        <f>'SurveyRpt_20150223 (1)'!Y275+"h_l!$L~"</f>
        <v>#VALUE!</v>
      </c>
      <c r="AV45" t="e">
        <f>'SurveyRpt_20150223 (1)'!Z275+"h_l!$M#"</f>
        <v>#VALUE!</v>
      </c>
      <c r="AW45" t="e">
        <f>'SurveyRpt_20150223 (1)'!AA275+"h_l!$M$"</f>
        <v>#VALUE!</v>
      </c>
      <c r="AX45" t="e">
        <f>'SurveyRpt_20150223 (1)'!AB275+"h_l!$M%"</f>
        <v>#VALUE!</v>
      </c>
      <c r="AY45" t="e">
        <f>'SurveyRpt_20150223 (1)'!AC275+"h_l!$M&amp;"</f>
        <v>#VALUE!</v>
      </c>
      <c r="AZ45" t="e">
        <f>'SurveyRpt_20150223 (1)'!AD275+"h_l!$M'"</f>
        <v>#VALUE!</v>
      </c>
      <c r="BA45" t="e">
        <f>'SurveyRpt_20150223 (1)'!AE275+"h_l!$M("</f>
        <v>#VALUE!</v>
      </c>
      <c r="BB45" t="e">
        <f>'SurveyRpt_20150223 (1)'!AF275+"h_l!$M)"</f>
        <v>#VALUE!</v>
      </c>
      <c r="BC45" t="e">
        <f>'SurveyRpt_20150223 (1)'!AG275+"h_l!$M."</f>
        <v>#VALUE!</v>
      </c>
      <c r="BD45" t="e">
        <f>'SurveyRpt_20150223 (1)'!AH275+"h_l!$M/"</f>
        <v>#VALUE!</v>
      </c>
      <c r="BE45" t="e">
        <f>'SurveyRpt_20150223 (1)'!AI275+"h_l!$M0"</f>
        <v>#VALUE!</v>
      </c>
      <c r="BF45" t="e">
        <f>'SurveyRpt_20150223 (1)'!AJ275+"h_l!$M1"</f>
        <v>#VALUE!</v>
      </c>
      <c r="BG45" t="e">
        <f>'SurveyRpt_20150223 (1)'!AK275+"h_l!$M2"</f>
        <v>#VALUE!</v>
      </c>
      <c r="BH45" t="e">
        <f>'SurveyRpt_20150223 (1)'!AL275+"h_l!$M3"</f>
        <v>#VALUE!</v>
      </c>
      <c r="BI45" t="e">
        <f>'SurveyRpt_20150223 (1)'!AM275+"h_l!$M4"</f>
        <v>#VALUE!</v>
      </c>
      <c r="BJ45" t="e">
        <f>'SurveyRpt_20150223 (1)'!AN275+"h_l!$M5"</f>
        <v>#VALUE!</v>
      </c>
      <c r="BK45" t="e">
        <f>'SurveyRpt_20150223 (1)'!A276+"h_l!$M6"</f>
        <v>#VALUE!</v>
      </c>
      <c r="BL45" s="25" t="e">
        <f>'SurveyRpt_20150223 (1)'!B276+"h_l!$M7"</f>
        <v>#VALUE!</v>
      </c>
      <c r="BM45" t="e">
        <f>'SurveyRpt_20150223 (1)'!C276+"h_l!$M8"</f>
        <v>#VALUE!</v>
      </c>
      <c r="BN45" s="25" t="e">
        <f>'SurveyRpt_20150223 (1)'!D276+"h_l!$M9"</f>
        <v>#VALUE!</v>
      </c>
      <c r="BO45" t="e">
        <f>'SurveyRpt_20150223 (1)'!E276+"h_l!$M:"</f>
        <v>#VALUE!</v>
      </c>
      <c r="BP45" t="e">
        <f>'SurveyRpt_20150223 (1)'!F276+"h_l!$M;"</f>
        <v>#VALUE!</v>
      </c>
      <c r="BQ45" t="e">
        <f>'SurveyRpt_20150223 (1)'!G276+"h_l!$M&lt;"</f>
        <v>#VALUE!</v>
      </c>
      <c r="BR45" t="e">
        <f>'SurveyRpt_20150223 (1)'!H276+"h_l!$M="</f>
        <v>#VALUE!</v>
      </c>
      <c r="BS45" t="e">
        <f>'SurveyRpt_20150223 (1)'!I276+"h_l!$M&gt;"</f>
        <v>#VALUE!</v>
      </c>
      <c r="BT45" t="e">
        <f>'SurveyRpt_20150223 (1)'!J276+"h_l!$M?"</f>
        <v>#VALUE!</v>
      </c>
      <c r="BU45" t="e">
        <f>'SurveyRpt_20150223 (1)'!K276+"h_l!$M@"</f>
        <v>#VALUE!</v>
      </c>
      <c r="BV45" t="e">
        <f>'SurveyRpt_20150223 (1)'!L276+"h_l!$MA"</f>
        <v>#VALUE!</v>
      </c>
      <c r="BW45" t="e">
        <f>'SurveyRpt_20150223 (1)'!M276+"h_l!$MB"</f>
        <v>#VALUE!</v>
      </c>
      <c r="BX45" t="e">
        <f>'SurveyRpt_20150223 (1)'!N276+"h_l!$MC"</f>
        <v>#VALUE!</v>
      </c>
      <c r="BY45" t="e">
        <f>'SurveyRpt_20150223 (1)'!O276+"h_l!$MD"</f>
        <v>#VALUE!</v>
      </c>
      <c r="BZ45" t="e">
        <f>'SurveyRpt_20150223 (1)'!P276+"h_l!$ME"</f>
        <v>#VALUE!</v>
      </c>
      <c r="CA45" t="e">
        <f>'SurveyRpt_20150223 (1)'!Q276+"h_l!$MF"</f>
        <v>#VALUE!</v>
      </c>
      <c r="CB45" t="e">
        <f>'SurveyRpt_20150223 (1)'!R276+"h_l!$MG"</f>
        <v>#VALUE!</v>
      </c>
      <c r="CC45" t="e">
        <f>'SurveyRpt_20150223 (1)'!S276+"h_l!$MH"</f>
        <v>#VALUE!</v>
      </c>
      <c r="CD45" t="e">
        <f>'SurveyRpt_20150223 (1)'!T276+"h_l!$MI"</f>
        <v>#VALUE!</v>
      </c>
      <c r="CE45" t="e">
        <f>'SurveyRpt_20150223 (1)'!U276+"h_l!$MJ"</f>
        <v>#VALUE!</v>
      </c>
      <c r="CF45" t="e">
        <f>'SurveyRpt_20150223 (1)'!V276+"h_l!$MK"</f>
        <v>#VALUE!</v>
      </c>
      <c r="CG45" t="e">
        <f>'SurveyRpt_20150223 (1)'!W276+"h_l!$ML"</f>
        <v>#VALUE!</v>
      </c>
      <c r="CH45" t="e">
        <f>'SurveyRpt_20150223 (1)'!X276+"h_l!$MM"</f>
        <v>#VALUE!</v>
      </c>
      <c r="CI45" t="e">
        <f>'SurveyRpt_20150223 (1)'!Y276+"h_l!$MN"</f>
        <v>#VALUE!</v>
      </c>
      <c r="CJ45" t="e">
        <f>'SurveyRpt_20150223 (1)'!Z276+"h_l!$MO"</f>
        <v>#VALUE!</v>
      </c>
      <c r="CK45" t="e">
        <f>'SurveyRpt_20150223 (1)'!AA276+"h_l!$MP"</f>
        <v>#VALUE!</v>
      </c>
      <c r="CL45" t="e">
        <f>'SurveyRpt_20150223 (1)'!AB276+"h_l!$MQ"</f>
        <v>#VALUE!</v>
      </c>
      <c r="CM45" t="e">
        <f>'SurveyRpt_20150223 (1)'!AC276+"h_l!$MR"</f>
        <v>#VALUE!</v>
      </c>
      <c r="CN45" t="e">
        <f>'SurveyRpt_20150223 (1)'!AD276+"h_l!$MS"</f>
        <v>#VALUE!</v>
      </c>
      <c r="CO45" t="e">
        <f>'SurveyRpt_20150223 (1)'!AE276+"h_l!$MT"</f>
        <v>#VALUE!</v>
      </c>
      <c r="CP45" t="e">
        <f>'SurveyRpt_20150223 (1)'!AF276+"h_l!$MU"</f>
        <v>#VALUE!</v>
      </c>
      <c r="CQ45" t="e">
        <f>'SurveyRpt_20150223 (1)'!AG276+"h_l!$MV"</f>
        <v>#VALUE!</v>
      </c>
      <c r="CR45" t="e">
        <f>'SurveyRpt_20150223 (1)'!AH276+"h_l!$MW"</f>
        <v>#VALUE!</v>
      </c>
      <c r="CS45" t="e">
        <f>'SurveyRpt_20150223 (1)'!AI276+"h_l!$MX"</f>
        <v>#VALUE!</v>
      </c>
      <c r="CT45" t="e">
        <f>'SurveyRpt_20150223 (1)'!AJ276+"h_l!$MY"</f>
        <v>#VALUE!</v>
      </c>
      <c r="CU45" t="e">
        <f>'SurveyRpt_20150223 (1)'!AK276+"h_l!$MZ"</f>
        <v>#VALUE!</v>
      </c>
      <c r="CV45" t="e">
        <f>'SurveyRpt_20150223 (1)'!AL276+"h_l!$M["</f>
        <v>#VALUE!</v>
      </c>
      <c r="CW45" t="e">
        <f>'SurveyRpt_20150223 (1)'!AM276+"h_l!$M\"</f>
        <v>#VALUE!</v>
      </c>
      <c r="CX45" t="e">
        <f>'SurveyRpt_20150223 (1)'!AN276+"h_l!$M]"</f>
        <v>#VALUE!</v>
      </c>
      <c r="CY45" t="e">
        <f>'SurveyRpt_20150223 (1)'!A277+"h_l!$M^"</f>
        <v>#VALUE!</v>
      </c>
      <c r="CZ45" s="25" t="e">
        <f>'SurveyRpt_20150223 (1)'!B277+"h_l!$M_"</f>
        <v>#VALUE!</v>
      </c>
      <c r="DA45" t="e">
        <f>'SurveyRpt_20150223 (1)'!C277+"h_l!$M`"</f>
        <v>#VALUE!</v>
      </c>
      <c r="DB45" s="25" t="e">
        <f>'SurveyRpt_20150223 (1)'!D277+"h_l!$Ma"</f>
        <v>#VALUE!</v>
      </c>
      <c r="DC45" t="e">
        <f>'SurveyRpt_20150223 (1)'!E277+"h_l!$Mb"</f>
        <v>#VALUE!</v>
      </c>
      <c r="DD45" t="e">
        <f>'SurveyRpt_20150223 (1)'!F277+"h_l!$Mc"</f>
        <v>#VALUE!</v>
      </c>
      <c r="DE45" t="e">
        <f>'SurveyRpt_20150223 (1)'!G277+"h_l!$Md"</f>
        <v>#VALUE!</v>
      </c>
      <c r="DF45" t="e">
        <f>'SurveyRpt_20150223 (1)'!H277+"h_l!$Me"</f>
        <v>#VALUE!</v>
      </c>
      <c r="DG45" t="e">
        <f>'SurveyRpt_20150223 (1)'!I277+"h_l!$Mf"</f>
        <v>#VALUE!</v>
      </c>
      <c r="DH45" t="e">
        <f>'SurveyRpt_20150223 (1)'!J277+"h_l!$Mg"</f>
        <v>#VALUE!</v>
      </c>
      <c r="DI45" t="e">
        <f>'SurveyRpt_20150223 (1)'!K277+"h_l!$Mh"</f>
        <v>#VALUE!</v>
      </c>
      <c r="DJ45" t="e">
        <f>'SurveyRpt_20150223 (1)'!L277+"h_l!$Mi"</f>
        <v>#VALUE!</v>
      </c>
      <c r="DK45" t="e">
        <f>'SurveyRpt_20150223 (1)'!M277+"h_l!$Mj"</f>
        <v>#VALUE!</v>
      </c>
      <c r="DL45" t="e">
        <f>'SurveyRpt_20150223 (1)'!N277+"h_l!$Mk"</f>
        <v>#VALUE!</v>
      </c>
      <c r="DM45" t="e">
        <f>'SurveyRpt_20150223 (1)'!O277+"h_l!$Ml"</f>
        <v>#VALUE!</v>
      </c>
      <c r="DN45" t="e">
        <f>'SurveyRpt_20150223 (1)'!P277+"h_l!$Mm"</f>
        <v>#VALUE!</v>
      </c>
      <c r="DO45" t="e">
        <f>'SurveyRpt_20150223 (1)'!Q277+"h_l!$Mn"</f>
        <v>#VALUE!</v>
      </c>
      <c r="DP45" t="e">
        <f>'SurveyRpt_20150223 (1)'!R277+"h_l!$Mo"</f>
        <v>#VALUE!</v>
      </c>
      <c r="DQ45" t="e">
        <f>'SurveyRpt_20150223 (1)'!S277+"h_l!$Mp"</f>
        <v>#VALUE!</v>
      </c>
      <c r="DR45" t="e">
        <f>'SurveyRpt_20150223 (1)'!T277+"h_l!$Mq"</f>
        <v>#VALUE!</v>
      </c>
      <c r="DS45" t="e">
        <f>'SurveyRpt_20150223 (1)'!U277+"h_l!$Mr"</f>
        <v>#VALUE!</v>
      </c>
      <c r="DT45" t="e">
        <f>'SurveyRpt_20150223 (1)'!V277+"h_l!$Ms"</f>
        <v>#VALUE!</v>
      </c>
      <c r="DU45" t="e">
        <f>'SurveyRpt_20150223 (1)'!W277+"h_l!$Mt"</f>
        <v>#VALUE!</v>
      </c>
      <c r="DV45" t="e">
        <f>'SurveyRpt_20150223 (1)'!X277+"h_l!$Mu"</f>
        <v>#VALUE!</v>
      </c>
      <c r="DW45" t="e">
        <f>'SurveyRpt_20150223 (1)'!Y277+"h_l!$Mv"</f>
        <v>#VALUE!</v>
      </c>
      <c r="DX45" t="e">
        <f>'SurveyRpt_20150223 (1)'!Z277+"h_l!$Mw"</f>
        <v>#VALUE!</v>
      </c>
      <c r="DY45" t="e">
        <f>'SurveyRpt_20150223 (1)'!AA277+"h_l!$Mx"</f>
        <v>#VALUE!</v>
      </c>
      <c r="DZ45" t="e">
        <f>'SurveyRpt_20150223 (1)'!AB277+"h_l!$My"</f>
        <v>#VALUE!</v>
      </c>
      <c r="EA45" t="e">
        <f>'SurveyRpt_20150223 (1)'!AC277+"h_l!$Mz"</f>
        <v>#VALUE!</v>
      </c>
      <c r="EB45" t="e">
        <f>'SurveyRpt_20150223 (1)'!AD277+"h_l!$M{"</f>
        <v>#VALUE!</v>
      </c>
      <c r="EC45" t="e">
        <f>'SurveyRpt_20150223 (1)'!AE277+"h_l!$M|"</f>
        <v>#VALUE!</v>
      </c>
      <c r="ED45" t="e">
        <f>'SurveyRpt_20150223 (1)'!AF277+"h_l!$M}"</f>
        <v>#VALUE!</v>
      </c>
      <c r="EE45" t="e">
        <f>'SurveyRpt_20150223 (1)'!AG277+"h_l!$M~"</f>
        <v>#VALUE!</v>
      </c>
      <c r="EF45" t="e">
        <f>'SurveyRpt_20150223 (1)'!AH277+"h_l!$N#"</f>
        <v>#VALUE!</v>
      </c>
      <c r="EG45" t="e">
        <f>'SurveyRpt_20150223 (1)'!AI277+"h_l!$N$"</f>
        <v>#VALUE!</v>
      </c>
      <c r="EH45" t="e">
        <f>'SurveyRpt_20150223 (1)'!AJ277+"h_l!$N%"</f>
        <v>#VALUE!</v>
      </c>
      <c r="EI45" t="e">
        <f>'SurveyRpt_20150223 (1)'!AK277+"h_l!$N&amp;"</f>
        <v>#VALUE!</v>
      </c>
      <c r="EJ45" t="e">
        <f>'SurveyRpt_20150223 (1)'!AL277+"h_l!$N'"</f>
        <v>#VALUE!</v>
      </c>
      <c r="EK45" t="e">
        <f>'SurveyRpt_20150223 (1)'!AM277+"h_l!$N("</f>
        <v>#VALUE!</v>
      </c>
      <c r="EL45" t="e">
        <f>'SurveyRpt_20150223 (1)'!AN277+"h_l!$N)"</f>
        <v>#VALUE!</v>
      </c>
      <c r="EM45" t="e">
        <f>'SurveyRpt_20150223 (1)'!A278+"h_l!$N."</f>
        <v>#VALUE!</v>
      </c>
      <c r="EN45" s="25" t="e">
        <f>'SurveyRpt_20150223 (1)'!B278+"h_l!$N/"</f>
        <v>#VALUE!</v>
      </c>
      <c r="EO45" t="e">
        <f>'SurveyRpt_20150223 (1)'!C278+"h_l!$N0"</f>
        <v>#VALUE!</v>
      </c>
      <c r="EP45" s="25" t="e">
        <f>'SurveyRpt_20150223 (1)'!D278+"h_l!$N1"</f>
        <v>#VALUE!</v>
      </c>
      <c r="EQ45" t="e">
        <f>'SurveyRpt_20150223 (1)'!E278+"h_l!$N2"</f>
        <v>#VALUE!</v>
      </c>
      <c r="ER45" t="e">
        <f>'SurveyRpt_20150223 (1)'!F278+"h_l!$N3"</f>
        <v>#VALUE!</v>
      </c>
      <c r="ES45" t="e">
        <f>'SurveyRpt_20150223 (1)'!G278+"h_l!$N4"</f>
        <v>#VALUE!</v>
      </c>
      <c r="ET45" t="e">
        <f>'SurveyRpt_20150223 (1)'!H278+"h_l!$N5"</f>
        <v>#VALUE!</v>
      </c>
      <c r="EU45" t="e">
        <f>'SurveyRpt_20150223 (1)'!I278+"h_l!$N6"</f>
        <v>#VALUE!</v>
      </c>
      <c r="EV45" t="e">
        <f>'SurveyRpt_20150223 (1)'!J278+"h_l!$N7"</f>
        <v>#VALUE!</v>
      </c>
      <c r="EW45" t="e">
        <f>'SurveyRpt_20150223 (1)'!K278+"h_l!$N8"</f>
        <v>#VALUE!</v>
      </c>
      <c r="EX45" t="e">
        <f>'SurveyRpt_20150223 (1)'!L278+"h_l!$N9"</f>
        <v>#VALUE!</v>
      </c>
      <c r="EY45" t="e">
        <f>'SurveyRpt_20150223 (1)'!M278+"h_l!$N:"</f>
        <v>#VALUE!</v>
      </c>
      <c r="EZ45" t="e">
        <f>'SurveyRpt_20150223 (1)'!N278+"h_l!$N;"</f>
        <v>#VALUE!</v>
      </c>
      <c r="FA45" t="e">
        <f>'SurveyRpt_20150223 (1)'!O278+"h_l!$N&lt;"</f>
        <v>#VALUE!</v>
      </c>
      <c r="FB45" t="e">
        <f>'SurveyRpt_20150223 (1)'!P278+"h_l!$N="</f>
        <v>#VALUE!</v>
      </c>
      <c r="FC45" t="e">
        <f>'SurveyRpt_20150223 (1)'!Q278+"h_l!$N&gt;"</f>
        <v>#VALUE!</v>
      </c>
      <c r="FD45" t="e">
        <f>'SurveyRpt_20150223 (1)'!R278+"h_l!$N?"</f>
        <v>#VALUE!</v>
      </c>
      <c r="FE45" t="e">
        <f>'SurveyRpt_20150223 (1)'!S278+"h_l!$N@"</f>
        <v>#VALUE!</v>
      </c>
      <c r="FF45" t="e">
        <f>'SurveyRpt_20150223 (1)'!T278+"h_l!$NA"</f>
        <v>#VALUE!</v>
      </c>
      <c r="FG45" t="e">
        <f>'SurveyRpt_20150223 (1)'!U278+"h_l!$NB"</f>
        <v>#VALUE!</v>
      </c>
      <c r="FH45" t="e">
        <f>'SurveyRpt_20150223 (1)'!V278+"h_l!$NC"</f>
        <v>#VALUE!</v>
      </c>
      <c r="FI45" t="e">
        <f>'SurveyRpt_20150223 (1)'!W278+"h_l!$ND"</f>
        <v>#VALUE!</v>
      </c>
      <c r="FJ45" t="e">
        <f>'SurveyRpt_20150223 (1)'!X278+"h_l!$NE"</f>
        <v>#VALUE!</v>
      </c>
      <c r="FK45" t="e">
        <f>'SurveyRpt_20150223 (1)'!Y278+"h_l!$NF"</f>
        <v>#VALUE!</v>
      </c>
      <c r="FL45" t="e">
        <f>'SurveyRpt_20150223 (1)'!Z278+"h_l!$NG"</f>
        <v>#VALUE!</v>
      </c>
      <c r="FM45" t="e">
        <f>'SurveyRpt_20150223 (1)'!AA278+"h_l!$NH"</f>
        <v>#VALUE!</v>
      </c>
      <c r="FN45" t="e">
        <f>'SurveyRpt_20150223 (1)'!AB278+"h_l!$NI"</f>
        <v>#VALUE!</v>
      </c>
      <c r="FO45" t="e">
        <f>'SurveyRpt_20150223 (1)'!AC278+"h_l!$NJ"</f>
        <v>#VALUE!</v>
      </c>
      <c r="FP45" t="e">
        <f>'SurveyRpt_20150223 (1)'!AD278+"h_l!$NK"</f>
        <v>#VALUE!</v>
      </c>
      <c r="FQ45" t="e">
        <f>'SurveyRpt_20150223 (1)'!AE278+"h_l!$NL"</f>
        <v>#VALUE!</v>
      </c>
      <c r="FR45" t="e">
        <f>'SurveyRpt_20150223 (1)'!AF278+"h_l!$NM"</f>
        <v>#VALUE!</v>
      </c>
      <c r="FS45" t="e">
        <f>'SurveyRpt_20150223 (1)'!AG278+"h_l!$NN"</f>
        <v>#VALUE!</v>
      </c>
      <c r="FT45" t="e">
        <f>'SurveyRpt_20150223 (1)'!AH278+"h_l!$NO"</f>
        <v>#VALUE!</v>
      </c>
      <c r="FU45" t="e">
        <f>'SurveyRpt_20150223 (1)'!AI278+"h_l!$NP"</f>
        <v>#VALUE!</v>
      </c>
      <c r="FV45" t="e">
        <f>'SurveyRpt_20150223 (1)'!AJ278+"h_l!$NQ"</f>
        <v>#VALUE!</v>
      </c>
      <c r="FW45" t="e">
        <f>'SurveyRpt_20150223 (1)'!AK278+"h_l!$NR"</f>
        <v>#VALUE!</v>
      </c>
      <c r="FX45" t="e">
        <f>'SurveyRpt_20150223 (1)'!AL278+"h_l!$NS"</f>
        <v>#VALUE!</v>
      </c>
      <c r="FY45" t="e">
        <f>'SurveyRpt_20150223 (1)'!AM278+"h_l!$NT"</f>
        <v>#VALUE!</v>
      </c>
      <c r="FZ45" t="e">
        <f>'SurveyRpt_20150223 (1)'!AN278+"h_l!$NU"</f>
        <v>#VALUE!</v>
      </c>
      <c r="GA45" t="e">
        <f>'SurveyRpt_20150223 (1)'!A279+"h_l!$NV"</f>
        <v>#VALUE!</v>
      </c>
      <c r="GB45" s="25" t="e">
        <f>'SurveyRpt_20150223 (1)'!B279+"h_l!$NW"</f>
        <v>#VALUE!</v>
      </c>
      <c r="GC45" t="e">
        <f>'SurveyRpt_20150223 (1)'!C279+"h_l!$NX"</f>
        <v>#VALUE!</v>
      </c>
      <c r="GD45" s="25" t="e">
        <f>'SurveyRpt_20150223 (1)'!D279+"h_l!$NY"</f>
        <v>#VALUE!</v>
      </c>
      <c r="GE45" t="e">
        <f>'SurveyRpt_20150223 (1)'!E279+"h_l!$NZ"</f>
        <v>#VALUE!</v>
      </c>
      <c r="GF45" t="e">
        <f>'SurveyRpt_20150223 (1)'!F279+"h_l!$N["</f>
        <v>#VALUE!</v>
      </c>
      <c r="GG45" t="e">
        <f>'SurveyRpt_20150223 (1)'!G279+"h_l!$N\"</f>
        <v>#VALUE!</v>
      </c>
      <c r="GH45" t="e">
        <f>'SurveyRpt_20150223 (1)'!H279+"h_l!$N]"</f>
        <v>#VALUE!</v>
      </c>
      <c r="GI45" t="e">
        <f>'SurveyRpt_20150223 (1)'!I279+"h_l!$N^"</f>
        <v>#VALUE!</v>
      </c>
      <c r="GJ45" t="e">
        <f>'SurveyRpt_20150223 (1)'!J279+"h_l!$N_"</f>
        <v>#VALUE!</v>
      </c>
      <c r="GK45" t="e">
        <f>'SurveyRpt_20150223 (1)'!K279+"h_l!$N`"</f>
        <v>#VALUE!</v>
      </c>
      <c r="GL45" t="e">
        <f>'SurveyRpt_20150223 (1)'!L279+"h_l!$Na"</f>
        <v>#VALUE!</v>
      </c>
      <c r="GM45" t="e">
        <f>'SurveyRpt_20150223 (1)'!M279+"h_l!$Nb"</f>
        <v>#VALUE!</v>
      </c>
      <c r="GN45" t="e">
        <f>'SurveyRpt_20150223 (1)'!N279+"h_l!$Nc"</f>
        <v>#VALUE!</v>
      </c>
      <c r="GO45" t="e">
        <f>'SurveyRpt_20150223 (1)'!O279+"h_l!$Nd"</f>
        <v>#VALUE!</v>
      </c>
      <c r="GP45" t="e">
        <f>'SurveyRpt_20150223 (1)'!P279+"h_l!$Ne"</f>
        <v>#VALUE!</v>
      </c>
      <c r="GQ45" t="e">
        <f>'SurveyRpt_20150223 (1)'!Q279+"h_l!$Nf"</f>
        <v>#VALUE!</v>
      </c>
      <c r="GR45" t="e">
        <f>'SurveyRpt_20150223 (1)'!R279+"h_l!$Ng"</f>
        <v>#VALUE!</v>
      </c>
      <c r="GS45" t="e">
        <f>'SurveyRpt_20150223 (1)'!S279+"h_l!$Nh"</f>
        <v>#VALUE!</v>
      </c>
      <c r="GT45" t="e">
        <f>'SurveyRpt_20150223 (1)'!T279+"h_l!$Ni"</f>
        <v>#VALUE!</v>
      </c>
      <c r="GU45" t="e">
        <f>'SurveyRpt_20150223 (1)'!U279+"h_l!$Nj"</f>
        <v>#VALUE!</v>
      </c>
      <c r="GV45" t="e">
        <f>'SurveyRpt_20150223 (1)'!V279+"h_l!$Nk"</f>
        <v>#VALUE!</v>
      </c>
      <c r="GW45" t="e">
        <f>'SurveyRpt_20150223 (1)'!W279+"h_l!$Nl"</f>
        <v>#VALUE!</v>
      </c>
      <c r="GX45" t="e">
        <f>'SurveyRpt_20150223 (1)'!X279+"h_l!$Nm"</f>
        <v>#VALUE!</v>
      </c>
      <c r="GY45" t="e">
        <f>'SurveyRpt_20150223 (1)'!Y279+"h_l!$Nn"</f>
        <v>#VALUE!</v>
      </c>
      <c r="GZ45" t="e">
        <f>'SurveyRpt_20150223 (1)'!Z279+"h_l!$No"</f>
        <v>#VALUE!</v>
      </c>
      <c r="HA45" t="e">
        <f>'SurveyRpt_20150223 (1)'!AA279+"h_l!$Np"</f>
        <v>#VALUE!</v>
      </c>
      <c r="HB45" t="e">
        <f>'SurveyRpt_20150223 (1)'!AB279+"h_l!$Nq"</f>
        <v>#VALUE!</v>
      </c>
      <c r="HC45" t="e">
        <f>'SurveyRpt_20150223 (1)'!AC279+"h_l!$Nr"</f>
        <v>#VALUE!</v>
      </c>
      <c r="HD45" t="e">
        <f>'SurveyRpt_20150223 (1)'!AD279+"h_l!$Ns"</f>
        <v>#VALUE!</v>
      </c>
      <c r="HE45" t="e">
        <f>'SurveyRpt_20150223 (1)'!AE279+"h_l!$Nt"</f>
        <v>#VALUE!</v>
      </c>
      <c r="HF45" t="e">
        <f>'SurveyRpt_20150223 (1)'!AF279+"h_l!$Nu"</f>
        <v>#VALUE!</v>
      </c>
      <c r="HG45" t="e">
        <f>'SurveyRpt_20150223 (1)'!AG279+"h_l!$Nv"</f>
        <v>#VALUE!</v>
      </c>
      <c r="HH45" t="e">
        <f>'SurveyRpt_20150223 (1)'!AH279+"h_l!$Nw"</f>
        <v>#VALUE!</v>
      </c>
      <c r="HI45" t="e">
        <f>'SurveyRpt_20150223 (1)'!AI279+"h_l!$Nx"</f>
        <v>#VALUE!</v>
      </c>
      <c r="HJ45" t="e">
        <f>'SurveyRpt_20150223 (1)'!AJ279+"h_l!$Ny"</f>
        <v>#VALUE!</v>
      </c>
      <c r="HK45" t="e">
        <f>'SurveyRpt_20150223 (1)'!AK279+"h_l!$Nz"</f>
        <v>#VALUE!</v>
      </c>
      <c r="HL45" t="e">
        <f>'SurveyRpt_20150223 (1)'!AL279+"h_l!$N{"</f>
        <v>#VALUE!</v>
      </c>
      <c r="HM45" t="e">
        <f>'SurveyRpt_20150223 (1)'!AM279+"h_l!$N|"</f>
        <v>#VALUE!</v>
      </c>
      <c r="HN45" t="e">
        <f>'SurveyRpt_20150223 (1)'!AN279+"h_l!$N}"</f>
        <v>#VALUE!</v>
      </c>
      <c r="HO45" t="e">
        <f>'SurveyRpt_20150223 (1)'!A280+"h_l!$N~"</f>
        <v>#VALUE!</v>
      </c>
      <c r="HP45" s="25" t="e">
        <f>'SurveyRpt_20150223 (1)'!B280+"h_l!$O#"</f>
        <v>#VALUE!</v>
      </c>
      <c r="HQ45" t="e">
        <f>'SurveyRpt_20150223 (1)'!C280+"h_l!$O$"</f>
        <v>#VALUE!</v>
      </c>
      <c r="HR45" s="25" t="e">
        <f>'SurveyRpt_20150223 (1)'!D280+"h_l!$O%"</f>
        <v>#VALUE!</v>
      </c>
      <c r="HS45" t="e">
        <f>'SurveyRpt_20150223 (1)'!E280+"h_l!$O&amp;"</f>
        <v>#VALUE!</v>
      </c>
      <c r="HT45" t="e">
        <f>'SurveyRpt_20150223 (1)'!F280+"h_l!$O'"</f>
        <v>#VALUE!</v>
      </c>
      <c r="HU45" t="e">
        <f>'SurveyRpt_20150223 (1)'!G280+"h_l!$O("</f>
        <v>#VALUE!</v>
      </c>
      <c r="HV45" t="e">
        <f>'SurveyRpt_20150223 (1)'!H280+"h_l!$O)"</f>
        <v>#VALUE!</v>
      </c>
      <c r="HW45" t="e">
        <f>'SurveyRpt_20150223 (1)'!I280+"h_l!$O."</f>
        <v>#VALUE!</v>
      </c>
      <c r="HX45" t="e">
        <f>'SurveyRpt_20150223 (1)'!J280+"h_l!$O/"</f>
        <v>#VALUE!</v>
      </c>
      <c r="HY45" t="e">
        <f>'SurveyRpt_20150223 (1)'!K280+"h_l!$O0"</f>
        <v>#VALUE!</v>
      </c>
      <c r="HZ45" t="e">
        <f>'SurveyRpt_20150223 (1)'!L280+"h_l!$O1"</f>
        <v>#VALUE!</v>
      </c>
      <c r="IA45" t="e">
        <f>'SurveyRpt_20150223 (1)'!M280+"h_l!$O2"</f>
        <v>#VALUE!</v>
      </c>
      <c r="IB45" t="e">
        <f>'SurveyRpt_20150223 (1)'!N280+"h_l!$O3"</f>
        <v>#VALUE!</v>
      </c>
      <c r="IC45" t="e">
        <f>'SurveyRpt_20150223 (1)'!O280+"h_l!$O4"</f>
        <v>#VALUE!</v>
      </c>
      <c r="ID45" t="e">
        <f>'SurveyRpt_20150223 (1)'!P280+"h_l!$O5"</f>
        <v>#VALUE!</v>
      </c>
      <c r="IE45" t="e">
        <f>'SurveyRpt_20150223 (1)'!Q280+"h_l!$O6"</f>
        <v>#VALUE!</v>
      </c>
      <c r="IF45" t="e">
        <f>'SurveyRpt_20150223 (1)'!R280+"h_l!$O7"</f>
        <v>#VALUE!</v>
      </c>
      <c r="IG45" t="e">
        <f>'SurveyRpt_20150223 (1)'!S280+"h_l!$O8"</f>
        <v>#VALUE!</v>
      </c>
      <c r="IH45" t="e">
        <f>'SurveyRpt_20150223 (1)'!T280+"h_l!$O9"</f>
        <v>#VALUE!</v>
      </c>
      <c r="II45" t="e">
        <f>'SurveyRpt_20150223 (1)'!U280+"h_l!$O:"</f>
        <v>#VALUE!</v>
      </c>
      <c r="IJ45" t="e">
        <f>'SurveyRpt_20150223 (1)'!V280+"h_l!$O;"</f>
        <v>#VALUE!</v>
      </c>
      <c r="IK45" t="e">
        <f>'SurveyRpt_20150223 (1)'!W280+"h_l!$O&lt;"</f>
        <v>#VALUE!</v>
      </c>
      <c r="IL45" t="e">
        <f>'SurveyRpt_20150223 (1)'!X280+"h_l!$O="</f>
        <v>#VALUE!</v>
      </c>
      <c r="IM45" t="e">
        <f>'SurveyRpt_20150223 (1)'!Y280+"h_l!$O&gt;"</f>
        <v>#VALUE!</v>
      </c>
      <c r="IN45" t="e">
        <f>'SurveyRpt_20150223 (1)'!Z280+"h_l!$O?"</f>
        <v>#VALUE!</v>
      </c>
      <c r="IO45" t="e">
        <f>'SurveyRpt_20150223 (1)'!AA280+"h_l!$O@"</f>
        <v>#VALUE!</v>
      </c>
      <c r="IP45" t="e">
        <f>'SurveyRpt_20150223 (1)'!AB280+"h_l!$OA"</f>
        <v>#VALUE!</v>
      </c>
      <c r="IQ45" t="e">
        <f>'SurveyRpt_20150223 (1)'!AC280+"h_l!$OB"</f>
        <v>#VALUE!</v>
      </c>
      <c r="IR45" t="e">
        <f>'SurveyRpt_20150223 (1)'!AD280+"h_l!$OC"</f>
        <v>#VALUE!</v>
      </c>
      <c r="IS45" t="e">
        <f>'SurveyRpt_20150223 (1)'!AE280+"h_l!$OD"</f>
        <v>#VALUE!</v>
      </c>
      <c r="IT45" t="e">
        <f>'SurveyRpt_20150223 (1)'!AF280+"h_l!$OE"</f>
        <v>#VALUE!</v>
      </c>
      <c r="IU45" t="e">
        <f>'SurveyRpt_20150223 (1)'!AG280+"h_l!$OF"</f>
        <v>#VALUE!</v>
      </c>
      <c r="IV45" t="e">
        <f>'SurveyRpt_20150223 (1)'!AH280+"h_l!$OG"</f>
        <v>#VALUE!</v>
      </c>
    </row>
    <row r="46" spans="6:256" x14ac:dyDescent="0.25">
      <c r="F46" t="e">
        <f>'SurveyRpt_20150223 (1)'!AI280+"h_l!$OH"</f>
        <v>#VALUE!</v>
      </c>
      <c r="G46" t="e">
        <f>'SurveyRpt_20150223 (1)'!AJ280+"h_l!$OI"</f>
        <v>#VALUE!</v>
      </c>
      <c r="H46" t="e">
        <f>'SurveyRpt_20150223 (1)'!AK280+"h_l!$OJ"</f>
        <v>#VALUE!</v>
      </c>
      <c r="I46" t="e">
        <f>'SurveyRpt_20150223 (1)'!AL280+"h_l!$OK"</f>
        <v>#VALUE!</v>
      </c>
      <c r="J46" t="e">
        <f>'SurveyRpt_20150223 (1)'!AM280+"h_l!$OL"</f>
        <v>#VALUE!</v>
      </c>
      <c r="K46" t="e">
        <f>'SurveyRpt_20150223 (1)'!AN280+"h_l!$OM"</f>
        <v>#VALUE!</v>
      </c>
      <c r="L46" t="e">
        <f>'SurveyRpt_20150223 (1)'!A281+"h_l!$ON"</f>
        <v>#VALUE!</v>
      </c>
      <c r="M46" s="25" t="e">
        <f>'SurveyRpt_20150223 (1)'!B281+"h_l!$OO"</f>
        <v>#VALUE!</v>
      </c>
      <c r="N46" t="e">
        <f>'SurveyRpt_20150223 (1)'!C281+"h_l!$OP"</f>
        <v>#VALUE!</v>
      </c>
      <c r="O46" s="25" t="e">
        <f>'SurveyRpt_20150223 (1)'!D281+"h_l!$OQ"</f>
        <v>#VALUE!</v>
      </c>
      <c r="P46" t="e">
        <f>'SurveyRpt_20150223 (1)'!E281+"h_l!$OR"</f>
        <v>#VALUE!</v>
      </c>
      <c r="Q46" t="e">
        <f>'SurveyRpt_20150223 (1)'!F281+"h_l!$OS"</f>
        <v>#VALUE!</v>
      </c>
      <c r="R46" t="e">
        <f>'SurveyRpt_20150223 (1)'!G281+"h_l!$OT"</f>
        <v>#VALUE!</v>
      </c>
      <c r="S46" t="e">
        <f>'SurveyRpt_20150223 (1)'!H281+"h_l!$OU"</f>
        <v>#VALUE!</v>
      </c>
      <c r="T46" t="e">
        <f>'SurveyRpt_20150223 (1)'!I281+"h_l!$OV"</f>
        <v>#VALUE!</v>
      </c>
      <c r="U46" t="e">
        <f>'SurveyRpt_20150223 (1)'!J281+"h_l!$OW"</f>
        <v>#VALUE!</v>
      </c>
      <c r="V46" t="e">
        <f>'SurveyRpt_20150223 (1)'!K281+"h_l!$OX"</f>
        <v>#VALUE!</v>
      </c>
      <c r="W46" t="e">
        <f>'SurveyRpt_20150223 (1)'!L281+"h_l!$OY"</f>
        <v>#VALUE!</v>
      </c>
      <c r="X46" t="e">
        <f>'SurveyRpt_20150223 (1)'!M281+"h_l!$OZ"</f>
        <v>#VALUE!</v>
      </c>
      <c r="Y46" t="e">
        <f>'SurveyRpt_20150223 (1)'!N281+"h_l!$O["</f>
        <v>#VALUE!</v>
      </c>
      <c r="Z46" t="e">
        <f>'SurveyRpt_20150223 (1)'!O281+"h_l!$O\"</f>
        <v>#VALUE!</v>
      </c>
      <c r="AA46" t="e">
        <f>'SurveyRpt_20150223 (1)'!P281+"h_l!$O]"</f>
        <v>#VALUE!</v>
      </c>
      <c r="AB46" t="e">
        <f>'SurveyRpt_20150223 (1)'!Q281+"h_l!$O^"</f>
        <v>#VALUE!</v>
      </c>
      <c r="AC46" t="e">
        <f>'SurveyRpt_20150223 (1)'!R281+"h_l!$O_"</f>
        <v>#VALUE!</v>
      </c>
      <c r="AD46" t="e">
        <f>'SurveyRpt_20150223 (1)'!S281+"h_l!$O`"</f>
        <v>#VALUE!</v>
      </c>
      <c r="AE46" t="e">
        <f>'SurveyRpt_20150223 (1)'!T281+"h_l!$Oa"</f>
        <v>#VALUE!</v>
      </c>
      <c r="AF46" t="e">
        <f>'SurveyRpt_20150223 (1)'!U281+"h_l!$Ob"</f>
        <v>#VALUE!</v>
      </c>
      <c r="AG46" t="e">
        <f>'SurveyRpt_20150223 (1)'!V281+"h_l!$Oc"</f>
        <v>#VALUE!</v>
      </c>
      <c r="AH46" t="e">
        <f>'SurveyRpt_20150223 (1)'!W281+"h_l!$Od"</f>
        <v>#VALUE!</v>
      </c>
      <c r="AI46" t="e">
        <f>'SurveyRpt_20150223 (1)'!X281+"h_l!$Oe"</f>
        <v>#VALUE!</v>
      </c>
      <c r="AJ46" t="e">
        <f>'SurveyRpt_20150223 (1)'!Y281+"h_l!$Of"</f>
        <v>#VALUE!</v>
      </c>
      <c r="AK46" t="e">
        <f>'SurveyRpt_20150223 (1)'!Z281+"h_l!$Og"</f>
        <v>#VALUE!</v>
      </c>
      <c r="AL46" t="e">
        <f>'SurveyRpt_20150223 (1)'!AA281+"h_l!$Oh"</f>
        <v>#VALUE!</v>
      </c>
      <c r="AM46" t="e">
        <f>'SurveyRpt_20150223 (1)'!AB281+"h_l!$Oi"</f>
        <v>#VALUE!</v>
      </c>
      <c r="AN46" t="e">
        <f>'SurveyRpt_20150223 (1)'!AC281+"h_l!$Oj"</f>
        <v>#VALUE!</v>
      </c>
      <c r="AO46" t="e">
        <f>'SurveyRpt_20150223 (1)'!AD281+"h_l!$Ok"</f>
        <v>#VALUE!</v>
      </c>
      <c r="AP46" t="e">
        <f>'SurveyRpt_20150223 (1)'!AE281+"h_l!$Ol"</f>
        <v>#VALUE!</v>
      </c>
      <c r="AQ46" t="e">
        <f>'SurveyRpt_20150223 (1)'!AF281+"h_l!$Om"</f>
        <v>#VALUE!</v>
      </c>
      <c r="AR46" t="e">
        <f>'SurveyRpt_20150223 (1)'!AG281+"h_l!$On"</f>
        <v>#VALUE!</v>
      </c>
      <c r="AS46" t="e">
        <f>'SurveyRpt_20150223 (1)'!AH281+"h_l!$Oo"</f>
        <v>#VALUE!</v>
      </c>
      <c r="AT46" t="e">
        <f>'SurveyRpt_20150223 (1)'!AI281+"h_l!$Op"</f>
        <v>#VALUE!</v>
      </c>
      <c r="AU46" t="e">
        <f>'SurveyRpt_20150223 (1)'!AJ281+"h_l!$Oq"</f>
        <v>#VALUE!</v>
      </c>
      <c r="AV46" t="e">
        <f>'SurveyRpt_20150223 (1)'!AK281+"h_l!$Or"</f>
        <v>#VALUE!</v>
      </c>
      <c r="AW46" t="e">
        <f>'SurveyRpt_20150223 (1)'!AL281+"h_l!$Os"</f>
        <v>#VALUE!</v>
      </c>
      <c r="AX46" t="e">
        <f>'SurveyRpt_20150223 (1)'!AM281+"h_l!$Ot"</f>
        <v>#VALUE!</v>
      </c>
      <c r="AY46" t="e">
        <f>'SurveyRpt_20150223 (1)'!AN281+"h_l!$Ou"</f>
        <v>#VALUE!</v>
      </c>
      <c r="AZ46" t="e">
        <f>'SurveyRpt_20150223 (1)'!A282+"h_l!$Ov"</f>
        <v>#VALUE!</v>
      </c>
      <c r="BA46" s="25" t="e">
        <f>'SurveyRpt_20150223 (1)'!B282+"h_l!$Ow"</f>
        <v>#VALUE!</v>
      </c>
      <c r="BB46" t="e">
        <f>'SurveyRpt_20150223 (1)'!C282+"h_l!$Ox"</f>
        <v>#VALUE!</v>
      </c>
      <c r="BC46" s="25" t="e">
        <f>'SurveyRpt_20150223 (1)'!D282+"h_l!$Oy"</f>
        <v>#VALUE!</v>
      </c>
      <c r="BD46" t="e">
        <f>'SurveyRpt_20150223 (1)'!E282+"h_l!$Oz"</f>
        <v>#VALUE!</v>
      </c>
      <c r="BE46" t="e">
        <f>'SurveyRpt_20150223 (1)'!F282+"h_l!$O{"</f>
        <v>#VALUE!</v>
      </c>
      <c r="BF46" t="e">
        <f>'SurveyRpt_20150223 (1)'!G282+"h_l!$O|"</f>
        <v>#VALUE!</v>
      </c>
      <c r="BG46" t="e">
        <f>'SurveyRpt_20150223 (1)'!H282+"h_l!$O}"</f>
        <v>#VALUE!</v>
      </c>
      <c r="BH46" t="e">
        <f>'SurveyRpt_20150223 (1)'!I282+"h_l!$O~"</f>
        <v>#VALUE!</v>
      </c>
      <c r="BI46" t="e">
        <f>'SurveyRpt_20150223 (1)'!J282+"h_l!$P#"</f>
        <v>#VALUE!</v>
      </c>
      <c r="BJ46" t="e">
        <f>'SurveyRpt_20150223 (1)'!K282+"h_l!$P$"</f>
        <v>#VALUE!</v>
      </c>
      <c r="BK46" t="e">
        <f>'SurveyRpt_20150223 (1)'!L282+"h_l!$P%"</f>
        <v>#VALUE!</v>
      </c>
      <c r="BL46" t="e">
        <f>'SurveyRpt_20150223 (1)'!M282+"h_l!$P&amp;"</f>
        <v>#VALUE!</v>
      </c>
      <c r="BM46" t="e">
        <f>'SurveyRpt_20150223 (1)'!N282+"h_l!$P'"</f>
        <v>#VALUE!</v>
      </c>
      <c r="BN46" t="e">
        <f>'SurveyRpt_20150223 (1)'!O282+"h_l!$P("</f>
        <v>#VALUE!</v>
      </c>
      <c r="BO46" t="e">
        <f>'SurveyRpt_20150223 (1)'!P282+"h_l!$P)"</f>
        <v>#VALUE!</v>
      </c>
      <c r="BP46" t="e">
        <f>'SurveyRpt_20150223 (1)'!Q282+"h_l!$P."</f>
        <v>#VALUE!</v>
      </c>
      <c r="BQ46" t="e">
        <f>'SurveyRpt_20150223 (1)'!R282+"h_l!$P/"</f>
        <v>#VALUE!</v>
      </c>
      <c r="BR46" t="e">
        <f>'SurveyRpt_20150223 (1)'!S282+"h_l!$P0"</f>
        <v>#VALUE!</v>
      </c>
      <c r="BS46" t="e">
        <f>'SurveyRpt_20150223 (1)'!T282+"h_l!$P1"</f>
        <v>#VALUE!</v>
      </c>
      <c r="BT46" t="e">
        <f>'SurveyRpt_20150223 (1)'!U282+"h_l!$P2"</f>
        <v>#VALUE!</v>
      </c>
      <c r="BU46" t="e">
        <f>'SurveyRpt_20150223 (1)'!V282+"h_l!$P3"</f>
        <v>#VALUE!</v>
      </c>
      <c r="BV46" t="e">
        <f>'SurveyRpt_20150223 (1)'!W282+"h_l!$P4"</f>
        <v>#VALUE!</v>
      </c>
      <c r="BW46" t="e">
        <f>'SurveyRpt_20150223 (1)'!X282+"h_l!$P5"</f>
        <v>#VALUE!</v>
      </c>
      <c r="BX46" t="e">
        <f>'SurveyRpt_20150223 (1)'!Y282+"h_l!$P6"</f>
        <v>#VALUE!</v>
      </c>
      <c r="BY46" t="e">
        <f>'SurveyRpt_20150223 (1)'!Z282+"h_l!$P7"</f>
        <v>#VALUE!</v>
      </c>
      <c r="BZ46" t="e">
        <f>'SurveyRpt_20150223 (1)'!AA282+"h_l!$P8"</f>
        <v>#VALUE!</v>
      </c>
      <c r="CA46" t="e">
        <f>'SurveyRpt_20150223 (1)'!AB282+"h_l!$P9"</f>
        <v>#VALUE!</v>
      </c>
      <c r="CB46" t="e">
        <f>'SurveyRpt_20150223 (1)'!AC282+"h_l!$P:"</f>
        <v>#VALUE!</v>
      </c>
      <c r="CC46" t="e">
        <f>'SurveyRpt_20150223 (1)'!AD282+"h_l!$P;"</f>
        <v>#VALUE!</v>
      </c>
      <c r="CD46" t="e">
        <f>'SurveyRpt_20150223 (1)'!AE282+"h_l!$P&lt;"</f>
        <v>#VALUE!</v>
      </c>
      <c r="CE46" t="e">
        <f>'SurveyRpt_20150223 (1)'!AF282+"h_l!$P="</f>
        <v>#VALUE!</v>
      </c>
      <c r="CF46" t="e">
        <f>'SurveyRpt_20150223 (1)'!AG282+"h_l!$P&gt;"</f>
        <v>#VALUE!</v>
      </c>
      <c r="CG46" t="e">
        <f>'SurveyRpt_20150223 (1)'!AH282+"h_l!$P?"</f>
        <v>#VALUE!</v>
      </c>
      <c r="CH46" t="e">
        <f>'SurveyRpt_20150223 (1)'!AI282+"h_l!$P@"</f>
        <v>#VALUE!</v>
      </c>
      <c r="CI46" t="e">
        <f>'SurveyRpt_20150223 (1)'!AJ282+"h_l!$PA"</f>
        <v>#VALUE!</v>
      </c>
      <c r="CJ46" t="e">
        <f>'SurveyRpt_20150223 (1)'!AK282+"h_l!$PB"</f>
        <v>#VALUE!</v>
      </c>
      <c r="CK46" t="e">
        <f>'SurveyRpt_20150223 (1)'!AL282+"h_l!$PC"</f>
        <v>#VALUE!</v>
      </c>
      <c r="CL46" t="e">
        <f>'SurveyRpt_20150223 (1)'!AM282+"h_l!$PD"</f>
        <v>#VALUE!</v>
      </c>
      <c r="CM46" t="e">
        <f>'SurveyRpt_20150223 (1)'!AN282+"h_l!$PE"</f>
        <v>#VALUE!</v>
      </c>
      <c r="CN46" t="e">
        <f>'SurveyRpt_20150223 (1)'!A283+"h_l!$PF"</f>
        <v>#VALUE!</v>
      </c>
      <c r="CO46" s="25" t="e">
        <f>'SurveyRpt_20150223 (1)'!B283+"h_l!$PG"</f>
        <v>#VALUE!</v>
      </c>
      <c r="CP46" t="e">
        <f>'SurveyRpt_20150223 (1)'!C283+"h_l!$PH"</f>
        <v>#VALUE!</v>
      </c>
      <c r="CQ46" s="25" t="e">
        <f>'SurveyRpt_20150223 (1)'!D283+"h_l!$PI"</f>
        <v>#VALUE!</v>
      </c>
      <c r="CR46" t="e">
        <f>'SurveyRpt_20150223 (1)'!E283+"h_l!$PJ"</f>
        <v>#VALUE!</v>
      </c>
      <c r="CS46" t="e">
        <f>'SurveyRpt_20150223 (1)'!F283+"h_l!$PK"</f>
        <v>#VALUE!</v>
      </c>
      <c r="CT46" t="e">
        <f>'SurveyRpt_20150223 (1)'!G283+"h_l!$PL"</f>
        <v>#VALUE!</v>
      </c>
      <c r="CU46" t="e">
        <f>'SurveyRpt_20150223 (1)'!H283+"h_l!$PM"</f>
        <v>#VALUE!</v>
      </c>
      <c r="CV46" t="e">
        <f>'SurveyRpt_20150223 (1)'!I283+"h_l!$PN"</f>
        <v>#VALUE!</v>
      </c>
      <c r="CW46" t="e">
        <f>'SurveyRpt_20150223 (1)'!J283+"h_l!$PO"</f>
        <v>#VALUE!</v>
      </c>
      <c r="CX46" t="e">
        <f>'SurveyRpt_20150223 (1)'!K283+"h_l!$PP"</f>
        <v>#VALUE!</v>
      </c>
      <c r="CY46" t="e">
        <f>'SurveyRpt_20150223 (1)'!L283+"h_l!$PQ"</f>
        <v>#VALUE!</v>
      </c>
      <c r="CZ46" t="e">
        <f>'SurveyRpt_20150223 (1)'!M283+"h_l!$PR"</f>
        <v>#VALUE!</v>
      </c>
      <c r="DA46" t="e">
        <f>'SurveyRpt_20150223 (1)'!N283+"h_l!$PS"</f>
        <v>#VALUE!</v>
      </c>
      <c r="DB46" t="e">
        <f>'SurveyRpt_20150223 (1)'!O283+"h_l!$PT"</f>
        <v>#VALUE!</v>
      </c>
      <c r="DC46" t="e">
        <f>'SurveyRpt_20150223 (1)'!P283+"h_l!$PU"</f>
        <v>#VALUE!</v>
      </c>
      <c r="DD46" t="e">
        <f>'SurveyRpt_20150223 (1)'!Q283+"h_l!$PV"</f>
        <v>#VALUE!</v>
      </c>
      <c r="DE46" t="e">
        <f>'SurveyRpt_20150223 (1)'!R283+"h_l!$PW"</f>
        <v>#VALUE!</v>
      </c>
      <c r="DF46" t="e">
        <f>'SurveyRpt_20150223 (1)'!S283+"h_l!$PX"</f>
        <v>#VALUE!</v>
      </c>
      <c r="DG46" t="e">
        <f>'SurveyRpt_20150223 (1)'!T283+"h_l!$PY"</f>
        <v>#VALUE!</v>
      </c>
      <c r="DH46" t="e">
        <f>'SurveyRpt_20150223 (1)'!U283+"h_l!$PZ"</f>
        <v>#VALUE!</v>
      </c>
      <c r="DI46" t="e">
        <f>'SurveyRpt_20150223 (1)'!V283+"h_l!$P["</f>
        <v>#VALUE!</v>
      </c>
      <c r="DJ46" t="e">
        <f>'SurveyRpt_20150223 (1)'!W283+"h_l!$P\"</f>
        <v>#VALUE!</v>
      </c>
      <c r="DK46" t="e">
        <f>'SurveyRpt_20150223 (1)'!X283+"h_l!$P]"</f>
        <v>#VALUE!</v>
      </c>
      <c r="DL46" t="e">
        <f>'SurveyRpt_20150223 (1)'!Y283+"h_l!$P^"</f>
        <v>#VALUE!</v>
      </c>
      <c r="DM46" t="e">
        <f>'SurveyRpt_20150223 (1)'!Z283+"h_l!$P_"</f>
        <v>#VALUE!</v>
      </c>
      <c r="DN46" t="e">
        <f>'SurveyRpt_20150223 (1)'!AA283+"h_l!$P`"</f>
        <v>#VALUE!</v>
      </c>
      <c r="DO46" t="e">
        <f>'SurveyRpt_20150223 (1)'!AB283+"h_l!$Pa"</f>
        <v>#VALUE!</v>
      </c>
      <c r="DP46" t="e">
        <f>'SurveyRpt_20150223 (1)'!AC283+"h_l!$Pb"</f>
        <v>#VALUE!</v>
      </c>
      <c r="DQ46" t="e">
        <f>'SurveyRpt_20150223 (1)'!AD283+"h_l!$Pc"</f>
        <v>#VALUE!</v>
      </c>
      <c r="DR46" t="e">
        <f>'SurveyRpt_20150223 (1)'!AE283+"h_l!$Pd"</f>
        <v>#VALUE!</v>
      </c>
      <c r="DS46" t="e">
        <f>'SurveyRpt_20150223 (1)'!AF283+"h_l!$Pe"</f>
        <v>#VALUE!</v>
      </c>
      <c r="DT46" t="e">
        <f>'SurveyRpt_20150223 (1)'!AG283+"h_l!$Pf"</f>
        <v>#VALUE!</v>
      </c>
      <c r="DU46" t="e">
        <f>'SurveyRpt_20150223 (1)'!AH283+"h_l!$Pg"</f>
        <v>#VALUE!</v>
      </c>
      <c r="DV46" t="e">
        <f>'SurveyRpt_20150223 (1)'!AI283+"h_l!$Ph"</f>
        <v>#VALUE!</v>
      </c>
      <c r="DW46" t="e">
        <f>'SurveyRpt_20150223 (1)'!AJ283+"h_l!$Pi"</f>
        <v>#VALUE!</v>
      </c>
      <c r="DX46" t="e">
        <f>'SurveyRpt_20150223 (1)'!AK283+"h_l!$Pj"</f>
        <v>#VALUE!</v>
      </c>
      <c r="DY46" t="e">
        <f>'SurveyRpt_20150223 (1)'!AL283+"h_l!$Pk"</f>
        <v>#VALUE!</v>
      </c>
      <c r="DZ46" t="e">
        <f>'SurveyRpt_20150223 (1)'!AM283+"h_l!$Pl"</f>
        <v>#VALUE!</v>
      </c>
      <c r="EA46" t="e">
        <f>'SurveyRpt_20150223 (1)'!AN283+"h_l!$Pm"</f>
        <v>#VALUE!</v>
      </c>
      <c r="EB46" t="e">
        <f>'SurveyRpt_20150223 (1)'!A284+"h_l!$Pn"</f>
        <v>#VALUE!</v>
      </c>
      <c r="EC46" s="25" t="e">
        <f>'SurveyRpt_20150223 (1)'!B284+"h_l!$Po"</f>
        <v>#VALUE!</v>
      </c>
      <c r="ED46" t="e">
        <f>'SurveyRpt_20150223 (1)'!C284+"h_l!$Pp"</f>
        <v>#VALUE!</v>
      </c>
      <c r="EE46" s="25" t="e">
        <f>'SurveyRpt_20150223 (1)'!D284+"h_l!$Pq"</f>
        <v>#VALUE!</v>
      </c>
      <c r="EF46" t="e">
        <f>'SurveyRpt_20150223 (1)'!E284+"h_l!$Pr"</f>
        <v>#VALUE!</v>
      </c>
      <c r="EG46" t="e">
        <f>'SurveyRpt_20150223 (1)'!F284+"h_l!$Ps"</f>
        <v>#VALUE!</v>
      </c>
      <c r="EH46" t="e">
        <f>'SurveyRpt_20150223 (1)'!G284+"h_l!$Pt"</f>
        <v>#VALUE!</v>
      </c>
      <c r="EI46" t="e">
        <f>'SurveyRpt_20150223 (1)'!H284+"h_l!$Pu"</f>
        <v>#VALUE!</v>
      </c>
      <c r="EJ46" t="e">
        <f>'SurveyRpt_20150223 (1)'!I284+"h_l!$Pv"</f>
        <v>#VALUE!</v>
      </c>
      <c r="EK46" t="e">
        <f>'SurveyRpt_20150223 (1)'!J284+"h_l!$Pw"</f>
        <v>#VALUE!</v>
      </c>
      <c r="EL46" t="e">
        <f>'SurveyRpt_20150223 (1)'!K284+"h_l!$Px"</f>
        <v>#VALUE!</v>
      </c>
      <c r="EM46" t="e">
        <f>'SurveyRpt_20150223 (1)'!L284+"h_l!$Py"</f>
        <v>#VALUE!</v>
      </c>
      <c r="EN46" t="e">
        <f>'SurveyRpt_20150223 (1)'!M284+"h_l!$Pz"</f>
        <v>#VALUE!</v>
      </c>
      <c r="EO46" t="e">
        <f>'SurveyRpt_20150223 (1)'!N284+"h_l!$P{"</f>
        <v>#VALUE!</v>
      </c>
      <c r="EP46" t="e">
        <f>'SurveyRpt_20150223 (1)'!O284+"h_l!$P|"</f>
        <v>#VALUE!</v>
      </c>
      <c r="EQ46" t="e">
        <f>'SurveyRpt_20150223 (1)'!P284+"h_l!$P}"</f>
        <v>#VALUE!</v>
      </c>
      <c r="ER46" t="e">
        <f>'SurveyRpt_20150223 (1)'!Q284+"h_l!$P~"</f>
        <v>#VALUE!</v>
      </c>
      <c r="ES46" t="e">
        <f>'SurveyRpt_20150223 (1)'!R284+"h_l!$Q#"</f>
        <v>#VALUE!</v>
      </c>
      <c r="ET46" t="e">
        <f>'SurveyRpt_20150223 (1)'!S284+"h_l!$Q$"</f>
        <v>#VALUE!</v>
      </c>
      <c r="EU46" t="e">
        <f>'SurveyRpt_20150223 (1)'!T284+"h_l!$Q%"</f>
        <v>#VALUE!</v>
      </c>
      <c r="EV46" t="e">
        <f>'SurveyRpt_20150223 (1)'!U284+"h_l!$Q&amp;"</f>
        <v>#VALUE!</v>
      </c>
      <c r="EW46" t="e">
        <f>'SurveyRpt_20150223 (1)'!V284+"h_l!$Q'"</f>
        <v>#VALUE!</v>
      </c>
      <c r="EX46" t="e">
        <f>'SurveyRpt_20150223 (1)'!W284+"h_l!$Q("</f>
        <v>#VALUE!</v>
      </c>
      <c r="EY46" t="e">
        <f>'SurveyRpt_20150223 (1)'!X284+"h_l!$Q)"</f>
        <v>#VALUE!</v>
      </c>
      <c r="EZ46" t="e">
        <f>'SurveyRpt_20150223 (1)'!Y284+"h_l!$Q."</f>
        <v>#VALUE!</v>
      </c>
      <c r="FA46" t="e">
        <f>'SurveyRpt_20150223 (1)'!Z284+"h_l!$Q/"</f>
        <v>#VALUE!</v>
      </c>
      <c r="FB46" t="e">
        <f>'SurveyRpt_20150223 (1)'!AA284+"h_l!$Q0"</f>
        <v>#VALUE!</v>
      </c>
      <c r="FC46" t="e">
        <f>'SurveyRpt_20150223 (1)'!AB284+"h_l!$Q1"</f>
        <v>#VALUE!</v>
      </c>
      <c r="FD46" t="e">
        <f>'SurveyRpt_20150223 (1)'!AC284+"h_l!$Q2"</f>
        <v>#VALUE!</v>
      </c>
      <c r="FE46" t="e">
        <f>'SurveyRpt_20150223 (1)'!AD284+"h_l!$Q3"</f>
        <v>#VALUE!</v>
      </c>
      <c r="FF46" t="e">
        <f>'SurveyRpt_20150223 (1)'!AE284+"h_l!$Q4"</f>
        <v>#VALUE!</v>
      </c>
      <c r="FG46" t="e">
        <f>'SurveyRpt_20150223 (1)'!AF284+"h_l!$Q5"</f>
        <v>#VALUE!</v>
      </c>
      <c r="FH46" t="e">
        <f>'SurveyRpt_20150223 (1)'!AG284+"h_l!$Q6"</f>
        <v>#VALUE!</v>
      </c>
      <c r="FI46" t="e">
        <f>'SurveyRpt_20150223 (1)'!AH284+"h_l!$Q7"</f>
        <v>#VALUE!</v>
      </c>
      <c r="FJ46" t="e">
        <f>'SurveyRpt_20150223 (1)'!AI284+"h_l!$Q8"</f>
        <v>#VALUE!</v>
      </c>
      <c r="FK46" t="e">
        <f>'SurveyRpt_20150223 (1)'!AJ284+"h_l!$Q9"</f>
        <v>#VALUE!</v>
      </c>
      <c r="FL46" t="e">
        <f>'SurveyRpt_20150223 (1)'!AK284+"h_l!$Q:"</f>
        <v>#VALUE!</v>
      </c>
      <c r="FM46" t="e">
        <f>'SurveyRpt_20150223 (1)'!AL284+"h_l!$Q;"</f>
        <v>#VALUE!</v>
      </c>
      <c r="FN46" t="e">
        <f>'SurveyRpt_20150223 (1)'!AM284+"h_l!$Q&lt;"</f>
        <v>#VALUE!</v>
      </c>
      <c r="FO46" t="e">
        <f>'SurveyRpt_20150223 (1)'!AN284+"h_l!$Q="</f>
        <v>#VALUE!</v>
      </c>
      <c r="FP46" t="e">
        <f>'SurveyRpt_20150223 (1)'!A285+"h_l!$Q&gt;"</f>
        <v>#VALUE!</v>
      </c>
      <c r="FQ46" s="25" t="e">
        <f>'SurveyRpt_20150223 (1)'!B285+"h_l!$Q?"</f>
        <v>#VALUE!</v>
      </c>
      <c r="FR46" t="e">
        <f>'SurveyRpt_20150223 (1)'!C285+"h_l!$Q@"</f>
        <v>#VALUE!</v>
      </c>
      <c r="FS46" s="25" t="e">
        <f>'SurveyRpt_20150223 (1)'!D285+"h_l!$QA"</f>
        <v>#VALUE!</v>
      </c>
      <c r="FT46" t="e">
        <f>'SurveyRpt_20150223 (1)'!E285+"h_l!$QB"</f>
        <v>#VALUE!</v>
      </c>
      <c r="FU46" t="e">
        <f>'SurveyRpt_20150223 (1)'!F285+"h_l!$QC"</f>
        <v>#VALUE!</v>
      </c>
      <c r="FV46" t="e">
        <f>'SurveyRpt_20150223 (1)'!G285+"h_l!$QD"</f>
        <v>#VALUE!</v>
      </c>
      <c r="FW46" t="e">
        <f>'SurveyRpt_20150223 (1)'!H285+"h_l!$QE"</f>
        <v>#VALUE!</v>
      </c>
      <c r="FX46" t="e">
        <f>'SurveyRpt_20150223 (1)'!I285+"h_l!$QF"</f>
        <v>#VALUE!</v>
      </c>
      <c r="FY46" t="e">
        <f>'SurveyRpt_20150223 (1)'!J285+"h_l!$QG"</f>
        <v>#VALUE!</v>
      </c>
      <c r="FZ46" t="e">
        <f>'SurveyRpt_20150223 (1)'!K285+"h_l!$QH"</f>
        <v>#VALUE!</v>
      </c>
      <c r="GA46" t="e">
        <f>'SurveyRpt_20150223 (1)'!L285+"h_l!$QI"</f>
        <v>#VALUE!</v>
      </c>
      <c r="GB46" t="e">
        <f>'SurveyRpt_20150223 (1)'!M285+"h_l!$QJ"</f>
        <v>#VALUE!</v>
      </c>
      <c r="GC46" t="e">
        <f>'SurveyRpt_20150223 (1)'!N285+"h_l!$QK"</f>
        <v>#VALUE!</v>
      </c>
      <c r="GD46" t="e">
        <f>'SurveyRpt_20150223 (1)'!O285+"h_l!$QL"</f>
        <v>#VALUE!</v>
      </c>
      <c r="GE46" t="e">
        <f>'SurveyRpt_20150223 (1)'!P285+"h_l!$QM"</f>
        <v>#VALUE!</v>
      </c>
      <c r="GF46" t="e">
        <f>'SurveyRpt_20150223 (1)'!Q285+"h_l!$QN"</f>
        <v>#VALUE!</v>
      </c>
      <c r="GG46" t="e">
        <f>'SurveyRpt_20150223 (1)'!R285+"h_l!$QO"</f>
        <v>#VALUE!</v>
      </c>
      <c r="GH46" t="e">
        <f>'SurveyRpt_20150223 (1)'!S285+"h_l!$QP"</f>
        <v>#VALUE!</v>
      </c>
      <c r="GI46" t="e">
        <f>'SurveyRpt_20150223 (1)'!T285+"h_l!$QQ"</f>
        <v>#VALUE!</v>
      </c>
      <c r="GJ46" t="e">
        <f>'SurveyRpt_20150223 (1)'!U285+"h_l!$QR"</f>
        <v>#VALUE!</v>
      </c>
      <c r="GK46" t="e">
        <f>'SurveyRpt_20150223 (1)'!V285+"h_l!$QS"</f>
        <v>#VALUE!</v>
      </c>
      <c r="GL46" t="e">
        <f>'SurveyRpt_20150223 (1)'!W285+"h_l!$QT"</f>
        <v>#VALUE!</v>
      </c>
      <c r="GM46" t="e">
        <f>'SurveyRpt_20150223 (1)'!X285+"h_l!$QU"</f>
        <v>#VALUE!</v>
      </c>
      <c r="GN46" t="e">
        <f>'SurveyRpt_20150223 (1)'!Y285+"h_l!$QV"</f>
        <v>#VALUE!</v>
      </c>
      <c r="GO46" t="e">
        <f>'SurveyRpt_20150223 (1)'!Z285+"h_l!$QW"</f>
        <v>#VALUE!</v>
      </c>
      <c r="GP46" t="e">
        <f>'SurveyRpt_20150223 (1)'!AA285+"h_l!$QX"</f>
        <v>#VALUE!</v>
      </c>
      <c r="GQ46" t="e">
        <f>'SurveyRpt_20150223 (1)'!AB285+"h_l!$QY"</f>
        <v>#VALUE!</v>
      </c>
      <c r="GR46" t="e">
        <f>'SurveyRpt_20150223 (1)'!AC285+"h_l!$QZ"</f>
        <v>#VALUE!</v>
      </c>
      <c r="GS46" t="e">
        <f>'SurveyRpt_20150223 (1)'!AD285+"h_l!$Q["</f>
        <v>#VALUE!</v>
      </c>
      <c r="GT46" t="e">
        <f>'SurveyRpt_20150223 (1)'!AE285+"h_l!$Q\"</f>
        <v>#VALUE!</v>
      </c>
      <c r="GU46" t="e">
        <f>'SurveyRpt_20150223 (1)'!AF285+"h_l!$Q]"</f>
        <v>#VALUE!</v>
      </c>
      <c r="GV46" t="e">
        <f>'SurveyRpt_20150223 (1)'!AG285+"h_l!$Q^"</f>
        <v>#VALUE!</v>
      </c>
      <c r="GW46" t="e">
        <f>'SurveyRpt_20150223 (1)'!AH285+"h_l!$Q_"</f>
        <v>#VALUE!</v>
      </c>
      <c r="GX46" t="e">
        <f>'SurveyRpt_20150223 (1)'!AI285+"h_l!$Q`"</f>
        <v>#VALUE!</v>
      </c>
      <c r="GY46" t="e">
        <f>'SurveyRpt_20150223 (1)'!AJ285+"h_l!$Qa"</f>
        <v>#VALUE!</v>
      </c>
      <c r="GZ46" t="e">
        <f>'SurveyRpt_20150223 (1)'!AK285+"h_l!$Qb"</f>
        <v>#VALUE!</v>
      </c>
      <c r="HA46" t="e">
        <f>'SurveyRpt_20150223 (1)'!AL285+"h_l!$Qc"</f>
        <v>#VALUE!</v>
      </c>
      <c r="HB46" t="e">
        <f>'SurveyRpt_20150223 (1)'!AM285+"h_l!$Qd"</f>
        <v>#VALUE!</v>
      </c>
      <c r="HC46" t="e">
        <f>'SurveyRpt_20150223 (1)'!AN285+"h_l!$Qe"</f>
        <v>#VALUE!</v>
      </c>
      <c r="HD46" t="e">
        <f>'SurveyRpt_20150223 (1)'!A286+"h_l!$Qf"</f>
        <v>#VALUE!</v>
      </c>
      <c r="HE46" s="25" t="e">
        <f>'SurveyRpt_20150223 (1)'!B286+"h_l!$Qg"</f>
        <v>#VALUE!</v>
      </c>
      <c r="HF46" t="e">
        <f>'SurveyRpt_20150223 (1)'!C286+"h_l!$Qh"</f>
        <v>#VALUE!</v>
      </c>
      <c r="HG46" s="25" t="e">
        <f>'SurveyRpt_20150223 (1)'!D286+"h_l!$Qi"</f>
        <v>#VALUE!</v>
      </c>
      <c r="HH46" t="e">
        <f>'SurveyRpt_20150223 (1)'!E286+"h_l!$Qj"</f>
        <v>#VALUE!</v>
      </c>
      <c r="HI46" t="e">
        <f>'SurveyRpt_20150223 (1)'!F286+"h_l!$Qk"</f>
        <v>#VALUE!</v>
      </c>
      <c r="HJ46" t="e">
        <f>'SurveyRpt_20150223 (1)'!G286+"h_l!$Ql"</f>
        <v>#VALUE!</v>
      </c>
      <c r="HK46" t="e">
        <f>'SurveyRpt_20150223 (1)'!H286+"h_l!$Qm"</f>
        <v>#VALUE!</v>
      </c>
      <c r="HL46" t="e">
        <f>'SurveyRpt_20150223 (1)'!I286+"h_l!$Qn"</f>
        <v>#VALUE!</v>
      </c>
      <c r="HM46" t="e">
        <f>'SurveyRpt_20150223 (1)'!J286+"h_l!$Qo"</f>
        <v>#VALUE!</v>
      </c>
      <c r="HN46" t="e">
        <f>'SurveyRpt_20150223 (1)'!K286+"h_l!$Qp"</f>
        <v>#VALUE!</v>
      </c>
      <c r="HO46" t="e">
        <f>'SurveyRpt_20150223 (1)'!L286+"h_l!$Qq"</f>
        <v>#VALUE!</v>
      </c>
      <c r="HP46" t="e">
        <f>'SurveyRpt_20150223 (1)'!M286+"h_l!$Qr"</f>
        <v>#VALUE!</v>
      </c>
      <c r="HQ46" t="e">
        <f>'SurveyRpt_20150223 (1)'!N286+"h_l!$Qs"</f>
        <v>#VALUE!</v>
      </c>
      <c r="HR46" t="e">
        <f>'SurveyRpt_20150223 (1)'!O286+"h_l!$Qt"</f>
        <v>#VALUE!</v>
      </c>
      <c r="HS46" t="e">
        <f>'SurveyRpt_20150223 (1)'!P286+"h_l!$Qu"</f>
        <v>#VALUE!</v>
      </c>
      <c r="HT46" t="e">
        <f>'SurveyRpt_20150223 (1)'!Q286+"h_l!$Qv"</f>
        <v>#VALUE!</v>
      </c>
      <c r="HU46" t="e">
        <f>'SurveyRpt_20150223 (1)'!R286+"h_l!$Qw"</f>
        <v>#VALUE!</v>
      </c>
      <c r="HV46" t="e">
        <f>'SurveyRpt_20150223 (1)'!S286+"h_l!$Qx"</f>
        <v>#VALUE!</v>
      </c>
      <c r="HW46" t="e">
        <f>'SurveyRpt_20150223 (1)'!T286+"h_l!$Qy"</f>
        <v>#VALUE!</v>
      </c>
      <c r="HX46" t="e">
        <f>'SurveyRpt_20150223 (1)'!U286+"h_l!$Qz"</f>
        <v>#VALUE!</v>
      </c>
      <c r="HY46" t="e">
        <f>'SurveyRpt_20150223 (1)'!V286+"h_l!$Q{"</f>
        <v>#VALUE!</v>
      </c>
      <c r="HZ46" t="e">
        <f>'SurveyRpt_20150223 (1)'!W286+"h_l!$Q|"</f>
        <v>#VALUE!</v>
      </c>
      <c r="IA46" t="e">
        <f>'SurveyRpt_20150223 (1)'!X286+"h_l!$Q}"</f>
        <v>#VALUE!</v>
      </c>
      <c r="IB46" t="e">
        <f>'SurveyRpt_20150223 (1)'!Y286+"h_l!$Q~"</f>
        <v>#VALUE!</v>
      </c>
      <c r="IC46" t="e">
        <f>'SurveyRpt_20150223 (1)'!Z286+"h_l!$R#"</f>
        <v>#VALUE!</v>
      </c>
      <c r="ID46" t="e">
        <f>'SurveyRpt_20150223 (1)'!AA286+"h_l!$R$"</f>
        <v>#VALUE!</v>
      </c>
      <c r="IE46" t="e">
        <f>'SurveyRpt_20150223 (1)'!AB286+"h_l!$R%"</f>
        <v>#VALUE!</v>
      </c>
      <c r="IF46" t="e">
        <f>'SurveyRpt_20150223 (1)'!AC286+"h_l!$R&amp;"</f>
        <v>#VALUE!</v>
      </c>
      <c r="IG46" t="e">
        <f>'SurveyRpt_20150223 (1)'!AD286+"h_l!$R'"</f>
        <v>#VALUE!</v>
      </c>
      <c r="IH46" t="e">
        <f>'SurveyRpt_20150223 (1)'!AE286+"h_l!$R("</f>
        <v>#VALUE!</v>
      </c>
      <c r="II46" t="e">
        <f>'SurveyRpt_20150223 (1)'!AF286+"h_l!$R)"</f>
        <v>#VALUE!</v>
      </c>
      <c r="IJ46" t="e">
        <f>'SurveyRpt_20150223 (1)'!AG286+"h_l!$R."</f>
        <v>#VALUE!</v>
      </c>
      <c r="IK46" t="e">
        <f>'SurveyRpt_20150223 (1)'!AH286+"h_l!$R/"</f>
        <v>#VALUE!</v>
      </c>
      <c r="IL46" t="e">
        <f>'SurveyRpt_20150223 (1)'!AI286+"h_l!$R0"</f>
        <v>#VALUE!</v>
      </c>
      <c r="IM46" t="e">
        <f>'SurveyRpt_20150223 (1)'!AJ286+"h_l!$R1"</f>
        <v>#VALUE!</v>
      </c>
      <c r="IN46" t="e">
        <f>'SurveyRpt_20150223 (1)'!AK286+"h_l!$R2"</f>
        <v>#VALUE!</v>
      </c>
      <c r="IO46" t="e">
        <f>'SurveyRpt_20150223 (1)'!AL286+"h_l!$R3"</f>
        <v>#VALUE!</v>
      </c>
      <c r="IP46" t="e">
        <f>'SurveyRpt_20150223 (1)'!AM286+"h_l!$R4"</f>
        <v>#VALUE!</v>
      </c>
      <c r="IQ46" t="e">
        <f>'SurveyRpt_20150223 (1)'!AN286+"h_l!$R5"</f>
        <v>#VALUE!</v>
      </c>
      <c r="IR46" t="e">
        <f>'SurveyRpt_20150223 (1)'!A287+"h_l!$R6"</f>
        <v>#VALUE!</v>
      </c>
      <c r="IS46" s="25" t="e">
        <f>'SurveyRpt_20150223 (1)'!B287+"h_l!$R7"</f>
        <v>#VALUE!</v>
      </c>
      <c r="IT46" t="e">
        <f>'SurveyRpt_20150223 (1)'!C287+"h_l!$R8"</f>
        <v>#VALUE!</v>
      </c>
      <c r="IU46" s="25" t="e">
        <f>'SurveyRpt_20150223 (1)'!D287+"h_l!$R9"</f>
        <v>#VALUE!</v>
      </c>
      <c r="IV46" t="e">
        <f>'SurveyRpt_20150223 (1)'!E287+"h_l!$R:"</f>
        <v>#VALUE!</v>
      </c>
    </row>
    <row r="47" spans="6:256" x14ac:dyDescent="0.25">
      <c r="F47" t="e">
        <f>'SurveyRpt_20150223 (1)'!F287+"h_l!$R;"</f>
        <v>#VALUE!</v>
      </c>
      <c r="G47" t="e">
        <f>'SurveyRpt_20150223 (1)'!G287+"h_l!$R&lt;"</f>
        <v>#VALUE!</v>
      </c>
      <c r="H47" t="e">
        <f>'SurveyRpt_20150223 (1)'!H287+"h_l!$R="</f>
        <v>#VALUE!</v>
      </c>
      <c r="I47" t="e">
        <f>'SurveyRpt_20150223 (1)'!I287+"h_l!$R&gt;"</f>
        <v>#VALUE!</v>
      </c>
      <c r="J47" t="e">
        <f>'SurveyRpt_20150223 (1)'!J287+"h_l!$R?"</f>
        <v>#VALUE!</v>
      </c>
      <c r="K47" t="e">
        <f>'SurveyRpt_20150223 (1)'!K287+"h_l!$R@"</f>
        <v>#VALUE!</v>
      </c>
      <c r="L47" t="e">
        <f>'SurveyRpt_20150223 (1)'!L287+"h_l!$RA"</f>
        <v>#VALUE!</v>
      </c>
      <c r="M47" t="e">
        <f>'SurveyRpt_20150223 (1)'!M287+"h_l!$RB"</f>
        <v>#VALUE!</v>
      </c>
      <c r="N47" t="e">
        <f>'SurveyRpt_20150223 (1)'!N287+"h_l!$RC"</f>
        <v>#VALUE!</v>
      </c>
      <c r="O47" t="e">
        <f>'SurveyRpt_20150223 (1)'!O287+"h_l!$RD"</f>
        <v>#VALUE!</v>
      </c>
      <c r="P47" t="e">
        <f>'SurveyRpt_20150223 (1)'!P287+"h_l!$RE"</f>
        <v>#VALUE!</v>
      </c>
      <c r="Q47" t="e">
        <f>'SurveyRpt_20150223 (1)'!Q287+"h_l!$RF"</f>
        <v>#VALUE!</v>
      </c>
      <c r="R47" t="e">
        <f>'SurveyRpt_20150223 (1)'!R287+"h_l!$RG"</f>
        <v>#VALUE!</v>
      </c>
      <c r="S47" t="e">
        <f>'SurveyRpt_20150223 (1)'!S287+"h_l!$RH"</f>
        <v>#VALUE!</v>
      </c>
      <c r="T47" t="e">
        <f>'SurveyRpt_20150223 (1)'!T287+"h_l!$RI"</f>
        <v>#VALUE!</v>
      </c>
      <c r="U47" t="e">
        <f>'SurveyRpt_20150223 (1)'!U287+"h_l!$RJ"</f>
        <v>#VALUE!</v>
      </c>
      <c r="V47" t="e">
        <f>'SurveyRpt_20150223 (1)'!V287+"h_l!$RK"</f>
        <v>#VALUE!</v>
      </c>
      <c r="W47" t="e">
        <f>'SurveyRpt_20150223 (1)'!W287+"h_l!$RL"</f>
        <v>#VALUE!</v>
      </c>
      <c r="X47" t="e">
        <f>'SurveyRpt_20150223 (1)'!X287+"h_l!$RM"</f>
        <v>#VALUE!</v>
      </c>
      <c r="Y47" t="e">
        <f>'SurveyRpt_20150223 (1)'!Y287+"h_l!$RN"</f>
        <v>#VALUE!</v>
      </c>
      <c r="Z47" t="e">
        <f>'SurveyRpt_20150223 (1)'!Z287+"h_l!$RO"</f>
        <v>#VALUE!</v>
      </c>
      <c r="AA47" t="e">
        <f>'SurveyRpt_20150223 (1)'!AA287+"h_l!$RP"</f>
        <v>#VALUE!</v>
      </c>
      <c r="AB47" t="e">
        <f>'SurveyRpt_20150223 (1)'!AB287+"h_l!$RQ"</f>
        <v>#VALUE!</v>
      </c>
      <c r="AC47" t="e">
        <f>'SurveyRpt_20150223 (1)'!AC287+"h_l!$RR"</f>
        <v>#VALUE!</v>
      </c>
      <c r="AD47" t="e">
        <f>'SurveyRpt_20150223 (1)'!AD287+"h_l!$RS"</f>
        <v>#VALUE!</v>
      </c>
      <c r="AE47" t="e">
        <f>'SurveyRpt_20150223 (1)'!AE287+"h_l!$RT"</f>
        <v>#VALUE!</v>
      </c>
      <c r="AF47" t="e">
        <f>'SurveyRpt_20150223 (1)'!AF287+"h_l!$RU"</f>
        <v>#VALUE!</v>
      </c>
      <c r="AG47" t="e">
        <f>'SurveyRpt_20150223 (1)'!AG287+"h_l!$RV"</f>
        <v>#VALUE!</v>
      </c>
      <c r="AH47" t="e">
        <f>'SurveyRpt_20150223 (1)'!AH287+"h_l!$RW"</f>
        <v>#VALUE!</v>
      </c>
      <c r="AI47" t="e">
        <f>'SurveyRpt_20150223 (1)'!AI287+"h_l!$RX"</f>
        <v>#VALUE!</v>
      </c>
      <c r="AJ47" t="e">
        <f>'SurveyRpt_20150223 (1)'!AJ287+"h_l!$RY"</f>
        <v>#VALUE!</v>
      </c>
      <c r="AK47" t="e">
        <f>'SurveyRpt_20150223 (1)'!AK287+"h_l!$RZ"</f>
        <v>#VALUE!</v>
      </c>
      <c r="AL47" t="e">
        <f>'SurveyRpt_20150223 (1)'!AL287+"h_l!$R["</f>
        <v>#VALUE!</v>
      </c>
      <c r="AM47" t="e">
        <f>'SurveyRpt_20150223 (1)'!AM287+"h_l!$R\"</f>
        <v>#VALUE!</v>
      </c>
      <c r="AN47" t="e">
        <f>'SurveyRpt_20150223 (1)'!AN287+"h_l!$R]"</f>
        <v>#VALUE!</v>
      </c>
      <c r="AO47" t="e">
        <f>'SurveyRpt_20150223 (1)'!A288+"h_l!$R^"</f>
        <v>#VALUE!</v>
      </c>
      <c r="AP47" s="25" t="e">
        <f>'SurveyRpt_20150223 (1)'!B288+"h_l!$R_"</f>
        <v>#VALUE!</v>
      </c>
      <c r="AQ47" t="e">
        <f>'SurveyRpt_20150223 (1)'!C288+"h_l!$R`"</f>
        <v>#VALUE!</v>
      </c>
      <c r="AR47" s="25" t="e">
        <f>'SurveyRpt_20150223 (1)'!D288+"h_l!$Ra"</f>
        <v>#VALUE!</v>
      </c>
      <c r="AS47" t="e">
        <f>'SurveyRpt_20150223 (1)'!E288+"h_l!$Rb"</f>
        <v>#VALUE!</v>
      </c>
      <c r="AT47" t="e">
        <f>'SurveyRpt_20150223 (1)'!F288+"h_l!$Rc"</f>
        <v>#VALUE!</v>
      </c>
      <c r="AU47" t="e">
        <f>'SurveyRpt_20150223 (1)'!G288+"h_l!$Rd"</f>
        <v>#VALUE!</v>
      </c>
      <c r="AV47" t="e">
        <f>'SurveyRpt_20150223 (1)'!H288+"h_l!$Re"</f>
        <v>#VALUE!</v>
      </c>
      <c r="AW47" t="e">
        <f>'SurveyRpt_20150223 (1)'!I288+"h_l!$Rf"</f>
        <v>#VALUE!</v>
      </c>
      <c r="AX47" t="e">
        <f>'SurveyRpt_20150223 (1)'!J288+"h_l!$Rg"</f>
        <v>#VALUE!</v>
      </c>
      <c r="AY47" t="e">
        <f>'SurveyRpt_20150223 (1)'!K288+"h_l!$Rh"</f>
        <v>#VALUE!</v>
      </c>
      <c r="AZ47" t="e">
        <f>'SurveyRpt_20150223 (1)'!L288+"h_l!$Ri"</f>
        <v>#VALUE!</v>
      </c>
      <c r="BA47" t="e">
        <f>'SurveyRpt_20150223 (1)'!M288+"h_l!$Rj"</f>
        <v>#VALUE!</v>
      </c>
      <c r="BB47" t="e">
        <f>'SurveyRpt_20150223 (1)'!N288+"h_l!$Rk"</f>
        <v>#VALUE!</v>
      </c>
      <c r="BC47" t="e">
        <f>'SurveyRpt_20150223 (1)'!O288+"h_l!$Rl"</f>
        <v>#VALUE!</v>
      </c>
      <c r="BD47" t="e">
        <f>'SurveyRpt_20150223 (1)'!P288+"h_l!$Rm"</f>
        <v>#VALUE!</v>
      </c>
      <c r="BE47" t="e">
        <f>'SurveyRpt_20150223 (1)'!Q288+"h_l!$Rn"</f>
        <v>#VALUE!</v>
      </c>
      <c r="BF47" t="e">
        <f>'SurveyRpt_20150223 (1)'!R288+"h_l!$Ro"</f>
        <v>#VALUE!</v>
      </c>
      <c r="BG47" t="e">
        <f>'SurveyRpt_20150223 (1)'!S288+"h_l!$Rp"</f>
        <v>#VALUE!</v>
      </c>
      <c r="BH47" t="e">
        <f>'SurveyRpt_20150223 (1)'!T288+"h_l!$Rq"</f>
        <v>#VALUE!</v>
      </c>
      <c r="BI47" t="e">
        <f>'SurveyRpt_20150223 (1)'!U288+"h_l!$Rr"</f>
        <v>#VALUE!</v>
      </c>
      <c r="BJ47" t="e">
        <f>'SurveyRpt_20150223 (1)'!V288+"h_l!$Rs"</f>
        <v>#VALUE!</v>
      </c>
      <c r="BK47" t="e">
        <f>'SurveyRpt_20150223 (1)'!W288+"h_l!$Rt"</f>
        <v>#VALUE!</v>
      </c>
      <c r="BL47" t="e">
        <f>'SurveyRpt_20150223 (1)'!X288+"h_l!$Ru"</f>
        <v>#VALUE!</v>
      </c>
      <c r="BM47" t="e">
        <f>'SurveyRpt_20150223 (1)'!Y288+"h_l!$Rv"</f>
        <v>#VALUE!</v>
      </c>
      <c r="BN47" t="e">
        <f>'SurveyRpt_20150223 (1)'!Z288+"h_l!$Rw"</f>
        <v>#VALUE!</v>
      </c>
      <c r="BO47" t="e">
        <f>'SurveyRpt_20150223 (1)'!AA288+"h_l!$Rx"</f>
        <v>#VALUE!</v>
      </c>
      <c r="BP47" t="e">
        <f>'SurveyRpt_20150223 (1)'!AB288+"h_l!$Ry"</f>
        <v>#VALUE!</v>
      </c>
      <c r="BQ47" t="e">
        <f>'SurveyRpt_20150223 (1)'!AC288+"h_l!$Rz"</f>
        <v>#VALUE!</v>
      </c>
      <c r="BR47" t="e">
        <f>'SurveyRpt_20150223 (1)'!AD288+"h_l!$R{"</f>
        <v>#VALUE!</v>
      </c>
      <c r="BS47" t="e">
        <f>'SurveyRpt_20150223 (1)'!AE288+"h_l!$R|"</f>
        <v>#VALUE!</v>
      </c>
      <c r="BT47" t="e">
        <f>'SurveyRpt_20150223 (1)'!AF288+"h_l!$R}"</f>
        <v>#VALUE!</v>
      </c>
      <c r="BU47" t="e">
        <f>'SurveyRpt_20150223 (1)'!AG288+"h_l!$R~"</f>
        <v>#VALUE!</v>
      </c>
      <c r="BV47" t="e">
        <f>'SurveyRpt_20150223 (1)'!AH288+"h_l!$S#"</f>
        <v>#VALUE!</v>
      </c>
      <c r="BW47" t="e">
        <f>'SurveyRpt_20150223 (1)'!AI288+"h_l!$S$"</f>
        <v>#VALUE!</v>
      </c>
      <c r="BX47" t="e">
        <f>'SurveyRpt_20150223 (1)'!AJ288+"h_l!$S%"</f>
        <v>#VALUE!</v>
      </c>
      <c r="BY47" t="e">
        <f>'SurveyRpt_20150223 (1)'!AK288+"h_l!$S&amp;"</f>
        <v>#VALUE!</v>
      </c>
      <c r="BZ47" t="e">
        <f>'SurveyRpt_20150223 (1)'!AL288+"h_l!$S'"</f>
        <v>#VALUE!</v>
      </c>
      <c r="CA47" t="e">
        <f>'SurveyRpt_20150223 (1)'!AM288+"h_l!$S("</f>
        <v>#VALUE!</v>
      </c>
      <c r="CB47" t="e">
        <f>'SurveyRpt_20150223 (1)'!AN288+"h_l!$S)"</f>
        <v>#VALUE!</v>
      </c>
      <c r="CC47" t="e">
        <f>'SurveyRpt_20150223 (1)'!A289+"h_l!$S."</f>
        <v>#VALUE!</v>
      </c>
      <c r="CD47" s="25" t="e">
        <f>'SurveyRpt_20150223 (1)'!B289+"h_l!$S/"</f>
        <v>#VALUE!</v>
      </c>
      <c r="CE47" t="e">
        <f>'SurveyRpt_20150223 (1)'!C289+"h_l!$S0"</f>
        <v>#VALUE!</v>
      </c>
      <c r="CF47" s="25" t="e">
        <f>'SurveyRpt_20150223 (1)'!D289+"h_l!$S1"</f>
        <v>#VALUE!</v>
      </c>
      <c r="CG47" t="e">
        <f>'SurveyRpt_20150223 (1)'!E289+"h_l!$S2"</f>
        <v>#VALUE!</v>
      </c>
      <c r="CH47" t="e">
        <f>'SurveyRpt_20150223 (1)'!F289+"h_l!$S3"</f>
        <v>#VALUE!</v>
      </c>
      <c r="CI47" t="e">
        <f>'SurveyRpt_20150223 (1)'!G289+"h_l!$S4"</f>
        <v>#VALUE!</v>
      </c>
      <c r="CJ47" t="e">
        <f>'SurveyRpt_20150223 (1)'!H289+"h_l!$S5"</f>
        <v>#VALUE!</v>
      </c>
      <c r="CK47" t="e">
        <f>'SurveyRpt_20150223 (1)'!I289+"h_l!$S6"</f>
        <v>#VALUE!</v>
      </c>
      <c r="CL47" t="e">
        <f>'SurveyRpt_20150223 (1)'!J289+"h_l!$S7"</f>
        <v>#VALUE!</v>
      </c>
      <c r="CM47" t="e">
        <f>'SurveyRpt_20150223 (1)'!K289+"h_l!$S8"</f>
        <v>#VALUE!</v>
      </c>
      <c r="CN47" t="e">
        <f>'SurveyRpt_20150223 (1)'!L289+"h_l!$S9"</f>
        <v>#VALUE!</v>
      </c>
      <c r="CO47" t="e">
        <f>'SurveyRpt_20150223 (1)'!M289+"h_l!$S:"</f>
        <v>#VALUE!</v>
      </c>
      <c r="CP47" t="e">
        <f>'SurveyRpt_20150223 (1)'!N289+"h_l!$S;"</f>
        <v>#VALUE!</v>
      </c>
      <c r="CQ47" t="e">
        <f>'SurveyRpt_20150223 (1)'!O289+"h_l!$S&lt;"</f>
        <v>#VALUE!</v>
      </c>
      <c r="CR47" t="e">
        <f>'SurveyRpt_20150223 (1)'!P289+"h_l!$S="</f>
        <v>#VALUE!</v>
      </c>
      <c r="CS47" t="e">
        <f>'SurveyRpt_20150223 (1)'!Q289+"h_l!$S&gt;"</f>
        <v>#VALUE!</v>
      </c>
      <c r="CT47" t="e">
        <f>'SurveyRpt_20150223 (1)'!R289+"h_l!$S?"</f>
        <v>#VALUE!</v>
      </c>
      <c r="CU47" t="e">
        <f>'SurveyRpt_20150223 (1)'!S289+"h_l!$S@"</f>
        <v>#VALUE!</v>
      </c>
      <c r="CV47" t="e">
        <f>'SurveyRpt_20150223 (1)'!T289+"h_l!$SA"</f>
        <v>#VALUE!</v>
      </c>
      <c r="CW47" t="e">
        <f>'SurveyRpt_20150223 (1)'!U289+"h_l!$SB"</f>
        <v>#VALUE!</v>
      </c>
      <c r="CX47" t="e">
        <f>'SurveyRpt_20150223 (1)'!V289+"h_l!$SC"</f>
        <v>#VALUE!</v>
      </c>
      <c r="CY47" t="e">
        <f>'SurveyRpt_20150223 (1)'!W289+"h_l!$SD"</f>
        <v>#VALUE!</v>
      </c>
      <c r="CZ47" t="e">
        <f>'SurveyRpt_20150223 (1)'!X289+"h_l!$SE"</f>
        <v>#VALUE!</v>
      </c>
      <c r="DA47" t="e">
        <f>'SurveyRpt_20150223 (1)'!Y289+"h_l!$SF"</f>
        <v>#VALUE!</v>
      </c>
      <c r="DB47" t="e">
        <f>'SurveyRpt_20150223 (1)'!Z289+"h_l!$SG"</f>
        <v>#VALUE!</v>
      </c>
      <c r="DC47" t="e">
        <f>'SurveyRpt_20150223 (1)'!AA289+"h_l!$SH"</f>
        <v>#VALUE!</v>
      </c>
      <c r="DD47" t="e">
        <f>'SurveyRpt_20150223 (1)'!AB289+"h_l!$SI"</f>
        <v>#VALUE!</v>
      </c>
      <c r="DE47" t="e">
        <f>'SurveyRpt_20150223 (1)'!AC289+"h_l!$SJ"</f>
        <v>#VALUE!</v>
      </c>
      <c r="DF47" t="e">
        <f>'SurveyRpt_20150223 (1)'!AD289+"h_l!$SK"</f>
        <v>#VALUE!</v>
      </c>
      <c r="DG47" t="e">
        <f>'SurveyRpt_20150223 (1)'!AE289+"h_l!$SL"</f>
        <v>#VALUE!</v>
      </c>
      <c r="DH47" t="e">
        <f>'SurveyRpt_20150223 (1)'!AF289+"h_l!$SM"</f>
        <v>#VALUE!</v>
      </c>
      <c r="DI47" t="e">
        <f>'SurveyRpt_20150223 (1)'!AG289+"h_l!$SN"</f>
        <v>#VALUE!</v>
      </c>
      <c r="DJ47" t="e">
        <f>'SurveyRpt_20150223 (1)'!AH289+"h_l!$SO"</f>
        <v>#VALUE!</v>
      </c>
      <c r="DK47" t="e">
        <f>'SurveyRpt_20150223 (1)'!AI289+"h_l!$SP"</f>
        <v>#VALUE!</v>
      </c>
      <c r="DL47" t="e">
        <f>'SurveyRpt_20150223 (1)'!AJ289+"h_l!$SQ"</f>
        <v>#VALUE!</v>
      </c>
      <c r="DM47" t="e">
        <f>'SurveyRpt_20150223 (1)'!AK289+"h_l!$SR"</f>
        <v>#VALUE!</v>
      </c>
      <c r="DN47" t="e">
        <f>'SurveyRpt_20150223 (1)'!AL289+"h_l!$SS"</f>
        <v>#VALUE!</v>
      </c>
      <c r="DO47" t="e">
        <f>'SurveyRpt_20150223 (1)'!AM289+"h_l!$ST"</f>
        <v>#VALUE!</v>
      </c>
      <c r="DP47" t="e">
        <f>'SurveyRpt_20150223 (1)'!AN289+"h_l!$SU"</f>
        <v>#VALUE!</v>
      </c>
      <c r="DQ47" t="e">
        <f>'SurveyRpt_20150223 (1)'!A290+"h_l!$SV"</f>
        <v>#VALUE!</v>
      </c>
      <c r="DR47" s="25" t="e">
        <f>'SurveyRpt_20150223 (1)'!B290+"h_l!$SW"</f>
        <v>#VALUE!</v>
      </c>
      <c r="DS47" t="e">
        <f>'SurveyRpt_20150223 (1)'!C290+"h_l!$SX"</f>
        <v>#VALUE!</v>
      </c>
      <c r="DT47" s="25" t="e">
        <f>'SurveyRpt_20150223 (1)'!D290+"h_l!$SY"</f>
        <v>#VALUE!</v>
      </c>
      <c r="DU47" t="e">
        <f>'SurveyRpt_20150223 (1)'!E290+"h_l!$SZ"</f>
        <v>#VALUE!</v>
      </c>
      <c r="DV47" t="e">
        <f>'SurveyRpt_20150223 (1)'!F290+"h_l!$S["</f>
        <v>#VALUE!</v>
      </c>
      <c r="DW47" t="e">
        <f>'SurveyRpt_20150223 (1)'!G290+"h_l!$S\"</f>
        <v>#VALUE!</v>
      </c>
      <c r="DX47" t="e">
        <f>'SurveyRpt_20150223 (1)'!H290+"h_l!$S]"</f>
        <v>#VALUE!</v>
      </c>
      <c r="DY47" t="e">
        <f>'SurveyRpt_20150223 (1)'!I290+"h_l!$S^"</f>
        <v>#VALUE!</v>
      </c>
      <c r="DZ47" t="e">
        <f>'SurveyRpt_20150223 (1)'!J290+"h_l!$S_"</f>
        <v>#VALUE!</v>
      </c>
      <c r="EA47" t="e">
        <f>'SurveyRpt_20150223 (1)'!K290+"h_l!$S`"</f>
        <v>#VALUE!</v>
      </c>
      <c r="EB47" t="e">
        <f>'SurveyRpt_20150223 (1)'!L290+"h_l!$Sa"</f>
        <v>#VALUE!</v>
      </c>
      <c r="EC47" t="e">
        <f>'SurveyRpt_20150223 (1)'!M290+"h_l!$Sb"</f>
        <v>#VALUE!</v>
      </c>
      <c r="ED47" t="e">
        <f>'SurveyRpt_20150223 (1)'!N290+"h_l!$Sc"</f>
        <v>#VALUE!</v>
      </c>
      <c r="EE47" t="e">
        <f>'SurveyRpt_20150223 (1)'!O290+"h_l!$Sd"</f>
        <v>#VALUE!</v>
      </c>
      <c r="EF47" t="e">
        <f>'SurveyRpt_20150223 (1)'!P290+"h_l!$Se"</f>
        <v>#VALUE!</v>
      </c>
      <c r="EG47" t="e">
        <f>'SurveyRpt_20150223 (1)'!Q290+"h_l!$Sf"</f>
        <v>#VALUE!</v>
      </c>
      <c r="EH47" t="e">
        <f>'SurveyRpt_20150223 (1)'!R290+"h_l!$Sg"</f>
        <v>#VALUE!</v>
      </c>
      <c r="EI47" t="e">
        <f>'SurveyRpt_20150223 (1)'!S290+"h_l!$Sh"</f>
        <v>#VALUE!</v>
      </c>
      <c r="EJ47" t="e">
        <f>'SurveyRpt_20150223 (1)'!T290+"h_l!$Si"</f>
        <v>#VALUE!</v>
      </c>
      <c r="EK47" t="e">
        <f>'SurveyRpt_20150223 (1)'!U290+"h_l!$Sj"</f>
        <v>#VALUE!</v>
      </c>
      <c r="EL47" t="e">
        <f>'SurveyRpt_20150223 (1)'!V290+"h_l!$Sk"</f>
        <v>#VALUE!</v>
      </c>
      <c r="EM47" t="e">
        <f>'SurveyRpt_20150223 (1)'!W290+"h_l!$Sl"</f>
        <v>#VALUE!</v>
      </c>
      <c r="EN47" t="e">
        <f>'SurveyRpt_20150223 (1)'!X290+"h_l!$Sm"</f>
        <v>#VALUE!</v>
      </c>
      <c r="EO47" t="e">
        <f>'SurveyRpt_20150223 (1)'!Y290+"h_l!$Sn"</f>
        <v>#VALUE!</v>
      </c>
      <c r="EP47" t="e">
        <f>'SurveyRpt_20150223 (1)'!Z290+"h_l!$So"</f>
        <v>#VALUE!</v>
      </c>
      <c r="EQ47" t="e">
        <f>'SurveyRpt_20150223 (1)'!AA290+"h_l!$Sp"</f>
        <v>#VALUE!</v>
      </c>
      <c r="ER47" t="e">
        <f>'SurveyRpt_20150223 (1)'!AB290+"h_l!$Sq"</f>
        <v>#VALUE!</v>
      </c>
      <c r="ES47" t="e">
        <f>'SurveyRpt_20150223 (1)'!AC290+"h_l!$Sr"</f>
        <v>#VALUE!</v>
      </c>
      <c r="ET47" t="e">
        <f>'SurveyRpt_20150223 (1)'!AD290+"h_l!$Ss"</f>
        <v>#VALUE!</v>
      </c>
      <c r="EU47" t="e">
        <f>'SurveyRpt_20150223 (1)'!AE290+"h_l!$St"</f>
        <v>#VALUE!</v>
      </c>
      <c r="EV47" t="e">
        <f>'SurveyRpt_20150223 (1)'!AF290+"h_l!$Su"</f>
        <v>#VALUE!</v>
      </c>
      <c r="EW47" t="e">
        <f>'SurveyRpt_20150223 (1)'!AG290+"h_l!$Sv"</f>
        <v>#VALUE!</v>
      </c>
      <c r="EX47" t="e">
        <f>'SurveyRpt_20150223 (1)'!AH290+"h_l!$Sw"</f>
        <v>#VALUE!</v>
      </c>
      <c r="EY47" t="e">
        <f>'SurveyRpt_20150223 (1)'!AI290+"h_l!$Sx"</f>
        <v>#VALUE!</v>
      </c>
      <c r="EZ47" t="e">
        <f>'SurveyRpt_20150223 (1)'!AJ290+"h_l!$Sy"</f>
        <v>#VALUE!</v>
      </c>
      <c r="FA47" t="e">
        <f>'SurveyRpt_20150223 (1)'!AK290+"h_l!$Sz"</f>
        <v>#VALUE!</v>
      </c>
      <c r="FB47" t="e">
        <f>'SurveyRpt_20150223 (1)'!AL290+"h_l!$S{"</f>
        <v>#VALUE!</v>
      </c>
      <c r="FC47" t="e">
        <f>'SurveyRpt_20150223 (1)'!AM290+"h_l!$S|"</f>
        <v>#VALUE!</v>
      </c>
      <c r="FD47" t="e">
        <f>'SurveyRpt_20150223 (1)'!AN290+"h_l!$S}"</f>
        <v>#VALUE!</v>
      </c>
      <c r="FE47" t="e">
        <f>'SurveyRpt_20150223 (1)'!A291+"h_l!$S~"</f>
        <v>#VALUE!</v>
      </c>
      <c r="FF47" s="25" t="e">
        <f>'SurveyRpt_20150223 (1)'!B291+"h_l!$T#"</f>
        <v>#VALUE!</v>
      </c>
      <c r="FG47" t="e">
        <f>'SurveyRpt_20150223 (1)'!C291+"h_l!$T$"</f>
        <v>#VALUE!</v>
      </c>
      <c r="FH47" s="25" t="e">
        <f>'SurveyRpt_20150223 (1)'!D291+"h_l!$T%"</f>
        <v>#VALUE!</v>
      </c>
      <c r="FI47" t="e">
        <f>'SurveyRpt_20150223 (1)'!E291+"h_l!$T&amp;"</f>
        <v>#VALUE!</v>
      </c>
      <c r="FJ47" t="e">
        <f>'SurveyRpt_20150223 (1)'!F291+"h_l!$T'"</f>
        <v>#VALUE!</v>
      </c>
      <c r="FK47" t="e">
        <f>'SurveyRpt_20150223 (1)'!G291+"h_l!$T("</f>
        <v>#VALUE!</v>
      </c>
      <c r="FL47" t="e">
        <f>'SurveyRpt_20150223 (1)'!H291+"h_l!$T)"</f>
        <v>#VALUE!</v>
      </c>
      <c r="FM47" t="e">
        <f>'SurveyRpt_20150223 (1)'!I291+"h_l!$T."</f>
        <v>#VALUE!</v>
      </c>
      <c r="FN47" t="e">
        <f>'SurveyRpt_20150223 (1)'!J291+"h_l!$T/"</f>
        <v>#VALUE!</v>
      </c>
      <c r="FO47" t="e">
        <f>'SurveyRpt_20150223 (1)'!K291+"h_l!$T0"</f>
        <v>#VALUE!</v>
      </c>
      <c r="FP47" t="e">
        <f>'SurveyRpt_20150223 (1)'!L291+"h_l!$T1"</f>
        <v>#VALUE!</v>
      </c>
      <c r="FQ47" t="e">
        <f>'SurveyRpt_20150223 (1)'!M291+"h_l!$T2"</f>
        <v>#VALUE!</v>
      </c>
      <c r="FR47" t="e">
        <f>'SurveyRpt_20150223 (1)'!N291+"h_l!$T3"</f>
        <v>#VALUE!</v>
      </c>
      <c r="FS47" t="e">
        <f>'SurveyRpt_20150223 (1)'!O291+"h_l!$T4"</f>
        <v>#VALUE!</v>
      </c>
      <c r="FT47" t="e">
        <f>'SurveyRpt_20150223 (1)'!P291+"h_l!$T5"</f>
        <v>#VALUE!</v>
      </c>
      <c r="FU47" t="e">
        <f>'SurveyRpt_20150223 (1)'!Q291+"h_l!$T6"</f>
        <v>#VALUE!</v>
      </c>
      <c r="FV47" t="e">
        <f>'SurveyRpt_20150223 (1)'!R291+"h_l!$T7"</f>
        <v>#VALUE!</v>
      </c>
      <c r="FW47" t="e">
        <f>'SurveyRpt_20150223 (1)'!S291+"h_l!$T8"</f>
        <v>#VALUE!</v>
      </c>
      <c r="FX47" t="e">
        <f>'SurveyRpt_20150223 (1)'!T291+"h_l!$T9"</f>
        <v>#VALUE!</v>
      </c>
      <c r="FY47" t="e">
        <f>'SurveyRpt_20150223 (1)'!U291+"h_l!$T:"</f>
        <v>#VALUE!</v>
      </c>
      <c r="FZ47" t="e">
        <f>'SurveyRpt_20150223 (1)'!V291+"h_l!$T;"</f>
        <v>#VALUE!</v>
      </c>
      <c r="GA47" t="e">
        <f>'SurveyRpt_20150223 (1)'!W291+"h_l!$T&lt;"</f>
        <v>#VALUE!</v>
      </c>
      <c r="GB47" t="e">
        <f>'SurveyRpt_20150223 (1)'!X291+"h_l!$T="</f>
        <v>#VALUE!</v>
      </c>
      <c r="GC47" t="e">
        <f>'SurveyRpt_20150223 (1)'!Y291+"h_l!$T&gt;"</f>
        <v>#VALUE!</v>
      </c>
      <c r="GD47" t="e">
        <f>'SurveyRpt_20150223 (1)'!Z291+"h_l!$T?"</f>
        <v>#VALUE!</v>
      </c>
      <c r="GE47" t="e">
        <f>'SurveyRpt_20150223 (1)'!AA291+"h_l!$T@"</f>
        <v>#VALUE!</v>
      </c>
      <c r="GF47" t="e">
        <f>'SurveyRpt_20150223 (1)'!AB291+"h_l!$TA"</f>
        <v>#VALUE!</v>
      </c>
      <c r="GG47" t="e">
        <f>'SurveyRpt_20150223 (1)'!AC291+"h_l!$TB"</f>
        <v>#VALUE!</v>
      </c>
      <c r="GH47" t="e">
        <f>'SurveyRpt_20150223 (1)'!AD291+"h_l!$TC"</f>
        <v>#VALUE!</v>
      </c>
      <c r="GI47" t="e">
        <f>'SurveyRpt_20150223 (1)'!AE291+"h_l!$TD"</f>
        <v>#VALUE!</v>
      </c>
      <c r="GJ47" t="e">
        <f>'SurveyRpt_20150223 (1)'!AF291+"h_l!$TE"</f>
        <v>#VALUE!</v>
      </c>
      <c r="GK47" t="e">
        <f>'SurveyRpt_20150223 (1)'!AG291+"h_l!$TF"</f>
        <v>#VALUE!</v>
      </c>
      <c r="GL47" t="e">
        <f>'SurveyRpt_20150223 (1)'!AH291+"h_l!$TG"</f>
        <v>#VALUE!</v>
      </c>
      <c r="GM47" t="e">
        <f>'SurveyRpt_20150223 (1)'!AI291+"h_l!$TH"</f>
        <v>#VALUE!</v>
      </c>
      <c r="GN47" t="e">
        <f>'SurveyRpt_20150223 (1)'!AJ291+"h_l!$TI"</f>
        <v>#VALUE!</v>
      </c>
      <c r="GO47" t="e">
        <f>'SurveyRpt_20150223 (1)'!AK291+"h_l!$TJ"</f>
        <v>#VALUE!</v>
      </c>
      <c r="GP47" t="e">
        <f>'SurveyRpt_20150223 (1)'!AL291+"h_l!$TK"</f>
        <v>#VALUE!</v>
      </c>
      <c r="GQ47" t="e">
        <f>'SurveyRpt_20150223 (1)'!AM291+"h_l!$TL"</f>
        <v>#VALUE!</v>
      </c>
      <c r="GR47" t="e">
        <f>'SurveyRpt_20150223 (1)'!AN291+"h_l!$TM"</f>
        <v>#VALUE!</v>
      </c>
      <c r="GS47" t="e">
        <f>'SurveyRpt_20150223 (1)'!A292+"h_l!$TN"</f>
        <v>#VALUE!</v>
      </c>
      <c r="GT47" s="25" t="e">
        <f>'SurveyRpt_20150223 (1)'!B292+"h_l!$TO"</f>
        <v>#VALUE!</v>
      </c>
      <c r="GU47" t="e">
        <f>'SurveyRpt_20150223 (1)'!C292+"h_l!$TP"</f>
        <v>#VALUE!</v>
      </c>
      <c r="GV47" s="25" t="e">
        <f>'SurveyRpt_20150223 (1)'!D292+"h_l!$TQ"</f>
        <v>#VALUE!</v>
      </c>
      <c r="GW47" t="e">
        <f>'SurveyRpt_20150223 (1)'!E292+"h_l!$TR"</f>
        <v>#VALUE!</v>
      </c>
      <c r="GX47" t="e">
        <f>'SurveyRpt_20150223 (1)'!F292+"h_l!$TS"</f>
        <v>#VALUE!</v>
      </c>
      <c r="GY47" t="e">
        <f>'SurveyRpt_20150223 (1)'!G292+"h_l!$TT"</f>
        <v>#VALUE!</v>
      </c>
      <c r="GZ47" t="e">
        <f>'SurveyRpt_20150223 (1)'!H292+"h_l!$TU"</f>
        <v>#VALUE!</v>
      </c>
      <c r="HA47" t="e">
        <f>'SurveyRpt_20150223 (1)'!I292+"h_l!$TV"</f>
        <v>#VALUE!</v>
      </c>
      <c r="HB47" t="e">
        <f>'SurveyRpt_20150223 (1)'!J292+"h_l!$TW"</f>
        <v>#VALUE!</v>
      </c>
      <c r="HC47" t="e">
        <f>'SurveyRpt_20150223 (1)'!K292+"h_l!$TX"</f>
        <v>#VALUE!</v>
      </c>
      <c r="HD47" t="e">
        <f>'SurveyRpt_20150223 (1)'!L292+"h_l!$TY"</f>
        <v>#VALUE!</v>
      </c>
      <c r="HE47" t="e">
        <f>'SurveyRpt_20150223 (1)'!M292+"h_l!$TZ"</f>
        <v>#VALUE!</v>
      </c>
      <c r="HF47" t="e">
        <f>'SurveyRpt_20150223 (1)'!N292+"h_l!$T["</f>
        <v>#VALUE!</v>
      </c>
      <c r="HG47" t="e">
        <f>'SurveyRpt_20150223 (1)'!O292+"h_l!$T\"</f>
        <v>#VALUE!</v>
      </c>
      <c r="HH47" t="e">
        <f>'SurveyRpt_20150223 (1)'!P292+"h_l!$T]"</f>
        <v>#VALUE!</v>
      </c>
      <c r="HI47" t="e">
        <f>'SurveyRpt_20150223 (1)'!Q292+"h_l!$T^"</f>
        <v>#VALUE!</v>
      </c>
      <c r="HJ47" t="e">
        <f>'SurveyRpt_20150223 (1)'!R292+"h_l!$T_"</f>
        <v>#VALUE!</v>
      </c>
      <c r="HK47" t="e">
        <f>'SurveyRpt_20150223 (1)'!S292+"h_l!$T`"</f>
        <v>#VALUE!</v>
      </c>
      <c r="HL47" t="e">
        <f>'SurveyRpt_20150223 (1)'!T292+"h_l!$Ta"</f>
        <v>#VALUE!</v>
      </c>
      <c r="HM47" t="e">
        <f>'SurveyRpt_20150223 (1)'!U292+"h_l!$Tb"</f>
        <v>#VALUE!</v>
      </c>
      <c r="HN47" t="e">
        <f>'SurveyRpt_20150223 (1)'!V292+"h_l!$Tc"</f>
        <v>#VALUE!</v>
      </c>
      <c r="HO47" t="e">
        <f>'SurveyRpt_20150223 (1)'!W292+"h_l!$Td"</f>
        <v>#VALUE!</v>
      </c>
      <c r="HP47" t="e">
        <f>'SurveyRpt_20150223 (1)'!X292+"h_l!$Te"</f>
        <v>#VALUE!</v>
      </c>
      <c r="HQ47" t="e">
        <f>'SurveyRpt_20150223 (1)'!Y292+"h_l!$Tf"</f>
        <v>#VALUE!</v>
      </c>
      <c r="HR47" t="e">
        <f>'SurveyRpt_20150223 (1)'!Z292+"h_l!$Tg"</f>
        <v>#VALUE!</v>
      </c>
      <c r="HS47" t="e">
        <f>'SurveyRpt_20150223 (1)'!AA292+"h_l!$Th"</f>
        <v>#VALUE!</v>
      </c>
      <c r="HT47" t="e">
        <f>'SurveyRpt_20150223 (1)'!AB292+"h_l!$Ti"</f>
        <v>#VALUE!</v>
      </c>
      <c r="HU47" t="e">
        <f>'SurveyRpt_20150223 (1)'!AC292+"h_l!$Tj"</f>
        <v>#VALUE!</v>
      </c>
      <c r="HV47" t="e">
        <f>'SurveyRpt_20150223 (1)'!AD292+"h_l!$Tk"</f>
        <v>#VALUE!</v>
      </c>
      <c r="HW47" t="e">
        <f>'SurveyRpt_20150223 (1)'!AE292+"h_l!$Tl"</f>
        <v>#VALUE!</v>
      </c>
      <c r="HX47" t="e">
        <f>'SurveyRpt_20150223 (1)'!AF292+"h_l!$Tm"</f>
        <v>#VALUE!</v>
      </c>
      <c r="HY47" t="e">
        <f>'SurveyRpt_20150223 (1)'!AG292+"h_l!$Tn"</f>
        <v>#VALUE!</v>
      </c>
      <c r="HZ47" t="e">
        <f>'SurveyRpt_20150223 (1)'!AH292+"h_l!$To"</f>
        <v>#VALUE!</v>
      </c>
      <c r="IA47" t="e">
        <f>'SurveyRpt_20150223 (1)'!AI292+"h_l!$Tp"</f>
        <v>#VALUE!</v>
      </c>
      <c r="IB47" t="e">
        <f>'SurveyRpt_20150223 (1)'!AJ292+"h_l!$Tq"</f>
        <v>#VALUE!</v>
      </c>
      <c r="IC47" t="e">
        <f>'SurveyRpt_20150223 (1)'!AK292+"h_l!$Tr"</f>
        <v>#VALUE!</v>
      </c>
      <c r="ID47" t="e">
        <f>'SurveyRpt_20150223 (1)'!AL292+"h_l!$Ts"</f>
        <v>#VALUE!</v>
      </c>
      <c r="IE47" t="e">
        <f>'SurveyRpt_20150223 (1)'!AM292+"h_l!$Tt"</f>
        <v>#VALUE!</v>
      </c>
      <c r="IF47" t="e">
        <f>'SurveyRpt_20150223 (1)'!AN292+"h_l!$Tu"</f>
        <v>#VALUE!</v>
      </c>
      <c r="IG47" t="e">
        <f>'SurveyRpt_20150223 (1)'!A293+"h_l!$Tv"</f>
        <v>#VALUE!</v>
      </c>
      <c r="IH47" s="25" t="e">
        <f>'SurveyRpt_20150223 (1)'!B293+"h_l!$Tw"</f>
        <v>#VALUE!</v>
      </c>
      <c r="II47" t="e">
        <f>'SurveyRpt_20150223 (1)'!C293+"h_l!$Tx"</f>
        <v>#VALUE!</v>
      </c>
      <c r="IJ47" s="25" t="e">
        <f>'SurveyRpt_20150223 (1)'!D293+"h_l!$Ty"</f>
        <v>#VALUE!</v>
      </c>
      <c r="IK47" t="e">
        <f>'SurveyRpt_20150223 (1)'!E293+"h_l!$Tz"</f>
        <v>#VALUE!</v>
      </c>
      <c r="IL47" t="e">
        <f>'SurveyRpt_20150223 (1)'!F293+"h_l!$T{"</f>
        <v>#VALUE!</v>
      </c>
      <c r="IM47" t="e">
        <f>'SurveyRpt_20150223 (1)'!G293+"h_l!$T|"</f>
        <v>#VALUE!</v>
      </c>
      <c r="IN47" t="e">
        <f>'SurveyRpt_20150223 (1)'!H293+"h_l!$T}"</f>
        <v>#VALUE!</v>
      </c>
      <c r="IO47" t="e">
        <f>'SurveyRpt_20150223 (1)'!I293+"h_l!$T~"</f>
        <v>#VALUE!</v>
      </c>
      <c r="IP47" t="e">
        <f>'SurveyRpt_20150223 (1)'!J293+"h_l!$U#"</f>
        <v>#VALUE!</v>
      </c>
      <c r="IQ47" t="e">
        <f>'SurveyRpt_20150223 (1)'!K293+"h_l!$U$"</f>
        <v>#VALUE!</v>
      </c>
      <c r="IR47" t="e">
        <f>'SurveyRpt_20150223 (1)'!L293+"h_l!$U%"</f>
        <v>#VALUE!</v>
      </c>
      <c r="IS47" t="e">
        <f>'SurveyRpt_20150223 (1)'!M293+"h_l!$U&amp;"</f>
        <v>#VALUE!</v>
      </c>
      <c r="IT47" t="e">
        <f>'SurveyRpt_20150223 (1)'!N293+"h_l!$U'"</f>
        <v>#VALUE!</v>
      </c>
      <c r="IU47" t="e">
        <f>'SurveyRpt_20150223 (1)'!O293+"h_l!$U("</f>
        <v>#VALUE!</v>
      </c>
      <c r="IV47" t="e">
        <f>'SurveyRpt_20150223 (1)'!P293+"h_l!$U)"</f>
        <v>#VALUE!</v>
      </c>
    </row>
    <row r="48" spans="6:256" x14ac:dyDescent="0.25">
      <c r="F48" t="e">
        <f>'SurveyRpt_20150223 (1)'!Q293+"h_l!$U."</f>
        <v>#VALUE!</v>
      </c>
      <c r="G48" t="e">
        <f>'SurveyRpt_20150223 (1)'!R293+"h_l!$U/"</f>
        <v>#VALUE!</v>
      </c>
      <c r="H48" t="e">
        <f>'SurveyRpt_20150223 (1)'!S293+"h_l!$U0"</f>
        <v>#VALUE!</v>
      </c>
      <c r="I48" t="e">
        <f>'SurveyRpt_20150223 (1)'!T293+"h_l!$U1"</f>
        <v>#VALUE!</v>
      </c>
      <c r="J48" t="e">
        <f>'SurveyRpt_20150223 (1)'!U293+"h_l!$U2"</f>
        <v>#VALUE!</v>
      </c>
      <c r="K48" t="e">
        <f>'SurveyRpt_20150223 (1)'!V293+"h_l!$U3"</f>
        <v>#VALUE!</v>
      </c>
      <c r="L48" t="e">
        <f>'SurveyRpt_20150223 (1)'!W293+"h_l!$U4"</f>
        <v>#VALUE!</v>
      </c>
      <c r="M48" t="e">
        <f>'SurveyRpt_20150223 (1)'!X293+"h_l!$U5"</f>
        <v>#VALUE!</v>
      </c>
      <c r="N48" t="e">
        <f>'SurveyRpt_20150223 (1)'!Y293+"h_l!$U6"</f>
        <v>#VALUE!</v>
      </c>
      <c r="O48" t="e">
        <f>'SurveyRpt_20150223 (1)'!Z293+"h_l!$U7"</f>
        <v>#VALUE!</v>
      </c>
      <c r="P48" t="e">
        <f>'SurveyRpt_20150223 (1)'!AA293+"h_l!$U8"</f>
        <v>#VALUE!</v>
      </c>
      <c r="Q48" t="e">
        <f>'SurveyRpt_20150223 (1)'!AB293+"h_l!$U9"</f>
        <v>#VALUE!</v>
      </c>
      <c r="R48" t="e">
        <f>'SurveyRpt_20150223 (1)'!AC293+"h_l!$U:"</f>
        <v>#VALUE!</v>
      </c>
      <c r="S48" t="e">
        <f>'SurveyRpt_20150223 (1)'!AD293+"h_l!$U;"</f>
        <v>#VALUE!</v>
      </c>
      <c r="T48" t="e">
        <f>'SurveyRpt_20150223 (1)'!AE293+"h_l!$U&lt;"</f>
        <v>#VALUE!</v>
      </c>
      <c r="U48" t="e">
        <f>'SurveyRpt_20150223 (1)'!AF293+"h_l!$U="</f>
        <v>#VALUE!</v>
      </c>
      <c r="V48" t="e">
        <f>'SurveyRpt_20150223 (1)'!AG293+"h_l!$U&gt;"</f>
        <v>#VALUE!</v>
      </c>
      <c r="W48" t="e">
        <f>'SurveyRpt_20150223 (1)'!AH293+"h_l!$U?"</f>
        <v>#VALUE!</v>
      </c>
      <c r="X48" t="e">
        <f>'SurveyRpt_20150223 (1)'!AI293+"h_l!$U@"</f>
        <v>#VALUE!</v>
      </c>
      <c r="Y48" t="e">
        <f>'SurveyRpt_20150223 (1)'!AJ293+"h_l!$UA"</f>
        <v>#VALUE!</v>
      </c>
      <c r="Z48" t="e">
        <f>'SurveyRpt_20150223 (1)'!AK293+"h_l!$UB"</f>
        <v>#VALUE!</v>
      </c>
      <c r="AA48" t="e">
        <f>'SurveyRpt_20150223 (1)'!AL293+"h_l!$UC"</f>
        <v>#VALUE!</v>
      </c>
      <c r="AB48" t="e">
        <f>'SurveyRpt_20150223 (1)'!AM293+"h_l!$UD"</f>
        <v>#VALUE!</v>
      </c>
      <c r="AC48" t="e">
        <f>'SurveyRpt_20150223 (1)'!AN293+"h_l!$UE"</f>
        <v>#VALUE!</v>
      </c>
      <c r="AD48" t="e">
        <f>'SurveyRpt_20150223 (1)'!A294+"h_l!$UF"</f>
        <v>#VALUE!</v>
      </c>
      <c r="AE48" s="25" t="e">
        <f>'SurveyRpt_20150223 (1)'!B294+"h_l!$UG"</f>
        <v>#VALUE!</v>
      </c>
      <c r="AF48" t="e">
        <f>'SurveyRpt_20150223 (1)'!C294+"h_l!$UH"</f>
        <v>#VALUE!</v>
      </c>
      <c r="AG48" s="25" t="e">
        <f>'SurveyRpt_20150223 (1)'!D294+"h_l!$UI"</f>
        <v>#VALUE!</v>
      </c>
      <c r="AH48" t="e">
        <f>'SurveyRpt_20150223 (1)'!E294+"h_l!$UJ"</f>
        <v>#VALUE!</v>
      </c>
      <c r="AI48" t="e">
        <f>'SurveyRpt_20150223 (1)'!F294+"h_l!$UK"</f>
        <v>#VALUE!</v>
      </c>
      <c r="AJ48" t="e">
        <f>'SurveyRpt_20150223 (1)'!G294+"h_l!$UL"</f>
        <v>#VALUE!</v>
      </c>
      <c r="AK48" t="e">
        <f>'SurveyRpt_20150223 (1)'!H294+"h_l!$UM"</f>
        <v>#VALUE!</v>
      </c>
      <c r="AL48" t="e">
        <f>'SurveyRpt_20150223 (1)'!I294+"h_l!$UN"</f>
        <v>#VALUE!</v>
      </c>
      <c r="AM48" t="e">
        <f>'SurveyRpt_20150223 (1)'!J294+"h_l!$UO"</f>
        <v>#VALUE!</v>
      </c>
      <c r="AN48" t="e">
        <f>'SurveyRpt_20150223 (1)'!K294+"h_l!$UP"</f>
        <v>#VALUE!</v>
      </c>
      <c r="AO48" t="e">
        <f>'SurveyRpt_20150223 (1)'!L294+"h_l!$UQ"</f>
        <v>#VALUE!</v>
      </c>
      <c r="AP48" t="e">
        <f>'SurveyRpt_20150223 (1)'!M294+"h_l!$UR"</f>
        <v>#VALUE!</v>
      </c>
      <c r="AQ48" t="e">
        <f>'SurveyRpt_20150223 (1)'!N294+"h_l!$US"</f>
        <v>#VALUE!</v>
      </c>
      <c r="AR48" t="e">
        <f>'SurveyRpt_20150223 (1)'!O294+"h_l!$UT"</f>
        <v>#VALUE!</v>
      </c>
      <c r="AS48" t="e">
        <f>'SurveyRpt_20150223 (1)'!P294+"h_l!$UU"</f>
        <v>#VALUE!</v>
      </c>
      <c r="AT48" t="e">
        <f>'SurveyRpt_20150223 (1)'!Q294+"h_l!$UV"</f>
        <v>#VALUE!</v>
      </c>
      <c r="AU48" t="e">
        <f>'SurveyRpt_20150223 (1)'!R294+"h_l!$UW"</f>
        <v>#VALUE!</v>
      </c>
      <c r="AV48" t="e">
        <f>'SurveyRpt_20150223 (1)'!S294+"h_l!$UX"</f>
        <v>#VALUE!</v>
      </c>
      <c r="AW48" t="e">
        <f>'SurveyRpt_20150223 (1)'!T294+"h_l!$UY"</f>
        <v>#VALUE!</v>
      </c>
      <c r="AX48" t="e">
        <f>'SurveyRpt_20150223 (1)'!U294+"h_l!$UZ"</f>
        <v>#VALUE!</v>
      </c>
      <c r="AY48" t="e">
        <f>'SurveyRpt_20150223 (1)'!V294+"h_l!$U["</f>
        <v>#VALUE!</v>
      </c>
      <c r="AZ48" t="e">
        <f>'SurveyRpt_20150223 (1)'!W294+"h_l!$U\"</f>
        <v>#VALUE!</v>
      </c>
      <c r="BA48" t="e">
        <f>'SurveyRpt_20150223 (1)'!X294+"h_l!$U]"</f>
        <v>#VALUE!</v>
      </c>
      <c r="BB48" t="e">
        <f>'SurveyRpt_20150223 (1)'!Y294+"h_l!$U^"</f>
        <v>#VALUE!</v>
      </c>
      <c r="BC48" t="e">
        <f>'SurveyRpt_20150223 (1)'!Z294+"h_l!$U_"</f>
        <v>#VALUE!</v>
      </c>
      <c r="BD48" t="e">
        <f>'SurveyRpt_20150223 (1)'!AA294+"h_l!$U`"</f>
        <v>#VALUE!</v>
      </c>
      <c r="BE48" t="e">
        <f>'SurveyRpt_20150223 (1)'!AB294+"h_l!$Ua"</f>
        <v>#VALUE!</v>
      </c>
      <c r="BF48" t="e">
        <f>'SurveyRpt_20150223 (1)'!AC294+"h_l!$Ub"</f>
        <v>#VALUE!</v>
      </c>
      <c r="BG48" t="e">
        <f>'SurveyRpt_20150223 (1)'!AD294+"h_l!$Uc"</f>
        <v>#VALUE!</v>
      </c>
      <c r="BH48" t="e">
        <f>'SurveyRpt_20150223 (1)'!AE294+"h_l!$Ud"</f>
        <v>#VALUE!</v>
      </c>
      <c r="BI48" t="e">
        <f>'SurveyRpt_20150223 (1)'!AF294+"h_l!$Ue"</f>
        <v>#VALUE!</v>
      </c>
      <c r="BJ48" t="e">
        <f>'SurveyRpt_20150223 (1)'!AG294+"h_l!$Uf"</f>
        <v>#VALUE!</v>
      </c>
      <c r="BK48" t="e">
        <f>'SurveyRpt_20150223 (1)'!AH294+"h_l!$Ug"</f>
        <v>#VALUE!</v>
      </c>
      <c r="BL48" t="e">
        <f>'SurveyRpt_20150223 (1)'!AI294+"h_l!$Uh"</f>
        <v>#VALUE!</v>
      </c>
      <c r="BM48" t="e">
        <f>'SurveyRpt_20150223 (1)'!AJ294+"h_l!$Ui"</f>
        <v>#VALUE!</v>
      </c>
      <c r="BN48" t="e">
        <f>'SurveyRpt_20150223 (1)'!AK294+"h_l!$Uj"</f>
        <v>#VALUE!</v>
      </c>
      <c r="BO48" t="e">
        <f>'SurveyRpt_20150223 (1)'!AL294+"h_l!$Uk"</f>
        <v>#VALUE!</v>
      </c>
      <c r="BP48" t="e">
        <f>'SurveyRpt_20150223 (1)'!AM294+"h_l!$Ul"</f>
        <v>#VALUE!</v>
      </c>
      <c r="BQ48" t="e">
        <f>'SurveyRpt_20150223 (1)'!AN294+"h_l!$Um"</f>
        <v>#VALUE!</v>
      </c>
      <c r="BR48" t="e">
        <f>'SurveyRpt_20150223 (1)'!A295+"h_l!$Un"</f>
        <v>#VALUE!</v>
      </c>
      <c r="BS48" s="25" t="e">
        <f>'SurveyRpt_20150223 (1)'!B295+"h_l!$Uo"</f>
        <v>#VALUE!</v>
      </c>
      <c r="BT48" t="e">
        <f>'SurveyRpt_20150223 (1)'!C295+"h_l!$Up"</f>
        <v>#VALUE!</v>
      </c>
      <c r="BU48" s="25" t="e">
        <f>'SurveyRpt_20150223 (1)'!D295+"h_l!$Uq"</f>
        <v>#VALUE!</v>
      </c>
      <c r="BV48" t="e">
        <f>'SurveyRpt_20150223 (1)'!E295+"h_l!$Ur"</f>
        <v>#VALUE!</v>
      </c>
      <c r="BW48" t="e">
        <f>'SurveyRpt_20150223 (1)'!F295+"h_l!$Us"</f>
        <v>#VALUE!</v>
      </c>
      <c r="BX48" t="e">
        <f>'SurveyRpt_20150223 (1)'!G295+"h_l!$Ut"</f>
        <v>#VALUE!</v>
      </c>
      <c r="BY48" t="e">
        <f>'SurveyRpt_20150223 (1)'!H295+"h_l!$Uu"</f>
        <v>#VALUE!</v>
      </c>
      <c r="BZ48" t="e">
        <f>'SurveyRpt_20150223 (1)'!I295+"h_l!$Uv"</f>
        <v>#VALUE!</v>
      </c>
      <c r="CA48" t="e">
        <f>'SurveyRpt_20150223 (1)'!J295+"h_l!$Uw"</f>
        <v>#VALUE!</v>
      </c>
      <c r="CB48" t="e">
        <f>'SurveyRpt_20150223 (1)'!K295+"h_l!$Ux"</f>
        <v>#VALUE!</v>
      </c>
      <c r="CC48" t="e">
        <f>'SurveyRpt_20150223 (1)'!L295+"h_l!$Uy"</f>
        <v>#VALUE!</v>
      </c>
      <c r="CD48" t="e">
        <f>'SurveyRpt_20150223 (1)'!M295+"h_l!$Uz"</f>
        <v>#VALUE!</v>
      </c>
      <c r="CE48" t="e">
        <f>'SurveyRpt_20150223 (1)'!N295+"h_l!$U{"</f>
        <v>#VALUE!</v>
      </c>
      <c r="CF48" t="e">
        <f>'SurveyRpt_20150223 (1)'!O295+"h_l!$U|"</f>
        <v>#VALUE!</v>
      </c>
      <c r="CG48" t="e">
        <f>'SurveyRpt_20150223 (1)'!P295+"h_l!$U}"</f>
        <v>#VALUE!</v>
      </c>
      <c r="CH48" t="e">
        <f>'SurveyRpt_20150223 (1)'!Q295+"h_l!$U~"</f>
        <v>#VALUE!</v>
      </c>
      <c r="CI48" t="e">
        <f>'SurveyRpt_20150223 (1)'!R295+"h_l!$V#"</f>
        <v>#VALUE!</v>
      </c>
      <c r="CJ48" t="e">
        <f>'SurveyRpt_20150223 (1)'!S295+"h_l!$V$"</f>
        <v>#VALUE!</v>
      </c>
      <c r="CK48" t="e">
        <f>'SurveyRpt_20150223 (1)'!T295+"h_l!$V%"</f>
        <v>#VALUE!</v>
      </c>
      <c r="CL48" t="e">
        <f>'SurveyRpt_20150223 (1)'!U295+"h_l!$V&amp;"</f>
        <v>#VALUE!</v>
      </c>
      <c r="CM48" t="e">
        <f>'SurveyRpt_20150223 (1)'!V295+"h_l!$V'"</f>
        <v>#VALUE!</v>
      </c>
      <c r="CN48" t="e">
        <f>'SurveyRpt_20150223 (1)'!W295+"h_l!$V("</f>
        <v>#VALUE!</v>
      </c>
      <c r="CO48" t="e">
        <f>'SurveyRpt_20150223 (1)'!X295+"h_l!$V)"</f>
        <v>#VALUE!</v>
      </c>
      <c r="CP48" t="e">
        <f>'SurveyRpt_20150223 (1)'!Y295+"h_l!$V."</f>
        <v>#VALUE!</v>
      </c>
      <c r="CQ48" t="e">
        <f>'SurveyRpt_20150223 (1)'!Z295+"h_l!$V/"</f>
        <v>#VALUE!</v>
      </c>
      <c r="CR48" t="e">
        <f>'SurveyRpt_20150223 (1)'!AA295+"h_l!$V0"</f>
        <v>#VALUE!</v>
      </c>
      <c r="CS48" t="e">
        <f>'SurveyRpt_20150223 (1)'!AB295+"h_l!$V1"</f>
        <v>#VALUE!</v>
      </c>
      <c r="CT48" t="e">
        <f>'SurveyRpt_20150223 (1)'!AC295+"h_l!$V2"</f>
        <v>#VALUE!</v>
      </c>
      <c r="CU48" t="e">
        <f>'SurveyRpt_20150223 (1)'!AD295+"h_l!$V3"</f>
        <v>#VALUE!</v>
      </c>
      <c r="CV48" t="e">
        <f>'SurveyRpt_20150223 (1)'!AE295+"h_l!$V4"</f>
        <v>#VALUE!</v>
      </c>
      <c r="CW48" t="e">
        <f>'SurveyRpt_20150223 (1)'!AF295+"h_l!$V5"</f>
        <v>#VALUE!</v>
      </c>
      <c r="CX48" t="e">
        <f>'SurveyRpt_20150223 (1)'!AG295+"h_l!$V6"</f>
        <v>#VALUE!</v>
      </c>
      <c r="CY48" t="e">
        <f>'SurveyRpt_20150223 (1)'!AH295+"h_l!$V7"</f>
        <v>#VALUE!</v>
      </c>
      <c r="CZ48" t="e">
        <f>'SurveyRpt_20150223 (1)'!AI295+"h_l!$V8"</f>
        <v>#VALUE!</v>
      </c>
      <c r="DA48" t="e">
        <f>'SurveyRpt_20150223 (1)'!AJ295+"h_l!$V9"</f>
        <v>#VALUE!</v>
      </c>
      <c r="DB48" t="e">
        <f>'SurveyRpt_20150223 (1)'!AK295+"h_l!$V:"</f>
        <v>#VALUE!</v>
      </c>
      <c r="DC48" t="e">
        <f>'SurveyRpt_20150223 (1)'!AL295+"h_l!$V;"</f>
        <v>#VALUE!</v>
      </c>
      <c r="DD48" t="e">
        <f>'SurveyRpt_20150223 (1)'!AM295+"h_l!$V&lt;"</f>
        <v>#VALUE!</v>
      </c>
      <c r="DE48" t="e">
        <f>'SurveyRpt_20150223 (1)'!AN295+"h_l!$V="</f>
        <v>#VALUE!</v>
      </c>
      <c r="DF48" t="e">
        <f>'SurveyRpt_20150223 (1)'!A296+"h_l!$V&gt;"</f>
        <v>#VALUE!</v>
      </c>
      <c r="DG48" s="25" t="e">
        <f>'SurveyRpt_20150223 (1)'!B296+"h_l!$V?"</f>
        <v>#VALUE!</v>
      </c>
      <c r="DH48" t="e">
        <f>'SurveyRpt_20150223 (1)'!C296+"h_l!$V@"</f>
        <v>#VALUE!</v>
      </c>
      <c r="DI48" s="25" t="e">
        <f>'SurveyRpt_20150223 (1)'!D296+"h_l!$VA"</f>
        <v>#VALUE!</v>
      </c>
      <c r="DJ48" t="e">
        <f>'SurveyRpt_20150223 (1)'!E296+"h_l!$VB"</f>
        <v>#VALUE!</v>
      </c>
      <c r="DK48" t="e">
        <f>'SurveyRpt_20150223 (1)'!F296+"h_l!$VC"</f>
        <v>#VALUE!</v>
      </c>
      <c r="DL48" t="e">
        <f>'SurveyRpt_20150223 (1)'!G296+"h_l!$VD"</f>
        <v>#VALUE!</v>
      </c>
      <c r="DM48" t="e">
        <f>'SurveyRpt_20150223 (1)'!H296+"h_l!$VE"</f>
        <v>#VALUE!</v>
      </c>
      <c r="DN48" t="e">
        <f>'SurveyRpt_20150223 (1)'!I296+"h_l!$VF"</f>
        <v>#VALUE!</v>
      </c>
      <c r="DO48" t="e">
        <f>'SurveyRpt_20150223 (1)'!J296+"h_l!$VG"</f>
        <v>#VALUE!</v>
      </c>
      <c r="DP48" t="e">
        <f>'SurveyRpt_20150223 (1)'!K296+"h_l!$VH"</f>
        <v>#VALUE!</v>
      </c>
      <c r="DQ48" t="e">
        <f>'SurveyRpt_20150223 (1)'!L296+"h_l!$VI"</f>
        <v>#VALUE!</v>
      </c>
      <c r="DR48" t="e">
        <f>'SurveyRpt_20150223 (1)'!M296+"h_l!$VJ"</f>
        <v>#VALUE!</v>
      </c>
      <c r="DS48" t="e">
        <f>'SurveyRpt_20150223 (1)'!N296+"h_l!$VK"</f>
        <v>#VALUE!</v>
      </c>
      <c r="DT48" t="e">
        <f>'SurveyRpt_20150223 (1)'!O296+"h_l!$VL"</f>
        <v>#VALUE!</v>
      </c>
      <c r="DU48" t="e">
        <f>'SurveyRpt_20150223 (1)'!P296+"h_l!$VM"</f>
        <v>#VALUE!</v>
      </c>
      <c r="DV48" t="e">
        <f>'SurveyRpt_20150223 (1)'!Q296+"h_l!$VN"</f>
        <v>#VALUE!</v>
      </c>
      <c r="DW48" t="e">
        <f>'SurveyRpt_20150223 (1)'!R296+"h_l!$VO"</f>
        <v>#VALUE!</v>
      </c>
      <c r="DX48" t="e">
        <f>'SurveyRpt_20150223 (1)'!S296+"h_l!$VP"</f>
        <v>#VALUE!</v>
      </c>
      <c r="DY48" t="e">
        <f>'SurveyRpt_20150223 (1)'!T296+"h_l!$VQ"</f>
        <v>#VALUE!</v>
      </c>
      <c r="DZ48" t="e">
        <f>'SurveyRpt_20150223 (1)'!U296+"h_l!$VR"</f>
        <v>#VALUE!</v>
      </c>
      <c r="EA48" t="e">
        <f>'SurveyRpt_20150223 (1)'!V296+"h_l!$VS"</f>
        <v>#VALUE!</v>
      </c>
      <c r="EB48" t="e">
        <f>'SurveyRpt_20150223 (1)'!W296+"h_l!$VT"</f>
        <v>#VALUE!</v>
      </c>
      <c r="EC48" t="e">
        <f>'SurveyRpt_20150223 (1)'!X296+"h_l!$VU"</f>
        <v>#VALUE!</v>
      </c>
      <c r="ED48" t="e">
        <f>'SurveyRpt_20150223 (1)'!Y296+"h_l!$VV"</f>
        <v>#VALUE!</v>
      </c>
      <c r="EE48" t="e">
        <f>'SurveyRpt_20150223 (1)'!Z296+"h_l!$VW"</f>
        <v>#VALUE!</v>
      </c>
      <c r="EF48" t="e">
        <f>'SurveyRpt_20150223 (1)'!AA296+"h_l!$VX"</f>
        <v>#VALUE!</v>
      </c>
      <c r="EG48" t="e">
        <f>'SurveyRpt_20150223 (1)'!AB296+"h_l!$VY"</f>
        <v>#VALUE!</v>
      </c>
      <c r="EH48" t="e">
        <f>'SurveyRpt_20150223 (1)'!AC296+"h_l!$VZ"</f>
        <v>#VALUE!</v>
      </c>
      <c r="EI48" t="e">
        <f>'SurveyRpt_20150223 (1)'!AD296+"h_l!$V["</f>
        <v>#VALUE!</v>
      </c>
      <c r="EJ48" t="e">
        <f>'SurveyRpt_20150223 (1)'!AE296+"h_l!$V\"</f>
        <v>#VALUE!</v>
      </c>
      <c r="EK48" t="e">
        <f>'SurveyRpt_20150223 (1)'!AF296+"h_l!$V]"</f>
        <v>#VALUE!</v>
      </c>
      <c r="EL48" t="e">
        <f>'SurveyRpt_20150223 (1)'!AG296+"h_l!$V^"</f>
        <v>#VALUE!</v>
      </c>
      <c r="EM48" t="e">
        <f>'SurveyRpt_20150223 (1)'!AH296+"h_l!$V_"</f>
        <v>#VALUE!</v>
      </c>
      <c r="EN48" t="e">
        <f>'SurveyRpt_20150223 (1)'!AI296+"h_l!$V`"</f>
        <v>#VALUE!</v>
      </c>
      <c r="EO48" t="e">
        <f>'SurveyRpt_20150223 (1)'!AJ296+"h_l!$Va"</f>
        <v>#VALUE!</v>
      </c>
      <c r="EP48" t="e">
        <f>'SurveyRpt_20150223 (1)'!AK296+"h_l!$Vb"</f>
        <v>#VALUE!</v>
      </c>
      <c r="EQ48" t="e">
        <f>'SurveyRpt_20150223 (1)'!AL296+"h_l!$Vc"</f>
        <v>#VALUE!</v>
      </c>
      <c r="ER48" t="e">
        <f>'SurveyRpt_20150223 (1)'!AM296+"h_l!$Vd"</f>
        <v>#VALUE!</v>
      </c>
      <c r="ES48" t="e">
        <f>'SurveyRpt_20150223 (1)'!AN296+"h_l!$Ve"</f>
        <v>#VALUE!</v>
      </c>
      <c r="ET48" t="e">
        <f>'SurveyRpt_20150223 (1)'!A297+"h_l!$Vf"</f>
        <v>#VALUE!</v>
      </c>
      <c r="EU48" s="25" t="e">
        <f>'SurveyRpt_20150223 (1)'!B297+"h_l!$Vg"</f>
        <v>#VALUE!</v>
      </c>
      <c r="EV48" t="e">
        <f>'SurveyRpt_20150223 (1)'!C297+"h_l!$Vh"</f>
        <v>#VALUE!</v>
      </c>
      <c r="EW48" s="25" t="e">
        <f>'SurveyRpt_20150223 (1)'!D297+"h_l!$Vi"</f>
        <v>#VALUE!</v>
      </c>
      <c r="EX48" t="e">
        <f>'SurveyRpt_20150223 (1)'!E297+"h_l!$Vj"</f>
        <v>#VALUE!</v>
      </c>
      <c r="EY48" t="e">
        <f>'SurveyRpt_20150223 (1)'!F297+"h_l!$Vk"</f>
        <v>#VALUE!</v>
      </c>
      <c r="EZ48" t="e">
        <f>'SurveyRpt_20150223 (1)'!G297+"h_l!$Vl"</f>
        <v>#VALUE!</v>
      </c>
      <c r="FA48" t="e">
        <f>'SurveyRpt_20150223 (1)'!H297+"h_l!$Vm"</f>
        <v>#VALUE!</v>
      </c>
      <c r="FB48" t="e">
        <f>'SurveyRpt_20150223 (1)'!I297+"h_l!$Vn"</f>
        <v>#VALUE!</v>
      </c>
      <c r="FC48" t="e">
        <f>'SurveyRpt_20150223 (1)'!J297+"h_l!$Vo"</f>
        <v>#VALUE!</v>
      </c>
      <c r="FD48" t="e">
        <f>'SurveyRpt_20150223 (1)'!K297+"h_l!$Vp"</f>
        <v>#VALUE!</v>
      </c>
      <c r="FE48" t="e">
        <f>'SurveyRpt_20150223 (1)'!L297+"h_l!$Vq"</f>
        <v>#VALUE!</v>
      </c>
      <c r="FF48" t="e">
        <f>'SurveyRpt_20150223 (1)'!M297+"h_l!$Vr"</f>
        <v>#VALUE!</v>
      </c>
      <c r="FG48" t="e">
        <f>'SurveyRpt_20150223 (1)'!N297+"h_l!$Vs"</f>
        <v>#VALUE!</v>
      </c>
      <c r="FH48" t="e">
        <f>'SurveyRpt_20150223 (1)'!O297+"h_l!$Vt"</f>
        <v>#VALUE!</v>
      </c>
      <c r="FI48" t="e">
        <f>'SurveyRpt_20150223 (1)'!P297+"h_l!$Vu"</f>
        <v>#VALUE!</v>
      </c>
      <c r="FJ48" t="e">
        <f>'SurveyRpt_20150223 (1)'!Q297+"h_l!$Vv"</f>
        <v>#VALUE!</v>
      </c>
      <c r="FK48" t="e">
        <f>'SurveyRpt_20150223 (1)'!R297+"h_l!$Vw"</f>
        <v>#VALUE!</v>
      </c>
      <c r="FL48" t="e">
        <f>'SurveyRpt_20150223 (1)'!S297+"h_l!$Vx"</f>
        <v>#VALUE!</v>
      </c>
      <c r="FM48" t="e">
        <f>'SurveyRpt_20150223 (1)'!T297+"h_l!$Vy"</f>
        <v>#VALUE!</v>
      </c>
      <c r="FN48" t="e">
        <f>'SurveyRpt_20150223 (1)'!U297+"h_l!$Vz"</f>
        <v>#VALUE!</v>
      </c>
      <c r="FO48" t="e">
        <f>'SurveyRpt_20150223 (1)'!V297+"h_l!$V{"</f>
        <v>#VALUE!</v>
      </c>
      <c r="FP48" t="e">
        <f>'SurveyRpt_20150223 (1)'!W297+"h_l!$V|"</f>
        <v>#VALUE!</v>
      </c>
      <c r="FQ48" t="e">
        <f>'SurveyRpt_20150223 (1)'!X297+"h_l!$V}"</f>
        <v>#VALUE!</v>
      </c>
      <c r="FR48" t="e">
        <f>'SurveyRpt_20150223 (1)'!Y297+"h_l!$V~"</f>
        <v>#VALUE!</v>
      </c>
      <c r="FS48" t="e">
        <f>'SurveyRpt_20150223 (1)'!Z297+"h_l!$W#"</f>
        <v>#VALUE!</v>
      </c>
      <c r="FT48" t="e">
        <f>'SurveyRpt_20150223 (1)'!AA297+"h_l!$W$"</f>
        <v>#VALUE!</v>
      </c>
      <c r="FU48" t="e">
        <f>'SurveyRpt_20150223 (1)'!AB297+"h_l!$W%"</f>
        <v>#VALUE!</v>
      </c>
      <c r="FV48" t="e">
        <f>'SurveyRpt_20150223 (1)'!AC297+"h_l!$W&amp;"</f>
        <v>#VALUE!</v>
      </c>
      <c r="FW48" t="e">
        <f>'SurveyRpt_20150223 (1)'!AD297+"h_l!$W'"</f>
        <v>#VALUE!</v>
      </c>
      <c r="FX48" t="e">
        <f>'SurveyRpt_20150223 (1)'!AE297+"h_l!$W("</f>
        <v>#VALUE!</v>
      </c>
      <c r="FY48" t="e">
        <f>'SurveyRpt_20150223 (1)'!AF297+"h_l!$W)"</f>
        <v>#VALUE!</v>
      </c>
      <c r="FZ48" t="e">
        <f>'SurveyRpt_20150223 (1)'!AG297+"h_l!$W."</f>
        <v>#VALUE!</v>
      </c>
      <c r="GA48" t="e">
        <f>'SurveyRpt_20150223 (1)'!AH297+"h_l!$W/"</f>
        <v>#VALUE!</v>
      </c>
      <c r="GB48" t="e">
        <f>'SurveyRpt_20150223 (1)'!AI297+"h_l!$W0"</f>
        <v>#VALUE!</v>
      </c>
      <c r="GC48" t="e">
        <f>'SurveyRpt_20150223 (1)'!AJ297+"h_l!$W1"</f>
        <v>#VALUE!</v>
      </c>
      <c r="GD48" t="e">
        <f>'SurveyRpt_20150223 (1)'!AK297+"h_l!$W2"</f>
        <v>#VALUE!</v>
      </c>
      <c r="GE48" t="e">
        <f>'SurveyRpt_20150223 (1)'!AL297+"h_l!$W3"</f>
        <v>#VALUE!</v>
      </c>
      <c r="GF48" t="e">
        <f>'SurveyRpt_20150223 (1)'!AM297+"h_l!$W4"</f>
        <v>#VALUE!</v>
      </c>
      <c r="GG48" t="e">
        <f>'SurveyRpt_20150223 (1)'!AN297+"h_l!$W5"</f>
        <v>#VALUE!</v>
      </c>
      <c r="GH48" t="e">
        <f>'SurveyRpt_20150223 (1)'!A298+"h_l!$W6"</f>
        <v>#VALUE!</v>
      </c>
      <c r="GI48" s="25" t="e">
        <f>'SurveyRpt_20150223 (1)'!B298+"h_l!$W7"</f>
        <v>#VALUE!</v>
      </c>
      <c r="GJ48" t="e">
        <f>'SurveyRpt_20150223 (1)'!C298+"h_l!$W8"</f>
        <v>#VALUE!</v>
      </c>
      <c r="GK48" s="25" t="e">
        <f>'SurveyRpt_20150223 (1)'!D298+"h_l!$W9"</f>
        <v>#VALUE!</v>
      </c>
      <c r="GL48" t="e">
        <f>'SurveyRpt_20150223 (1)'!E298+"h_l!$W:"</f>
        <v>#VALUE!</v>
      </c>
      <c r="GM48" t="e">
        <f>'SurveyRpt_20150223 (1)'!F298+"h_l!$W;"</f>
        <v>#VALUE!</v>
      </c>
      <c r="GN48" t="e">
        <f>'SurveyRpt_20150223 (1)'!G298+"h_l!$W&lt;"</f>
        <v>#VALUE!</v>
      </c>
      <c r="GO48" t="e">
        <f>'SurveyRpt_20150223 (1)'!H298+"h_l!$W="</f>
        <v>#VALUE!</v>
      </c>
      <c r="GP48" t="e">
        <f>'SurveyRpt_20150223 (1)'!I298+"h_l!$W&gt;"</f>
        <v>#VALUE!</v>
      </c>
      <c r="GQ48" t="e">
        <f>'SurveyRpt_20150223 (1)'!J298+"h_l!$W?"</f>
        <v>#VALUE!</v>
      </c>
      <c r="GR48" t="e">
        <f>'SurveyRpt_20150223 (1)'!K298+"h_l!$W@"</f>
        <v>#VALUE!</v>
      </c>
      <c r="GS48" t="e">
        <f>'SurveyRpt_20150223 (1)'!L298+"h_l!$WA"</f>
        <v>#VALUE!</v>
      </c>
      <c r="GT48" t="e">
        <f>'SurveyRpt_20150223 (1)'!M298+"h_l!$WB"</f>
        <v>#VALUE!</v>
      </c>
      <c r="GU48" t="e">
        <f>'SurveyRpt_20150223 (1)'!N298+"h_l!$WC"</f>
        <v>#VALUE!</v>
      </c>
      <c r="GV48" t="e">
        <f>'SurveyRpt_20150223 (1)'!O298+"h_l!$WD"</f>
        <v>#VALUE!</v>
      </c>
      <c r="GW48" t="e">
        <f>'SurveyRpt_20150223 (1)'!P298+"h_l!$WE"</f>
        <v>#VALUE!</v>
      </c>
      <c r="GX48" t="e">
        <f>'SurveyRpt_20150223 (1)'!Q298+"h_l!$WF"</f>
        <v>#VALUE!</v>
      </c>
      <c r="GY48" t="e">
        <f>'SurveyRpt_20150223 (1)'!R298+"h_l!$WG"</f>
        <v>#VALUE!</v>
      </c>
      <c r="GZ48" t="e">
        <f>'SurveyRpt_20150223 (1)'!S298+"h_l!$WH"</f>
        <v>#VALUE!</v>
      </c>
      <c r="HA48" t="e">
        <f>'SurveyRpt_20150223 (1)'!T298+"h_l!$WI"</f>
        <v>#VALUE!</v>
      </c>
      <c r="HB48" t="e">
        <f>'SurveyRpt_20150223 (1)'!U298+"h_l!$WJ"</f>
        <v>#VALUE!</v>
      </c>
      <c r="HC48" t="e">
        <f>'SurveyRpt_20150223 (1)'!V298+"h_l!$WK"</f>
        <v>#VALUE!</v>
      </c>
      <c r="HD48" t="e">
        <f>'SurveyRpt_20150223 (1)'!W298+"h_l!$WL"</f>
        <v>#VALUE!</v>
      </c>
      <c r="HE48" t="e">
        <f>'SurveyRpt_20150223 (1)'!X298+"h_l!$WM"</f>
        <v>#VALUE!</v>
      </c>
      <c r="HF48" t="e">
        <f>'SurveyRpt_20150223 (1)'!Y298+"h_l!$WN"</f>
        <v>#VALUE!</v>
      </c>
      <c r="HG48" t="e">
        <f>'SurveyRpt_20150223 (1)'!Z298+"h_l!$WO"</f>
        <v>#VALUE!</v>
      </c>
      <c r="HH48" t="e">
        <f>'SurveyRpt_20150223 (1)'!AA298+"h_l!$WP"</f>
        <v>#VALUE!</v>
      </c>
      <c r="HI48" t="e">
        <f>'SurveyRpt_20150223 (1)'!AB298+"h_l!$WQ"</f>
        <v>#VALUE!</v>
      </c>
      <c r="HJ48" t="e">
        <f>'SurveyRpt_20150223 (1)'!AC298+"h_l!$WR"</f>
        <v>#VALUE!</v>
      </c>
      <c r="HK48" t="e">
        <f>'SurveyRpt_20150223 (1)'!AD298+"h_l!$WS"</f>
        <v>#VALUE!</v>
      </c>
      <c r="HL48" t="e">
        <f>'SurveyRpt_20150223 (1)'!AE298+"h_l!$WT"</f>
        <v>#VALUE!</v>
      </c>
      <c r="HM48" t="e">
        <f>'SurveyRpt_20150223 (1)'!AF298+"h_l!$WU"</f>
        <v>#VALUE!</v>
      </c>
      <c r="HN48" t="e">
        <f>'SurveyRpt_20150223 (1)'!AG298+"h_l!$WV"</f>
        <v>#VALUE!</v>
      </c>
      <c r="HO48" t="e">
        <f>'SurveyRpt_20150223 (1)'!AH298+"h_l!$WW"</f>
        <v>#VALUE!</v>
      </c>
      <c r="HP48" t="e">
        <f>'SurveyRpt_20150223 (1)'!AI298+"h_l!$WX"</f>
        <v>#VALUE!</v>
      </c>
      <c r="HQ48" t="e">
        <f>'SurveyRpt_20150223 (1)'!AJ298+"h_l!$WY"</f>
        <v>#VALUE!</v>
      </c>
      <c r="HR48" t="e">
        <f>'SurveyRpt_20150223 (1)'!AK298+"h_l!$WZ"</f>
        <v>#VALUE!</v>
      </c>
      <c r="HS48" t="e">
        <f>'SurveyRpt_20150223 (1)'!AL298+"h_l!$W["</f>
        <v>#VALUE!</v>
      </c>
      <c r="HT48" t="e">
        <f>'SurveyRpt_20150223 (1)'!AM298+"h_l!$W\"</f>
        <v>#VALUE!</v>
      </c>
      <c r="HU48" t="e">
        <f>'SurveyRpt_20150223 (1)'!AN298+"h_l!$W]"</f>
        <v>#VALUE!</v>
      </c>
      <c r="HV48" t="e">
        <f>'SurveyRpt_20150223 (1)'!A299+"h_l!$W^"</f>
        <v>#VALUE!</v>
      </c>
      <c r="HW48" s="25" t="e">
        <f>'SurveyRpt_20150223 (1)'!B299+"h_l!$W_"</f>
        <v>#VALUE!</v>
      </c>
      <c r="HX48" t="e">
        <f>'SurveyRpt_20150223 (1)'!C299+"h_l!$W`"</f>
        <v>#VALUE!</v>
      </c>
      <c r="HY48" s="25" t="e">
        <f>'SurveyRpt_20150223 (1)'!D299+"h_l!$Wa"</f>
        <v>#VALUE!</v>
      </c>
      <c r="HZ48" t="e">
        <f>'SurveyRpt_20150223 (1)'!E299+"h_l!$Wb"</f>
        <v>#VALUE!</v>
      </c>
      <c r="IA48" t="e">
        <f>'SurveyRpt_20150223 (1)'!F299+"h_l!$Wc"</f>
        <v>#VALUE!</v>
      </c>
      <c r="IB48" t="e">
        <f>'SurveyRpt_20150223 (1)'!G299+"h_l!$Wd"</f>
        <v>#VALUE!</v>
      </c>
      <c r="IC48" t="e">
        <f>'SurveyRpt_20150223 (1)'!H299+"h_l!$We"</f>
        <v>#VALUE!</v>
      </c>
      <c r="ID48" t="e">
        <f>'SurveyRpt_20150223 (1)'!I299+"h_l!$Wf"</f>
        <v>#VALUE!</v>
      </c>
      <c r="IE48" t="e">
        <f>'SurveyRpt_20150223 (1)'!J299+"h_l!$Wg"</f>
        <v>#VALUE!</v>
      </c>
      <c r="IF48" t="e">
        <f>'SurveyRpt_20150223 (1)'!K299+"h_l!$Wh"</f>
        <v>#VALUE!</v>
      </c>
      <c r="IG48" t="e">
        <f>'SurveyRpt_20150223 (1)'!L299+"h_l!$Wi"</f>
        <v>#VALUE!</v>
      </c>
      <c r="IH48" t="e">
        <f>'SurveyRpt_20150223 (1)'!M299+"h_l!$Wj"</f>
        <v>#VALUE!</v>
      </c>
      <c r="II48" t="e">
        <f>'SurveyRpt_20150223 (1)'!N299+"h_l!$Wk"</f>
        <v>#VALUE!</v>
      </c>
      <c r="IJ48" t="e">
        <f>'SurveyRpt_20150223 (1)'!O299+"h_l!$Wl"</f>
        <v>#VALUE!</v>
      </c>
      <c r="IK48" t="e">
        <f>'SurveyRpt_20150223 (1)'!P299+"h_l!$Wm"</f>
        <v>#VALUE!</v>
      </c>
      <c r="IL48" t="e">
        <f>'SurveyRpt_20150223 (1)'!Q299+"h_l!$Wn"</f>
        <v>#VALUE!</v>
      </c>
      <c r="IM48" t="e">
        <f>'SurveyRpt_20150223 (1)'!R299+"h_l!$Wo"</f>
        <v>#VALUE!</v>
      </c>
      <c r="IN48" t="e">
        <f>'SurveyRpt_20150223 (1)'!S299+"h_l!$Wp"</f>
        <v>#VALUE!</v>
      </c>
      <c r="IO48" t="e">
        <f>'SurveyRpt_20150223 (1)'!T299+"h_l!$Wq"</f>
        <v>#VALUE!</v>
      </c>
      <c r="IP48" t="e">
        <f>'SurveyRpt_20150223 (1)'!U299+"h_l!$Wr"</f>
        <v>#VALUE!</v>
      </c>
      <c r="IQ48" t="e">
        <f>'SurveyRpt_20150223 (1)'!V299+"h_l!$Ws"</f>
        <v>#VALUE!</v>
      </c>
      <c r="IR48" t="e">
        <f>'SurveyRpt_20150223 (1)'!W299+"h_l!$Wt"</f>
        <v>#VALUE!</v>
      </c>
      <c r="IS48" t="e">
        <f>'SurveyRpt_20150223 (1)'!X299+"h_l!$Wu"</f>
        <v>#VALUE!</v>
      </c>
      <c r="IT48" t="e">
        <f>'SurveyRpt_20150223 (1)'!Y299+"h_l!$Wv"</f>
        <v>#VALUE!</v>
      </c>
      <c r="IU48" t="e">
        <f>'SurveyRpt_20150223 (1)'!Z299+"h_l!$Ww"</f>
        <v>#VALUE!</v>
      </c>
      <c r="IV48" t="e">
        <f>'SurveyRpt_20150223 (1)'!AA299+"h_l!$Wx"</f>
        <v>#VALUE!</v>
      </c>
    </row>
    <row r="49" spans="6:256" x14ac:dyDescent="0.25">
      <c r="F49" t="e">
        <f>'SurveyRpt_20150223 (1)'!AB299+"h_l!$Wy"</f>
        <v>#VALUE!</v>
      </c>
      <c r="G49" t="e">
        <f>'SurveyRpt_20150223 (1)'!AC299+"h_l!$Wz"</f>
        <v>#VALUE!</v>
      </c>
      <c r="H49" t="e">
        <f>'SurveyRpt_20150223 (1)'!AD299+"h_l!$W{"</f>
        <v>#VALUE!</v>
      </c>
      <c r="I49" t="e">
        <f>'SurveyRpt_20150223 (1)'!AE299+"h_l!$W|"</f>
        <v>#VALUE!</v>
      </c>
      <c r="J49" t="e">
        <f>'SurveyRpt_20150223 (1)'!AF299+"h_l!$W}"</f>
        <v>#VALUE!</v>
      </c>
      <c r="K49" t="e">
        <f>'SurveyRpt_20150223 (1)'!AG299+"h_l!$W~"</f>
        <v>#VALUE!</v>
      </c>
      <c r="L49" t="e">
        <f>'SurveyRpt_20150223 (1)'!AH299+"h_l!$X#"</f>
        <v>#VALUE!</v>
      </c>
      <c r="M49" t="e">
        <f>'SurveyRpt_20150223 (1)'!AI299+"h_l!$X$"</f>
        <v>#VALUE!</v>
      </c>
      <c r="N49" t="e">
        <f>'SurveyRpt_20150223 (1)'!AJ299+"h_l!$X%"</f>
        <v>#VALUE!</v>
      </c>
      <c r="O49" t="e">
        <f>'SurveyRpt_20150223 (1)'!AK299+"h_l!$X&amp;"</f>
        <v>#VALUE!</v>
      </c>
      <c r="P49" t="e">
        <f>'SurveyRpt_20150223 (1)'!AL299+"h_l!$X'"</f>
        <v>#VALUE!</v>
      </c>
      <c r="Q49" t="e">
        <f>'SurveyRpt_20150223 (1)'!AM299+"h_l!$X("</f>
        <v>#VALUE!</v>
      </c>
      <c r="R49" t="e">
        <f>'SurveyRpt_20150223 (1)'!AN299+"h_l!$X)"</f>
        <v>#VALUE!</v>
      </c>
      <c r="S49" t="e">
        <f>'SurveyRpt_20150223 (1)'!A300+"h_l!$X."</f>
        <v>#VALUE!</v>
      </c>
      <c r="T49" s="25" t="e">
        <f>'SurveyRpt_20150223 (1)'!B300+"h_l!$X/"</f>
        <v>#VALUE!</v>
      </c>
      <c r="U49" t="e">
        <f>'SurveyRpt_20150223 (1)'!C300+"h_l!$X0"</f>
        <v>#VALUE!</v>
      </c>
      <c r="V49" s="25" t="e">
        <f>'SurveyRpt_20150223 (1)'!D300+"h_l!$X1"</f>
        <v>#VALUE!</v>
      </c>
      <c r="W49" t="e">
        <f>'SurveyRpt_20150223 (1)'!E300+"h_l!$X2"</f>
        <v>#VALUE!</v>
      </c>
      <c r="X49" t="e">
        <f>'SurveyRpt_20150223 (1)'!F300+"h_l!$X3"</f>
        <v>#VALUE!</v>
      </c>
      <c r="Y49" t="e">
        <f>'SurveyRpt_20150223 (1)'!G300+"h_l!$X4"</f>
        <v>#VALUE!</v>
      </c>
      <c r="Z49" t="e">
        <f>'SurveyRpt_20150223 (1)'!H300+"h_l!$X5"</f>
        <v>#VALUE!</v>
      </c>
      <c r="AA49" t="e">
        <f>'SurveyRpt_20150223 (1)'!I300+"h_l!$X6"</f>
        <v>#VALUE!</v>
      </c>
      <c r="AB49" t="e">
        <f>'SurveyRpt_20150223 (1)'!J300+"h_l!$X7"</f>
        <v>#VALUE!</v>
      </c>
      <c r="AC49" t="e">
        <f>'SurveyRpt_20150223 (1)'!K300+"h_l!$X8"</f>
        <v>#VALUE!</v>
      </c>
      <c r="AD49" t="e">
        <f>'SurveyRpt_20150223 (1)'!L300+"h_l!$X9"</f>
        <v>#VALUE!</v>
      </c>
      <c r="AE49" t="e">
        <f>'SurveyRpt_20150223 (1)'!M300+"h_l!$X:"</f>
        <v>#VALUE!</v>
      </c>
      <c r="AF49" t="e">
        <f>'SurveyRpt_20150223 (1)'!N300+"h_l!$X;"</f>
        <v>#VALUE!</v>
      </c>
      <c r="AG49" t="e">
        <f>'SurveyRpt_20150223 (1)'!O300+"h_l!$X&lt;"</f>
        <v>#VALUE!</v>
      </c>
      <c r="AH49" t="e">
        <f>'SurveyRpt_20150223 (1)'!P300+"h_l!$X="</f>
        <v>#VALUE!</v>
      </c>
      <c r="AI49" t="e">
        <f>'SurveyRpt_20150223 (1)'!Q300+"h_l!$X&gt;"</f>
        <v>#VALUE!</v>
      </c>
      <c r="AJ49" t="e">
        <f>'SurveyRpt_20150223 (1)'!R300+"h_l!$X?"</f>
        <v>#VALUE!</v>
      </c>
      <c r="AK49" t="e">
        <f>'SurveyRpt_20150223 (1)'!S300+"h_l!$X@"</f>
        <v>#VALUE!</v>
      </c>
      <c r="AL49" t="e">
        <f>'SurveyRpt_20150223 (1)'!T300+"h_l!$XA"</f>
        <v>#VALUE!</v>
      </c>
      <c r="AM49" t="e">
        <f>'SurveyRpt_20150223 (1)'!U300+"h_l!$XB"</f>
        <v>#VALUE!</v>
      </c>
      <c r="AN49" t="e">
        <f>'SurveyRpt_20150223 (1)'!V300+"h_l!$XC"</f>
        <v>#VALUE!</v>
      </c>
      <c r="AO49" t="e">
        <f>'SurveyRpt_20150223 (1)'!W300+"h_l!$XD"</f>
        <v>#VALUE!</v>
      </c>
      <c r="AP49" t="e">
        <f>'SurveyRpt_20150223 (1)'!X300+"h_l!$XE"</f>
        <v>#VALUE!</v>
      </c>
      <c r="AQ49" t="e">
        <f>'SurveyRpt_20150223 (1)'!Y300+"h_l!$XF"</f>
        <v>#VALUE!</v>
      </c>
      <c r="AR49" t="e">
        <f>'SurveyRpt_20150223 (1)'!Z300+"h_l!$XG"</f>
        <v>#VALUE!</v>
      </c>
      <c r="AS49" t="e">
        <f>'SurveyRpt_20150223 (1)'!AA300+"h_l!$XH"</f>
        <v>#VALUE!</v>
      </c>
      <c r="AT49" t="e">
        <f>'SurveyRpt_20150223 (1)'!AB300+"h_l!$XI"</f>
        <v>#VALUE!</v>
      </c>
      <c r="AU49" t="e">
        <f>'SurveyRpt_20150223 (1)'!AC300+"h_l!$XJ"</f>
        <v>#VALUE!</v>
      </c>
      <c r="AV49" t="e">
        <f>'SurveyRpt_20150223 (1)'!AD300+"h_l!$XK"</f>
        <v>#VALUE!</v>
      </c>
      <c r="AW49" t="e">
        <f>'SurveyRpt_20150223 (1)'!AE300+"h_l!$XL"</f>
        <v>#VALUE!</v>
      </c>
      <c r="AX49" t="e">
        <f>'SurveyRpt_20150223 (1)'!AF300+"h_l!$XM"</f>
        <v>#VALUE!</v>
      </c>
      <c r="AY49" t="e">
        <f>'SurveyRpt_20150223 (1)'!AG300+"h_l!$XN"</f>
        <v>#VALUE!</v>
      </c>
      <c r="AZ49" t="e">
        <f>'SurveyRpt_20150223 (1)'!AH300+"h_l!$XO"</f>
        <v>#VALUE!</v>
      </c>
      <c r="BA49" t="e">
        <f>'SurveyRpt_20150223 (1)'!AI300+"h_l!$XP"</f>
        <v>#VALUE!</v>
      </c>
      <c r="BB49" t="e">
        <f>'SurveyRpt_20150223 (1)'!AJ300+"h_l!$XQ"</f>
        <v>#VALUE!</v>
      </c>
      <c r="BC49" t="e">
        <f>'SurveyRpt_20150223 (1)'!AK300+"h_l!$XR"</f>
        <v>#VALUE!</v>
      </c>
      <c r="BD49" t="e">
        <f>'SurveyRpt_20150223 (1)'!AL300+"h_l!$XS"</f>
        <v>#VALUE!</v>
      </c>
      <c r="BE49" t="e">
        <f>'SurveyRpt_20150223 (1)'!AM300+"h_l!$XT"</f>
        <v>#VALUE!</v>
      </c>
      <c r="BF49" t="e">
        <f>'SurveyRpt_20150223 (1)'!AN300+"h_l!$XU"</f>
        <v>#VALUE!</v>
      </c>
      <c r="BG49" t="e">
        <f>'SurveyRpt_20150223 (1)'!A301+"h_l!$XV"</f>
        <v>#VALUE!</v>
      </c>
      <c r="BH49" s="25" t="e">
        <f>'SurveyRpt_20150223 (1)'!B301+"h_l!$XW"</f>
        <v>#VALUE!</v>
      </c>
      <c r="BI49" t="e">
        <f>'SurveyRpt_20150223 (1)'!C301+"h_l!$XX"</f>
        <v>#VALUE!</v>
      </c>
      <c r="BJ49" s="25" t="e">
        <f>'SurveyRpt_20150223 (1)'!D301+"h_l!$XY"</f>
        <v>#VALUE!</v>
      </c>
      <c r="BK49" t="e">
        <f>'SurveyRpt_20150223 (1)'!E301+"h_l!$XZ"</f>
        <v>#VALUE!</v>
      </c>
      <c r="BL49" t="e">
        <f>'SurveyRpt_20150223 (1)'!F301+"h_l!$X["</f>
        <v>#VALUE!</v>
      </c>
      <c r="BM49" t="e">
        <f>'SurveyRpt_20150223 (1)'!G301+"h_l!$X\"</f>
        <v>#VALUE!</v>
      </c>
      <c r="BN49" t="e">
        <f>'SurveyRpt_20150223 (1)'!H301+"h_l!$X]"</f>
        <v>#VALUE!</v>
      </c>
      <c r="BO49" t="e">
        <f>'SurveyRpt_20150223 (1)'!I301+"h_l!$X^"</f>
        <v>#VALUE!</v>
      </c>
      <c r="BP49" t="e">
        <f>'SurveyRpt_20150223 (1)'!J301+"h_l!$X_"</f>
        <v>#VALUE!</v>
      </c>
      <c r="BQ49" t="e">
        <f>'SurveyRpt_20150223 (1)'!K301+"h_l!$X`"</f>
        <v>#VALUE!</v>
      </c>
      <c r="BR49" t="e">
        <f>'SurveyRpt_20150223 (1)'!L301+"h_l!$Xa"</f>
        <v>#VALUE!</v>
      </c>
      <c r="BS49" t="e">
        <f>'SurveyRpt_20150223 (1)'!M301+"h_l!$Xb"</f>
        <v>#VALUE!</v>
      </c>
      <c r="BT49" t="e">
        <f>'SurveyRpt_20150223 (1)'!N301+"h_l!$Xc"</f>
        <v>#VALUE!</v>
      </c>
      <c r="BU49" t="e">
        <f>'SurveyRpt_20150223 (1)'!O301+"h_l!$Xd"</f>
        <v>#VALUE!</v>
      </c>
      <c r="BV49" t="e">
        <f>'SurveyRpt_20150223 (1)'!P301+"h_l!$Xe"</f>
        <v>#VALUE!</v>
      </c>
      <c r="BW49" t="e">
        <f>'SurveyRpt_20150223 (1)'!Q301+"h_l!$Xf"</f>
        <v>#VALUE!</v>
      </c>
      <c r="BX49" t="e">
        <f>'SurveyRpt_20150223 (1)'!R301+"h_l!$Xg"</f>
        <v>#VALUE!</v>
      </c>
      <c r="BY49" t="e">
        <f>'SurveyRpt_20150223 (1)'!S301+"h_l!$Xh"</f>
        <v>#VALUE!</v>
      </c>
      <c r="BZ49" t="e">
        <f>'SurveyRpt_20150223 (1)'!T301+"h_l!$Xi"</f>
        <v>#VALUE!</v>
      </c>
      <c r="CA49" t="e">
        <f>'SurveyRpt_20150223 (1)'!U301+"h_l!$Xj"</f>
        <v>#VALUE!</v>
      </c>
      <c r="CB49" t="e">
        <f>'SurveyRpt_20150223 (1)'!V301+"h_l!$Xk"</f>
        <v>#VALUE!</v>
      </c>
      <c r="CC49" t="e">
        <f>'SurveyRpt_20150223 (1)'!W301+"h_l!$Xl"</f>
        <v>#VALUE!</v>
      </c>
      <c r="CD49" t="e">
        <f>'SurveyRpt_20150223 (1)'!X301+"h_l!$Xm"</f>
        <v>#VALUE!</v>
      </c>
      <c r="CE49" t="e">
        <f>'SurveyRpt_20150223 (1)'!Y301+"h_l!$Xn"</f>
        <v>#VALUE!</v>
      </c>
      <c r="CF49" t="e">
        <f>'SurveyRpt_20150223 (1)'!Z301+"h_l!$Xo"</f>
        <v>#VALUE!</v>
      </c>
      <c r="CG49" t="e">
        <f>'SurveyRpt_20150223 (1)'!AA301+"h_l!$Xp"</f>
        <v>#VALUE!</v>
      </c>
      <c r="CH49" t="e">
        <f>'SurveyRpt_20150223 (1)'!AB301+"h_l!$Xq"</f>
        <v>#VALUE!</v>
      </c>
      <c r="CI49" t="e">
        <f>'SurveyRpt_20150223 (1)'!AC301+"h_l!$Xr"</f>
        <v>#VALUE!</v>
      </c>
      <c r="CJ49" t="e">
        <f>'SurveyRpt_20150223 (1)'!AD301+"h_l!$Xs"</f>
        <v>#VALUE!</v>
      </c>
      <c r="CK49" t="e">
        <f>'SurveyRpt_20150223 (1)'!AE301+"h_l!$Xt"</f>
        <v>#VALUE!</v>
      </c>
      <c r="CL49" t="e">
        <f>'SurveyRpt_20150223 (1)'!AF301+"h_l!$Xu"</f>
        <v>#VALUE!</v>
      </c>
      <c r="CM49" t="e">
        <f>'SurveyRpt_20150223 (1)'!AG301+"h_l!$Xv"</f>
        <v>#VALUE!</v>
      </c>
      <c r="CN49" t="e">
        <f>'SurveyRpt_20150223 (1)'!AH301+"h_l!$Xw"</f>
        <v>#VALUE!</v>
      </c>
      <c r="CO49" t="e">
        <f>'SurveyRpt_20150223 (1)'!AI301+"h_l!$Xx"</f>
        <v>#VALUE!</v>
      </c>
      <c r="CP49" t="e">
        <f>'SurveyRpt_20150223 (1)'!AJ301+"h_l!$Xy"</f>
        <v>#VALUE!</v>
      </c>
      <c r="CQ49" t="e">
        <f>'SurveyRpt_20150223 (1)'!AK301+"h_l!$Xz"</f>
        <v>#VALUE!</v>
      </c>
      <c r="CR49" t="e">
        <f>'SurveyRpt_20150223 (1)'!AL301+"h_l!$X{"</f>
        <v>#VALUE!</v>
      </c>
      <c r="CS49" t="e">
        <f>'SurveyRpt_20150223 (1)'!AM301+"h_l!$X|"</f>
        <v>#VALUE!</v>
      </c>
      <c r="CT49" t="e">
        <f>'SurveyRpt_20150223 (1)'!AN301+"h_l!$X}"</f>
        <v>#VALUE!</v>
      </c>
      <c r="CU49" t="e">
        <f>'SurveyRpt_20150223 (1)'!A302+"h_l!$X~"</f>
        <v>#VALUE!</v>
      </c>
      <c r="CV49" s="25" t="e">
        <f>'SurveyRpt_20150223 (1)'!B302+"h_l!$Y#"</f>
        <v>#VALUE!</v>
      </c>
      <c r="CW49" t="e">
        <f>'SurveyRpt_20150223 (1)'!C302+"h_l!$Y$"</f>
        <v>#VALUE!</v>
      </c>
      <c r="CX49" s="25" t="e">
        <f>'SurveyRpt_20150223 (1)'!D302+"h_l!$Y%"</f>
        <v>#VALUE!</v>
      </c>
      <c r="CY49" t="e">
        <f>'SurveyRpt_20150223 (1)'!E302+"h_l!$Y&amp;"</f>
        <v>#VALUE!</v>
      </c>
      <c r="CZ49" t="e">
        <f>'SurveyRpt_20150223 (1)'!F302+"h_l!$Y'"</f>
        <v>#VALUE!</v>
      </c>
      <c r="DA49" t="e">
        <f>'SurveyRpt_20150223 (1)'!G302+"h_l!$Y("</f>
        <v>#VALUE!</v>
      </c>
      <c r="DB49" t="e">
        <f>'SurveyRpt_20150223 (1)'!H302+"h_l!$Y)"</f>
        <v>#VALUE!</v>
      </c>
      <c r="DC49" t="e">
        <f>'SurveyRpt_20150223 (1)'!I302+"h_l!$Y."</f>
        <v>#VALUE!</v>
      </c>
      <c r="DD49" t="e">
        <f>'SurveyRpt_20150223 (1)'!J302+"h_l!$Y/"</f>
        <v>#VALUE!</v>
      </c>
      <c r="DE49" t="e">
        <f>'SurveyRpt_20150223 (1)'!K302+"h_l!$Y0"</f>
        <v>#VALUE!</v>
      </c>
      <c r="DF49" t="e">
        <f>'SurveyRpt_20150223 (1)'!L302+"h_l!$Y1"</f>
        <v>#VALUE!</v>
      </c>
      <c r="DG49" t="e">
        <f>'SurveyRpt_20150223 (1)'!M302+"h_l!$Y2"</f>
        <v>#VALUE!</v>
      </c>
      <c r="DH49" t="e">
        <f>'SurveyRpt_20150223 (1)'!N302+"h_l!$Y3"</f>
        <v>#VALUE!</v>
      </c>
      <c r="DI49" t="e">
        <f>'SurveyRpt_20150223 (1)'!O302+"h_l!$Y4"</f>
        <v>#VALUE!</v>
      </c>
      <c r="DJ49" t="e">
        <f>'SurveyRpt_20150223 (1)'!P302+"h_l!$Y5"</f>
        <v>#VALUE!</v>
      </c>
      <c r="DK49" t="e">
        <f>'SurveyRpt_20150223 (1)'!Q302+"h_l!$Y6"</f>
        <v>#VALUE!</v>
      </c>
      <c r="DL49" t="e">
        <f>'SurveyRpt_20150223 (1)'!R302+"h_l!$Y7"</f>
        <v>#VALUE!</v>
      </c>
      <c r="DM49" t="e">
        <f>'SurveyRpt_20150223 (1)'!S302+"h_l!$Y8"</f>
        <v>#VALUE!</v>
      </c>
      <c r="DN49" t="e">
        <f>'SurveyRpt_20150223 (1)'!T302+"h_l!$Y9"</f>
        <v>#VALUE!</v>
      </c>
      <c r="DO49" t="e">
        <f>'SurveyRpt_20150223 (1)'!U302+"h_l!$Y:"</f>
        <v>#VALUE!</v>
      </c>
      <c r="DP49" t="e">
        <f>'SurveyRpt_20150223 (1)'!V302+"h_l!$Y;"</f>
        <v>#VALUE!</v>
      </c>
      <c r="DQ49" t="e">
        <f>'SurveyRpt_20150223 (1)'!W302+"h_l!$Y&lt;"</f>
        <v>#VALUE!</v>
      </c>
      <c r="DR49" t="e">
        <f>'SurveyRpt_20150223 (1)'!X302+"h_l!$Y="</f>
        <v>#VALUE!</v>
      </c>
      <c r="DS49" t="e">
        <f>'SurveyRpt_20150223 (1)'!Y302+"h_l!$Y&gt;"</f>
        <v>#VALUE!</v>
      </c>
      <c r="DT49" t="e">
        <f>'SurveyRpt_20150223 (1)'!Z302+"h_l!$Y?"</f>
        <v>#VALUE!</v>
      </c>
      <c r="DU49" t="e">
        <f>'SurveyRpt_20150223 (1)'!AA302+"h_l!$Y@"</f>
        <v>#VALUE!</v>
      </c>
      <c r="DV49" t="e">
        <f>'SurveyRpt_20150223 (1)'!AB302+"h_l!$YA"</f>
        <v>#VALUE!</v>
      </c>
      <c r="DW49" t="e">
        <f>'SurveyRpt_20150223 (1)'!AC302+"h_l!$YB"</f>
        <v>#VALUE!</v>
      </c>
      <c r="DX49" t="e">
        <f>'SurveyRpt_20150223 (1)'!AD302+"h_l!$YC"</f>
        <v>#VALUE!</v>
      </c>
      <c r="DY49" t="e">
        <f>'SurveyRpt_20150223 (1)'!AE302+"h_l!$YD"</f>
        <v>#VALUE!</v>
      </c>
      <c r="DZ49" t="e">
        <f>'SurveyRpt_20150223 (1)'!AF302+"h_l!$YE"</f>
        <v>#VALUE!</v>
      </c>
      <c r="EA49" t="e">
        <f>'SurveyRpt_20150223 (1)'!AG302+"h_l!$YF"</f>
        <v>#VALUE!</v>
      </c>
      <c r="EB49" t="e">
        <f>'SurveyRpt_20150223 (1)'!AH302+"h_l!$YG"</f>
        <v>#VALUE!</v>
      </c>
      <c r="EC49" t="e">
        <f>'SurveyRpt_20150223 (1)'!AI302+"h_l!$YH"</f>
        <v>#VALUE!</v>
      </c>
      <c r="ED49" t="e">
        <f>'SurveyRpt_20150223 (1)'!AJ302+"h_l!$YI"</f>
        <v>#VALUE!</v>
      </c>
      <c r="EE49" t="e">
        <f>'SurveyRpt_20150223 (1)'!AK302+"h_l!$YJ"</f>
        <v>#VALUE!</v>
      </c>
      <c r="EF49" t="e">
        <f>'SurveyRpt_20150223 (1)'!AL302+"h_l!$YK"</f>
        <v>#VALUE!</v>
      </c>
      <c r="EG49" t="e">
        <f>'SurveyRpt_20150223 (1)'!AM302+"h_l!$YL"</f>
        <v>#VALUE!</v>
      </c>
      <c r="EH49" t="e">
        <f>'SurveyRpt_20150223 (1)'!AN302+"h_l!$YM"</f>
        <v>#VALUE!</v>
      </c>
      <c r="EI49" t="e">
        <f>'SurveyRpt_20150223 (1)'!A303+"h_l!$YN"</f>
        <v>#VALUE!</v>
      </c>
      <c r="EJ49" s="25" t="e">
        <f>'SurveyRpt_20150223 (1)'!B303+"h_l!$YO"</f>
        <v>#VALUE!</v>
      </c>
      <c r="EK49" t="e">
        <f>'SurveyRpt_20150223 (1)'!C303+"h_l!$YP"</f>
        <v>#VALUE!</v>
      </c>
      <c r="EL49" s="25" t="e">
        <f>'SurveyRpt_20150223 (1)'!D303+"h_l!$YQ"</f>
        <v>#VALUE!</v>
      </c>
      <c r="EM49" t="e">
        <f>'SurveyRpt_20150223 (1)'!E303+"h_l!$YR"</f>
        <v>#VALUE!</v>
      </c>
      <c r="EN49" t="e">
        <f>'SurveyRpt_20150223 (1)'!F303+"h_l!$YS"</f>
        <v>#VALUE!</v>
      </c>
      <c r="EO49" t="e">
        <f>'SurveyRpt_20150223 (1)'!G303+"h_l!$YT"</f>
        <v>#VALUE!</v>
      </c>
      <c r="EP49" t="e">
        <f>'SurveyRpt_20150223 (1)'!H303+"h_l!$YU"</f>
        <v>#VALUE!</v>
      </c>
      <c r="EQ49" t="e">
        <f>'SurveyRpt_20150223 (1)'!I303+"h_l!$YV"</f>
        <v>#VALUE!</v>
      </c>
      <c r="ER49" t="e">
        <f>'SurveyRpt_20150223 (1)'!J303+"h_l!$YW"</f>
        <v>#VALUE!</v>
      </c>
      <c r="ES49" t="e">
        <f>'SurveyRpt_20150223 (1)'!K303+"h_l!$YX"</f>
        <v>#VALUE!</v>
      </c>
      <c r="ET49" t="e">
        <f>'SurveyRpt_20150223 (1)'!L303+"h_l!$YY"</f>
        <v>#VALUE!</v>
      </c>
      <c r="EU49" t="e">
        <f>'SurveyRpt_20150223 (1)'!M303+"h_l!$YZ"</f>
        <v>#VALUE!</v>
      </c>
      <c r="EV49" t="e">
        <f>'SurveyRpt_20150223 (1)'!N303+"h_l!$Y["</f>
        <v>#VALUE!</v>
      </c>
      <c r="EW49" t="e">
        <f>'SurveyRpt_20150223 (1)'!O303+"h_l!$Y\"</f>
        <v>#VALUE!</v>
      </c>
      <c r="EX49" t="e">
        <f>'SurveyRpt_20150223 (1)'!P303+"h_l!$Y]"</f>
        <v>#VALUE!</v>
      </c>
      <c r="EY49" t="e">
        <f>'SurveyRpt_20150223 (1)'!Q303+"h_l!$Y^"</f>
        <v>#VALUE!</v>
      </c>
      <c r="EZ49" t="e">
        <f>'SurveyRpt_20150223 (1)'!R303+"h_l!$Y_"</f>
        <v>#VALUE!</v>
      </c>
      <c r="FA49" t="e">
        <f>'SurveyRpt_20150223 (1)'!S303+"h_l!$Y`"</f>
        <v>#VALUE!</v>
      </c>
      <c r="FB49" t="e">
        <f>'SurveyRpt_20150223 (1)'!T303+"h_l!$Ya"</f>
        <v>#VALUE!</v>
      </c>
      <c r="FC49" t="e">
        <f>'SurveyRpt_20150223 (1)'!U303+"h_l!$Yb"</f>
        <v>#VALUE!</v>
      </c>
      <c r="FD49" t="e">
        <f>'SurveyRpt_20150223 (1)'!V303+"h_l!$Yc"</f>
        <v>#VALUE!</v>
      </c>
      <c r="FE49" t="e">
        <f>'SurveyRpt_20150223 (1)'!W303+"h_l!$Yd"</f>
        <v>#VALUE!</v>
      </c>
      <c r="FF49" t="e">
        <f>'SurveyRpt_20150223 (1)'!X303+"h_l!$Ye"</f>
        <v>#VALUE!</v>
      </c>
      <c r="FG49" t="e">
        <f>'SurveyRpt_20150223 (1)'!Y303+"h_l!$Yf"</f>
        <v>#VALUE!</v>
      </c>
      <c r="FH49" t="e">
        <f>'SurveyRpt_20150223 (1)'!Z303+"h_l!$Yg"</f>
        <v>#VALUE!</v>
      </c>
      <c r="FI49" t="e">
        <f>'SurveyRpt_20150223 (1)'!AA303+"h_l!$Yh"</f>
        <v>#VALUE!</v>
      </c>
      <c r="FJ49" t="e">
        <f>'SurveyRpt_20150223 (1)'!AB303+"h_l!$Yi"</f>
        <v>#VALUE!</v>
      </c>
      <c r="FK49" t="e">
        <f>'SurveyRpt_20150223 (1)'!AC303+"h_l!$Yj"</f>
        <v>#VALUE!</v>
      </c>
      <c r="FL49" t="e">
        <f>'SurveyRpt_20150223 (1)'!AD303+"h_l!$Yk"</f>
        <v>#VALUE!</v>
      </c>
      <c r="FM49" t="e">
        <f>'SurveyRpt_20150223 (1)'!AE303+"h_l!$Yl"</f>
        <v>#VALUE!</v>
      </c>
      <c r="FN49" t="e">
        <f>'SurveyRpt_20150223 (1)'!AF303+"h_l!$Ym"</f>
        <v>#VALUE!</v>
      </c>
      <c r="FO49" t="e">
        <f>'SurveyRpt_20150223 (1)'!AG303+"h_l!$Yn"</f>
        <v>#VALUE!</v>
      </c>
      <c r="FP49" t="e">
        <f>'SurveyRpt_20150223 (1)'!AH303+"h_l!$Yo"</f>
        <v>#VALUE!</v>
      </c>
      <c r="FQ49" t="e">
        <f>'SurveyRpt_20150223 (1)'!AI303+"h_l!$Yp"</f>
        <v>#VALUE!</v>
      </c>
      <c r="FR49" t="e">
        <f>'SurveyRpt_20150223 (1)'!AJ303+"h_l!$Yq"</f>
        <v>#VALUE!</v>
      </c>
      <c r="FS49" t="e">
        <f>'SurveyRpt_20150223 (1)'!AK303+"h_l!$Yr"</f>
        <v>#VALUE!</v>
      </c>
      <c r="FT49" t="e">
        <f>'SurveyRpt_20150223 (1)'!AL303+"h_l!$Ys"</f>
        <v>#VALUE!</v>
      </c>
      <c r="FU49" t="e">
        <f>'SurveyRpt_20150223 (1)'!AM303+"h_l!$Yt"</f>
        <v>#VALUE!</v>
      </c>
      <c r="FV49" t="e">
        <f>'SurveyRpt_20150223 (1)'!AN303+"h_l!$Yu"</f>
        <v>#VALUE!</v>
      </c>
      <c r="FW49" t="e">
        <f>'SurveyRpt_20150223 (1)'!A304+"h_l!$Yv"</f>
        <v>#VALUE!</v>
      </c>
      <c r="FX49" s="25" t="e">
        <f>'SurveyRpt_20150223 (1)'!B304+"h_l!$Yw"</f>
        <v>#VALUE!</v>
      </c>
      <c r="FY49" t="e">
        <f>'SurveyRpt_20150223 (1)'!C304+"h_l!$Yx"</f>
        <v>#VALUE!</v>
      </c>
      <c r="FZ49" s="25" t="e">
        <f>'SurveyRpt_20150223 (1)'!D304+"h_l!$Yy"</f>
        <v>#VALUE!</v>
      </c>
      <c r="GA49" t="e">
        <f>'SurveyRpt_20150223 (1)'!E304+"h_l!$Yz"</f>
        <v>#VALUE!</v>
      </c>
      <c r="GB49" t="e">
        <f>'SurveyRpt_20150223 (1)'!F304+"h_l!$Y{"</f>
        <v>#VALUE!</v>
      </c>
      <c r="GC49" t="e">
        <f>'SurveyRpt_20150223 (1)'!G304+"h_l!$Y|"</f>
        <v>#VALUE!</v>
      </c>
      <c r="GD49" t="e">
        <f>'SurveyRpt_20150223 (1)'!H304+"h_l!$Y}"</f>
        <v>#VALUE!</v>
      </c>
      <c r="GE49" t="e">
        <f>'SurveyRpt_20150223 (1)'!I304+"h_l!$Y~"</f>
        <v>#VALUE!</v>
      </c>
      <c r="GF49" t="e">
        <f>'SurveyRpt_20150223 (1)'!J304+"h_l!$Z#"</f>
        <v>#VALUE!</v>
      </c>
      <c r="GG49" t="e">
        <f>'SurveyRpt_20150223 (1)'!K304+"h_l!$Z$"</f>
        <v>#VALUE!</v>
      </c>
      <c r="GH49" t="e">
        <f>'SurveyRpt_20150223 (1)'!L304+"h_l!$Z%"</f>
        <v>#VALUE!</v>
      </c>
      <c r="GI49" t="e">
        <f>'SurveyRpt_20150223 (1)'!M304+"h_l!$Z&amp;"</f>
        <v>#VALUE!</v>
      </c>
      <c r="GJ49" t="e">
        <f>'SurveyRpt_20150223 (1)'!N304+"h_l!$Z'"</f>
        <v>#VALUE!</v>
      </c>
      <c r="GK49" t="e">
        <f>'SurveyRpt_20150223 (1)'!O304+"h_l!$Z("</f>
        <v>#VALUE!</v>
      </c>
      <c r="GL49" t="e">
        <f>'SurveyRpt_20150223 (1)'!P304+"h_l!$Z)"</f>
        <v>#VALUE!</v>
      </c>
      <c r="GM49" t="e">
        <f>'SurveyRpt_20150223 (1)'!Q304+"h_l!$Z."</f>
        <v>#VALUE!</v>
      </c>
      <c r="GN49" t="e">
        <f>'SurveyRpt_20150223 (1)'!R304+"h_l!$Z/"</f>
        <v>#VALUE!</v>
      </c>
      <c r="GO49" t="e">
        <f>'SurveyRpt_20150223 (1)'!S304+"h_l!$Z0"</f>
        <v>#VALUE!</v>
      </c>
      <c r="GP49" t="e">
        <f>'SurveyRpt_20150223 (1)'!T304+"h_l!$Z1"</f>
        <v>#VALUE!</v>
      </c>
      <c r="GQ49" t="e">
        <f>'SurveyRpt_20150223 (1)'!U304+"h_l!$Z2"</f>
        <v>#VALUE!</v>
      </c>
      <c r="GR49" t="e">
        <f>'SurveyRpt_20150223 (1)'!V304+"h_l!$Z3"</f>
        <v>#VALUE!</v>
      </c>
      <c r="GS49" t="e">
        <f>'SurveyRpt_20150223 (1)'!W304+"h_l!$Z4"</f>
        <v>#VALUE!</v>
      </c>
      <c r="GT49" t="e">
        <f>'SurveyRpt_20150223 (1)'!X304+"h_l!$Z5"</f>
        <v>#VALUE!</v>
      </c>
      <c r="GU49" t="e">
        <f>'SurveyRpt_20150223 (1)'!Y304+"h_l!$Z6"</f>
        <v>#VALUE!</v>
      </c>
      <c r="GV49" t="e">
        <f>'SurveyRpt_20150223 (1)'!Z304+"h_l!$Z7"</f>
        <v>#VALUE!</v>
      </c>
      <c r="GW49" t="e">
        <f>'SurveyRpt_20150223 (1)'!AA304+"h_l!$Z8"</f>
        <v>#VALUE!</v>
      </c>
      <c r="GX49" t="e">
        <f>'SurveyRpt_20150223 (1)'!AB304+"h_l!$Z9"</f>
        <v>#VALUE!</v>
      </c>
      <c r="GY49" t="e">
        <f>'SurveyRpt_20150223 (1)'!AC304+"h_l!$Z:"</f>
        <v>#VALUE!</v>
      </c>
      <c r="GZ49" t="e">
        <f>'SurveyRpt_20150223 (1)'!AD304+"h_l!$Z;"</f>
        <v>#VALUE!</v>
      </c>
      <c r="HA49" t="e">
        <f>'SurveyRpt_20150223 (1)'!AE304+"h_l!$Z&lt;"</f>
        <v>#VALUE!</v>
      </c>
      <c r="HB49" t="e">
        <f>'SurveyRpt_20150223 (1)'!AF304+"h_l!$Z="</f>
        <v>#VALUE!</v>
      </c>
      <c r="HC49" t="e">
        <f>'SurveyRpt_20150223 (1)'!AG304+"h_l!$Z&gt;"</f>
        <v>#VALUE!</v>
      </c>
      <c r="HD49" t="e">
        <f>'SurveyRpt_20150223 (1)'!AH304+"h_l!$Z?"</f>
        <v>#VALUE!</v>
      </c>
      <c r="HE49" t="e">
        <f>'SurveyRpt_20150223 (1)'!AI304+"h_l!$Z@"</f>
        <v>#VALUE!</v>
      </c>
      <c r="HF49" t="e">
        <f>'SurveyRpt_20150223 (1)'!AJ304+"h_l!$ZA"</f>
        <v>#VALUE!</v>
      </c>
      <c r="HG49" t="e">
        <f>'SurveyRpt_20150223 (1)'!AK304+"h_l!$ZB"</f>
        <v>#VALUE!</v>
      </c>
      <c r="HH49" t="e">
        <f>'SurveyRpt_20150223 (1)'!AL304+"h_l!$ZC"</f>
        <v>#VALUE!</v>
      </c>
      <c r="HI49" t="e">
        <f>'SurveyRpt_20150223 (1)'!AM304+"h_l!$ZD"</f>
        <v>#VALUE!</v>
      </c>
      <c r="HJ49" t="e">
        <f>'SurveyRpt_20150223 (1)'!AN304+"h_l!$ZE"</f>
        <v>#VALUE!</v>
      </c>
      <c r="HK49" t="e">
        <f>'SurveyRpt_20150223 (1)'!A305+"h_l!$ZF"</f>
        <v>#VALUE!</v>
      </c>
      <c r="HL49" s="25" t="e">
        <f>'SurveyRpt_20150223 (1)'!B305+"h_l!$ZG"</f>
        <v>#VALUE!</v>
      </c>
      <c r="HM49" t="e">
        <f>'SurveyRpt_20150223 (1)'!C305+"h_l!$ZH"</f>
        <v>#VALUE!</v>
      </c>
      <c r="HN49" s="25" t="e">
        <f>'SurveyRpt_20150223 (1)'!D305+"h_l!$ZI"</f>
        <v>#VALUE!</v>
      </c>
      <c r="HO49" t="e">
        <f>'SurveyRpt_20150223 (1)'!E305+"h_l!$ZJ"</f>
        <v>#VALUE!</v>
      </c>
      <c r="HP49" t="e">
        <f>'SurveyRpt_20150223 (1)'!F305+"h_l!$ZK"</f>
        <v>#VALUE!</v>
      </c>
      <c r="HQ49" t="e">
        <f>'SurveyRpt_20150223 (1)'!G305+"h_l!$ZL"</f>
        <v>#VALUE!</v>
      </c>
      <c r="HR49" t="e">
        <f>'SurveyRpt_20150223 (1)'!H305+"h_l!$ZM"</f>
        <v>#VALUE!</v>
      </c>
      <c r="HS49" t="e">
        <f>'SurveyRpt_20150223 (1)'!I305+"h_l!$ZN"</f>
        <v>#VALUE!</v>
      </c>
      <c r="HT49" t="e">
        <f>'SurveyRpt_20150223 (1)'!J305+"h_l!$ZO"</f>
        <v>#VALUE!</v>
      </c>
      <c r="HU49" t="e">
        <f>'SurveyRpt_20150223 (1)'!K305+"h_l!$ZP"</f>
        <v>#VALUE!</v>
      </c>
      <c r="HV49" t="e">
        <f>'SurveyRpt_20150223 (1)'!L305+"h_l!$ZQ"</f>
        <v>#VALUE!</v>
      </c>
      <c r="HW49" t="e">
        <f>'SurveyRpt_20150223 (1)'!M305+"h_l!$ZR"</f>
        <v>#VALUE!</v>
      </c>
      <c r="HX49" t="e">
        <f>'SurveyRpt_20150223 (1)'!N305+"h_l!$ZS"</f>
        <v>#VALUE!</v>
      </c>
      <c r="HY49" t="e">
        <f>'SurveyRpt_20150223 (1)'!O305+"h_l!$ZT"</f>
        <v>#VALUE!</v>
      </c>
      <c r="HZ49" t="e">
        <f>'SurveyRpt_20150223 (1)'!P305+"h_l!$ZU"</f>
        <v>#VALUE!</v>
      </c>
      <c r="IA49" t="e">
        <f>'SurveyRpt_20150223 (1)'!Q305+"h_l!$ZV"</f>
        <v>#VALUE!</v>
      </c>
      <c r="IB49" t="e">
        <f>'SurveyRpt_20150223 (1)'!R305+"h_l!$ZW"</f>
        <v>#VALUE!</v>
      </c>
      <c r="IC49" t="e">
        <f>'SurveyRpt_20150223 (1)'!S305+"h_l!$ZX"</f>
        <v>#VALUE!</v>
      </c>
      <c r="ID49" t="e">
        <f>'SurveyRpt_20150223 (1)'!T305+"h_l!$ZY"</f>
        <v>#VALUE!</v>
      </c>
      <c r="IE49" t="e">
        <f>'SurveyRpt_20150223 (1)'!U305+"h_l!$ZZ"</f>
        <v>#VALUE!</v>
      </c>
      <c r="IF49" t="e">
        <f>'SurveyRpt_20150223 (1)'!V305+"h_l!$Z["</f>
        <v>#VALUE!</v>
      </c>
      <c r="IG49" t="e">
        <f>'SurveyRpt_20150223 (1)'!W305+"h_l!$Z\"</f>
        <v>#VALUE!</v>
      </c>
      <c r="IH49" t="e">
        <f>'SurveyRpt_20150223 (1)'!X305+"h_l!$Z]"</f>
        <v>#VALUE!</v>
      </c>
      <c r="II49" t="e">
        <f>'SurveyRpt_20150223 (1)'!Y305+"h_l!$Z^"</f>
        <v>#VALUE!</v>
      </c>
      <c r="IJ49" t="e">
        <f>'SurveyRpt_20150223 (1)'!Z305+"h_l!$Z_"</f>
        <v>#VALUE!</v>
      </c>
      <c r="IK49" t="e">
        <f>'SurveyRpt_20150223 (1)'!AA305+"h_l!$Z`"</f>
        <v>#VALUE!</v>
      </c>
      <c r="IL49" t="e">
        <f>'SurveyRpt_20150223 (1)'!AB305+"h_l!$Za"</f>
        <v>#VALUE!</v>
      </c>
      <c r="IM49" t="e">
        <f>'SurveyRpt_20150223 (1)'!AC305+"h_l!$Zb"</f>
        <v>#VALUE!</v>
      </c>
      <c r="IN49" t="e">
        <f>'SurveyRpt_20150223 (1)'!AD305+"h_l!$Zc"</f>
        <v>#VALUE!</v>
      </c>
      <c r="IO49" t="e">
        <f>'SurveyRpt_20150223 (1)'!AE305+"h_l!$Zd"</f>
        <v>#VALUE!</v>
      </c>
      <c r="IP49" t="e">
        <f>'SurveyRpt_20150223 (1)'!AF305+"h_l!$Ze"</f>
        <v>#VALUE!</v>
      </c>
      <c r="IQ49" t="e">
        <f>'SurveyRpt_20150223 (1)'!AG305+"h_l!$Zf"</f>
        <v>#VALUE!</v>
      </c>
      <c r="IR49" t="e">
        <f>'SurveyRpt_20150223 (1)'!AH305+"h_l!$Zg"</f>
        <v>#VALUE!</v>
      </c>
      <c r="IS49" t="e">
        <f>'SurveyRpt_20150223 (1)'!AI305+"h_l!$Zh"</f>
        <v>#VALUE!</v>
      </c>
      <c r="IT49" t="e">
        <f>'SurveyRpt_20150223 (1)'!AJ305+"h_l!$Zi"</f>
        <v>#VALUE!</v>
      </c>
      <c r="IU49" t="e">
        <f>'SurveyRpt_20150223 (1)'!AK305+"h_l!$Zj"</f>
        <v>#VALUE!</v>
      </c>
      <c r="IV49" t="e">
        <f>'SurveyRpt_20150223 (1)'!AL305+"h_l!$Zk"</f>
        <v>#VALUE!</v>
      </c>
    </row>
    <row r="50" spans="6:256" x14ac:dyDescent="0.25">
      <c r="F50" t="e">
        <f>'SurveyRpt_20150223 (1)'!AM305+"h_l!$Zl"</f>
        <v>#VALUE!</v>
      </c>
      <c r="G50" t="e">
        <f>'SurveyRpt_20150223 (1)'!AN305+"h_l!$Zm"</f>
        <v>#VALUE!</v>
      </c>
      <c r="H50" t="e">
        <f>'SurveyRpt_20150223 (1)'!A306+"h_l!$Zn"</f>
        <v>#VALUE!</v>
      </c>
      <c r="I50" s="25" t="e">
        <f>'SurveyRpt_20150223 (1)'!B306+"h_l!$Zo"</f>
        <v>#VALUE!</v>
      </c>
      <c r="J50" t="e">
        <f>'SurveyRpt_20150223 (1)'!C306+"h_l!$Zp"</f>
        <v>#VALUE!</v>
      </c>
      <c r="K50" s="25" t="e">
        <f>'SurveyRpt_20150223 (1)'!D306+"h_l!$Zq"</f>
        <v>#VALUE!</v>
      </c>
      <c r="L50" t="e">
        <f>'SurveyRpt_20150223 (1)'!E306+"h_l!$Zr"</f>
        <v>#VALUE!</v>
      </c>
      <c r="M50" t="e">
        <f>'SurveyRpt_20150223 (1)'!F306+"h_l!$Zs"</f>
        <v>#VALUE!</v>
      </c>
      <c r="N50" t="e">
        <f>'SurveyRpt_20150223 (1)'!G306+"h_l!$Zt"</f>
        <v>#VALUE!</v>
      </c>
      <c r="O50" t="e">
        <f>'SurveyRpt_20150223 (1)'!H306+"h_l!$Zu"</f>
        <v>#VALUE!</v>
      </c>
      <c r="P50" t="e">
        <f>'SurveyRpt_20150223 (1)'!I306+"h_l!$Zv"</f>
        <v>#VALUE!</v>
      </c>
      <c r="Q50" t="e">
        <f>'SurveyRpt_20150223 (1)'!J306+"h_l!$Zw"</f>
        <v>#VALUE!</v>
      </c>
      <c r="R50" t="e">
        <f>'SurveyRpt_20150223 (1)'!K306+"h_l!$Zx"</f>
        <v>#VALUE!</v>
      </c>
      <c r="S50" t="e">
        <f>'SurveyRpt_20150223 (1)'!L306+"h_l!$Zy"</f>
        <v>#VALUE!</v>
      </c>
      <c r="T50" t="e">
        <f>'SurveyRpt_20150223 (1)'!M306+"h_l!$Zz"</f>
        <v>#VALUE!</v>
      </c>
      <c r="U50" t="e">
        <f>'SurveyRpt_20150223 (1)'!N306+"h_l!$Z{"</f>
        <v>#VALUE!</v>
      </c>
      <c r="V50" t="e">
        <f>'SurveyRpt_20150223 (1)'!O306+"h_l!$Z|"</f>
        <v>#VALUE!</v>
      </c>
      <c r="W50" t="e">
        <f>'SurveyRpt_20150223 (1)'!P306+"h_l!$Z}"</f>
        <v>#VALUE!</v>
      </c>
      <c r="X50" t="e">
        <f>'SurveyRpt_20150223 (1)'!Q306+"h_l!$Z~"</f>
        <v>#VALUE!</v>
      </c>
      <c r="Y50" t="e">
        <f>'SurveyRpt_20150223 (1)'!R306+"h_l!$[#"</f>
        <v>#VALUE!</v>
      </c>
      <c r="Z50" t="e">
        <f>'SurveyRpt_20150223 (1)'!S306+"h_l!$[$"</f>
        <v>#VALUE!</v>
      </c>
      <c r="AA50" t="e">
        <f>'SurveyRpt_20150223 (1)'!T306+"h_l!$[%"</f>
        <v>#VALUE!</v>
      </c>
      <c r="AB50" t="e">
        <f>'SurveyRpt_20150223 (1)'!U306+"h_l!$[&amp;"</f>
        <v>#VALUE!</v>
      </c>
      <c r="AC50" t="e">
        <f>'SurveyRpt_20150223 (1)'!V306+"h_l!$['"</f>
        <v>#VALUE!</v>
      </c>
      <c r="AD50" t="e">
        <f>'SurveyRpt_20150223 (1)'!W306+"h_l!$[("</f>
        <v>#VALUE!</v>
      </c>
      <c r="AE50" t="e">
        <f>'SurveyRpt_20150223 (1)'!X306+"h_l!$[)"</f>
        <v>#VALUE!</v>
      </c>
      <c r="AF50" t="e">
        <f>'SurveyRpt_20150223 (1)'!Y306+"h_l!$[."</f>
        <v>#VALUE!</v>
      </c>
      <c r="AG50" t="e">
        <f>'SurveyRpt_20150223 (1)'!Z306+"h_l!$[/"</f>
        <v>#VALUE!</v>
      </c>
      <c r="AH50" t="e">
        <f>'SurveyRpt_20150223 (1)'!AA306+"h_l!$[0"</f>
        <v>#VALUE!</v>
      </c>
      <c r="AI50" t="e">
        <f>'SurveyRpt_20150223 (1)'!AB306+"h_l!$[1"</f>
        <v>#VALUE!</v>
      </c>
      <c r="AJ50" t="e">
        <f>'SurveyRpt_20150223 (1)'!AC306+"h_l!$[2"</f>
        <v>#VALUE!</v>
      </c>
      <c r="AK50" t="e">
        <f>'SurveyRpt_20150223 (1)'!AD306+"h_l!$[3"</f>
        <v>#VALUE!</v>
      </c>
      <c r="AL50" t="e">
        <f>'SurveyRpt_20150223 (1)'!AE306+"h_l!$[4"</f>
        <v>#VALUE!</v>
      </c>
      <c r="AM50" t="e">
        <f>'SurveyRpt_20150223 (1)'!AF306+"h_l!$[5"</f>
        <v>#VALUE!</v>
      </c>
      <c r="AN50" t="e">
        <f>'SurveyRpt_20150223 (1)'!AG306+"h_l!$[6"</f>
        <v>#VALUE!</v>
      </c>
      <c r="AO50" t="e">
        <f>'SurveyRpt_20150223 (1)'!AH306+"h_l!$[7"</f>
        <v>#VALUE!</v>
      </c>
      <c r="AP50" t="e">
        <f>'SurveyRpt_20150223 (1)'!AI306+"h_l!$[8"</f>
        <v>#VALUE!</v>
      </c>
      <c r="AQ50" t="e">
        <f>'SurveyRpt_20150223 (1)'!AJ306+"h_l!$[9"</f>
        <v>#VALUE!</v>
      </c>
      <c r="AR50" t="e">
        <f>'SurveyRpt_20150223 (1)'!AK306+"h_l!$[:"</f>
        <v>#VALUE!</v>
      </c>
      <c r="AS50" t="e">
        <f>'SurveyRpt_20150223 (1)'!AL306+"h_l!$[;"</f>
        <v>#VALUE!</v>
      </c>
      <c r="AT50" t="e">
        <f>'SurveyRpt_20150223 (1)'!AM306+"h_l!$[&lt;"</f>
        <v>#VALUE!</v>
      </c>
      <c r="AU50" t="e">
        <f>'SurveyRpt_20150223 (1)'!AN306+"h_l!$[="</f>
        <v>#VALUE!</v>
      </c>
      <c r="AV50" t="e">
        <f>'SurveyRpt_20150223 (1)'!A307+"h_l!$[&gt;"</f>
        <v>#VALUE!</v>
      </c>
      <c r="AW50" s="25" t="e">
        <f>'SurveyRpt_20150223 (1)'!B307+"h_l!$[?"</f>
        <v>#VALUE!</v>
      </c>
      <c r="AX50" t="e">
        <f>'SurveyRpt_20150223 (1)'!C307+"h_l!$[@"</f>
        <v>#VALUE!</v>
      </c>
      <c r="AY50" s="25" t="e">
        <f>'SurveyRpt_20150223 (1)'!D307+"h_l!$[A"</f>
        <v>#VALUE!</v>
      </c>
      <c r="AZ50" t="e">
        <f>'SurveyRpt_20150223 (1)'!E307+"h_l!$[B"</f>
        <v>#VALUE!</v>
      </c>
      <c r="BA50" t="e">
        <f>'SurveyRpt_20150223 (1)'!F307+"h_l!$[C"</f>
        <v>#VALUE!</v>
      </c>
      <c r="BB50" t="e">
        <f>'SurveyRpt_20150223 (1)'!G307+"h_l!$[D"</f>
        <v>#VALUE!</v>
      </c>
      <c r="BC50" t="e">
        <f>'SurveyRpt_20150223 (1)'!H307+"h_l!$[E"</f>
        <v>#VALUE!</v>
      </c>
      <c r="BD50" t="e">
        <f>'SurveyRpt_20150223 (1)'!I307+"h_l!$[F"</f>
        <v>#VALUE!</v>
      </c>
      <c r="BE50" t="e">
        <f>'SurveyRpt_20150223 (1)'!J307+"h_l!$[G"</f>
        <v>#VALUE!</v>
      </c>
      <c r="BF50" t="e">
        <f>'SurveyRpt_20150223 (1)'!K307+"h_l!$[H"</f>
        <v>#VALUE!</v>
      </c>
      <c r="BG50" t="e">
        <f>'SurveyRpt_20150223 (1)'!L307+"h_l!$[I"</f>
        <v>#VALUE!</v>
      </c>
      <c r="BH50" t="e">
        <f>'SurveyRpt_20150223 (1)'!M307+"h_l!$[J"</f>
        <v>#VALUE!</v>
      </c>
      <c r="BI50" t="e">
        <f>'SurveyRpt_20150223 (1)'!N307+"h_l!$[K"</f>
        <v>#VALUE!</v>
      </c>
      <c r="BJ50" t="e">
        <f>'SurveyRpt_20150223 (1)'!O307+"h_l!$[L"</f>
        <v>#VALUE!</v>
      </c>
      <c r="BK50" t="e">
        <f>'SurveyRpt_20150223 (1)'!P307+"h_l!$[M"</f>
        <v>#VALUE!</v>
      </c>
      <c r="BL50" t="e">
        <f>'SurveyRpt_20150223 (1)'!Q307+"h_l!$[N"</f>
        <v>#VALUE!</v>
      </c>
      <c r="BM50" t="e">
        <f>'SurveyRpt_20150223 (1)'!R307+"h_l!$[O"</f>
        <v>#VALUE!</v>
      </c>
      <c r="BN50" t="e">
        <f>'SurveyRpt_20150223 (1)'!S307+"h_l!$[P"</f>
        <v>#VALUE!</v>
      </c>
      <c r="BO50" t="e">
        <f>'SurveyRpt_20150223 (1)'!T307+"h_l!$[Q"</f>
        <v>#VALUE!</v>
      </c>
      <c r="BP50" t="e">
        <f>'SurveyRpt_20150223 (1)'!U307+"h_l!$[R"</f>
        <v>#VALUE!</v>
      </c>
      <c r="BQ50" t="e">
        <f>'SurveyRpt_20150223 (1)'!V307+"h_l!$[S"</f>
        <v>#VALUE!</v>
      </c>
      <c r="BR50" t="e">
        <f>'SurveyRpt_20150223 (1)'!W307+"h_l!$[T"</f>
        <v>#VALUE!</v>
      </c>
      <c r="BS50" t="e">
        <f>'SurveyRpt_20150223 (1)'!X307+"h_l!$[U"</f>
        <v>#VALUE!</v>
      </c>
      <c r="BT50" t="e">
        <f>'SurveyRpt_20150223 (1)'!Y307+"h_l!$[V"</f>
        <v>#VALUE!</v>
      </c>
      <c r="BU50" t="e">
        <f>'SurveyRpt_20150223 (1)'!Z307+"h_l!$[W"</f>
        <v>#VALUE!</v>
      </c>
      <c r="BV50" t="e">
        <f>'SurveyRpt_20150223 (1)'!AA307+"h_l!$[X"</f>
        <v>#VALUE!</v>
      </c>
      <c r="BW50" t="e">
        <f>'SurveyRpt_20150223 (1)'!AB307+"h_l!$[Y"</f>
        <v>#VALUE!</v>
      </c>
      <c r="BX50" t="e">
        <f>'SurveyRpt_20150223 (1)'!AC307+"h_l!$[Z"</f>
        <v>#VALUE!</v>
      </c>
      <c r="BY50" t="e">
        <f>'SurveyRpt_20150223 (1)'!AD307+"h_l!$[["</f>
        <v>#VALUE!</v>
      </c>
      <c r="BZ50" t="e">
        <f>'SurveyRpt_20150223 (1)'!AE307+"h_l!$[\"</f>
        <v>#VALUE!</v>
      </c>
      <c r="CA50" t="e">
        <f>'SurveyRpt_20150223 (1)'!AF307+"h_l!$[]"</f>
        <v>#VALUE!</v>
      </c>
      <c r="CB50" t="e">
        <f>'SurveyRpt_20150223 (1)'!AG307+"h_l!$[^"</f>
        <v>#VALUE!</v>
      </c>
      <c r="CC50" t="e">
        <f>'SurveyRpt_20150223 (1)'!AH307+"h_l!$[_"</f>
        <v>#VALUE!</v>
      </c>
      <c r="CD50" t="e">
        <f>'SurveyRpt_20150223 (1)'!AI307+"h_l!$[`"</f>
        <v>#VALUE!</v>
      </c>
      <c r="CE50" t="e">
        <f>'SurveyRpt_20150223 (1)'!AJ307+"h_l!$[a"</f>
        <v>#VALUE!</v>
      </c>
      <c r="CF50" t="e">
        <f>'SurveyRpt_20150223 (1)'!AK307+"h_l!$[b"</f>
        <v>#VALUE!</v>
      </c>
      <c r="CG50" t="e">
        <f>'SurveyRpt_20150223 (1)'!AL307+"h_l!$[c"</f>
        <v>#VALUE!</v>
      </c>
      <c r="CH50" t="e">
        <f>'SurveyRpt_20150223 (1)'!AM307+"h_l!$[d"</f>
        <v>#VALUE!</v>
      </c>
      <c r="CI50" t="e">
        <f>'SurveyRpt_20150223 (1)'!AN307+"h_l!$[e"</f>
        <v>#VALUE!</v>
      </c>
      <c r="CJ50" t="e">
        <f>'SurveyRpt_20150223 (1)'!A308+"h_l!$[f"</f>
        <v>#VALUE!</v>
      </c>
      <c r="CK50" s="25" t="e">
        <f>'SurveyRpt_20150223 (1)'!B308+"h_l!$[g"</f>
        <v>#VALUE!</v>
      </c>
      <c r="CL50" t="e">
        <f>'SurveyRpt_20150223 (1)'!C308+"h_l!$[h"</f>
        <v>#VALUE!</v>
      </c>
      <c r="CM50" s="25" t="e">
        <f>'SurveyRpt_20150223 (1)'!D308+"h_l!$[i"</f>
        <v>#VALUE!</v>
      </c>
      <c r="CN50" t="e">
        <f>'SurveyRpt_20150223 (1)'!E308+"h_l!$[j"</f>
        <v>#VALUE!</v>
      </c>
      <c r="CO50" t="e">
        <f>'SurveyRpt_20150223 (1)'!F308+"h_l!$[k"</f>
        <v>#VALUE!</v>
      </c>
      <c r="CP50" t="e">
        <f>'SurveyRpt_20150223 (1)'!G308+"h_l!$[l"</f>
        <v>#VALUE!</v>
      </c>
      <c r="CQ50" t="e">
        <f>'SurveyRpt_20150223 (1)'!H308+"h_l!$[m"</f>
        <v>#VALUE!</v>
      </c>
      <c r="CR50" t="e">
        <f>'SurveyRpt_20150223 (1)'!I308+"h_l!$[n"</f>
        <v>#VALUE!</v>
      </c>
      <c r="CS50" t="e">
        <f>'SurveyRpt_20150223 (1)'!J308+"h_l!$[o"</f>
        <v>#VALUE!</v>
      </c>
      <c r="CT50" t="e">
        <f>'SurveyRpt_20150223 (1)'!K308+"h_l!$[p"</f>
        <v>#VALUE!</v>
      </c>
      <c r="CU50" t="e">
        <f>'SurveyRpt_20150223 (1)'!L308+"h_l!$[q"</f>
        <v>#VALUE!</v>
      </c>
      <c r="CV50" t="e">
        <f>'SurveyRpt_20150223 (1)'!M308+"h_l!$[r"</f>
        <v>#VALUE!</v>
      </c>
      <c r="CW50" t="e">
        <f>'SurveyRpt_20150223 (1)'!N308+"h_l!$[s"</f>
        <v>#VALUE!</v>
      </c>
      <c r="CX50" t="e">
        <f>'SurveyRpt_20150223 (1)'!O308+"h_l!$[t"</f>
        <v>#VALUE!</v>
      </c>
      <c r="CY50" t="e">
        <f>'SurveyRpt_20150223 (1)'!P308+"h_l!$[u"</f>
        <v>#VALUE!</v>
      </c>
      <c r="CZ50" t="e">
        <f>'SurveyRpt_20150223 (1)'!Q308+"h_l!$[v"</f>
        <v>#VALUE!</v>
      </c>
      <c r="DA50" t="e">
        <f>'SurveyRpt_20150223 (1)'!R308+"h_l!$[w"</f>
        <v>#VALUE!</v>
      </c>
      <c r="DB50" t="e">
        <f>'SurveyRpt_20150223 (1)'!S308+"h_l!$[x"</f>
        <v>#VALUE!</v>
      </c>
      <c r="DC50" t="e">
        <f>'SurveyRpt_20150223 (1)'!T308+"h_l!$[y"</f>
        <v>#VALUE!</v>
      </c>
      <c r="DD50" t="e">
        <f>'SurveyRpt_20150223 (1)'!U308+"h_l!$[z"</f>
        <v>#VALUE!</v>
      </c>
      <c r="DE50" t="e">
        <f>'SurveyRpt_20150223 (1)'!V308+"h_l!$[{"</f>
        <v>#VALUE!</v>
      </c>
      <c r="DF50" t="e">
        <f>'SurveyRpt_20150223 (1)'!W308+"h_l!$[|"</f>
        <v>#VALUE!</v>
      </c>
      <c r="DG50" t="e">
        <f>'SurveyRpt_20150223 (1)'!X308+"h_l!$[}"</f>
        <v>#VALUE!</v>
      </c>
      <c r="DH50" t="e">
        <f>'SurveyRpt_20150223 (1)'!Y308+"h_l!$[~"</f>
        <v>#VALUE!</v>
      </c>
      <c r="DI50" t="e">
        <f>'SurveyRpt_20150223 (1)'!Z308+"h_l!$\#"</f>
        <v>#VALUE!</v>
      </c>
      <c r="DJ50" t="e">
        <f>'SurveyRpt_20150223 (1)'!AA308+"h_l!$\$"</f>
        <v>#VALUE!</v>
      </c>
      <c r="DK50" t="e">
        <f>'SurveyRpt_20150223 (1)'!AB308+"h_l!$\%"</f>
        <v>#VALUE!</v>
      </c>
      <c r="DL50" t="e">
        <f>'SurveyRpt_20150223 (1)'!AC308+"h_l!$\&amp;"</f>
        <v>#VALUE!</v>
      </c>
      <c r="DM50" t="e">
        <f>'SurveyRpt_20150223 (1)'!AD308+"h_l!$\'"</f>
        <v>#VALUE!</v>
      </c>
      <c r="DN50" t="e">
        <f>'SurveyRpt_20150223 (1)'!AE308+"h_l!$\("</f>
        <v>#VALUE!</v>
      </c>
      <c r="DO50" t="e">
        <f>'SurveyRpt_20150223 (1)'!AF308+"h_l!$\)"</f>
        <v>#VALUE!</v>
      </c>
      <c r="DP50" t="e">
        <f>'SurveyRpt_20150223 (1)'!AG308+"h_l!$\."</f>
        <v>#VALUE!</v>
      </c>
      <c r="DQ50" t="e">
        <f>'SurveyRpt_20150223 (1)'!AH308+"h_l!$\/"</f>
        <v>#VALUE!</v>
      </c>
      <c r="DR50" t="e">
        <f>'SurveyRpt_20150223 (1)'!AI308+"h_l!$\0"</f>
        <v>#VALUE!</v>
      </c>
      <c r="DS50" t="e">
        <f>'SurveyRpt_20150223 (1)'!AJ308+"h_l!$\1"</f>
        <v>#VALUE!</v>
      </c>
      <c r="DT50" t="e">
        <f>'SurveyRpt_20150223 (1)'!AK308+"h_l!$\2"</f>
        <v>#VALUE!</v>
      </c>
      <c r="DU50" t="e">
        <f>'SurveyRpt_20150223 (1)'!AL308+"h_l!$\3"</f>
        <v>#VALUE!</v>
      </c>
      <c r="DV50" t="e">
        <f>'SurveyRpt_20150223 (1)'!AM308+"h_l!$\4"</f>
        <v>#VALUE!</v>
      </c>
      <c r="DW50" t="e">
        <f>'SurveyRpt_20150223 (1)'!AN308+"h_l!$\5"</f>
        <v>#VALUE!</v>
      </c>
      <c r="DX50" t="e">
        <f>'SurveyRpt_20150223 (1)'!A309+"h_l!$\6"</f>
        <v>#VALUE!</v>
      </c>
      <c r="DY50" s="25" t="e">
        <f>'SurveyRpt_20150223 (1)'!B309+"h_l!$\7"</f>
        <v>#VALUE!</v>
      </c>
      <c r="DZ50" t="e">
        <f>'SurveyRpt_20150223 (1)'!C309+"h_l!$\8"</f>
        <v>#VALUE!</v>
      </c>
      <c r="EA50" s="25" t="e">
        <f>'SurveyRpt_20150223 (1)'!D309+"h_l!$\9"</f>
        <v>#VALUE!</v>
      </c>
      <c r="EB50" t="e">
        <f>'SurveyRpt_20150223 (1)'!E309+"h_l!$\:"</f>
        <v>#VALUE!</v>
      </c>
      <c r="EC50" t="e">
        <f>'SurveyRpt_20150223 (1)'!F309+"h_l!$\;"</f>
        <v>#VALUE!</v>
      </c>
      <c r="ED50" t="e">
        <f>'SurveyRpt_20150223 (1)'!G309+"h_l!$\&lt;"</f>
        <v>#VALUE!</v>
      </c>
      <c r="EE50" t="e">
        <f>'SurveyRpt_20150223 (1)'!H309+"h_l!$\="</f>
        <v>#VALUE!</v>
      </c>
      <c r="EF50" t="e">
        <f>'SurveyRpt_20150223 (1)'!I309+"h_l!$\&gt;"</f>
        <v>#VALUE!</v>
      </c>
      <c r="EG50" t="e">
        <f>'SurveyRpt_20150223 (1)'!J309+"h_l!$\?"</f>
        <v>#VALUE!</v>
      </c>
      <c r="EH50" t="e">
        <f>'SurveyRpt_20150223 (1)'!K309+"h_l!$\@"</f>
        <v>#VALUE!</v>
      </c>
      <c r="EI50" t="e">
        <f>'SurveyRpt_20150223 (1)'!L309+"h_l!$\A"</f>
        <v>#VALUE!</v>
      </c>
      <c r="EJ50" t="e">
        <f>'SurveyRpt_20150223 (1)'!M309+"h_l!$\B"</f>
        <v>#VALUE!</v>
      </c>
      <c r="EK50" t="e">
        <f>'SurveyRpt_20150223 (1)'!N309+"h_l!$\C"</f>
        <v>#VALUE!</v>
      </c>
      <c r="EL50" t="e">
        <f>'SurveyRpt_20150223 (1)'!O309+"h_l!$\D"</f>
        <v>#VALUE!</v>
      </c>
      <c r="EM50" t="e">
        <f>'SurveyRpt_20150223 (1)'!P309+"h_l!$\E"</f>
        <v>#VALUE!</v>
      </c>
      <c r="EN50" t="e">
        <f>'SurveyRpt_20150223 (1)'!Q309+"h_l!$\F"</f>
        <v>#VALUE!</v>
      </c>
      <c r="EO50" t="e">
        <f>'SurveyRpt_20150223 (1)'!R309+"h_l!$\G"</f>
        <v>#VALUE!</v>
      </c>
      <c r="EP50" t="e">
        <f>'SurveyRpt_20150223 (1)'!S309+"h_l!$\H"</f>
        <v>#VALUE!</v>
      </c>
      <c r="EQ50" t="e">
        <f>'SurveyRpt_20150223 (1)'!T309+"h_l!$\I"</f>
        <v>#VALUE!</v>
      </c>
      <c r="ER50" t="e">
        <f>'SurveyRpt_20150223 (1)'!U309+"h_l!$\J"</f>
        <v>#VALUE!</v>
      </c>
      <c r="ES50" t="e">
        <f>'SurveyRpt_20150223 (1)'!V309+"h_l!$\K"</f>
        <v>#VALUE!</v>
      </c>
      <c r="ET50" t="e">
        <f>'SurveyRpt_20150223 (1)'!W309+"h_l!$\L"</f>
        <v>#VALUE!</v>
      </c>
      <c r="EU50" t="e">
        <f>'SurveyRpt_20150223 (1)'!X309+"h_l!$\M"</f>
        <v>#VALUE!</v>
      </c>
      <c r="EV50" t="e">
        <f>'SurveyRpt_20150223 (1)'!Y309+"h_l!$\N"</f>
        <v>#VALUE!</v>
      </c>
      <c r="EW50" t="e">
        <f>'SurveyRpt_20150223 (1)'!Z309+"h_l!$\O"</f>
        <v>#VALUE!</v>
      </c>
      <c r="EX50" t="e">
        <f>'SurveyRpt_20150223 (1)'!AA309+"h_l!$\P"</f>
        <v>#VALUE!</v>
      </c>
      <c r="EY50" t="e">
        <f>'SurveyRpt_20150223 (1)'!AB309+"h_l!$\Q"</f>
        <v>#VALUE!</v>
      </c>
      <c r="EZ50" t="e">
        <f>'SurveyRpt_20150223 (1)'!AC309+"h_l!$\R"</f>
        <v>#VALUE!</v>
      </c>
      <c r="FA50" t="e">
        <f>'SurveyRpt_20150223 (1)'!AD309+"h_l!$\S"</f>
        <v>#VALUE!</v>
      </c>
      <c r="FB50" t="e">
        <f>'SurveyRpt_20150223 (1)'!AE309+"h_l!$\T"</f>
        <v>#VALUE!</v>
      </c>
      <c r="FC50" t="e">
        <f>'SurveyRpt_20150223 (1)'!AF309+"h_l!$\U"</f>
        <v>#VALUE!</v>
      </c>
      <c r="FD50" t="e">
        <f>'SurveyRpt_20150223 (1)'!AG309+"h_l!$\V"</f>
        <v>#VALUE!</v>
      </c>
      <c r="FE50" t="e">
        <f>'SurveyRpt_20150223 (1)'!AH309+"h_l!$\W"</f>
        <v>#VALUE!</v>
      </c>
      <c r="FF50" t="e">
        <f>'SurveyRpt_20150223 (1)'!AI309+"h_l!$\X"</f>
        <v>#VALUE!</v>
      </c>
      <c r="FG50" t="e">
        <f>'SurveyRpt_20150223 (1)'!AJ309+"h_l!$\Y"</f>
        <v>#VALUE!</v>
      </c>
      <c r="FH50" t="e">
        <f>'SurveyRpt_20150223 (1)'!AK309+"h_l!$\Z"</f>
        <v>#VALUE!</v>
      </c>
      <c r="FI50" t="e">
        <f>'SurveyRpt_20150223 (1)'!AL309+"h_l!$\["</f>
        <v>#VALUE!</v>
      </c>
      <c r="FJ50" t="e">
        <f>'SurveyRpt_20150223 (1)'!AM309+"h_l!$\\"</f>
        <v>#VALUE!</v>
      </c>
      <c r="FK50" t="e">
        <f>'SurveyRpt_20150223 (1)'!AN309+"h_l!$\]"</f>
        <v>#VALUE!</v>
      </c>
      <c r="FL50" t="e">
        <f>'SurveyRpt_20150223 (1)'!A310+"h_l!$\^"</f>
        <v>#VALUE!</v>
      </c>
      <c r="FM50" s="25" t="e">
        <f>'SurveyRpt_20150223 (1)'!B310+"h_l!$\_"</f>
        <v>#VALUE!</v>
      </c>
      <c r="FN50" t="e">
        <f>'SurveyRpt_20150223 (1)'!C310+"h_l!$\`"</f>
        <v>#VALUE!</v>
      </c>
      <c r="FO50" s="25" t="e">
        <f>'SurveyRpt_20150223 (1)'!D310+"h_l!$\a"</f>
        <v>#VALUE!</v>
      </c>
      <c r="FP50" t="e">
        <f>'SurveyRpt_20150223 (1)'!E310+"h_l!$\b"</f>
        <v>#VALUE!</v>
      </c>
      <c r="FQ50" t="e">
        <f>'SurveyRpt_20150223 (1)'!F310+"h_l!$\c"</f>
        <v>#VALUE!</v>
      </c>
      <c r="FR50" t="e">
        <f>'SurveyRpt_20150223 (1)'!G310+"h_l!$\d"</f>
        <v>#VALUE!</v>
      </c>
      <c r="FS50" t="e">
        <f>'SurveyRpt_20150223 (1)'!H310+"h_l!$\e"</f>
        <v>#VALUE!</v>
      </c>
      <c r="FT50" t="e">
        <f>'SurveyRpt_20150223 (1)'!I310+"h_l!$\f"</f>
        <v>#VALUE!</v>
      </c>
      <c r="FU50" t="e">
        <f>'SurveyRpt_20150223 (1)'!J310+"h_l!$\g"</f>
        <v>#VALUE!</v>
      </c>
      <c r="FV50" t="e">
        <f>'SurveyRpt_20150223 (1)'!K310+"h_l!$\h"</f>
        <v>#VALUE!</v>
      </c>
      <c r="FW50" t="e">
        <f>'SurveyRpt_20150223 (1)'!L310+"h_l!$\i"</f>
        <v>#VALUE!</v>
      </c>
      <c r="FX50" t="e">
        <f>'SurveyRpt_20150223 (1)'!M310+"h_l!$\j"</f>
        <v>#VALUE!</v>
      </c>
      <c r="FY50" t="e">
        <f>'SurveyRpt_20150223 (1)'!N310+"h_l!$\k"</f>
        <v>#VALUE!</v>
      </c>
      <c r="FZ50" t="e">
        <f>'SurveyRpt_20150223 (1)'!O310+"h_l!$\l"</f>
        <v>#VALUE!</v>
      </c>
      <c r="GA50" t="e">
        <f>'SurveyRpt_20150223 (1)'!P310+"h_l!$\m"</f>
        <v>#VALUE!</v>
      </c>
      <c r="GB50" t="e">
        <f>'SurveyRpt_20150223 (1)'!Q310+"h_l!$\n"</f>
        <v>#VALUE!</v>
      </c>
      <c r="GC50" t="e">
        <f>'SurveyRpt_20150223 (1)'!R310+"h_l!$\o"</f>
        <v>#VALUE!</v>
      </c>
      <c r="GD50" t="e">
        <f>'SurveyRpt_20150223 (1)'!S310+"h_l!$\p"</f>
        <v>#VALUE!</v>
      </c>
      <c r="GE50" t="e">
        <f>'SurveyRpt_20150223 (1)'!T310+"h_l!$\q"</f>
        <v>#VALUE!</v>
      </c>
      <c r="GF50" t="e">
        <f>'SurveyRpt_20150223 (1)'!U310+"h_l!$\r"</f>
        <v>#VALUE!</v>
      </c>
      <c r="GG50" t="e">
        <f>'SurveyRpt_20150223 (1)'!V310+"h_l!$\s"</f>
        <v>#VALUE!</v>
      </c>
      <c r="GH50" t="e">
        <f>'SurveyRpt_20150223 (1)'!W310+"h_l!$\t"</f>
        <v>#VALUE!</v>
      </c>
      <c r="GI50" t="e">
        <f>'SurveyRpt_20150223 (1)'!X310+"h_l!$\u"</f>
        <v>#VALUE!</v>
      </c>
      <c r="GJ50" t="e">
        <f>'SurveyRpt_20150223 (1)'!Y310+"h_l!$\v"</f>
        <v>#VALUE!</v>
      </c>
      <c r="GK50" t="e">
        <f>'SurveyRpt_20150223 (1)'!Z310+"h_l!$\w"</f>
        <v>#VALUE!</v>
      </c>
      <c r="GL50" t="e">
        <f>'SurveyRpt_20150223 (1)'!AA310+"h_l!$\x"</f>
        <v>#VALUE!</v>
      </c>
      <c r="GM50" t="e">
        <f>'SurveyRpt_20150223 (1)'!AB310+"h_l!$\y"</f>
        <v>#VALUE!</v>
      </c>
      <c r="GN50" t="e">
        <f>'SurveyRpt_20150223 (1)'!AC310+"h_l!$\z"</f>
        <v>#VALUE!</v>
      </c>
      <c r="GO50" t="e">
        <f>'SurveyRpt_20150223 (1)'!AD310+"h_l!$\{"</f>
        <v>#VALUE!</v>
      </c>
      <c r="GP50" t="e">
        <f>'SurveyRpt_20150223 (1)'!AE310+"h_l!$\|"</f>
        <v>#VALUE!</v>
      </c>
      <c r="GQ50" t="e">
        <f>'SurveyRpt_20150223 (1)'!AF310+"h_l!$\}"</f>
        <v>#VALUE!</v>
      </c>
      <c r="GR50" t="e">
        <f>'SurveyRpt_20150223 (1)'!AG310+"h_l!$\~"</f>
        <v>#VALUE!</v>
      </c>
      <c r="GS50" t="e">
        <f>'SurveyRpt_20150223 (1)'!AH310+"h_l!$]#"</f>
        <v>#VALUE!</v>
      </c>
      <c r="GT50" t="e">
        <f>'SurveyRpt_20150223 (1)'!AI310+"h_l!$]$"</f>
        <v>#VALUE!</v>
      </c>
      <c r="GU50" t="e">
        <f>'SurveyRpt_20150223 (1)'!AJ310+"h_l!$]%"</f>
        <v>#VALUE!</v>
      </c>
      <c r="GV50" t="e">
        <f>'SurveyRpt_20150223 (1)'!AK310+"h_l!$]&amp;"</f>
        <v>#VALUE!</v>
      </c>
      <c r="GW50" t="e">
        <f>'SurveyRpt_20150223 (1)'!AL310+"h_l!$]'"</f>
        <v>#VALUE!</v>
      </c>
      <c r="GX50" t="e">
        <f>'SurveyRpt_20150223 (1)'!AM310+"h_l!$]("</f>
        <v>#VALUE!</v>
      </c>
      <c r="GY50" t="e">
        <f>'SurveyRpt_20150223 (1)'!AN310+"h_l!$])"</f>
        <v>#VALUE!</v>
      </c>
      <c r="GZ50" t="e">
        <f>'SurveyRpt_20150223 (1)'!A311+"h_l!$]."</f>
        <v>#VALUE!</v>
      </c>
      <c r="HA50" s="25" t="e">
        <f>'SurveyRpt_20150223 (1)'!B311+"h_l!$]/"</f>
        <v>#VALUE!</v>
      </c>
      <c r="HB50" t="e">
        <f>'SurveyRpt_20150223 (1)'!C311+"h_l!$]0"</f>
        <v>#VALUE!</v>
      </c>
      <c r="HC50" s="25" t="e">
        <f>'SurveyRpt_20150223 (1)'!D311+"h_l!$]1"</f>
        <v>#VALUE!</v>
      </c>
      <c r="HD50" t="e">
        <f>'SurveyRpt_20150223 (1)'!E311+"h_l!$]2"</f>
        <v>#VALUE!</v>
      </c>
      <c r="HE50" t="e">
        <f>'SurveyRpt_20150223 (1)'!F311+"h_l!$]3"</f>
        <v>#VALUE!</v>
      </c>
      <c r="HF50" t="e">
        <f>'SurveyRpt_20150223 (1)'!G311+"h_l!$]4"</f>
        <v>#VALUE!</v>
      </c>
      <c r="HG50" t="e">
        <f>'SurveyRpt_20150223 (1)'!H311+"h_l!$]5"</f>
        <v>#VALUE!</v>
      </c>
      <c r="HH50" t="e">
        <f>'SurveyRpt_20150223 (1)'!I311+"h_l!$]6"</f>
        <v>#VALUE!</v>
      </c>
      <c r="HI50" t="e">
        <f>'SurveyRpt_20150223 (1)'!J311+"h_l!$]7"</f>
        <v>#VALUE!</v>
      </c>
      <c r="HJ50" t="e">
        <f>'SurveyRpt_20150223 (1)'!K311+"h_l!$]8"</f>
        <v>#VALUE!</v>
      </c>
      <c r="HK50" t="e">
        <f>'SurveyRpt_20150223 (1)'!L311+"h_l!$]9"</f>
        <v>#VALUE!</v>
      </c>
      <c r="HL50" t="e">
        <f>'SurveyRpt_20150223 (1)'!M311+"h_l!$]:"</f>
        <v>#VALUE!</v>
      </c>
      <c r="HM50" t="e">
        <f>'SurveyRpt_20150223 (1)'!N311+"h_l!$];"</f>
        <v>#VALUE!</v>
      </c>
      <c r="HN50" t="e">
        <f>'SurveyRpt_20150223 (1)'!O311+"h_l!$]&lt;"</f>
        <v>#VALUE!</v>
      </c>
      <c r="HO50" t="e">
        <f>'SurveyRpt_20150223 (1)'!P311+"h_l!$]="</f>
        <v>#VALUE!</v>
      </c>
      <c r="HP50" t="e">
        <f>'SurveyRpt_20150223 (1)'!Q311+"h_l!$]&gt;"</f>
        <v>#VALUE!</v>
      </c>
      <c r="HQ50" t="e">
        <f>'SurveyRpt_20150223 (1)'!R311+"h_l!$]?"</f>
        <v>#VALUE!</v>
      </c>
      <c r="HR50" t="e">
        <f>'SurveyRpt_20150223 (1)'!S311+"h_l!$]@"</f>
        <v>#VALUE!</v>
      </c>
      <c r="HS50" t="e">
        <f>'SurveyRpt_20150223 (1)'!T311+"h_l!$]A"</f>
        <v>#VALUE!</v>
      </c>
      <c r="HT50" t="e">
        <f>'SurveyRpt_20150223 (1)'!U311+"h_l!$]B"</f>
        <v>#VALUE!</v>
      </c>
      <c r="HU50" t="e">
        <f>'SurveyRpt_20150223 (1)'!V311+"h_l!$]C"</f>
        <v>#VALUE!</v>
      </c>
      <c r="HV50" t="e">
        <f>'SurveyRpt_20150223 (1)'!W311+"h_l!$]D"</f>
        <v>#VALUE!</v>
      </c>
      <c r="HW50" t="e">
        <f>'SurveyRpt_20150223 (1)'!X311+"h_l!$]E"</f>
        <v>#VALUE!</v>
      </c>
      <c r="HX50" t="e">
        <f>'SurveyRpt_20150223 (1)'!Y311+"h_l!$]F"</f>
        <v>#VALUE!</v>
      </c>
      <c r="HY50" t="e">
        <f>'SurveyRpt_20150223 (1)'!Z311+"h_l!$]G"</f>
        <v>#VALUE!</v>
      </c>
      <c r="HZ50" t="e">
        <f>'SurveyRpt_20150223 (1)'!AA311+"h_l!$]H"</f>
        <v>#VALUE!</v>
      </c>
      <c r="IA50" t="e">
        <f>'SurveyRpt_20150223 (1)'!AB311+"h_l!$]I"</f>
        <v>#VALUE!</v>
      </c>
      <c r="IB50" t="e">
        <f>'SurveyRpt_20150223 (1)'!AC311+"h_l!$]J"</f>
        <v>#VALUE!</v>
      </c>
      <c r="IC50" t="e">
        <f>'SurveyRpt_20150223 (1)'!AD311+"h_l!$]K"</f>
        <v>#VALUE!</v>
      </c>
      <c r="ID50" t="e">
        <f>'SurveyRpt_20150223 (1)'!AE311+"h_l!$]L"</f>
        <v>#VALUE!</v>
      </c>
      <c r="IE50" t="e">
        <f>'SurveyRpt_20150223 (1)'!AF311+"h_l!$]M"</f>
        <v>#VALUE!</v>
      </c>
      <c r="IF50" t="e">
        <f>'SurveyRpt_20150223 (1)'!AG311+"h_l!$]N"</f>
        <v>#VALUE!</v>
      </c>
      <c r="IG50" t="e">
        <f>'SurveyRpt_20150223 (1)'!AH311+"h_l!$]O"</f>
        <v>#VALUE!</v>
      </c>
      <c r="IH50" t="e">
        <f>'SurveyRpt_20150223 (1)'!AI311+"h_l!$]P"</f>
        <v>#VALUE!</v>
      </c>
      <c r="II50" t="e">
        <f>'SurveyRpt_20150223 (1)'!AJ311+"h_l!$]Q"</f>
        <v>#VALUE!</v>
      </c>
      <c r="IJ50" t="e">
        <f>'SurveyRpt_20150223 (1)'!AK311+"h_l!$]R"</f>
        <v>#VALUE!</v>
      </c>
      <c r="IK50" t="e">
        <f>'SurveyRpt_20150223 (1)'!AL311+"h_l!$]S"</f>
        <v>#VALUE!</v>
      </c>
      <c r="IL50" t="e">
        <f>'SurveyRpt_20150223 (1)'!AM311+"h_l!$]T"</f>
        <v>#VALUE!</v>
      </c>
      <c r="IM50" t="e">
        <f>'SurveyRpt_20150223 (1)'!AN311+"h_l!$]U"</f>
        <v>#VALUE!</v>
      </c>
      <c r="IN50" t="e">
        <f>'SurveyRpt_20150223 (1)'!A312+"h_l!$]V"</f>
        <v>#VALUE!</v>
      </c>
      <c r="IO50" s="25" t="e">
        <f>'SurveyRpt_20150223 (1)'!B312+"h_l!$]W"</f>
        <v>#VALUE!</v>
      </c>
      <c r="IP50" t="e">
        <f>'SurveyRpt_20150223 (1)'!C312+"h_l!$]X"</f>
        <v>#VALUE!</v>
      </c>
      <c r="IQ50" s="25" t="e">
        <f>'SurveyRpt_20150223 (1)'!D312+"h_l!$]Y"</f>
        <v>#VALUE!</v>
      </c>
      <c r="IR50" t="e">
        <f>'SurveyRpt_20150223 (1)'!E312+"h_l!$]Z"</f>
        <v>#VALUE!</v>
      </c>
      <c r="IS50" t="e">
        <f>'SurveyRpt_20150223 (1)'!F312+"h_l!$]["</f>
        <v>#VALUE!</v>
      </c>
      <c r="IT50" t="e">
        <f>'SurveyRpt_20150223 (1)'!G312+"h_l!$]\"</f>
        <v>#VALUE!</v>
      </c>
      <c r="IU50" t="e">
        <f>'SurveyRpt_20150223 (1)'!H312+"h_l!$]]"</f>
        <v>#VALUE!</v>
      </c>
      <c r="IV50" t="e">
        <f>'SurveyRpt_20150223 (1)'!I312+"h_l!$]^"</f>
        <v>#VALUE!</v>
      </c>
    </row>
    <row r="51" spans="6:256" x14ac:dyDescent="0.25">
      <c r="F51" t="e">
        <f>'SurveyRpt_20150223 (1)'!J312+"h_l!$]_"</f>
        <v>#VALUE!</v>
      </c>
      <c r="G51" t="e">
        <f>'SurveyRpt_20150223 (1)'!K312+"h_l!$]`"</f>
        <v>#VALUE!</v>
      </c>
      <c r="H51" t="e">
        <f>'SurveyRpt_20150223 (1)'!L312+"h_l!$]a"</f>
        <v>#VALUE!</v>
      </c>
      <c r="I51" t="e">
        <f>'SurveyRpt_20150223 (1)'!M312+"h_l!$]b"</f>
        <v>#VALUE!</v>
      </c>
      <c r="J51" t="e">
        <f>'SurveyRpt_20150223 (1)'!N312+"h_l!$]c"</f>
        <v>#VALUE!</v>
      </c>
      <c r="K51" t="e">
        <f>'SurveyRpt_20150223 (1)'!O312+"h_l!$]d"</f>
        <v>#VALUE!</v>
      </c>
      <c r="L51" t="e">
        <f>'SurveyRpt_20150223 (1)'!P312+"h_l!$]e"</f>
        <v>#VALUE!</v>
      </c>
      <c r="M51" t="e">
        <f>'SurveyRpt_20150223 (1)'!Q312+"h_l!$]f"</f>
        <v>#VALUE!</v>
      </c>
      <c r="N51" t="e">
        <f>'SurveyRpt_20150223 (1)'!R312+"h_l!$]g"</f>
        <v>#VALUE!</v>
      </c>
      <c r="O51" t="e">
        <f>'SurveyRpt_20150223 (1)'!S312+"h_l!$]h"</f>
        <v>#VALUE!</v>
      </c>
      <c r="P51" t="e">
        <f>'SurveyRpt_20150223 (1)'!T312+"h_l!$]i"</f>
        <v>#VALUE!</v>
      </c>
      <c r="Q51" t="e">
        <f>'SurveyRpt_20150223 (1)'!U312+"h_l!$]j"</f>
        <v>#VALUE!</v>
      </c>
      <c r="R51" t="e">
        <f>'SurveyRpt_20150223 (1)'!V312+"h_l!$]k"</f>
        <v>#VALUE!</v>
      </c>
      <c r="S51" t="e">
        <f>'SurveyRpt_20150223 (1)'!W312+"h_l!$]l"</f>
        <v>#VALUE!</v>
      </c>
      <c r="T51" t="e">
        <f>'SurveyRpt_20150223 (1)'!X312+"h_l!$]m"</f>
        <v>#VALUE!</v>
      </c>
      <c r="U51" t="e">
        <f>'SurveyRpt_20150223 (1)'!Y312+"h_l!$]n"</f>
        <v>#VALUE!</v>
      </c>
      <c r="V51" t="e">
        <f>'SurveyRpt_20150223 (1)'!Z312+"h_l!$]o"</f>
        <v>#VALUE!</v>
      </c>
      <c r="W51" t="e">
        <f>'SurveyRpt_20150223 (1)'!AA312+"h_l!$]p"</f>
        <v>#VALUE!</v>
      </c>
      <c r="X51" t="e">
        <f>'SurveyRpt_20150223 (1)'!AB312+"h_l!$]q"</f>
        <v>#VALUE!</v>
      </c>
      <c r="Y51" t="e">
        <f>'SurveyRpt_20150223 (1)'!AC312+"h_l!$]r"</f>
        <v>#VALUE!</v>
      </c>
      <c r="Z51" t="e">
        <f>'SurveyRpt_20150223 (1)'!AD312+"h_l!$]s"</f>
        <v>#VALUE!</v>
      </c>
      <c r="AA51" t="e">
        <f>'SurveyRpt_20150223 (1)'!AE312+"h_l!$]t"</f>
        <v>#VALUE!</v>
      </c>
      <c r="AB51" t="e">
        <f>'SurveyRpt_20150223 (1)'!AF312+"h_l!$]u"</f>
        <v>#VALUE!</v>
      </c>
      <c r="AC51" t="e">
        <f>'SurveyRpt_20150223 (1)'!AG312+"h_l!$]v"</f>
        <v>#VALUE!</v>
      </c>
      <c r="AD51" t="e">
        <f>'SurveyRpt_20150223 (1)'!AH312+"h_l!$]w"</f>
        <v>#VALUE!</v>
      </c>
      <c r="AE51" t="e">
        <f>'SurveyRpt_20150223 (1)'!AI312+"h_l!$]x"</f>
        <v>#VALUE!</v>
      </c>
      <c r="AF51" t="e">
        <f>'SurveyRpt_20150223 (1)'!AJ312+"h_l!$]y"</f>
        <v>#VALUE!</v>
      </c>
      <c r="AG51" t="e">
        <f>'SurveyRpt_20150223 (1)'!AK312+"h_l!$]z"</f>
        <v>#VALUE!</v>
      </c>
      <c r="AH51" t="e">
        <f>'SurveyRpt_20150223 (1)'!AL312+"h_l!$]{"</f>
        <v>#VALUE!</v>
      </c>
      <c r="AI51" t="e">
        <f>'SurveyRpt_20150223 (1)'!AM312+"h_l!$]|"</f>
        <v>#VALUE!</v>
      </c>
      <c r="AJ51" t="e">
        <f>'SurveyRpt_20150223 (1)'!AN312+"h_l!$]}"</f>
        <v>#VALUE!</v>
      </c>
      <c r="AK51" t="e">
        <f>'SurveyRpt_20150223 (1)'!A313+"h_l!$]~"</f>
        <v>#VALUE!</v>
      </c>
      <c r="AL51" s="25" t="e">
        <f>'SurveyRpt_20150223 (1)'!B313+"h_l!$^#"</f>
        <v>#VALUE!</v>
      </c>
      <c r="AM51" t="e">
        <f>'SurveyRpt_20150223 (1)'!C313+"h_l!$^$"</f>
        <v>#VALUE!</v>
      </c>
      <c r="AN51" s="25" t="e">
        <f>'SurveyRpt_20150223 (1)'!D313+"h_l!$^%"</f>
        <v>#VALUE!</v>
      </c>
      <c r="AO51" t="e">
        <f>'SurveyRpt_20150223 (1)'!E313+"h_l!$^&amp;"</f>
        <v>#VALUE!</v>
      </c>
      <c r="AP51" t="e">
        <f>'SurveyRpt_20150223 (1)'!F313+"h_l!$^'"</f>
        <v>#VALUE!</v>
      </c>
      <c r="AQ51" t="e">
        <f>'SurveyRpt_20150223 (1)'!G313+"h_l!$^("</f>
        <v>#VALUE!</v>
      </c>
      <c r="AR51" t="e">
        <f>'SurveyRpt_20150223 (1)'!H313+"h_l!$^)"</f>
        <v>#VALUE!</v>
      </c>
      <c r="AS51" t="e">
        <f>'SurveyRpt_20150223 (1)'!I313+"h_l!$^."</f>
        <v>#VALUE!</v>
      </c>
      <c r="AT51" t="e">
        <f>'SurveyRpt_20150223 (1)'!J313+"h_l!$^/"</f>
        <v>#VALUE!</v>
      </c>
      <c r="AU51" t="e">
        <f>'SurveyRpt_20150223 (1)'!K313+"h_l!$^0"</f>
        <v>#VALUE!</v>
      </c>
      <c r="AV51" t="e">
        <f>'SurveyRpt_20150223 (1)'!L313+"h_l!$^1"</f>
        <v>#VALUE!</v>
      </c>
      <c r="AW51" t="e">
        <f>'SurveyRpt_20150223 (1)'!M313+"h_l!$^2"</f>
        <v>#VALUE!</v>
      </c>
      <c r="AX51" t="e">
        <f>'SurveyRpt_20150223 (1)'!N313+"h_l!$^3"</f>
        <v>#VALUE!</v>
      </c>
      <c r="AY51" t="e">
        <f>'SurveyRpt_20150223 (1)'!O313+"h_l!$^4"</f>
        <v>#VALUE!</v>
      </c>
      <c r="AZ51" t="e">
        <f>'SurveyRpt_20150223 (1)'!P313+"h_l!$^5"</f>
        <v>#VALUE!</v>
      </c>
      <c r="BA51" t="e">
        <f>'SurveyRpt_20150223 (1)'!Q313+"h_l!$^6"</f>
        <v>#VALUE!</v>
      </c>
      <c r="BB51" t="e">
        <f>'SurveyRpt_20150223 (1)'!R313+"h_l!$^7"</f>
        <v>#VALUE!</v>
      </c>
      <c r="BC51" t="e">
        <f>'SurveyRpt_20150223 (1)'!S313+"h_l!$^8"</f>
        <v>#VALUE!</v>
      </c>
      <c r="BD51" t="e">
        <f>'SurveyRpt_20150223 (1)'!T313+"h_l!$^9"</f>
        <v>#VALUE!</v>
      </c>
      <c r="BE51" t="e">
        <f>'SurveyRpt_20150223 (1)'!U313+"h_l!$^:"</f>
        <v>#VALUE!</v>
      </c>
      <c r="BF51" t="e">
        <f>'SurveyRpt_20150223 (1)'!V313+"h_l!$^;"</f>
        <v>#VALUE!</v>
      </c>
      <c r="BG51" t="e">
        <f>'SurveyRpt_20150223 (1)'!W313+"h_l!$^&lt;"</f>
        <v>#VALUE!</v>
      </c>
      <c r="BH51" t="e">
        <f>'SurveyRpt_20150223 (1)'!X313+"h_l!$^="</f>
        <v>#VALUE!</v>
      </c>
      <c r="BI51" t="e">
        <f>'SurveyRpt_20150223 (1)'!Y313+"h_l!$^&gt;"</f>
        <v>#VALUE!</v>
      </c>
      <c r="BJ51" t="e">
        <f>'SurveyRpt_20150223 (1)'!Z313+"h_l!$^?"</f>
        <v>#VALUE!</v>
      </c>
      <c r="BK51" t="e">
        <f>'SurveyRpt_20150223 (1)'!AA313+"h_l!$^@"</f>
        <v>#VALUE!</v>
      </c>
      <c r="BL51" t="e">
        <f>'SurveyRpt_20150223 (1)'!AB313+"h_l!$^A"</f>
        <v>#VALUE!</v>
      </c>
      <c r="BM51" t="e">
        <f>'SurveyRpt_20150223 (1)'!AC313+"h_l!$^B"</f>
        <v>#VALUE!</v>
      </c>
      <c r="BN51" t="e">
        <f>'SurveyRpt_20150223 (1)'!AD313+"h_l!$^C"</f>
        <v>#VALUE!</v>
      </c>
      <c r="BO51" t="e">
        <f>'SurveyRpt_20150223 (1)'!AE313+"h_l!$^D"</f>
        <v>#VALUE!</v>
      </c>
      <c r="BP51" t="e">
        <f>'SurveyRpt_20150223 (1)'!AF313+"h_l!$^E"</f>
        <v>#VALUE!</v>
      </c>
      <c r="BQ51" t="e">
        <f>'SurveyRpt_20150223 (1)'!AG313+"h_l!$^F"</f>
        <v>#VALUE!</v>
      </c>
      <c r="BR51" t="e">
        <f>'SurveyRpt_20150223 (1)'!AH313+"h_l!$^G"</f>
        <v>#VALUE!</v>
      </c>
      <c r="BS51" t="e">
        <f>'SurveyRpt_20150223 (1)'!AI313+"h_l!$^H"</f>
        <v>#VALUE!</v>
      </c>
      <c r="BT51" t="e">
        <f>'SurveyRpt_20150223 (1)'!AJ313+"h_l!$^I"</f>
        <v>#VALUE!</v>
      </c>
      <c r="BU51" t="e">
        <f>'SurveyRpt_20150223 (1)'!AK313+"h_l!$^J"</f>
        <v>#VALUE!</v>
      </c>
      <c r="BV51" t="e">
        <f>'SurveyRpt_20150223 (1)'!AL313+"h_l!$^K"</f>
        <v>#VALUE!</v>
      </c>
      <c r="BW51" t="e">
        <f>'SurveyRpt_20150223 (1)'!AM313+"h_l!$^L"</f>
        <v>#VALUE!</v>
      </c>
      <c r="BX51" t="e">
        <f>'SurveyRpt_20150223 (1)'!AN313+"h_l!$^M"</f>
        <v>#VALUE!</v>
      </c>
      <c r="BY51" t="e">
        <f>'SurveyRpt_20150223 (1)'!A314+"h_l!$^N"</f>
        <v>#VALUE!</v>
      </c>
      <c r="BZ51" s="25" t="e">
        <f>'SurveyRpt_20150223 (1)'!B314+"h_l!$^O"</f>
        <v>#VALUE!</v>
      </c>
      <c r="CA51" t="e">
        <f>'SurveyRpt_20150223 (1)'!C314+"h_l!$^P"</f>
        <v>#VALUE!</v>
      </c>
      <c r="CB51" s="25" t="e">
        <f>'SurveyRpt_20150223 (1)'!D314+"h_l!$^Q"</f>
        <v>#VALUE!</v>
      </c>
      <c r="CC51" t="e">
        <f>'SurveyRpt_20150223 (1)'!E314+"h_l!$^R"</f>
        <v>#VALUE!</v>
      </c>
      <c r="CD51" t="e">
        <f>'SurveyRpt_20150223 (1)'!F314+"h_l!$^S"</f>
        <v>#VALUE!</v>
      </c>
      <c r="CE51" t="e">
        <f>'SurveyRpt_20150223 (1)'!G314+"h_l!$^T"</f>
        <v>#VALUE!</v>
      </c>
      <c r="CF51" t="e">
        <f>'SurveyRpt_20150223 (1)'!H314+"h_l!$^U"</f>
        <v>#VALUE!</v>
      </c>
      <c r="CG51" t="e">
        <f>'SurveyRpt_20150223 (1)'!I314+"h_l!$^V"</f>
        <v>#VALUE!</v>
      </c>
      <c r="CH51" t="e">
        <f>'SurveyRpt_20150223 (1)'!J314+"h_l!$^W"</f>
        <v>#VALUE!</v>
      </c>
      <c r="CI51" t="e">
        <f>'SurveyRpt_20150223 (1)'!K314+"h_l!$^X"</f>
        <v>#VALUE!</v>
      </c>
      <c r="CJ51" t="e">
        <f>'SurveyRpt_20150223 (1)'!L314+"h_l!$^Y"</f>
        <v>#VALUE!</v>
      </c>
      <c r="CK51" t="e">
        <f>'SurveyRpt_20150223 (1)'!M314+"h_l!$^Z"</f>
        <v>#VALUE!</v>
      </c>
      <c r="CL51" t="e">
        <f>'SurveyRpt_20150223 (1)'!N314+"h_l!$^["</f>
        <v>#VALUE!</v>
      </c>
      <c r="CM51" t="e">
        <f>'SurveyRpt_20150223 (1)'!O314+"h_l!$^\"</f>
        <v>#VALUE!</v>
      </c>
      <c r="CN51" t="e">
        <f>'SurveyRpt_20150223 (1)'!P314+"h_l!$^]"</f>
        <v>#VALUE!</v>
      </c>
      <c r="CO51" t="e">
        <f>'SurveyRpt_20150223 (1)'!Q314+"h_l!$^^"</f>
        <v>#VALUE!</v>
      </c>
      <c r="CP51" t="e">
        <f>'SurveyRpt_20150223 (1)'!R314+"h_l!$^_"</f>
        <v>#VALUE!</v>
      </c>
      <c r="CQ51" t="e">
        <f>'SurveyRpt_20150223 (1)'!S314+"h_l!$^`"</f>
        <v>#VALUE!</v>
      </c>
      <c r="CR51" t="e">
        <f>'SurveyRpt_20150223 (1)'!T314+"h_l!$^a"</f>
        <v>#VALUE!</v>
      </c>
      <c r="CS51" t="e">
        <f>'SurveyRpt_20150223 (1)'!U314+"h_l!$^b"</f>
        <v>#VALUE!</v>
      </c>
      <c r="CT51" t="e">
        <f>'SurveyRpt_20150223 (1)'!V314+"h_l!$^c"</f>
        <v>#VALUE!</v>
      </c>
      <c r="CU51" t="e">
        <f>'SurveyRpt_20150223 (1)'!W314+"h_l!$^d"</f>
        <v>#VALUE!</v>
      </c>
      <c r="CV51" t="e">
        <f>'SurveyRpt_20150223 (1)'!X314+"h_l!$^e"</f>
        <v>#VALUE!</v>
      </c>
      <c r="CW51" t="e">
        <f>'SurveyRpt_20150223 (1)'!Y314+"h_l!$^f"</f>
        <v>#VALUE!</v>
      </c>
      <c r="CX51" t="e">
        <f>'SurveyRpt_20150223 (1)'!Z314+"h_l!$^g"</f>
        <v>#VALUE!</v>
      </c>
      <c r="CY51" t="e">
        <f>'SurveyRpt_20150223 (1)'!AA314+"h_l!$^h"</f>
        <v>#VALUE!</v>
      </c>
      <c r="CZ51" t="e">
        <f>'SurveyRpt_20150223 (1)'!AB314+"h_l!$^i"</f>
        <v>#VALUE!</v>
      </c>
      <c r="DA51" t="e">
        <f>'SurveyRpt_20150223 (1)'!AC314+"h_l!$^j"</f>
        <v>#VALUE!</v>
      </c>
      <c r="DB51" t="e">
        <f>'SurveyRpt_20150223 (1)'!AD314+"h_l!$^k"</f>
        <v>#VALUE!</v>
      </c>
      <c r="DC51" t="e">
        <f>'SurveyRpt_20150223 (1)'!AE314+"h_l!$^l"</f>
        <v>#VALUE!</v>
      </c>
      <c r="DD51" t="e">
        <f>'SurveyRpt_20150223 (1)'!AF314+"h_l!$^m"</f>
        <v>#VALUE!</v>
      </c>
      <c r="DE51" t="e">
        <f>'SurveyRpt_20150223 (1)'!AG314+"h_l!$^n"</f>
        <v>#VALUE!</v>
      </c>
      <c r="DF51" t="e">
        <f>'SurveyRpt_20150223 (1)'!AH314+"h_l!$^o"</f>
        <v>#VALUE!</v>
      </c>
      <c r="DG51" t="e">
        <f>'SurveyRpt_20150223 (1)'!AI314+"h_l!$^p"</f>
        <v>#VALUE!</v>
      </c>
      <c r="DH51" t="e">
        <f>'SurveyRpt_20150223 (1)'!AJ314+"h_l!$^q"</f>
        <v>#VALUE!</v>
      </c>
      <c r="DI51" t="e">
        <f>'SurveyRpt_20150223 (1)'!AK314+"h_l!$^r"</f>
        <v>#VALUE!</v>
      </c>
      <c r="DJ51" t="e">
        <f>'SurveyRpt_20150223 (1)'!AL314+"h_l!$^s"</f>
        <v>#VALUE!</v>
      </c>
      <c r="DK51" t="e">
        <f>'SurveyRpt_20150223 (1)'!AM314+"h_l!$^t"</f>
        <v>#VALUE!</v>
      </c>
      <c r="DL51" t="e">
        <f>'SurveyRpt_20150223 (1)'!AN314+"h_l!$^u"</f>
        <v>#VALUE!</v>
      </c>
      <c r="DM51" t="e">
        <f>'SurveyRpt_20150223 (1)'!A315+"h_l!$^v"</f>
        <v>#VALUE!</v>
      </c>
      <c r="DN51" s="25" t="e">
        <f>'SurveyRpt_20150223 (1)'!B315+"h_l!$^w"</f>
        <v>#VALUE!</v>
      </c>
      <c r="DO51" t="e">
        <f>'SurveyRpt_20150223 (1)'!C315+"h_l!$^x"</f>
        <v>#VALUE!</v>
      </c>
      <c r="DP51" s="25" t="e">
        <f>'SurveyRpt_20150223 (1)'!D315+"h_l!$^y"</f>
        <v>#VALUE!</v>
      </c>
      <c r="DQ51" t="e">
        <f>'SurveyRpt_20150223 (1)'!E315+"h_l!$^z"</f>
        <v>#VALUE!</v>
      </c>
      <c r="DR51" t="e">
        <f>'SurveyRpt_20150223 (1)'!F315+"h_l!$^{"</f>
        <v>#VALUE!</v>
      </c>
      <c r="DS51" t="e">
        <f>'SurveyRpt_20150223 (1)'!G315+"h_l!$^|"</f>
        <v>#VALUE!</v>
      </c>
      <c r="DT51" t="e">
        <f>'SurveyRpt_20150223 (1)'!H315+"h_l!$^}"</f>
        <v>#VALUE!</v>
      </c>
      <c r="DU51" t="e">
        <f>'SurveyRpt_20150223 (1)'!I315+"h_l!$^~"</f>
        <v>#VALUE!</v>
      </c>
      <c r="DV51" t="e">
        <f>'SurveyRpt_20150223 (1)'!J315+"h_l!$_#"</f>
        <v>#VALUE!</v>
      </c>
      <c r="DW51" t="e">
        <f>'SurveyRpt_20150223 (1)'!K315+"h_l!$_$"</f>
        <v>#VALUE!</v>
      </c>
      <c r="DX51" t="e">
        <f>'SurveyRpt_20150223 (1)'!L315+"h_l!$_%"</f>
        <v>#VALUE!</v>
      </c>
      <c r="DY51" t="e">
        <f>'SurveyRpt_20150223 (1)'!M315+"h_l!$_&amp;"</f>
        <v>#VALUE!</v>
      </c>
      <c r="DZ51" t="e">
        <f>'SurveyRpt_20150223 (1)'!N315+"h_l!$_'"</f>
        <v>#VALUE!</v>
      </c>
      <c r="EA51" t="e">
        <f>'SurveyRpt_20150223 (1)'!O315+"h_l!$_("</f>
        <v>#VALUE!</v>
      </c>
      <c r="EB51" t="e">
        <f>'SurveyRpt_20150223 (1)'!P315+"h_l!$_)"</f>
        <v>#VALUE!</v>
      </c>
      <c r="EC51" t="e">
        <f>'SurveyRpt_20150223 (1)'!Q315+"h_l!$_."</f>
        <v>#VALUE!</v>
      </c>
      <c r="ED51" t="e">
        <f>'SurveyRpt_20150223 (1)'!R315+"h_l!$_/"</f>
        <v>#VALUE!</v>
      </c>
      <c r="EE51" t="e">
        <f>'SurveyRpt_20150223 (1)'!S315+"h_l!$_0"</f>
        <v>#VALUE!</v>
      </c>
      <c r="EF51" t="e">
        <f>'SurveyRpt_20150223 (1)'!T315+"h_l!$_1"</f>
        <v>#VALUE!</v>
      </c>
      <c r="EG51" t="e">
        <f>'SurveyRpt_20150223 (1)'!U315+"h_l!$_2"</f>
        <v>#VALUE!</v>
      </c>
      <c r="EH51" t="e">
        <f>'SurveyRpt_20150223 (1)'!V315+"h_l!$_3"</f>
        <v>#VALUE!</v>
      </c>
      <c r="EI51" t="e">
        <f>'SurveyRpt_20150223 (1)'!W315+"h_l!$_4"</f>
        <v>#VALUE!</v>
      </c>
      <c r="EJ51" t="e">
        <f>'SurveyRpt_20150223 (1)'!X315+"h_l!$_5"</f>
        <v>#VALUE!</v>
      </c>
      <c r="EK51" t="e">
        <f>'SurveyRpt_20150223 (1)'!Y315+"h_l!$_6"</f>
        <v>#VALUE!</v>
      </c>
      <c r="EL51" t="e">
        <f>'SurveyRpt_20150223 (1)'!Z315+"h_l!$_7"</f>
        <v>#VALUE!</v>
      </c>
      <c r="EM51" t="e">
        <f>'SurveyRpt_20150223 (1)'!AA315+"h_l!$_8"</f>
        <v>#VALUE!</v>
      </c>
      <c r="EN51" t="e">
        <f>'SurveyRpt_20150223 (1)'!AB315+"h_l!$_9"</f>
        <v>#VALUE!</v>
      </c>
      <c r="EO51" t="e">
        <f>'SurveyRpt_20150223 (1)'!AC315+"h_l!$_:"</f>
        <v>#VALUE!</v>
      </c>
      <c r="EP51" t="e">
        <f>'SurveyRpt_20150223 (1)'!AD315+"h_l!$_;"</f>
        <v>#VALUE!</v>
      </c>
      <c r="EQ51" t="e">
        <f>'SurveyRpt_20150223 (1)'!AE315+"h_l!$_&lt;"</f>
        <v>#VALUE!</v>
      </c>
      <c r="ER51" t="e">
        <f>'SurveyRpt_20150223 (1)'!AF315+"h_l!$_="</f>
        <v>#VALUE!</v>
      </c>
      <c r="ES51" t="e">
        <f>'SurveyRpt_20150223 (1)'!AG315+"h_l!$_&gt;"</f>
        <v>#VALUE!</v>
      </c>
      <c r="ET51" t="e">
        <f>'SurveyRpt_20150223 (1)'!AH315+"h_l!$_?"</f>
        <v>#VALUE!</v>
      </c>
      <c r="EU51" t="e">
        <f>'SurveyRpt_20150223 (1)'!AI315+"h_l!$_@"</f>
        <v>#VALUE!</v>
      </c>
      <c r="EV51" t="e">
        <f>'SurveyRpt_20150223 (1)'!AJ315+"h_l!$_A"</f>
        <v>#VALUE!</v>
      </c>
      <c r="EW51" t="e">
        <f>'SurveyRpt_20150223 (1)'!AK315+"h_l!$_B"</f>
        <v>#VALUE!</v>
      </c>
      <c r="EX51" t="e">
        <f>'SurveyRpt_20150223 (1)'!AL315+"h_l!$_C"</f>
        <v>#VALUE!</v>
      </c>
      <c r="EY51" t="e">
        <f>'SurveyRpt_20150223 (1)'!AM315+"h_l!$_D"</f>
        <v>#VALUE!</v>
      </c>
      <c r="EZ51" t="e">
        <f>'SurveyRpt_20150223 (1)'!AN315+"h_l!$_E"</f>
        <v>#VALUE!</v>
      </c>
      <c r="FA51" t="e">
        <f>'SurveyRpt_20150223 (1)'!A316+"h_l!$_F"</f>
        <v>#VALUE!</v>
      </c>
      <c r="FB51" s="25" t="e">
        <f>'SurveyRpt_20150223 (1)'!B316+"h_l!$_G"</f>
        <v>#VALUE!</v>
      </c>
      <c r="FC51" t="e">
        <f>'SurveyRpt_20150223 (1)'!C316+"h_l!$_H"</f>
        <v>#VALUE!</v>
      </c>
      <c r="FD51" s="25" t="e">
        <f>'SurveyRpt_20150223 (1)'!D316+"h_l!$_I"</f>
        <v>#VALUE!</v>
      </c>
      <c r="FE51" t="e">
        <f>'SurveyRpt_20150223 (1)'!E316+"h_l!$_J"</f>
        <v>#VALUE!</v>
      </c>
      <c r="FF51" t="e">
        <f>'SurveyRpt_20150223 (1)'!F316+"h_l!$_K"</f>
        <v>#VALUE!</v>
      </c>
      <c r="FG51" t="e">
        <f>'SurveyRpt_20150223 (1)'!G316+"h_l!$_L"</f>
        <v>#VALUE!</v>
      </c>
      <c r="FH51" t="e">
        <f>'SurveyRpt_20150223 (1)'!H316+"h_l!$_M"</f>
        <v>#VALUE!</v>
      </c>
      <c r="FI51" t="e">
        <f>'SurveyRpt_20150223 (1)'!I316+"h_l!$_N"</f>
        <v>#VALUE!</v>
      </c>
      <c r="FJ51" t="e">
        <f>'SurveyRpt_20150223 (1)'!J316+"h_l!$_O"</f>
        <v>#VALUE!</v>
      </c>
      <c r="FK51" t="e">
        <f>'SurveyRpt_20150223 (1)'!K316+"h_l!$_P"</f>
        <v>#VALUE!</v>
      </c>
      <c r="FL51" t="e">
        <f>'SurveyRpt_20150223 (1)'!L316+"h_l!$_Q"</f>
        <v>#VALUE!</v>
      </c>
      <c r="FM51" t="e">
        <f>'SurveyRpt_20150223 (1)'!M316+"h_l!$_R"</f>
        <v>#VALUE!</v>
      </c>
      <c r="FN51" t="e">
        <f>'SurveyRpt_20150223 (1)'!N316+"h_l!$_S"</f>
        <v>#VALUE!</v>
      </c>
      <c r="FO51" t="e">
        <f>'SurveyRpt_20150223 (1)'!O316+"h_l!$_T"</f>
        <v>#VALUE!</v>
      </c>
      <c r="FP51" t="e">
        <f>'SurveyRpt_20150223 (1)'!P316+"h_l!$_U"</f>
        <v>#VALUE!</v>
      </c>
      <c r="FQ51" t="e">
        <f>'SurveyRpt_20150223 (1)'!Q316+"h_l!$_V"</f>
        <v>#VALUE!</v>
      </c>
      <c r="FR51" t="e">
        <f>'SurveyRpt_20150223 (1)'!R316+"h_l!$_W"</f>
        <v>#VALUE!</v>
      </c>
      <c r="FS51" t="e">
        <f>'SurveyRpt_20150223 (1)'!S316+"h_l!$_X"</f>
        <v>#VALUE!</v>
      </c>
      <c r="FT51" t="e">
        <f>'SurveyRpt_20150223 (1)'!T316+"h_l!$_Y"</f>
        <v>#VALUE!</v>
      </c>
      <c r="FU51" t="e">
        <f>'SurveyRpt_20150223 (1)'!U316+"h_l!$_Z"</f>
        <v>#VALUE!</v>
      </c>
      <c r="FV51" t="e">
        <f>'SurveyRpt_20150223 (1)'!V316+"h_l!$_["</f>
        <v>#VALUE!</v>
      </c>
      <c r="FW51" t="e">
        <f>'SurveyRpt_20150223 (1)'!W316+"h_l!$_\"</f>
        <v>#VALUE!</v>
      </c>
      <c r="FX51" t="e">
        <f>'SurveyRpt_20150223 (1)'!X316+"h_l!$_]"</f>
        <v>#VALUE!</v>
      </c>
      <c r="FY51" t="e">
        <f>'SurveyRpt_20150223 (1)'!Y316+"h_l!$_^"</f>
        <v>#VALUE!</v>
      </c>
      <c r="FZ51" t="e">
        <f>'SurveyRpt_20150223 (1)'!Z316+"h_l!$__"</f>
        <v>#VALUE!</v>
      </c>
      <c r="GA51" t="e">
        <f>'SurveyRpt_20150223 (1)'!AA316+"h_l!$_`"</f>
        <v>#VALUE!</v>
      </c>
      <c r="GB51" t="e">
        <f>'SurveyRpt_20150223 (1)'!AB316+"h_l!$_a"</f>
        <v>#VALUE!</v>
      </c>
      <c r="GC51" t="e">
        <f>'SurveyRpt_20150223 (1)'!AC316+"h_l!$_b"</f>
        <v>#VALUE!</v>
      </c>
      <c r="GD51" t="e">
        <f>'SurveyRpt_20150223 (1)'!AD316+"h_l!$_c"</f>
        <v>#VALUE!</v>
      </c>
      <c r="GE51" t="e">
        <f>'SurveyRpt_20150223 (1)'!AE316+"h_l!$_d"</f>
        <v>#VALUE!</v>
      </c>
      <c r="GF51" t="e">
        <f>'SurveyRpt_20150223 (1)'!AF316+"h_l!$_e"</f>
        <v>#VALUE!</v>
      </c>
      <c r="GG51" t="e">
        <f>'SurveyRpt_20150223 (1)'!AG316+"h_l!$_f"</f>
        <v>#VALUE!</v>
      </c>
      <c r="GH51" t="e">
        <f>'SurveyRpt_20150223 (1)'!AH316+"h_l!$_g"</f>
        <v>#VALUE!</v>
      </c>
      <c r="GI51" t="e">
        <f>'SurveyRpt_20150223 (1)'!AI316+"h_l!$_h"</f>
        <v>#VALUE!</v>
      </c>
      <c r="GJ51" t="e">
        <f>'SurveyRpt_20150223 (1)'!AJ316+"h_l!$_i"</f>
        <v>#VALUE!</v>
      </c>
      <c r="GK51" t="e">
        <f>'SurveyRpt_20150223 (1)'!AK316+"h_l!$_j"</f>
        <v>#VALUE!</v>
      </c>
      <c r="GL51" t="e">
        <f>'SurveyRpt_20150223 (1)'!AL316+"h_l!$_k"</f>
        <v>#VALUE!</v>
      </c>
      <c r="GM51" t="e">
        <f>'SurveyRpt_20150223 (1)'!AM316+"h_l!$_l"</f>
        <v>#VALUE!</v>
      </c>
      <c r="GN51" t="e">
        <f>'SurveyRpt_20150223 (1)'!AN316+"h_l!$_m"</f>
        <v>#VALUE!</v>
      </c>
      <c r="GO51" t="e">
        <f>'SurveyRpt_20150223 (1)'!A317+"h_l!$_n"</f>
        <v>#VALUE!</v>
      </c>
      <c r="GP51" s="25" t="e">
        <f>'SurveyRpt_20150223 (1)'!B317+"h_l!$_o"</f>
        <v>#VALUE!</v>
      </c>
      <c r="GQ51" t="e">
        <f>'SurveyRpt_20150223 (1)'!C317+"h_l!$_p"</f>
        <v>#VALUE!</v>
      </c>
      <c r="GR51" s="25" t="e">
        <f>'SurveyRpt_20150223 (1)'!D317+"h_l!$_q"</f>
        <v>#VALUE!</v>
      </c>
      <c r="GS51" t="e">
        <f>'SurveyRpt_20150223 (1)'!E317+"h_l!$_r"</f>
        <v>#VALUE!</v>
      </c>
      <c r="GT51" t="e">
        <f>'SurveyRpt_20150223 (1)'!F317+"h_l!$_s"</f>
        <v>#VALUE!</v>
      </c>
      <c r="GU51" t="e">
        <f>'SurveyRpt_20150223 (1)'!G317+"h_l!$_t"</f>
        <v>#VALUE!</v>
      </c>
      <c r="GV51" t="e">
        <f>'SurveyRpt_20150223 (1)'!H317+"h_l!$_u"</f>
        <v>#VALUE!</v>
      </c>
      <c r="GW51" t="e">
        <f>'SurveyRpt_20150223 (1)'!I317+"h_l!$_v"</f>
        <v>#VALUE!</v>
      </c>
      <c r="GX51" t="e">
        <f>'SurveyRpt_20150223 (1)'!J317+"h_l!$_w"</f>
        <v>#VALUE!</v>
      </c>
      <c r="GY51" t="e">
        <f>'SurveyRpt_20150223 (1)'!K317+"h_l!$_x"</f>
        <v>#VALUE!</v>
      </c>
      <c r="GZ51" t="e">
        <f>'SurveyRpt_20150223 (1)'!L317+"h_l!$_y"</f>
        <v>#VALUE!</v>
      </c>
      <c r="HA51" t="e">
        <f>'SurveyRpt_20150223 (1)'!M317+"h_l!$_z"</f>
        <v>#VALUE!</v>
      </c>
      <c r="HB51" t="e">
        <f>'SurveyRpt_20150223 (1)'!N317+"h_l!$_{"</f>
        <v>#VALUE!</v>
      </c>
      <c r="HC51" t="e">
        <f>'SurveyRpt_20150223 (1)'!O317+"h_l!$_|"</f>
        <v>#VALUE!</v>
      </c>
      <c r="HD51" t="e">
        <f>'SurveyRpt_20150223 (1)'!P317+"h_l!$_}"</f>
        <v>#VALUE!</v>
      </c>
      <c r="HE51" t="e">
        <f>'SurveyRpt_20150223 (1)'!Q317+"h_l!$_~"</f>
        <v>#VALUE!</v>
      </c>
      <c r="HF51" t="e">
        <f>'SurveyRpt_20150223 (1)'!R317+"h_l!$`#"</f>
        <v>#VALUE!</v>
      </c>
      <c r="HG51" t="e">
        <f>'SurveyRpt_20150223 (1)'!S317+"h_l!$`$"</f>
        <v>#VALUE!</v>
      </c>
      <c r="HH51" t="e">
        <f>'SurveyRpt_20150223 (1)'!T317+"h_l!$`%"</f>
        <v>#VALUE!</v>
      </c>
      <c r="HI51" t="e">
        <f>'SurveyRpt_20150223 (1)'!U317+"h_l!$`&amp;"</f>
        <v>#VALUE!</v>
      </c>
      <c r="HJ51" t="e">
        <f>'SurveyRpt_20150223 (1)'!V317+"h_l!$`'"</f>
        <v>#VALUE!</v>
      </c>
      <c r="HK51" t="e">
        <f>'SurveyRpt_20150223 (1)'!W317+"h_l!$`("</f>
        <v>#VALUE!</v>
      </c>
      <c r="HL51" t="e">
        <f>'SurveyRpt_20150223 (1)'!X317+"h_l!$`)"</f>
        <v>#VALUE!</v>
      </c>
      <c r="HM51" t="e">
        <f>'SurveyRpt_20150223 (1)'!Y317+"h_l!$`."</f>
        <v>#VALUE!</v>
      </c>
      <c r="HN51" t="e">
        <f>'SurveyRpt_20150223 (1)'!Z317+"h_l!$`/"</f>
        <v>#VALUE!</v>
      </c>
      <c r="HO51" t="e">
        <f>'SurveyRpt_20150223 (1)'!AA317+"h_l!$`0"</f>
        <v>#VALUE!</v>
      </c>
      <c r="HP51" t="e">
        <f>'SurveyRpt_20150223 (1)'!AB317+"h_l!$`1"</f>
        <v>#VALUE!</v>
      </c>
      <c r="HQ51" t="e">
        <f>'SurveyRpt_20150223 (1)'!AC317+"h_l!$`2"</f>
        <v>#VALUE!</v>
      </c>
      <c r="HR51" t="e">
        <f>'SurveyRpt_20150223 (1)'!AD317+"h_l!$`3"</f>
        <v>#VALUE!</v>
      </c>
      <c r="HS51" t="e">
        <f>'SurveyRpt_20150223 (1)'!AE317+"h_l!$`4"</f>
        <v>#VALUE!</v>
      </c>
      <c r="HT51" t="e">
        <f>'SurveyRpt_20150223 (1)'!AF317+"h_l!$`5"</f>
        <v>#VALUE!</v>
      </c>
      <c r="HU51" t="e">
        <f>'SurveyRpt_20150223 (1)'!AG317+"h_l!$`6"</f>
        <v>#VALUE!</v>
      </c>
      <c r="HV51" t="e">
        <f>'SurveyRpt_20150223 (1)'!AH317+"h_l!$`7"</f>
        <v>#VALUE!</v>
      </c>
      <c r="HW51" t="e">
        <f>'SurveyRpt_20150223 (1)'!AI317+"h_l!$`8"</f>
        <v>#VALUE!</v>
      </c>
      <c r="HX51" t="e">
        <f>'SurveyRpt_20150223 (1)'!AJ317+"h_l!$`9"</f>
        <v>#VALUE!</v>
      </c>
      <c r="HY51" t="e">
        <f>'SurveyRpt_20150223 (1)'!AK317+"h_l!$`:"</f>
        <v>#VALUE!</v>
      </c>
      <c r="HZ51" t="e">
        <f>'SurveyRpt_20150223 (1)'!AL317+"h_l!$`;"</f>
        <v>#VALUE!</v>
      </c>
      <c r="IA51" t="e">
        <f>'SurveyRpt_20150223 (1)'!AM317+"h_l!$`&lt;"</f>
        <v>#VALUE!</v>
      </c>
      <c r="IB51" t="e">
        <f>'SurveyRpt_20150223 (1)'!AN317+"h_l!$`="</f>
        <v>#VALUE!</v>
      </c>
      <c r="IC51" t="e">
        <f>'SurveyRpt_20150223 (1)'!A318+"h_l!$`&gt;"</f>
        <v>#VALUE!</v>
      </c>
      <c r="ID51" s="25" t="e">
        <f>'SurveyRpt_20150223 (1)'!B318+"h_l!$`?"</f>
        <v>#VALUE!</v>
      </c>
      <c r="IE51" t="e">
        <f>'SurveyRpt_20150223 (1)'!C318+"h_l!$`@"</f>
        <v>#VALUE!</v>
      </c>
      <c r="IF51" s="25" t="e">
        <f>'SurveyRpt_20150223 (1)'!D318+"h_l!$`A"</f>
        <v>#VALUE!</v>
      </c>
      <c r="IG51" t="e">
        <f>'SurveyRpt_20150223 (1)'!E318+"h_l!$`B"</f>
        <v>#VALUE!</v>
      </c>
      <c r="IH51" t="e">
        <f>'SurveyRpt_20150223 (1)'!F318+"h_l!$`C"</f>
        <v>#VALUE!</v>
      </c>
      <c r="II51" t="e">
        <f>'SurveyRpt_20150223 (1)'!G318+"h_l!$`D"</f>
        <v>#VALUE!</v>
      </c>
      <c r="IJ51" t="e">
        <f>'SurveyRpt_20150223 (1)'!H318+"h_l!$`E"</f>
        <v>#VALUE!</v>
      </c>
      <c r="IK51" t="e">
        <f>'SurveyRpt_20150223 (1)'!I318+"h_l!$`F"</f>
        <v>#VALUE!</v>
      </c>
      <c r="IL51" t="e">
        <f>'SurveyRpt_20150223 (1)'!J318+"h_l!$`G"</f>
        <v>#VALUE!</v>
      </c>
      <c r="IM51" t="e">
        <f>'SurveyRpt_20150223 (1)'!K318+"h_l!$`H"</f>
        <v>#VALUE!</v>
      </c>
      <c r="IN51" t="e">
        <f>'SurveyRpt_20150223 (1)'!L318+"h_l!$`I"</f>
        <v>#VALUE!</v>
      </c>
      <c r="IO51" t="e">
        <f>'SurveyRpt_20150223 (1)'!M318+"h_l!$`J"</f>
        <v>#VALUE!</v>
      </c>
      <c r="IP51" t="e">
        <f>'SurveyRpt_20150223 (1)'!N318+"h_l!$`K"</f>
        <v>#VALUE!</v>
      </c>
      <c r="IQ51" t="e">
        <f>'SurveyRpt_20150223 (1)'!O318+"h_l!$`L"</f>
        <v>#VALUE!</v>
      </c>
      <c r="IR51" t="e">
        <f>'SurveyRpt_20150223 (1)'!P318+"h_l!$`M"</f>
        <v>#VALUE!</v>
      </c>
      <c r="IS51" t="e">
        <f>'SurveyRpt_20150223 (1)'!Q318+"h_l!$`N"</f>
        <v>#VALUE!</v>
      </c>
      <c r="IT51" t="e">
        <f>'SurveyRpt_20150223 (1)'!R318+"h_l!$`O"</f>
        <v>#VALUE!</v>
      </c>
      <c r="IU51" t="e">
        <f>'SurveyRpt_20150223 (1)'!S318+"h_l!$`P"</f>
        <v>#VALUE!</v>
      </c>
      <c r="IV51" t="e">
        <f>'SurveyRpt_20150223 (1)'!T318+"h_l!$`Q"</f>
        <v>#VALUE!</v>
      </c>
    </row>
    <row r="52" spans="6:256" x14ac:dyDescent="0.25">
      <c r="F52" t="e">
        <f>'SurveyRpt_20150223 (1)'!U318+"h_l!$`R"</f>
        <v>#VALUE!</v>
      </c>
      <c r="G52" t="e">
        <f>'SurveyRpt_20150223 (1)'!V318+"h_l!$`S"</f>
        <v>#VALUE!</v>
      </c>
      <c r="H52" t="e">
        <f>'SurveyRpt_20150223 (1)'!W318+"h_l!$`T"</f>
        <v>#VALUE!</v>
      </c>
      <c r="I52" t="e">
        <f>'SurveyRpt_20150223 (1)'!X318+"h_l!$`U"</f>
        <v>#VALUE!</v>
      </c>
      <c r="J52" t="e">
        <f>'SurveyRpt_20150223 (1)'!Y318+"h_l!$`V"</f>
        <v>#VALUE!</v>
      </c>
      <c r="K52" t="e">
        <f>'SurveyRpt_20150223 (1)'!Z318+"h_l!$`W"</f>
        <v>#VALUE!</v>
      </c>
      <c r="L52" t="e">
        <f>'SurveyRpt_20150223 (1)'!AA318+"h_l!$`X"</f>
        <v>#VALUE!</v>
      </c>
      <c r="M52" t="e">
        <f>'SurveyRpt_20150223 (1)'!AB318+"h_l!$`Y"</f>
        <v>#VALUE!</v>
      </c>
      <c r="N52" t="e">
        <f>'SurveyRpt_20150223 (1)'!AC318+"h_l!$`Z"</f>
        <v>#VALUE!</v>
      </c>
      <c r="O52" t="e">
        <f>'SurveyRpt_20150223 (1)'!AD318+"h_l!$`["</f>
        <v>#VALUE!</v>
      </c>
      <c r="P52" t="e">
        <f>'SurveyRpt_20150223 (1)'!AE318+"h_l!$`\"</f>
        <v>#VALUE!</v>
      </c>
      <c r="Q52" t="e">
        <f>'SurveyRpt_20150223 (1)'!AF318+"h_l!$`]"</f>
        <v>#VALUE!</v>
      </c>
      <c r="R52" t="e">
        <f>'SurveyRpt_20150223 (1)'!AG318+"h_l!$`^"</f>
        <v>#VALUE!</v>
      </c>
      <c r="S52" t="e">
        <f>'SurveyRpt_20150223 (1)'!AH318+"h_l!$`_"</f>
        <v>#VALUE!</v>
      </c>
      <c r="T52" t="e">
        <f>'SurveyRpt_20150223 (1)'!AI318+"h_l!$``"</f>
        <v>#VALUE!</v>
      </c>
      <c r="U52" t="e">
        <f>'SurveyRpt_20150223 (1)'!AJ318+"h_l!$`a"</f>
        <v>#VALUE!</v>
      </c>
      <c r="V52" t="e">
        <f>'SurveyRpt_20150223 (1)'!AK318+"h_l!$`b"</f>
        <v>#VALUE!</v>
      </c>
      <c r="W52" t="e">
        <f>'SurveyRpt_20150223 (1)'!AL318+"h_l!$`c"</f>
        <v>#VALUE!</v>
      </c>
      <c r="X52" t="e">
        <f>'SurveyRpt_20150223 (1)'!AM318+"h_l!$`d"</f>
        <v>#VALUE!</v>
      </c>
      <c r="Y52" t="e">
        <f>'SurveyRpt_20150223 (1)'!AN318+"h_l!$`e"</f>
        <v>#VALUE!</v>
      </c>
      <c r="Z52" t="e">
        <f>'SurveyRpt_20150223 (1)'!A319+"h_l!$`f"</f>
        <v>#VALUE!</v>
      </c>
      <c r="AA52" s="25" t="e">
        <f>'SurveyRpt_20150223 (1)'!B319+"h_l!$`g"</f>
        <v>#VALUE!</v>
      </c>
      <c r="AB52" t="e">
        <f>'SurveyRpt_20150223 (1)'!C319+"h_l!$`h"</f>
        <v>#VALUE!</v>
      </c>
      <c r="AC52" s="25" t="e">
        <f>'SurveyRpt_20150223 (1)'!D319+"h_l!$`i"</f>
        <v>#VALUE!</v>
      </c>
      <c r="AD52" t="e">
        <f>'SurveyRpt_20150223 (1)'!E319+"h_l!$`j"</f>
        <v>#VALUE!</v>
      </c>
      <c r="AE52" t="e">
        <f>'SurveyRpt_20150223 (1)'!F319+"h_l!$`k"</f>
        <v>#VALUE!</v>
      </c>
      <c r="AF52" t="e">
        <f>'SurveyRpt_20150223 (1)'!G319+"h_l!$`l"</f>
        <v>#VALUE!</v>
      </c>
      <c r="AG52" t="e">
        <f>'SurveyRpt_20150223 (1)'!H319+"h_l!$`m"</f>
        <v>#VALUE!</v>
      </c>
      <c r="AH52" t="e">
        <f>'SurveyRpt_20150223 (1)'!I319+"h_l!$`n"</f>
        <v>#VALUE!</v>
      </c>
      <c r="AI52" t="e">
        <f>'SurveyRpt_20150223 (1)'!J319+"h_l!$`o"</f>
        <v>#VALUE!</v>
      </c>
      <c r="AJ52" t="e">
        <f>'SurveyRpt_20150223 (1)'!K319+"h_l!$`p"</f>
        <v>#VALUE!</v>
      </c>
      <c r="AK52" t="e">
        <f>'SurveyRpt_20150223 (1)'!L319+"h_l!$`q"</f>
        <v>#VALUE!</v>
      </c>
      <c r="AL52" t="e">
        <f>'SurveyRpt_20150223 (1)'!M319+"h_l!$`r"</f>
        <v>#VALUE!</v>
      </c>
      <c r="AM52" t="e">
        <f>'SurveyRpt_20150223 (1)'!N319+"h_l!$`s"</f>
        <v>#VALUE!</v>
      </c>
      <c r="AN52" t="e">
        <f>'SurveyRpt_20150223 (1)'!O319+"h_l!$`t"</f>
        <v>#VALUE!</v>
      </c>
      <c r="AO52" t="e">
        <f>'SurveyRpt_20150223 (1)'!P319+"h_l!$`u"</f>
        <v>#VALUE!</v>
      </c>
      <c r="AP52" t="e">
        <f>'SurveyRpt_20150223 (1)'!Q319+"h_l!$`v"</f>
        <v>#VALUE!</v>
      </c>
      <c r="AQ52" t="e">
        <f>'SurveyRpt_20150223 (1)'!R319+"h_l!$`w"</f>
        <v>#VALUE!</v>
      </c>
      <c r="AR52" t="e">
        <f>'SurveyRpt_20150223 (1)'!S319+"h_l!$`x"</f>
        <v>#VALUE!</v>
      </c>
      <c r="AS52" t="e">
        <f>'SurveyRpt_20150223 (1)'!T319+"h_l!$`y"</f>
        <v>#VALUE!</v>
      </c>
      <c r="AT52" t="e">
        <f>'SurveyRpt_20150223 (1)'!U319+"h_l!$`z"</f>
        <v>#VALUE!</v>
      </c>
      <c r="AU52" t="e">
        <f>'SurveyRpt_20150223 (1)'!V319+"h_l!$`{"</f>
        <v>#VALUE!</v>
      </c>
      <c r="AV52" t="e">
        <f>'SurveyRpt_20150223 (1)'!W319+"h_l!$`|"</f>
        <v>#VALUE!</v>
      </c>
      <c r="AW52" t="e">
        <f>'SurveyRpt_20150223 (1)'!X319+"h_l!$`}"</f>
        <v>#VALUE!</v>
      </c>
      <c r="AX52" t="e">
        <f>'SurveyRpt_20150223 (1)'!Y319+"h_l!$`~"</f>
        <v>#VALUE!</v>
      </c>
      <c r="AY52" t="e">
        <f>'SurveyRpt_20150223 (1)'!Z319+"h_l!$a#"</f>
        <v>#VALUE!</v>
      </c>
      <c r="AZ52" t="e">
        <f>'SurveyRpt_20150223 (1)'!AA319+"h_l!$a$"</f>
        <v>#VALUE!</v>
      </c>
      <c r="BA52" t="e">
        <f>'SurveyRpt_20150223 (1)'!AB319+"h_l!$a%"</f>
        <v>#VALUE!</v>
      </c>
      <c r="BB52" t="e">
        <f>'SurveyRpt_20150223 (1)'!AC319+"h_l!$a&amp;"</f>
        <v>#VALUE!</v>
      </c>
      <c r="BC52" t="e">
        <f>'SurveyRpt_20150223 (1)'!AD319+"h_l!$a'"</f>
        <v>#VALUE!</v>
      </c>
      <c r="BD52" t="e">
        <f>'SurveyRpt_20150223 (1)'!AE319+"h_l!$a("</f>
        <v>#VALUE!</v>
      </c>
      <c r="BE52" t="e">
        <f>'SurveyRpt_20150223 (1)'!AF319+"h_l!$a)"</f>
        <v>#VALUE!</v>
      </c>
      <c r="BF52" t="e">
        <f>'SurveyRpt_20150223 (1)'!AG319+"h_l!$a."</f>
        <v>#VALUE!</v>
      </c>
      <c r="BG52" t="e">
        <f>'SurveyRpt_20150223 (1)'!AH319+"h_l!$a/"</f>
        <v>#VALUE!</v>
      </c>
      <c r="BH52" t="e">
        <f>'SurveyRpt_20150223 (1)'!AI319+"h_l!$a0"</f>
        <v>#VALUE!</v>
      </c>
      <c r="BI52" t="e">
        <f>'SurveyRpt_20150223 (1)'!AJ319+"h_l!$a1"</f>
        <v>#VALUE!</v>
      </c>
      <c r="BJ52" t="e">
        <f>'SurveyRpt_20150223 (1)'!AK319+"h_l!$a2"</f>
        <v>#VALUE!</v>
      </c>
      <c r="BK52" t="e">
        <f>'SurveyRpt_20150223 (1)'!AL319+"h_l!$a3"</f>
        <v>#VALUE!</v>
      </c>
      <c r="BL52" t="e">
        <f>'SurveyRpt_20150223 (1)'!AM319+"h_l!$a4"</f>
        <v>#VALUE!</v>
      </c>
      <c r="BM52" t="e">
        <f>'SurveyRpt_20150223 (1)'!AN319+"h_l!$a5"</f>
        <v>#VALUE!</v>
      </c>
      <c r="BN52" t="e">
        <f>'SurveyRpt_20150223 (1)'!A320+"h_l!$a6"</f>
        <v>#VALUE!</v>
      </c>
      <c r="BO52" s="25" t="e">
        <f>'SurveyRpt_20150223 (1)'!B320+"h_l!$a7"</f>
        <v>#VALUE!</v>
      </c>
      <c r="BP52" t="e">
        <f>'SurveyRpt_20150223 (1)'!C320+"h_l!$a8"</f>
        <v>#VALUE!</v>
      </c>
      <c r="BQ52" s="25" t="e">
        <f>'SurveyRpt_20150223 (1)'!D320+"h_l!$a9"</f>
        <v>#VALUE!</v>
      </c>
      <c r="BR52" t="e">
        <f>'SurveyRpt_20150223 (1)'!E320+"h_l!$a:"</f>
        <v>#VALUE!</v>
      </c>
      <c r="BS52" t="e">
        <f>'SurveyRpt_20150223 (1)'!F320+"h_l!$a;"</f>
        <v>#VALUE!</v>
      </c>
      <c r="BT52" t="e">
        <f>'SurveyRpt_20150223 (1)'!G320+"h_l!$a&lt;"</f>
        <v>#VALUE!</v>
      </c>
      <c r="BU52" t="e">
        <f>'SurveyRpt_20150223 (1)'!H320+"h_l!$a="</f>
        <v>#VALUE!</v>
      </c>
      <c r="BV52" t="e">
        <f>'SurveyRpt_20150223 (1)'!I320+"h_l!$a&gt;"</f>
        <v>#VALUE!</v>
      </c>
      <c r="BW52" t="e">
        <f>'SurveyRpt_20150223 (1)'!J320+"h_l!$a?"</f>
        <v>#VALUE!</v>
      </c>
      <c r="BX52" t="e">
        <f>'SurveyRpt_20150223 (1)'!K320+"h_l!$a@"</f>
        <v>#VALUE!</v>
      </c>
      <c r="BY52" t="e">
        <f>'SurveyRpt_20150223 (1)'!L320+"h_l!$aA"</f>
        <v>#VALUE!</v>
      </c>
      <c r="BZ52" t="e">
        <f>'SurveyRpt_20150223 (1)'!M320+"h_l!$aB"</f>
        <v>#VALUE!</v>
      </c>
      <c r="CA52" t="e">
        <f>'SurveyRpt_20150223 (1)'!N320+"h_l!$aC"</f>
        <v>#VALUE!</v>
      </c>
      <c r="CB52" t="e">
        <f>'SurveyRpt_20150223 (1)'!O320+"h_l!$aD"</f>
        <v>#VALUE!</v>
      </c>
      <c r="CC52" t="e">
        <f>'SurveyRpt_20150223 (1)'!P320+"h_l!$aE"</f>
        <v>#VALUE!</v>
      </c>
      <c r="CD52" t="e">
        <f>'SurveyRpt_20150223 (1)'!Q320+"h_l!$aF"</f>
        <v>#VALUE!</v>
      </c>
      <c r="CE52" t="e">
        <f>'SurveyRpt_20150223 (1)'!R320+"h_l!$aG"</f>
        <v>#VALUE!</v>
      </c>
      <c r="CF52" t="e">
        <f>'SurveyRpt_20150223 (1)'!S320+"h_l!$aH"</f>
        <v>#VALUE!</v>
      </c>
      <c r="CG52" t="e">
        <f>'SurveyRpt_20150223 (1)'!T320+"h_l!$aI"</f>
        <v>#VALUE!</v>
      </c>
      <c r="CH52" t="e">
        <f>'SurveyRpt_20150223 (1)'!U320+"h_l!$aJ"</f>
        <v>#VALUE!</v>
      </c>
      <c r="CI52" t="e">
        <f>'SurveyRpt_20150223 (1)'!V320+"h_l!$aK"</f>
        <v>#VALUE!</v>
      </c>
      <c r="CJ52" t="e">
        <f>'SurveyRpt_20150223 (1)'!W320+"h_l!$aL"</f>
        <v>#VALUE!</v>
      </c>
      <c r="CK52" t="e">
        <f>'SurveyRpt_20150223 (1)'!X320+"h_l!$aM"</f>
        <v>#VALUE!</v>
      </c>
      <c r="CL52" t="e">
        <f>'SurveyRpt_20150223 (1)'!Y320+"h_l!$aN"</f>
        <v>#VALUE!</v>
      </c>
      <c r="CM52" t="e">
        <f>'SurveyRpt_20150223 (1)'!Z320+"h_l!$aO"</f>
        <v>#VALUE!</v>
      </c>
      <c r="CN52" t="e">
        <f>'SurveyRpt_20150223 (1)'!AA320+"h_l!$aP"</f>
        <v>#VALUE!</v>
      </c>
      <c r="CO52" t="e">
        <f>'SurveyRpt_20150223 (1)'!AB320+"h_l!$aQ"</f>
        <v>#VALUE!</v>
      </c>
      <c r="CP52" t="e">
        <f>'SurveyRpt_20150223 (1)'!AC320+"h_l!$aR"</f>
        <v>#VALUE!</v>
      </c>
      <c r="CQ52" t="e">
        <f>'SurveyRpt_20150223 (1)'!AD320+"h_l!$aS"</f>
        <v>#VALUE!</v>
      </c>
      <c r="CR52" t="e">
        <f>'SurveyRpt_20150223 (1)'!AE320+"h_l!$aT"</f>
        <v>#VALUE!</v>
      </c>
      <c r="CS52" t="e">
        <f>'SurveyRpt_20150223 (1)'!AF320+"h_l!$aU"</f>
        <v>#VALUE!</v>
      </c>
      <c r="CT52" t="e">
        <f>'SurveyRpt_20150223 (1)'!AG320+"h_l!$aV"</f>
        <v>#VALUE!</v>
      </c>
      <c r="CU52" t="e">
        <f>'SurveyRpt_20150223 (1)'!AH320+"h_l!$aW"</f>
        <v>#VALUE!</v>
      </c>
      <c r="CV52" t="e">
        <f>'SurveyRpt_20150223 (1)'!AI320+"h_l!$aX"</f>
        <v>#VALUE!</v>
      </c>
      <c r="CW52" t="e">
        <f>'SurveyRpt_20150223 (1)'!AJ320+"h_l!$aY"</f>
        <v>#VALUE!</v>
      </c>
      <c r="CX52" t="e">
        <f>'SurveyRpt_20150223 (1)'!AK320+"h_l!$aZ"</f>
        <v>#VALUE!</v>
      </c>
      <c r="CY52" t="e">
        <f>'SurveyRpt_20150223 (1)'!AL320+"h_l!$a["</f>
        <v>#VALUE!</v>
      </c>
      <c r="CZ52" t="e">
        <f>'SurveyRpt_20150223 (1)'!AM320+"h_l!$a\"</f>
        <v>#VALUE!</v>
      </c>
      <c r="DA52" t="e">
        <f>'SurveyRpt_20150223 (1)'!AN320+"h_l!$a]"</f>
        <v>#VALUE!</v>
      </c>
      <c r="DB52" t="e">
        <f>'SurveyRpt_20150223 (1)'!A321+"h_l!$a^"</f>
        <v>#VALUE!</v>
      </c>
      <c r="DC52" s="25" t="e">
        <f>'SurveyRpt_20150223 (1)'!B321+"h_l!$a_"</f>
        <v>#VALUE!</v>
      </c>
      <c r="DD52" t="e">
        <f>'SurveyRpt_20150223 (1)'!C321+"h_l!$a`"</f>
        <v>#VALUE!</v>
      </c>
      <c r="DE52" s="25" t="e">
        <f>'SurveyRpt_20150223 (1)'!D321+"h_l!$aa"</f>
        <v>#VALUE!</v>
      </c>
      <c r="DF52" t="e">
        <f>'SurveyRpt_20150223 (1)'!E321+"h_l!$ab"</f>
        <v>#VALUE!</v>
      </c>
      <c r="DG52" t="e">
        <f>'SurveyRpt_20150223 (1)'!F321+"h_l!$ac"</f>
        <v>#VALUE!</v>
      </c>
      <c r="DH52" t="e">
        <f>'SurveyRpt_20150223 (1)'!G321+"h_l!$ad"</f>
        <v>#VALUE!</v>
      </c>
      <c r="DI52" t="e">
        <f>'SurveyRpt_20150223 (1)'!H321+"h_l!$ae"</f>
        <v>#VALUE!</v>
      </c>
      <c r="DJ52" t="e">
        <f>'SurveyRpt_20150223 (1)'!I321+"h_l!$af"</f>
        <v>#VALUE!</v>
      </c>
      <c r="DK52" t="e">
        <f>'SurveyRpt_20150223 (1)'!J321+"h_l!$ag"</f>
        <v>#VALUE!</v>
      </c>
      <c r="DL52" t="e">
        <f>'SurveyRpt_20150223 (1)'!K321+"h_l!$ah"</f>
        <v>#VALUE!</v>
      </c>
      <c r="DM52" t="e">
        <f>'SurveyRpt_20150223 (1)'!L321+"h_l!$ai"</f>
        <v>#VALUE!</v>
      </c>
      <c r="DN52" t="e">
        <f>'SurveyRpt_20150223 (1)'!M321+"h_l!$aj"</f>
        <v>#VALUE!</v>
      </c>
      <c r="DO52" t="e">
        <f>'SurveyRpt_20150223 (1)'!N321+"h_l!$ak"</f>
        <v>#VALUE!</v>
      </c>
      <c r="DP52" t="e">
        <f>'SurveyRpt_20150223 (1)'!O321+"h_l!$al"</f>
        <v>#VALUE!</v>
      </c>
      <c r="DQ52" t="e">
        <f>'SurveyRpt_20150223 (1)'!P321+"h_l!$am"</f>
        <v>#VALUE!</v>
      </c>
      <c r="DR52" t="e">
        <f>'SurveyRpt_20150223 (1)'!Q321+"h_l!$an"</f>
        <v>#VALUE!</v>
      </c>
      <c r="DS52" t="e">
        <f>'SurveyRpt_20150223 (1)'!R321+"h_l!$ao"</f>
        <v>#VALUE!</v>
      </c>
      <c r="DT52" t="e">
        <f>'SurveyRpt_20150223 (1)'!S321+"h_l!$ap"</f>
        <v>#VALUE!</v>
      </c>
      <c r="DU52" t="e">
        <f>'SurveyRpt_20150223 (1)'!T321+"h_l!$aq"</f>
        <v>#VALUE!</v>
      </c>
      <c r="DV52" t="e">
        <f>'SurveyRpt_20150223 (1)'!U321+"h_l!$ar"</f>
        <v>#VALUE!</v>
      </c>
      <c r="DW52" t="e">
        <f>'SurveyRpt_20150223 (1)'!V321+"h_l!$as"</f>
        <v>#VALUE!</v>
      </c>
      <c r="DX52" t="e">
        <f>'SurveyRpt_20150223 (1)'!W321+"h_l!$at"</f>
        <v>#VALUE!</v>
      </c>
      <c r="DY52" t="e">
        <f>'SurveyRpt_20150223 (1)'!X321+"h_l!$au"</f>
        <v>#VALUE!</v>
      </c>
      <c r="DZ52" t="e">
        <f>'SurveyRpt_20150223 (1)'!Y321+"h_l!$av"</f>
        <v>#VALUE!</v>
      </c>
      <c r="EA52" t="e">
        <f>'SurveyRpt_20150223 (1)'!Z321+"h_l!$aw"</f>
        <v>#VALUE!</v>
      </c>
      <c r="EB52" t="e">
        <f>'SurveyRpt_20150223 (1)'!AA321+"h_l!$ax"</f>
        <v>#VALUE!</v>
      </c>
      <c r="EC52" t="e">
        <f>'SurveyRpt_20150223 (1)'!AB321+"h_l!$ay"</f>
        <v>#VALUE!</v>
      </c>
      <c r="ED52" t="e">
        <f>'SurveyRpt_20150223 (1)'!AC321+"h_l!$az"</f>
        <v>#VALUE!</v>
      </c>
      <c r="EE52" t="e">
        <f>'SurveyRpt_20150223 (1)'!AD321+"h_l!$a{"</f>
        <v>#VALUE!</v>
      </c>
      <c r="EF52" t="e">
        <f>'SurveyRpt_20150223 (1)'!AE321+"h_l!$a|"</f>
        <v>#VALUE!</v>
      </c>
      <c r="EG52" t="e">
        <f>'SurveyRpt_20150223 (1)'!AF321+"h_l!$a}"</f>
        <v>#VALUE!</v>
      </c>
      <c r="EH52" t="e">
        <f>'SurveyRpt_20150223 (1)'!AG321+"h_l!$a~"</f>
        <v>#VALUE!</v>
      </c>
      <c r="EI52" t="e">
        <f>'SurveyRpt_20150223 (1)'!AH321+"h_l!$b#"</f>
        <v>#VALUE!</v>
      </c>
      <c r="EJ52" t="e">
        <f>'SurveyRpt_20150223 (1)'!AI321+"h_l!$b$"</f>
        <v>#VALUE!</v>
      </c>
      <c r="EK52" t="e">
        <f>'SurveyRpt_20150223 (1)'!AJ321+"h_l!$b%"</f>
        <v>#VALUE!</v>
      </c>
      <c r="EL52" t="e">
        <f>'SurveyRpt_20150223 (1)'!AK321+"h_l!$b&amp;"</f>
        <v>#VALUE!</v>
      </c>
      <c r="EM52" t="e">
        <f>'SurveyRpt_20150223 (1)'!AL321+"h_l!$b'"</f>
        <v>#VALUE!</v>
      </c>
      <c r="EN52" t="e">
        <f>'SurveyRpt_20150223 (1)'!AM321+"h_l!$b("</f>
        <v>#VALUE!</v>
      </c>
      <c r="EO52" t="e">
        <f>'SurveyRpt_20150223 (1)'!AN321+"h_l!$b)"</f>
        <v>#VALUE!</v>
      </c>
      <c r="EP52" t="e">
        <f>'SurveyRpt_20150223 (1)'!A322+"h_l!$b."</f>
        <v>#VALUE!</v>
      </c>
      <c r="EQ52" s="25" t="e">
        <f>'SurveyRpt_20150223 (1)'!B322+"h_l!$b/"</f>
        <v>#VALUE!</v>
      </c>
      <c r="ER52" t="e">
        <f>'SurveyRpt_20150223 (1)'!C322+"h_l!$b0"</f>
        <v>#VALUE!</v>
      </c>
      <c r="ES52" s="25" t="e">
        <f>'SurveyRpt_20150223 (1)'!D322+"h_l!$b1"</f>
        <v>#VALUE!</v>
      </c>
      <c r="ET52" t="e">
        <f>'SurveyRpt_20150223 (1)'!E322+"h_l!$b2"</f>
        <v>#VALUE!</v>
      </c>
      <c r="EU52" t="e">
        <f>'SurveyRpt_20150223 (1)'!F322+"h_l!$b3"</f>
        <v>#VALUE!</v>
      </c>
      <c r="EV52" t="e">
        <f>'SurveyRpt_20150223 (1)'!G322+"h_l!$b4"</f>
        <v>#VALUE!</v>
      </c>
      <c r="EW52" t="e">
        <f>'SurveyRpt_20150223 (1)'!H322+"h_l!$b5"</f>
        <v>#VALUE!</v>
      </c>
      <c r="EX52" t="e">
        <f>'SurveyRpt_20150223 (1)'!I322+"h_l!$b6"</f>
        <v>#VALUE!</v>
      </c>
      <c r="EY52" t="e">
        <f>'SurveyRpt_20150223 (1)'!J322+"h_l!$b7"</f>
        <v>#VALUE!</v>
      </c>
      <c r="EZ52" t="e">
        <f>'SurveyRpt_20150223 (1)'!K322+"h_l!$b8"</f>
        <v>#VALUE!</v>
      </c>
      <c r="FA52" t="e">
        <f>'SurveyRpt_20150223 (1)'!L322+"h_l!$b9"</f>
        <v>#VALUE!</v>
      </c>
      <c r="FB52" t="e">
        <f>'SurveyRpt_20150223 (1)'!M322+"h_l!$b:"</f>
        <v>#VALUE!</v>
      </c>
      <c r="FC52" t="e">
        <f>'SurveyRpt_20150223 (1)'!N322+"h_l!$b;"</f>
        <v>#VALUE!</v>
      </c>
      <c r="FD52" t="e">
        <f>'SurveyRpt_20150223 (1)'!O322+"h_l!$b&lt;"</f>
        <v>#VALUE!</v>
      </c>
      <c r="FE52" t="e">
        <f>'SurveyRpt_20150223 (1)'!P322+"h_l!$b="</f>
        <v>#VALUE!</v>
      </c>
      <c r="FF52" t="e">
        <f>'SurveyRpt_20150223 (1)'!Q322+"h_l!$b&gt;"</f>
        <v>#VALUE!</v>
      </c>
      <c r="FG52" t="e">
        <f>'SurveyRpt_20150223 (1)'!R322+"h_l!$b?"</f>
        <v>#VALUE!</v>
      </c>
      <c r="FH52" t="e">
        <f>'SurveyRpt_20150223 (1)'!S322+"h_l!$b@"</f>
        <v>#VALUE!</v>
      </c>
      <c r="FI52" t="e">
        <f>'SurveyRpt_20150223 (1)'!T322+"h_l!$bA"</f>
        <v>#VALUE!</v>
      </c>
      <c r="FJ52" t="e">
        <f>'SurveyRpt_20150223 (1)'!U322+"h_l!$bB"</f>
        <v>#VALUE!</v>
      </c>
      <c r="FK52" t="e">
        <f>'SurveyRpt_20150223 (1)'!V322+"h_l!$bC"</f>
        <v>#VALUE!</v>
      </c>
      <c r="FL52" t="e">
        <f>'SurveyRpt_20150223 (1)'!W322+"h_l!$bD"</f>
        <v>#VALUE!</v>
      </c>
      <c r="FM52" t="e">
        <f>'SurveyRpt_20150223 (1)'!X322+"h_l!$bE"</f>
        <v>#VALUE!</v>
      </c>
      <c r="FN52" t="e">
        <f>'SurveyRpt_20150223 (1)'!Y322+"h_l!$bF"</f>
        <v>#VALUE!</v>
      </c>
      <c r="FO52" t="e">
        <f>'SurveyRpt_20150223 (1)'!Z322+"h_l!$bG"</f>
        <v>#VALUE!</v>
      </c>
      <c r="FP52" t="e">
        <f>'SurveyRpt_20150223 (1)'!AA322+"h_l!$bH"</f>
        <v>#VALUE!</v>
      </c>
      <c r="FQ52" t="e">
        <f>'SurveyRpt_20150223 (1)'!AB322+"h_l!$bI"</f>
        <v>#VALUE!</v>
      </c>
      <c r="FR52" t="e">
        <f>'SurveyRpt_20150223 (1)'!AC322+"h_l!$bJ"</f>
        <v>#VALUE!</v>
      </c>
      <c r="FS52" t="e">
        <f>'SurveyRpt_20150223 (1)'!AD322+"h_l!$bK"</f>
        <v>#VALUE!</v>
      </c>
      <c r="FT52" t="e">
        <f>'SurveyRpt_20150223 (1)'!AE322+"h_l!$bL"</f>
        <v>#VALUE!</v>
      </c>
      <c r="FU52" t="e">
        <f>'SurveyRpt_20150223 (1)'!AF322+"h_l!$bM"</f>
        <v>#VALUE!</v>
      </c>
      <c r="FV52" t="e">
        <f>'SurveyRpt_20150223 (1)'!AG322+"h_l!$bN"</f>
        <v>#VALUE!</v>
      </c>
      <c r="FW52" t="e">
        <f>'SurveyRpt_20150223 (1)'!AH322+"h_l!$bO"</f>
        <v>#VALUE!</v>
      </c>
      <c r="FX52" t="e">
        <f>'SurveyRpt_20150223 (1)'!AI322+"h_l!$bP"</f>
        <v>#VALUE!</v>
      </c>
      <c r="FY52" t="e">
        <f>'SurveyRpt_20150223 (1)'!AJ322+"h_l!$bQ"</f>
        <v>#VALUE!</v>
      </c>
      <c r="FZ52" t="e">
        <f>'SurveyRpt_20150223 (1)'!AK322+"h_l!$bR"</f>
        <v>#VALUE!</v>
      </c>
      <c r="GA52" t="e">
        <f>'SurveyRpt_20150223 (1)'!AL322+"h_l!$bS"</f>
        <v>#VALUE!</v>
      </c>
      <c r="GB52" t="e">
        <f>'SurveyRpt_20150223 (1)'!AM322+"h_l!$bT"</f>
        <v>#VALUE!</v>
      </c>
      <c r="GC52" t="e">
        <f>'SurveyRpt_20150223 (1)'!AN322+"h_l!$bU"</f>
        <v>#VALUE!</v>
      </c>
      <c r="GD52" t="e">
        <f>'SurveyRpt_20150223 (1)'!A323+"h_l!$bV"</f>
        <v>#VALUE!</v>
      </c>
      <c r="GE52" s="25" t="e">
        <f>'SurveyRpt_20150223 (1)'!B323+"h_l!$bW"</f>
        <v>#VALUE!</v>
      </c>
      <c r="GF52" t="e">
        <f>'SurveyRpt_20150223 (1)'!C323+"h_l!$bX"</f>
        <v>#VALUE!</v>
      </c>
      <c r="GG52" s="25" t="e">
        <f>'SurveyRpt_20150223 (1)'!D323+"h_l!$bY"</f>
        <v>#VALUE!</v>
      </c>
      <c r="GH52" t="e">
        <f>'SurveyRpt_20150223 (1)'!E323+"h_l!$bZ"</f>
        <v>#VALUE!</v>
      </c>
      <c r="GI52" t="e">
        <f>'SurveyRpt_20150223 (1)'!F323+"h_l!$b["</f>
        <v>#VALUE!</v>
      </c>
      <c r="GJ52" t="e">
        <f>'SurveyRpt_20150223 (1)'!G323+"h_l!$b\"</f>
        <v>#VALUE!</v>
      </c>
      <c r="GK52" t="e">
        <f>'SurveyRpt_20150223 (1)'!H323+"h_l!$b]"</f>
        <v>#VALUE!</v>
      </c>
      <c r="GL52" t="e">
        <f>'SurveyRpt_20150223 (1)'!I323+"h_l!$b^"</f>
        <v>#VALUE!</v>
      </c>
      <c r="GM52" t="e">
        <f>'SurveyRpt_20150223 (1)'!J323+"h_l!$b_"</f>
        <v>#VALUE!</v>
      </c>
      <c r="GN52" t="e">
        <f>'SurveyRpt_20150223 (1)'!K323+"h_l!$b`"</f>
        <v>#VALUE!</v>
      </c>
      <c r="GO52" t="e">
        <f>'SurveyRpt_20150223 (1)'!L323+"h_l!$ba"</f>
        <v>#VALUE!</v>
      </c>
      <c r="GP52" t="e">
        <f>'SurveyRpt_20150223 (1)'!M323+"h_l!$bb"</f>
        <v>#VALUE!</v>
      </c>
      <c r="GQ52" t="e">
        <f>'SurveyRpt_20150223 (1)'!N323+"h_l!$bc"</f>
        <v>#VALUE!</v>
      </c>
      <c r="GR52" t="e">
        <f>'SurveyRpt_20150223 (1)'!O323+"h_l!$bd"</f>
        <v>#VALUE!</v>
      </c>
      <c r="GS52" t="e">
        <f>'SurveyRpt_20150223 (1)'!P323+"h_l!$be"</f>
        <v>#VALUE!</v>
      </c>
      <c r="GT52" t="e">
        <f>'SurveyRpt_20150223 (1)'!Q323+"h_l!$bf"</f>
        <v>#VALUE!</v>
      </c>
      <c r="GU52" t="e">
        <f>'SurveyRpt_20150223 (1)'!R323+"h_l!$bg"</f>
        <v>#VALUE!</v>
      </c>
      <c r="GV52" t="e">
        <f>'SurveyRpt_20150223 (1)'!S323+"h_l!$bh"</f>
        <v>#VALUE!</v>
      </c>
      <c r="GW52" t="e">
        <f>'SurveyRpt_20150223 (1)'!T323+"h_l!$bi"</f>
        <v>#VALUE!</v>
      </c>
      <c r="GX52" t="e">
        <f>'SurveyRpt_20150223 (1)'!U323+"h_l!$bj"</f>
        <v>#VALUE!</v>
      </c>
      <c r="GY52" t="e">
        <f>'SurveyRpt_20150223 (1)'!V323+"h_l!$bk"</f>
        <v>#VALUE!</v>
      </c>
      <c r="GZ52" t="e">
        <f>'SurveyRpt_20150223 (1)'!W323+"h_l!$bl"</f>
        <v>#VALUE!</v>
      </c>
      <c r="HA52" t="e">
        <f>'SurveyRpt_20150223 (1)'!X323+"h_l!$bm"</f>
        <v>#VALUE!</v>
      </c>
      <c r="HB52" t="e">
        <f>'SurveyRpt_20150223 (1)'!Y323+"h_l!$bn"</f>
        <v>#VALUE!</v>
      </c>
      <c r="HC52" t="e">
        <f>'SurveyRpt_20150223 (1)'!Z323+"h_l!$bo"</f>
        <v>#VALUE!</v>
      </c>
      <c r="HD52" t="e">
        <f>'SurveyRpt_20150223 (1)'!AA323+"h_l!$bp"</f>
        <v>#VALUE!</v>
      </c>
      <c r="HE52" t="e">
        <f>'SurveyRpt_20150223 (1)'!AB323+"h_l!$bq"</f>
        <v>#VALUE!</v>
      </c>
      <c r="HF52" t="e">
        <f>'SurveyRpt_20150223 (1)'!AC323+"h_l!$br"</f>
        <v>#VALUE!</v>
      </c>
      <c r="HG52" t="e">
        <f>'SurveyRpt_20150223 (1)'!AD323+"h_l!$bs"</f>
        <v>#VALUE!</v>
      </c>
      <c r="HH52" t="e">
        <f>'SurveyRpt_20150223 (1)'!AE323+"h_l!$bt"</f>
        <v>#VALUE!</v>
      </c>
      <c r="HI52" t="e">
        <f>'SurveyRpt_20150223 (1)'!AF323+"h_l!$bu"</f>
        <v>#VALUE!</v>
      </c>
      <c r="HJ52" t="e">
        <f>'SurveyRpt_20150223 (1)'!AG323+"h_l!$bv"</f>
        <v>#VALUE!</v>
      </c>
      <c r="HK52" t="e">
        <f>'SurveyRpt_20150223 (1)'!AH323+"h_l!$bw"</f>
        <v>#VALUE!</v>
      </c>
      <c r="HL52" t="e">
        <f>'SurveyRpt_20150223 (1)'!AI323+"h_l!$bx"</f>
        <v>#VALUE!</v>
      </c>
      <c r="HM52" t="e">
        <f>'SurveyRpt_20150223 (1)'!AJ323+"h_l!$by"</f>
        <v>#VALUE!</v>
      </c>
      <c r="HN52" t="e">
        <f>'SurveyRpt_20150223 (1)'!AK323+"h_l!$bz"</f>
        <v>#VALUE!</v>
      </c>
      <c r="HO52" t="e">
        <f>'SurveyRpt_20150223 (1)'!AL323+"h_l!$b{"</f>
        <v>#VALUE!</v>
      </c>
      <c r="HP52" t="e">
        <f>'SurveyRpt_20150223 (1)'!AM323+"h_l!$b|"</f>
        <v>#VALUE!</v>
      </c>
      <c r="HQ52" t="e">
        <f>'SurveyRpt_20150223 (1)'!AN323+"h_l!$b}"</f>
        <v>#VALUE!</v>
      </c>
      <c r="HR52" t="e">
        <f>'SurveyRpt_20150223 (1)'!A324+"h_l!$b~"</f>
        <v>#VALUE!</v>
      </c>
      <c r="HS52" s="25" t="e">
        <f>'SurveyRpt_20150223 (1)'!B324+"h_l!$c#"</f>
        <v>#VALUE!</v>
      </c>
      <c r="HT52" t="e">
        <f>'SurveyRpt_20150223 (1)'!C324+"h_l!$c$"</f>
        <v>#VALUE!</v>
      </c>
      <c r="HU52" s="25" t="e">
        <f>'SurveyRpt_20150223 (1)'!D324+"h_l!$c%"</f>
        <v>#VALUE!</v>
      </c>
      <c r="HV52" t="e">
        <f>'SurveyRpt_20150223 (1)'!E324+"h_l!$c&amp;"</f>
        <v>#VALUE!</v>
      </c>
      <c r="HW52" t="e">
        <f>'SurveyRpt_20150223 (1)'!F324+"h_l!$c'"</f>
        <v>#VALUE!</v>
      </c>
      <c r="HX52" t="e">
        <f>'SurveyRpt_20150223 (1)'!G324+"h_l!$c("</f>
        <v>#VALUE!</v>
      </c>
      <c r="HY52" t="e">
        <f>'SurveyRpt_20150223 (1)'!H324+"h_l!$c)"</f>
        <v>#VALUE!</v>
      </c>
      <c r="HZ52" t="e">
        <f>'SurveyRpt_20150223 (1)'!I324+"h_l!$c."</f>
        <v>#VALUE!</v>
      </c>
      <c r="IA52" t="e">
        <f>'SurveyRpt_20150223 (1)'!J324+"h_l!$c/"</f>
        <v>#VALUE!</v>
      </c>
      <c r="IB52" t="e">
        <f>'SurveyRpt_20150223 (1)'!K324+"h_l!$c0"</f>
        <v>#VALUE!</v>
      </c>
      <c r="IC52" t="e">
        <f>'SurveyRpt_20150223 (1)'!L324+"h_l!$c1"</f>
        <v>#VALUE!</v>
      </c>
      <c r="ID52" t="e">
        <f>'SurveyRpt_20150223 (1)'!M324+"h_l!$c2"</f>
        <v>#VALUE!</v>
      </c>
      <c r="IE52" t="e">
        <f>'SurveyRpt_20150223 (1)'!N324+"h_l!$c3"</f>
        <v>#VALUE!</v>
      </c>
      <c r="IF52" t="e">
        <f>'SurveyRpt_20150223 (1)'!O324+"h_l!$c4"</f>
        <v>#VALUE!</v>
      </c>
      <c r="IG52" t="e">
        <f>'SurveyRpt_20150223 (1)'!P324+"h_l!$c5"</f>
        <v>#VALUE!</v>
      </c>
      <c r="IH52" t="e">
        <f>'SurveyRpt_20150223 (1)'!Q324+"h_l!$c6"</f>
        <v>#VALUE!</v>
      </c>
      <c r="II52" t="e">
        <f>'SurveyRpt_20150223 (1)'!R324+"h_l!$c7"</f>
        <v>#VALUE!</v>
      </c>
      <c r="IJ52" t="e">
        <f>'SurveyRpt_20150223 (1)'!S324+"h_l!$c8"</f>
        <v>#VALUE!</v>
      </c>
      <c r="IK52" t="e">
        <f>'SurveyRpt_20150223 (1)'!T324+"h_l!$c9"</f>
        <v>#VALUE!</v>
      </c>
      <c r="IL52" t="e">
        <f>'SurveyRpt_20150223 (1)'!U324+"h_l!$c:"</f>
        <v>#VALUE!</v>
      </c>
      <c r="IM52" t="e">
        <f>'SurveyRpt_20150223 (1)'!V324+"h_l!$c;"</f>
        <v>#VALUE!</v>
      </c>
      <c r="IN52" t="e">
        <f>'SurveyRpt_20150223 (1)'!W324+"h_l!$c&lt;"</f>
        <v>#VALUE!</v>
      </c>
      <c r="IO52" t="e">
        <f>'SurveyRpt_20150223 (1)'!X324+"h_l!$c="</f>
        <v>#VALUE!</v>
      </c>
      <c r="IP52" t="e">
        <f>'SurveyRpt_20150223 (1)'!Y324+"h_l!$c&gt;"</f>
        <v>#VALUE!</v>
      </c>
      <c r="IQ52" t="e">
        <f>'SurveyRpt_20150223 (1)'!Z324+"h_l!$c?"</f>
        <v>#VALUE!</v>
      </c>
      <c r="IR52" t="e">
        <f>'SurveyRpt_20150223 (1)'!AA324+"h_l!$c@"</f>
        <v>#VALUE!</v>
      </c>
      <c r="IS52" t="e">
        <f>'SurveyRpt_20150223 (1)'!AB324+"h_l!$cA"</f>
        <v>#VALUE!</v>
      </c>
      <c r="IT52" t="e">
        <f>'SurveyRpt_20150223 (1)'!AC324+"h_l!$cB"</f>
        <v>#VALUE!</v>
      </c>
      <c r="IU52" t="e">
        <f>'SurveyRpt_20150223 (1)'!AD324+"h_l!$cC"</f>
        <v>#VALUE!</v>
      </c>
      <c r="IV52" t="e">
        <f>'SurveyRpt_20150223 (1)'!AE324+"h_l!$cD"</f>
        <v>#VALUE!</v>
      </c>
    </row>
    <row r="53" spans="6:256" x14ac:dyDescent="0.25">
      <c r="F53" t="e">
        <f>'SurveyRpt_20150223 (1)'!AF324+"h_l!$cE"</f>
        <v>#VALUE!</v>
      </c>
      <c r="G53" t="e">
        <f>'SurveyRpt_20150223 (1)'!AG324+"h_l!$cF"</f>
        <v>#VALUE!</v>
      </c>
      <c r="H53" t="e">
        <f>'SurveyRpt_20150223 (1)'!AH324+"h_l!$cG"</f>
        <v>#VALUE!</v>
      </c>
      <c r="I53" t="e">
        <f>'SurveyRpt_20150223 (1)'!AI324+"h_l!$cH"</f>
        <v>#VALUE!</v>
      </c>
      <c r="J53" t="e">
        <f>'SurveyRpt_20150223 (1)'!AJ324+"h_l!$cI"</f>
        <v>#VALUE!</v>
      </c>
      <c r="K53" t="e">
        <f>'SurveyRpt_20150223 (1)'!AK324+"h_l!$cJ"</f>
        <v>#VALUE!</v>
      </c>
      <c r="L53" t="e">
        <f>'SurveyRpt_20150223 (1)'!AL324+"h_l!$cK"</f>
        <v>#VALUE!</v>
      </c>
      <c r="M53" t="e">
        <f>'SurveyRpt_20150223 (1)'!AM324+"h_l!$cL"</f>
        <v>#VALUE!</v>
      </c>
      <c r="N53" t="e">
        <f>'SurveyRpt_20150223 (1)'!AN324+"h_l!$cM"</f>
        <v>#VALUE!</v>
      </c>
      <c r="O53" t="e">
        <f>'SurveyRpt_20150223 (1)'!A325+"h_l!$cN"</f>
        <v>#VALUE!</v>
      </c>
      <c r="P53" s="25" t="e">
        <f>'SurveyRpt_20150223 (1)'!B325+"h_l!$cO"</f>
        <v>#VALUE!</v>
      </c>
      <c r="Q53" t="e">
        <f>'SurveyRpt_20150223 (1)'!C325+"h_l!$cP"</f>
        <v>#VALUE!</v>
      </c>
      <c r="R53" s="25" t="e">
        <f>'SurveyRpt_20150223 (1)'!D325+"h_l!$cQ"</f>
        <v>#VALUE!</v>
      </c>
      <c r="S53" t="e">
        <f>'SurveyRpt_20150223 (1)'!E325+"h_l!$cR"</f>
        <v>#VALUE!</v>
      </c>
      <c r="T53" t="e">
        <f>'SurveyRpt_20150223 (1)'!F325+"h_l!$cS"</f>
        <v>#VALUE!</v>
      </c>
      <c r="U53" t="e">
        <f>'SurveyRpt_20150223 (1)'!G325+"h_l!$cT"</f>
        <v>#VALUE!</v>
      </c>
      <c r="V53" t="e">
        <f>'SurveyRpt_20150223 (1)'!H325+"h_l!$cU"</f>
        <v>#VALUE!</v>
      </c>
      <c r="W53" t="e">
        <f>'SurveyRpt_20150223 (1)'!I325+"h_l!$cV"</f>
        <v>#VALUE!</v>
      </c>
      <c r="X53" t="e">
        <f>'SurveyRpt_20150223 (1)'!J325+"h_l!$cW"</f>
        <v>#VALUE!</v>
      </c>
      <c r="Y53" t="e">
        <f>'SurveyRpt_20150223 (1)'!K325+"h_l!$cX"</f>
        <v>#VALUE!</v>
      </c>
      <c r="Z53" t="e">
        <f>'SurveyRpt_20150223 (1)'!L325+"h_l!$cY"</f>
        <v>#VALUE!</v>
      </c>
      <c r="AA53" t="e">
        <f>'SurveyRpt_20150223 (1)'!M325+"h_l!$cZ"</f>
        <v>#VALUE!</v>
      </c>
      <c r="AB53" t="e">
        <f>'SurveyRpt_20150223 (1)'!N325+"h_l!$c["</f>
        <v>#VALUE!</v>
      </c>
      <c r="AC53" t="e">
        <f>'SurveyRpt_20150223 (1)'!O325+"h_l!$c\"</f>
        <v>#VALUE!</v>
      </c>
      <c r="AD53" t="e">
        <f>'SurveyRpt_20150223 (1)'!P325+"h_l!$c]"</f>
        <v>#VALUE!</v>
      </c>
      <c r="AE53" t="e">
        <f>'SurveyRpt_20150223 (1)'!Q325+"h_l!$c^"</f>
        <v>#VALUE!</v>
      </c>
      <c r="AF53" t="e">
        <f>'SurveyRpt_20150223 (1)'!R325+"h_l!$c_"</f>
        <v>#VALUE!</v>
      </c>
      <c r="AG53" t="e">
        <f>'SurveyRpt_20150223 (1)'!S325+"h_l!$c`"</f>
        <v>#VALUE!</v>
      </c>
      <c r="AH53" t="e">
        <f>'SurveyRpt_20150223 (1)'!T325+"h_l!$ca"</f>
        <v>#VALUE!</v>
      </c>
      <c r="AI53" t="e">
        <f>'SurveyRpt_20150223 (1)'!U325+"h_l!$cb"</f>
        <v>#VALUE!</v>
      </c>
      <c r="AJ53" t="e">
        <f>'SurveyRpt_20150223 (1)'!V325+"h_l!$cc"</f>
        <v>#VALUE!</v>
      </c>
      <c r="AK53" t="e">
        <f>'SurveyRpt_20150223 (1)'!W325+"h_l!$cd"</f>
        <v>#VALUE!</v>
      </c>
      <c r="AL53" t="e">
        <f>'SurveyRpt_20150223 (1)'!X325+"h_l!$ce"</f>
        <v>#VALUE!</v>
      </c>
      <c r="AM53" t="e">
        <f>'SurveyRpt_20150223 (1)'!Y325+"h_l!$cf"</f>
        <v>#VALUE!</v>
      </c>
      <c r="AN53" t="e">
        <f>'SurveyRpt_20150223 (1)'!Z325+"h_l!$cg"</f>
        <v>#VALUE!</v>
      </c>
      <c r="AO53" t="e">
        <f>'SurveyRpt_20150223 (1)'!AA325+"h_l!$ch"</f>
        <v>#VALUE!</v>
      </c>
      <c r="AP53" t="e">
        <f>'SurveyRpt_20150223 (1)'!AB325+"h_l!$ci"</f>
        <v>#VALUE!</v>
      </c>
      <c r="AQ53" t="e">
        <f>'SurveyRpt_20150223 (1)'!AC325+"h_l!$cj"</f>
        <v>#VALUE!</v>
      </c>
      <c r="AR53" t="e">
        <f>'SurveyRpt_20150223 (1)'!AD325+"h_l!$ck"</f>
        <v>#VALUE!</v>
      </c>
      <c r="AS53" t="e">
        <f>'SurveyRpt_20150223 (1)'!AE325+"h_l!$cl"</f>
        <v>#VALUE!</v>
      </c>
      <c r="AT53" t="e">
        <f>'SurveyRpt_20150223 (1)'!AF325+"h_l!$cm"</f>
        <v>#VALUE!</v>
      </c>
      <c r="AU53" t="e">
        <f>'SurveyRpt_20150223 (1)'!AG325+"h_l!$cn"</f>
        <v>#VALUE!</v>
      </c>
      <c r="AV53" t="e">
        <f>'SurveyRpt_20150223 (1)'!AH325+"h_l!$co"</f>
        <v>#VALUE!</v>
      </c>
      <c r="AW53" t="e">
        <f>'SurveyRpt_20150223 (1)'!AI325+"h_l!$cp"</f>
        <v>#VALUE!</v>
      </c>
      <c r="AX53" t="e">
        <f>'SurveyRpt_20150223 (1)'!AJ325+"h_l!$cq"</f>
        <v>#VALUE!</v>
      </c>
      <c r="AY53" t="e">
        <f>'SurveyRpt_20150223 (1)'!AK325+"h_l!$cr"</f>
        <v>#VALUE!</v>
      </c>
      <c r="AZ53" t="e">
        <f>'SurveyRpt_20150223 (1)'!AL325+"h_l!$cs"</f>
        <v>#VALUE!</v>
      </c>
      <c r="BA53" t="e">
        <f>'SurveyRpt_20150223 (1)'!AM325+"h_l!$ct"</f>
        <v>#VALUE!</v>
      </c>
      <c r="BB53" t="e">
        <f>'SurveyRpt_20150223 (1)'!AN325+"h_l!$cu"</f>
        <v>#VALUE!</v>
      </c>
      <c r="BC53" t="e">
        <f>'SurveyRpt_20150223 (1)'!A326+"h_l!$cv"</f>
        <v>#VALUE!</v>
      </c>
      <c r="BD53" s="25" t="e">
        <f>'SurveyRpt_20150223 (1)'!B326+"h_l!$cw"</f>
        <v>#VALUE!</v>
      </c>
      <c r="BE53" t="e">
        <f>'SurveyRpt_20150223 (1)'!C326+"h_l!$cx"</f>
        <v>#VALUE!</v>
      </c>
      <c r="BF53" s="25" t="e">
        <f>'SurveyRpt_20150223 (1)'!D326+"h_l!$cy"</f>
        <v>#VALUE!</v>
      </c>
      <c r="BG53" t="e">
        <f>'SurveyRpt_20150223 (1)'!E326+"h_l!$cz"</f>
        <v>#VALUE!</v>
      </c>
      <c r="BH53" t="e">
        <f>'SurveyRpt_20150223 (1)'!F326+"h_l!$c{"</f>
        <v>#VALUE!</v>
      </c>
      <c r="BI53" t="e">
        <f>'SurveyRpt_20150223 (1)'!G326+"h_l!$c|"</f>
        <v>#VALUE!</v>
      </c>
      <c r="BJ53" t="e">
        <f>'SurveyRpt_20150223 (1)'!H326+"h_l!$c}"</f>
        <v>#VALUE!</v>
      </c>
      <c r="BK53" t="e">
        <f>'SurveyRpt_20150223 (1)'!I326+"h_l!$c~"</f>
        <v>#VALUE!</v>
      </c>
      <c r="BL53" t="e">
        <f>'SurveyRpt_20150223 (1)'!J326+"h_l!$d#"</f>
        <v>#VALUE!</v>
      </c>
      <c r="BM53" t="e">
        <f>'SurveyRpt_20150223 (1)'!K326+"h_l!$d$"</f>
        <v>#VALUE!</v>
      </c>
      <c r="BN53" t="e">
        <f>'SurveyRpt_20150223 (1)'!L326+"h_l!$d%"</f>
        <v>#VALUE!</v>
      </c>
      <c r="BO53" t="e">
        <f>'SurveyRpt_20150223 (1)'!M326+"h_l!$d&amp;"</f>
        <v>#VALUE!</v>
      </c>
      <c r="BP53" t="e">
        <f>'SurveyRpt_20150223 (1)'!N326+"h_l!$d'"</f>
        <v>#VALUE!</v>
      </c>
      <c r="BQ53" t="e">
        <f>'SurveyRpt_20150223 (1)'!O326+"h_l!$d("</f>
        <v>#VALUE!</v>
      </c>
      <c r="BR53" t="e">
        <f>'SurveyRpt_20150223 (1)'!P326+"h_l!$d)"</f>
        <v>#VALUE!</v>
      </c>
      <c r="BS53" t="e">
        <f>'SurveyRpt_20150223 (1)'!Q326+"h_l!$d."</f>
        <v>#VALUE!</v>
      </c>
      <c r="BT53" t="e">
        <f>'SurveyRpt_20150223 (1)'!R326+"h_l!$d/"</f>
        <v>#VALUE!</v>
      </c>
      <c r="BU53" t="e">
        <f>'SurveyRpt_20150223 (1)'!S326+"h_l!$d0"</f>
        <v>#VALUE!</v>
      </c>
      <c r="BV53" t="e">
        <f>'SurveyRpt_20150223 (1)'!T326+"h_l!$d1"</f>
        <v>#VALUE!</v>
      </c>
      <c r="BW53" t="e">
        <f>'SurveyRpt_20150223 (1)'!U326+"h_l!$d2"</f>
        <v>#VALUE!</v>
      </c>
      <c r="BX53" t="e">
        <f>'SurveyRpt_20150223 (1)'!V326+"h_l!$d3"</f>
        <v>#VALUE!</v>
      </c>
      <c r="BY53" t="e">
        <f>'SurveyRpt_20150223 (1)'!W326+"h_l!$d4"</f>
        <v>#VALUE!</v>
      </c>
      <c r="BZ53" t="e">
        <f>'SurveyRpt_20150223 (1)'!X326+"h_l!$d5"</f>
        <v>#VALUE!</v>
      </c>
      <c r="CA53" t="e">
        <f>'SurveyRpt_20150223 (1)'!Y326+"h_l!$d6"</f>
        <v>#VALUE!</v>
      </c>
      <c r="CB53" t="e">
        <f>'SurveyRpt_20150223 (1)'!Z326+"h_l!$d7"</f>
        <v>#VALUE!</v>
      </c>
      <c r="CC53" t="e">
        <f>'SurveyRpt_20150223 (1)'!AA326+"h_l!$d8"</f>
        <v>#VALUE!</v>
      </c>
      <c r="CD53" t="e">
        <f>'SurveyRpt_20150223 (1)'!AB326+"h_l!$d9"</f>
        <v>#VALUE!</v>
      </c>
      <c r="CE53" t="e">
        <f>'SurveyRpt_20150223 (1)'!AC326+"h_l!$d:"</f>
        <v>#VALUE!</v>
      </c>
      <c r="CF53" t="e">
        <f>'SurveyRpt_20150223 (1)'!AD326+"h_l!$d;"</f>
        <v>#VALUE!</v>
      </c>
      <c r="CG53" t="e">
        <f>'SurveyRpt_20150223 (1)'!AE326+"h_l!$d&lt;"</f>
        <v>#VALUE!</v>
      </c>
      <c r="CH53" t="e">
        <f>'SurveyRpt_20150223 (1)'!AF326+"h_l!$d="</f>
        <v>#VALUE!</v>
      </c>
      <c r="CI53" t="e">
        <f>'SurveyRpt_20150223 (1)'!AG326+"h_l!$d&gt;"</f>
        <v>#VALUE!</v>
      </c>
      <c r="CJ53" t="e">
        <f>'SurveyRpt_20150223 (1)'!AH326+"h_l!$d?"</f>
        <v>#VALUE!</v>
      </c>
      <c r="CK53" t="e">
        <f>'SurveyRpt_20150223 (1)'!AI326+"h_l!$d@"</f>
        <v>#VALUE!</v>
      </c>
      <c r="CL53" t="e">
        <f>'SurveyRpt_20150223 (1)'!AJ326+"h_l!$dA"</f>
        <v>#VALUE!</v>
      </c>
      <c r="CM53" t="e">
        <f>'SurveyRpt_20150223 (1)'!AK326+"h_l!$dB"</f>
        <v>#VALUE!</v>
      </c>
      <c r="CN53" t="e">
        <f>'SurveyRpt_20150223 (1)'!AL326+"h_l!$dC"</f>
        <v>#VALUE!</v>
      </c>
      <c r="CO53" t="e">
        <f>'SurveyRpt_20150223 (1)'!AM326+"h_l!$dD"</f>
        <v>#VALUE!</v>
      </c>
      <c r="CP53" t="e">
        <f>'SurveyRpt_20150223 (1)'!AN326+"h_l!$dE"</f>
        <v>#VALUE!</v>
      </c>
      <c r="CQ53" t="e">
        <f>'SurveyRpt_20150223 (1)'!A327+"h_l!$dF"</f>
        <v>#VALUE!</v>
      </c>
      <c r="CR53" s="25" t="e">
        <f>'SurveyRpt_20150223 (1)'!B327+"h_l!$dG"</f>
        <v>#VALUE!</v>
      </c>
      <c r="CS53" t="e">
        <f>'SurveyRpt_20150223 (1)'!C327+"h_l!$dH"</f>
        <v>#VALUE!</v>
      </c>
      <c r="CT53" s="25" t="e">
        <f>'SurveyRpt_20150223 (1)'!D327+"h_l!$dI"</f>
        <v>#VALUE!</v>
      </c>
      <c r="CU53" t="e">
        <f>'SurveyRpt_20150223 (1)'!E327+"h_l!$dJ"</f>
        <v>#VALUE!</v>
      </c>
      <c r="CV53" t="e">
        <f>'SurveyRpt_20150223 (1)'!F327+"h_l!$dK"</f>
        <v>#VALUE!</v>
      </c>
      <c r="CW53" t="e">
        <f>'SurveyRpt_20150223 (1)'!G327+"h_l!$dL"</f>
        <v>#VALUE!</v>
      </c>
      <c r="CX53" t="e">
        <f>'SurveyRpt_20150223 (1)'!H327+"h_l!$dM"</f>
        <v>#VALUE!</v>
      </c>
      <c r="CY53" t="e">
        <f>'SurveyRpt_20150223 (1)'!I327+"h_l!$dN"</f>
        <v>#VALUE!</v>
      </c>
      <c r="CZ53" t="e">
        <f>'SurveyRpt_20150223 (1)'!J327+"h_l!$dO"</f>
        <v>#VALUE!</v>
      </c>
      <c r="DA53" t="e">
        <f>'SurveyRpt_20150223 (1)'!K327+"h_l!$dP"</f>
        <v>#VALUE!</v>
      </c>
      <c r="DB53" t="e">
        <f>'SurveyRpt_20150223 (1)'!L327+"h_l!$dQ"</f>
        <v>#VALUE!</v>
      </c>
      <c r="DC53" t="e">
        <f>'SurveyRpt_20150223 (1)'!M327+"h_l!$dR"</f>
        <v>#VALUE!</v>
      </c>
      <c r="DD53" t="e">
        <f>'SurveyRpt_20150223 (1)'!N327+"h_l!$dS"</f>
        <v>#VALUE!</v>
      </c>
      <c r="DE53" t="e">
        <f>'SurveyRpt_20150223 (1)'!O327+"h_l!$dT"</f>
        <v>#VALUE!</v>
      </c>
      <c r="DF53" t="e">
        <f>'SurveyRpt_20150223 (1)'!P327+"h_l!$dU"</f>
        <v>#VALUE!</v>
      </c>
      <c r="DG53" t="e">
        <f>'SurveyRpt_20150223 (1)'!Q327+"h_l!$dV"</f>
        <v>#VALUE!</v>
      </c>
      <c r="DH53" t="e">
        <f>'SurveyRpt_20150223 (1)'!R327+"h_l!$dW"</f>
        <v>#VALUE!</v>
      </c>
      <c r="DI53" t="e">
        <f>'SurveyRpt_20150223 (1)'!S327+"h_l!$dX"</f>
        <v>#VALUE!</v>
      </c>
      <c r="DJ53" t="e">
        <f>'SurveyRpt_20150223 (1)'!T327+"h_l!$dY"</f>
        <v>#VALUE!</v>
      </c>
      <c r="DK53" t="e">
        <f>'SurveyRpt_20150223 (1)'!U327+"h_l!$dZ"</f>
        <v>#VALUE!</v>
      </c>
      <c r="DL53" t="e">
        <f>'SurveyRpt_20150223 (1)'!V327+"h_l!$d["</f>
        <v>#VALUE!</v>
      </c>
      <c r="DM53" t="e">
        <f>'SurveyRpt_20150223 (1)'!W327+"h_l!$d\"</f>
        <v>#VALUE!</v>
      </c>
      <c r="DN53" t="e">
        <f>'SurveyRpt_20150223 (1)'!X327+"h_l!$d]"</f>
        <v>#VALUE!</v>
      </c>
      <c r="DO53" t="e">
        <f>'SurveyRpt_20150223 (1)'!Y327+"h_l!$d^"</f>
        <v>#VALUE!</v>
      </c>
      <c r="DP53" t="e">
        <f>'SurveyRpt_20150223 (1)'!Z327+"h_l!$d_"</f>
        <v>#VALUE!</v>
      </c>
      <c r="DQ53" t="e">
        <f>'SurveyRpt_20150223 (1)'!AA327+"h_l!$d`"</f>
        <v>#VALUE!</v>
      </c>
      <c r="DR53" t="e">
        <f>'SurveyRpt_20150223 (1)'!AB327+"h_l!$da"</f>
        <v>#VALUE!</v>
      </c>
      <c r="DS53" t="e">
        <f>'SurveyRpt_20150223 (1)'!AC327+"h_l!$db"</f>
        <v>#VALUE!</v>
      </c>
      <c r="DT53" t="e">
        <f>'SurveyRpt_20150223 (1)'!AD327+"h_l!$dc"</f>
        <v>#VALUE!</v>
      </c>
      <c r="DU53" t="e">
        <f>'SurveyRpt_20150223 (1)'!AE327+"h_l!$dd"</f>
        <v>#VALUE!</v>
      </c>
      <c r="DV53" t="e">
        <f>'SurveyRpt_20150223 (1)'!AF327+"h_l!$de"</f>
        <v>#VALUE!</v>
      </c>
      <c r="DW53" t="e">
        <f>'SurveyRpt_20150223 (1)'!AG327+"h_l!$df"</f>
        <v>#VALUE!</v>
      </c>
      <c r="DX53" t="e">
        <f>'SurveyRpt_20150223 (1)'!AH327+"h_l!$dg"</f>
        <v>#VALUE!</v>
      </c>
      <c r="DY53" t="e">
        <f>'SurveyRpt_20150223 (1)'!AI327+"h_l!$dh"</f>
        <v>#VALUE!</v>
      </c>
      <c r="DZ53" t="e">
        <f>'SurveyRpt_20150223 (1)'!AJ327+"h_l!$di"</f>
        <v>#VALUE!</v>
      </c>
      <c r="EA53" t="e">
        <f>'SurveyRpt_20150223 (1)'!AK327+"h_l!$dj"</f>
        <v>#VALUE!</v>
      </c>
      <c r="EB53" t="e">
        <f>'SurveyRpt_20150223 (1)'!AL327+"h_l!$dk"</f>
        <v>#VALUE!</v>
      </c>
      <c r="EC53" t="e">
        <f>'SurveyRpt_20150223 (1)'!AM327+"h_l!$dl"</f>
        <v>#VALUE!</v>
      </c>
      <c r="ED53" t="e">
        <f>'SurveyRpt_20150223 (1)'!AN327+"h_l!$dm"</f>
        <v>#VALUE!</v>
      </c>
      <c r="EE53" t="e">
        <f>'SurveyRpt_20150223 (1)'!A328+"h_l!$dn"</f>
        <v>#VALUE!</v>
      </c>
      <c r="EF53" s="25" t="e">
        <f>'SurveyRpt_20150223 (1)'!B328+"h_l!$do"</f>
        <v>#VALUE!</v>
      </c>
      <c r="EG53" t="e">
        <f>'SurveyRpt_20150223 (1)'!C328+"h_l!$dp"</f>
        <v>#VALUE!</v>
      </c>
      <c r="EH53" s="25" t="e">
        <f>'SurveyRpt_20150223 (1)'!D328+"h_l!$dq"</f>
        <v>#VALUE!</v>
      </c>
      <c r="EI53" t="e">
        <f>'SurveyRpt_20150223 (1)'!E328+"h_l!$dr"</f>
        <v>#VALUE!</v>
      </c>
      <c r="EJ53" t="e">
        <f>'SurveyRpt_20150223 (1)'!F328+"h_l!$ds"</f>
        <v>#VALUE!</v>
      </c>
      <c r="EK53" t="e">
        <f>'SurveyRpt_20150223 (1)'!G328+"h_l!$dt"</f>
        <v>#VALUE!</v>
      </c>
      <c r="EL53" t="e">
        <f>'SurveyRpt_20150223 (1)'!H328+"h_l!$du"</f>
        <v>#VALUE!</v>
      </c>
      <c r="EM53" t="e">
        <f>'SurveyRpt_20150223 (1)'!I328+"h_l!$dv"</f>
        <v>#VALUE!</v>
      </c>
      <c r="EN53" t="e">
        <f>'SurveyRpt_20150223 (1)'!J328+"h_l!$dw"</f>
        <v>#VALUE!</v>
      </c>
      <c r="EO53" t="e">
        <f>'SurveyRpt_20150223 (1)'!K328+"h_l!$dx"</f>
        <v>#VALUE!</v>
      </c>
      <c r="EP53" t="e">
        <f>'SurveyRpt_20150223 (1)'!L328+"h_l!$dy"</f>
        <v>#VALUE!</v>
      </c>
      <c r="EQ53" t="e">
        <f>'SurveyRpt_20150223 (1)'!M328+"h_l!$dz"</f>
        <v>#VALUE!</v>
      </c>
      <c r="ER53" t="e">
        <f>'SurveyRpt_20150223 (1)'!N328+"h_l!$d{"</f>
        <v>#VALUE!</v>
      </c>
      <c r="ES53" t="e">
        <f>'SurveyRpt_20150223 (1)'!O328+"h_l!$d|"</f>
        <v>#VALUE!</v>
      </c>
      <c r="ET53" t="e">
        <f>'SurveyRpt_20150223 (1)'!P328+"h_l!$d}"</f>
        <v>#VALUE!</v>
      </c>
      <c r="EU53" t="e">
        <f>'SurveyRpt_20150223 (1)'!Q328+"h_l!$d~"</f>
        <v>#VALUE!</v>
      </c>
      <c r="EV53" t="e">
        <f>'SurveyRpt_20150223 (1)'!R328+"h_l!$e#"</f>
        <v>#VALUE!</v>
      </c>
      <c r="EW53" t="e">
        <f>'SurveyRpt_20150223 (1)'!S328+"h_l!$e$"</f>
        <v>#VALUE!</v>
      </c>
      <c r="EX53" t="e">
        <f>'SurveyRpt_20150223 (1)'!T328+"h_l!$e%"</f>
        <v>#VALUE!</v>
      </c>
      <c r="EY53" t="e">
        <f>'SurveyRpt_20150223 (1)'!U328+"h_l!$e&amp;"</f>
        <v>#VALUE!</v>
      </c>
      <c r="EZ53" t="e">
        <f>'SurveyRpt_20150223 (1)'!V328+"h_l!$e'"</f>
        <v>#VALUE!</v>
      </c>
      <c r="FA53" t="e">
        <f>'SurveyRpt_20150223 (1)'!W328+"h_l!$e("</f>
        <v>#VALUE!</v>
      </c>
      <c r="FB53" t="e">
        <f>'SurveyRpt_20150223 (1)'!X328+"h_l!$e)"</f>
        <v>#VALUE!</v>
      </c>
      <c r="FC53" t="e">
        <f>'SurveyRpt_20150223 (1)'!Y328+"h_l!$e."</f>
        <v>#VALUE!</v>
      </c>
      <c r="FD53" t="e">
        <f>'SurveyRpt_20150223 (1)'!Z328+"h_l!$e/"</f>
        <v>#VALUE!</v>
      </c>
      <c r="FE53" t="e">
        <f>'SurveyRpt_20150223 (1)'!AA328+"h_l!$e0"</f>
        <v>#VALUE!</v>
      </c>
      <c r="FF53" t="e">
        <f>'SurveyRpt_20150223 (1)'!AB328+"h_l!$e1"</f>
        <v>#VALUE!</v>
      </c>
      <c r="FG53" t="e">
        <f>'SurveyRpt_20150223 (1)'!AC328+"h_l!$e2"</f>
        <v>#VALUE!</v>
      </c>
      <c r="FH53" t="e">
        <f>'SurveyRpt_20150223 (1)'!AD328+"h_l!$e3"</f>
        <v>#VALUE!</v>
      </c>
      <c r="FI53" t="e">
        <f>'SurveyRpt_20150223 (1)'!AE328+"h_l!$e4"</f>
        <v>#VALUE!</v>
      </c>
      <c r="FJ53" t="e">
        <f>'SurveyRpt_20150223 (1)'!AF328+"h_l!$e5"</f>
        <v>#VALUE!</v>
      </c>
      <c r="FK53" t="e">
        <f>'SurveyRpt_20150223 (1)'!AG328+"h_l!$e6"</f>
        <v>#VALUE!</v>
      </c>
      <c r="FL53" t="e">
        <f>'SurveyRpt_20150223 (1)'!AH328+"h_l!$e7"</f>
        <v>#VALUE!</v>
      </c>
      <c r="FM53" t="e">
        <f>'SurveyRpt_20150223 (1)'!AI328+"h_l!$e8"</f>
        <v>#VALUE!</v>
      </c>
      <c r="FN53" t="e">
        <f>'SurveyRpt_20150223 (1)'!AJ328+"h_l!$e9"</f>
        <v>#VALUE!</v>
      </c>
      <c r="FO53" t="e">
        <f>'SurveyRpt_20150223 (1)'!AK328+"h_l!$e:"</f>
        <v>#VALUE!</v>
      </c>
      <c r="FP53" t="e">
        <f>'SurveyRpt_20150223 (1)'!AL328+"h_l!$e;"</f>
        <v>#VALUE!</v>
      </c>
      <c r="FQ53" t="e">
        <f>'SurveyRpt_20150223 (1)'!AM328+"h_l!$e&lt;"</f>
        <v>#VALUE!</v>
      </c>
      <c r="FR53" t="e">
        <f>'SurveyRpt_20150223 (1)'!AN328+"h_l!$e="</f>
        <v>#VALUE!</v>
      </c>
      <c r="FS53" t="e">
        <f>'SurveyRpt_20150223 (1)'!A329+"h_l!$e&gt;"</f>
        <v>#VALUE!</v>
      </c>
      <c r="FT53" s="25" t="e">
        <f>'SurveyRpt_20150223 (1)'!B329+"h_l!$e?"</f>
        <v>#VALUE!</v>
      </c>
      <c r="FU53" t="e">
        <f>'SurveyRpt_20150223 (1)'!C329+"h_l!$e@"</f>
        <v>#VALUE!</v>
      </c>
      <c r="FV53" s="25" t="e">
        <f>'SurveyRpt_20150223 (1)'!D329+"h_l!$eA"</f>
        <v>#VALUE!</v>
      </c>
      <c r="FW53" t="e">
        <f>'SurveyRpt_20150223 (1)'!E329+"h_l!$eB"</f>
        <v>#VALUE!</v>
      </c>
      <c r="FX53" t="e">
        <f>'SurveyRpt_20150223 (1)'!F329+"h_l!$eC"</f>
        <v>#VALUE!</v>
      </c>
      <c r="FY53" t="e">
        <f>'SurveyRpt_20150223 (1)'!G329+"h_l!$eD"</f>
        <v>#VALUE!</v>
      </c>
      <c r="FZ53" t="e">
        <f>'SurveyRpt_20150223 (1)'!H329+"h_l!$eE"</f>
        <v>#VALUE!</v>
      </c>
      <c r="GA53" t="e">
        <f>'SurveyRpt_20150223 (1)'!I329+"h_l!$eF"</f>
        <v>#VALUE!</v>
      </c>
      <c r="GB53" t="e">
        <f>'SurveyRpt_20150223 (1)'!J329+"h_l!$eG"</f>
        <v>#VALUE!</v>
      </c>
      <c r="GC53" t="e">
        <f>'SurveyRpt_20150223 (1)'!K329+"h_l!$eH"</f>
        <v>#VALUE!</v>
      </c>
      <c r="GD53" t="e">
        <f>'SurveyRpt_20150223 (1)'!L329+"h_l!$eI"</f>
        <v>#VALUE!</v>
      </c>
      <c r="GE53" t="e">
        <f>'SurveyRpt_20150223 (1)'!M329+"h_l!$eJ"</f>
        <v>#VALUE!</v>
      </c>
      <c r="GF53" t="e">
        <f>'SurveyRpt_20150223 (1)'!N329+"h_l!$eK"</f>
        <v>#VALUE!</v>
      </c>
      <c r="GG53" t="e">
        <f>'SurveyRpt_20150223 (1)'!O329+"h_l!$eL"</f>
        <v>#VALUE!</v>
      </c>
      <c r="GH53" t="e">
        <f>'SurveyRpt_20150223 (1)'!P329+"h_l!$eM"</f>
        <v>#VALUE!</v>
      </c>
      <c r="GI53" t="e">
        <f>'SurveyRpt_20150223 (1)'!Q329+"h_l!$eN"</f>
        <v>#VALUE!</v>
      </c>
      <c r="GJ53" t="e">
        <f>'SurveyRpt_20150223 (1)'!R329+"h_l!$eO"</f>
        <v>#VALUE!</v>
      </c>
      <c r="GK53" t="e">
        <f>'SurveyRpt_20150223 (1)'!S329+"h_l!$eP"</f>
        <v>#VALUE!</v>
      </c>
      <c r="GL53" t="e">
        <f>'SurveyRpt_20150223 (1)'!T329+"h_l!$eQ"</f>
        <v>#VALUE!</v>
      </c>
      <c r="GM53" t="e">
        <f>'SurveyRpt_20150223 (1)'!U329+"h_l!$eR"</f>
        <v>#VALUE!</v>
      </c>
      <c r="GN53" t="e">
        <f>'SurveyRpt_20150223 (1)'!V329+"h_l!$eS"</f>
        <v>#VALUE!</v>
      </c>
      <c r="GO53" t="e">
        <f>'SurveyRpt_20150223 (1)'!W329+"h_l!$eT"</f>
        <v>#VALUE!</v>
      </c>
      <c r="GP53" t="e">
        <f>'SurveyRpt_20150223 (1)'!X329+"h_l!$eU"</f>
        <v>#VALUE!</v>
      </c>
      <c r="GQ53" t="e">
        <f>'SurveyRpt_20150223 (1)'!Y329+"h_l!$eV"</f>
        <v>#VALUE!</v>
      </c>
      <c r="GR53" t="e">
        <f>'SurveyRpt_20150223 (1)'!Z329+"h_l!$eW"</f>
        <v>#VALUE!</v>
      </c>
      <c r="GS53" t="e">
        <f>'SurveyRpt_20150223 (1)'!AA329+"h_l!$eX"</f>
        <v>#VALUE!</v>
      </c>
      <c r="GT53" t="e">
        <f>'SurveyRpt_20150223 (1)'!AB329+"h_l!$eY"</f>
        <v>#VALUE!</v>
      </c>
      <c r="GU53" t="e">
        <f>'SurveyRpt_20150223 (1)'!AC329+"h_l!$eZ"</f>
        <v>#VALUE!</v>
      </c>
      <c r="GV53" t="e">
        <f>'SurveyRpt_20150223 (1)'!AD329+"h_l!$e["</f>
        <v>#VALUE!</v>
      </c>
      <c r="GW53" t="e">
        <f>'SurveyRpt_20150223 (1)'!AE329+"h_l!$e\"</f>
        <v>#VALUE!</v>
      </c>
      <c r="GX53" t="e">
        <f>'SurveyRpt_20150223 (1)'!AF329+"h_l!$e]"</f>
        <v>#VALUE!</v>
      </c>
      <c r="GY53" t="e">
        <f>'SurveyRpt_20150223 (1)'!AG329+"h_l!$e^"</f>
        <v>#VALUE!</v>
      </c>
      <c r="GZ53" t="e">
        <f>'SurveyRpt_20150223 (1)'!AH329+"h_l!$e_"</f>
        <v>#VALUE!</v>
      </c>
      <c r="HA53" t="e">
        <f>'SurveyRpt_20150223 (1)'!AI329+"h_l!$e`"</f>
        <v>#VALUE!</v>
      </c>
      <c r="HB53" t="e">
        <f>'SurveyRpt_20150223 (1)'!AJ329+"h_l!$ea"</f>
        <v>#VALUE!</v>
      </c>
      <c r="HC53" t="e">
        <f>'SurveyRpt_20150223 (1)'!AK329+"h_l!$eb"</f>
        <v>#VALUE!</v>
      </c>
      <c r="HD53" t="e">
        <f>'SurveyRpt_20150223 (1)'!AL329+"h_l!$ec"</f>
        <v>#VALUE!</v>
      </c>
      <c r="HE53" t="e">
        <f>'SurveyRpt_20150223 (1)'!AM329+"h_l!$ed"</f>
        <v>#VALUE!</v>
      </c>
      <c r="HF53" t="e">
        <f>'SurveyRpt_20150223 (1)'!AN329+"h_l!$ee"</f>
        <v>#VALUE!</v>
      </c>
      <c r="HG53" t="e">
        <f>'SurveyRpt_20150223 (1)'!A330+"h_l!$ef"</f>
        <v>#VALUE!</v>
      </c>
      <c r="HH53" s="25" t="e">
        <f>'SurveyRpt_20150223 (1)'!B330+"h_l!$eg"</f>
        <v>#VALUE!</v>
      </c>
      <c r="HI53" t="e">
        <f>'SurveyRpt_20150223 (1)'!C330+"h_l!$eh"</f>
        <v>#VALUE!</v>
      </c>
      <c r="HJ53" s="25" t="e">
        <f>'SurveyRpt_20150223 (1)'!D330+"h_l!$ei"</f>
        <v>#VALUE!</v>
      </c>
      <c r="HK53" t="e">
        <f>'SurveyRpt_20150223 (1)'!E330+"h_l!$ej"</f>
        <v>#VALUE!</v>
      </c>
      <c r="HL53" t="e">
        <f>'SurveyRpt_20150223 (1)'!F330+"h_l!$ek"</f>
        <v>#VALUE!</v>
      </c>
      <c r="HM53" t="e">
        <f>'SurveyRpt_20150223 (1)'!G330+"h_l!$el"</f>
        <v>#VALUE!</v>
      </c>
      <c r="HN53" t="e">
        <f>'SurveyRpt_20150223 (1)'!H330+"h_l!$em"</f>
        <v>#VALUE!</v>
      </c>
      <c r="HO53" t="e">
        <f>'SurveyRpt_20150223 (1)'!I330+"h_l!$en"</f>
        <v>#VALUE!</v>
      </c>
      <c r="HP53" t="e">
        <f>'SurveyRpt_20150223 (1)'!J330+"h_l!$eo"</f>
        <v>#VALUE!</v>
      </c>
      <c r="HQ53" t="e">
        <f>'SurveyRpt_20150223 (1)'!K330+"h_l!$ep"</f>
        <v>#VALUE!</v>
      </c>
      <c r="HR53" t="e">
        <f>'SurveyRpt_20150223 (1)'!L330+"h_l!$eq"</f>
        <v>#VALUE!</v>
      </c>
      <c r="HS53" t="e">
        <f>'SurveyRpt_20150223 (1)'!M330+"h_l!$er"</f>
        <v>#VALUE!</v>
      </c>
      <c r="HT53" t="e">
        <f>'SurveyRpt_20150223 (1)'!N330+"h_l!$es"</f>
        <v>#VALUE!</v>
      </c>
      <c r="HU53" t="e">
        <f>'SurveyRpt_20150223 (1)'!O330+"h_l!$et"</f>
        <v>#VALUE!</v>
      </c>
      <c r="HV53" t="e">
        <f>'SurveyRpt_20150223 (1)'!P330+"h_l!$eu"</f>
        <v>#VALUE!</v>
      </c>
      <c r="HW53" t="e">
        <f>'SurveyRpt_20150223 (1)'!Q330+"h_l!$ev"</f>
        <v>#VALUE!</v>
      </c>
      <c r="HX53" t="e">
        <f>'SurveyRpt_20150223 (1)'!R330+"h_l!$ew"</f>
        <v>#VALUE!</v>
      </c>
      <c r="HY53" t="e">
        <f>'SurveyRpt_20150223 (1)'!S330+"h_l!$ex"</f>
        <v>#VALUE!</v>
      </c>
      <c r="HZ53" t="e">
        <f>'SurveyRpt_20150223 (1)'!T330+"h_l!$ey"</f>
        <v>#VALUE!</v>
      </c>
      <c r="IA53" t="e">
        <f>'SurveyRpt_20150223 (1)'!U330+"h_l!$ez"</f>
        <v>#VALUE!</v>
      </c>
      <c r="IB53" t="e">
        <f>'SurveyRpt_20150223 (1)'!V330+"h_l!$e{"</f>
        <v>#VALUE!</v>
      </c>
      <c r="IC53" t="e">
        <f>'SurveyRpt_20150223 (1)'!W330+"h_l!$e|"</f>
        <v>#VALUE!</v>
      </c>
      <c r="ID53" t="e">
        <f>'SurveyRpt_20150223 (1)'!X330+"h_l!$e}"</f>
        <v>#VALUE!</v>
      </c>
      <c r="IE53" t="e">
        <f>'SurveyRpt_20150223 (1)'!Y330+"h_l!$e~"</f>
        <v>#VALUE!</v>
      </c>
      <c r="IF53" t="e">
        <f>'SurveyRpt_20150223 (1)'!Z330+"h_l!$f#"</f>
        <v>#VALUE!</v>
      </c>
      <c r="IG53" t="e">
        <f>'SurveyRpt_20150223 (1)'!AA330+"h_l!$f$"</f>
        <v>#VALUE!</v>
      </c>
      <c r="IH53" t="e">
        <f>'SurveyRpt_20150223 (1)'!AB330+"h_l!$f%"</f>
        <v>#VALUE!</v>
      </c>
      <c r="II53" t="e">
        <f>'SurveyRpt_20150223 (1)'!AC330+"h_l!$f&amp;"</f>
        <v>#VALUE!</v>
      </c>
      <c r="IJ53" t="e">
        <f>'SurveyRpt_20150223 (1)'!AD330+"h_l!$f'"</f>
        <v>#VALUE!</v>
      </c>
      <c r="IK53" t="e">
        <f>'SurveyRpt_20150223 (1)'!AE330+"h_l!$f("</f>
        <v>#VALUE!</v>
      </c>
      <c r="IL53" t="e">
        <f>'SurveyRpt_20150223 (1)'!AF330+"h_l!$f)"</f>
        <v>#VALUE!</v>
      </c>
      <c r="IM53" t="e">
        <f>'SurveyRpt_20150223 (1)'!AG330+"h_l!$f."</f>
        <v>#VALUE!</v>
      </c>
      <c r="IN53" t="e">
        <f>'SurveyRpt_20150223 (1)'!AH330+"h_l!$f/"</f>
        <v>#VALUE!</v>
      </c>
      <c r="IO53" t="e">
        <f>'SurveyRpt_20150223 (1)'!AI330+"h_l!$f0"</f>
        <v>#VALUE!</v>
      </c>
      <c r="IP53" t="e">
        <f>'SurveyRpt_20150223 (1)'!AJ330+"h_l!$f1"</f>
        <v>#VALUE!</v>
      </c>
      <c r="IQ53" t="e">
        <f>'SurveyRpt_20150223 (1)'!AK330+"h_l!$f2"</f>
        <v>#VALUE!</v>
      </c>
      <c r="IR53" t="e">
        <f>'SurveyRpt_20150223 (1)'!AL330+"h_l!$f3"</f>
        <v>#VALUE!</v>
      </c>
      <c r="IS53" t="e">
        <f>'SurveyRpt_20150223 (1)'!AM330+"h_l!$f4"</f>
        <v>#VALUE!</v>
      </c>
      <c r="IT53" t="e">
        <f>'SurveyRpt_20150223 (1)'!AN330+"h_l!$f5"</f>
        <v>#VALUE!</v>
      </c>
      <c r="IU53" t="e">
        <f>'SurveyRpt_20150223 (1)'!A331+"h_l!$f6"</f>
        <v>#VALUE!</v>
      </c>
      <c r="IV53" s="25" t="e">
        <f>'SurveyRpt_20150223 (1)'!B331+"h_l!$f7"</f>
        <v>#VALUE!</v>
      </c>
    </row>
    <row r="54" spans="6:256" x14ac:dyDescent="0.25">
      <c r="F54" t="e">
        <f>'SurveyRpt_20150223 (1)'!C331+"h_l!$f8"</f>
        <v>#VALUE!</v>
      </c>
      <c r="G54" s="25" t="e">
        <f>'SurveyRpt_20150223 (1)'!D331+"h_l!$f9"</f>
        <v>#VALUE!</v>
      </c>
      <c r="H54" t="e">
        <f>'SurveyRpt_20150223 (1)'!E331+"h_l!$f:"</f>
        <v>#VALUE!</v>
      </c>
      <c r="I54" t="e">
        <f>'SurveyRpt_20150223 (1)'!F331+"h_l!$f;"</f>
        <v>#VALUE!</v>
      </c>
      <c r="J54" t="e">
        <f>'SurveyRpt_20150223 (1)'!G331+"h_l!$f&lt;"</f>
        <v>#VALUE!</v>
      </c>
      <c r="K54" t="e">
        <f>'SurveyRpt_20150223 (1)'!H331+"h_l!$f="</f>
        <v>#VALUE!</v>
      </c>
      <c r="L54" t="e">
        <f>'SurveyRpt_20150223 (1)'!I331+"h_l!$f&gt;"</f>
        <v>#VALUE!</v>
      </c>
      <c r="M54" t="e">
        <f>'SurveyRpt_20150223 (1)'!J331+"h_l!$f?"</f>
        <v>#VALUE!</v>
      </c>
      <c r="N54" t="e">
        <f>'SurveyRpt_20150223 (1)'!K331+"h_l!$f@"</f>
        <v>#VALUE!</v>
      </c>
      <c r="O54" t="e">
        <f>'SurveyRpt_20150223 (1)'!L331+"h_l!$fA"</f>
        <v>#VALUE!</v>
      </c>
      <c r="P54" t="e">
        <f>'SurveyRpt_20150223 (1)'!M331+"h_l!$fB"</f>
        <v>#VALUE!</v>
      </c>
      <c r="Q54" t="e">
        <f>'SurveyRpt_20150223 (1)'!N331+"h_l!$fC"</f>
        <v>#VALUE!</v>
      </c>
      <c r="R54" t="e">
        <f>'SurveyRpt_20150223 (1)'!O331+"h_l!$fD"</f>
        <v>#VALUE!</v>
      </c>
      <c r="S54" t="e">
        <f>'SurveyRpt_20150223 (1)'!P331+"h_l!$fE"</f>
        <v>#VALUE!</v>
      </c>
      <c r="T54" t="e">
        <f>'SurveyRpt_20150223 (1)'!Q331+"h_l!$fF"</f>
        <v>#VALUE!</v>
      </c>
      <c r="U54" t="e">
        <f>'SurveyRpt_20150223 (1)'!R331+"h_l!$fG"</f>
        <v>#VALUE!</v>
      </c>
      <c r="V54" t="e">
        <f>'SurveyRpt_20150223 (1)'!S331+"h_l!$fH"</f>
        <v>#VALUE!</v>
      </c>
      <c r="W54" t="e">
        <f>'SurveyRpt_20150223 (1)'!T331+"h_l!$fI"</f>
        <v>#VALUE!</v>
      </c>
      <c r="X54" t="e">
        <f>'SurveyRpt_20150223 (1)'!U331+"h_l!$fJ"</f>
        <v>#VALUE!</v>
      </c>
      <c r="Y54" t="e">
        <f>'SurveyRpt_20150223 (1)'!V331+"h_l!$fK"</f>
        <v>#VALUE!</v>
      </c>
      <c r="Z54" t="e">
        <f>'SurveyRpt_20150223 (1)'!W331+"h_l!$fL"</f>
        <v>#VALUE!</v>
      </c>
      <c r="AA54" t="e">
        <f>'SurveyRpt_20150223 (1)'!X331+"h_l!$fM"</f>
        <v>#VALUE!</v>
      </c>
      <c r="AB54" t="e">
        <f>'SurveyRpt_20150223 (1)'!Y331+"h_l!$fN"</f>
        <v>#VALUE!</v>
      </c>
      <c r="AC54" t="e">
        <f>'SurveyRpt_20150223 (1)'!Z331+"h_l!$fO"</f>
        <v>#VALUE!</v>
      </c>
      <c r="AD54" t="e">
        <f>'SurveyRpt_20150223 (1)'!AA331+"h_l!$fP"</f>
        <v>#VALUE!</v>
      </c>
      <c r="AE54" t="e">
        <f>'SurveyRpt_20150223 (1)'!AB331+"h_l!$fQ"</f>
        <v>#VALUE!</v>
      </c>
      <c r="AF54" t="e">
        <f>'SurveyRpt_20150223 (1)'!AC331+"h_l!$fR"</f>
        <v>#VALUE!</v>
      </c>
      <c r="AG54" t="e">
        <f>'SurveyRpt_20150223 (1)'!AD331+"h_l!$fS"</f>
        <v>#VALUE!</v>
      </c>
      <c r="AH54" t="e">
        <f>'SurveyRpt_20150223 (1)'!AE331+"h_l!$fT"</f>
        <v>#VALUE!</v>
      </c>
      <c r="AI54" t="e">
        <f>'SurveyRpt_20150223 (1)'!AF331+"h_l!$fU"</f>
        <v>#VALUE!</v>
      </c>
      <c r="AJ54" t="e">
        <f>'SurveyRpt_20150223 (1)'!AG331+"h_l!$fV"</f>
        <v>#VALUE!</v>
      </c>
      <c r="AK54" t="e">
        <f>'SurveyRpt_20150223 (1)'!AH331+"h_l!$fW"</f>
        <v>#VALUE!</v>
      </c>
      <c r="AL54" t="e">
        <f>'SurveyRpt_20150223 (1)'!AI331+"h_l!$fX"</f>
        <v>#VALUE!</v>
      </c>
      <c r="AM54" t="e">
        <f>'SurveyRpt_20150223 (1)'!AJ331+"h_l!$fY"</f>
        <v>#VALUE!</v>
      </c>
      <c r="AN54" t="e">
        <f>'SurveyRpt_20150223 (1)'!AK331+"h_l!$fZ"</f>
        <v>#VALUE!</v>
      </c>
      <c r="AO54" t="e">
        <f>'SurveyRpt_20150223 (1)'!AL331+"h_l!$f["</f>
        <v>#VALUE!</v>
      </c>
      <c r="AP54" t="e">
        <f>'SurveyRpt_20150223 (1)'!AM331+"h_l!$f\"</f>
        <v>#VALUE!</v>
      </c>
      <c r="AQ54" t="e">
        <f>'SurveyRpt_20150223 (1)'!AN331+"h_l!$f]"</f>
        <v>#VALUE!</v>
      </c>
      <c r="AR54" t="e">
        <f>'SurveyRpt_20150223 (1)'!A332+"h_l!$f^"</f>
        <v>#VALUE!</v>
      </c>
      <c r="AS54" s="25" t="e">
        <f>'SurveyRpt_20150223 (1)'!B332+"h_l!$f_"</f>
        <v>#VALUE!</v>
      </c>
      <c r="AT54" t="e">
        <f>'SurveyRpt_20150223 (1)'!C332+"h_l!$f`"</f>
        <v>#VALUE!</v>
      </c>
      <c r="AU54" s="25" t="e">
        <f>'SurveyRpt_20150223 (1)'!D332+"h_l!$fa"</f>
        <v>#VALUE!</v>
      </c>
      <c r="AV54" t="e">
        <f>'SurveyRpt_20150223 (1)'!E332+"h_l!$fb"</f>
        <v>#VALUE!</v>
      </c>
      <c r="AW54" t="e">
        <f>'SurveyRpt_20150223 (1)'!F332+"h_l!$fc"</f>
        <v>#VALUE!</v>
      </c>
      <c r="AX54" t="e">
        <f>'SurveyRpt_20150223 (1)'!G332+"h_l!$fd"</f>
        <v>#VALUE!</v>
      </c>
      <c r="AY54" t="e">
        <f>'SurveyRpt_20150223 (1)'!H332+"h_l!$fe"</f>
        <v>#VALUE!</v>
      </c>
      <c r="AZ54" t="e">
        <f>'SurveyRpt_20150223 (1)'!I332+"h_l!$ff"</f>
        <v>#VALUE!</v>
      </c>
      <c r="BA54" t="e">
        <f>'SurveyRpt_20150223 (1)'!J332+"h_l!$fg"</f>
        <v>#VALUE!</v>
      </c>
      <c r="BB54" t="e">
        <f>'SurveyRpt_20150223 (1)'!K332+"h_l!$fh"</f>
        <v>#VALUE!</v>
      </c>
      <c r="BC54" t="e">
        <f>'SurveyRpt_20150223 (1)'!L332+"h_l!$fi"</f>
        <v>#VALUE!</v>
      </c>
      <c r="BD54" t="e">
        <f>'SurveyRpt_20150223 (1)'!M332+"h_l!$fj"</f>
        <v>#VALUE!</v>
      </c>
      <c r="BE54" t="e">
        <f>'SurveyRpt_20150223 (1)'!N332+"h_l!$fk"</f>
        <v>#VALUE!</v>
      </c>
      <c r="BF54" t="e">
        <f>'SurveyRpt_20150223 (1)'!O332+"h_l!$fl"</f>
        <v>#VALUE!</v>
      </c>
      <c r="BG54" t="e">
        <f>'SurveyRpt_20150223 (1)'!P332+"h_l!$fm"</f>
        <v>#VALUE!</v>
      </c>
      <c r="BH54" t="e">
        <f>'SurveyRpt_20150223 (1)'!Q332+"h_l!$fn"</f>
        <v>#VALUE!</v>
      </c>
      <c r="BI54" t="e">
        <f>'SurveyRpt_20150223 (1)'!R332+"h_l!$fo"</f>
        <v>#VALUE!</v>
      </c>
      <c r="BJ54" t="e">
        <f>'SurveyRpt_20150223 (1)'!S332+"h_l!$fp"</f>
        <v>#VALUE!</v>
      </c>
      <c r="BK54" t="e">
        <f>'SurveyRpt_20150223 (1)'!T332+"h_l!$fq"</f>
        <v>#VALUE!</v>
      </c>
      <c r="BL54" t="e">
        <f>'SurveyRpt_20150223 (1)'!U332+"h_l!$fr"</f>
        <v>#VALUE!</v>
      </c>
      <c r="BM54" t="e">
        <f>'SurveyRpt_20150223 (1)'!V332+"h_l!$fs"</f>
        <v>#VALUE!</v>
      </c>
      <c r="BN54" t="e">
        <f>'SurveyRpt_20150223 (1)'!W332+"h_l!$ft"</f>
        <v>#VALUE!</v>
      </c>
      <c r="BO54" t="e">
        <f>'SurveyRpt_20150223 (1)'!X332+"h_l!$fu"</f>
        <v>#VALUE!</v>
      </c>
      <c r="BP54" t="e">
        <f>'SurveyRpt_20150223 (1)'!Y332+"h_l!$fv"</f>
        <v>#VALUE!</v>
      </c>
      <c r="BQ54" t="e">
        <f>'SurveyRpt_20150223 (1)'!Z332+"h_l!$fw"</f>
        <v>#VALUE!</v>
      </c>
      <c r="BR54" t="e">
        <f>'SurveyRpt_20150223 (1)'!AA332+"h_l!$fx"</f>
        <v>#VALUE!</v>
      </c>
      <c r="BS54" t="e">
        <f>'SurveyRpt_20150223 (1)'!AB332+"h_l!$fy"</f>
        <v>#VALUE!</v>
      </c>
      <c r="BT54" t="e">
        <f>'SurveyRpt_20150223 (1)'!AC332+"h_l!$fz"</f>
        <v>#VALUE!</v>
      </c>
      <c r="BU54" t="e">
        <f>'SurveyRpt_20150223 (1)'!AD332+"h_l!$f{"</f>
        <v>#VALUE!</v>
      </c>
      <c r="BV54" t="e">
        <f>'SurveyRpt_20150223 (1)'!AE332+"h_l!$f|"</f>
        <v>#VALUE!</v>
      </c>
      <c r="BW54" t="e">
        <f>'SurveyRpt_20150223 (1)'!AF332+"h_l!$f}"</f>
        <v>#VALUE!</v>
      </c>
      <c r="BX54" t="e">
        <f>'SurveyRpt_20150223 (1)'!AG332+"h_l!$f~"</f>
        <v>#VALUE!</v>
      </c>
      <c r="BY54" t="e">
        <f>'SurveyRpt_20150223 (1)'!AH332+"h_l!$g#"</f>
        <v>#VALUE!</v>
      </c>
      <c r="BZ54" t="e">
        <f>'SurveyRpt_20150223 (1)'!AI332+"h_l!$g$"</f>
        <v>#VALUE!</v>
      </c>
      <c r="CA54" t="e">
        <f>'SurveyRpt_20150223 (1)'!AJ332+"h_l!$g%"</f>
        <v>#VALUE!</v>
      </c>
      <c r="CB54" t="e">
        <f>'SurveyRpt_20150223 (1)'!AK332+"h_l!$g&amp;"</f>
        <v>#VALUE!</v>
      </c>
      <c r="CC54" t="e">
        <f>'SurveyRpt_20150223 (1)'!AL332+"h_l!$g'"</f>
        <v>#VALUE!</v>
      </c>
      <c r="CD54" t="e">
        <f>'SurveyRpt_20150223 (1)'!AM332+"h_l!$g("</f>
        <v>#VALUE!</v>
      </c>
      <c r="CE54" t="e">
        <f>'SurveyRpt_20150223 (1)'!AN332+"h_l!$g)"</f>
        <v>#VALUE!</v>
      </c>
      <c r="CF54" t="e">
        <f>'SurveyRpt_20150223 (1)'!A333+"h_l!$g."</f>
        <v>#VALUE!</v>
      </c>
      <c r="CG54" s="25" t="e">
        <f>'SurveyRpt_20150223 (1)'!B333+"h_l!$g/"</f>
        <v>#VALUE!</v>
      </c>
      <c r="CH54" t="e">
        <f>'SurveyRpt_20150223 (1)'!C333+"h_l!$g0"</f>
        <v>#VALUE!</v>
      </c>
      <c r="CI54" s="25" t="e">
        <f>'SurveyRpt_20150223 (1)'!D333+"h_l!$g1"</f>
        <v>#VALUE!</v>
      </c>
      <c r="CJ54" t="e">
        <f>'SurveyRpt_20150223 (1)'!E333+"h_l!$g2"</f>
        <v>#VALUE!</v>
      </c>
      <c r="CK54" t="e">
        <f>'SurveyRpt_20150223 (1)'!F333+"h_l!$g3"</f>
        <v>#VALUE!</v>
      </c>
      <c r="CL54" t="e">
        <f>'SurveyRpt_20150223 (1)'!G333+"h_l!$g4"</f>
        <v>#VALUE!</v>
      </c>
      <c r="CM54" t="e">
        <f>'SurveyRpt_20150223 (1)'!H333+"h_l!$g5"</f>
        <v>#VALUE!</v>
      </c>
      <c r="CN54" t="e">
        <f>'SurveyRpt_20150223 (1)'!I333+"h_l!$g6"</f>
        <v>#VALUE!</v>
      </c>
      <c r="CO54" t="e">
        <f>'SurveyRpt_20150223 (1)'!J333+"h_l!$g7"</f>
        <v>#VALUE!</v>
      </c>
      <c r="CP54" t="e">
        <f>'SurveyRpt_20150223 (1)'!K333+"h_l!$g8"</f>
        <v>#VALUE!</v>
      </c>
      <c r="CQ54" t="e">
        <f>'SurveyRpt_20150223 (1)'!L333+"h_l!$g9"</f>
        <v>#VALUE!</v>
      </c>
      <c r="CR54" t="e">
        <f>'SurveyRpt_20150223 (1)'!M333+"h_l!$g:"</f>
        <v>#VALUE!</v>
      </c>
      <c r="CS54" t="e">
        <f>'SurveyRpt_20150223 (1)'!N333+"h_l!$g;"</f>
        <v>#VALUE!</v>
      </c>
      <c r="CT54" t="e">
        <f>'SurveyRpt_20150223 (1)'!O333+"h_l!$g&lt;"</f>
        <v>#VALUE!</v>
      </c>
      <c r="CU54" t="e">
        <f>'SurveyRpt_20150223 (1)'!P333+"h_l!$g="</f>
        <v>#VALUE!</v>
      </c>
      <c r="CV54" t="e">
        <f>'SurveyRpt_20150223 (1)'!Q333+"h_l!$g&gt;"</f>
        <v>#VALUE!</v>
      </c>
      <c r="CW54" t="e">
        <f>'SurveyRpt_20150223 (1)'!R333+"h_l!$g?"</f>
        <v>#VALUE!</v>
      </c>
      <c r="CX54" t="e">
        <f>'SurveyRpt_20150223 (1)'!S333+"h_l!$g@"</f>
        <v>#VALUE!</v>
      </c>
      <c r="CY54" t="e">
        <f>'SurveyRpt_20150223 (1)'!T333+"h_l!$gA"</f>
        <v>#VALUE!</v>
      </c>
      <c r="CZ54" t="e">
        <f>'SurveyRpt_20150223 (1)'!U333+"h_l!$gB"</f>
        <v>#VALUE!</v>
      </c>
      <c r="DA54" t="e">
        <f>'SurveyRpt_20150223 (1)'!V333+"h_l!$gC"</f>
        <v>#VALUE!</v>
      </c>
      <c r="DB54" t="e">
        <f>'SurveyRpt_20150223 (1)'!W333+"h_l!$gD"</f>
        <v>#VALUE!</v>
      </c>
      <c r="DC54" t="e">
        <f>'SurveyRpt_20150223 (1)'!X333+"h_l!$gE"</f>
        <v>#VALUE!</v>
      </c>
      <c r="DD54" t="e">
        <f>'SurveyRpt_20150223 (1)'!Y333+"h_l!$gF"</f>
        <v>#VALUE!</v>
      </c>
      <c r="DE54" t="e">
        <f>'SurveyRpt_20150223 (1)'!Z333+"h_l!$gG"</f>
        <v>#VALUE!</v>
      </c>
      <c r="DF54" t="e">
        <f>'SurveyRpt_20150223 (1)'!AA333+"h_l!$gH"</f>
        <v>#VALUE!</v>
      </c>
      <c r="DG54" t="e">
        <f>'SurveyRpt_20150223 (1)'!AB333+"h_l!$gI"</f>
        <v>#VALUE!</v>
      </c>
      <c r="DH54" t="e">
        <f>'SurveyRpt_20150223 (1)'!AC333+"h_l!$gJ"</f>
        <v>#VALUE!</v>
      </c>
      <c r="DI54" t="e">
        <f>'SurveyRpt_20150223 (1)'!AD333+"h_l!$gK"</f>
        <v>#VALUE!</v>
      </c>
      <c r="DJ54" t="e">
        <f>'SurveyRpt_20150223 (1)'!AE333+"h_l!$gL"</f>
        <v>#VALUE!</v>
      </c>
      <c r="DK54" t="e">
        <f>'SurveyRpt_20150223 (1)'!AF333+"h_l!$gM"</f>
        <v>#VALUE!</v>
      </c>
      <c r="DL54" t="e">
        <f>'SurveyRpt_20150223 (1)'!AG333+"h_l!$gN"</f>
        <v>#VALUE!</v>
      </c>
      <c r="DM54" t="e">
        <f>'SurveyRpt_20150223 (1)'!AH333+"h_l!$gO"</f>
        <v>#VALUE!</v>
      </c>
      <c r="DN54" t="e">
        <f>'SurveyRpt_20150223 (1)'!AI333+"h_l!$gP"</f>
        <v>#VALUE!</v>
      </c>
      <c r="DO54" t="e">
        <f>'SurveyRpt_20150223 (1)'!AJ333+"h_l!$gQ"</f>
        <v>#VALUE!</v>
      </c>
      <c r="DP54" t="e">
        <f>'SurveyRpt_20150223 (1)'!AK333+"h_l!$gR"</f>
        <v>#VALUE!</v>
      </c>
      <c r="DQ54" t="e">
        <f>'SurveyRpt_20150223 (1)'!AL333+"h_l!$gS"</f>
        <v>#VALUE!</v>
      </c>
      <c r="DR54" t="e">
        <f>'SurveyRpt_20150223 (1)'!AM333+"h_l!$gT"</f>
        <v>#VALUE!</v>
      </c>
      <c r="DS54" t="e">
        <f>'SurveyRpt_20150223 (1)'!AN333+"h_l!$gU"</f>
        <v>#VALUE!</v>
      </c>
      <c r="DT54" t="e">
        <f>'SurveyRpt_20150223 (1)'!A334+"h_l!$gV"</f>
        <v>#VALUE!</v>
      </c>
      <c r="DU54" s="25" t="e">
        <f>'SurveyRpt_20150223 (1)'!B334+"h_l!$gW"</f>
        <v>#VALUE!</v>
      </c>
      <c r="DV54" t="e">
        <f>'SurveyRpt_20150223 (1)'!C334+"h_l!$gX"</f>
        <v>#VALUE!</v>
      </c>
      <c r="DW54" s="25" t="e">
        <f>'SurveyRpt_20150223 (1)'!D334+"h_l!$gY"</f>
        <v>#VALUE!</v>
      </c>
      <c r="DX54" t="e">
        <f>'SurveyRpt_20150223 (1)'!E334+"h_l!$gZ"</f>
        <v>#VALUE!</v>
      </c>
      <c r="DY54" t="e">
        <f>'SurveyRpt_20150223 (1)'!F334+"h_l!$g["</f>
        <v>#VALUE!</v>
      </c>
      <c r="DZ54" t="e">
        <f>'SurveyRpt_20150223 (1)'!G334+"h_l!$g\"</f>
        <v>#VALUE!</v>
      </c>
      <c r="EA54" t="e">
        <f>'SurveyRpt_20150223 (1)'!H334+"h_l!$g]"</f>
        <v>#VALUE!</v>
      </c>
      <c r="EB54" t="e">
        <f>'SurveyRpt_20150223 (1)'!I334+"h_l!$g^"</f>
        <v>#VALUE!</v>
      </c>
      <c r="EC54" t="e">
        <f>'SurveyRpt_20150223 (1)'!J334+"h_l!$g_"</f>
        <v>#VALUE!</v>
      </c>
      <c r="ED54" t="e">
        <f>'SurveyRpt_20150223 (1)'!K334+"h_l!$g`"</f>
        <v>#VALUE!</v>
      </c>
      <c r="EE54" t="e">
        <f>'SurveyRpt_20150223 (1)'!L334+"h_l!$ga"</f>
        <v>#VALUE!</v>
      </c>
      <c r="EF54" t="e">
        <f>'SurveyRpt_20150223 (1)'!M334+"h_l!$gb"</f>
        <v>#VALUE!</v>
      </c>
      <c r="EG54" t="e">
        <f>'SurveyRpt_20150223 (1)'!N334+"h_l!$gc"</f>
        <v>#VALUE!</v>
      </c>
      <c r="EH54" t="e">
        <f>'SurveyRpt_20150223 (1)'!O334+"h_l!$gd"</f>
        <v>#VALUE!</v>
      </c>
      <c r="EI54" t="e">
        <f>'SurveyRpt_20150223 (1)'!P334+"h_l!$ge"</f>
        <v>#VALUE!</v>
      </c>
      <c r="EJ54" t="e">
        <f>'SurveyRpt_20150223 (1)'!Q334+"h_l!$gf"</f>
        <v>#VALUE!</v>
      </c>
      <c r="EK54" t="e">
        <f>'SurveyRpt_20150223 (1)'!R334+"h_l!$gg"</f>
        <v>#VALUE!</v>
      </c>
      <c r="EL54" t="e">
        <f>'SurveyRpt_20150223 (1)'!S334+"h_l!$gh"</f>
        <v>#VALUE!</v>
      </c>
      <c r="EM54" t="e">
        <f>'SurveyRpt_20150223 (1)'!T334+"h_l!$gi"</f>
        <v>#VALUE!</v>
      </c>
      <c r="EN54" t="e">
        <f>'SurveyRpt_20150223 (1)'!U334+"h_l!$gj"</f>
        <v>#VALUE!</v>
      </c>
      <c r="EO54" t="e">
        <f>'SurveyRpt_20150223 (1)'!V334+"h_l!$gk"</f>
        <v>#VALUE!</v>
      </c>
      <c r="EP54" t="e">
        <f>'SurveyRpt_20150223 (1)'!W334+"h_l!$gl"</f>
        <v>#VALUE!</v>
      </c>
      <c r="EQ54" t="e">
        <f>'SurveyRpt_20150223 (1)'!X334+"h_l!$gm"</f>
        <v>#VALUE!</v>
      </c>
      <c r="ER54" t="e">
        <f>'SurveyRpt_20150223 (1)'!Y334+"h_l!$gn"</f>
        <v>#VALUE!</v>
      </c>
      <c r="ES54" t="e">
        <f>'SurveyRpt_20150223 (1)'!Z334+"h_l!$go"</f>
        <v>#VALUE!</v>
      </c>
      <c r="ET54" t="e">
        <f>'SurveyRpt_20150223 (1)'!AA334+"h_l!$gp"</f>
        <v>#VALUE!</v>
      </c>
      <c r="EU54" t="e">
        <f>'SurveyRpt_20150223 (1)'!AB334+"h_l!$gq"</f>
        <v>#VALUE!</v>
      </c>
      <c r="EV54" t="e">
        <f>'SurveyRpt_20150223 (1)'!AC334+"h_l!$gr"</f>
        <v>#VALUE!</v>
      </c>
      <c r="EW54" t="e">
        <f>'SurveyRpt_20150223 (1)'!AD334+"h_l!$gs"</f>
        <v>#VALUE!</v>
      </c>
      <c r="EX54" t="e">
        <f>'SurveyRpt_20150223 (1)'!AE334+"h_l!$gt"</f>
        <v>#VALUE!</v>
      </c>
      <c r="EY54" t="e">
        <f>'SurveyRpt_20150223 (1)'!AF334+"h_l!$gu"</f>
        <v>#VALUE!</v>
      </c>
      <c r="EZ54" t="e">
        <f>'SurveyRpt_20150223 (1)'!AG334+"h_l!$gv"</f>
        <v>#VALUE!</v>
      </c>
      <c r="FA54" t="e">
        <f>'SurveyRpt_20150223 (1)'!AH334+"h_l!$gw"</f>
        <v>#VALUE!</v>
      </c>
      <c r="FB54" t="e">
        <f>'SurveyRpt_20150223 (1)'!AI334+"h_l!$gx"</f>
        <v>#VALUE!</v>
      </c>
      <c r="FC54" t="e">
        <f>'SurveyRpt_20150223 (1)'!AJ334+"h_l!$gy"</f>
        <v>#VALUE!</v>
      </c>
      <c r="FD54" t="e">
        <f>'SurveyRpt_20150223 (1)'!AK334+"h_l!$gz"</f>
        <v>#VALUE!</v>
      </c>
      <c r="FE54" t="e">
        <f>'SurveyRpt_20150223 (1)'!AL334+"h_l!$g{"</f>
        <v>#VALUE!</v>
      </c>
      <c r="FF54" t="e">
        <f>'SurveyRpt_20150223 (1)'!AM334+"h_l!$g|"</f>
        <v>#VALUE!</v>
      </c>
      <c r="FG54" t="e">
        <f>'SurveyRpt_20150223 (1)'!AN334+"h_l!$g}"</f>
        <v>#VALUE!</v>
      </c>
      <c r="FH54" t="e">
        <f>'SurveyRpt_20150223 (1)'!A335+"h_l!$g~"</f>
        <v>#VALUE!</v>
      </c>
      <c r="FI54" s="25" t="e">
        <f>'SurveyRpt_20150223 (1)'!B335+"h_l!$h#"</f>
        <v>#VALUE!</v>
      </c>
      <c r="FJ54" t="e">
        <f>'SurveyRpt_20150223 (1)'!C335+"h_l!$h$"</f>
        <v>#VALUE!</v>
      </c>
      <c r="FK54" s="25" t="e">
        <f>'SurveyRpt_20150223 (1)'!D335+"h_l!$h%"</f>
        <v>#VALUE!</v>
      </c>
      <c r="FL54" t="e">
        <f>'SurveyRpt_20150223 (1)'!E335+"h_l!$h&amp;"</f>
        <v>#VALUE!</v>
      </c>
      <c r="FM54" t="e">
        <f>'SurveyRpt_20150223 (1)'!F335+"h_l!$h'"</f>
        <v>#VALUE!</v>
      </c>
      <c r="FN54" t="e">
        <f>'SurveyRpt_20150223 (1)'!G335+"h_l!$h("</f>
        <v>#VALUE!</v>
      </c>
      <c r="FO54" t="e">
        <f>'SurveyRpt_20150223 (1)'!H335+"h_l!$h)"</f>
        <v>#VALUE!</v>
      </c>
      <c r="FP54" t="e">
        <f>'SurveyRpt_20150223 (1)'!I335+"h_l!$h."</f>
        <v>#VALUE!</v>
      </c>
      <c r="FQ54" t="e">
        <f>'SurveyRpt_20150223 (1)'!J335+"h_l!$h/"</f>
        <v>#VALUE!</v>
      </c>
      <c r="FR54" t="e">
        <f>'SurveyRpt_20150223 (1)'!K335+"h_l!$h0"</f>
        <v>#VALUE!</v>
      </c>
      <c r="FS54" t="e">
        <f>'SurveyRpt_20150223 (1)'!L335+"h_l!$h1"</f>
        <v>#VALUE!</v>
      </c>
      <c r="FT54" t="e">
        <f>'SurveyRpt_20150223 (1)'!M335+"h_l!$h2"</f>
        <v>#VALUE!</v>
      </c>
      <c r="FU54" t="e">
        <f>'SurveyRpt_20150223 (1)'!N335+"h_l!$h3"</f>
        <v>#VALUE!</v>
      </c>
      <c r="FV54" t="e">
        <f>'SurveyRpt_20150223 (1)'!O335+"h_l!$h4"</f>
        <v>#VALUE!</v>
      </c>
      <c r="FW54" t="e">
        <f>'SurveyRpt_20150223 (1)'!P335+"h_l!$h5"</f>
        <v>#VALUE!</v>
      </c>
      <c r="FX54" t="e">
        <f>'SurveyRpt_20150223 (1)'!Q335+"h_l!$h6"</f>
        <v>#VALUE!</v>
      </c>
      <c r="FY54" t="e">
        <f>'SurveyRpt_20150223 (1)'!R335+"h_l!$h7"</f>
        <v>#VALUE!</v>
      </c>
      <c r="FZ54" t="e">
        <f>'SurveyRpt_20150223 (1)'!S335+"h_l!$h8"</f>
        <v>#VALUE!</v>
      </c>
      <c r="GA54" t="e">
        <f>'SurveyRpt_20150223 (1)'!T335+"h_l!$h9"</f>
        <v>#VALUE!</v>
      </c>
      <c r="GB54" t="e">
        <f>'SurveyRpt_20150223 (1)'!U335+"h_l!$h:"</f>
        <v>#VALUE!</v>
      </c>
      <c r="GC54" t="e">
        <f>'SurveyRpt_20150223 (1)'!V335+"h_l!$h;"</f>
        <v>#VALUE!</v>
      </c>
      <c r="GD54" t="e">
        <f>'SurveyRpt_20150223 (1)'!W335+"h_l!$h&lt;"</f>
        <v>#VALUE!</v>
      </c>
      <c r="GE54" t="e">
        <f>'SurveyRpt_20150223 (1)'!X335+"h_l!$h="</f>
        <v>#VALUE!</v>
      </c>
      <c r="GF54" t="e">
        <f>'SurveyRpt_20150223 (1)'!Y335+"h_l!$h&gt;"</f>
        <v>#VALUE!</v>
      </c>
      <c r="GG54" t="e">
        <f>'SurveyRpt_20150223 (1)'!Z335+"h_l!$h?"</f>
        <v>#VALUE!</v>
      </c>
      <c r="GH54" t="e">
        <f>'SurveyRpt_20150223 (1)'!AA335+"h_l!$h@"</f>
        <v>#VALUE!</v>
      </c>
      <c r="GI54" t="e">
        <f>'SurveyRpt_20150223 (1)'!AB335+"h_l!$hA"</f>
        <v>#VALUE!</v>
      </c>
      <c r="GJ54" t="e">
        <f>'SurveyRpt_20150223 (1)'!AC335+"h_l!$hB"</f>
        <v>#VALUE!</v>
      </c>
      <c r="GK54" t="e">
        <f>'SurveyRpt_20150223 (1)'!AD335+"h_l!$hC"</f>
        <v>#VALUE!</v>
      </c>
      <c r="GL54" t="e">
        <f>'SurveyRpt_20150223 (1)'!AE335+"h_l!$hD"</f>
        <v>#VALUE!</v>
      </c>
      <c r="GM54" t="e">
        <f>'SurveyRpt_20150223 (1)'!AF335+"h_l!$hE"</f>
        <v>#VALUE!</v>
      </c>
      <c r="GN54" t="e">
        <f>'SurveyRpt_20150223 (1)'!AG335+"h_l!$hF"</f>
        <v>#VALUE!</v>
      </c>
      <c r="GO54" t="e">
        <f>'SurveyRpt_20150223 (1)'!AH335+"h_l!$hG"</f>
        <v>#VALUE!</v>
      </c>
      <c r="GP54" t="e">
        <f>'SurveyRpt_20150223 (1)'!AI335+"h_l!$hH"</f>
        <v>#VALUE!</v>
      </c>
      <c r="GQ54" t="e">
        <f>'SurveyRpt_20150223 (1)'!AJ335+"h_l!$hI"</f>
        <v>#VALUE!</v>
      </c>
      <c r="GR54" t="e">
        <f>'SurveyRpt_20150223 (1)'!AK335+"h_l!$hJ"</f>
        <v>#VALUE!</v>
      </c>
      <c r="GS54" t="e">
        <f>'SurveyRpt_20150223 (1)'!AL335+"h_l!$hK"</f>
        <v>#VALUE!</v>
      </c>
      <c r="GT54" t="e">
        <f>'SurveyRpt_20150223 (1)'!AM335+"h_l!$hL"</f>
        <v>#VALUE!</v>
      </c>
      <c r="GU54" t="e">
        <f>'SurveyRpt_20150223 (1)'!AN335+"h_l!$hM"</f>
        <v>#VALUE!</v>
      </c>
      <c r="GV54" t="e">
        <f>'SurveyRpt_20150223 (1)'!A336+"h_l!$hN"</f>
        <v>#VALUE!</v>
      </c>
      <c r="GW54" s="25" t="e">
        <f>'SurveyRpt_20150223 (1)'!B336+"h_l!$hO"</f>
        <v>#VALUE!</v>
      </c>
      <c r="GX54" t="e">
        <f>'SurveyRpt_20150223 (1)'!C336+"h_l!$hP"</f>
        <v>#VALUE!</v>
      </c>
      <c r="GY54" s="25" t="e">
        <f>'SurveyRpt_20150223 (1)'!D336+"h_l!$hQ"</f>
        <v>#VALUE!</v>
      </c>
      <c r="GZ54" t="e">
        <f>'SurveyRpt_20150223 (1)'!E336+"h_l!$hR"</f>
        <v>#VALUE!</v>
      </c>
      <c r="HA54" t="e">
        <f>'SurveyRpt_20150223 (1)'!F336+"h_l!$hS"</f>
        <v>#VALUE!</v>
      </c>
      <c r="HB54" t="e">
        <f>'SurveyRpt_20150223 (1)'!G336+"h_l!$hT"</f>
        <v>#VALUE!</v>
      </c>
      <c r="HC54" t="e">
        <f>'SurveyRpt_20150223 (1)'!H336+"h_l!$hU"</f>
        <v>#VALUE!</v>
      </c>
      <c r="HD54" t="e">
        <f>'SurveyRpt_20150223 (1)'!I336+"h_l!$hV"</f>
        <v>#VALUE!</v>
      </c>
      <c r="HE54" t="e">
        <f>'SurveyRpt_20150223 (1)'!J336+"h_l!$hW"</f>
        <v>#VALUE!</v>
      </c>
      <c r="HF54" t="e">
        <f>'SurveyRpt_20150223 (1)'!K336+"h_l!$hX"</f>
        <v>#VALUE!</v>
      </c>
      <c r="HG54" t="e">
        <f>'SurveyRpt_20150223 (1)'!L336+"h_l!$hY"</f>
        <v>#VALUE!</v>
      </c>
      <c r="HH54" t="e">
        <f>'SurveyRpt_20150223 (1)'!M336+"h_l!$hZ"</f>
        <v>#VALUE!</v>
      </c>
      <c r="HI54" t="e">
        <f>'SurveyRpt_20150223 (1)'!N336+"h_l!$h["</f>
        <v>#VALUE!</v>
      </c>
      <c r="HJ54" t="e">
        <f>'SurveyRpt_20150223 (1)'!O336+"h_l!$h\"</f>
        <v>#VALUE!</v>
      </c>
      <c r="HK54" t="e">
        <f>'SurveyRpt_20150223 (1)'!P336+"h_l!$h]"</f>
        <v>#VALUE!</v>
      </c>
      <c r="HL54" t="e">
        <f>'SurveyRpt_20150223 (1)'!Q336+"h_l!$h^"</f>
        <v>#VALUE!</v>
      </c>
      <c r="HM54" t="e">
        <f>'SurveyRpt_20150223 (1)'!R336+"h_l!$h_"</f>
        <v>#VALUE!</v>
      </c>
      <c r="HN54" t="e">
        <f>'SurveyRpt_20150223 (1)'!S336+"h_l!$h`"</f>
        <v>#VALUE!</v>
      </c>
      <c r="HO54" t="e">
        <f>'SurveyRpt_20150223 (1)'!T336+"h_l!$ha"</f>
        <v>#VALUE!</v>
      </c>
      <c r="HP54" t="e">
        <f>'SurveyRpt_20150223 (1)'!U336+"h_l!$hb"</f>
        <v>#VALUE!</v>
      </c>
      <c r="HQ54" t="e">
        <f>'SurveyRpt_20150223 (1)'!V336+"h_l!$hc"</f>
        <v>#VALUE!</v>
      </c>
      <c r="HR54" t="e">
        <f>'SurveyRpt_20150223 (1)'!W336+"h_l!$hd"</f>
        <v>#VALUE!</v>
      </c>
      <c r="HS54" t="e">
        <f>'SurveyRpt_20150223 (1)'!X336+"h_l!$he"</f>
        <v>#VALUE!</v>
      </c>
      <c r="HT54" t="e">
        <f>'SurveyRpt_20150223 (1)'!Y336+"h_l!$hf"</f>
        <v>#VALUE!</v>
      </c>
      <c r="HU54" t="e">
        <f>'SurveyRpt_20150223 (1)'!Z336+"h_l!$hg"</f>
        <v>#VALUE!</v>
      </c>
      <c r="HV54" t="e">
        <f>'SurveyRpt_20150223 (1)'!AA336+"h_l!$hh"</f>
        <v>#VALUE!</v>
      </c>
      <c r="HW54" t="e">
        <f>'SurveyRpt_20150223 (1)'!AB336+"h_l!$hi"</f>
        <v>#VALUE!</v>
      </c>
      <c r="HX54" t="e">
        <f>'SurveyRpt_20150223 (1)'!AC336+"h_l!$hj"</f>
        <v>#VALUE!</v>
      </c>
      <c r="HY54" t="e">
        <f>'SurveyRpt_20150223 (1)'!AD336+"h_l!$hk"</f>
        <v>#VALUE!</v>
      </c>
      <c r="HZ54" t="e">
        <f>'SurveyRpt_20150223 (1)'!AE336+"h_l!$hl"</f>
        <v>#VALUE!</v>
      </c>
      <c r="IA54" t="e">
        <f>'SurveyRpt_20150223 (1)'!AF336+"h_l!$hm"</f>
        <v>#VALUE!</v>
      </c>
      <c r="IB54" t="e">
        <f>'SurveyRpt_20150223 (1)'!AG336+"h_l!$hn"</f>
        <v>#VALUE!</v>
      </c>
      <c r="IC54" t="e">
        <f>'SurveyRpt_20150223 (1)'!AH336+"h_l!$ho"</f>
        <v>#VALUE!</v>
      </c>
      <c r="ID54" t="e">
        <f>'SurveyRpt_20150223 (1)'!AI336+"h_l!$hp"</f>
        <v>#VALUE!</v>
      </c>
      <c r="IE54" t="e">
        <f>'SurveyRpt_20150223 (1)'!AJ336+"h_l!$hq"</f>
        <v>#VALUE!</v>
      </c>
      <c r="IF54" t="e">
        <f>'SurveyRpt_20150223 (1)'!AK336+"h_l!$hr"</f>
        <v>#VALUE!</v>
      </c>
      <c r="IG54" t="e">
        <f>'SurveyRpt_20150223 (1)'!AL336+"h_l!$hs"</f>
        <v>#VALUE!</v>
      </c>
      <c r="IH54" t="e">
        <f>'SurveyRpt_20150223 (1)'!AM336+"h_l!$ht"</f>
        <v>#VALUE!</v>
      </c>
      <c r="II54" t="e">
        <f>'SurveyRpt_20150223 (1)'!AN336+"h_l!$hu"</f>
        <v>#VALUE!</v>
      </c>
      <c r="IJ54" t="e">
        <f>'SurveyRpt_20150223 (1)'!A337+"h_l!$hv"</f>
        <v>#VALUE!</v>
      </c>
      <c r="IK54" s="25" t="e">
        <f>'SurveyRpt_20150223 (1)'!B337+"h_l!$hw"</f>
        <v>#VALUE!</v>
      </c>
      <c r="IL54" t="e">
        <f>'SurveyRpt_20150223 (1)'!C337+"h_l!$hx"</f>
        <v>#VALUE!</v>
      </c>
      <c r="IM54" s="25" t="e">
        <f>'SurveyRpt_20150223 (1)'!D337+"h_l!$hy"</f>
        <v>#VALUE!</v>
      </c>
      <c r="IN54" t="e">
        <f>'SurveyRpt_20150223 (1)'!E337+"h_l!$hz"</f>
        <v>#VALUE!</v>
      </c>
      <c r="IO54" t="e">
        <f>'SurveyRpt_20150223 (1)'!F337+"h_l!$h{"</f>
        <v>#VALUE!</v>
      </c>
      <c r="IP54" t="e">
        <f>'SurveyRpt_20150223 (1)'!G337+"h_l!$h|"</f>
        <v>#VALUE!</v>
      </c>
      <c r="IQ54" t="e">
        <f>'SurveyRpt_20150223 (1)'!H337+"h_l!$h}"</f>
        <v>#VALUE!</v>
      </c>
      <c r="IR54" t="e">
        <f>'SurveyRpt_20150223 (1)'!I337+"h_l!$h~"</f>
        <v>#VALUE!</v>
      </c>
      <c r="IS54" t="e">
        <f>'SurveyRpt_20150223 (1)'!J337+"h_l!$i#"</f>
        <v>#VALUE!</v>
      </c>
      <c r="IT54" t="e">
        <f>'SurveyRpt_20150223 (1)'!K337+"h_l!$i$"</f>
        <v>#VALUE!</v>
      </c>
      <c r="IU54" t="e">
        <f>'SurveyRpt_20150223 (1)'!L337+"h_l!$i%"</f>
        <v>#VALUE!</v>
      </c>
      <c r="IV54" t="e">
        <f>'SurveyRpt_20150223 (1)'!M337+"h_l!$i&amp;"</f>
        <v>#VALUE!</v>
      </c>
    </row>
    <row r="55" spans="6:256" x14ac:dyDescent="0.25">
      <c r="F55" t="e">
        <f>'SurveyRpt_20150223 (1)'!N337+"h_l!$i'"</f>
        <v>#VALUE!</v>
      </c>
      <c r="G55" t="e">
        <f>'SurveyRpt_20150223 (1)'!O337+"h_l!$i("</f>
        <v>#VALUE!</v>
      </c>
      <c r="H55" t="e">
        <f>'SurveyRpt_20150223 (1)'!P337+"h_l!$i)"</f>
        <v>#VALUE!</v>
      </c>
      <c r="I55" t="e">
        <f>'SurveyRpt_20150223 (1)'!Q337+"h_l!$i."</f>
        <v>#VALUE!</v>
      </c>
      <c r="J55" t="e">
        <f>'SurveyRpt_20150223 (1)'!R337+"h_l!$i/"</f>
        <v>#VALUE!</v>
      </c>
      <c r="K55" t="e">
        <f>'SurveyRpt_20150223 (1)'!S337+"h_l!$i0"</f>
        <v>#VALUE!</v>
      </c>
      <c r="L55" t="e">
        <f>'SurveyRpt_20150223 (1)'!T337+"h_l!$i1"</f>
        <v>#VALUE!</v>
      </c>
      <c r="M55" t="e">
        <f>'SurveyRpt_20150223 (1)'!U337+"h_l!$i2"</f>
        <v>#VALUE!</v>
      </c>
      <c r="N55" t="e">
        <f>'SurveyRpt_20150223 (1)'!V337+"h_l!$i3"</f>
        <v>#VALUE!</v>
      </c>
      <c r="O55" t="e">
        <f>'SurveyRpt_20150223 (1)'!W337+"h_l!$i4"</f>
        <v>#VALUE!</v>
      </c>
      <c r="P55" t="e">
        <f>'SurveyRpt_20150223 (1)'!X337+"h_l!$i5"</f>
        <v>#VALUE!</v>
      </c>
      <c r="Q55" t="e">
        <f>'SurveyRpt_20150223 (1)'!Y337+"h_l!$i6"</f>
        <v>#VALUE!</v>
      </c>
      <c r="R55" t="e">
        <f>'SurveyRpt_20150223 (1)'!Z337+"h_l!$i7"</f>
        <v>#VALUE!</v>
      </c>
      <c r="S55" t="e">
        <f>'SurveyRpt_20150223 (1)'!AA337+"h_l!$i8"</f>
        <v>#VALUE!</v>
      </c>
      <c r="T55" t="e">
        <f>'SurveyRpt_20150223 (1)'!AB337+"h_l!$i9"</f>
        <v>#VALUE!</v>
      </c>
      <c r="U55" t="e">
        <f>'SurveyRpt_20150223 (1)'!AC337+"h_l!$i:"</f>
        <v>#VALUE!</v>
      </c>
      <c r="V55" t="e">
        <f>'SurveyRpt_20150223 (1)'!AD337+"h_l!$i;"</f>
        <v>#VALUE!</v>
      </c>
      <c r="W55" t="e">
        <f>'SurveyRpt_20150223 (1)'!AE337+"h_l!$i&lt;"</f>
        <v>#VALUE!</v>
      </c>
      <c r="X55" t="e">
        <f>'SurveyRpt_20150223 (1)'!AF337+"h_l!$i="</f>
        <v>#VALUE!</v>
      </c>
      <c r="Y55" t="e">
        <f>'SurveyRpt_20150223 (1)'!AG337+"h_l!$i&gt;"</f>
        <v>#VALUE!</v>
      </c>
      <c r="Z55" t="e">
        <f>'SurveyRpt_20150223 (1)'!AH337+"h_l!$i?"</f>
        <v>#VALUE!</v>
      </c>
      <c r="AA55" t="e">
        <f>'SurveyRpt_20150223 (1)'!AI337+"h_l!$i@"</f>
        <v>#VALUE!</v>
      </c>
      <c r="AB55" t="e">
        <f>'SurveyRpt_20150223 (1)'!AJ337+"h_l!$iA"</f>
        <v>#VALUE!</v>
      </c>
      <c r="AC55" t="e">
        <f>'SurveyRpt_20150223 (1)'!AK337+"h_l!$iB"</f>
        <v>#VALUE!</v>
      </c>
      <c r="AD55" t="e">
        <f>'SurveyRpt_20150223 (1)'!AL337+"h_l!$iC"</f>
        <v>#VALUE!</v>
      </c>
      <c r="AE55" t="e">
        <f>'SurveyRpt_20150223 (1)'!AM337+"h_l!$iD"</f>
        <v>#VALUE!</v>
      </c>
      <c r="AF55" t="e">
        <f>'SurveyRpt_20150223 (1)'!AN337+"h_l!$iE"</f>
        <v>#VALUE!</v>
      </c>
      <c r="AG55" t="e">
        <f>'SurveyRpt_20150223 (1)'!A338+"h_l!$iF"</f>
        <v>#VALUE!</v>
      </c>
      <c r="AH55" s="25" t="e">
        <f>'SurveyRpt_20150223 (1)'!B338+"h_l!$iG"</f>
        <v>#VALUE!</v>
      </c>
      <c r="AI55" t="e">
        <f>'SurveyRpt_20150223 (1)'!C338+"h_l!$iH"</f>
        <v>#VALUE!</v>
      </c>
      <c r="AJ55" s="25" t="e">
        <f>'SurveyRpt_20150223 (1)'!D338+"h_l!$iI"</f>
        <v>#VALUE!</v>
      </c>
      <c r="AK55" t="e">
        <f>'SurveyRpt_20150223 (1)'!E338+"h_l!$iJ"</f>
        <v>#VALUE!</v>
      </c>
      <c r="AL55" t="e">
        <f>'SurveyRpt_20150223 (1)'!F338+"h_l!$iK"</f>
        <v>#VALUE!</v>
      </c>
      <c r="AM55" t="e">
        <f>'SurveyRpt_20150223 (1)'!G338+"h_l!$iL"</f>
        <v>#VALUE!</v>
      </c>
      <c r="AN55" t="e">
        <f>'SurveyRpt_20150223 (1)'!H338+"h_l!$iM"</f>
        <v>#VALUE!</v>
      </c>
      <c r="AO55" t="e">
        <f>'SurveyRpt_20150223 (1)'!I338+"h_l!$iN"</f>
        <v>#VALUE!</v>
      </c>
      <c r="AP55" t="e">
        <f>'SurveyRpt_20150223 (1)'!J338+"h_l!$iO"</f>
        <v>#VALUE!</v>
      </c>
      <c r="AQ55" t="e">
        <f>'SurveyRpt_20150223 (1)'!K338+"h_l!$iP"</f>
        <v>#VALUE!</v>
      </c>
      <c r="AR55" t="e">
        <f>'SurveyRpt_20150223 (1)'!L338+"h_l!$iQ"</f>
        <v>#VALUE!</v>
      </c>
      <c r="AS55" t="e">
        <f>'SurveyRpt_20150223 (1)'!M338+"h_l!$iR"</f>
        <v>#VALUE!</v>
      </c>
      <c r="AT55" t="e">
        <f>'SurveyRpt_20150223 (1)'!N338+"h_l!$iS"</f>
        <v>#VALUE!</v>
      </c>
      <c r="AU55" t="e">
        <f>'SurveyRpt_20150223 (1)'!O338+"h_l!$iT"</f>
        <v>#VALUE!</v>
      </c>
      <c r="AV55" t="e">
        <f>'SurveyRpt_20150223 (1)'!P338+"h_l!$iU"</f>
        <v>#VALUE!</v>
      </c>
      <c r="AW55" t="e">
        <f>'SurveyRpt_20150223 (1)'!Q338+"h_l!$iV"</f>
        <v>#VALUE!</v>
      </c>
      <c r="AX55" t="e">
        <f>'SurveyRpt_20150223 (1)'!R338+"h_l!$iW"</f>
        <v>#VALUE!</v>
      </c>
      <c r="AY55" t="e">
        <f>'SurveyRpt_20150223 (1)'!S338+"h_l!$iX"</f>
        <v>#VALUE!</v>
      </c>
      <c r="AZ55" t="e">
        <f>'SurveyRpt_20150223 (1)'!T338+"h_l!$iY"</f>
        <v>#VALUE!</v>
      </c>
      <c r="BA55" t="e">
        <f>'SurveyRpt_20150223 (1)'!U338+"h_l!$iZ"</f>
        <v>#VALUE!</v>
      </c>
      <c r="BB55" t="e">
        <f>'SurveyRpt_20150223 (1)'!V338+"h_l!$i["</f>
        <v>#VALUE!</v>
      </c>
      <c r="BC55" t="e">
        <f>'SurveyRpt_20150223 (1)'!W338+"h_l!$i\"</f>
        <v>#VALUE!</v>
      </c>
      <c r="BD55" t="e">
        <f>'SurveyRpt_20150223 (1)'!X338+"h_l!$i]"</f>
        <v>#VALUE!</v>
      </c>
      <c r="BE55" t="e">
        <f>'SurveyRpt_20150223 (1)'!Y338+"h_l!$i^"</f>
        <v>#VALUE!</v>
      </c>
      <c r="BF55" t="e">
        <f>'SurveyRpt_20150223 (1)'!Z338+"h_l!$i_"</f>
        <v>#VALUE!</v>
      </c>
      <c r="BG55" t="e">
        <f>'SurveyRpt_20150223 (1)'!AA338+"h_l!$i`"</f>
        <v>#VALUE!</v>
      </c>
      <c r="BH55" t="e">
        <f>'SurveyRpt_20150223 (1)'!AB338+"h_l!$ia"</f>
        <v>#VALUE!</v>
      </c>
      <c r="BI55" t="e">
        <f>'SurveyRpt_20150223 (1)'!AC338+"h_l!$ib"</f>
        <v>#VALUE!</v>
      </c>
      <c r="BJ55" t="e">
        <f>'SurveyRpt_20150223 (1)'!AD338+"h_l!$ic"</f>
        <v>#VALUE!</v>
      </c>
      <c r="BK55" t="e">
        <f>'SurveyRpt_20150223 (1)'!AE338+"h_l!$id"</f>
        <v>#VALUE!</v>
      </c>
      <c r="BL55" t="e">
        <f>'SurveyRpt_20150223 (1)'!AF338+"h_l!$ie"</f>
        <v>#VALUE!</v>
      </c>
      <c r="BM55" t="e">
        <f>'SurveyRpt_20150223 (1)'!AG338+"h_l!$if"</f>
        <v>#VALUE!</v>
      </c>
      <c r="BN55" t="e">
        <f>'SurveyRpt_20150223 (1)'!AH338+"h_l!$ig"</f>
        <v>#VALUE!</v>
      </c>
      <c r="BO55" t="e">
        <f>'SurveyRpt_20150223 (1)'!AI338+"h_l!$ih"</f>
        <v>#VALUE!</v>
      </c>
      <c r="BP55" t="e">
        <f>'SurveyRpt_20150223 (1)'!AJ338+"h_l!$ii"</f>
        <v>#VALUE!</v>
      </c>
      <c r="BQ55" t="e">
        <f>'SurveyRpt_20150223 (1)'!AK338+"h_l!$ij"</f>
        <v>#VALUE!</v>
      </c>
      <c r="BR55" t="e">
        <f>'SurveyRpt_20150223 (1)'!AL338+"h_l!$ik"</f>
        <v>#VALUE!</v>
      </c>
      <c r="BS55" t="e">
        <f>'SurveyRpt_20150223 (1)'!AM338+"h_l!$il"</f>
        <v>#VALUE!</v>
      </c>
      <c r="BT55" t="e">
        <f>'SurveyRpt_20150223 (1)'!AN338+"h_l!$im"</f>
        <v>#VALUE!</v>
      </c>
      <c r="BU55" t="e">
        <f>'SurveyRpt_20150223 (1)'!A339+"h_l!$in"</f>
        <v>#VALUE!</v>
      </c>
      <c r="BV55" s="25" t="e">
        <f>'SurveyRpt_20150223 (1)'!B339+"h_l!$io"</f>
        <v>#VALUE!</v>
      </c>
      <c r="BW55" t="e">
        <f>'SurveyRpt_20150223 (1)'!C339+"h_l!$ip"</f>
        <v>#VALUE!</v>
      </c>
      <c r="BX55" s="25" t="e">
        <f>'SurveyRpt_20150223 (1)'!D339+"h_l!$iq"</f>
        <v>#VALUE!</v>
      </c>
      <c r="BY55" t="e">
        <f>'SurveyRpt_20150223 (1)'!E339+"h_l!$ir"</f>
        <v>#VALUE!</v>
      </c>
      <c r="BZ55" t="e">
        <f>'SurveyRpt_20150223 (1)'!F339+"h_l!$is"</f>
        <v>#VALUE!</v>
      </c>
      <c r="CA55" t="e">
        <f>'SurveyRpt_20150223 (1)'!G339+"h_l!$it"</f>
        <v>#VALUE!</v>
      </c>
      <c r="CB55" t="e">
        <f>'SurveyRpt_20150223 (1)'!H339+"h_l!$iu"</f>
        <v>#VALUE!</v>
      </c>
      <c r="CC55" t="e">
        <f>'SurveyRpt_20150223 (1)'!I339+"h_l!$iv"</f>
        <v>#VALUE!</v>
      </c>
      <c r="CD55" t="e">
        <f>'SurveyRpt_20150223 (1)'!J339+"h_l!$iw"</f>
        <v>#VALUE!</v>
      </c>
      <c r="CE55" t="e">
        <f>'SurveyRpt_20150223 (1)'!K339+"h_l!$ix"</f>
        <v>#VALUE!</v>
      </c>
      <c r="CF55" t="e">
        <f>'SurveyRpt_20150223 (1)'!L339+"h_l!$iy"</f>
        <v>#VALUE!</v>
      </c>
      <c r="CG55" t="e">
        <f>'SurveyRpt_20150223 (1)'!M339+"h_l!$iz"</f>
        <v>#VALUE!</v>
      </c>
      <c r="CH55" t="e">
        <f>'SurveyRpt_20150223 (1)'!N339+"h_l!$i{"</f>
        <v>#VALUE!</v>
      </c>
      <c r="CI55" t="e">
        <f>'SurveyRpt_20150223 (1)'!O339+"h_l!$i|"</f>
        <v>#VALUE!</v>
      </c>
      <c r="CJ55" t="e">
        <f>'SurveyRpt_20150223 (1)'!P339+"h_l!$i}"</f>
        <v>#VALUE!</v>
      </c>
      <c r="CK55" t="e">
        <f>'SurveyRpt_20150223 (1)'!Q339+"h_l!$i~"</f>
        <v>#VALUE!</v>
      </c>
      <c r="CL55" t="e">
        <f>'SurveyRpt_20150223 (1)'!R339+"h_l!$j#"</f>
        <v>#VALUE!</v>
      </c>
      <c r="CM55" t="e">
        <f>'SurveyRpt_20150223 (1)'!S339+"h_l!$j$"</f>
        <v>#VALUE!</v>
      </c>
      <c r="CN55" t="e">
        <f>'SurveyRpt_20150223 (1)'!T339+"h_l!$j%"</f>
        <v>#VALUE!</v>
      </c>
      <c r="CO55" t="e">
        <f>'SurveyRpt_20150223 (1)'!U339+"h_l!$j&amp;"</f>
        <v>#VALUE!</v>
      </c>
      <c r="CP55" t="e">
        <f>'SurveyRpt_20150223 (1)'!V339+"h_l!$j'"</f>
        <v>#VALUE!</v>
      </c>
      <c r="CQ55" t="e">
        <f>'SurveyRpt_20150223 (1)'!W339+"h_l!$j("</f>
        <v>#VALUE!</v>
      </c>
      <c r="CR55" t="e">
        <f>'SurveyRpt_20150223 (1)'!X339+"h_l!$j)"</f>
        <v>#VALUE!</v>
      </c>
      <c r="CS55" t="e">
        <f>'SurveyRpt_20150223 (1)'!Y339+"h_l!$j."</f>
        <v>#VALUE!</v>
      </c>
      <c r="CT55" t="e">
        <f>'SurveyRpt_20150223 (1)'!Z339+"h_l!$j/"</f>
        <v>#VALUE!</v>
      </c>
      <c r="CU55" t="e">
        <f>'SurveyRpt_20150223 (1)'!AA339+"h_l!$j0"</f>
        <v>#VALUE!</v>
      </c>
      <c r="CV55" t="e">
        <f>'SurveyRpt_20150223 (1)'!AB339+"h_l!$j1"</f>
        <v>#VALUE!</v>
      </c>
      <c r="CW55" t="e">
        <f>'SurveyRpt_20150223 (1)'!AC339+"h_l!$j2"</f>
        <v>#VALUE!</v>
      </c>
      <c r="CX55" t="e">
        <f>'SurveyRpt_20150223 (1)'!AD339+"h_l!$j3"</f>
        <v>#VALUE!</v>
      </c>
      <c r="CY55" t="e">
        <f>'SurveyRpt_20150223 (1)'!AE339+"h_l!$j4"</f>
        <v>#VALUE!</v>
      </c>
      <c r="CZ55" t="e">
        <f>'SurveyRpt_20150223 (1)'!AF339+"h_l!$j5"</f>
        <v>#VALUE!</v>
      </c>
      <c r="DA55" t="e">
        <f>'SurveyRpt_20150223 (1)'!AG339+"h_l!$j6"</f>
        <v>#VALUE!</v>
      </c>
      <c r="DB55" t="e">
        <f>'SurveyRpt_20150223 (1)'!AH339+"h_l!$j7"</f>
        <v>#VALUE!</v>
      </c>
      <c r="DC55" t="e">
        <f>'SurveyRpt_20150223 (1)'!AI339+"h_l!$j8"</f>
        <v>#VALUE!</v>
      </c>
      <c r="DD55" t="e">
        <f>'SurveyRpt_20150223 (1)'!AJ339+"h_l!$j9"</f>
        <v>#VALUE!</v>
      </c>
      <c r="DE55" t="e">
        <f>'SurveyRpt_20150223 (1)'!AK339+"h_l!$j:"</f>
        <v>#VALUE!</v>
      </c>
      <c r="DF55" t="e">
        <f>'SurveyRpt_20150223 (1)'!AL339+"h_l!$j;"</f>
        <v>#VALUE!</v>
      </c>
      <c r="DG55" t="e">
        <f>'SurveyRpt_20150223 (1)'!AM339+"h_l!$j&lt;"</f>
        <v>#VALUE!</v>
      </c>
      <c r="DH55" t="e">
        <f>'SurveyRpt_20150223 (1)'!AN339+"h_l!$j="</f>
        <v>#VALUE!</v>
      </c>
      <c r="DI55" t="e">
        <f>'SurveyRpt_20150223 (1)'!A340+"h_l!$j&gt;"</f>
        <v>#VALUE!</v>
      </c>
      <c r="DJ55" s="25" t="e">
        <f>'SurveyRpt_20150223 (1)'!B340+"h_l!$j?"</f>
        <v>#VALUE!</v>
      </c>
      <c r="DK55" t="e">
        <f>'SurveyRpt_20150223 (1)'!C340+"h_l!$j@"</f>
        <v>#VALUE!</v>
      </c>
      <c r="DL55" s="25" t="e">
        <f>'SurveyRpt_20150223 (1)'!D340+"h_l!$jA"</f>
        <v>#VALUE!</v>
      </c>
      <c r="DM55" t="e">
        <f>'SurveyRpt_20150223 (1)'!E340+"h_l!$jB"</f>
        <v>#VALUE!</v>
      </c>
      <c r="DN55" t="e">
        <f>'SurveyRpt_20150223 (1)'!F340+"h_l!$jC"</f>
        <v>#VALUE!</v>
      </c>
      <c r="DO55" t="e">
        <f>'SurveyRpt_20150223 (1)'!G340+"h_l!$jD"</f>
        <v>#VALUE!</v>
      </c>
      <c r="DP55" t="e">
        <f>'SurveyRpt_20150223 (1)'!H340+"h_l!$jE"</f>
        <v>#VALUE!</v>
      </c>
      <c r="DQ55" t="e">
        <f>'SurveyRpt_20150223 (1)'!I340+"h_l!$jF"</f>
        <v>#VALUE!</v>
      </c>
      <c r="DR55" t="e">
        <f>'SurveyRpt_20150223 (1)'!J340+"h_l!$jG"</f>
        <v>#VALUE!</v>
      </c>
      <c r="DS55" t="e">
        <f>'SurveyRpt_20150223 (1)'!K340+"h_l!$jH"</f>
        <v>#VALUE!</v>
      </c>
      <c r="DT55" t="e">
        <f>'SurveyRpt_20150223 (1)'!L340+"h_l!$jI"</f>
        <v>#VALUE!</v>
      </c>
      <c r="DU55" t="e">
        <f>'SurveyRpt_20150223 (1)'!M340+"h_l!$jJ"</f>
        <v>#VALUE!</v>
      </c>
      <c r="DV55" t="e">
        <f>'SurveyRpt_20150223 (1)'!N340+"h_l!$jK"</f>
        <v>#VALUE!</v>
      </c>
      <c r="DW55" t="e">
        <f>'SurveyRpt_20150223 (1)'!O340+"h_l!$jL"</f>
        <v>#VALUE!</v>
      </c>
      <c r="DX55" t="e">
        <f>'SurveyRpt_20150223 (1)'!P340+"h_l!$jM"</f>
        <v>#VALUE!</v>
      </c>
      <c r="DY55" t="e">
        <f>'SurveyRpt_20150223 (1)'!Q340+"h_l!$jN"</f>
        <v>#VALUE!</v>
      </c>
      <c r="DZ55" t="e">
        <f>'SurveyRpt_20150223 (1)'!R340+"h_l!$jO"</f>
        <v>#VALUE!</v>
      </c>
      <c r="EA55" t="e">
        <f>'SurveyRpt_20150223 (1)'!S340+"h_l!$jP"</f>
        <v>#VALUE!</v>
      </c>
      <c r="EB55" t="e">
        <f>'SurveyRpt_20150223 (1)'!T340+"h_l!$jQ"</f>
        <v>#VALUE!</v>
      </c>
      <c r="EC55" t="e">
        <f>'SurveyRpt_20150223 (1)'!U340+"h_l!$jR"</f>
        <v>#VALUE!</v>
      </c>
      <c r="ED55" t="e">
        <f>'SurveyRpt_20150223 (1)'!V340+"h_l!$jS"</f>
        <v>#VALUE!</v>
      </c>
      <c r="EE55" t="e">
        <f>'SurveyRpt_20150223 (1)'!W340+"h_l!$jT"</f>
        <v>#VALUE!</v>
      </c>
      <c r="EF55" t="e">
        <f>'SurveyRpt_20150223 (1)'!X340+"h_l!$jU"</f>
        <v>#VALUE!</v>
      </c>
      <c r="EG55" t="e">
        <f>'SurveyRpt_20150223 (1)'!Y340+"h_l!$jV"</f>
        <v>#VALUE!</v>
      </c>
      <c r="EH55" t="e">
        <f>'SurveyRpt_20150223 (1)'!Z340+"h_l!$jW"</f>
        <v>#VALUE!</v>
      </c>
      <c r="EI55" t="e">
        <f>'SurveyRpt_20150223 (1)'!AA340+"h_l!$jX"</f>
        <v>#VALUE!</v>
      </c>
      <c r="EJ55" t="e">
        <f>'SurveyRpt_20150223 (1)'!AB340+"h_l!$jY"</f>
        <v>#VALUE!</v>
      </c>
      <c r="EK55" t="e">
        <f>'SurveyRpt_20150223 (1)'!AC340+"h_l!$jZ"</f>
        <v>#VALUE!</v>
      </c>
      <c r="EL55" t="e">
        <f>'SurveyRpt_20150223 (1)'!AD340+"h_l!$j["</f>
        <v>#VALUE!</v>
      </c>
      <c r="EM55" t="e">
        <f>'SurveyRpt_20150223 (1)'!AE340+"h_l!$j\"</f>
        <v>#VALUE!</v>
      </c>
      <c r="EN55" t="e">
        <f>'SurveyRpt_20150223 (1)'!AF340+"h_l!$j]"</f>
        <v>#VALUE!</v>
      </c>
      <c r="EO55" t="e">
        <f>'SurveyRpt_20150223 (1)'!AG340+"h_l!$j^"</f>
        <v>#VALUE!</v>
      </c>
      <c r="EP55" t="e">
        <f>'SurveyRpt_20150223 (1)'!AH340+"h_l!$j_"</f>
        <v>#VALUE!</v>
      </c>
      <c r="EQ55" t="e">
        <f>'SurveyRpt_20150223 (1)'!AI340+"h_l!$j`"</f>
        <v>#VALUE!</v>
      </c>
      <c r="ER55" t="e">
        <f>'SurveyRpt_20150223 (1)'!AJ340+"h_l!$ja"</f>
        <v>#VALUE!</v>
      </c>
      <c r="ES55" t="e">
        <f>'SurveyRpt_20150223 (1)'!AK340+"h_l!$jb"</f>
        <v>#VALUE!</v>
      </c>
      <c r="ET55" t="e">
        <f>'SurveyRpt_20150223 (1)'!AL340+"h_l!$jc"</f>
        <v>#VALUE!</v>
      </c>
      <c r="EU55" t="e">
        <f>'SurveyRpt_20150223 (1)'!AM340+"h_l!$jd"</f>
        <v>#VALUE!</v>
      </c>
      <c r="EV55" t="e">
        <f>'SurveyRpt_20150223 (1)'!AN340+"h_l!$je"</f>
        <v>#VALUE!</v>
      </c>
      <c r="EW55" t="e">
        <f>'SurveyRpt_20150223 (1)'!A341+"h_l!$jf"</f>
        <v>#VALUE!</v>
      </c>
      <c r="EX55" s="25" t="e">
        <f>'SurveyRpt_20150223 (1)'!B341+"h_l!$jg"</f>
        <v>#VALUE!</v>
      </c>
      <c r="EY55" t="e">
        <f>'SurveyRpt_20150223 (1)'!C341+"h_l!$jh"</f>
        <v>#VALUE!</v>
      </c>
      <c r="EZ55" s="25" t="e">
        <f>'SurveyRpt_20150223 (1)'!D341+"h_l!$ji"</f>
        <v>#VALUE!</v>
      </c>
      <c r="FA55" t="e">
        <f>'SurveyRpt_20150223 (1)'!E341+"h_l!$jj"</f>
        <v>#VALUE!</v>
      </c>
      <c r="FB55" t="e">
        <f>'SurveyRpt_20150223 (1)'!F341+"h_l!$jk"</f>
        <v>#VALUE!</v>
      </c>
      <c r="FC55" t="e">
        <f>'SurveyRpt_20150223 (1)'!G341+"h_l!$jl"</f>
        <v>#VALUE!</v>
      </c>
      <c r="FD55" t="e">
        <f>'SurveyRpt_20150223 (1)'!H341+"h_l!$jm"</f>
        <v>#VALUE!</v>
      </c>
      <c r="FE55" t="e">
        <f>'SurveyRpt_20150223 (1)'!I341+"h_l!$jn"</f>
        <v>#VALUE!</v>
      </c>
      <c r="FF55" t="e">
        <f>'SurveyRpt_20150223 (1)'!J341+"h_l!$jo"</f>
        <v>#VALUE!</v>
      </c>
      <c r="FG55" t="e">
        <f>'SurveyRpt_20150223 (1)'!K341+"h_l!$jp"</f>
        <v>#VALUE!</v>
      </c>
      <c r="FH55" t="e">
        <f>'SurveyRpt_20150223 (1)'!L341+"h_l!$jq"</f>
        <v>#VALUE!</v>
      </c>
      <c r="FI55" t="e">
        <f>'SurveyRpt_20150223 (1)'!M341+"h_l!$jr"</f>
        <v>#VALUE!</v>
      </c>
      <c r="FJ55" t="e">
        <f>'SurveyRpt_20150223 (1)'!N341+"h_l!$js"</f>
        <v>#VALUE!</v>
      </c>
      <c r="FK55" t="e">
        <f>'SurveyRpt_20150223 (1)'!O341+"h_l!$jt"</f>
        <v>#VALUE!</v>
      </c>
      <c r="FL55" t="e">
        <f>'SurveyRpt_20150223 (1)'!P341+"h_l!$ju"</f>
        <v>#VALUE!</v>
      </c>
      <c r="FM55" t="e">
        <f>'SurveyRpt_20150223 (1)'!Q341+"h_l!$jv"</f>
        <v>#VALUE!</v>
      </c>
      <c r="FN55" t="e">
        <f>'SurveyRpt_20150223 (1)'!R341+"h_l!$jw"</f>
        <v>#VALUE!</v>
      </c>
      <c r="FO55" t="e">
        <f>'SurveyRpt_20150223 (1)'!S341+"h_l!$jx"</f>
        <v>#VALUE!</v>
      </c>
      <c r="FP55" t="e">
        <f>'SurveyRpt_20150223 (1)'!T341+"h_l!$jy"</f>
        <v>#VALUE!</v>
      </c>
      <c r="FQ55" t="e">
        <f>'SurveyRpt_20150223 (1)'!U341+"h_l!$jz"</f>
        <v>#VALUE!</v>
      </c>
      <c r="FR55" t="e">
        <f>'SurveyRpt_20150223 (1)'!V341+"h_l!$j{"</f>
        <v>#VALUE!</v>
      </c>
      <c r="FS55" t="e">
        <f>'SurveyRpt_20150223 (1)'!W341+"h_l!$j|"</f>
        <v>#VALUE!</v>
      </c>
      <c r="FT55" t="e">
        <f>'SurveyRpt_20150223 (1)'!X341+"h_l!$j}"</f>
        <v>#VALUE!</v>
      </c>
      <c r="FU55" t="e">
        <f>'SurveyRpt_20150223 (1)'!Y341+"h_l!$j~"</f>
        <v>#VALUE!</v>
      </c>
      <c r="FV55" t="e">
        <f>'SurveyRpt_20150223 (1)'!Z341+"h_l!$k#"</f>
        <v>#VALUE!</v>
      </c>
      <c r="FW55" t="e">
        <f>'SurveyRpt_20150223 (1)'!AA341+"h_l!$k$"</f>
        <v>#VALUE!</v>
      </c>
      <c r="FX55" t="e">
        <f>'SurveyRpt_20150223 (1)'!AB341+"h_l!$k%"</f>
        <v>#VALUE!</v>
      </c>
      <c r="FY55" t="e">
        <f>'SurveyRpt_20150223 (1)'!AC341+"h_l!$k&amp;"</f>
        <v>#VALUE!</v>
      </c>
      <c r="FZ55" t="e">
        <f>'SurveyRpt_20150223 (1)'!AD341+"h_l!$k'"</f>
        <v>#VALUE!</v>
      </c>
      <c r="GA55" t="e">
        <f>'SurveyRpt_20150223 (1)'!AE341+"h_l!$k("</f>
        <v>#VALUE!</v>
      </c>
      <c r="GB55" t="e">
        <f>'SurveyRpt_20150223 (1)'!AF341+"h_l!$k)"</f>
        <v>#VALUE!</v>
      </c>
      <c r="GC55" t="e">
        <f>'SurveyRpt_20150223 (1)'!AG341+"h_l!$k."</f>
        <v>#VALUE!</v>
      </c>
      <c r="GD55" t="e">
        <f>'SurveyRpt_20150223 (1)'!AH341+"h_l!$k/"</f>
        <v>#VALUE!</v>
      </c>
      <c r="GE55" t="e">
        <f>'SurveyRpt_20150223 (1)'!AI341+"h_l!$k0"</f>
        <v>#VALUE!</v>
      </c>
      <c r="GF55" t="e">
        <f>'SurveyRpt_20150223 (1)'!AJ341+"h_l!$k1"</f>
        <v>#VALUE!</v>
      </c>
      <c r="GG55" t="e">
        <f>'SurveyRpt_20150223 (1)'!AK341+"h_l!$k2"</f>
        <v>#VALUE!</v>
      </c>
      <c r="GH55" t="e">
        <f>'SurveyRpt_20150223 (1)'!AL341+"h_l!$k3"</f>
        <v>#VALUE!</v>
      </c>
      <c r="GI55" t="e">
        <f>'SurveyRpt_20150223 (1)'!AM341+"h_l!$k4"</f>
        <v>#VALUE!</v>
      </c>
      <c r="GJ55" t="e">
        <f>'SurveyRpt_20150223 (1)'!AN341+"h_l!$k5"</f>
        <v>#VALUE!</v>
      </c>
      <c r="GK55" t="e">
        <f>'SurveyRpt_20150223 (1)'!A342+"h_l!$k6"</f>
        <v>#VALUE!</v>
      </c>
      <c r="GL55" s="25" t="e">
        <f>'SurveyRpt_20150223 (1)'!B342+"h_l!$k7"</f>
        <v>#VALUE!</v>
      </c>
      <c r="GM55" t="e">
        <f>'SurveyRpt_20150223 (1)'!C342+"h_l!$k8"</f>
        <v>#VALUE!</v>
      </c>
      <c r="GN55" s="25" t="e">
        <f>'SurveyRpt_20150223 (1)'!D342+"h_l!$k9"</f>
        <v>#VALUE!</v>
      </c>
      <c r="GO55" t="e">
        <f>'SurveyRpt_20150223 (1)'!E342+"h_l!$k:"</f>
        <v>#VALUE!</v>
      </c>
      <c r="GP55" t="e">
        <f>'SurveyRpt_20150223 (1)'!F342+"h_l!$k;"</f>
        <v>#VALUE!</v>
      </c>
      <c r="GQ55" t="e">
        <f>'SurveyRpt_20150223 (1)'!G342+"h_l!$k&lt;"</f>
        <v>#VALUE!</v>
      </c>
      <c r="GR55" t="e">
        <f>'SurveyRpt_20150223 (1)'!H342+"h_l!$k="</f>
        <v>#VALUE!</v>
      </c>
      <c r="GS55" t="e">
        <f>'SurveyRpt_20150223 (1)'!I342+"h_l!$k&gt;"</f>
        <v>#VALUE!</v>
      </c>
      <c r="GT55" t="e">
        <f>'SurveyRpt_20150223 (1)'!J342+"h_l!$k?"</f>
        <v>#VALUE!</v>
      </c>
      <c r="GU55" t="e">
        <f>'SurveyRpt_20150223 (1)'!K342+"h_l!$k@"</f>
        <v>#VALUE!</v>
      </c>
      <c r="GV55" t="e">
        <f>'SurveyRpt_20150223 (1)'!L342+"h_l!$kA"</f>
        <v>#VALUE!</v>
      </c>
      <c r="GW55" t="e">
        <f>'SurveyRpt_20150223 (1)'!M342+"h_l!$kB"</f>
        <v>#VALUE!</v>
      </c>
      <c r="GX55" t="e">
        <f>'SurveyRpt_20150223 (1)'!N342+"h_l!$kC"</f>
        <v>#VALUE!</v>
      </c>
      <c r="GY55" t="e">
        <f>'SurveyRpt_20150223 (1)'!O342+"h_l!$kD"</f>
        <v>#VALUE!</v>
      </c>
      <c r="GZ55" t="e">
        <f>'SurveyRpt_20150223 (1)'!P342+"h_l!$kE"</f>
        <v>#VALUE!</v>
      </c>
      <c r="HA55" t="e">
        <f>'SurveyRpt_20150223 (1)'!Q342+"h_l!$kF"</f>
        <v>#VALUE!</v>
      </c>
      <c r="HB55" t="e">
        <f>'SurveyRpt_20150223 (1)'!R342+"h_l!$kG"</f>
        <v>#VALUE!</v>
      </c>
      <c r="HC55" t="e">
        <f>'SurveyRpt_20150223 (1)'!S342+"h_l!$kH"</f>
        <v>#VALUE!</v>
      </c>
      <c r="HD55" t="e">
        <f>'SurveyRpt_20150223 (1)'!T342+"h_l!$kI"</f>
        <v>#VALUE!</v>
      </c>
      <c r="HE55" t="e">
        <f>'SurveyRpt_20150223 (1)'!U342+"h_l!$kJ"</f>
        <v>#VALUE!</v>
      </c>
      <c r="HF55" t="e">
        <f>'SurveyRpt_20150223 (1)'!V342+"h_l!$kK"</f>
        <v>#VALUE!</v>
      </c>
      <c r="HG55" t="e">
        <f>'SurveyRpt_20150223 (1)'!W342+"h_l!$kL"</f>
        <v>#VALUE!</v>
      </c>
      <c r="HH55" t="e">
        <f>'SurveyRpt_20150223 (1)'!X342+"h_l!$kM"</f>
        <v>#VALUE!</v>
      </c>
      <c r="HI55" t="e">
        <f>'SurveyRpt_20150223 (1)'!Y342+"h_l!$kN"</f>
        <v>#VALUE!</v>
      </c>
      <c r="HJ55" t="e">
        <f>'SurveyRpt_20150223 (1)'!Z342+"h_l!$kO"</f>
        <v>#VALUE!</v>
      </c>
      <c r="HK55" t="e">
        <f>'SurveyRpt_20150223 (1)'!AA342+"h_l!$kP"</f>
        <v>#VALUE!</v>
      </c>
      <c r="HL55" t="e">
        <f>'SurveyRpt_20150223 (1)'!AB342+"h_l!$kQ"</f>
        <v>#VALUE!</v>
      </c>
      <c r="HM55" t="e">
        <f>'SurveyRpt_20150223 (1)'!AC342+"h_l!$kR"</f>
        <v>#VALUE!</v>
      </c>
      <c r="HN55" t="e">
        <f>'SurveyRpt_20150223 (1)'!AD342+"h_l!$kS"</f>
        <v>#VALUE!</v>
      </c>
      <c r="HO55" t="e">
        <f>'SurveyRpt_20150223 (1)'!AE342+"h_l!$kT"</f>
        <v>#VALUE!</v>
      </c>
      <c r="HP55" t="e">
        <f>'SurveyRpt_20150223 (1)'!AF342+"h_l!$kU"</f>
        <v>#VALUE!</v>
      </c>
      <c r="HQ55" t="e">
        <f>'SurveyRpt_20150223 (1)'!AG342+"h_l!$kV"</f>
        <v>#VALUE!</v>
      </c>
      <c r="HR55" t="e">
        <f>'SurveyRpt_20150223 (1)'!AH342+"h_l!$kW"</f>
        <v>#VALUE!</v>
      </c>
      <c r="HS55" t="e">
        <f>'SurveyRpt_20150223 (1)'!AI342+"h_l!$kX"</f>
        <v>#VALUE!</v>
      </c>
      <c r="HT55" t="e">
        <f>'SurveyRpt_20150223 (1)'!AJ342+"h_l!$kY"</f>
        <v>#VALUE!</v>
      </c>
      <c r="HU55" t="e">
        <f>'SurveyRpt_20150223 (1)'!AK342+"h_l!$kZ"</f>
        <v>#VALUE!</v>
      </c>
      <c r="HV55" t="e">
        <f>'SurveyRpt_20150223 (1)'!AL342+"h_l!$k["</f>
        <v>#VALUE!</v>
      </c>
      <c r="HW55" t="e">
        <f>'SurveyRpt_20150223 (1)'!AM342+"h_l!$k\"</f>
        <v>#VALUE!</v>
      </c>
      <c r="HX55" t="e">
        <f>'SurveyRpt_20150223 (1)'!AN342+"h_l!$k]"</f>
        <v>#VALUE!</v>
      </c>
      <c r="HY55" t="e">
        <f>'SurveyRpt_20150223 (1)'!A343+"h_l!$k^"</f>
        <v>#VALUE!</v>
      </c>
      <c r="HZ55" s="25" t="e">
        <f>'SurveyRpt_20150223 (1)'!B343+"h_l!$k_"</f>
        <v>#VALUE!</v>
      </c>
      <c r="IA55" t="e">
        <f>'SurveyRpt_20150223 (1)'!C343+"h_l!$k`"</f>
        <v>#VALUE!</v>
      </c>
      <c r="IB55" s="25" t="e">
        <f>'SurveyRpt_20150223 (1)'!D343+"h_l!$ka"</f>
        <v>#VALUE!</v>
      </c>
      <c r="IC55" t="e">
        <f>'SurveyRpt_20150223 (1)'!E343+"h_l!$kb"</f>
        <v>#VALUE!</v>
      </c>
      <c r="ID55" t="e">
        <f>'SurveyRpt_20150223 (1)'!F343+"h_l!$kc"</f>
        <v>#VALUE!</v>
      </c>
      <c r="IE55" t="e">
        <f>'SurveyRpt_20150223 (1)'!G343+"h_l!$kd"</f>
        <v>#VALUE!</v>
      </c>
      <c r="IF55" t="e">
        <f>'SurveyRpt_20150223 (1)'!H343+"h_l!$ke"</f>
        <v>#VALUE!</v>
      </c>
      <c r="IG55" t="e">
        <f>'SurveyRpt_20150223 (1)'!I343+"h_l!$kf"</f>
        <v>#VALUE!</v>
      </c>
      <c r="IH55" t="e">
        <f>'SurveyRpt_20150223 (1)'!J343+"h_l!$kg"</f>
        <v>#VALUE!</v>
      </c>
      <c r="II55" t="e">
        <f>'SurveyRpt_20150223 (1)'!K343+"h_l!$kh"</f>
        <v>#VALUE!</v>
      </c>
      <c r="IJ55" t="e">
        <f>'SurveyRpt_20150223 (1)'!L343+"h_l!$ki"</f>
        <v>#VALUE!</v>
      </c>
      <c r="IK55" t="e">
        <f>'SurveyRpt_20150223 (1)'!M343+"h_l!$kj"</f>
        <v>#VALUE!</v>
      </c>
      <c r="IL55" t="e">
        <f>'SurveyRpt_20150223 (1)'!N343+"h_l!$kk"</f>
        <v>#VALUE!</v>
      </c>
      <c r="IM55" t="e">
        <f>'SurveyRpt_20150223 (1)'!O343+"h_l!$kl"</f>
        <v>#VALUE!</v>
      </c>
      <c r="IN55" t="e">
        <f>'SurveyRpt_20150223 (1)'!P343+"h_l!$km"</f>
        <v>#VALUE!</v>
      </c>
      <c r="IO55" t="e">
        <f>'SurveyRpt_20150223 (1)'!Q343+"h_l!$kn"</f>
        <v>#VALUE!</v>
      </c>
      <c r="IP55" t="e">
        <f>'SurveyRpt_20150223 (1)'!R343+"h_l!$ko"</f>
        <v>#VALUE!</v>
      </c>
      <c r="IQ55" t="e">
        <f>'SurveyRpt_20150223 (1)'!S343+"h_l!$kp"</f>
        <v>#VALUE!</v>
      </c>
      <c r="IR55" t="e">
        <f>'SurveyRpt_20150223 (1)'!T343+"h_l!$kq"</f>
        <v>#VALUE!</v>
      </c>
      <c r="IS55" t="e">
        <f>'SurveyRpt_20150223 (1)'!U343+"h_l!$kr"</f>
        <v>#VALUE!</v>
      </c>
      <c r="IT55" t="e">
        <f>'SurveyRpt_20150223 (1)'!V343+"h_l!$ks"</f>
        <v>#VALUE!</v>
      </c>
      <c r="IU55" t="e">
        <f>'SurveyRpt_20150223 (1)'!W343+"h_l!$kt"</f>
        <v>#VALUE!</v>
      </c>
      <c r="IV55" t="e">
        <f>'SurveyRpt_20150223 (1)'!X343+"h_l!$ku"</f>
        <v>#VALUE!</v>
      </c>
    </row>
    <row r="56" spans="6:256" x14ac:dyDescent="0.25">
      <c r="F56" t="e">
        <f>'SurveyRpt_20150223 (1)'!Y343+"h_l!$kv"</f>
        <v>#VALUE!</v>
      </c>
      <c r="G56" t="e">
        <f>'SurveyRpt_20150223 (1)'!Z343+"h_l!$kw"</f>
        <v>#VALUE!</v>
      </c>
      <c r="H56" t="e">
        <f>'SurveyRpt_20150223 (1)'!AA343+"h_l!$kx"</f>
        <v>#VALUE!</v>
      </c>
      <c r="I56" t="e">
        <f>'SurveyRpt_20150223 (1)'!AB343+"h_l!$ky"</f>
        <v>#VALUE!</v>
      </c>
      <c r="J56" t="e">
        <f>'SurveyRpt_20150223 (1)'!AC343+"h_l!$kz"</f>
        <v>#VALUE!</v>
      </c>
      <c r="K56" t="e">
        <f>'SurveyRpt_20150223 (1)'!AD343+"h_l!$k{"</f>
        <v>#VALUE!</v>
      </c>
      <c r="L56" t="e">
        <f>'SurveyRpt_20150223 (1)'!AE343+"h_l!$k|"</f>
        <v>#VALUE!</v>
      </c>
      <c r="M56" t="e">
        <f>'SurveyRpt_20150223 (1)'!AF343+"h_l!$k}"</f>
        <v>#VALUE!</v>
      </c>
      <c r="N56" t="e">
        <f>'SurveyRpt_20150223 (1)'!AG343+"h_l!$k~"</f>
        <v>#VALUE!</v>
      </c>
      <c r="O56" t="e">
        <f>'SurveyRpt_20150223 (1)'!AH343+"h_l!$l#"</f>
        <v>#VALUE!</v>
      </c>
      <c r="P56" t="e">
        <f>'SurveyRpt_20150223 (1)'!AI343+"h_l!$l$"</f>
        <v>#VALUE!</v>
      </c>
      <c r="Q56" t="e">
        <f>'SurveyRpt_20150223 (1)'!AJ343+"h_l!$l%"</f>
        <v>#VALUE!</v>
      </c>
      <c r="R56" t="e">
        <f>'SurveyRpt_20150223 (1)'!AK343+"h_l!$l&amp;"</f>
        <v>#VALUE!</v>
      </c>
      <c r="S56" t="e">
        <f>'SurveyRpt_20150223 (1)'!AL343+"h_l!$l'"</f>
        <v>#VALUE!</v>
      </c>
      <c r="T56" t="e">
        <f>'SurveyRpt_20150223 (1)'!AM343+"h_l!$l("</f>
        <v>#VALUE!</v>
      </c>
      <c r="U56" t="e">
        <f>'SurveyRpt_20150223 (1)'!AN343+"h_l!$l)"</f>
        <v>#VALUE!</v>
      </c>
      <c r="V56" t="e">
        <f>'SurveyRpt_20150223 (1)'!A344+"h_l!$l."</f>
        <v>#VALUE!</v>
      </c>
      <c r="W56" s="25" t="e">
        <f>'SurveyRpt_20150223 (1)'!B344+"h_l!$l/"</f>
        <v>#VALUE!</v>
      </c>
      <c r="X56" t="e">
        <f>'SurveyRpt_20150223 (1)'!C344+"h_l!$l0"</f>
        <v>#VALUE!</v>
      </c>
      <c r="Y56" s="25" t="e">
        <f>'SurveyRpt_20150223 (1)'!D344+"h_l!$l1"</f>
        <v>#VALUE!</v>
      </c>
      <c r="Z56" t="e">
        <f>'SurveyRpt_20150223 (1)'!E344+"h_l!$l2"</f>
        <v>#VALUE!</v>
      </c>
      <c r="AA56" t="e">
        <f>'SurveyRpt_20150223 (1)'!F344+"h_l!$l3"</f>
        <v>#VALUE!</v>
      </c>
      <c r="AB56" t="e">
        <f>'SurveyRpt_20150223 (1)'!G344+"h_l!$l4"</f>
        <v>#VALUE!</v>
      </c>
      <c r="AC56" t="e">
        <f>'SurveyRpt_20150223 (1)'!H344+"h_l!$l5"</f>
        <v>#VALUE!</v>
      </c>
      <c r="AD56" t="e">
        <f>'SurveyRpt_20150223 (1)'!I344+"h_l!$l6"</f>
        <v>#VALUE!</v>
      </c>
      <c r="AE56" t="e">
        <f>'SurveyRpt_20150223 (1)'!J344+"h_l!$l7"</f>
        <v>#VALUE!</v>
      </c>
      <c r="AF56" t="e">
        <f>'SurveyRpt_20150223 (1)'!K344+"h_l!$l8"</f>
        <v>#VALUE!</v>
      </c>
      <c r="AG56" t="e">
        <f>'SurveyRpt_20150223 (1)'!L344+"h_l!$l9"</f>
        <v>#VALUE!</v>
      </c>
      <c r="AH56" t="e">
        <f>'SurveyRpt_20150223 (1)'!M344+"h_l!$l:"</f>
        <v>#VALUE!</v>
      </c>
      <c r="AI56" t="e">
        <f>'SurveyRpt_20150223 (1)'!N344+"h_l!$l;"</f>
        <v>#VALUE!</v>
      </c>
      <c r="AJ56" t="e">
        <f>'SurveyRpt_20150223 (1)'!O344+"h_l!$l&lt;"</f>
        <v>#VALUE!</v>
      </c>
      <c r="AK56" t="e">
        <f>'SurveyRpt_20150223 (1)'!P344+"h_l!$l="</f>
        <v>#VALUE!</v>
      </c>
      <c r="AL56" t="e">
        <f>'SurveyRpt_20150223 (1)'!Q344+"h_l!$l&gt;"</f>
        <v>#VALUE!</v>
      </c>
      <c r="AM56" t="e">
        <f>'SurveyRpt_20150223 (1)'!R344+"h_l!$l?"</f>
        <v>#VALUE!</v>
      </c>
      <c r="AN56" t="e">
        <f>'SurveyRpt_20150223 (1)'!S344+"h_l!$l@"</f>
        <v>#VALUE!</v>
      </c>
      <c r="AO56" t="e">
        <f>'SurveyRpt_20150223 (1)'!T344+"h_l!$lA"</f>
        <v>#VALUE!</v>
      </c>
      <c r="AP56" t="e">
        <f>'SurveyRpt_20150223 (1)'!U344+"h_l!$lB"</f>
        <v>#VALUE!</v>
      </c>
      <c r="AQ56" t="e">
        <f>'SurveyRpt_20150223 (1)'!V344+"h_l!$lC"</f>
        <v>#VALUE!</v>
      </c>
      <c r="AR56" t="e">
        <f>'SurveyRpt_20150223 (1)'!W344+"h_l!$lD"</f>
        <v>#VALUE!</v>
      </c>
      <c r="AS56" t="e">
        <f>'SurveyRpt_20150223 (1)'!X344+"h_l!$lE"</f>
        <v>#VALUE!</v>
      </c>
      <c r="AT56" t="e">
        <f>'SurveyRpt_20150223 (1)'!Y344+"h_l!$lF"</f>
        <v>#VALUE!</v>
      </c>
      <c r="AU56" t="e">
        <f>'SurveyRpt_20150223 (1)'!Z344+"h_l!$lG"</f>
        <v>#VALUE!</v>
      </c>
      <c r="AV56" t="e">
        <f>'SurveyRpt_20150223 (1)'!AA344+"h_l!$lH"</f>
        <v>#VALUE!</v>
      </c>
      <c r="AW56" t="e">
        <f>'SurveyRpt_20150223 (1)'!AB344+"h_l!$lI"</f>
        <v>#VALUE!</v>
      </c>
      <c r="AX56" t="e">
        <f>'SurveyRpt_20150223 (1)'!AC344+"h_l!$lJ"</f>
        <v>#VALUE!</v>
      </c>
      <c r="AY56" t="e">
        <f>'SurveyRpt_20150223 (1)'!AD344+"h_l!$lK"</f>
        <v>#VALUE!</v>
      </c>
      <c r="AZ56" t="e">
        <f>'SurveyRpt_20150223 (1)'!AE344+"h_l!$lL"</f>
        <v>#VALUE!</v>
      </c>
      <c r="BA56" t="e">
        <f>'SurveyRpt_20150223 (1)'!AF344+"h_l!$lM"</f>
        <v>#VALUE!</v>
      </c>
      <c r="BB56" t="e">
        <f>'SurveyRpt_20150223 (1)'!AG344+"h_l!$lN"</f>
        <v>#VALUE!</v>
      </c>
      <c r="BC56" t="e">
        <f>'SurveyRpt_20150223 (1)'!AH344+"h_l!$lO"</f>
        <v>#VALUE!</v>
      </c>
      <c r="BD56" t="e">
        <f>'SurveyRpt_20150223 (1)'!AI344+"h_l!$lP"</f>
        <v>#VALUE!</v>
      </c>
      <c r="BE56" t="e">
        <f>'SurveyRpt_20150223 (1)'!AJ344+"h_l!$lQ"</f>
        <v>#VALUE!</v>
      </c>
      <c r="BF56" t="e">
        <f>'SurveyRpt_20150223 (1)'!AK344+"h_l!$lR"</f>
        <v>#VALUE!</v>
      </c>
      <c r="BG56" t="e">
        <f>'SurveyRpt_20150223 (1)'!AL344+"h_l!$lS"</f>
        <v>#VALUE!</v>
      </c>
      <c r="BH56" t="e">
        <f>'SurveyRpt_20150223 (1)'!AM344+"h_l!$lT"</f>
        <v>#VALUE!</v>
      </c>
      <c r="BI56" t="e">
        <f>'SurveyRpt_20150223 (1)'!AN344+"h_l!$lU"</f>
        <v>#VALUE!</v>
      </c>
      <c r="BJ56" t="e">
        <f>'SurveyRpt_20150223 (1)'!A345+"h_l!$lV"</f>
        <v>#VALUE!</v>
      </c>
      <c r="BK56" s="25" t="e">
        <f>'SurveyRpt_20150223 (1)'!B345+"h_l!$lW"</f>
        <v>#VALUE!</v>
      </c>
      <c r="BL56" t="e">
        <f>'SurveyRpt_20150223 (1)'!C345+"h_l!$lX"</f>
        <v>#VALUE!</v>
      </c>
      <c r="BM56" s="25" t="e">
        <f>'SurveyRpt_20150223 (1)'!D345+"h_l!$lY"</f>
        <v>#VALUE!</v>
      </c>
      <c r="BN56" t="e">
        <f>'SurveyRpt_20150223 (1)'!E345+"h_l!$lZ"</f>
        <v>#VALUE!</v>
      </c>
      <c r="BO56" t="e">
        <f>'SurveyRpt_20150223 (1)'!F345+"h_l!$l["</f>
        <v>#VALUE!</v>
      </c>
      <c r="BP56" t="e">
        <f>'SurveyRpt_20150223 (1)'!G345+"h_l!$l\"</f>
        <v>#VALUE!</v>
      </c>
      <c r="BQ56" t="e">
        <f>'SurveyRpt_20150223 (1)'!H345+"h_l!$l]"</f>
        <v>#VALUE!</v>
      </c>
      <c r="BR56" t="e">
        <f>'SurveyRpt_20150223 (1)'!I345+"h_l!$l^"</f>
        <v>#VALUE!</v>
      </c>
      <c r="BS56" t="e">
        <f>'SurveyRpt_20150223 (1)'!J345+"h_l!$l_"</f>
        <v>#VALUE!</v>
      </c>
      <c r="BT56" t="e">
        <f>'SurveyRpt_20150223 (1)'!K345+"h_l!$l`"</f>
        <v>#VALUE!</v>
      </c>
      <c r="BU56" t="e">
        <f>'SurveyRpt_20150223 (1)'!L345+"h_l!$la"</f>
        <v>#VALUE!</v>
      </c>
      <c r="BV56" t="e">
        <f>'SurveyRpt_20150223 (1)'!M345+"h_l!$lb"</f>
        <v>#VALUE!</v>
      </c>
      <c r="BW56" t="e">
        <f>'SurveyRpt_20150223 (1)'!N345+"h_l!$lc"</f>
        <v>#VALUE!</v>
      </c>
      <c r="BX56" t="e">
        <f>'SurveyRpt_20150223 (1)'!O345+"h_l!$ld"</f>
        <v>#VALUE!</v>
      </c>
      <c r="BY56" t="e">
        <f>'SurveyRpt_20150223 (1)'!P345+"h_l!$le"</f>
        <v>#VALUE!</v>
      </c>
      <c r="BZ56" t="e">
        <f>'SurveyRpt_20150223 (1)'!Q345+"h_l!$lf"</f>
        <v>#VALUE!</v>
      </c>
      <c r="CA56" t="e">
        <f>'SurveyRpt_20150223 (1)'!R345+"h_l!$lg"</f>
        <v>#VALUE!</v>
      </c>
      <c r="CB56" t="e">
        <f>'SurveyRpt_20150223 (1)'!S345+"h_l!$lh"</f>
        <v>#VALUE!</v>
      </c>
      <c r="CC56" t="e">
        <f>'SurveyRpt_20150223 (1)'!T345+"h_l!$li"</f>
        <v>#VALUE!</v>
      </c>
      <c r="CD56" t="e">
        <f>'SurveyRpt_20150223 (1)'!U345+"h_l!$lj"</f>
        <v>#VALUE!</v>
      </c>
      <c r="CE56" t="e">
        <f>'SurveyRpt_20150223 (1)'!V345+"h_l!$lk"</f>
        <v>#VALUE!</v>
      </c>
      <c r="CF56" t="e">
        <f>'SurveyRpt_20150223 (1)'!W345+"h_l!$ll"</f>
        <v>#VALUE!</v>
      </c>
      <c r="CG56" t="e">
        <f>'SurveyRpt_20150223 (1)'!X345+"h_l!$lm"</f>
        <v>#VALUE!</v>
      </c>
      <c r="CH56" t="e">
        <f>'SurveyRpt_20150223 (1)'!Y345+"h_l!$ln"</f>
        <v>#VALUE!</v>
      </c>
      <c r="CI56" t="e">
        <f>'SurveyRpt_20150223 (1)'!Z345+"h_l!$lo"</f>
        <v>#VALUE!</v>
      </c>
      <c r="CJ56" t="e">
        <f>'SurveyRpt_20150223 (1)'!AA345+"h_l!$lp"</f>
        <v>#VALUE!</v>
      </c>
      <c r="CK56" t="e">
        <f>'SurveyRpt_20150223 (1)'!AB345+"h_l!$lq"</f>
        <v>#VALUE!</v>
      </c>
      <c r="CL56" t="e">
        <f>'SurveyRpt_20150223 (1)'!AC345+"h_l!$lr"</f>
        <v>#VALUE!</v>
      </c>
      <c r="CM56" t="e">
        <f>'SurveyRpt_20150223 (1)'!AD345+"h_l!$ls"</f>
        <v>#VALUE!</v>
      </c>
      <c r="CN56" t="e">
        <f>'SurveyRpt_20150223 (1)'!AE345+"h_l!$lt"</f>
        <v>#VALUE!</v>
      </c>
      <c r="CO56" t="e">
        <f>'SurveyRpt_20150223 (1)'!AF345+"h_l!$lu"</f>
        <v>#VALUE!</v>
      </c>
      <c r="CP56" t="e">
        <f>'SurveyRpt_20150223 (1)'!AG345+"h_l!$lv"</f>
        <v>#VALUE!</v>
      </c>
      <c r="CQ56" t="e">
        <f>'SurveyRpt_20150223 (1)'!AH345+"h_l!$lw"</f>
        <v>#VALUE!</v>
      </c>
      <c r="CR56" t="e">
        <f>'SurveyRpt_20150223 (1)'!AI345+"h_l!$lx"</f>
        <v>#VALUE!</v>
      </c>
      <c r="CS56" t="e">
        <f>'SurveyRpt_20150223 (1)'!AJ345+"h_l!$ly"</f>
        <v>#VALUE!</v>
      </c>
      <c r="CT56" t="e">
        <f>'SurveyRpt_20150223 (1)'!AK345+"h_l!$lz"</f>
        <v>#VALUE!</v>
      </c>
      <c r="CU56" t="e">
        <f>'SurveyRpt_20150223 (1)'!AL345+"h_l!$l{"</f>
        <v>#VALUE!</v>
      </c>
      <c r="CV56" t="e">
        <f>'SurveyRpt_20150223 (1)'!AM345+"h_l!$l|"</f>
        <v>#VALUE!</v>
      </c>
      <c r="CW56" t="e">
        <f>'SurveyRpt_20150223 (1)'!AN345+"h_l!$l}"</f>
        <v>#VALUE!</v>
      </c>
      <c r="CX56" t="e">
        <f>'SurveyRpt_20150223 (1)'!A346+"h_l!$l~"</f>
        <v>#VALUE!</v>
      </c>
      <c r="CY56" s="25" t="e">
        <f>'SurveyRpt_20150223 (1)'!B346+"h_l!$m#"</f>
        <v>#VALUE!</v>
      </c>
      <c r="CZ56" t="e">
        <f>'SurveyRpt_20150223 (1)'!C346+"h_l!$m$"</f>
        <v>#VALUE!</v>
      </c>
      <c r="DA56" s="25" t="e">
        <f>'SurveyRpt_20150223 (1)'!D346+"h_l!$m%"</f>
        <v>#VALUE!</v>
      </c>
      <c r="DB56" t="e">
        <f>'SurveyRpt_20150223 (1)'!E346+"h_l!$m&amp;"</f>
        <v>#VALUE!</v>
      </c>
      <c r="DC56" t="e">
        <f>'SurveyRpt_20150223 (1)'!F346+"h_l!$m'"</f>
        <v>#VALUE!</v>
      </c>
      <c r="DD56" t="e">
        <f>'SurveyRpt_20150223 (1)'!G346+"h_l!$m("</f>
        <v>#VALUE!</v>
      </c>
      <c r="DE56" t="e">
        <f>'SurveyRpt_20150223 (1)'!H346+"h_l!$m)"</f>
        <v>#VALUE!</v>
      </c>
      <c r="DF56" t="e">
        <f>'SurveyRpt_20150223 (1)'!I346+"h_l!$m."</f>
        <v>#VALUE!</v>
      </c>
      <c r="DG56" t="e">
        <f>'SurveyRpt_20150223 (1)'!J346+"h_l!$m/"</f>
        <v>#VALUE!</v>
      </c>
      <c r="DH56" t="e">
        <f>'SurveyRpt_20150223 (1)'!K346+"h_l!$m0"</f>
        <v>#VALUE!</v>
      </c>
      <c r="DI56" t="e">
        <f>'SurveyRpt_20150223 (1)'!L346+"h_l!$m1"</f>
        <v>#VALUE!</v>
      </c>
      <c r="DJ56" t="e">
        <f>'SurveyRpt_20150223 (1)'!M346+"h_l!$m2"</f>
        <v>#VALUE!</v>
      </c>
      <c r="DK56" t="e">
        <f>'SurveyRpt_20150223 (1)'!N346+"h_l!$m3"</f>
        <v>#VALUE!</v>
      </c>
      <c r="DL56" t="e">
        <f>'SurveyRpt_20150223 (1)'!O346+"h_l!$m4"</f>
        <v>#VALUE!</v>
      </c>
      <c r="DM56" t="e">
        <f>'SurveyRpt_20150223 (1)'!P346+"h_l!$m5"</f>
        <v>#VALUE!</v>
      </c>
      <c r="DN56" t="e">
        <f>'SurveyRpt_20150223 (1)'!Q346+"h_l!$m6"</f>
        <v>#VALUE!</v>
      </c>
      <c r="DO56" t="e">
        <f>'SurveyRpt_20150223 (1)'!R346+"h_l!$m7"</f>
        <v>#VALUE!</v>
      </c>
      <c r="DP56" t="e">
        <f>'SurveyRpt_20150223 (1)'!S346+"h_l!$m8"</f>
        <v>#VALUE!</v>
      </c>
      <c r="DQ56" t="e">
        <f>'SurveyRpt_20150223 (1)'!T346+"h_l!$m9"</f>
        <v>#VALUE!</v>
      </c>
      <c r="DR56" t="e">
        <f>'SurveyRpt_20150223 (1)'!U346+"h_l!$m:"</f>
        <v>#VALUE!</v>
      </c>
      <c r="DS56" t="e">
        <f>'SurveyRpt_20150223 (1)'!V346+"h_l!$m;"</f>
        <v>#VALUE!</v>
      </c>
      <c r="DT56" t="e">
        <f>'SurveyRpt_20150223 (1)'!W346+"h_l!$m&lt;"</f>
        <v>#VALUE!</v>
      </c>
      <c r="DU56" t="e">
        <f>'SurveyRpt_20150223 (1)'!X346+"h_l!$m="</f>
        <v>#VALUE!</v>
      </c>
      <c r="DV56" t="e">
        <f>'SurveyRpt_20150223 (1)'!Y346+"h_l!$m&gt;"</f>
        <v>#VALUE!</v>
      </c>
      <c r="DW56" t="e">
        <f>'SurveyRpt_20150223 (1)'!Z346+"h_l!$m?"</f>
        <v>#VALUE!</v>
      </c>
      <c r="DX56" t="e">
        <f>'SurveyRpt_20150223 (1)'!AA346+"h_l!$m@"</f>
        <v>#VALUE!</v>
      </c>
      <c r="DY56" t="e">
        <f>'SurveyRpt_20150223 (1)'!AB346+"h_l!$mA"</f>
        <v>#VALUE!</v>
      </c>
      <c r="DZ56" t="e">
        <f>'SurveyRpt_20150223 (1)'!AC346+"h_l!$mB"</f>
        <v>#VALUE!</v>
      </c>
      <c r="EA56" t="e">
        <f>'SurveyRpt_20150223 (1)'!AD346+"h_l!$mC"</f>
        <v>#VALUE!</v>
      </c>
      <c r="EB56" t="e">
        <f>'SurveyRpt_20150223 (1)'!AE346+"h_l!$mD"</f>
        <v>#VALUE!</v>
      </c>
      <c r="EC56" t="e">
        <f>'SurveyRpt_20150223 (1)'!AF346+"h_l!$mE"</f>
        <v>#VALUE!</v>
      </c>
      <c r="ED56" t="e">
        <f>'SurveyRpt_20150223 (1)'!AG346+"h_l!$mF"</f>
        <v>#VALUE!</v>
      </c>
      <c r="EE56" t="e">
        <f>'SurveyRpt_20150223 (1)'!AH346+"h_l!$mG"</f>
        <v>#VALUE!</v>
      </c>
      <c r="EF56" t="e">
        <f>'SurveyRpt_20150223 (1)'!AI346+"h_l!$mH"</f>
        <v>#VALUE!</v>
      </c>
      <c r="EG56" t="e">
        <f>'SurveyRpt_20150223 (1)'!AJ346+"h_l!$mI"</f>
        <v>#VALUE!</v>
      </c>
      <c r="EH56" t="e">
        <f>'SurveyRpt_20150223 (1)'!AK346+"h_l!$mJ"</f>
        <v>#VALUE!</v>
      </c>
      <c r="EI56" t="e">
        <f>'SurveyRpt_20150223 (1)'!AL346+"h_l!$mK"</f>
        <v>#VALUE!</v>
      </c>
      <c r="EJ56" t="e">
        <f>'SurveyRpt_20150223 (1)'!AM346+"h_l!$mL"</f>
        <v>#VALUE!</v>
      </c>
      <c r="EK56" t="e">
        <f>'SurveyRpt_20150223 (1)'!AN346+"h_l!$mM"</f>
        <v>#VALUE!</v>
      </c>
      <c r="EL56" t="e">
        <f>'SurveyRpt_20150223 (1)'!A347+"h_l!$mN"</f>
        <v>#VALUE!</v>
      </c>
      <c r="EM56" s="25" t="e">
        <f>'SurveyRpt_20150223 (1)'!B347+"h_l!$mO"</f>
        <v>#VALUE!</v>
      </c>
      <c r="EN56" t="e">
        <f>'SurveyRpt_20150223 (1)'!C347+"h_l!$mP"</f>
        <v>#VALUE!</v>
      </c>
      <c r="EO56" s="25" t="e">
        <f>'SurveyRpt_20150223 (1)'!D347+"h_l!$mQ"</f>
        <v>#VALUE!</v>
      </c>
      <c r="EP56" t="e">
        <f>'SurveyRpt_20150223 (1)'!E347+"h_l!$mR"</f>
        <v>#VALUE!</v>
      </c>
      <c r="EQ56" t="e">
        <f>'SurveyRpt_20150223 (1)'!F347+"h_l!$mS"</f>
        <v>#VALUE!</v>
      </c>
      <c r="ER56" t="e">
        <f>'SurveyRpt_20150223 (1)'!G347+"h_l!$mT"</f>
        <v>#VALUE!</v>
      </c>
      <c r="ES56" t="e">
        <f>'SurveyRpt_20150223 (1)'!H347+"h_l!$mU"</f>
        <v>#VALUE!</v>
      </c>
      <c r="ET56" t="e">
        <f>'SurveyRpt_20150223 (1)'!I347+"h_l!$mV"</f>
        <v>#VALUE!</v>
      </c>
      <c r="EU56" t="e">
        <f>'SurveyRpt_20150223 (1)'!J347+"h_l!$mW"</f>
        <v>#VALUE!</v>
      </c>
      <c r="EV56" t="e">
        <f>'SurveyRpt_20150223 (1)'!K347+"h_l!$mX"</f>
        <v>#VALUE!</v>
      </c>
      <c r="EW56" t="e">
        <f>'SurveyRpt_20150223 (1)'!L347+"h_l!$mY"</f>
        <v>#VALUE!</v>
      </c>
      <c r="EX56" t="e">
        <f>'SurveyRpt_20150223 (1)'!M347+"h_l!$mZ"</f>
        <v>#VALUE!</v>
      </c>
      <c r="EY56" t="e">
        <f>'SurveyRpt_20150223 (1)'!N347+"h_l!$m["</f>
        <v>#VALUE!</v>
      </c>
      <c r="EZ56" t="e">
        <f>'SurveyRpt_20150223 (1)'!O347+"h_l!$m\"</f>
        <v>#VALUE!</v>
      </c>
      <c r="FA56" t="e">
        <f>'SurveyRpt_20150223 (1)'!P347+"h_l!$m]"</f>
        <v>#VALUE!</v>
      </c>
      <c r="FB56" t="e">
        <f>'SurveyRpt_20150223 (1)'!Q347+"h_l!$m^"</f>
        <v>#VALUE!</v>
      </c>
      <c r="FC56" t="e">
        <f>'SurveyRpt_20150223 (1)'!R347+"h_l!$m_"</f>
        <v>#VALUE!</v>
      </c>
      <c r="FD56" t="e">
        <f>'SurveyRpt_20150223 (1)'!S347+"h_l!$m`"</f>
        <v>#VALUE!</v>
      </c>
      <c r="FE56" t="e">
        <f>'SurveyRpt_20150223 (1)'!T347+"h_l!$ma"</f>
        <v>#VALUE!</v>
      </c>
      <c r="FF56" t="e">
        <f>'SurveyRpt_20150223 (1)'!U347+"h_l!$mb"</f>
        <v>#VALUE!</v>
      </c>
      <c r="FG56" t="e">
        <f>'SurveyRpt_20150223 (1)'!V347+"h_l!$mc"</f>
        <v>#VALUE!</v>
      </c>
      <c r="FH56" t="e">
        <f>'SurveyRpt_20150223 (1)'!W347+"h_l!$md"</f>
        <v>#VALUE!</v>
      </c>
      <c r="FI56" t="e">
        <f>'SurveyRpt_20150223 (1)'!X347+"h_l!$me"</f>
        <v>#VALUE!</v>
      </c>
      <c r="FJ56" t="e">
        <f>'SurveyRpt_20150223 (1)'!Y347+"h_l!$mf"</f>
        <v>#VALUE!</v>
      </c>
      <c r="FK56" t="e">
        <f>'SurveyRpt_20150223 (1)'!Z347+"h_l!$mg"</f>
        <v>#VALUE!</v>
      </c>
      <c r="FL56" t="e">
        <f>'SurveyRpt_20150223 (1)'!AA347+"h_l!$mh"</f>
        <v>#VALUE!</v>
      </c>
      <c r="FM56" t="e">
        <f>'SurveyRpt_20150223 (1)'!AB347+"h_l!$mi"</f>
        <v>#VALUE!</v>
      </c>
      <c r="FN56" t="e">
        <f>'SurveyRpt_20150223 (1)'!AC347+"h_l!$mj"</f>
        <v>#VALUE!</v>
      </c>
      <c r="FO56" t="e">
        <f>'SurveyRpt_20150223 (1)'!AD347+"h_l!$mk"</f>
        <v>#VALUE!</v>
      </c>
      <c r="FP56" t="e">
        <f>'SurveyRpt_20150223 (1)'!AE347+"h_l!$ml"</f>
        <v>#VALUE!</v>
      </c>
      <c r="FQ56" t="e">
        <f>'SurveyRpt_20150223 (1)'!AF347+"h_l!$mm"</f>
        <v>#VALUE!</v>
      </c>
      <c r="FR56" t="e">
        <f>'SurveyRpt_20150223 (1)'!AG347+"h_l!$mn"</f>
        <v>#VALUE!</v>
      </c>
      <c r="FS56" t="e">
        <f>'SurveyRpt_20150223 (1)'!AH347+"h_l!$mo"</f>
        <v>#VALUE!</v>
      </c>
      <c r="FT56" t="e">
        <f>'SurveyRpt_20150223 (1)'!AI347+"h_l!$mp"</f>
        <v>#VALUE!</v>
      </c>
      <c r="FU56" t="e">
        <f>'SurveyRpt_20150223 (1)'!AJ347+"h_l!$mq"</f>
        <v>#VALUE!</v>
      </c>
      <c r="FV56" t="e">
        <f>'SurveyRpt_20150223 (1)'!AK347+"h_l!$mr"</f>
        <v>#VALUE!</v>
      </c>
      <c r="FW56" t="e">
        <f>'SurveyRpt_20150223 (1)'!AL347+"h_l!$ms"</f>
        <v>#VALUE!</v>
      </c>
      <c r="FX56" t="e">
        <f>'SurveyRpt_20150223 (1)'!AM347+"h_l!$mt"</f>
        <v>#VALUE!</v>
      </c>
      <c r="FY56" t="e">
        <f>'SurveyRpt_20150223 (1)'!AN347+"h_l!$mu"</f>
        <v>#VALUE!</v>
      </c>
      <c r="FZ56" t="e">
        <f>'SurveyRpt_20150223 (1)'!A348+"h_l!$mv"</f>
        <v>#VALUE!</v>
      </c>
      <c r="GA56" s="25" t="e">
        <f>'SurveyRpt_20150223 (1)'!B348+"h_l!$mw"</f>
        <v>#VALUE!</v>
      </c>
      <c r="GB56" t="e">
        <f>'SurveyRpt_20150223 (1)'!C348+"h_l!$mx"</f>
        <v>#VALUE!</v>
      </c>
      <c r="GC56" s="25" t="e">
        <f>'SurveyRpt_20150223 (1)'!D348+"h_l!$my"</f>
        <v>#VALUE!</v>
      </c>
      <c r="GD56" t="e">
        <f>'SurveyRpt_20150223 (1)'!E348+"h_l!$mz"</f>
        <v>#VALUE!</v>
      </c>
      <c r="GE56" t="e">
        <f>'SurveyRpt_20150223 (1)'!F348+"h_l!$m{"</f>
        <v>#VALUE!</v>
      </c>
      <c r="GF56" t="e">
        <f>'SurveyRpt_20150223 (1)'!G348+"h_l!$m|"</f>
        <v>#VALUE!</v>
      </c>
      <c r="GG56" t="e">
        <f>'SurveyRpt_20150223 (1)'!H348+"h_l!$m}"</f>
        <v>#VALUE!</v>
      </c>
      <c r="GH56" t="e">
        <f>'SurveyRpt_20150223 (1)'!I348+"h_l!$m~"</f>
        <v>#VALUE!</v>
      </c>
      <c r="GI56" t="e">
        <f>'SurveyRpt_20150223 (1)'!J348+"h_l!$n#"</f>
        <v>#VALUE!</v>
      </c>
      <c r="GJ56" t="e">
        <f>'SurveyRpt_20150223 (1)'!K348+"h_l!$n$"</f>
        <v>#VALUE!</v>
      </c>
      <c r="GK56" t="e">
        <f>'SurveyRpt_20150223 (1)'!L348+"h_l!$n%"</f>
        <v>#VALUE!</v>
      </c>
      <c r="GL56" t="e">
        <f>'SurveyRpt_20150223 (1)'!M348+"h_l!$n&amp;"</f>
        <v>#VALUE!</v>
      </c>
      <c r="GM56" t="e">
        <f>'SurveyRpt_20150223 (1)'!N348+"h_l!$n'"</f>
        <v>#VALUE!</v>
      </c>
      <c r="GN56" t="e">
        <f>'SurveyRpt_20150223 (1)'!O348+"h_l!$n("</f>
        <v>#VALUE!</v>
      </c>
      <c r="GO56" t="e">
        <f>'SurveyRpt_20150223 (1)'!P348+"h_l!$n)"</f>
        <v>#VALUE!</v>
      </c>
      <c r="GP56" t="e">
        <f>'SurveyRpt_20150223 (1)'!Q348+"h_l!$n."</f>
        <v>#VALUE!</v>
      </c>
      <c r="GQ56" t="e">
        <f>'SurveyRpt_20150223 (1)'!R348+"h_l!$n/"</f>
        <v>#VALUE!</v>
      </c>
      <c r="GR56" t="e">
        <f>'SurveyRpt_20150223 (1)'!S348+"h_l!$n0"</f>
        <v>#VALUE!</v>
      </c>
      <c r="GS56" t="e">
        <f>'SurveyRpt_20150223 (1)'!T348+"h_l!$n1"</f>
        <v>#VALUE!</v>
      </c>
      <c r="GT56" t="e">
        <f>'SurveyRpt_20150223 (1)'!U348+"h_l!$n2"</f>
        <v>#VALUE!</v>
      </c>
      <c r="GU56" t="e">
        <f>'SurveyRpt_20150223 (1)'!V348+"h_l!$n3"</f>
        <v>#VALUE!</v>
      </c>
      <c r="GV56" t="e">
        <f>'SurveyRpt_20150223 (1)'!W348+"h_l!$n4"</f>
        <v>#VALUE!</v>
      </c>
      <c r="GW56" t="e">
        <f>'SurveyRpt_20150223 (1)'!X348+"h_l!$n5"</f>
        <v>#VALUE!</v>
      </c>
      <c r="GX56" t="e">
        <f>'SurveyRpt_20150223 (1)'!Y348+"h_l!$n6"</f>
        <v>#VALUE!</v>
      </c>
      <c r="GY56" t="e">
        <f>'SurveyRpt_20150223 (1)'!Z348+"h_l!$n7"</f>
        <v>#VALUE!</v>
      </c>
      <c r="GZ56" t="e">
        <f>'SurveyRpt_20150223 (1)'!AA348+"h_l!$n8"</f>
        <v>#VALUE!</v>
      </c>
      <c r="HA56" t="e">
        <f>'SurveyRpt_20150223 (1)'!AB348+"h_l!$n9"</f>
        <v>#VALUE!</v>
      </c>
      <c r="HB56" t="e">
        <f>'SurveyRpt_20150223 (1)'!AC348+"h_l!$n:"</f>
        <v>#VALUE!</v>
      </c>
      <c r="HC56" t="e">
        <f>'SurveyRpt_20150223 (1)'!AD348+"h_l!$n;"</f>
        <v>#VALUE!</v>
      </c>
      <c r="HD56" t="e">
        <f>'SurveyRpt_20150223 (1)'!AE348+"h_l!$n&lt;"</f>
        <v>#VALUE!</v>
      </c>
      <c r="HE56" t="e">
        <f>'SurveyRpt_20150223 (1)'!AF348+"h_l!$n="</f>
        <v>#VALUE!</v>
      </c>
      <c r="HF56" t="e">
        <f>'SurveyRpt_20150223 (1)'!AG348+"h_l!$n&gt;"</f>
        <v>#VALUE!</v>
      </c>
      <c r="HG56" t="e">
        <f>'SurveyRpt_20150223 (1)'!AH348+"h_l!$n?"</f>
        <v>#VALUE!</v>
      </c>
      <c r="HH56" t="e">
        <f>'SurveyRpt_20150223 (1)'!AI348+"h_l!$n@"</f>
        <v>#VALUE!</v>
      </c>
      <c r="HI56" t="e">
        <f>'SurveyRpt_20150223 (1)'!AJ348+"h_l!$nA"</f>
        <v>#VALUE!</v>
      </c>
      <c r="HJ56" t="e">
        <f>'SurveyRpt_20150223 (1)'!AK348+"h_l!$nB"</f>
        <v>#VALUE!</v>
      </c>
      <c r="HK56" t="e">
        <f>'SurveyRpt_20150223 (1)'!AL348+"h_l!$nC"</f>
        <v>#VALUE!</v>
      </c>
      <c r="HL56" t="e">
        <f>'SurveyRpt_20150223 (1)'!AM348+"h_l!$nD"</f>
        <v>#VALUE!</v>
      </c>
      <c r="HM56" t="e">
        <f>'SurveyRpt_20150223 (1)'!AN348+"h_l!$nE"</f>
        <v>#VALUE!</v>
      </c>
      <c r="HN56" t="e">
        <f>'SurveyRpt_20150223 (1)'!A349+"h_l!$nF"</f>
        <v>#VALUE!</v>
      </c>
      <c r="HO56" s="25" t="e">
        <f>'SurveyRpt_20150223 (1)'!B349+"h_l!$nG"</f>
        <v>#VALUE!</v>
      </c>
      <c r="HP56" t="e">
        <f>'SurveyRpt_20150223 (1)'!C349+"h_l!$nH"</f>
        <v>#VALUE!</v>
      </c>
      <c r="HQ56" s="25" t="e">
        <f>'SurveyRpt_20150223 (1)'!D349+"h_l!$nI"</f>
        <v>#VALUE!</v>
      </c>
      <c r="HR56" t="e">
        <f>'SurveyRpt_20150223 (1)'!E349+"h_l!$nJ"</f>
        <v>#VALUE!</v>
      </c>
      <c r="HS56" t="e">
        <f>'SurveyRpt_20150223 (1)'!F349+"h_l!$nK"</f>
        <v>#VALUE!</v>
      </c>
      <c r="HT56" t="e">
        <f>'SurveyRpt_20150223 (1)'!G349+"h_l!$nL"</f>
        <v>#VALUE!</v>
      </c>
      <c r="HU56" t="e">
        <f>'SurveyRpt_20150223 (1)'!H349+"h_l!$nM"</f>
        <v>#VALUE!</v>
      </c>
      <c r="HV56" t="e">
        <f>'SurveyRpt_20150223 (1)'!I349+"h_l!$nN"</f>
        <v>#VALUE!</v>
      </c>
      <c r="HW56" t="e">
        <f>'SurveyRpt_20150223 (1)'!J349+"h_l!$nO"</f>
        <v>#VALUE!</v>
      </c>
      <c r="HX56" t="e">
        <f>'SurveyRpt_20150223 (1)'!K349+"h_l!$nP"</f>
        <v>#VALUE!</v>
      </c>
      <c r="HY56" t="e">
        <f>'SurveyRpt_20150223 (1)'!L349+"h_l!$nQ"</f>
        <v>#VALUE!</v>
      </c>
      <c r="HZ56" t="e">
        <f>'SurveyRpt_20150223 (1)'!M349+"h_l!$nR"</f>
        <v>#VALUE!</v>
      </c>
      <c r="IA56" t="e">
        <f>'SurveyRpt_20150223 (1)'!N349+"h_l!$nS"</f>
        <v>#VALUE!</v>
      </c>
      <c r="IB56" t="e">
        <f>'SurveyRpt_20150223 (1)'!O349+"h_l!$nT"</f>
        <v>#VALUE!</v>
      </c>
      <c r="IC56" t="e">
        <f>'SurveyRpt_20150223 (1)'!P349+"h_l!$nU"</f>
        <v>#VALUE!</v>
      </c>
      <c r="ID56" t="e">
        <f>'SurveyRpt_20150223 (1)'!Q349+"h_l!$nV"</f>
        <v>#VALUE!</v>
      </c>
      <c r="IE56" t="e">
        <f>'SurveyRpt_20150223 (1)'!R349+"h_l!$nW"</f>
        <v>#VALUE!</v>
      </c>
      <c r="IF56" t="e">
        <f>'SurveyRpt_20150223 (1)'!S349+"h_l!$nX"</f>
        <v>#VALUE!</v>
      </c>
      <c r="IG56" t="e">
        <f>'SurveyRpt_20150223 (1)'!T349+"h_l!$nY"</f>
        <v>#VALUE!</v>
      </c>
      <c r="IH56" t="e">
        <f>'SurveyRpt_20150223 (1)'!U349+"h_l!$nZ"</f>
        <v>#VALUE!</v>
      </c>
      <c r="II56" t="e">
        <f>'SurveyRpt_20150223 (1)'!V349+"h_l!$n["</f>
        <v>#VALUE!</v>
      </c>
      <c r="IJ56" t="e">
        <f>'SurveyRpt_20150223 (1)'!W349+"h_l!$n\"</f>
        <v>#VALUE!</v>
      </c>
      <c r="IK56" t="e">
        <f>'SurveyRpt_20150223 (1)'!X349+"h_l!$n]"</f>
        <v>#VALUE!</v>
      </c>
      <c r="IL56" t="e">
        <f>'SurveyRpt_20150223 (1)'!Y349+"h_l!$n^"</f>
        <v>#VALUE!</v>
      </c>
      <c r="IM56" t="e">
        <f>'SurveyRpt_20150223 (1)'!Z349+"h_l!$n_"</f>
        <v>#VALUE!</v>
      </c>
      <c r="IN56" t="e">
        <f>'SurveyRpt_20150223 (1)'!AA349+"h_l!$n`"</f>
        <v>#VALUE!</v>
      </c>
      <c r="IO56" t="e">
        <f>'SurveyRpt_20150223 (1)'!AB349+"h_l!$na"</f>
        <v>#VALUE!</v>
      </c>
      <c r="IP56" t="e">
        <f>'SurveyRpt_20150223 (1)'!AC349+"h_l!$nb"</f>
        <v>#VALUE!</v>
      </c>
      <c r="IQ56" t="e">
        <f>'SurveyRpt_20150223 (1)'!AD349+"h_l!$nc"</f>
        <v>#VALUE!</v>
      </c>
      <c r="IR56" t="e">
        <f>'SurveyRpt_20150223 (1)'!AE349+"h_l!$nd"</f>
        <v>#VALUE!</v>
      </c>
      <c r="IS56" t="e">
        <f>'SurveyRpt_20150223 (1)'!AF349+"h_l!$ne"</f>
        <v>#VALUE!</v>
      </c>
      <c r="IT56" t="e">
        <f>'SurveyRpt_20150223 (1)'!AG349+"h_l!$nf"</f>
        <v>#VALUE!</v>
      </c>
      <c r="IU56" t="e">
        <f>'SurveyRpt_20150223 (1)'!AH349+"h_l!$ng"</f>
        <v>#VALUE!</v>
      </c>
      <c r="IV56" t="e">
        <f>'SurveyRpt_20150223 (1)'!AI349+"h_l!$nh"</f>
        <v>#VALUE!</v>
      </c>
    </row>
    <row r="57" spans="6:256" x14ac:dyDescent="0.25">
      <c r="F57" t="e">
        <f>'SurveyRpt_20150223 (1)'!AJ349+"h_l!$ni"</f>
        <v>#VALUE!</v>
      </c>
      <c r="G57" t="e">
        <f>'SurveyRpt_20150223 (1)'!AK349+"h_l!$nj"</f>
        <v>#VALUE!</v>
      </c>
      <c r="H57" t="e">
        <f>'SurveyRpt_20150223 (1)'!AL349+"h_l!$nk"</f>
        <v>#VALUE!</v>
      </c>
      <c r="I57" t="e">
        <f>'SurveyRpt_20150223 (1)'!AM349+"h_l!$nl"</f>
        <v>#VALUE!</v>
      </c>
      <c r="J57" t="e">
        <f>'SurveyRpt_20150223 (1)'!AN349+"h_l!$nm"</f>
        <v>#VALUE!</v>
      </c>
      <c r="K57" t="e">
        <f>'SurveyRpt_20150223 (1)'!A350+"h_l!$nn"</f>
        <v>#VALUE!</v>
      </c>
      <c r="L57" s="25" t="e">
        <f>'SurveyRpt_20150223 (1)'!B350+"h_l!$no"</f>
        <v>#VALUE!</v>
      </c>
      <c r="M57" t="e">
        <f>'SurveyRpt_20150223 (1)'!C350+"h_l!$np"</f>
        <v>#VALUE!</v>
      </c>
      <c r="N57" s="25" t="e">
        <f>'SurveyRpt_20150223 (1)'!D350+"h_l!$nq"</f>
        <v>#VALUE!</v>
      </c>
      <c r="O57" t="e">
        <f>'SurveyRpt_20150223 (1)'!E350+"h_l!$nr"</f>
        <v>#VALUE!</v>
      </c>
      <c r="P57" t="e">
        <f>'SurveyRpt_20150223 (1)'!F350+"h_l!$ns"</f>
        <v>#VALUE!</v>
      </c>
      <c r="Q57" t="e">
        <f>'SurveyRpt_20150223 (1)'!G350+"h_l!$nt"</f>
        <v>#VALUE!</v>
      </c>
      <c r="R57" t="e">
        <f>'SurveyRpt_20150223 (1)'!H350+"h_l!$nu"</f>
        <v>#VALUE!</v>
      </c>
      <c r="S57" t="e">
        <f>'SurveyRpt_20150223 (1)'!I350+"h_l!$nv"</f>
        <v>#VALUE!</v>
      </c>
      <c r="T57" t="e">
        <f>'SurveyRpt_20150223 (1)'!J350+"h_l!$nw"</f>
        <v>#VALUE!</v>
      </c>
      <c r="U57" t="e">
        <f>'SurveyRpt_20150223 (1)'!K350+"h_l!$nx"</f>
        <v>#VALUE!</v>
      </c>
      <c r="V57" t="e">
        <f>'SurveyRpt_20150223 (1)'!L350+"h_l!$ny"</f>
        <v>#VALUE!</v>
      </c>
      <c r="W57" t="e">
        <f>'SurveyRpt_20150223 (1)'!M350+"h_l!$nz"</f>
        <v>#VALUE!</v>
      </c>
      <c r="X57" t="e">
        <f>'SurveyRpt_20150223 (1)'!N350+"h_l!$n{"</f>
        <v>#VALUE!</v>
      </c>
      <c r="Y57" t="e">
        <f>'SurveyRpt_20150223 (1)'!O350+"h_l!$n|"</f>
        <v>#VALUE!</v>
      </c>
      <c r="Z57" t="e">
        <f>'SurveyRpt_20150223 (1)'!P350+"h_l!$n}"</f>
        <v>#VALUE!</v>
      </c>
      <c r="AA57" t="e">
        <f>'SurveyRpt_20150223 (1)'!Q350+"h_l!$n~"</f>
        <v>#VALUE!</v>
      </c>
      <c r="AB57" t="e">
        <f>'SurveyRpt_20150223 (1)'!R350+"h_l!$o#"</f>
        <v>#VALUE!</v>
      </c>
      <c r="AC57" t="e">
        <f>'SurveyRpt_20150223 (1)'!S350+"h_l!$o$"</f>
        <v>#VALUE!</v>
      </c>
      <c r="AD57" t="e">
        <f>'SurveyRpt_20150223 (1)'!T350+"h_l!$o%"</f>
        <v>#VALUE!</v>
      </c>
      <c r="AE57" t="e">
        <f>'SurveyRpt_20150223 (1)'!U350+"h_l!$o&amp;"</f>
        <v>#VALUE!</v>
      </c>
      <c r="AF57" t="e">
        <f>'SurveyRpt_20150223 (1)'!V350+"h_l!$o'"</f>
        <v>#VALUE!</v>
      </c>
      <c r="AG57" t="e">
        <f>'SurveyRpt_20150223 (1)'!W350+"h_l!$o("</f>
        <v>#VALUE!</v>
      </c>
      <c r="AH57" t="e">
        <f>'SurveyRpt_20150223 (1)'!X350+"h_l!$o)"</f>
        <v>#VALUE!</v>
      </c>
      <c r="AI57" t="e">
        <f>'SurveyRpt_20150223 (1)'!Y350+"h_l!$o."</f>
        <v>#VALUE!</v>
      </c>
      <c r="AJ57" t="e">
        <f>'SurveyRpt_20150223 (1)'!Z350+"h_l!$o/"</f>
        <v>#VALUE!</v>
      </c>
      <c r="AK57" t="e">
        <f>'SurveyRpt_20150223 (1)'!AA350+"h_l!$o0"</f>
        <v>#VALUE!</v>
      </c>
      <c r="AL57" t="e">
        <f>'SurveyRpt_20150223 (1)'!AB350+"h_l!$o1"</f>
        <v>#VALUE!</v>
      </c>
      <c r="AM57" t="e">
        <f>'SurveyRpt_20150223 (1)'!AC350+"h_l!$o2"</f>
        <v>#VALUE!</v>
      </c>
      <c r="AN57" t="e">
        <f>'SurveyRpt_20150223 (1)'!AD350+"h_l!$o3"</f>
        <v>#VALUE!</v>
      </c>
      <c r="AO57" t="e">
        <f>'SurveyRpt_20150223 (1)'!AE350+"h_l!$o4"</f>
        <v>#VALUE!</v>
      </c>
      <c r="AP57" t="e">
        <f>'SurveyRpt_20150223 (1)'!AF350+"h_l!$o5"</f>
        <v>#VALUE!</v>
      </c>
      <c r="AQ57" t="e">
        <f>'SurveyRpt_20150223 (1)'!AG350+"h_l!$o6"</f>
        <v>#VALUE!</v>
      </c>
      <c r="AR57" t="e">
        <f>'SurveyRpt_20150223 (1)'!AH350+"h_l!$o7"</f>
        <v>#VALUE!</v>
      </c>
      <c r="AS57" t="e">
        <f>'SurveyRpt_20150223 (1)'!AI350+"h_l!$o8"</f>
        <v>#VALUE!</v>
      </c>
      <c r="AT57" t="e">
        <f>'SurveyRpt_20150223 (1)'!AJ350+"h_l!$o9"</f>
        <v>#VALUE!</v>
      </c>
      <c r="AU57" t="e">
        <f>'SurveyRpt_20150223 (1)'!AK350+"h_l!$o:"</f>
        <v>#VALUE!</v>
      </c>
      <c r="AV57" t="e">
        <f>'SurveyRpt_20150223 (1)'!AL350+"h_l!$o;"</f>
        <v>#VALUE!</v>
      </c>
      <c r="AW57" t="e">
        <f>'SurveyRpt_20150223 (1)'!AM350+"h_l!$o&lt;"</f>
        <v>#VALUE!</v>
      </c>
      <c r="AX57" t="e">
        <f>'SurveyRpt_20150223 (1)'!AN350+"h_l!$o="</f>
        <v>#VALUE!</v>
      </c>
      <c r="AY57" t="e">
        <f>'SurveyRpt_20150223 (1)'!A351+"h_l!$o&gt;"</f>
        <v>#VALUE!</v>
      </c>
      <c r="AZ57" s="25" t="e">
        <f>'SurveyRpt_20150223 (1)'!B351+"h_l!$o?"</f>
        <v>#VALUE!</v>
      </c>
      <c r="BA57" t="e">
        <f>'SurveyRpt_20150223 (1)'!C351+"h_l!$o@"</f>
        <v>#VALUE!</v>
      </c>
      <c r="BB57" s="25" t="e">
        <f>'SurveyRpt_20150223 (1)'!D351+"h_l!$oA"</f>
        <v>#VALUE!</v>
      </c>
      <c r="BC57" t="e">
        <f>'SurveyRpt_20150223 (1)'!E351+"h_l!$oB"</f>
        <v>#VALUE!</v>
      </c>
      <c r="BD57" t="e">
        <f>'SurveyRpt_20150223 (1)'!F351+"h_l!$oC"</f>
        <v>#VALUE!</v>
      </c>
      <c r="BE57" t="e">
        <f>'SurveyRpt_20150223 (1)'!G351+"h_l!$oD"</f>
        <v>#VALUE!</v>
      </c>
      <c r="BF57" t="e">
        <f>'SurveyRpt_20150223 (1)'!H351+"h_l!$oE"</f>
        <v>#VALUE!</v>
      </c>
      <c r="BG57" t="e">
        <f>'SurveyRpt_20150223 (1)'!I351+"h_l!$oF"</f>
        <v>#VALUE!</v>
      </c>
      <c r="BH57" t="e">
        <f>'SurveyRpt_20150223 (1)'!J351+"h_l!$oG"</f>
        <v>#VALUE!</v>
      </c>
      <c r="BI57" t="e">
        <f>'SurveyRpt_20150223 (1)'!K351+"h_l!$oH"</f>
        <v>#VALUE!</v>
      </c>
      <c r="BJ57" t="e">
        <f>'SurveyRpt_20150223 (1)'!L351+"h_l!$oI"</f>
        <v>#VALUE!</v>
      </c>
      <c r="BK57" t="e">
        <f>'SurveyRpt_20150223 (1)'!M351+"h_l!$oJ"</f>
        <v>#VALUE!</v>
      </c>
      <c r="BL57" t="e">
        <f>'SurveyRpt_20150223 (1)'!N351+"h_l!$oK"</f>
        <v>#VALUE!</v>
      </c>
      <c r="BM57" t="e">
        <f>'SurveyRpt_20150223 (1)'!O351+"h_l!$oL"</f>
        <v>#VALUE!</v>
      </c>
      <c r="BN57" t="e">
        <f>'SurveyRpt_20150223 (1)'!P351+"h_l!$oM"</f>
        <v>#VALUE!</v>
      </c>
      <c r="BO57" t="e">
        <f>'SurveyRpt_20150223 (1)'!Q351+"h_l!$oN"</f>
        <v>#VALUE!</v>
      </c>
      <c r="BP57" t="e">
        <f>'SurveyRpt_20150223 (1)'!R351+"h_l!$oO"</f>
        <v>#VALUE!</v>
      </c>
      <c r="BQ57" t="e">
        <f>'SurveyRpt_20150223 (1)'!S351+"h_l!$oP"</f>
        <v>#VALUE!</v>
      </c>
      <c r="BR57" t="e">
        <f>'SurveyRpt_20150223 (1)'!T351+"h_l!$oQ"</f>
        <v>#VALUE!</v>
      </c>
      <c r="BS57" t="e">
        <f>'SurveyRpt_20150223 (1)'!U351+"h_l!$oR"</f>
        <v>#VALUE!</v>
      </c>
      <c r="BT57" t="e">
        <f>'SurveyRpt_20150223 (1)'!V351+"h_l!$oS"</f>
        <v>#VALUE!</v>
      </c>
      <c r="BU57" t="e">
        <f>'SurveyRpt_20150223 (1)'!W351+"h_l!$oT"</f>
        <v>#VALUE!</v>
      </c>
      <c r="BV57" t="e">
        <f>'SurveyRpt_20150223 (1)'!X351+"h_l!$oU"</f>
        <v>#VALUE!</v>
      </c>
      <c r="BW57" t="e">
        <f>'SurveyRpt_20150223 (1)'!Y351+"h_l!$oV"</f>
        <v>#VALUE!</v>
      </c>
      <c r="BX57" t="e">
        <f>'SurveyRpt_20150223 (1)'!Z351+"h_l!$oW"</f>
        <v>#VALUE!</v>
      </c>
      <c r="BY57" t="e">
        <f>'SurveyRpt_20150223 (1)'!AA351+"h_l!$oX"</f>
        <v>#VALUE!</v>
      </c>
      <c r="BZ57" t="e">
        <f>'SurveyRpt_20150223 (1)'!AB351+"h_l!$oY"</f>
        <v>#VALUE!</v>
      </c>
      <c r="CA57" t="e">
        <f>'SurveyRpt_20150223 (1)'!AC351+"h_l!$oZ"</f>
        <v>#VALUE!</v>
      </c>
      <c r="CB57" t="e">
        <f>'SurveyRpt_20150223 (1)'!AD351+"h_l!$o["</f>
        <v>#VALUE!</v>
      </c>
      <c r="CC57" t="e">
        <f>'SurveyRpt_20150223 (1)'!AE351+"h_l!$o\"</f>
        <v>#VALUE!</v>
      </c>
      <c r="CD57" t="e">
        <f>'SurveyRpt_20150223 (1)'!AF351+"h_l!$o]"</f>
        <v>#VALUE!</v>
      </c>
      <c r="CE57" t="e">
        <f>'SurveyRpt_20150223 (1)'!AG351+"h_l!$o^"</f>
        <v>#VALUE!</v>
      </c>
      <c r="CF57" t="e">
        <f>'SurveyRpt_20150223 (1)'!AH351+"h_l!$o_"</f>
        <v>#VALUE!</v>
      </c>
      <c r="CG57" t="e">
        <f>'SurveyRpt_20150223 (1)'!AI351+"h_l!$o`"</f>
        <v>#VALUE!</v>
      </c>
      <c r="CH57" t="e">
        <f>'SurveyRpt_20150223 (1)'!AJ351+"h_l!$oa"</f>
        <v>#VALUE!</v>
      </c>
      <c r="CI57" t="e">
        <f>'SurveyRpt_20150223 (1)'!AK351+"h_l!$ob"</f>
        <v>#VALUE!</v>
      </c>
      <c r="CJ57" t="e">
        <f>'SurveyRpt_20150223 (1)'!AL351+"h_l!$oc"</f>
        <v>#VALUE!</v>
      </c>
      <c r="CK57" t="e">
        <f>'SurveyRpt_20150223 (1)'!AM351+"h_l!$od"</f>
        <v>#VALUE!</v>
      </c>
      <c r="CL57" t="e">
        <f>'SurveyRpt_20150223 (1)'!AN351+"h_l!$oe"</f>
        <v>#VALUE!</v>
      </c>
      <c r="CM57" t="e">
        <f>'SurveyRpt_20150223 (1)'!A352+"h_l!$of"</f>
        <v>#VALUE!</v>
      </c>
      <c r="CN57" s="25" t="e">
        <f>'SurveyRpt_20150223 (1)'!B352+"h_l!$og"</f>
        <v>#VALUE!</v>
      </c>
      <c r="CO57" t="e">
        <f>'SurveyRpt_20150223 (1)'!C352+"h_l!$oh"</f>
        <v>#VALUE!</v>
      </c>
      <c r="CP57" s="25" t="e">
        <f>'SurveyRpt_20150223 (1)'!D352+"h_l!$oi"</f>
        <v>#VALUE!</v>
      </c>
      <c r="CQ57" t="e">
        <f>'SurveyRpt_20150223 (1)'!E352+"h_l!$oj"</f>
        <v>#VALUE!</v>
      </c>
      <c r="CR57" t="e">
        <f>'SurveyRpt_20150223 (1)'!F352+"h_l!$ok"</f>
        <v>#VALUE!</v>
      </c>
      <c r="CS57" t="e">
        <f>'SurveyRpt_20150223 (1)'!G352+"h_l!$ol"</f>
        <v>#VALUE!</v>
      </c>
      <c r="CT57" t="e">
        <f>'SurveyRpt_20150223 (1)'!H352+"h_l!$om"</f>
        <v>#VALUE!</v>
      </c>
      <c r="CU57" t="e">
        <f>'SurveyRpt_20150223 (1)'!I352+"h_l!$on"</f>
        <v>#VALUE!</v>
      </c>
      <c r="CV57" t="e">
        <f>'SurveyRpt_20150223 (1)'!J352+"h_l!$oo"</f>
        <v>#VALUE!</v>
      </c>
      <c r="CW57" t="e">
        <f>'SurveyRpt_20150223 (1)'!K352+"h_l!$op"</f>
        <v>#VALUE!</v>
      </c>
      <c r="CX57" t="e">
        <f>'SurveyRpt_20150223 (1)'!L352+"h_l!$oq"</f>
        <v>#VALUE!</v>
      </c>
      <c r="CY57" t="e">
        <f>'SurveyRpt_20150223 (1)'!M352+"h_l!$or"</f>
        <v>#VALUE!</v>
      </c>
      <c r="CZ57" t="e">
        <f>'SurveyRpt_20150223 (1)'!N352+"h_l!$os"</f>
        <v>#VALUE!</v>
      </c>
      <c r="DA57" t="e">
        <f>'SurveyRpt_20150223 (1)'!O352+"h_l!$ot"</f>
        <v>#VALUE!</v>
      </c>
      <c r="DB57" t="e">
        <f>'SurveyRpt_20150223 (1)'!P352+"h_l!$ou"</f>
        <v>#VALUE!</v>
      </c>
      <c r="DC57" t="e">
        <f>'SurveyRpt_20150223 (1)'!Q352+"h_l!$ov"</f>
        <v>#VALUE!</v>
      </c>
      <c r="DD57" t="e">
        <f>'SurveyRpt_20150223 (1)'!R352+"h_l!$ow"</f>
        <v>#VALUE!</v>
      </c>
      <c r="DE57" t="e">
        <f>'SurveyRpt_20150223 (1)'!S352+"h_l!$ox"</f>
        <v>#VALUE!</v>
      </c>
      <c r="DF57" t="e">
        <f>'SurveyRpt_20150223 (1)'!T352+"h_l!$oy"</f>
        <v>#VALUE!</v>
      </c>
      <c r="DG57" t="e">
        <f>'SurveyRpt_20150223 (1)'!U352+"h_l!$oz"</f>
        <v>#VALUE!</v>
      </c>
      <c r="DH57" t="e">
        <f>'SurveyRpt_20150223 (1)'!V352+"h_l!$o{"</f>
        <v>#VALUE!</v>
      </c>
      <c r="DI57" t="e">
        <f>'SurveyRpt_20150223 (1)'!W352+"h_l!$o|"</f>
        <v>#VALUE!</v>
      </c>
      <c r="DJ57" t="e">
        <f>'SurveyRpt_20150223 (1)'!X352+"h_l!$o}"</f>
        <v>#VALUE!</v>
      </c>
      <c r="DK57" t="e">
        <f>'SurveyRpt_20150223 (1)'!Y352+"h_l!$o~"</f>
        <v>#VALUE!</v>
      </c>
      <c r="DL57" t="e">
        <f>'SurveyRpt_20150223 (1)'!Z352+"h_l!$p#"</f>
        <v>#VALUE!</v>
      </c>
      <c r="DM57" t="e">
        <f>'SurveyRpt_20150223 (1)'!AA352+"h_l!$p$"</f>
        <v>#VALUE!</v>
      </c>
      <c r="DN57" t="e">
        <f>'SurveyRpt_20150223 (1)'!AB352+"h_l!$p%"</f>
        <v>#VALUE!</v>
      </c>
      <c r="DO57" t="e">
        <f>'SurveyRpt_20150223 (1)'!AC352+"h_l!$p&amp;"</f>
        <v>#VALUE!</v>
      </c>
      <c r="DP57" t="e">
        <f>'SurveyRpt_20150223 (1)'!AD352+"h_l!$p'"</f>
        <v>#VALUE!</v>
      </c>
      <c r="DQ57" t="e">
        <f>'SurveyRpt_20150223 (1)'!AE352+"h_l!$p("</f>
        <v>#VALUE!</v>
      </c>
      <c r="DR57" t="e">
        <f>'SurveyRpt_20150223 (1)'!AF352+"h_l!$p)"</f>
        <v>#VALUE!</v>
      </c>
      <c r="DS57" t="e">
        <f>'SurveyRpt_20150223 (1)'!AG352+"h_l!$p."</f>
        <v>#VALUE!</v>
      </c>
      <c r="DT57" t="e">
        <f>'SurveyRpt_20150223 (1)'!AH352+"h_l!$p/"</f>
        <v>#VALUE!</v>
      </c>
      <c r="DU57" t="e">
        <f>'SurveyRpt_20150223 (1)'!AI352+"h_l!$p0"</f>
        <v>#VALUE!</v>
      </c>
      <c r="DV57" t="e">
        <f>'SurveyRpt_20150223 (1)'!AJ352+"h_l!$p1"</f>
        <v>#VALUE!</v>
      </c>
      <c r="DW57" t="e">
        <f>'SurveyRpt_20150223 (1)'!AK352+"h_l!$p2"</f>
        <v>#VALUE!</v>
      </c>
      <c r="DX57" t="e">
        <f>'SurveyRpt_20150223 (1)'!AL352+"h_l!$p3"</f>
        <v>#VALUE!</v>
      </c>
      <c r="DY57" t="e">
        <f>'SurveyRpt_20150223 (1)'!AM352+"h_l!$p4"</f>
        <v>#VALUE!</v>
      </c>
      <c r="DZ57" t="e">
        <f>'SurveyRpt_20150223 (1)'!AN352+"h_l!$p5"</f>
        <v>#VALUE!</v>
      </c>
      <c r="EA57" t="e">
        <f>'SurveyRpt_20150223 (1)'!A353+"h_l!$p6"</f>
        <v>#VALUE!</v>
      </c>
      <c r="EB57" s="25" t="e">
        <f>'SurveyRpt_20150223 (1)'!B353+"h_l!$p7"</f>
        <v>#VALUE!</v>
      </c>
      <c r="EC57" t="e">
        <f>'SurveyRpt_20150223 (1)'!C353+"h_l!$p8"</f>
        <v>#VALUE!</v>
      </c>
      <c r="ED57" s="25" t="e">
        <f>'SurveyRpt_20150223 (1)'!D353+"h_l!$p9"</f>
        <v>#VALUE!</v>
      </c>
      <c r="EE57" t="e">
        <f>'SurveyRpt_20150223 (1)'!E353+"h_l!$p:"</f>
        <v>#VALUE!</v>
      </c>
      <c r="EF57" t="e">
        <f>'SurveyRpt_20150223 (1)'!F353+"h_l!$p;"</f>
        <v>#VALUE!</v>
      </c>
      <c r="EG57" t="e">
        <f>'SurveyRpt_20150223 (1)'!G353+"h_l!$p&lt;"</f>
        <v>#VALUE!</v>
      </c>
      <c r="EH57" t="e">
        <f>'SurveyRpt_20150223 (1)'!H353+"h_l!$p="</f>
        <v>#VALUE!</v>
      </c>
      <c r="EI57" t="e">
        <f>'SurveyRpt_20150223 (1)'!I353+"h_l!$p&gt;"</f>
        <v>#VALUE!</v>
      </c>
      <c r="EJ57" t="e">
        <f>'SurveyRpt_20150223 (1)'!J353+"h_l!$p?"</f>
        <v>#VALUE!</v>
      </c>
      <c r="EK57" t="e">
        <f>'SurveyRpt_20150223 (1)'!K353+"h_l!$p@"</f>
        <v>#VALUE!</v>
      </c>
      <c r="EL57" t="e">
        <f>'SurveyRpt_20150223 (1)'!L353+"h_l!$pA"</f>
        <v>#VALUE!</v>
      </c>
      <c r="EM57" t="e">
        <f>'SurveyRpt_20150223 (1)'!M353+"h_l!$pB"</f>
        <v>#VALUE!</v>
      </c>
      <c r="EN57" t="e">
        <f>'SurveyRpt_20150223 (1)'!N353+"h_l!$pC"</f>
        <v>#VALUE!</v>
      </c>
      <c r="EO57" t="e">
        <f>'SurveyRpt_20150223 (1)'!O353+"h_l!$pD"</f>
        <v>#VALUE!</v>
      </c>
      <c r="EP57" t="e">
        <f>'SurveyRpt_20150223 (1)'!P353+"h_l!$pE"</f>
        <v>#VALUE!</v>
      </c>
      <c r="EQ57" t="e">
        <f>'SurveyRpt_20150223 (1)'!Q353+"h_l!$pF"</f>
        <v>#VALUE!</v>
      </c>
      <c r="ER57" t="e">
        <f>'SurveyRpt_20150223 (1)'!R353+"h_l!$pG"</f>
        <v>#VALUE!</v>
      </c>
      <c r="ES57" t="e">
        <f>'SurveyRpt_20150223 (1)'!S353+"h_l!$pH"</f>
        <v>#VALUE!</v>
      </c>
      <c r="ET57" t="e">
        <f>'SurveyRpt_20150223 (1)'!T353+"h_l!$pI"</f>
        <v>#VALUE!</v>
      </c>
      <c r="EU57" t="e">
        <f>'SurveyRpt_20150223 (1)'!U353+"h_l!$pJ"</f>
        <v>#VALUE!</v>
      </c>
      <c r="EV57" t="e">
        <f>'SurveyRpt_20150223 (1)'!V353+"h_l!$pK"</f>
        <v>#VALUE!</v>
      </c>
      <c r="EW57" t="e">
        <f>'SurveyRpt_20150223 (1)'!W353+"h_l!$pL"</f>
        <v>#VALUE!</v>
      </c>
      <c r="EX57" t="e">
        <f>'SurveyRpt_20150223 (1)'!X353+"h_l!$pM"</f>
        <v>#VALUE!</v>
      </c>
      <c r="EY57" t="e">
        <f>'SurveyRpt_20150223 (1)'!Y353+"h_l!$pN"</f>
        <v>#VALUE!</v>
      </c>
      <c r="EZ57" t="e">
        <f>'SurveyRpt_20150223 (1)'!Z353+"h_l!$pO"</f>
        <v>#VALUE!</v>
      </c>
      <c r="FA57" t="e">
        <f>'SurveyRpt_20150223 (1)'!AA353+"h_l!$pP"</f>
        <v>#VALUE!</v>
      </c>
      <c r="FB57" t="e">
        <f>'SurveyRpt_20150223 (1)'!AB353+"h_l!$pQ"</f>
        <v>#VALUE!</v>
      </c>
      <c r="FC57" t="e">
        <f>'SurveyRpt_20150223 (1)'!AC353+"h_l!$pR"</f>
        <v>#VALUE!</v>
      </c>
      <c r="FD57" t="e">
        <f>'SurveyRpt_20150223 (1)'!AD353+"h_l!$pS"</f>
        <v>#VALUE!</v>
      </c>
      <c r="FE57" t="e">
        <f>'SurveyRpt_20150223 (1)'!AE353+"h_l!$pT"</f>
        <v>#VALUE!</v>
      </c>
      <c r="FF57" t="e">
        <f>'SurveyRpt_20150223 (1)'!AF353+"h_l!$pU"</f>
        <v>#VALUE!</v>
      </c>
      <c r="FG57" t="e">
        <f>'SurveyRpt_20150223 (1)'!AG353+"h_l!$pV"</f>
        <v>#VALUE!</v>
      </c>
      <c r="FH57" t="e">
        <f>'SurveyRpt_20150223 (1)'!AH353+"h_l!$pW"</f>
        <v>#VALUE!</v>
      </c>
      <c r="FI57" t="e">
        <f>'SurveyRpt_20150223 (1)'!AI353+"h_l!$pX"</f>
        <v>#VALUE!</v>
      </c>
      <c r="FJ57" t="e">
        <f>'SurveyRpt_20150223 (1)'!AJ353+"h_l!$pY"</f>
        <v>#VALUE!</v>
      </c>
      <c r="FK57" t="e">
        <f>'SurveyRpt_20150223 (1)'!AK353+"h_l!$pZ"</f>
        <v>#VALUE!</v>
      </c>
      <c r="FL57" t="e">
        <f>'SurveyRpt_20150223 (1)'!AL353+"h_l!$p["</f>
        <v>#VALUE!</v>
      </c>
      <c r="FM57" t="e">
        <f>'SurveyRpt_20150223 (1)'!AM353+"h_l!$p\"</f>
        <v>#VALUE!</v>
      </c>
      <c r="FN57" t="e">
        <f>'SurveyRpt_20150223 (1)'!AN353+"h_l!$p]"</f>
        <v>#VALUE!</v>
      </c>
      <c r="FO57" t="e">
        <f>'SurveyRpt_20150223 (1)'!A354+"h_l!$p^"</f>
        <v>#VALUE!</v>
      </c>
      <c r="FP57" s="25" t="e">
        <f>'SurveyRpt_20150223 (1)'!B354+"h_l!$p_"</f>
        <v>#VALUE!</v>
      </c>
      <c r="FQ57" t="e">
        <f>'SurveyRpt_20150223 (1)'!C354+"h_l!$p`"</f>
        <v>#VALUE!</v>
      </c>
      <c r="FR57" s="25" t="e">
        <f>'SurveyRpt_20150223 (1)'!D354+"h_l!$pa"</f>
        <v>#VALUE!</v>
      </c>
      <c r="FS57" t="e">
        <f>'SurveyRpt_20150223 (1)'!E354+"h_l!$pb"</f>
        <v>#VALUE!</v>
      </c>
      <c r="FT57" t="e">
        <f>'SurveyRpt_20150223 (1)'!F354+"h_l!$pc"</f>
        <v>#VALUE!</v>
      </c>
      <c r="FU57" t="e">
        <f>'SurveyRpt_20150223 (1)'!G354+"h_l!$pd"</f>
        <v>#VALUE!</v>
      </c>
      <c r="FV57" t="e">
        <f>'SurveyRpt_20150223 (1)'!H354+"h_l!$pe"</f>
        <v>#VALUE!</v>
      </c>
      <c r="FW57" t="e">
        <f>'SurveyRpt_20150223 (1)'!I354+"h_l!$pf"</f>
        <v>#VALUE!</v>
      </c>
      <c r="FX57" t="e">
        <f>'SurveyRpt_20150223 (1)'!J354+"h_l!$pg"</f>
        <v>#VALUE!</v>
      </c>
      <c r="FY57" t="e">
        <f>'SurveyRpt_20150223 (1)'!K354+"h_l!$ph"</f>
        <v>#VALUE!</v>
      </c>
      <c r="FZ57" t="e">
        <f>'SurveyRpt_20150223 (1)'!L354+"h_l!$pi"</f>
        <v>#VALUE!</v>
      </c>
      <c r="GA57" t="e">
        <f>'SurveyRpt_20150223 (1)'!M354+"h_l!$pj"</f>
        <v>#VALUE!</v>
      </c>
      <c r="GB57" t="e">
        <f>'SurveyRpt_20150223 (1)'!N354+"h_l!$pk"</f>
        <v>#VALUE!</v>
      </c>
      <c r="GC57" t="e">
        <f>'SurveyRpt_20150223 (1)'!O354+"h_l!$pl"</f>
        <v>#VALUE!</v>
      </c>
      <c r="GD57" t="e">
        <f>'SurveyRpt_20150223 (1)'!P354+"h_l!$pm"</f>
        <v>#VALUE!</v>
      </c>
      <c r="GE57" t="e">
        <f>'SurveyRpt_20150223 (1)'!Q354+"h_l!$pn"</f>
        <v>#VALUE!</v>
      </c>
      <c r="GF57" t="e">
        <f>'SurveyRpt_20150223 (1)'!R354+"h_l!$po"</f>
        <v>#VALUE!</v>
      </c>
      <c r="GG57" t="e">
        <f>'SurveyRpt_20150223 (1)'!S354+"h_l!$pp"</f>
        <v>#VALUE!</v>
      </c>
      <c r="GH57" t="e">
        <f>'SurveyRpt_20150223 (1)'!T354+"h_l!$pq"</f>
        <v>#VALUE!</v>
      </c>
      <c r="GI57" t="e">
        <f>'SurveyRpt_20150223 (1)'!U354+"h_l!$pr"</f>
        <v>#VALUE!</v>
      </c>
      <c r="GJ57" t="e">
        <f>'SurveyRpt_20150223 (1)'!V354+"h_l!$ps"</f>
        <v>#VALUE!</v>
      </c>
      <c r="GK57" t="e">
        <f>'SurveyRpt_20150223 (1)'!W354+"h_l!$pt"</f>
        <v>#VALUE!</v>
      </c>
      <c r="GL57" t="e">
        <f>'SurveyRpt_20150223 (1)'!X354+"h_l!$pu"</f>
        <v>#VALUE!</v>
      </c>
      <c r="GM57" t="e">
        <f>'SurveyRpt_20150223 (1)'!Y354+"h_l!$pv"</f>
        <v>#VALUE!</v>
      </c>
      <c r="GN57" t="e">
        <f>'SurveyRpt_20150223 (1)'!Z354+"h_l!$pw"</f>
        <v>#VALUE!</v>
      </c>
      <c r="GO57" t="e">
        <f>'SurveyRpt_20150223 (1)'!AA354+"h_l!$px"</f>
        <v>#VALUE!</v>
      </c>
      <c r="GP57" t="e">
        <f>'SurveyRpt_20150223 (1)'!AB354+"h_l!$py"</f>
        <v>#VALUE!</v>
      </c>
      <c r="GQ57" t="e">
        <f>'SurveyRpt_20150223 (1)'!AC354+"h_l!$pz"</f>
        <v>#VALUE!</v>
      </c>
      <c r="GR57" t="e">
        <f>'SurveyRpt_20150223 (1)'!AD354+"h_l!$p{"</f>
        <v>#VALUE!</v>
      </c>
      <c r="GS57" t="e">
        <f>'SurveyRpt_20150223 (1)'!AE354+"h_l!$p|"</f>
        <v>#VALUE!</v>
      </c>
      <c r="GT57" t="e">
        <f>'SurveyRpt_20150223 (1)'!AF354+"h_l!$p}"</f>
        <v>#VALUE!</v>
      </c>
      <c r="GU57" t="e">
        <f>'SurveyRpt_20150223 (1)'!AG354+"h_l!$p~"</f>
        <v>#VALUE!</v>
      </c>
      <c r="GV57" t="e">
        <f>'SurveyRpt_20150223 (1)'!AH354+"h_l!$q#"</f>
        <v>#VALUE!</v>
      </c>
      <c r="GW57" t="e">
        <f>'SurveyRpt_20150223 (1)'!AI354+"h_l!$q$"</f>
        <v>#VALUE!</v>
      </c>
      <c r="GX57" t="e">
        <f>'SurveyRpt_20150223 (1)'!AJ354+"h_l!$q%"</f>
        <v>#VALUE!</v>
      </c>
      <c r="GY57" t="e">
        <f>'SurveyRpt_20150223 (1)'!AK354+"h_l!$q&amp;"</f>
        <v>#VALUE!</v>
      </c>
      <c r="GZ57" t="e">
        <f>'SurveyRpt_20150223 (1)'!AL354+"h_l!$q'"</f>
        <v>#VALUE!</v>
      </c>
      <c r="HA57" t="e">
        <f>'SurveyRpt_20150223 (1)'!AM354+"h_l!$q("</f>
        <v>#VALUE!</v>
      </c>
      <c r="HB57" t="e">
        <f>'SurveyRpt_20150223 (1)'!AN354+"h_l!$q)"</f>
        <v>#VALUE!</v>
      </c>
      <c r="HC57" t="e">
        <f>'SurveyRpt_20150223 (1)'!A355+"h_l!$q."</f>
        <v>#VALUE!</v>
      </c>
      <c r="HD57" s="25" t="e">
        <f>'SurveyRpt_20150223 (1)'!B355+"h_l!$q/"</f>
        <v>#VALUE!</v>
      </c>
      <c r="HE57" t="e">
        <f>'SurveyRpt_20150223 (1)'!C355+"h_l!$q0"</f>
        <v>#VALUE!</v>
      </c>
      <c r="HF57" s="25" t="e">
        <f>'SurveyRpt_20150223 (1)'!D355+"h_l!$q1"</f>
        <v>#VALUE!</v>
      </c>
      <c r="HG57" t="e">
        <f>'SurveyRpt_20150223 (1)'!E355+"h_l!$q2"</f>
        <v>#VALUE!</v>
      </c>
      <c r="HH57" t="e">
        <f>'SurveyRpt_20150223 (1)'!F355+"h_l!$q3"</f>
        <v>#VALUE!</v>
      </c>
      <c r="HI57" t="e">
        <f>'SurveyRpt_20150223 (1)'!G355+"h_l!$q4"</f>
        <v>#VALUE!</v>
      </c>
      <c r="HJ57" t="e">
        <f>'SurveyRpt_20150223 (1)'!H355+"h_l!$q5"</f>
        <v>#VALUE!</v>
      </c>
      <c r="HK57" t="e">
        <f>'SurveyRpt_20150223 (1)'!I355+"h_l!$q6"</f>
        <v>#VALUE!</v>
      </c>
      <c r="HL57" t="e">
        <f>'SurveyRpt_20150223 (1)'!J355+"h_l!$q7"</f>
        <v>#VALUE!</v>
      </c>
      <c r="HM57" t="e">
        <f>'SurveyRpt_20150223 (1)'!K355+"h_l!$q8"</f>
        <v>#VALUE!</v>
      </c>
      <c r="HN57" t="e">
        <f>'SurveyRpt_20150223 (1)'!L355+"h_l!$q9"</f>
        <v>#VALUE!</v>
      </c>
      <c r="HO57" t="e">
        <f>'SurveyRpt_20150223 (1)'!M355+"h_l!$q:"</f>
        <v>#VALUE!</v>
      </c>
      <c r="HP57" t="e">
        <f>'SurveyRpt_20150223 (1)'!N355+"h_l!$q;"</f>
        <v>#VALUE!</v>
      </c>
      <c r="HQ57" t="e">
        <f>'SurveyRpt_20150223 (1)'!O355+"h_l!$q&lt;"</f>
        <v>#VALUE!</v>
      </c>
      <c r="HR57" t="e">
        <f>'SurveyRpt_20150223 (1)'!P355+"h_l!$q="</f>
        <v>#VALUE!</v>
      </c>
      <c r="HS57" t="e">
        <f>'SurveyRpt_20150223 (1)'!Q355+"h_l!$q&gt;"</f>
        <v>#VALUE!</v>
      </c>
      <c r="HT57" t="e">
        <f>'SurveyRpt_20150223 (1)'!R355+"h_l!$q?"</f>
        <v>#VALUE!</v>
      </c>
      <c r="HU57" t="e">
        <f>'SurveyRpt_20150223 (1)'!S355+"h_l!$q@"</f>
        <v>#VALUE!</v>
      </c>
      <c r="HV57" t="e">
        <f>'SurveyRpt_20150223 (1)'!T355+"h_l!$qA"</f>
        <v>#VALUE!</v>
      </c>
      <c r="HW57" t="e">
        <f>'SurveyRpt_20150223 (1)'!U355+"h_l!$qB"</f>
        <v>#VALUE!</v>
      </c>
      <c r="HX57" t="e">
        <f>'SurveyRpt_20150223 (1)'!V355+"h_l!$qC"</f>
        <v>#VALUE!</v>
      </c>
      <c r="HY57" t="e">
        <f>'SurveyRpt_20150223 (1)'!W355+"h_l!$qD"</f>
        <v>#VALUE!</v>
      </c>
      <c r="HZ57" t="e">
        <f>'SurveyRpt_20150223 (1)'!X355+"h_l!$qE"</f>
        <v>#VALUE!</v>
      </c>
      <c r="IA57" t="e">
        <f>'SurveyRpt_20150223 (1)'!Y355+"h_l!$qF"</f>
        <v>#VALUE!</v>
      </c>
      <c r="IB57" t="e">
        <f>'SurveyRpt_20150223 (1)'!Z355+"h_l!$qG"</f>
        <v>#VALUE!</v>
      </c>
      <c r="IC57" t="e">
        <f>'SurveyRpt_20150223 (1)'!AA355+"h_l!$qH"</f>
        <v>#VALUE!</v>
      </c>
      <c r="ID57" t="e">
        <f>'SurveyRpt_20150223 (1)'!AB355+"h_l!$qI"</f>
        <v>#VALUE!</v>
      </c>
      <c r="IE57" t="e">
        <f>'SurveyRpt_20150223 (1)'!AC355+"h_l!$qJ"</f>
        <v>#VALUE!</v>
      </c>
      <c r="IF57" t="e">
        <f>'SurveyRpt_20150223 (1)'!AD355+"h_l!$qK"</f>
        <v>#VALUE!</v>
      </c>
      <c r="IG57" t="e">
        <f>'SurveyRpt_20150223 (1)'!AE355+"h_l!$qL"</f>
        <v>#VALUE!</v>
      </c>
      <c r="IH57" t="e">
        <f>'SurveyRpt_20150223 (1)'!AF355+"h_l!$qM"</f>
        <v>#VALUE!</v>
      </c>
      <c r="II57" t="e">
        <f>'SurveyRpt_20150223 (1)'!AG355+"h_l!$qN"</f>
        <v>#VALUE!</v>
      </c>
      <c r="IJ57" t="e">
        <f>'SurveyRpt_20150223 (1)'!AH355+"h_l!$qO"</f>
        <v>#VALUE!</v>
      </c>
      <c r="IK57" t="e">
        <f>'SurveyRpt_20150223 (1)'!AI355+"h_l!$qP"</f>
        <v>#VALUE!</v>
      </c>
      <c r="IL57" t="e">
        <f>'SurveyRpt_20150223 (1)'!AJ355+"h_l!$qQ"</f>
        <v>#VALUE!</v>
      </c>
      <c r="IM57" t="e">
        <f>'SurveyRpt_20150223 (1)'!AK355+"h_l!$qR"</f>
        <v>#VALUE!</v>
      </c>
      <c r="IN57" t="e">
        <f>'SurveyRpt_20150223 (1)'!AL355+"h_l!$qS"</f>
        <v>#VALUE!</v>
      </c>
      <c r="IO57" t="e">
        <f>'SurveyRpt_20150223 (1)'!AM355+"h_l!$qT"</f>
        <v>#VALUE!</v>
      </c>
      <c r="IP57" t="e">
        <f>'SurveyRpt_20150223 (1)'!AN355+"h_l!$qU"</f>
        <v>#VALUE!</v>
      </c>
      <c r="IQ57" t="e">
        <f>'SurveyRpt_20150223 (1)'!A356+"h_l!$qV"</f>
        <v>#VALUE!</v>
      </c>
      <c r="IR57" s="25" t="e">
        <f>'SurveyRpt_20150223 (1)'!B356+"h_l!$qW"</f>
        <v>#VALUE!</v>
      </c>
      <c r="IS57" t="e">
        <f>'SurveyRpt_20150223 (1)'!C356+"h_l!$qX"</f>
        <v>#VALUE!</v>
      </c>
      <c r="IT57" s="25" t="e">
        <f>'SurveyRpt_20150223 (1)'!D356+"h_l!$qY"</f>
        <v>#VALUE!</v>
      </c>
      <c r="IU57" t="e">
        <f>'SurveyRpt_20150223 (1)'!E356+"h_l!$qZ"</f>
        <v>#VALUE!</v>
      </c>
      <c r="IV57" t="e">
        <f>'SurveyRpt_20150223 (1)'!F356+"h_l!$q["</f>
        <v>#VALUE!</v>
      </c>
    </row>
    <row r="58" spans="6:256" x14ac:dyDescent="0.25">
      <c r="F58" t="e">
        <f>'SurveyRpt_20150223 (1)'!G356+"h_l!$q\"</f>
        <v>#VALUE!</v>
      </c>
      <c r="G58" t="e">
        <f>'SurveyRpt_20150223 (1)'!H356+"h_l!$q]"</f>
        <v>#VALUE!</v>
      </c>
      <c r="H58" t="e">
        <f>'SurveyRpt_20150223 (1)'!I356+"h_l!$q^"</f>
        <v>#VALUE!</v>
      </c>
      <c r="I58" t="e">
        <f>'SurveyRpt_20150223 (1)'!J356+"h_l!$q_"</f>
        <v>#VALUE!</v>
      </c>
      <c r="J58" t="e">
        <f>'SurveyRpt_20150223 (1)'!K356+"h_l!$q`"</f>
        <v>#VALUE!</v>
      </c>
      <c r="K58" t="e">
        <f>'SurveyRpt_20150223 (1)'!L356+"h_l!$qa"</f>
        <v>#VALUE!</v>
      </c>
      <c r="L58" t="e">
        <f>'SurveyRpt_20150223 (1)'!M356+"h_l!$qb"</f>
        <v>#VALUE!</v>
      </c>
      <c r="M58" t="e">
        <f>'SurveyRpt_20150223 (1)'!N356+"h_l!$qc"</f>
        <v>#VALUE!</v>
      </c>
      <c r="N58" t="e">
        <f>'SurveyRpt_20150223 (1)'!O356+"h_l!$qd"</f>
        <v>#VALUE!</v>
      </c>
      <c r="O58" t="e">
        <f>'SurveyRpt_20150223 (1)'!P356+"h_l!$qe"</f>
        <v>#VALUE!</v>
      </c>
      <c r="P58" t="e">
        <f>'SurveyRpt_20150223 (1)'!Q356+"h_l!$qf"</f>
        <v>#VALUE!</v>
      </c>
      <c r="Q58" t="e">
        <f>'SurveyRpt_20150223 (1)'!R356+"h_l!$qg"</f>
        <v>#VALUE!</v>
      </c>
      <c r="R58" t="e">
        <f>'SurveyRpt_20150223 (1)'!S356+"h_l!$qh"</f>
        <v>#VALUE!</v>
      </c>
      <c r="S58" t="e">
        <f>'SurveyRpt_20150223 (1)'!T356+"h_l!$qi"</f>
        <v>#VALUE!</v>
      </c>
      <c r="T58" t="e">
        <f>'SurveyRpt_20150223 (1)'!U356+"h_l!$qj"</f>
        <v>#VALUE!</v>
      </c>
      <c r="U58" t="e">
        <f>'SurveyRpt_20150223 (1)'!V356+"h_l!$qk"</f>
        <v>#VALUE!</v>
      </c>
      <c r="V58" t="e">
        <f>'SurveyRpt_20150223 (1)'!W356+"h_l!$ql"</f>
        <v>#VALUE!</v>
      </c>
      <c r="W58" t="e">
        <f>'SurveyRpt_20150223 (1)'!X356+"h_l!$qm"</f>
        <v>#VALUE!</v>
      </c>
      <c r="X58" t="e">
        <f>'SurveyRpt_20150223 (1)'!Y356+"h_l!$qn"</f>
        <v>#VALUE!</v>
      </c>
      <c r="Y58" t="e">
        <f>'SurveyRpt_20150223 (1)'!Z356+"h_l!$qo"</f>
        <v>#VALUE!</v>
      </c>
      <c r="Z58" t="e">
        <f>'SurveyRpt_20150223 (1)'!AA356+"h_l!$qp"</f>
        <v>#VALUE!</v>
      </c>
      <c r="AA58" t="e">
        <f>'SurveyRpt_20150223 (1)'!AB356+"h_l!$qq"</f>
        <v>#VALUE!</v>
      </c>
      <c r="AB58" t="e">
        <f>'SurveyRpt_20150223 (1)'!AC356+"h_l!$qr"</f>
        <v>#VALUE!</v>
      </c>
      <c r="AC58" t="e">
        <f>'SurveyRpt_20150223 (1)'!AD356+"h_l!$qs"</f>
        <v>#VALUE!</v>
      </c>
      <c r="AD58" t="e">
        <f>'SurveyRpt_20150223 (1)'!AE356+"h_l!$qt"</f>
        <v>#VALUE!</v>
      </c>
      <c r="AE58" t="e">
        <f>'SurveyRpt_20150223 (1)'!AF356+"h_l!$qu"</f>
        <v>#VALUE!</v>
      </c>
      <c r="AF58" t="e">
        <f>'SurveyRpt_20150223 (1)'!AG356+"h_l!$qv"</f>
        <v>#VALUE!</v>
      </c>
      <c r="AG58" t="e">
        <f>'SurveyRpt_20150223 (1)'!AH356+"h_l!$qw"</f>
        <v>#VALUE!</v>
      </c>
      <c r="AH58" t="e">
        <f>'SurveyRpt_20150223 (1)'!AI356+"h_l!$qx"</f>
        <v>#VALUE!</v>
      </c>
      <c r="AI58" t="e">
        <f>'SurveyRpt_20150223 (1)'!AJ356+"h_l!$qy"</f>
        <v>#VALUE!</v>
      </c>
      <c r="AJ58" t="e">
        <f>'SurveyRpt_20150223 (1)'!AK356+"h_l!$qz"</f>
        <v>#VALUE!</v>
      </c>
      <c r="AK58" t="e">
        <f>'SurveyRpt_20150223 (1)'!AL356+"h_l!$q{"</f>
        <v>#VALUE!</v>
      </c>
      <c r="AL58" t="e">
        <f>'SurveyRpt_20150223 (1)'!AM356+"h_l!$q|"</f>
        <v>#VALUE!</v>
      </c>
      <c r="AM58" t="e">
        <f>'SurveyRpt_20150223 (1)'!AN356+"h_l!$q}"</f>
        <v>#VALUE!</v>
      </c>
      <c r="AN58" t="e">
        <f>'SurveyRpt_20150223 (1)'!A357+"h_l!$q~"</f>
        <v>#VALUE!</v>
      </c>
      <c r="AO58" s="25" t="e">
        <f>'SurveyRpt_20150223 (1)'!B357+"h_l!$r#"</f>
        <v>#VALUE!</v>
      </c>
      <c r="AP58" t="e">
        <f>'SurveyRpt_20150223 (1)'!C357+"h_l!$r$"</f>
        <v>#VALUE!</v>
      </c>
      <c r="AQ58" s="25" t="e">
        <f>'SurveyRpt_20150223 (1)'!D357+"h_l!$r%"</f>
        <v>#VALUE!</v>
      </c>
      <c r="AR58" t="e">
        <f>'SurveyRpt_20150223 (1)'!E357+"h_l!$r&amp;"</f>
        <v>#VALUE!</v>
      </c>
      <c r="AS58" t="e">
        <f>'SurveyRpt_20150223 (1)'!F357+"h_l!$r'"</f>
        <v>#VALUE!</v>
      </c>
      <c r="AT58" t="e">
        <f>'SurveyRpt_20150223 (1)'!G357+"h_l!$r("</f>
        <v>#VALUE!</v>
      </c>
      <c r="AU58" t="e">
        <f>'SurveyRpt_20150223 (1)'!H357+"h_l!$r)"</f>
        <v>#VALUE!</v>
      </c>
      <c r="AV58" t="e">
        <f>'SurveyRpt_20150223 (1)'!I357+"h_l!$r."</f>
        <v>#VALUE!</v>
      </c>
      <c r="AW58" t="e">
        <f>'SurveyRpt_20150223 (1)'!J357+"h_l!$r/"</f>
        <v>#VALUE!</v>
      </c>
      <c r="AX58" t="e">
        <f>'SurveyRpt_20150223 (1)'!K357+"h_l!$r0"</f>
        <v>#VALUE!</v>
      </c>
      <c r="AY58" t="e">
        <f>'SurveyRpt_20150223 (1)'!L357+"h_l!$r1"</f>
        <v>#VALUE!</v>
      </c>
      <c r="AZ58" t="e">
        <f>'SurveyRpt_20150223 (1)'!M357+"h_l!$r2"</f>
        <v>#VALUE!</v>
      </c>
      <c r="BA58" t="e">
        <f>'SurveyRpt_20150223 (1)'!N357+"h_l!$r3"</f>
        <v>#VALUE!</v>
      </c>
      <c r="BB58" t="e">
        <f>'SurveyRpt_20150223 (1)'!O357+"h_l!$r4"</f>
        <v>#VALUE!</v>
      </c>
      <c r="BC58" t="e">
        <f>'SurveyRpt_20150223 (1)'!P357+"h_l!$r5"</f>
        <v>#VALUE!</v>
      </c>
      <c r="BD58" t="e">
        <f>'SurveyRpt_20150223 (1)'!Q357+"h_l!$r6"</f>
        <v>#VALUE!</v>
      </c>
      <c r="BE58" t="e">
        <f>'SurveyRpt_20150223 (1)'!R357+"h_l!$r7"</f>
        <v>#VALUE!</v>
      </c>
      <c r="BF58" t="e">
        <f>'SurveyRpt_20150223 (1)'!S357+"h_l!$r8"</f>
        <v>#VALUE!</v>
      </c>
      <c r="BG58" t="e">
        <f>'SurveyRpt_20150223 (1)'!T357+"h_l!$r9"</f>
        <v>#VALUE!</v>
      </c>
      <c r="BH58" t="e">
        <f>'SurveyRpt_20150223 (1)'!U357+"h_l!$r:"</f>
        <v>#VALUE!</v>
      </c>
      <c r="BI58" t="e">
        <f>'SurveyRpt_20150223 (1)'!V357+"h_l!$r;"</f>
        <v>#VALUE!</v>
      </c>
      <c r="BJ58" t="e">
        <f>'SurveyRpt_20150223 (1)'!W357+"h_l!$r&lt;"</f>
        <v>#VALUE!</v>
      </c>
      <c r="BK58" t="e">
        <f>'SurveyRpt_20150223 (1)'!X357+"h_l!$r="</f>
        <v>#VALUE!</v>
      </c>
      <c r="BL58" t="e">
        <f>'SurveyRpt_20150223 (1)'!Y357+"h_l!$r&gt;"</f>
        <v>#VALUE!</v>
      </c>
      <c r="BM58" t="e">
        <f>'SurveyRpt_20150223 (1)'!Z357+"h_l!$r?"</f>
        <v>#VALUE!</v>
      </c>
      <c r="BN58" t="e">
        <f>'SurveyRpt_20150223 (1)'!AA357+"h_l!$r@"</f>
        <v>#VALUE!</v>
      </c>
      <c r="BO58" t="e">
        <f>'SurveyRpt_20150223 (1)'!AB357+"h_l!$rA"</f>
        <v>#VALUE!</v>
      </c>
      <c r="BP58" t="e">
        <f>'SurveyRpt_20150223 (1)'!AC357+"h_l!$rB"</f>
        <v>#VALUE!</v>
      </c>
      <c r="BQ58" t="e">
        <f>'SurveyRpt_20150223 (1)'!AD357+"h_l!$rC"</f>
        <v>#VALUE!</v>
      </c>
      <c r="BR58" t="e">
        <f>'SurveyRpt_20150223 (1)'!AE357+"h_l!$rD"</f>
        <v>#VALUE!</v>
      </c>
      <c r="BS58" t="e">
        <f>'SurveyRpt_20150223 (1)'!AF357+"h_l!$rE"</f>
        <v>#VALUE!</v>
      </c>
      <c r="BT58" t="e">
        <f>'SurveyRpt_20150223 (1)'!AG357+"h_l!$rF"</f>
        <v>#VALUE!</v>
      </c>
      <c r="BU58" t="e">
        <f>'SurveyRpt_20150223 (1)'!AH357+"h_l!$rG"</f>
        <v>#VALUE!</v>
      </c>
      <c r="BV58" t="e">
        <f>'SurveyRpt_20150223 (1)'!AI357+"h_l!$rH"</f>
        <v>#VALUE!</v>
      </c>
      <c r="BW58" t="e">
        <f>'SurveyRpt_20150223 (1)'!AJ357+"h_l!$rI"</f>
        <v>#VALUE!</v>
      </c>
      <c r="BX58" t="e">
        <f>'SurveyRpt_20150223 (1)'!AK357+"h_l!$rJ"</f>
        <v>#VALUE!</v>
      </c>
      <c r="BY58" t="e">
        <f>'SurveyRpt_20150223 (1)'!AL357+"h_l!$rK"</f>
        <v>#VALUE!</v>
      </c>
      <c r="BZ58" t="e">
        <f>'SurveyRpt_20150223 (1)'!AM357+"h_l!$rL"</f>
        <v>#VALUE!</v>
      </c>
      <c r="CA58" t="e">
        <f>'SurveyRpt_20150223 (1)'!AN357+"h_l!$rM"</f>
        <v>#VALUE!</v>
      </c>
      <c r="CB58" t="e">
        <f>'SurveyRpt_20150223 (1)'!A358+"h_l!$rN"</f>
        <v>#VALUE!</v>
      </c>
      <c r="CC58" s="25" t="e">
        <f>'SurveyRpt_20150223 (1)'!B358+"h_l!$rO"</f>
        <v>#VALUE!</v>
      </c>
      <c r="CD58" t="e">
        <f>'SurveyRpt_20150223 (1)'!C358+"h_l!$rP"</f>
        <v>#VALUE!</v>
      </c>
      <c r="CE58" s="25" t="e">
        <f>'SurveyRpt_20150223 (1)'!D358+"h_l!$rQ"</f>
        <v>#VALUE!</v>
      </c>
      <c r="CF58" t="e">
        <f>'SurveyRpt_20150223 (1)'!E358+"h_l!$rR"</f>
        <v>#VALUE!</v>
      </c>
      <c r="CG58" t="e">
        <f>'SurveyRpt_20150223 (1)'!F358+"h_l!$rS"</f>
        <v>#VALUE!</v>
      </c>
      <c r="CH58" t="e">
        <f>'SurveyRpt_20150223 (1)'!G358+"h_l!$rT"</f>
        <v>#VALUE!</v>
      </c>
      <c r="CI58" t="e">
        <f>'SurveyRpt_20150223 (1)'!H358+"h_l!$rU"</f>
        <v>#VALUE!</v>
      </c>
      <c r="CJ58" t="e">
        <f>'SurveyRpt_20150223 (1)'!I358+"h_l!$rV"</f>
        <v>#VALUE!</v>
      </c>
      <c r="CK58" t="e">
        <f>'SurveyRpt_20150223 (1)'!J358+"h_l!$rW"</f>
        <v>#VALUE!</v>
      </c>
      <c r="CL58" t="e">
        <f>'SurveyRpt_20150223 (1)'!K358+"h_l!$rX"</f>
        <v>#VALUE!</v>
      </c>
      <c r="CM58" t="e">
        <f>'SurveyRpt_20150223 (1)'!L358+"h_l!$rY"</f>
        <v>#VALUE!</v>
      </c>
      <c r="CN58" t="e">
        <f>'SurveyRpt_20150223 (1)'!M358+"h_l!$rZ"</f>
        <v>#VALUE!</v>
      </c>
      <c r="CO58" t="e">
        <f>'SurveyRpt_20150223 (1)'!N358+"h_l!$r["</f>
        <v>#VALUE!</v>
      </c>
      <c r="CP58" t="e">
        <f>'SurveyRpt_20150223 (1)'!O358+"h_l!$r\"</f>
        <v>#VALUE!</v>
      </c>
      <c r="CQ58" t="e">
        <f>'SurveyRpt_20150223 (1)'!P358+"h_l!$r]"</f>
        <v>#VALUE!</v>
      </c>
      <c r="CR58" t="e">
        <f>'SurveyRpt_20150223 (1)'!Q358+"h_l!$r^"</f>
        <v>#VALUE!</v>
      </c>
      <c r="CS58" t="e">
        <f>'SurveyRpt_20150223 (1)'!R358+"h_l!$r_"</f>
        <v>#VALUE!</v>
      </c>
      <c r="CT58" t="e">
        <f>'SurveyRpt_20150223 (1)'!S358+"h_l!$r`"</f>
        <v>#VALUE!</v>
      </c>
      <c r="CU58" t="e">
        <f>'SurveyRpt_20150223 (1)'!T358+"h_l!$ra"</f>
        <v>#VALUE!</v>
      </c>
      <c r="CV58" t="e">
        <f>'SurveyRpt_20150223 (1)'!U358+"h_l!$rb"</f>
        <v>#VALUE!</v>
      </c>
      <c r="CW58" t="e">
        <f>'SurveyRpt_20150223 (1)'!V358+"h_l!$rc"</f>
        <v>#VALUE!</v>
      </c>
      <c r="CX58" t="e">
        <f>'SurveyRpt_20150223 (1)'!W358+"h_l!$rd"</f>
        <v>#VALUE!</v>
      </c>
      <c r="CY58" t="e">
        <f>'SurveyRpt_20150223 (1)'!X358+"h_l!$re"</f>
        <v>#VALUE!</v>
      </c>
      <c r="CZ58" t="e">
        <f>'SurveyRpt_20150223 (1)'!Y358+"h_l!$rf"</f>
        <v>#VALUE!</v>
      </c>
      <c r="DA58" t="e">
        <f>'SurveyRpt_20150223 (1)'!Z358+"h_l!$rg"</f>
        <v>#VALUE!</v>
      </c>
      <c r="DB58" t="e">
        <f>'SurveyRpt_20150223 (1)'!AA358+"h_l!$rh"</f>
        <v>#VALUE!</v>
      </c>
      <c r="DC58" t="e">
        <f>'SurveyRpt_20150223 (1)'!AB358+"h_l!$ri"</f>
        <v>#VALUE!</v>
      </c>
      <c r="DD58" t="e">
        <f>'SurveyRpt_20150223 (1)'!AC358+"h_l!$rj"</f>
        <v>#VALUE!</v>
      </c>
      <c r="DE58" t="e">
        <f>'SurveyRpt_20150223 (1)'!AD358+"h_l!$rk"</f>
        <v>#VALUE!</v>
      </c>
      <c r="DF58" t="e">
        <f>'SurveyRpt_20150223 (1)'!AE358+"h_l!$rl"</f>
        <v>#VALUE!</v>
      </c>
      <c r="DG58" t="e">
        <f>'SurveyRpt_20150223 (1)'!AF358+"h_l!$rm"</f>
        <v>#VALUE!</v>
      </c>
      <c r="DH58" t="e">
        <f>'SurveyRpt_20150223 (1)'!AG358+"h_l!$rn"</f>
        <v>#VALUE!</v>
      </c>
      <c r="DI58" t="e">
        <f>'SurveyRpt_20150223 (1)'!AH358+"h_l!$ro"</f>
        <v>#VALUE!</v>
      </c>
      <c r="DJ58" t="e">
        <f>'SurveyRpt_20150223 (1)'!AI358+"h_l!$rp"</f>
        <v>#VALUE!</v>
      </c>
      <c r="DK58" t="e">
        <f>'SurveyRpt_20150223 (1)'!AJ358+"h_l!$rq"</f>
        <v>#VALUE!</v>
      </c>
      <c r="DL58" t="e">
        <f>'SurveyRpt_20150223 (1)'!AK358+"h_l!$rr"</f>
        <v>#VALUE!</v>
      </c>
      <c r="DM58" t="e">
        <f>'SurveyRpt_20150223 (1)'!AL358+"h_l!$rs"</f>
        <v>#VALUE!</v>
      </c>
      <c r="DN58" t="e">
        <f>'SurveyRpt_20150223 (1)'!AM358+"h_l!$rt"</f>
        <v>#VALUE!</v>
      </c>
      <c r="DO58" t="e">
        <f>'SurveyRpt_20150223 (1)'!AN358+"h_l!$ru"</f>
        <v>#VALUE!</v>
      </c>
      <c r="DP58" t="e">
        <f>'SurveyRpt_20150223 (1)'!A359+"h_l!$rv"</f>
        <v>#VALUE!</v>
      </c>
      <c r="DQ58" s="25" t="e">
        <f>'SurveyRpt_20150223 (1)'!B359+"h_l!$rw"</f>
        <v>#VALUE!</v>
      </c>
      <c r="DR58" t="e">
        <f>'SurveyRpt_20150223 (1)'!C359+"h_l!$rx"</f>
        <v>#VALUE!</v>
      </c>
      <c r="DS58" s="25" t="e">
        <f>'SurveyRpt_20150223 (1)'!D359+"h_l!$ry"</f>
        <v>#VALUE!</v>
      </c>
      <c r="DT58" t="e">
        <f>'SurveyRpt_20150223 (1)'!E359+"h_l!$rz"</f>
        <v>#VALUE!</v>
      </c>
      <c r="DU58" t="e">
        <f>'SurveyRpt_20150223 (1)'!F359+"h_l!$r{"</f>
        <v>#VALUE!</v>
      </c>
      <c r="DV58" t="e">
        <f>'SurveyRpt_20150223 (1)'!G359+"h_l!$r|"</f>
        <v>#VALUE!</v>
      </c>
      <c r="DW58" t="e">
        <f>'SurveyRpt_20150223 (1)'!H359+"h_l!$r}"</f>
        <v>#VALUE!</v>
      </c>
      <c r="DX58" t="e">
        <f>'SurveyRpt_20150223 (1)'!I359+"h_l!$r~"</f>
        <v>#VALUE!</v>
      </c>
      <c r="DY58" t="e">
        <f>'SurveyRpt_20150223 (1)'!J359+"h_l!$s#"</f>
        <v>#VALUE!</v>
      </c>
      <c r="DZ58" t="e">
        <f>'SurveyRpt_20150223 (1)'!K359+"h_l!$s$"</f>
        <v>#VALUE!</v>
      </c>
      <c r="EA58" t="e">
        <f>'SurveyRpt_20150223 (1)'!L359+"h_l!$s%"</f>
        <v>#VALUE!</v>
      </c>
      <c r="EB58" t="e">
        <f>'SurveyRpt_20150223 (1)'!M359+"h_l!$s&amp;"</f>
        <v>#VALUE!</v>
      </c>
      <c r="EC58" t="e">
        <f>'SurveyRpt_20150223 (1)'!N359+"h_l!$s'"</f>
        <v>#VALUE!</v>
      </c>
      <c r="ED58" t="e">
        <f>'SurveyRpt_20150223 (1)'!O359+"h_l!$s("</f>
        <v>#VALUE!</v>
      </c>
      <c r="EE58" t="e">
        <f>'SurveyRpt_20150223 (1)'!P359+"h_l!$s)"</f>
        <v>#VALUE!</v>
      </c>
      <c r="EF58" t="e">
        <f>'SurveyRpt_20150223 (1)'!Q359+"h_l!$s."</f>
        <v>#VALUE!</v>
      </c>
      <c r="EG58" t="e">
        <f>'SurveyRpt_20150223 (1)'!R359+"h_l!$s/"</f>
        <v>#VALUE!</v>
      </c>
      <c r="EH58" t="e">
        <f>'SurveyRpt_20150223 (1)'!S359+"h_l!$s0"</f>
        <v>#VALUE!</v>
      </c>
      <c r="EI58" t="e">
        <f>'SurveyRpt_20150223 (1)'!T359+"h_l!$s1"</f>
        <v>#VALUE!</v>
      </c>
      <c r="EJ58" t="e">
        <f>'SurveyRpt_20150223 (1)'!U359+"h_l!$s2"</f>
        <v>#VALUE!</v>
      </c>
      <c r="EK58" t="e">
        <f>'SurveyRpt_20150223 (1)'!V359+"h_l!$s3"</f>
        <v>#VALUE!</v>
      </c>
      <c r="EL58" t="e">
        <f>'SurveyRpt_20150223 (1)'!W359+"h_l!$s4"</f>
        <v>#VALUE!</v>
      </c>
      <c r="EM58" t="e">
        <f>'SurveyRpt_20150223 (1)'!X359+"h_l!$s5"</f>
        <v>#VALUE!</v>
      </c>
      <c r="EN58" t="e">
        <f>'SurveyRpt_20150223 (1)'!Y359+"h_l!$s6"</f>
        <v>#VALUE!</v>
      </c>
      <c r="EO58" t="e">
        <f>'SurveyRpt_20150223 (1)'!Z359+"h_l!$s7"</f>
        <v>#VALUE!</v>
      </c>
      <c r="EP58" t="e">
        <f>'SurveyRpt_20150223 (1)'!AA359+"h_l!$s8"</f>
        <v>#VALUE!</v>
      </c>
      <c r="EQ58" t="e">
        <f>'SurveyRpt_20150223 (1)'!AB359+"h_l!$s9"</f>
        <v>#VALUE!</v>
      </c>
      <c r="ER58" t="e">
        <f>'SurveyRpt_20150223 (1)'!AC359+"h_l!$s:"</f>
        <v>#VALUE!</v>
      </c>
      <c r="ES58" t="e">
        <f>'SurveyRpt_20150223 (1)'!AD359+"h_l!$s;"</f>
        <v>#VALUE!</v>
      </c>
      <c r="ET58" t="e">
        <f>'SurveyRpt_20150223 (1)'!AE359+"h_l!$s&lt;"</f>
        <v>#VALUE!</v>
      </c>
      <c r="EU58" t="e">
        <f>'SurveyRpt_20150223 (1)'!AF359+"h_l!$s="</f>
        <v>#VALUE!</v>
      </c>
      <c r="EV58" t="e">
        <f>'SurveyRpt_20150223 (1)'!AG359+"h_l!$s&gt;"</f>
        <v>#VALUE!</v>
      </c>
      <c r="EW58" t="e">
        <f>'SurveyRpt_20150223 (1)'!AH359+"h_l!$s?"</f>
        <v>#VALUE!</v>
      </c>
      <c r="EX58" t="e">
        <f>'SurveyRpt_20150223 (1)'!AI359+"h_l!$s@"</f>
        <v>#VALUE!</v>
      </c>
      <c r="EY58" t="e">
        <f>'SurveyRpt_20150223 (1)'!AJ359+"h_l!$sA"</f>
        <v>#VALUE!</v>
      </c>
      <c r="EZ58" t="e">
        <f>'SurveyRpt_20150223 (1)'!AK359+"h_l!$sB"</f>
        <v>#VALUE!</v>
      </c>
      <c r="FA58" t="e">
        <f>'SurveyRpt_20150223 (1)'!AL359+"h_l!$sC"</f>
        <v>#VALUE!</v>
      </c>
      <c r="FB58" t="e">
        <f>'SurveyRpt_20150223 (1)'!AM359+"h_l!$sD"</f>
        <v>#VALUE!</v>
      </c>
      <c r="FC58" t="e">
        <f>'SurveyRpt_20150223 (1)'!AN359+"h_l!$sE"</f>
        <v>#VALUE!</v>
      </c>
      <c r="FD58" t="e">
        <f>'SurveyRpt_20150223 (1)'!A360+"h_l!$sF"</f>
        <v>#VALUE!</v>
      </c>
      <c r="FE58" s="25" t="e">
        <f>'SurveyRpt_20150223 (1)'!B360+"h_l!$sG"</f>
        <v>#VALUE!</v>
      </c>
      <c r="FF58" t="e">
        <f>'SurveyRpt_20150223 (1)'!C360+"h_l!$sH"</f>
        <v>#VALUE!</v>
      </c>
      <c r="FG58" s="25" t="e">
        <f>'SurveyRpt_20150223 (1)'!D360+"h_l!$sI"</f>
        <v>#VALUE!</v>
      </c>
      <c r="FH58" t="e">
        <f>'SurveyRpt_20150223 (1)'!E360+"h_l!$sJ"</f>
        <v>#VALUE!</v>
      </c>
      <c r="FI58" t="e">
        <f>'SurveyRpt_20150223 (1)'!F360+"h_l!$sK"</f>
        <v>#VALUE!</v>
      </c>
      <c r="FJ58" t="e">
        <f>'SurveyRpt_20150223 (1)'!G360+"h_l!$sL"</f>
        <v>#VALUE!</v>
      </c>
      <c r="FK58" t="e">
        <f>'SurveyRpt_20150223 (1)'!H360+"h_l!$sM"</f>
        <v>#VALUE!</v>
      </c>
      <c r="FL58" t="e">
        <f>'SurveyRpt_20150223 (1)'!I360+"h_l!$sN"</f>
        <v>#VALUE!</v>
      </c>
      <c r="FM58" t="e">
        <f>'SurveyRpt_20150223 (1)'!J360+"h_l!$sO"</f>
        <v>#VALUE!</v>
      </c>
      <c r="FN58" t="e">
        <f>'SurveyRpt_20150223 (1)'!K360+"h_l!$sP"</f>
        <v>#VALUE!</v>
      </c>
      <c r="FO58" t="e">
        <f>'SurveyRpt_20150223 (1)'!L360+"h_l!$sQ"</f>
        <v>#VALUE!</v>
      </c>
      <c r="FP58" t="e">
        <f>'SurveyRpt_20150223 (1)'!M360+"h_l!$sR"</f>
        <v>#VALUE!</v>
      </c>
      <c r="FQ58" t="e">
        <f>'SurveyRpt_20150223 (1)'!N360+"h_l!$sS"</f>
        <v>#VALUE!</v>
      </c>
      <c r="FR58" t="e">
        <f>'SurveyRpt_20150223 (1)'!O360+"h_l!$sT"</f>
        <v>#VALUE!</v>
      </c>
      <c r="FS58" t="e">
        <f>'SurveyRpt_20150223 (1)'!P360+"h_l!$sU"</f>
        <v>#VALUE!</v>
      </c>
      <c r="FT58" t="e">
        <f>'SurveyRpt_20150223 (1)'!Q360+"h_l!$sV"</f>
        <v>#VALUE!</v>
      </c>
      <c r="FU58" t="e">
        <f>'SurveyRpt_20150223 (1)'!R360+"h_l!$sW"</f>
        <v>#VALUE!</v>
      </c>
      <c r="FV58" t="e">
        <f>'SurveyRpt_20150223 (1)'!S360+"h_l!$sX"</f>
        <v>#VALUE!</v>
      </c>
      <c r="FW58" t="e">
        <f>'SurveyRpt_20150223 (1)'!T360+"h_l!$sY"</f>
        <v>#VALUE!</v>
      </c>
      <c r="FX58" t="e">
        <f>'SurveyRpt_20150223 (1)'!U360+"h_l!$sZ"</f>
        <v>#VALUE!</v>
      </c>
      <c r="FY58" t="e">
        <f>'SurveyRpt_20150223 (1)'!V360+"h_l!$s["</f>
        <v>#VALUE!</v>
      </c>
      <c r="FZ58" t="e">
        <f>'SurveyRpt_20150223 (1)'!W360+"h_l!$s\"</f>
        <v>#VALUE!</v>
      </c>
      <c r="GA58" t="e">
        <f>'SurveyRpt_20150223 (1)'!X360+"h_l!$s]"</f>
        <v>#VALUE!</v>
      </c>
      <c r="GB58" t="e">
        <f>'SurveyRpt_20150223 (1)'!Y360+"h_l!$s^"</f>
        <v>#VALUE!</v>
      </c>
      <c r="GC58" t="e">
        <f>'SurveyRpt_20150223 (1)'!Z360+"h_l!$s_"</f>
        <v>#VALUE!</v>
      </c>
      <c r="GD58" t="e">
        <f>'SurveyRpt_20150223 (1)'!AA360+"h_l!$s`"</f>
        <v>#VALUE!</v>
      </c>
      <c r="GE58" t="e">
        <f>'SurveyRpt_20150223 (1)'!AB360+"h_l!$sa"</f>
        <v>#VALUE!</v>
      </c>
      <c r="GF58" t="e">
        <f>'SurveyRpt_20150223 (1)'!AC360+"h_l!$sb"</f>
        <v>#VALUE!</v>
      </c>
      <c r="GG58" t="e">
        <f>'SurveyRpt_20150223 (1)'!AD360+"h_l!$sc"</f>
        <v>#VALUE!</v>
      </c>
      <c r="GH58" t="e">
        <f>'SurveyRpt_20150223 (1)'!AE360+"h_l!$sd"</f>
        <v>#VALUE!</v>
      </c>
      <c r="GI58" t="e">
        <f>'SurveyRpt_20150223 (1)'!AF360+"h_l!$se"</f>
        <v>#VALUE!</v>
      </c>
      <c r="GJ58" t="e">
        <f>'SurveyRpt_20150223 (1)'!AG360+"h_l!$sf"</f>
        <v>#VALUE!</v>
      </c>
      <c r="GK58" t="e">
        <f>'SurveyRpt_20150223 (1)'!AH360+"h_l!$sg"</f>
        <v>#VALUE!</v>
      </c>
      <c r="GL58" t="e">
        <f>'SurveyRpt_20150223 (1)'!AI360+"h_l!$sh"</f>
        <v>#VALUE!</v>
      </c>
      <c r="GM58" t="e">
        <f>'SurveyRpt_20150223 (1)'!AJ360+"h_l!$si"</f>
        <v>#VALUE!</v>
      </c>
      <c r="GN58" t="e">
        <f>'SurveyRpt_20150223 (1)'!AK360+"h_l!$sj"</f>
        <v>#VALUE!</v>
      </c>
      <c r="GO58" t="e">
        <f>'SurveyRpt_20150223 (1)'!AL360+"h_l!$sk"</f>
        <v>#VALUE!</v>
      </c>
      <c r="GP58" t="e">
        <f>'SurveyRpt_20150223 (1)'!AM360+"h_l!$sl"</f>
        <v>#VALUE!</v>
      </c>
      <c r="GQ58" t="e">
        <f>'SurveyRpt_20150223 (1)'!AN360+"h_l!$sm"</f>
        <v>#VALUE!</v>
      </c>
      <c r="GR58" t="e">
        <f>'SurveyRpt_20150223 (1)'!A361+"h_l!$sn"</f>
        <v>#VALUE!</v>
      </c>
      <c r="GS58" s="25" t="e">
        <f>'SurveyRpt_20150223 (1)'!B361+"h_l!$so"</f>
        <v>#VALUE!</v>
      </c>
      <c r="GT58" t="e">
        <f>'SurveyRpt_20150223 (1)'!C361+"h_l!$sp"</f>
        <v>#VALUE!</v>
      </c>
      <c r="GU58" s="25" t="e">
        <f>'SurveyRpt_20150223 (1)'!D361+"h_l!$sq"</f>
        <v>#VALUE!</v>
      </c>
      <c r="GV58" t="e">
        <f>'SurveyRpt_20150223 (1)'!E361+"h_l!$sr"</f>
        <v>#VALUE!</v>
      </c>
      <c r="GW58" t="e">
        <f>'SurveyRpt_20150223 (1)'!F361+"h_l!$ss"</f>
        <v>#VALUE!</v>
      </c>
      <c r="GX58" t="e">
        <f>'SurveyRpt_20150223 (1)'!G361+"h_l!$st"</f>
        <v>#VALUE!</v>
      </c>
      <c r="GY58" t="e">
        <f>'SurveyRpt_20150223 (1)'!H361+"h_l!$su"</f>
        <v>#VALUE!</v>
      </c>
      <c r="GZ58" t="e">
        <f>'SurveyRpt_20150223 (1)'!I361+"h_l!$sv"</f>
        <v>#VALUE!</v>
      </c>
      <c r="HA58" t="e">
        <f>'SurveyRpt_20150223 (1)'!J361+"h_l!$sw"</f>
        <v>#VALUE!</v>
      </c>
      <c r="HB58" t="e">
        <f>'SurveyRpt_20150223 (1)'!K361+"h_l!$sx"</f>
        <v>#VALUE!</v>
      </c>
      <c r="HC58" t="e">
        <f>'SurveyRpt_20150223 (1)'!L361+"h_l!$sy"</f>
        <v>#VALUE!</v>
      </c>
      <c r="HD58" t="e">
        <f>'SurveyRpt_20150223 (1)'!M361+"h_l!$sz"</f>
        <v>#VALUE!</v>
      </c>
      <c r="HE58" t="e">
        <f>'SurveyRpt_20150223 (1)'!N361+"h_l!$s{"</f>
        <v>#VALUE!</v>
      </c>
      <c r="HF58" t="e">
        <f>'SurveyRpt_20150223 (1)'!O361+"h_l!$s|"</f>
        <v>#VALUE!</v>
      </c>
      <c r="HG58" t="e">
        <f>'SurveyRpt_20150223 (1)'!P361+"h_l!$s}"</f>
        <v>#VALUE!</v>
      </c>
      <c r="HH58" t="e">
        <f>'SurveyRpt_20150223 (1)'!Q361+"h_l!$s~"</f>
        <v>#VALUE!</v>
      </c>
      <c r="HI58" t="e">
        <f>'SurveyRpt_20150223 (1)'!R361+"h_l!$t#"</f>
        <v>#VALUE!</v>
      </c>
      <c r="HJ58" t="e">
        <f>'SurveyRpt_20150223 (1)'!S361+"h_l!$t$"</f>
        <v>#VALUE!</v>
      </c>
      <c r="HK58" t="e">
        <f>'SurveyRpt_20150223 (1)'!T361+"h_l!$t%"</f>
        <v>#VALUE!</v>
      </c>
      <c r="HL58" t="e">
        <f>'SurveyRpt_20150223 (1)'!U361+"h_l!$t&amp;"</f>
        <v>#VALUE!</v>
      </c>
      <c r="HM58" t="e">
        <f>'SurveyRpt_20150223 (1)'!V361+"h_l!$t'"</f>
        <v>#VALUE!</v>
      </c>
      <c r="HN58" t="e">
        <f>'SurveyRpt_20150223 (1)'!W361+"h_l!$t("</f>
        <v>#VALUE!</v>
      </c>
      <c r="HO58" t="e">
        <f>'SurveyRpt_20150223 (1)'!X361+"h_l!$t)"</f>
        <v>#VALUE!</v>
      </c>
      <c r="HP58" t="e">
        <f>'SurveyRpt_20150223 (1)'!Y361+"h_l!$t."</f>
        <v>#VALUE!</v>
      </c>
      <c r="HQ58" t="e">
        <f>'SurveyRpt_20150223 (1)'!Z361+"h_l!$t/"</f>
        <v>#VALUE!</v>
      </c>
      <c r="HR58" t="e">
        <f>'SurveyRpt_20150223 (1)'!AA361+"h_l!$t0"</f>
        <v>#VALUE!</v>
      </c>
      <c r="HS58" t="e">
        <f>'SurveyRpt_20150223 (1)'!AB361+"h_l!$t1"</f>
        <v>#VALUE!</v>
      </c>
      <c r="HT58" t="e">
        <f>'SurveyRpt_20150223 (1)'!AC361+"h_l!$t2"</f>
        <v>#VALUE!</v>
      </c>
      <c r="HU58" t="e">
        <f>'SurveyRpt_20150223 (1)'!AD361+"h_l!$t3"</f>
        <v>#VALUE!</v>
      </c>
      <c r="HV58" t="e">
        <f>'SurveyRpt_20150223 (1)'!AE361+"h_l!$t4"</f>
        <v>#VALUE!</v>
      </c>
      <c r="HW58" t="e">
        <f>'SurveyRpt_20150223 (1)'!AF361+"h_l!$t5"</f>
        <v>#VALUE!</v>
      </c>
      <c r="HX58" t="e">
        <f>'SurveyRpt_20150223 (1)'!AG361+"h_l!$t6"</f>
        <v>#VALUE!</v>
      </c>
      <c r="HY58" t="e">
        <f>'SurveyRpt_20150223 (1)'!AH361+"h_l!$t7"</f>
        <v>#VALUE!</v>
      </c>
      <c r="HZ58" t="e">
        <f>'SurveyRpt_20150223 (1)'!AI361+"h_l!$t8"</f>
        <v>#VALUE!</v>
      </c>
      <c r="IA58" t="e">
        <f>'SurveyRpt_20150223 (1)'!AJ361+"h_l!$t9"</f>
        <v>#VALUE!</v>
      </c>
      <c r="IB58" t="e">
        <f>'SurveyRpt_20150223 (1)'!AK361+"h_l!$t:"</f>
        <v>#VALUE!</v>
      </c>
      <c r="IC58" t="e">
        <f>'SurveyRpt_20150223 (1)'!AL361+"h_l!$t;"</f>
        <v>#VALUE!</v>
      </c>
      <c r="ID58" t="e">
        <f>'SurveyRpt_20150223 (1)'!AM361+"h_l!$t&lt;"</f>
        <v>#VALUE!</v>
      </c>
      <c r="IE58" t="e">
        <f>'SurveyRpt_20150223 (1)'!AN361+"h_l!$t="</f>
        <v>#VALUE!</v>
      </c>
      <c r="IF58" t="e">
        <f>'SurveyRpt_20150223 (1)'!A362+"h_l!$t&gt;"</f>
        <v>#VALUE!</v>
      </c>
      <c r="IG58" s="25" t="e">
        <f>'SurveyRpt_20150223 (1)'!B362+"h_l!$t?"</f>
        <v>#VALUE!</v>
      </c>
      <c r="IH58" t="e">
        <f>'SurveyRpt_20150223 (1)'!C362+"h_l!$t@"</f>
        <v>#VALUE!</v>
      </c>
      <c r="II58" s="25" t="e">
        <f>'SurveyRpt_20150223 (1)'!D362+"h_l!$tA"</f>
        <v>#VALUE!</v>
      </c>
      <c r="IJ58" t="e">
        <f>'SurveyRpt_20150223 (1)'!E362+"h_l!$tB"</f>
        <v>#VALUE!</v>
      </c>
      <c r="IK58" t="e">
        <f>'SurveyRpt_20150223 (1)'!F362+"h_l!$tC"</f>
        <v>#VALUE!</v>
      </c>
      <c r="IL58" t="e">
        <f>'SurveyRpt_20150223 (1)'!G362+"h_l!$tD"</f>
        <v>#VALUE!</v>
      </c>
      <c r="IM58" t="e">
        <f>'SurveyRpt_20150223 (1)'!H362+"h_l!$tE"</f>
        <v>#VALUE!</v>
      </c>
      <c r="IN58" t="e">
        <f>'SurveyRpt_20150223 (1)'!I362+"h_l!$tF"</f>
        <v>#VALUE!</v>
      </c>
      <c r="IO58" t="e">
        <f>'SurveyRpt_20150223 (1)'!J362+"h_l!$tG"</f>
        <v>#VALUE!</v>
      </c>
      <c r="IP58" t="e">
        <f>'SurveyRpt_20150223 (1)'!K362+"h_l!$tH"</f>
        <v>#VALUE!</v>
      </c>
      <c r="IQ58" t="e">
        <f>'SurveyRpt_20150223 (1)'!L362+"h_l!$tI"</f>
        <v>#VALUE!</v>
      </c>
      <c r="IR58" t="e">
        <f>'SurveyRpt_20150223 (1)'!M362+"h_l!$tJ"</f>
        <v>#VALUE!</v>
      </c>
      <c r="IS58" t="e">
        <f>'SurveyRpt_20150223 (1)'!N362+"h_l!$tK"</f>
        <v>#VALUE!</v>
      </c>
      <c r="IT58" t="e">
        <f>'SurveyRpt_20150223 (1)'!O362+"h_l!$tL"</f>
        <v>#VALUE!</v>
      </c>
      <c r="IU58" t="e">
        <f>'SurveyRpt_20150223 (1)'!P362+"h_l!$tM"</f>
        <v>#VALUE!</v>
      </c>
      <c r="IV58" t="e">
        <f>'SurveyRpt_20150223 (1)'!Q362+"h_l!$tN"</f>
        <v>#VALUE!</v>
      </c>
    </row>
    <row r="59" spans="6:256" x14ac:dyDescent="0.25">
      <c r="F59" t="e">
        <f>'SurveyRpt_20150223 (1)'!R362+"h_l!$tO"</f>
        <v>#VALUE!</v>
      </c>
      <c r="G59" t="e">
        <f>'SurveyRpt_20150223 (1)'!S362+"h_l!$tP"</f>
        <v>#VALUE!</v>
      </c>
      <c r="H59" t="e">
        <f>'SurveyRpt_20150223 (1)'!T362+"h_l!$tQ"</f>
        <v>#VALUE!</v>
      </c>
      <c r="I59" t="e">
        <f>'SurveyRpt_20150223 (1)'!U362+"h_l!$tR"</f>
        <v>#VALUE!</v>
      </c>
      <c r="J59" t="e">
        <f>'SurveyRpt_20150223 (1)'!V362+"h_l!$tS"</f>
        <v>#VALUE!</v>
      </c>
      <c r="K59" t="e">
        <f>'SurveyRpt_20150223 (1)'!W362+"h_l!$tT"</f>
        <v>#VALUE!</v>
      </c>
      <c r="L59" t="e">
        <f>'SurveyRpt_20150223 (1)'!X362+"h_l!$tU"</f>
        <v>#VALUE!</v>
      </c>
      <c r="M59" t="e">
        <f>'SurveyRpt_20150223 (1)'!Y362+"h_l!$tV"</f>
        <v>#VALUE!</v>
      </c>
      <c r="N59" t="e">
        <f>'SurveyRpt_20150223 (1)'!Z362+"h_l!$tW"</f>
        <v>#VALUE!</v>
      </c>
      <c r="O59" t="e">
        <f>'SurveyRpt_20150223 (1)'!AA362+"h_l!$tX"</f>
        <v>#VALUE!</v>
      </c>
      <c r="P59" t="e">
        <f>'SurveyRpt_20150223 (1)'!AB362+"h_l!$tY"</f>
        <v>#VALUE!</v>
      </c>
      <c r="Q59" t="e">
        <f>'SurveyRpt_20150223 (1)'!AC362+"h_l!$tZ"</f>
        <v>#VALUE!</v>
      </c>
      <c r="R59" t="e">
        <f>'SurveyRpt_20150223 (1)'!AD362+"h_l!$t["</f>
        <v>#VALUE!</v>
      </c>
      <c r="S59" t="e">
        <f>'SurveyRpt_20150223 (1)'!AE362+"h_l!$t\"</f>
        <v>#VALUE!</v>
      </c>
      <c r="T59" t="e">
        <f>'SurveyRpt_20150223 (1)'!AF362+"h_l!$t]"</f>
        <v>#VALUE!</v>
      </c>
      <c r="U59" t="e">
        <f>'SurveyRpt_20150223 (1)'!AG362+"h_l!$t^"</f>
        <v>#VALUE!</v>
      </c>
      <c r="V59" t="e">
        <f>'SurveyRpt_20150223 (1)'!AH362+"h_l!$t_"</f>
        <v>#VALUE!</v>
      </c>
      <c r="W59" t="e">
        <f>'SurveyRpt_20150223 (1)'!AI362+"h_l!$t`"</f>
        <v>#VALUE!</v>
      </c>
      <c r="X59" t="e">
        <f>'SurveyRpt_20150223 (1)'!AJ362+"h_l!$ta"</f>
        <v>#VALUE!</v>
      </c>
      <c r="Y59" t="e">
        <f>'SurveyRpt_20150223 (1)'!AK362+"h_l!$tb"</f>
        <v>#VALUE!</v>
      </c>
      <c r="Z59" t="e">
        <f>'SurveyRpt_20150223 (1)'!AL362+"h_l!$tc"</f>
        <v>#VALUE!</v>
      </c>
      <c r="AA59" t="e">
        <f>'SurveyRpt_20150223 (1)'!AM362+"h_l!$td"</f>
        <v>#VALUE!</v>
      </c>
      <c r="AB59" t="e">
        <f>'SurveyRpt_20150223 (1)'!AN362+"h_l!$te"</f>
        <v>#VALUE!</v>
      </c>
      <c r="AC59" t="e">
        <f>'SurveyRpt_20150223 (1)'!A363+"h_l!$tf"</f>
        <v>#VALUE!</v>
      </c>
      <c r="AD59" s="25" t="e">
        <f>'SurveyRpt_20150223 (1)'!B363+"h_l!$tg"</f>
        <v>#VALUE!</v>
      </c>
      <c r="AE59" t="e">
        <f>'SurveyRpt_20150223 (1)'!C363+"h_l!$th"</f>
        <v>#VALUE!</v>
      </c>
      <c r="AF59" s="25" t="e">
        <f>'SurveyRpt_20150223 (1)'!D363+"h_l!$ti"</f>
        <v>#VALUE!</v>
      </c>
      <c r="AG59" t="e">
        <f>'SurveyRpt_20150223 (1)'!E363+"h_l!$tj"</f>
        <v>#VALUE!</v>
      </c>
      <c r="AH59" t="e">
        <f>'SurveyRpt_20150223 (1)'!F363+"h_l!$tk"</f>
        <v>#VALUE!</v>
      </c>
      <c r="AI59" t="e">
        <f>'SurveyRpt_20150223 (1)'!G363+"h_l!$tl"</f>
        <v>#VALUE!</v>
      </c>
      <c r="AJ59" t="e">
        <f>'SurveyRpt_20150223 (1)'!H363+"h_l!$tm"</f>
        <v>#VALUE!</v>
      </c>
      <c r="AK59" t="e">
        <f>'SurveyRpt_20150223 (1)'!I363+"h_l!$tn"</f>
        <v>#VALUE!</v>
      </c>
      <c r="AL59" t="e">
        <f>'SurveyRpt_20150223 (1)'!J363+"h_l!$to"</f>
        <v>#VALUE!</v>
      </c>
      <c r="AM59" t="e">
        <f>'SurveyRpt_20150223 (1)'!K363+"h_l!$tp"</f>
        <v>#VALUE!</v>
      </c>
      <c r="AN59" t="e">
        <f>'SurveyRpt_20150223 (1)'!L363+"h_l!$tq"</f>
        <v>#VALUE!</v>
      </c>
      <c r="AO59" t="e">
        <f>'SurveyRpt_20150223 (1)'!M363+"h_l!$tr"</f>
        <v>#VALUE!</v>
      </c>
      <c r="AP59" t="e">
        <f>'SurveyRpt_20150223 (1)'!N363+"h_l!$ts"</f>
        <v>#VALUE!</v>
      </c>
      <c r="AQ59" t="e">
        <f>'SurveyRpt_20150223 (1)'!O363+"h_l!$tt"</f>
        <v>#VALUE!</v>
      </c>
      <c r="AR59" t="e">
        <f>'SurveyRpt_20150223 (1)'!P363+"h_l!$tu"</f>
        <v>#VALUE!</v>
      </c>
      <c r="AS59" t="e">
        <f>'SurveyRpt_20150223 (1)'!Q363+"h_l!$tv"</f>
        <v>#VALUE!</v>
      </c>
      <c r="AT59" t="e">
        <f>'SurveyRpt_20150223 (1)'!R363+"h_l!$tw"</f>
        <v>#VALUE!</v>
      </c>
      <c r="AU59" t="e">
        <f>'SurveyRpt_20150223 (1)'!S363+"h_l!$tx"</f>
        <v>#VALUE!</v>
      </c>
      <c r="AV59" t="e">
        <f>'SurveyRpt_20150223 (1)'!T363+"h_l!$ty"</f>
        <v>#VALUE!</v>
      </c>
      <c r="AW59" t="e">
        <f>'SurveyRpt_20150223 (1)'!U363+"h_l!$tz"</f>
        <v>#VALUE!</v>
      </c>
      <c r="AX59" t="e">
        <f>'SurveyRpt_20150223 (1)'!V363+"h_l!$t{"</f>
        <v>#VALUE!</v>
      </c>
      <c r="AY59" t="e">
        <f>'SurveyRpt_20150223 (1)'!W363+"h_l!$t|"</f>
        <v>#VALUE!</v>
      </c>
      <c r="AZ59" t="e">
        <f>'SurveyRpt_20150223 (1)'!X363+"h_l!$t}"</f>
        <v>#VALUE!</v>
      </c>
      <c r="BA59" t="e">
        <f>'SurveyRpt_20150223 (1)'!Y363+"h_l!$t~"</f>
        <v>#VALUE!</v>
      </c>
      <c r="BB59" t="e">
        <f>'SurveyRpt_20150223 (1)'!Z363+"h_l!$u#"</f>
        <v>#VALUE!</v>
      </c>
      <c r="BC59" t="e">
        <f>'SurveyRpt_20150223 (1)'!AA363+"h_l!$u$"</f>
        <v>#VALUE!</v>
      </c>
      <c r="BD59" t="e">
        <f>'SurveyRpt_20150223 (1)'!AB363+"h_l!$u%"</f>
        <v>#VALUE!</v>
      </c>
      <c r="BE59" t="e">
        <f>'SurveyRpt_20150223 (1)'!AC363+"h_l!$u&amp;"</f>
        <v>#VALUE!</v>
      </c>
      <c r="BF59" t="e">
        <f>'SurveyRpt_20150223 (1)'!AD363+"h_l!$u'"</f>
        <v>#VALUE!</v>
      </c>
      <c r="BG59" t="e">
        <f>'SurveyRpt_20150223 (1)'!AE363+"h_l!$u("</f>
        <v>#VALUE!</v>
      </c>
      <c r="BH59" t="e">
        <f>'SurveyRpt_20150223 (1)'!AF363+"h_l!$u)"</f>
        <v>#VALUE!</v>
      </c>
      <c r="BI59" t="e">
        <f>'SurveyRpt_20150223 (1)'!AG363+"h_l!$u."</f>
        <v>#VALUE!</v>
      </c>
      <c r="BJ59" t="e">
        <f>'SurveyRpt_20150223 (1)'!AH363+"h_l!$u/"</f>
        <v>#VALUE!</v>
      </c>
      <c r="BK59" t="e">
        <f>'SurveyRpt_20150223 (1)'!AI363+"h_l!$u0"</f>
        <v>#VALUE!</v>
      </c>
      <c r="BL59" t="e">
        <f>'SurveyRpt_20150223 (1)'!AJ363+"h_l!$u1"</f>
        <v>#VALUE!</v>
      </c>
      <c r="BM59" t="e">
        <f>'SurveyRpt_20150223 (1)'!AK363+"h_l!$u2"</f>
        <v>#VALUE!</v>
      </c>
      <c r="BN59" t="e">
        <f>'SurveyRpt_20150223 (1)'!AL363+"h_l!$u3"</f>
        <v>#VALUE!</v>
      </c>
      <c r="BO59" t="e">
        <f>'SurveyRpt_20150223 (1)'!AM363+"h_l!$u4"</f>
        <v>#VALUE!</v>
      </c>
      <c r="BP59" t="e">
        <f>'SurveyRpt_20150223 (1)'!AN363+"h_l!$u5"</f>
        <v>#VALUE!</v>
      </c>
      <c r="BQ59" t="e">
        <f>'SurveyRpt_20150223 (1)'!A364+"h_l!$u6"</f>
        <v>#VALUE!</v>
      </c>
      <c r="BR59" s="25" t="e">
        <f>'SurveyRpt_20150223 (1)'!B364+"h_l!$u7"</f>
        <v>#VALUE!</v>
      </c>
      <c r="BS59" t="e">
        <f>'SurveyRpt_20150223 (1)'!C364+"h_l!$u8"</f>
        <v>#VALUE!</v>
      </c>
      <c r="BT59" s="25" t="e">
        <f>'SurveyRpt_20150223 (1)'!D364+"h_l!$u9"</f>
        <v>#VALUE!</v>
      </c>
      <c r="BU59" t="e">
        <f>'SurveyRpt_20150223 (1)'!E364+"h_l!$u:"</f>
        <v>#VALUE!</v>
      </c>
      <c r="BV59" t="e">
        <f>'SurveyRpt_20150223 (1)'!F364+"h_l!$u;"</f>
        <v>#VALUE!</v>
      </c>
      <c r="BW59" t="e">
        <f>'SurveyRpt_20150223 (1)'!G364+"h_l!$u&lt;"</f>
        <v>#VALUE!</v>
      </c>
      <c r="BX59" t="e">
        <f>'SurveyRpt_20150223 (1)'!H364+"h_l!$u="</f>
        <v>#VALUE!</v>
      </c>
      <c r="BY59" t="e">
        <f>'SurveyRpt_20150223 (1)'!I364+"h_l!$u&gt;"</f>
        <v>#VALUE!</v>
      </c>
      <c r="BZ59" t="e">
        <f>'SurveyRpt_20150223 (1)'!J364+"h_l!$u?"</f>
        <v>#VALUE!</v>
      </c>
      <c r="CA59" t="e">
        <f>'SurveyRpt_20150223 (1)'!K364+"h_l!$u@"</f>
        <v>#VALUE!</v>
      </c>
      <c r="CB59" t="e">
        <f>'SurveyRpt_20150223 (1)'!L364+"h_l!$uA"</f>
        <v>#VALUE!</v>
      </c>
      <c r="CC59" t="e">
        <f>'SurveyRpt_20150223 (1)'!M364+"h_l!$uB"</f>
        <v>#VALUE!</v>
      </c>
      <c r="CD59" t="e">
        <f>'SurveyRpt_20150223 (1)'!N364+"h_l!$uC"</f>
        <v>#VALUE!</v>
      </c>
      <c r="CE59" t="e">
        <f>'SurveyRpt_20150223 (1)'!O364+"h_l!$uD"</f>
        <v>#VALUE!</v>
      </c>
      <c r="CF59" t="e">
        <f>'SurveyRpt_20150223 (1)'!P364+"h_l!$uE"</f>
        <v>#VALUE!</v>
      </c>
      <c r="CG59" t="e">
        <f>'SurveyRpt_20150223 (1)'!Q364+"h_l!$uF"</f>
        <v>#VALUE!</v>
      </c>
      <c r="CH59" t="e">
        <f>'SurveyRpt_20150223 (1)'!R364+"h_l!$uG"</f>
        <v>#VALUE!</v>
      </c>
      <c r="CI59" t="e">
        <f>'SurveyRpt_20150223 (1)'!S364+"h_l!$uH"</f>
        <v>#VALUE!</v>
      </c>
      <c r="CJ59" t="e">
        <f>'SurveyRpt_20150223 (1)'!T364+"h_l!$uI"</f>
        <v>#VALUE!</v>
      </c>
      <c r="CK59" t="e">
        <f>'SurveyRpt_20150223 (1)'!U364+"h_l!$uJ"</f>
        <v>#VALUE!</v>
      </c>
      <c r="CL59" t="e">
        <f>'SurveyRpt_20150223 (1)'!V364+"h_l!$uK"</f>
        <v>#VALUE!</v>
      </c>
      <c r="CM59" t="e">
        <f>'SurveyRpt_20150223 (1)'!W364+"h_l!$uL"</f>
        <v>#VALUE!</v>
      </c>
      <c r="CN59" t="e">
        <f>'SurveyRpt_20150223 (1)'!X364+"h_l!$uM"</f>
        <v>#VALUE!</v>
      </c>
      <c r="CO59" t="e">
        <f>'SurveyRpt_20150223 (1)'!Y364+"h_l!$uN"</f>
        <v>#VALUE!</v>
      </c>
      <c r="CP59" t="e">
        <f>'SurveyRpt_20150223 (1)'!Z364+"h_l!$uO"</f>
        <v>#VALUE!</v>
      </c>
      <c r="CQ59" t="e">
        <f>'SurveyRpt_20150223 (1)'!AA364+"h_l!$uP"</f>
        <v>#VALUE!</v>
      </c>
      <c r="CR59" t="e">
        <f>'SurveyRpt_20150223 (1)'!AB364+"h_l!$uQ"</f>
        <v>#VALUE!</v>
      </c>
      <c r="CS59" t="e">
        <f>'SurveyRpt_20150223 (1)'!AC364+"h_l!$uR"</f>
        <v>#VALUE!</v>
      </c>
      <c r="CT59" t="e">
        <f>'SurveyRpt_20150223 (1)'!AD364+"h_l!$uS"</f>
        <v>#VALUE!</v>
      </c>
      <c r="CU59" t="e">
        <f>'SurveyRpt_20150223 (1)'!AE364+"h_l!$uT"</f>
        <v>#VALUE!</v>
      </c>
      <c r="CV59" t="e">
        <f>'SurveyRpt_20150223 (1)'!AF364+"h_l!$uU"</f>
        <v>#VALUE!</v>
      </c>
      <c r="CW59" t="e">
        <f>'SurveyRpt_20150223 (1)'!AG364+"h_l!$uV"</f>
        <v>#VALUE!</v>
      </c>
      <c r="CX59" t="e">
        <f>'SurveyRpt_20150223 (1)'!AH364+"h_l!$uW"</f>
        <v>#VALUE!</v>
      </c>
      <c r="CY59" t="e">
        <f>'SurveyRpt_20150223 (1)'!AI364+"h_l!$uX"</f>
        <v>#VALUE!</v>
      </c>
      <c r="CZ59" t="e">
        <f>'SurveyRpt_20150223 (1)'!AJ364+"h_l!$uY"</f>
        <v>#VALUE!</v>
      </c>
      <c r="DA59" t="e">
        <f>'SurveyRpt_20150223 (1)'!AK364+"h_l!$uZ"</f>
        <v>#VALUE!</v>
      </c>
      <c r="DB59" t="e">
        <f>'SurveyRpt_20150223 (1)'!AL364+"h_l!$u["</f>
        <v>#VALUE!</v>
      </c>
      <c r="DC59" t="e">
        <f>'SurveyRpt_20150223 (1)'!AM364+"h_l!$u\"</f>
        <v>#VALUE!</v>
      </c>
      <c r="DD59" t="e">
        <f>'SurveyRpt_20150223 (1)'!AN364+"h_l!$u]"</f>
        <v>#VALUE!</v>
      </c>
      <c r="DE59" t="e">
        <f>'SurveyRpt_20150223 (1)'!A365+"h_l!$u^"</f>
        <v>#VALUE!</v>
      </c>
      <c r="DF59" s="25" t="e">
        <f>'SurveyRpt_20150223 (1)'!B365+"h_l!$u_"</f>
        <v>#VALUE!</v>
      </c>
      <c r="DG59" t="e">
        <f>'SurveyRpt_20150223 (1)'!C365+"h_l!$u`"</f>
        <v>#VALUE!</v>
      </c>
      <c r="DH59" s="25" t="e">
        <f>'SurveyRpt_20150223 (1)'!D365+"h_l!$ua"</f>
        <v>#VALUE!</v>
      </c>
      <c r="DI59" t="e">
        <f>'SurveyRpt_20150223 (1)'!E365+"h_l!$ub"</f>
        <v>#VALUE!</v>
      </c>
      <c r="DJ59" t="e">
        <f>'SurveyRpt_20150223 (1)'!F365+"h_l!$uc"</f>
        <v>#VALUE!</v>
      </c>
      <c r="DK59" t="e">
        <f>'SurveyRpt_20150223 (1)'!G365+"h_l!$ud"</f>
        <v>#VALUE!</v>
      </c>
      <c r="DL59" t="e">
        <f>'SurveyRpt_20150223 (1)'!H365+"h_l!$ue"</f>
        <v>#VALUE!</v>
      </c>
      <c r="DM59" t="e">
        <f>'SurveyRpt_20150223 (1)'!I365+"h_l!$uf"</f>
        <v>#VALUE!</v>
      </c>
      <c r="DN59" t="e">
        <f>'SurveyRpt_20150223 (1)'!J365+"h_l!$ug"</f>
        <v>#VALUE!</v>
      </c>
      <c r="DO59" t="e">
        <f>'SurveyRpt_20150223 (1)'!K365+"h_l!$uh"</f>
        <v>#VALUE!</v>
      </c>
      <c r="DP59" t="e">
        <f>'SurveyRpt_20150223 (1)'!L365+"h_l!$ui"</f>
        <v>#VALUE!</v>
      </c>
      <c r="DQ59" t="e">
        <f>'SurveyRpt_20150223 (1)'!M365+"h_l!$uj"</f>
        <v>#VALUE!</v>
      </c>
      <c r="DR59" t="e">
        <f>'SurveyRpt_20150223 (1)'!N365+"h_l!$uk"</f>
        <v>#VALUE!</v>
      </c>
      <c r="DS59" t="e">
        <f>'SurveyRpt_20150223 (1)'!O365+"h_l!$ul"</f>
        <v>#VALUE!</v>
      </c>
      <c r="DT59" t="e">
        <f>'SurveyRpt_20150223 (1)'!P365+"h_l!$um"</f>
        <v>#VALUE!</v>
      </c>
      <c r="DU59" t="e">
        <f>'SurveyRpt_20150223 (1)'!Q365+"h_l!$un"</f>
        <v>#VALUE!</v>
      </c>
      <c r="DV59" t="e">
        <f>'SurveyRpt_20150223 (1)'!R365+"h_l!$uo"</f>
        <v>#VALUE!</v>
      </c>
      <c r="DW59" t="e">
        <f>'SurveyRpt_20150223 (1)'!S365+"h_l!$up"</f>
        <v>#VALUE!</v>
      </c>
      <c r="DX59" t="e">
        <f>'SurveyRpt_20150223 (1)'!T365+"h_l!$uq"</f>
        <v>#VALUE!</v>
      </c>
      <c r="DY59" t="e">
        <f>'SurveyRpt_20150223 (1)'!U365+"h_l!$ur"</f>
        <v>#VALUE!</v>
      </c>
      <c r="DZ59" t="e">
        <f>'SurveyRpt_20150223 (1)'!V365+"h_l!$us"</f>
        <v>#VALUE!</v>
      </c>
      <c r="EA59" t="e">
        <f>'SurveyRpt_20150223 (1)'!W365+"h_l!$ut"</f>
        <v>#VALUE!</v>
      </c>
      <c r="EB59" t="e">
        <f>'SurveyRpt_20150223 (1)'!X365+"h_l!$uu"</f>
        <v>#VALUE!</v>
      </c>
      <c r="EC59" t="e">
        <f>'SurveyRpt_20150223 (1)'!Y365+"h_l!$uv"</f>
        <v>#VALUE!</v>
      </c>
      <c r="ED59" t="e">
        <f>'SurveyRpt_20150223 (1)'!Z365+"h_l!$uw"</f>
        <v>#VALUE!</v>
      </c>
      <c r="EE59" t="e">
        <f>'SurveyRpt_20150223 (1)'!AA365+"h_l!$ux"</f>
        <v>#VALUE!</v>
      </c>
      <c r="EF59" t="e">
        <f>'SurveyRpt_20150223 (1)'!AB365+"h_l!$uy"</f>
        <v>#VALUE!</v>
      </c>
      <c r="EG59" t="e">
        <f>'SurveyRpt_20150223 (1)'!AC365+"h_l!$uz"</f>
        <v>#VALUE!</v>
      </c>
      <c r="EH59" t="e">
        <f>'SurveyRpt_20150223 (1)'!AD365+"h_l!$u{"</f>
        <v>#VALUE!</v>
      </c>
      <c r="EI59" t="e">
        <f>'SurveyRpt_20150223 (1)'!AE365+"h_l!$u|"</f>
        <v>#VALUE!</v>
      </c>
      <c r="EJ59" t="e">
        <f>'SurveyRpt_20150223 (1)'!AF365+"h_l!$u}"</f>
        <v>#VALUE!</v>
      </c>
      <c r="EK59" t="e">
        <f>'SurveyRpt_20150223 (1)'!AG365+"h_l!$u~"</f>
        <v>#VALUE!</v>
      </c>
      <c r="EL59" t="e">
        <f>'SurveyRpt_20150223 (1)'!AH365+"h_l!$v#"</f>
        <v>#VALUE!</v>
      </c>
      <c r="EM59" t="e">
        <f>'SurveyRpt_20150223 (1)'!AI365+"h_l!$v$"</f>
        <v>#VALUE!</v>
      </c>
      <c r="EN59" t="e">
        <f>'SurveyRpt_20150223 (1)'!AJ365+"h_l!$v%"</f>
        <v>#VALUE!</v>
      </c>
      <c r="EO59" t="e">
        <f>'SurveyRpt_20150223 (1)'!AK365+"h_l!$v&amp;"</f>
        <v>#VALUE!</v>
      </c>
      <c r="EP59" t="e">
        <f>'SurveyRpt_20150223 (1)'!AL365+"h_l!$v'"</f>
        <v>#VALUE!</v>
      </c>
      <c r="EQ59" t="e">
        <f>'SurveyRpt_20150223 (1)'!AM365+"h_l!$v("</f>
        <v>#VALUE!</v>
      </c>
      <c r="ER59" t="e">
        <f>'SurveyRpt_20150223 (1)'!AN365+"h_l!$v)"</f>
        <v>#VALUE!</v>
      </c>
      <c r="ES59" t="e">
        <f>'SurveyRpt_20150223 (1)'!A366+"h_l!$v."</f>
        <v>#VALUE!</v>
      </c>
      <c r="ET59" s="25" t="e">
        <f>'SurveyRpt_20150223 (1)'!B366+"h_l!$v/"</f>
        <v>#VALUE!</v>
      </c>
      <c r="EU59" t="e">
        <f>'SurveyRpt_20150223 (1)'!C366+"h_l!$v0"</f>
        <v>#VALUE!</v>
      </c>
      <c r="EV59" s="25" t="e">
        <f>'SurveyRpt_20150223 (1)'!D366+"h_l!$v1"</f>
        <v>#VALUE!</v>
      </c>
      <c r="EW59" t="e">
        <f>'SurveyRpt_20150223 (1)'!E366+"h_l!$v2"</f>
        <v>#VALUE!</v>
      </c>
      <c r="EX59" t="e">
        <f>'SurveyRpt_20150223 (1)'!F366+"h_l!$v3"</f>
        <v>#VALUE!</v>
      </c>
      <c r="EY59" t="e">
        <f>'SurveyRpt_20150223 (1)'!G366+"h_l!$v4"</f>
        <v>#VALUE!</v>
      </c>
      <c r="EZ59" t="e">
        <f>'SurveyRpt_20150223 (1)'!H366+"h_l!$v5"</f>
        <v>#VALUE!</v>
      </c>
      <c r="FA59" t="e">
        <f>'SurveyRpt_20150223 (1)'!I366+"h_l!$v6"</f>
        <v>#VALUE!</v>
      </c>
      <c r="FB59" t="e">
        <f>'SurveyRpt_20150223 (1)'!J366+"h_l!$v7"</f>
        <v>#VALUE!</v>
      </c>
      <c r="FC59" t="e">
        <f>'SurveyRpt_20150223 (1)'!K366+"h_l!$v8"</f>
        <v>#VALUE!</v>
      </c>
      <c r="FD59" t="e">
        <f>'SurveyRpt_20150223 (1)'!L366+"h_l!$v9"</f>
        <v>#VALUE!</v>
      </c>
      <c r="FE59" t="e">
        <f>'SurveyRpt_20150223 (1)'!M366+"h_l!$v:"</f>
        <v>#VALUE!</v>
      </c>
      <c r="FF59" t="e">
        <f>'SurveyRpt_20150223 (1)'!N366+"h_l!$v;"</f>
        <v>#VALUE!</v>
      </c>
      <c r="FG59" t="e">
        <f>'SurveyRpt_20150223 (1)'!O366+"h_l!$v&lt;"</f>
        <v>#VALUE!</v>
      </c>
      <c r="FH59" t="e">
        <f>'SurveyRpt_20150223 (1)'!P366+"h_l!$v="</f>
        <v>#VALUE!</v>
      </c>
      <c r="FI59" t="e">
        <f>'SurveyRpt_20150223 (1)'!Q366+"h_l!$v&gt;"</f>
        <v>#VALUE!</v>
      </c>
      <c r="FJ59" t="e">
        <f>'SurveyRpt_20150223 (1)'!R366+"h_l!$v?"</f>
        <v>#VALUE!</v>
      </c>
      <c r="FK59" t="e">
        <f>'SurveyRpt_20150223 (1)'!S366+"h_l!$v@"</f>
        <v>#VALUE!</v>
      </c>
      <c r="FL59" t="e">
        <f>'SurveyRpt_20150223 (1)'!T366+"h_l!$vA"</f>
        <v>#VALUE!</v>
      </c>
      <c r="FM59" t="e">
        <f>'SurveyRpt_20150223 (1)'!U366+"h_l!$vB"</f>
        <v>#VALUE!</v>
      </c>
      <c r="FN59" t="e">
        <f>'SurveyRpt_20150223 (1)'!V366+"h_l!$vC"</f>
        <v>#VALUE!</v>
      </c>
      <c r="FO59" t="e">
        <f>'SurveyRpt_20150223 (1)'!W366+"h_l!$vD"</f>
        <v>#VALUE!</v>
      </c>
      <c r="FP59" t="e">
        <f>'SurveyRpt_20150223 (1)'!X366+"h_l!$vE"</f>
        <v>#VALUE!</v>
      </c>
      <c r="FQ59" t="e">
        <f>'SurveyRpt_20150223 (1)'!Y366+"h_l!$vF"</f>
        <v>#VALUE!</v>
      </c>
      <c r="FR59" t="e">
        <f>'SurveyRpt_20150223 (1)'!Z366+"h_l!$vG"</f>
        <v>#VALUE!</v>
      </c>
      <c r="FS59" t="e">
        <f>'SurveyRpt_20150223 (1)'!AA366+"h_l!$vH"</f>
        <v>#VALUE!</v>
      </c>
      <c r="FT59" t="e">
        <f>'SurveyRpt_20150223 (1)'!AB366+"h_l!$vI"</f>
        <v>#VALUE!</v>
      </c>
      <c r="FU59" t="e">
        <f>'SurveyRpt_20150223 (1)'!AC366+"h_l!$vJ"</f>
        <v>#VALUE!</v>
      </c>
      <c r="FV59" t="e">
        <f>'SurveyRpt_20150223 (1)'!AD366+"h_l!$vK"</f>
        <v>#VALUE!</v>
      </c>
      <c r="FW59" t="e">
        <f>'SurveyRpt_20150223 (1)'!AE366+"h_l!$vL"</f>
        <v>#VALUE!</v>
      </c>
      <c r="FX59" t="e">
        <f>'SurveyRpt_20150223 (1)'!AF366+"h_l!$vM"</f>
        <v>#VALUE!</v>
      </c>
      <c r="FY59" t="e">
        <f>'SurveyRpt_20150223 (1)'!AG366+"h_l!$vN"</f>
        <v>#VALUE!</v>
      </c>
      <c r="FZ59" t="e">
        <f>'SurveyRpt_20150223 (1)'!AH366+"h_l!$vO"</f>
        <v>#VALUE!</v>
      </c>
      <c r="GA59" t="e">
        <f>'SurveyRpt_20150223 (1)'!AI366+"h_l!$vP"</f>
        <v>#VALUE!</v>
      </c>
      <c r="GB59" t="e">
        <f>'SurveyRpt_20150223 (1)'!AJ366+"h_l!$vQ"</f>
        <v>#VALUE!</v>
      </c>
      <c r="GC59" t="e">
        <f>'SurveyRpt_20150223 (1)'!AK366+"h_l!$vR"</f>
        <v>#VALUE!</v>
      </c>
      <c r="GD59" t="e">
        <f>'SurveyRpt_20150223 (1)'!AL366+"h_l!$vS"</f>
        <v>#VALUE!</v>
      </c>
      <c r="GE59" t="e">
        <f>'SurveyRpt_20150223 (1)'!AM366+"h_l!$vT"</f>
        <v>#VALUE!</v>
      </c>
      <c r="GF59" t="e">
        <f>'SurveyRpt_20150223 (1)'!AN366+"h_l!$vU"</f>
        <v>#VALUE!</v>
      </c>
      <c r="GG59" t="e">
        <f>'SurveyRpt_20150223 (1)'!A367+"h_l!$vV"</f>
        <v>#VALUE!</v>
      </c>
      <c r="GH59" s="25" t="e">
        <f>'SurveyRpt_20150223 (1)'!B367+"h_l!$vW"</f>
        <v>#VALUE!</v>
      </c>
      <c r="GI59" t="e">
        <f>'SurveyRpt_20150223 (1)'!C367+"h_l!$vX"</f>
        <v>#VALUE!</v>
      </c>
      <c r="GJ59" s="25" t="e">
        <f>'SurveyRpt_20150223 (1)'!D367+"h_l!$vY"</f>
        <v>#VALUE!</v>
      </c>
      <c r="GK59" t="e">
        <f>'SurveyRpt_20150223 (1)'!E367+"h_l!$vZ"</f>
        <v>#VALUE!</v>
      </c>
      <c r="GL59" t="e">
        <f>'SurveyRpt_20150223 (1)'!F367+"h_l!$v["</f>
        <v>#VALUE!</v>
      </c>
      <c r="GM59" t="e">
        <f>'SurveyRpt_20150223 (1)'!G367+"h_l!$v\"</f>
        <v>#VALUE!</v>
      </c>
      <c r="GN59" t="e">
        <f>'SurveyRpt_20150223 (1)'!H367+"h_l!$v]"</f>
        <v>#VALUE!</v>
      </c>
      <c r="GO59" t="e">
        <f>'SurveyRpt_20150223 (1)'!I367+"h_l!$v^"</f>
        <v>#VALUE!</v>
      </c>
      <c r="GP59" t="e">
        <f>'SurveyRpt_20150223 (1)'!J367+"h_l!$v_"</f>
        <v>#VALUE!</v>
      </c>
      <c r="GQ59" t="e">
        <f>'SurveyRpt_20150223 (1)'!K367+"h_l!$v`"</f>
        <v>#VALUE!</v>
      </c>
      <c r="GR59" t="e">
        <f>'SurveyRpt_20150223 (1)'!L367+"h_l!$va"</f>
        <v>#VALUE!</v>
      </c>
      <c r="GS59" t="e">
        <f>'SurveyRpt_20150223 (1)'!M367+"h_l!$vb"</f>
        <v>#VALUE!</v>
      </c>
      <c r="GT59" t="e">
        <f>'SurveyRpt_20150223 (1)'!N367+"h_l!$vc"</f>
        <v>#VALUE!</v>
      </c>
      <c r="GU59" t="e">
        <f>'SurveyRpt_20150223 (1)'!O367+"h_l!$vd"</f>
        <v>#VALUE!</v>
      </c>
      <c r="GV59" t="e">
        <f>'SurveyRpt_20150223 (1)'!P367+"h_l!$ve"</f>
        <v>#VALUE!</v>
      </c>
      <c r="GW59" t="e">
        <f>'SurveyRpt_20150223 (1)'!Q367+"h_l!$vf"</f>
        <v>#VALUE!</v>
      </c>
      <c r="GX59" t="e">
        <f>'SurveyRpt_20150223 (1)'!R367+"h_l!$vg"</f>
        <v>#VALUE!</v>
      </c>
      <c r="GY59" t="e">
        <f>'SurveyRpt_20150223 (1)'!S367+"h_l!$vh"</f>
        <v>#VALUE!</v>
      </c>
      <c r="GZ59" t="e">
        <f>'SurveyRpt_20150223 (1)'!T367+"h_l!$vi"</f>
        <v>#VALUE!</v>
      </c>
      <c r="HA59" t="e">
        <f>'SurveyRpt_20150223 (1)'!U367+"h_l!$vj"</f>
        <v>#VALUE!</v>
      </c>
      <c r="HB59" t="e">
        <f>'SurveyRpt_20150223 (1)'!V367+"h_l!$vk"</f>
        <v>#VALUE!</v>
      </c>
      <c r="HC59" t="e">
        <f>'SurveyRpt_20150223 (1)'!W367+"h_l!$vl"</f>
        <v>#VALUE!</v>
      </c>
      <c r="HD59" t="e">
        <f>'SurveyRpt_20150223 (1)'!X367+"h_l!$vm"</f>
        <v>#VALUE!</v>
      </c>
      <c r="HE59" t="e">
        <f>'SurveyRpt_20150223 (1)'!Y367+"h_l!$vn"</f>
        <v>#VALUE!</v>
      </c>
      <c r="HF59" t="e">
        <f>'SurveyRpt_20150223 (1)'!Z367+"h_l!$vo"</f>
        <v>#VALUE!</v>
      </c>
      <c r="HG59" t="e">
        <f>'SurveyRpt_20150223 (1)'!AA367+"h_l!$vp"</f>
        <v>#VALUE!</v>
      </c>
      <c r="HH59" t="e">
        <f>'SurveyRpt_20150223 (1)'!AB367+"h_l!$vq"</f>
        <v>#VALUE!</v>
      </c>
      <c r="HI59" t="e">
        <f>'SurveyRpt_20150223 (1)'!AC367+"h_l!$vr"</f>
        <v>#VALUE!</v>
      </c>
      <c r="HJ59" t="e">
        <f>'SurveyRpt_20150223 (1)'!AD367+"h_l!$vs"</f>
        <v>#VALUE!</v>
      </c>
      <c r="HK59" t="e">
        <f>'SurveyRpt_20150223 (1)'!AE367+"h_l!$vt"</f>
        <v>#VALUE!</v>
      </c>
      <c r="HL59" t="e">
        <f>'SurveyRpt_20150223 (1)'!AF367+"h_l!$vu"</f>
        <v>#VALUE!</v>
      </c>
      <c r="HM59" t="e">
        <f>'SurveyRpt_20150223 (1)'!AG367+"h_l!$vv"</f>
        <v>#VALUE!</v>
      </c>
      <c r="HN59" t="e">
        <f>'SurveyRpt_20150223 (1)'!AH367+"h_l!$vw"</f>
        <v>#VALUE!</v>
      </c>
      <c r="HO59" t="e">
        <f>'SurveyRpt_20150223 (1)'!AI367+"h_l!$vx"</f>
        <v>#VALUE!</v>
      </c>
      <c r="HP59" t="e">
        <f>'SurveyRpt_20150223 (1)'!AJ367+"h_l!$vy"</f>
        <v>#VALUE!</v>
      </c>
      <c r="HQ59" t="e">
        <f>'SurveyRpt_20150223 (1)'!AK367+"h_l!$vz"</f>
        <v>#VALUE!</v>
      </c>
      <c r="HR59" t="e">
        <f>'SurveyRpt_20150223 (1)'!AL367+"h_l!$v{"</f>
        <v>#VALUE!</v>
      </c>
      <c r="HS59" t="e">
        <f>'SurveyRpt_20150223 (1)'!AM367+"h_l!$v|"</f>
        <v>#VALUE!</v>
      </c>
      <c r="HT59" t="e">
        <f>'SurveyRpt_20150223 (1)'!AN367+"h_l!$v}"</f>
        <v>#VALUE!</v>
      </c>
      <c r="HU59" t="e">
        <f>'SurveyRpt_20150223 (1)'!A368+"h_l!$v~"</f>
        <v>#VALUE!</v>
      </c>
      <c r="HV59" s="25" t="e">
        <f>'SurveyRpt_20150223 (1)'!B368+"h_l!$w#"</f>
        <v>#VALUE!</v>
      </c>
      <c r="HW59" t="e">
        <f>'SurveyRpt_20150223 (1)'!C368+"h_l!$w$"</f>
        <v>#VALUE!</v>
      </c>
      <c r="HX59" s="25" t="e">
        <f>'SurveyRpt_20150223 (1)'!D368+"h_l!$w%"</f>
        <v>#VALUE!</v>
      </c>
      <c r="HY59" t="e">
        <f>'SurveyRpt_20150223 (1)'!E368+"h_l!$w&amp;"</f>
        <v>#VALUE!</v>
      </c>
      <c r="HZ59" t="e">
        <f>'SurveyRpt_20150223 (1)'!F368+"h_l!$w'"</f>
        <v>#VALUE!</v>
      </c>
      <c r="IA59" t="e">
        <f>'SurveyRpt_20150223 (1)'!G368+"h_l!$w("</f>
        <v>#VALUE!</v>
      </c>
      <c r="IB59" t="e">
        <f>'SurveyRpt_20150223 (1)'!H368+"h_l!$w)"</f>
        <v>#VALUE!</v>
      </c>
      <c r="IC59" t="e">
        <f>'SurveyRpt_20150223 (1)'!I368+"h_l!$w."</f>
        <v>#VALUE!</v>
      </c>
      <c r="ID59" t="e">
        <f>'SurveyRpt_20150223 (1)'!J368+"h_l!$w/"</f>
        <v>#VALUE!</v>
      </c>
      <c r="IE59" t="e">
        <f>'SurveyRpt_20150223 (1)'!K368+"h_l!$w0"</f>
        <v>#VALUE!</v>
      </c>
      <c r="IF59" t="e">
        <f>'SurveyRpt_20150223 (1)'!L368+"h_l!$w1"</f>
        <v>#VALUE!</v>
      </c>
      <c r="IG59" t="e">
        <f>'SurveyRpt_20150223 (1)'!M368+"h_l!$w2"</f>
        <v>#VALUE!</v>
      </c>
      <c r="IH59" t="e">
        <f>'SurveyRpt_20150223 (1)'!N368+"h_l!$w3"</f>
        <v>#VALUE!</v>
      </c>
      <c r="II59" t="e">
        <f>'SurveyRpt_20150223 (1)'!O368+"h_l!$w4"</f>
        <v>#VALUE!</v>
      </c>
      <c r="IJ59" t="e">
        <f>'SurveyRpt_20150223 (1)'!P368+"h_l!$w5"</f>
        <v>#VALUE!</v>
      </c>
      <c r="IK59" t="e">
        <f>'SurveyRpt_20150223 (1)'!Q368+"h_l!$w6"</f>
        <v>#VALUE!</v>
      </c>
      <c r="IL59" t="e">
        <f>'SurveyRpt_20150223 (1)'!R368+"h_l!$w7"</f>
        <v>#VALUE!</v>
      </c>
      <c r="IM59" t="e">
        <f>'SurveyRpt_20150223 (1)'!S368+"h_l!$w8"</f>
        <v>#VALUE!</v>
      </c>
      <c r="IN59" t="e">
        <f>'SurveyRpt_20150223 (1)'!T368+"h_l!$w9"</f>
        <v>#VALUE!</v>
      </c>
      <c r="IO59" t="e">
        <f>'SurveyRpt_20150223 (1)'!U368+"h_l!$w:"</f>
        <v>#VALUE!</v>
      </c>
      <c r="IP59" t="e">
        <f>'SurveyRpt_20150223 (1)'!V368+"h_l!$w;"</f>
        <v>#VALUE!</v>
      </c>
      <c r="IQ59" t="e">
        <f>'SurveyRpt_20150223 (1)'!W368+"h_l!$w&lt;"</f>
        <v>#VALUE!</v>
      </c>
      <c r="IR59" t="e">
        <f>'SurveyRpt_20150223 (1)'!X368+"h_l!$w="</f>
        <v>#VALUE!</v>
      </c>
      <c r="IS59" t="e">
        <f>'SurveyRpt_20150223 (1)'!Y368+"h_l!$w&gt;"</f>
        <v>#VALUE!</v>
      </c>
      <c r="IT59" t="e">
        <f>'SurveyRpt_20150223 (1)'!Z368+"h_l!$w?"</f>
        <v>#VALUE!</v>
      </c>
      <c r="IU59" t="e">
        <f>'SurveyRpt_20150223 (1)'!AA368+"h_l!$w@"</f>
        <v>#VALUE!</v>
      </c>
      <c r="IV59" t="e">
        <f>'SurveyRpt_20150223 (1)'!AB368+"h_l!$wA"</f>
        <v>#VALUE!</v>
      </c>
    </row>
    <row r="60" spans="6:256" x14ac:dyDescent="0.25">
      <c r="F60" t="e">
        <f>'SurveyRpt_20150223 (1)'!AC368+"h_l!$wB"</f>
        <v>#VALUE!</v>
      </c>
      <c r="G60" t="e">
        <f>'SurveyRpt_20150223 (1)'!AD368+"h_l!$wC"</f>
        <v>#VALUE!</v>
      </c>
      <c r="H60" t="e">
        <f>'SurveyRpt_20150223 (1)'!AE368+"h_l!$wD"</f>
        <v>#VALUE!</v>
      </c>
      <c r="I60" t="e">
        <f>'SurveyRpt_20150223 (1)'!AF368+"h_l!$wE"</f>
        <v>#VALUE!</v>
      </c>
      <c r="J60" t="e">
        <f>'SurveyRpt_20150223 (1)'!AG368+"h_l!$wF"</f>
        <v>#VALUE!</v>
      </c>
      <c r="K60" t="e">
        <f>'SurveyRpt_20150223 (1)'!AH368+"h_l!$wG"</f>
        <v>#VALUE!</v>
      </c>
      <c r="L60" t="e">
        <f>'SurveyRpt_20150223 (1)'!AI368+"h_l!$wH"</f>
        <v>#VALUE!</v>
      </c>
      <c r="M60" t="e">
        <f>'SurveyRpt_20150223 (1)'!AJ368+"h_l!$wI"</f>
        <v>#VALUE!</v>
      </c>
      <c r="N60" t="e">
        <f>'SurveyRpt_20150223 (1)'!AK368+"h_l!$wJ"</f>
        <v>#VALUE!</v>
      </c>
      <c r="O60" t="e">
        <f>'SurveyRpt_20150223 (1)'!AL368+"h_l!$wK"</f>
        <v>#VALUE!</v>
      </c>
      <c r="P60" t="e">
        <f>'SurveyRpt_20150223 (1)'!AM368+"h_l!$wL"</f>
        <v>#VALUE!</v>
      </c>
      <c r="Q60" t="e">
        <f>'SurveyRpt_20150223 (1)'!AN368+"h_l!$wM"</f>
        <v>#VALUE!</v>
      </c>
      <c r="R60" t="e">
        <f>'SurveyRpt_20150223 (1)'!A369+"h_l!$wN"</f>
        <v>#VALUE!</v>
      </c>
      <c r="S60" s="25" t="e">
        <f>'SurveyRpt_20150223 (1)'!B369+"h_l!$wO"</f>
        <v>#VALUE!</v>
      </c>
      <c r="T60" t="e">
        <f>'SurveyRpt_20150223 (1)'!C369+"h_l!$wP"</f>
        <v>#VALUE!</v>
      </c>
      <c r="U60" s="25" t="e">
        <f>'SurveyRpt_20150223 (1)'!D369+"h_l!$wQ"</f>
        <v>#VALUE!</v>
      </c>
      <c r="V60" t="e">
        <f>'SurveyRpt_20150223 (1)'!E369+"h_l!$wR"</f>
        <v>#VALUE!</v>
      </c>
      <c r="W60" t="e">
        <f>'SurveyRpt_20150223 (1)'!F369+"h_l!$wS"</f>
        <v>#VALUE!</v>
      </c>
      <c r="X60" t="e">
        <f>'SurveyRpt_20150223 (1)'!G369+"h_l!$wT"</f>
        <v>#VALUE!</v>
      </c>
      <c r="Y60" t="e">
        <f>'SurveyRpt_20150223 (1)'!H369+"h_l!$wU"</f>
        <v>#VALUE!</v>
      </c>
      <c r="Z60" t="e">
        <f>'SurveyRpt_20150223 (1)'!I369+"h_l!$wV"</f>
        <v>#VALUE!</v>
      </c>
      <c r="AA60" t="e">
        <f>'SurveyRpt_20150223 (1)'!J369+"h_l!$wW"</f>
        <v>#VALUE!</v>
      </c>
      <c r="AB60" t="e">
        <f>'SurveyRpt_20150223 (1)'!K369+"h_l!$wX"</f>
        <v>#VALUE!</v>
      </c>
      <c r="AC60" t="e">
        <f>'SurveyRpt_20150223 (1)'!L369+"h_l!$wY"</f>
        <v>#VALUE!</v>
      </c>
      <c r="AD60" t="e">
        <f>'SurveyRpt_20150223 (1)'!M369+"h_l!$wZ"</f>
        <v>#VALUE!</v>
      </c>
      <c r="AE60" t="e">
        <f>'SurveyRpt_20150223 (1)'!N369+"h_l!$w["</f>
        <v>#VALUE!</v>
      </c>
      <c r="AF60" t="e">
        <f>'SurveyRpt_20150223 (1)'!O369+"h_l!$w\"</f>
        <v>#VALUE!</v>
      </c>
      <c r="AG60" t="e">
        <f>'SurveyRpt_20150223 (1)'!P369+"h_l!$w]"</f>
        <v>#VALUE!</v>
      </c>
      <c r="AH60" t="e">
        <f>'SurveyRpt_20150223 (1)'!Q369+"h_l!$w^"</f>
        <v>#VALUE!</v>
      </c>
      <c r="AI60" t="e">
        <f>'SurveyRpt_20150223 (1)'!R369+"h_l!$w_"</f>
        <v>#VALUE!</v>
      </c>
      <c r="AJ60" t="e">
        <f>'SurveyRpt_20150223 (1)'!S369+"h_l!$w`"</f>
        <v>#VALUE!</v>
      </c>
      <c r="AK60" t="e">
        <f>'SurveyRpt_20150223 (1)'!T369+"h_l!$wa"</f>
        <v>#VALUE!</v>
      </c>
      <c r="AL60" t="e">
        <f>'SurveyRpt_20150223 (1)'!U369+"h_l!$wb"</f>
        <v>#VALUE!</v>
      </c>
      <c r="AM60" t="e">
        <f>'SurveyRpt_20150223 (1)'!V369+"h_l!$wc"</f>
        <v>#VALUE!</v>
      </c>
      <c r="AN60" t="e">
        <f>'SurveyRpt_20150223 (1)'!W369+"h_l!$wd"</f>
        <v>#VALUE!</v>
      </c>
      <c r="AO60" t="e">
        <f>'SurveyRpt_20150223 (1)'!X369+"h_l!$we"</f>
        <v>#VALUE!</v>
      </c>
      <c r="AP60" t="e">
        <f>'SurveyRpt_20150223 (1)'!Y369+"h_l!$wf"</f>
        <v>#VALUE!</v>
      </c>
      <c r="AQ60" t="e">
        <f>'SurveyRpt_20150223 (1)'!Z369+"h_l!$wg"</f>
        <v>#VALUE!</v>
      </c>
      <c r="AR60" t="e">
        <f>'SurveyRpt_20150223 (1)'!AA369+"h_l!$wh"</f>
        <v>#VALUE!</v>
      </c>
      <c r="AS60" t="e">
        <f>'SurveyRpt_20150223 (1)'!AB369+"h_l!$wi"</f>
        <v>#VALUE!</v>
      </c>
      <c r="AT60" t="e">
        <f>'SurveyRpt_20150223 (1)'!AC369+"h_l!$wj"</f>
        <v>#VALUE!</v>
      </c>
      <c r="AU60" t="e">
        <f>'SurveyRpt_20150223 (1)'!AD369+"h_l!$wk"</f>
        <v>#VALUE!</v>
      </c>
      <c r="AV60" t="e">
        <f>'SurveyRpt_20150223 (1)'!AE369+"h_l!$wl"</f>
        <v>#VALUE!</v>
      </c>
      <c r="AW60" t="e">
        <f>'SurveyRpt_20150223 (1)'!AF369+"h_l!$wm"</f>
        <v>#VALUE!</v>
      </c>
      <c r="AX60" t="e">
        <f>'SurveyRpt_20150223 (1)'!AG369+"h_l!$wn"</f>
        <v>#VALUE!</v>
      </c>
      <c r="AY60" t="e">
        <f>'SurveyRpt_20150223 (1)'!AH369+"h_l!$wo"</f>
        <v>#VALUE!</v>
      </c>
      <c r="AZ60" t="e">
        <f>'SurveyRpt_20150223 (1)'!AI369+"h_l!$wp"</f>
        <v>#VALUE!</v>
      </c>
      <c r="BA60" t="e">
        <f>'SurveyRpt_20150223 (1)'!AJ369+"h_l!$wq"</f>
        <v>#VALUE!</v>
      </c>
      <c r="BB60" t="e">
        <f>'SurveyRpt_20150223 (1)'!AK369+"h_l!$wr"</f>
        <v>#VALUE!</v>
      </c>
      <c r="BC60" t="e">
        <f>'SurveyRpt_20150223 (1)'!AL369+"h_l!$ws"</f>
        <v>#VALUE!</v>
      </c>
      <c r="BD60" t="e">
        <f>'SurveyRpt_20150223 (1)'!AM369+"h_l!$wt"</f>
        <v>#VALUE!</v>
      </c>
      <c r="BE60" t="e">
        <f>'SurveyRpt_20150223 (1)'!AN369+"h_l!$wu"</f>
        <v>#VALUE!</v>
      </c>
      <c r="BF60" t="e">
        <f>'SurveyRpt_20150223 (1)'!A370+"h_l!$wv"</f>
        <v>#VALUE!</v>
      </c>
      <c r="BG60" s="25" t="e">
        <f>'SurveyRpt_20150223 (1)'!B370+"h_l!$ww"</f>
        <v>#VALUE!</v>
      </c>
      <c r="BH60" t="e">
        <f>'SurveyRpt_20150223 (1)'!C370+"h_l!$wx"</f>
        <v>#VALUE!</v>
      </c>
      <c r="BI60" s="25" t="e">
        <f>'SurveyRpt_20150223 (1)'!D370+"h_l!$wy"</f>
        <v>#VALUE!</v>
      </c>
      <c r="BJ60" t="e">
        <f>'SurveyRpt_20150223 (1)'!E370+"h_l!$wz"</f>
        <v>#VALUE!</v>
      </c>
      <c r="BK60" t="e">
        <f>'SurveyRpt_20150223 (1)'!F370+"h_l!$w{"</f>
        <v>#VALUE!</v>
      </c>
      <c r="BL60" t="e">
        <f>'SurveyRpt_20150223 (1)'!G370+"h_l!$w|"</f>
        <v>#VALUE!</v>
      </c>
      <c r="BM60" t="e">
        <f>'SurveyRpt_20150223 (1)'!H370+"h_l!$w}"</f>
        <v>#VALUE!</v>
      </c>
      <c r="BN60" t="e">
        <f>'SurveyRpt_20150223 (1)'!I370+"h_l!$w~"</f>
        <v>#VALUE!</v>
      </c>
      <c r="BO60" t="e">
        <f>'SurveyRpt_20150223 (1)'!J370+"h_l!$x#"</f>
        <v>#VALUE!</v>
      </c>
      <c r="BP60" t="e">
        <f>'SurveyRpt_20150223 (1)'!K370+"h_l!$x$"</f>
        <v>#VALUE!</v>
      </c>
      <c r="BQ60" t="e">
        <f>'SurveyRpt_20150223 (1)'!L370+"h_l!$x%"</f>
        <v>#VALUE!</v>
      </c>
      <c r="BR60" t="e">
        <f>'SurveyRpt_20150223 (1)'!M370+"h_l!$x&amp;"</f>
        <v>#VALUE!</v>
      </c>
      <c r="BS60" t="e">
        <f>'SurveyRpt_20150223 (1)'!N370+"h_l!$x'"</f>
        <v>#VALUE!</v>
      </c>
      <c r="BT60" t="e">
        <f>'SurveyRpt_20150223 (1)'!O370+"h_l!$x("</f>
        <v>#VALUE!</v>
      </c>
      <c r="BU60" t="e">
        <f>'SurveyRpt_20150223 (1)'!P370+"h_l!$x)"</f>
        <v>#VALUE!</v>
      </c>
      <c r="BV60" t="e">
        <f>'SurveyRpt_20150223 (1)'!Q370+"h_l!$x."</f>
        <v>#VALUE!</v>
      </c>
      <c r="BW60" t="e">
        <f>'SurveyRpt_20150223 (1)'!R370+"h_l!$x/"</f>
        <v>#VALUE!</v>
      </c>
      <c r="BX60" t="e">
        <f>'SurveyRpt_20150223 (1)'!S370+"h_l!$x0"</f>
        <v>#VALUE!</v>
      </c>
      <c r="BY60" t="e">
        <f>'SurveyRpt_20150223 (1)'!T370+"h_l!$x1"</f>
        <v>#VALUE!</v>
      </c>
      <c r="BZ60" t="e">
        <f>'SurveyRpt_20150223 (1)'!U370+"h_l!$x2"</f>
        <v>#VALUE!</v>
      </c>
      <c r="CA60" t="e">
        <f>'SurveyRpt_20150223 (1)'!V370+"h_l!$x3"</f>
        <v>#VALUE!</v>
      </c>
      <c r="CB60" t="e">
        <f>'SurveyRpt_20150223 (1)'!W370+"h_l!$x4"</f>
        <v>#VALUE!</v>
      </c>
      <c r="CC60" t="e">
        <f>'SurveyRpt_20150223 (1)'!X370+"h_l!$x5"</f>
        <v>#VALUE!</v>
      </c>
      <c r="CD60" t="e">
        <f>'SurveyRpt_20150223 (1)'!Y370+"h_l!$x6"</f>
        <v>#VALUE!</v>
      </c>
      <c r="CE60" t="e">
        <f>'SurveyRpt_20150223 (1)'!Z370+"h_l!$x7"</f>
        <v>#VALUE!</v>
      </c>
      <c r="CF60" t="e">
        <f>'SurveyRpt_20150223 (1)'!AA370+"h_l!$x8"</f>
        <v>#VALUE!</v>
      </c>
      <c r="CG60" t="e">
        <f>'SurveyRpt_20150223 (1)'!AB370+"h_l!$x9"</f>
        <v>#VALUE!</v>
      </c>
      <c r="CH60" t="e">
        <f>'SurveyRpt_20150223 (1)'!AC370+"h_l!$x:"</f>
        <v>#VALUE!</v>
      </c>
      <c r="CI60" t="e">
        <f>'SurveyRpt_20150223 (1)'!AD370+"h_l!$x;"</f>
        <v>#VALUE!</v>
      </c>
      <c r="CJ60" t="e">
        <f>'SurveyRpt_20150223 (1)'!AE370+"h_l!$x&lt;"</f>
        <v>#VALUE!</v>
      </c>
      <c r="CK60" t="e">
        <f>'SurveyRpt_20150223 (1)'!AF370+"h_l!$x="</f>
        <v>#VALUE!</v>
      </c>
      <c r="CL60" t="e">
        <f>'SurveyRpt_20150223 (1)'!AG370+"h_l!$x&gt;"</f>
        <v>#VALUE!</v>
      </c>
      <c r="CM60" t="e">
        <f>'SurveyRpt_20150223 (1)'!AH370+"h_l!$x?"</f>
        <v>#VALUE!</v>
      </c>
      <c r="CN60" t="e">
        <f>'SurveyRpt_20150223 (1)'!AI370+"h_l!$x@"</f>
        <v>#VALUE!</v>
      </c>
      <c r="CO60" t="e">
        <f>'SurveyRpt_20150223 (1)'!AJ370+"h_l!$xA"</f>
        <v>#VALUE!</v>
      </c>
      <c r="CP60" t="e">
        <f>'SurveyRpt_20150223 (1)'!AK370+"h_l!$xB"</f>
        <v>#VALUE!</v>
      </c>
      <c r="CQ60" t="e">
        <f>'SurveyRpt_20150223 (1)'!AL370+"h_l!$xC"</f>
        <v>#VALUE!</v>
      </c>
      <c r="CR60" t="e">
        <f>'SurveyRpt_20150223 (1)'!AM370+"h_l!$xD"</f>
        <v>#VALUE!</v>
      </c>
      <c r="CS60" t="e">
        <f>'SurveyRpt_20150223 (1)'!AN370+"h_l!$xE"</f>
        <v>#VALUE!</v>
      </c>
      <c r="CT60" t="e">
        <f>'SurveyRpt_20150223 (1)'!A371+"h_l!$xF"</f>
        <v>#VALUE!</v>
      </c>
      <c r="CU60" s="25" t="e">
        <f>'SurveyRpt_20150223 (1)'!B371+"h_l!$xG"</f>
        <v>#VALUE!</v>
      </c>
      <c r="CV60" t="e">
        <f>'SurveyRpt_20150223 (1)'!C371+"h_l!$xH"</f>
        <v>#VALUE!</v>
      </c>
      <c r="CW60" s="25" t="e">
        <f>'SurveyRpt_20150223 (1)'!D371+"h_l!$xI"</f>
        <v>#VALUE!</v>
      </c>
      <c r="CX60" t="e">
        <f>'SurveyRpt_20150223 (1)'!E371+"h_l!$xJ"</f>
        <v>#VALUE!</v>
      </c>
      <c r="CY60" t="e">
        <f>'SurveyRpt_20150223 (1)'!F371+"h_l!$xK"</f>
        <v>#VALUE!</v>
      </c>
      <c r="CZ60" t="e">
        <f>'SurveyRpt_20150223 (1)'!G371+"h_l!$xL"</f>
        <v>#VALUE!</v>
      </c>
      <c r="DA60" t="e">
        <f>'SurveyRpt_20150223 (1)'!H371+"h_l!$xM"</f>
        <v>#VALUE!</v>
      </c>
      <c r="DB60" t="e">
        <f>'SurveyRpt_20150223 (1)'!I371+"h_l!$xN"</f>
        <v>#VALUE!</v>
      </c>
      <c r="DC60" t="e">
        <f>'SurveyRpt_20150223 (1)'!J371+"h_l!$xO"</f>
        <v>#VALUE!</v>
      </c>
      <c r="DD60" t="e">
        <f>'SurveyRpt_20150223 (1)'!K371+"h_l!$xP"</f>
        <v>#VALUE!</v>
      </c>
      <c r="DE60" t="e">
        <f>'SurveyRpt_20150223 (1)'!L371+"h_l!$xQ"</f>
        <v>#VALUE!</v>
      </c>
      <c r="DF60" t="e">
        <f>'SurveyRpt_20150223 (1)'!M371+"h_l!$xR"</f>
        <v>#VALUE!</v>
      </c>
      <c r="DG60" t="e">
        <f>'SurveyRpt_20150223 (1)'!N371+"h_l!$xS"</f>
        <v>#VALUE!</v>
      </c>
      <c r="DH60" t="e">
        <f>'SurveyRpt_20150223 (1)'!O371+"h_l!$xT"</f>
        <v>#VALUE!</v>
      </c>
      <c r="DI60" t="e">
        <f>'SurveyRpt_20150223 (1)'!P371+"h_l!$xU"</f>
        <v>#VALUE!</v>
      </c>
      <c r="DJ60" t="e">
        <f>'SurveyRpt_20150223 (1)'!Q371+"h_l!$xV"</f>
        <v>#VALUE!</v>
      </c>
      <c r="DK60" t="e">
        <f>'SurveyRpt_20150223 (1)'!R371+"h_l!$xW"</f>
        <v>#VALUE!</v>
      </c>
      <c r="DL60" t="e">
        <f>'SurveyRpt_20150223 (1)'!S371+"h_l!$xX"</f>
        <v>#VALUE!</v>
      </c>
      <c r="DM60" t="e">
        <f>'SurveyRpt_20150223 (1)'!T371+"h_l!$xY"</f>
        <v>#VALUE!</v>
      </c>
      <c r="DN60" t="e">
        <f>'SurveyRpt_20150223 (1)'!U371+"h_l!$xZ"</f>
        <v>#VALUE!</v>
      </c>
      <c r="DO60" t="e">
        <f>'SurveyRpt_20150223 (1)'!V371+"h_l!$x["</f>
        <v>#VALUE!</v>
      </c>
      <c r="DP60" t="e">
        <f>'SurveyRpt_20150223 (1)'!W371+"h_l!$x\"</f>
        <v>#VALUE!</v>
      </c>
      <c r="DQ60" t="e">
        <f>'SurveyRpt_20150223 (1)'!X371+"h_l!$x]"</f>
        <v>#VALUE!</v>
      </c>
      <c r="DR60" t="e">
        <f>'SurveyRpt_20150223 (1)'!Y371+"h_l!$x^"</f>
        <v>#VALUE!</v>
      </c>
      <c r="DS60" t="e">
        <f>'SurveyRpt_20150223 (1)'!Z371+"h_l!$x_"</f>
        <v>#VALUE!</v>
      </c>
      <c r="DT60" t="e">
        <f>'SurveyRpt_20150223 (1)'!AA371+"h_l!$x`"</f>
        <v>#VALUE!</v>
      </c>
      <c r="DU60" t="e">
        <f>'SurveyRpt_20150223 (1)'!AB371+"h_l!$xa"</f>
        <v>#VALUE!</v>
      </c>
      <c r="DV60" t="e">
        <f>'SurveyRpt_20150223 (1)'!AC371+"h_l!$xb"</f>
        <v>#VALUE!</v>
      </c>
      <c r="DW60" t="e">
        <f>'SurveyRpt_20150223 (1)'!AD371+"h_l!$xc"</f>
        <v>#VALUE!</v>
      </c>
      <c r="DX60" t="e">
        <f>'SurveyRpt_20150223 (1)'!AE371+"h_l!$xd"</f>
        <v>#VALUE!</v>
      </c>
      <c r="DY60" t="e">
        <f>'SurveyRpt_20150223 (1)'!AF371+"h_l!$xe"</f>
        <v>#VALUE!</v>
      </c>
      <c r="DZ60" t="e">
        <f>'SurveyRpt_20150223 (1)'!AG371+"h_l!$xf"</f>
        <v>#VALUE!</v>
      </c>
      <c r="EA60" t="e">
        <f>'SurveyRpt_20150223 (1)'!AH371+"h_l!$xg"</f>
        <v>#VALUE!</v>
      </c>
      <c r="EB60" t="e">
        <f>'SurveyRpt_20150223 (1)'!AI371+"h_l!$xh"</f>
        <v>#VALUE!</v>
      </c>
      <c r="EC60" t="e">
        <f>'SurveyRpt_20150223 (1)'!AJ371+"h_l!$xi"</f>
        <v>#VALUE!</v>
      </c>
      <c r="ED60" t="e">
        <f>'SurveyRpt_20150223 (1)'!AK371+"h_l!$xj"</f>
        <v>#VALUE!</v>
      </c>
      <c r="EE60" t="e">
        <f>'SurveyRpt_20150223 (1)'!AL371+"h_l!$xk"</f>
        <v>#VALUE!</v>
      </c>
      <c r="EF60" t="e">
        <f>'SurveyRpt_20150223 (1)'!AM371+"h_l!$xl"</f>
        <v>#VALUE!</v>
      </c>
      <c r="EG60" t="e">
        <f>'SurveyRpt_20150223 (1)'!AN371+"h_l!$xm"</f>
        <v>#VALUE!</v>
      </c>
      <c r="EH60" t="e">
        <f>'SurveyRpt_20150223 (1)'!A372+"h_l!$xn"</f>
        <v>#VALUE!</v>
      </c>
      <c r="EI60" s="25" t="e">
        <f>'SurveyRpt_20150223 (1)'!B372+"h_l!$xo"</f>
        <v>#VALUE!</v>
      </c>
      <c r="EJ60" t="e">
        <f>'SurveyRpt_20150223 (1)'!C372+"h_l!$xp"</f>
        <v>#VALUE!</v>
      </c>
      <c r="EK60" s="25" t="e">
        <f>'SurveyRpt_20150223 (1)'!D372+"h_l!$xq"</f>
        <v>#VALUE!</v>
      </c>
      <c r="EL60" t="e">
        <f>'SurveyRpt_20150223 (1)'!E372+"h_l!$xr"</f>
        <v>#VALUE!</v>
      </c>
      <c r="EM60" t="e">
        <f>'SurveyRpt_20150223 (1)'!F372+"h_l!$xs"</f>
        <v>#VALUE!</v>
      </c>
      <c r="EN60" t="e">
        <f>'SurveyRpt_20150223 (1)'!G372+"h_l!$xt"</f>
        <v>#VALUE!</v>
      </c>
      <c r="EO60" t="e">
        <f>'SurveyRpt_20150223 (1)'!H372+"h_l!$xu"</f>
        <v>#VALUE!</v>
      </c>
      <c r="EP60" t="e">
        <f>'SurveyRpt_20150223 (1)'!I372+"h_l!$xv"</f>
        <v>#VALUE!</v>
      </c>
      <c r="EQ60" t="e">
        <f>'SurveyRpt_20150223 (1)'!J372+"h_l!$xw"</f>
        <v>#VALUE!</v>
      </c>
      <c r="ER60" t="e">
        <f>'SurveyRpt_20150223 (1)'!K372+"h_l!$xx"</f>
        <v>#VALUE!</v>
      </c>
      <c r="ES60" t="e">
        <f>'SurveyRpt_20150223 (1)'!L372+"h_l!$xy"</f>
        <v>#VALUE!</v>
      </c>
      <c r="ET60" t="e">
        <f>'SurveyRpt_20150223 (1)'!M372+"h_l!$xz"</f>
        <v>#VALUE!</v>
      </c>
      <c r="EU60" t="e">
        <f>'SurveyRpt_20150223 (1)'!N372+"h_l!$x{"</f>
        <v>#VALUE!</v>
      </c>
      <c r="EV60" t="e">
        <f>'SurveyRpt_20150223 (1)'!O372+"h_l!$x|"</f>
        <v>#VALUE!</v>
      </c>
      <c r="EW60" t="e">
        <f>'SurveyRpt_20150223 (1)'!P372+"h_l!$x}"</f>
        <v>#VALUE!</v>
      </c>
      <c r="EX60" t="e">
        <f>'SurveyRpt_20150223 (1)'!Q372+"h_l!$x~"</f>
        <v>#VALUE!</v>
      </c>
      <c r="EY60" t="e">
        <f>'SurveyRpt_20150223 (1)'!R372+"h_l!$y#"</f>
        <v>#VALUE!</v>
      </c>
      <c r="EZ60" t="e">
        <f>'SurveyRpt_20150223 (1)'!S372+"h_l!$y$"</f>
        <v>#VALUE!</v>
      </c>
      <c r="FA60" t="e">
        <f>'SurveyRpt_20150223 (1)'!T372+"h_l!$y%"</f>
        <v>#VALUE!</v>
      </c>
      <c r="FB60" t="e">
        <f>'SurveyRpt_20150223 (1)'!U372+"h_l!$y&amp;"</f>
        <v>#VALUE!</v>
      </c>
      <c r="FC60" t="e">
        <f>'SurveyRpt_20150223 (1)'!V372+"h_l!$y'"</f>
        <v>#VALUE!</v>
      </c>
      <c r="FD60" t="e">
        <f>'SurveyRpt_20150223 (1)'!W372+"h_l!$y("</f>
        <v>#VALUE!</v>
      </c>
      <c r="FE60" t="e">
        <f>'SurveyRpt_20150223 (1)'!X372+"h_l!$y)"</f>
        <v>#VALUE!</v>
      </c>
      <c r="FF60" t="e">
        <f>'SurveyRpt_20150223 (1)'!Y372+"h_l!$y."</f>
        <v>#VALUE!</v>
      </c>
      <c r="FG60" t="e">
        <f>'SurveyRpt_20150223 (1)'!Z372+"h_l!$y/"</f>
        <v>#VALUE!</v>
      </c>
      <c r="FH60" t="e">
        <f>'SurveyRpt_20150223 (1)'!AA372+"h_l!$y0"</f>
        <v>#VALUE!</v>
      </c>
      <c r="FI60" t="e">
        <f>'SurveyRpt_20150223 (1)'!AB372+"h_l!$y1"</f>
        <v>#VALUE!</v>
      </c>
      <c r="FJ60" t="e">
        <f>'SurveyRpt_20150223 (1)'!AC372+"h_l!$y2"</f>
        <v>#VALUE!</v>
      </c>
      <c r="FK60" t="e">
        <f>'SurveyRpt_20150223 (1)'!AD372+"h_l!$y3"</f>
        <v>#VALUE!</v>
      </c>
      <c r="FL60" t="e">
        <f>'SurveyRpt_20150223 (1)'!AE372+"h_l!$y4"</f>
        <v>#VALUE!</v>
      </c>
      <c r="FM60" t="e">
        <f>'SurveyRpt_20150223 (1)'!AF372+"h_l!$y5"</f>
        <v>#VALUE!</v>
      </c>
      <c r="FN60" t="e">
        <f>'SurveyRpt_20150223 (1)'!AG372+"h_l!$y6"</f>
        <v>#VALUE!</v>
      </c>
      <c r="FO60" t="e">
        <f>'SurveyRpt_20150223 (1)'!AH372+"h_l!$y7"</f>
        <v>#VALUE!</v>
      </c>
      <c r="FP60" t="e">
        <f>'SurveyRpt_20150223 (1)'!AI372+"h_l!$y8"</f>
        <v>#VALUE!</v>
      </c>
      <c r="FQ60" t="e">
        <f>'SurveyRpt_20150223 (1)'!AJ372+"h_l!$y9"</f>
        <v>#VALUE!</v>
      </c>
      <c r="FR60" t="e">
        <f>'SurveyRpt_20150223 (1)'!AK372+"h_l!$y:"</f>
        <v>#VALUE!</v>
      </c>
      <c r="FS60" t="e">
        <f>'SurveyRpt_20150223 (1)'!AL372+"h_l!$y;"</f>
        <v>#VALUE!</v>
      </c>
      <c r="FT60" t="e">
        <f>'SurveyRpt_20150223 (1)'!AM372+"h_l!$y&lt;"</f>
        <v>#VALUE!</v>
      </c>
      <c r="FU60" t="e">
        <f>'SurveyRpt_20150223 (1)'!AN372+"h_l!$y="</f>
        <v>#VALUE!</v>
      </c>
      <c r="FV60" t="e">
        <f>'SurveyRpt_20150223 (1)'!A373+"h_l!$y&gt;"</f>
        <v>#VALUE!</v>
      </c>
      <c r="FW60" s="25" t="e">
        <f>'SurveyRpt_20150223 (1)'!B373+"h_l!$y?"</f>
        <v>#VALUE!</v>
      </c>
      <c r="FX60" t="e">
        <f>'SurveyRpt_20150223 (1)'!C373+"h_l!$y@"</f>
        <v>#VALUE!</v>
      </c>
      <c r="FY60" s="25" t="e">
        <f>'SurveyRpt_20150223 (1)'!D373+"h_l!$yA"</f>
        <v>#VALUE!</v>
      </c>
      <c r="FZ60" t="e">
        <f>'SurveyRpt_20150223 (1)'!E373+"h_l!$yB"</f>
        <v>#VALUE!</v>
      </c>
      <c r="GA60" t="e">
        <f>'SurveyRpt_20150223 (1)'!F373+"h_l!$yC"</f>
        <v>#VALUE!</v>
      </c>
      <c r="GB60" t="e">
        <f>'SurveyRpt_20150223 (1)'!G373+"h_l!$yD"</f>
        <v>#VALUE!</v>
      </c>
      <c r="GC60" t="e">
        <f>'SurveyRpt_20150223 (1)'!H373+"h_l!$yE"</f>
        <v>#VALUE!</v>
      </c>
      <c r="GD60" t="e">
        <f>'SurveyRpt_20150223 (1)'!I373+"h_l!$yF"</f>
        <v>#VALUE!</v>
      </c>
      <c r="GE60" t="e">
        <f>'SurveyRpt_20150223 (1)'!J373+"h_l!$yG"</f>
        <v>#VALUE!</v>
      </c>
      <c r="GF60" t="e">
        <f>'SurveyRpt_20150223 (1)'!K373+"h_l!$yH"</f>
        <v>#VALUE!</v>
      </c>
      <c r="GG60" t="e">
        <f>'SurveyRpt_20150223 (1)'!L373+"h_l!$yI"</f>
        <v>#VALUE!</v>
      </c>
      <c r="GH60" t="e">
        <f>'SurveyRpt_20150223 (1)'!M373+"h_l!$yJ"</f>
        <v>#VALUE!</v>
      </c>
      <c r="GI60" t="e">
        <f>'SurveyRpt_20150223 (1)'!N373+"h_l!$yK"</f>
        <v>#VALUE!</v>
      </c>
      <c r="GJ60" t="e">
        <f>'SurveyRpt_20150223 (1)'!O373+"h_l!$yL"</f>
        <v>#VALUE!</v>
      </c>
      <c r="GK60" t="e">
        <f>'SurveyRpt_20150223 (1)'!P373+"h_l!$yM"</f>
        <v>#VALUE!</v>
      </c>
      <c r="GL60" t="e">
        <f>'SurveyRpt_20150223 (1)'!Q373+"h_l!$yN"</f>
        <v>#VALUE!</v>
      </c>
      <c r="GM60" t="e">
        <f>'SurveyRpt_20150223 (1)'!R373+"h_l!$yO"</f>
        <v>#VALUE!</v>
      </c>
      <c r="GN60" t="e">
        <f>'SurveyRpt_20150223 (1)'!S373+"h_l!$yP"</f>
        <v>#VALUE!</v>
      </c>
      <c r="GO60" t="e">
        <f>'SurveyRpt_20150223 (1)'!T373+"h_l!$yQ"</f>
        <v>#VALUE!</v>
      </c>
      <c r="GP60" t="e">
        <f>'SurveyRpt_20150223 (1)'!U373+"h_l!$yR"</f>
        <v>#VALUE!</v>
      </c>
      <c r="GQ60" t="e">
        <f>'SurveyRpt_20150223 (1)'!V373+"h_l!$yS"</f>
        <v>#VALUE!</v>
      </c>
      <c r="GR60" t="e">
        <f>'SurveyRpt_20150223 (1)'!W373+"h_l!$yT"</f>
        <v>#VALUE!</v>
      </c>
      <c r="GS60" t="e">
        <f>'SurveyRpt_20150223 (1)'!X373+"h_l!$yU"</f>
        <v>#VALUE!</v>
      </c>
      <c r="GT60" t="e">
        <f>'SurveyRpt_20150223 (1)'!Y373+"h_l!$yV"</f>
        <v>#VALUE!</v>
      </c>
      <c r="GU60" t="e">
        <f>'SurveyRpt_20150223 (1)'!Z373+"h_l!$yW"</f>
        <v>#VALUE!</v>
      </c>
      <c r="GV60" t="e">
        <f>'SurveyRpt_20150223 (1)'!AA373+"h_l!$yX"</f>
        <v>#VALUE!</v>
      </c>
      <c r="GW60" t="e">
        <f>'SurveyRpt_20150223 (1)'!AB373+"h_l!$yY"</f>
        <v>#VALUE!</v>
      </c>
      <c r="GX60" t="e">
        <f>'SurveyRpt_20150223 (1)'!AC373+"h_l!$yZ"</f>
        <v>#VALUE!</v>
      </c>
      <c r="GY60" t="e">
        <f>'SurveyRpt_20150223 (1)'!AD373+"h_l!$y["</f>
        <v>#VALUE!</v>
      </c>
      <c r="GZ60" t="e">
        <f>'SurveyRpt_20150223 (1)'!AE373+"h_l!$y\"</f>
        <v>#VALUE!</v>
      </c>
      <c r="HA60" t="e">
        <f>'SurveyRpt_20150223 (1)'!AF373+"h_l!$y]"</f>
        <v>#VALUE!</v>
      </c>
      <c r="HB60" t="e">
        <f>'SurveyRpt_20150223 (1)'!AG373+"h_l!$y^"</f>
        <v>#VALUE!</v>
      </c>
      <c r="HC60" t="e">
        <f>'SurveyRpt_20150223 (1)'!AH373+"h_l!$y_"</f>
        <v>#VALUE!</v>
      </c>
      <c r="HD60" t="e">
        <f>'SurveyRpt_20150223 (1)'!AI373+"h_l!$y`"</f>
        <v>#VALUE!</v>
      </c>
      <c r="HE60" t="e">
        <f>'SurveyRpt_20150223 (1)'!AJ373+"h_l!$ya"</f>
        <v>#VALUE!</v>
      </c>
      <c r="HF60" t="e">
        <f>'SurveyRpt_20150223 (1)'!AK373+"h_l!$yb"</f>
        <v>#VALUE!</v>
      </c>
      <c r="HG60" t="e">
        <f>'SurveyRpt_20150223 (1)'!AL373+"h_l!$yc"</f>
        <v>#VALUE!</v>
      </c>
      <c r="HH60" t="e">
        <f>'SurveyRpt_20150223 (1)'!AM373+"h_l!$yd"</f>
        <v>#VALUE!</v>
      </c>
      <c r="HI60" t="e">
        <f>'SurveyRpt_20150223 (1)'!AN373+"h_l!$ye"</f>
        <v>#VALUE!</v>
      </c>
      <c r="HJ60" t="e">
        <f>'SurveyRpt_20150223 (1)'!A374+"h_l!$yf"</f>
        <v>#VALUE!</v>
      </c>
      <c r="HK60" s="25" t="e">
        <f>'SurveyRpt_20150223 (1)'!B374+"h_l!$yg"</f>
        <v>#VALUE!</v>
      </c>
      <c r="HL60" t="e">
        <f>'SurveyRpt_20150223 (1)'!C374+"h_l!$yh"</f>
        <v>#VALUE!</v>
      </c>
      <c r="HM60" s="25" t="e">
        <f>'SurveyRpt_20150223 (1)'!D374+"h_l!$yi"</f>
        <v>#VALUE!</v>
      </c>
      <c r="HN60" t="e">
        <f>'SurveyRpt_20150223 (1)'!E374+"h_l!$yj"</f>
        <v>#VALUE!</v>
      </c>
      <c r="HO60" t="e">
        <f>'SurveyRpt_20150223 (1)'!F374+"h_l!$yk"</f>
        <v>#VALUE!</v>
      </c>
      <c r="HP60" t="e">
        <f>'SurveyRpt_20150223 (1)'!G374+"h_l!$yl"</f>
        <v>#VALUE!</v>
      </c>
      <c r="HQ60" t="e">
        <f>'SurveyRpt_20150223 (1)'!H374+"h_l!$ym"</f>
        <v>#VALUE!</v>
      </c>
      <c r="HR60" t="e">
        <f>'SurveyRpt_20150223 (1)'!I374+"h_l!$yn"</f>
        <v>#VALUE!</v>
      </c>
      <c r="HS60" t="e">
        <f>'SurveyRpt_20150223 (1)'!J374+"h_l!$yo"</f>
        <v>#VALUE!</v>
      </c>
      <c r="HT60" t="e">
        <f>'SurveyRpt_20150223 (1)'!K374+"h_l!$yp"</f>
        <v>#VALUE!</v>
      </c>
      <c r="HU60" t="e">
        <f>'SurveyRpt_20150223 (1)'!L374+"h_l!$yq"</f>
        <v>#VALUE!</v>
      </c>
      <c r="HV60" t="e">
        <f>'SurveyRpt_20150223 (1)'!M374+"h_l!$yr"</f>
        <v>#VALUE!</v>
      </c>
      <c r="HW60" t="e">
        <f>'SurveyRpt_20150223 (1)'!N374+"h_l!$ys"</f>
        <v>#VALUE!</v>
      </c>
      <c r="HX60" t="e">
        <f>'SurveyRpt_20150223 (1)'!O374+"h_l!$yt"</f>
        <v>#VALUE!</v>
      </c>
      <c r="HY60" t="e">
        <f>'SurveyRpt_20150223 (1)'!P374+"h_l!$yu"</f>
        <v>#VALUE!</v>
      </c>
      <c r="HZ60" t="e">
        <f>'SurveyRpt_20150223 (1)'!Q374+"h_l!$yv"</f>
        <v>#VALUE!</v>
      </c>
      <c r="IA60" t="e">
        <f>'SurveyRpt_20150223 (1)'!R374+"h_l!$yw"</f>
        <v>#VALUE!</v>
      </c>
      <c r="IB60" t="e">
        <f>'SurveyRpt_20150223 (1)'!S374+"h_l!$yx"</f>
        <v>#VALUE!</v>
      </c>
      <c r="IC60" t="e">
        <f>'SurveyRpt_20150223 (1)'!T374+"h_l!$yy"</f>
        <v>#VALUE!</v>
      </c>
      <c r="ID60" t="e">
        <f>'SurveyRpt_20150223 (1)'!U374+"h_l!$yz"</f>
        <v>#VALUE!</v>
      </c>
      <c r="IE60" t="e">
        <f>'SurveyRpt_20150223 (1)'!V374+"h_l!$y{"</f>
        <v>#VALUE!</v>
      </c>
      <c r="IF60" t="e">
        <f>'SurveyRpt_20150223 (1)'!W374+"h_l!$y|"</f>
        <v>#VALUE!</v>
      </c>
      <c r="IG60" t="e">
        <f>'SurveyRpt_20150223 (1)'!X374+"h_l!$y}"</f>
        <v>#VALUE!</v>
      </c>
      <c r="IH60" t="e">
        <f>'SurveyRpt_20150223 (1)'!Y374+"h_l!$y~"</f>
        <v>#VALUE!</v>
      </c>
      <c r="II60" t="e">
        <f>'SurveyRpt_20150223 (1)'!Z374+"h_l!$z#"</f>
        <v>#VALUE!</v>
      </c>
      <c r="IJ60" t="e">
        <f>'SurveyRpt_20150223 (1)'!AA374+"h_l!$z$"</f>
        <v>#VALUE!</v>
      </c>
      <c r="IK60" t="e">
        <f>'SurveyRpt_20150223 (1)'!AB374+"h_l!$z%"</f>
        <v>#VALUE!</v>
      </c>
      <c r="IL60" t="e">
        <f>'SurveyRpt_20150223 (1)'!AC374+"h_l!$z&amp;"</f>
        <v>#VALUE!</v>
      </c>
      <c r="IM60" t="e">
        <f>'SurveyRpt_20150223 (1)'!AD374+"h_l!$z'"</f>
        <v>#VALUE!</v>
      </c>
      <c r="IN60" t="e">
        <f>'SurveyRpt_20150223 (1)'!AE374+"h_l!$z("</f>
        <v>#VALUE!</v>
      </c>
      <c r="IO60" t="e">
        <f>'SurveyRpt_20150223 (1)'!AF374+"h_l!$z)"</f>
        <v>#VALUE!</v>
      </c>
      <c r="IP60" t="e">
        <f>'SurveyRpt_20150223 (1)'!AG374+"h_l!$z."</f>
        <v>#VALUE!</v>
      </c>
      <c r="IQ60" t="e">
        <f>'SurveyRpt_20150223 (1)'!AH374+"h_l!$z/"</f>
        <v>#VALUE!</v>
      </c>
      <c r="IR60" t="e">
        <f>'SurveyRpt_20150223 (1)'!AI374+"h_l!$z0"</f>
        <v>#VALUE!</v>
      </c>
      <c r="IS60" t="e">
        <f>'SurveyRpt_20150223 (1)'!AJ374+"h_l!$z1"</f>
        <v>#VALUE!</v>
      </c>
      <c r="IT60" t="e">
        <f>'SurveyRpt_20150223 (1)'!AK374+"h_l!$z2"</f>
        <v>#VALUE!</v>
      </c>
      <c r="IU60" t="e">
        <f>'SurveyRpt_20150223 (1)'!AL374+"h_l!$z3"</f>
        <v>#VALUE!</v>
      </c>
      <c r="IV60" t="e">
        <f>'SurveyRpt_20150223 (1)'!AM374+"h_l!$z4"</f>
        <v>#VALUE!</v>
      </c>
    </row>
    <row r="61" spans="6:256" x14ac:dyDescent="0.25">
      <c r="F61" t="e">
        <f>'SurveyRpt_20150223 (1)'!AN374+"h_l!$z5"</f>
        <v>#VALUE!</v>
      </c>
      <c r="G61" t="e">
        <f>'SurveyRpt_20150223 (1)'!A375+"h_l!$z6"</f>
        <v>#VALUE!</v>
      </c>
      <c r="H61" s="25" t="e">
        <f>'SurveyRpt_20150223 (1)'!B375+"h_l!$z7"</f>
        <v>#VALUE!</v>
      </c>
      <c r="I61" t="e">
        <f>'SurveyRpt_20150223 (1)'!C375+"h_l!$z8"</f>
        <v>#VALUE!</v>
      </c>
      <c r="J61" s="25" t="e">
        <f>'SurveyRpt_20150223 (1)'!D375+"h_l!$z9"</f>
        <v>#VALUE!</v>
      </c>
      <c r="K61" t="e">
        <f>'SurveyRpt_20150223 (1)'!E375+"h_l!$z:"</f>
        <v>#VALUE!</v>
      </c>
      <c r="L61" t="e">
        <f>'SurveyRpt_20150223 (1)'!F375+"h_l!$z;"</f>
        <v>#VALUE!</v>
      </c>
      <c r="M61" t="e">
        <f>'SurveyRpt_20150223 (1)'!G375+"h_l!$z&lt;"</f>
        <v>#VALUE!</v>
      </c>
      <c r="N61" t="e">
        <f>'SurveyRpt_20150223 (1)'!H375+"h_l!$z="</f>
        <v>#VALUE!</v>
      </c>
      <c r="O61" t="e">
        <f>'SurveyRpt_20150223 (1)'!I375+"h_l!$z&gt;"</f>
        <v>#VALUE!</v>
      </c>
      <c r="P61" t="e">
        <f>'SurveyRpt_20150223 (1)'!J375+"h_l!$z?"</f>
        <v>#VALUE!</v>
      </c>
      <c r="Q61" t="e">
        <f>'SurveyRpt_20150223 (1)'!K375+"h_l!$z@"</f>
        <v>#VALUE!</v>
      </c>
      <c r="R61" t="e">
        <f>'SurveyRpt_20150223 (1)'!L375+"h_l!$zA"</f>
        <v>#VALUE!</v>
      </c>
      <c r="S61" t="e">
        <f>'SurveyRpt_20150223 (1)'!M375+"h_l!$zB"</f>
        <v>#VALUE!</v>
      </c>
      <c r="T61" t="e">
        <f>'SurveyRpt_20150223 (1)'!N375+"h_l!$zC"</f>
        <v>#VALUE!</v>
      </c>
      <c r="U61" t="e">
        <f>'SurveyRpt_20150223 (1)'!O375+"h_l!$zD"</f>
        <v>#VALUE!</v>
      </c>
      <c r="V61" t="e">
        <f>'SurveyRpt_20150223 (1)'!P375+"h_l!$zE"</f>
        <v>#VALUE!</v>
      </c>
      <c r="W61" t="e">
        <f>'SurveyRpt_20150223 (1)'!Q375+"h_l!$zF"</f>
        <v>#VALUE!</v>
      </c>
      <c r="X61" t="e">
        <f>'SurveyRpt_20150223 (1)'!R375+"h_l!$zG"</f>
        <v>#VALUE!</v>
      </c>
      <c r="Y61" t="e">
        <f>'SurveyRpt_20150223 (1)'!S375+"h_l!$zH"</f>
        <v>#VALUE!</v>
      </c>
      <c r="Z61" t="e">
        <f>'SurveyRpt_20150223 (1)'!T375+"h_l!$zI"</f>
        <v>#VALUE!</v>
      </c>
      <c r="AA61" t="e">
        <f>'SurveyRpt_20150223 (1)'!U375+"h_l!$zJ"</f>
        <v>#VALUE!</v>
      </c>
      <c r="AB61" t="e">
        <f>'SurveyRpt_20150223 (1)'!V375+"h_l!$zK"</f>
        <v>#VALUE!</v>
      </c>
      <c r="AC61" t="e">
        <f>'SurveyRpt_20150223 (1)'!W375+"h_l!$zL"</f>
        <v>#VALUE!</v>
      </c>
      <c r="AD61" t="e">
        <f>'SurveyRpt_20150223 (1)'!X375+"h_l!$zM"</f>
        <v>#VALUE!</v>
      </c>
      <c r="AE61" t="e">
        <f>'SurveyRpt_20150223 (1)'!Y375+"h_l!$zN"</f>
        <v>#VALUE!</v>
      </c>
      <c r="AF61" t="e">
        <f>'SurveyRpt_20150223 (1)'!Z375+"h_l!$zO"</f>
        <v>#VALUE!</v>
      </c>
      <c r="AG61" t="e">
        <f>'SurveyRpt_20150223 (1)'!AA375+"h_l!$zP"</f>
        <v>#VALUE!</v>
      </c>
      <c r="AH61" t="e">
        <f>'SurveyRpt_20150223 (1)'!AB375+"h_l!$zQ"</f>
        <v>#VALUE!</v>
      </c>
      <c r="AI61" t="e">
        <f>'SurveyRpt_20150223 (1)'!AC375+"h_l!$zR"</f>
        <v>#VALUE!</v>
      </c>
      <c r="AJ61" t="e">
        <f>'SurveyRpt_20150223 (1)'!AD375+"h_l!$zS"</f>
        <v>#VALUE!</v>
      </c>
      <c r="AK61" t="e">
        <f>'SurveyRpt_20150223 (1)'!AE375+"h_l!$zT"</f>
        <v>#VALUE!</v>
      </c>
      <c r="AL61" t="e">
        <f>'SurveyRpt_20150223 (1)'!AF375+"h_l!$zU"</f>
        <v>#VALUE!</v>
      </c>
      <c r="AM61" t="e">
        <f>'SurveyRpt_20150223 (1)'!AG375+"h_l!$zV"</f>
        <v>#VALUE!</v>
      </c>
      <c r="AN61" t="e">
        <f>'SurveyRpt_20150223 (1)'!AH375+"h_l!$zW"</f>
        <v>#VALUE!</v>
      </c>
      <c r="AO61" t="e">
        <f>'SurveyRpt_20150223 (1)'!AI375+"h_l!$zX"</f>
        <v>#VALUE!</v>
      </c>
      <c r="AP61" t="e">
        <f>'SurveyRpt_20150223 (1)'!AJ375+"h_l!$zY"</f>
        <v>#VALUE!</v>
      </c>
      <c r="AQ61" t="e">
        <f>'SurveyRpt_20150223 (1)'!AK375+"h_l!$zZ"</f>
        <v>#VALUE!</v>
      </c>
      <c r="AR61" t="e">
        <f>'SurveyRpt_20150223 (1)'!AL375+"h_l!$z["</f>
        <v>#VALUE!</v>
      </c>
      <c r="AS61" t="e">
        <f>'SurveyRpt_20150223 (1)'!AM375+"h_l!$z\"</f>
        <v>#VALUE!</v>
      </c>
      <c r="AT61" t="e">
        <f>'SurveyRpt_20150223 (1)'!AN375+"h_l!$z]"</f>
        <v>#VALUE!</v>
      </c>
      <c r="AU61" t="e">
        <f>'SurveyRpt_20150223 (1)'!A376+"h_l!$z^"</f>
        <v>#VALUE!</v>
      </c>
      <c r="AV61" s="25" t="e">
        <f>'SurveyRpt_20150223 (1)'!B376+"h_l!$z_"</f>
        <v>#VALUE!</v>
      </c>
      <c r="AW61" t="e">
        <f>'SurveyRpt_20150223 (1)'!C376+"h_l!$z`"</f>
        <v>#VALUE!</v>
      </c>
      <c r="AX61" s="25" t="e">
        <f>'SurveyRpt_20150223 (1)'!D376+"h_l!$za"</f>
        <v>#VALUE!</v>
      </c>
      <c r="AY61" t="e">
        <f>'SurveyRpt_20150223 (1)'!E376+"h_l!$zb"</f>
        <v>#VALUE!</v>
      </c>
      <c r="AZ61" t="e">
        <f>'SurveyRpt_20150223 (1)'!F376+"h_l!$zc"</f>
        <v>#VALUE!</v>
      </c>
      <c r="BA61" t="e">
        <f>'SurveyRpt_20150223 (1)'!G376+"h_l!$zd"</f>
        <v>#VALUE!</v>
      </c>
      <c r="BB61" t="e">
        <f>'SurveyRpt_20150223 (1)'!H376+"h_l!$ze"</f>
        <v>#VALUE!</v>
      </c>
      <c r="BC61" t="e">
        <f>'SurveyRpt_20150223 (1)'!I376+"h_l!$zf"</f>
        <v>#VALUE!</v>
      </c>
      <c r="BD61" t="e">
        <f>'SurveyRpt_20150223 (1)'!J376+"h_l!$zg"</f>
        <v>#VALUE!</v>
      </c>
      <c r="BE61" t="e">
        <f>'SurveyRpt_20150223 (1)'!K376+"h_l!$zh"</f>
        <v>#VALUE!</v>
      </c>
      <c r="BF61" t="e">
        <f>'SurveyRpt_20150223 (1)'!L376+"h_l!$zi"</f>
        <v>#VALUE!</v>
      </c>
      <c r="BG61" t="e">
        <f>'SurveyRpt_20150223 (1)'!M376+"h_l!$zj"</f>
        <v>#VALUE!</v>
      </c>
      <c r="BH61" t="e">
        <f>'SurveyRpt_20150223 (1)'!N376+"h_l!$zk"</f>
        <v>#VALUE!</v>
      </c>
      <c r="BI61" t="e">
        <f>'SurveyRpt_20150223 (1)'!O376+"h_l!$zl"</f>
        <v>#VALUE!</v>
      </c>
      <c r="BJ61" t="e">
        <f>'SurveyRpt_20150223 (1)'!P376+"h_l!$zm"</f>
        <v>#VALUE!</v>
      </c>
      <c r="BK61" t="e">
        <f>'SurveyRpt_20150223 (1)'!Q376+"h_l!$zn"</f>
        <v>#VALUE!</v>
      </c>
      <c r="BL61" t="e">
        <f>'SurveyRpt_20150223 (1)'!R376+"h_l!$zo"</f>
        <v>#VALUE!</v>
      </c>
      <c r="BM61" t="e">
        <f>'SurveyRpt_20150223 (1)'!S376+"h_l!$zp"</f>
        <v>#VALUE!</v>
      </c>
      <c r="BN61" t="e">
        <f>'SurveyRpt_20150223 (1)'!T376+"h_l!$zq"</f>
        <v>#VALUE!</v>
      </c>
      <c r="BO61" t="e">
        <f>'SurveyRpt_20150223 (1)'!U376+"h_l!$zr"</f>
        <v>#VALUE!</v>
      </c>
      <c r="BP61" t="e">
        <f>'SurveyRpt_20150223 (1)'!V376+"h_l!$zs"</f>
        <v>#VALUE!</v>
      </c>
      <c r="BQ61" t="e">
        <f>'SurveyRpt_20150223 (1)'!W376+"h_l!$zt"</f>
        <v>#VALUE!</v>
      </c>
      <c r="BR61" t="e">
        <f>'SurveyRpt_20150223 (1)'!X376+"h_l!$zu"</f>
        <v>#VALUE!</v>
      </c>
      <c r="BS61" t="e">
        <f>'SurveyRpt_20150223 (1)'!Y376+"h_l!$zv"</f>
        <v>#VALUE!</v>
      </c>
      <c r="BT61" t="e">
        <f>'SurveyRpt_20150223 (1)'!Z376+"h_l!$zw"</f>
        <v>#VALUE!</v>
      </c>
      <c r="BU61" t="e">
        <f>'SurveyRpt_20150223 (1)'!AA376+"h_l!$zx"</f>
        <v>#VALUE!</v>
      </c>
      <c r="BV61" t="e">
        <f>'SurveyRpt_20150223 (1)'!AB376+"h_l!$zy"</f>
        <v>#VALUE!</v>
      </c>
      <c r="BW61" t="e">
        <f>'SurveyRpt_20150223 (1)'!AC376+"h_l!$zz"</f>
        <v>#VALUE!</v>
      </c>
      <c r="BX61" t="e">
        <f>'SurveyRpt_20150223 (1)'!AD376+"h_l!$z{"</f>
        <v>#VALUE!</v>
      </c>
      <c r="BY61" t="e">
        <f>'SurveyRpt_20150223 (1)'!AE376+"h_l!$z|"</f>
        <v>#VALUE!</v>
      </c>
      <c r="BZ61" t="e">
        <f>'SurveyRpt_20150223 (1)'!AF376+"h_l!$z}"</f>
        <v>#VALUE!</v>
      </c>
      <c r="CA61" t="e">
        <f>'SurveyRpt_20150223 (1)'!AG376+"h_l!$z~"</f>
        <v>#VALUE!</v>
      </c>
      <c r="CB61" t="e">
        <f>'SurveyRpt_20150223 (1)'!AH376+"h_l!${#"</f>
        <v>#VALUE!</v>
      </c>
      <c r="CC61" t="e">
        <f>'SurveyRpt_20150223 (1)'!AI376+"h_l!${$"</f>
        <v>#VALUE!</v>
      </c>
      <c r="CD61" t="e">
        <f>'SurveyRpt_20150223 (1)'!AJ376+"h_l!${%"</f>
        <v>#VALUE!</v>
      </c>
      <c r="CE61" t="e">
        <f>'SurveyRpt_20150223 (1)'!AK376+"h_l!${&amp;"</f>
        <v>#VALUE!</v>
      </c>
      <c r="CF61" t="e">
        <f>'SurveyRpt_20150223 (1)'!AL376+"h_l!${'"</f>
        <v>#VALUE!</v>
      </c>
      <c r="CG61" t="e">
        <f>'SurveyRpt_20150223 (1)'!AM376+"h_l!${("</f>
        <v>#VALUE!</v>
      </c>
      <c r="CH61" t="e">
        <f>'SurveyRpt_20150223 (1)'!AN376+"h_l!${)"</f>
        <v>#VALUE!</v>
      </c>
      <c r="CI61" t="e">
        <f>'SurveyRpt_20150223 (1)'!A377+"h_l!${."</f>
        <v>#VALUE!</v>
      </c>
      <c r="CJ61" s="25" t="e">
        <f>'SurveyRpt_20150223 (1)'!B377+"h_l!${/"</f>
        <v>#VALUE!</v>
      </c>
      <c r="CK61" t="e">
        <f>'SurveyRpt_20150223 (1)'!C377+"h_l!${0"</f>
        <v>#VALUE!</v>
      </c>
      <c r="CL61" s="25" t="e">
        <f>'SurveyRpt_20150223 (1)'!D377+"h_l!${1"</f>
        <v>#VALUE!</v>
      </c>
      <c r="CM61" t="e">
        <f>'SurveyRpt_20150223 (1)'!E377+"h_l!${2"</f>
        <v>#VALUE!</v>
      </c>
      <c r="CN61" t="e">
        <f>'SurveyRpt_20150223 (1)'!F377+"h_l!${3"</f>
        <v>#VALUE!</v>
      </c>
      <c r="CO61" t="e">
        <f>'SurveyRpt_20150223 (1)'!G377+"h_l!${4"</f>
        <v>#VALUE!</v>
      </c>
      <c r="CP61" t="e">
        <f>'SurveyRpt_20150223 (1)'!H377+"h_l!${5"</f>
        <v>#VALUE!</v>
      </c>
      <c r="CQ61" t="e">
        <f>'SurveyRpt_20150223 (1)'!I377+"h_l!${6"</f>
        <v>#VALUE!</v>
      </c>
      <c r="CR61" t="e">
        <f>'SurveyRpt_20150223 (1)'!J377+"h_l!${7"</f>
        <v>#VALUE!</v>
      </c>
      <c r="CS61" t="e">
        <f>'SurveyRpt_20150223 (1)'!K377+"h_l!${8"</f>
        <v>#VALUE!</v>
      </c>
      <c r="CT61" t="e">
        <f>'SurveyRpt_20150223 (1)'!L377+"h_l!${9"</f>
        <v>#VALUE!</v>
      </c>
      <c r="CU61" t="e">
        <f>'SurveyRpt_20150223 (1)'!M377+"h_l!${:"</f>
        <v>#VALUE!</v>
      </c>
      <c r="CV61" t="e">
        <f>'SurveyRpt_20150223 (1)'!N377+"h_l!${;"</f>
        <v>#VALUE!</v>
      </c>
      <c r="CW61" t="e">
        <f>'SurveyRpt_20150223 (1)'!O377+"h_l!${&lt;"</f>
        <v>#VALUE!</v>
      </c>
      <c r="CX61" t="e">
        <f>'SurveyRpt_20150223 (1)'!P377+"h_l!${="</f>
        <v>#VALUE!</v>
      </c>
      <c r="CY61" t="e">
        <f>'SurveyRpt_20150223 (1)'!Q377+"h_l!${&gt;"</f>
        <v>#VALUE!</v>
      </c>
      <c r="CZ61" t="e">
        <f>'SurveyRpt_20150223 (1)'!R377+"h_l!${?"</f>
        <v>#VALUE!</v>
      </c>
      <c r="DA61" t="e">
        <f>'SurveyRpt_20150223 (1)'!S377+"h_l!${@"</f>
        <v>#VALUE!</v>
      </c>
      <c r="DB61" t="e">
        <f>'SurveyRpt_20150223 (1)'!T377+"h_l!${A"</f>
        <v>#VALUE!</v>
      </c>
      <c r="DC61" t="e">
        <f>'SurveyRpt_20150223 (1)'!U377+"h_l!${B"</f>
        <v>#VALUE!</v>
      </c>
      <c r="DD61" t="e">
        <f>'SurveyRpt_20150223 (1)'!V377+"h_l!${C"</f>
        <v>#VALUE!</v>
      </c>
      <c r="DE61" t="e">
        <f>'SurveyRpt_20150223 (1)'!W377+"h_l!${D"</f>
        <v>#VALUE!</v>
      </c>
      <c r="DF61" t="e">
        <f>'SurveyRpt_20150223 (1)'!X377+"h_l!${E"</f>
        <v>#VALUE!</v>
      </c>
      <c r="DG61" t="e">
        <f>'SurveyRpt_20150223 (1)'!Y377+"h_l!${F"</f>
        <v>#VALUE!</v>
      </c>
      <c r="DH61" t="e">
        <f>'SurveyRpt_20150223 (1)'!Z377+"h_l!${G"</f>
        <v>#VALUE!</v>
      </c>
      <c r="DI61" t="e">
        <f>'SurveyRpt_20150223 (1)'!AA377+"h_l!${H"</f>
        <v>#VALUE!</v>
      </c>
      <c r="DJ61" t="e">
        <f>'SurveyRpt_20150223 (1)'!AB377+"h_l!${I"</f>
        <v>#VALUE!</v>
      </c>
      <c r="DK61" t="e">
        <f>'SurveyRpt_20150223 (1)'!AC377+"h_l!${J"</f>
        <v>#VALUE!</v>
      </c>
      <c r="DL61" t="e">
        <f>'SurveyRpt_20150223 (1)'!AD377+"h_l!${K"</f>
        <v>#VALUE!</v>
      </c>
      <c r="DM61" t="e">
        <f>'SurveyRpt_20150223 (1)'!AE377+"h_l!${L"</f>
        <v>#VALUE!</v>
      </c>
      <c r="DN61" t="e">
        <f>'SurveyRpt_20150223 (1)'!AF377+"h_l!${M"</f>
        <v>#VALUE!</v>
      </c>
      <c r="DO61" t="e">
        <f>'SurveyRpt_20150223 (1)'!AG377+"h_l!${N"</f>
        <v>#VALUE!</v>
      </c>
      <c r="DP61" t="e">
        <f>'SurveyRpt_20150223 (1)'!AH377+"h_l!${O"</f>
        <v>#VALUE!</v>
      </c>
      <c r="DQ61" t="e">
        <f>'SurveyRpt_20150223 (1)'!AI377+"h_l!${P"</f>
        <v>#VALUE!</v>
      </c>
      <c r="DR61" t="e">
        <f>'SurveyRpt_20150223 (1)'!AJ377+"h_l!${Q"</f>
        <v>#VALUE!</v>
      </c>
      <c r="DS61" t="e">
        <f>'SurveyRpt_20150223 (1)'!AK377+"h_l!${R"</f>
        <v>#VALUE!</v>
      </c>
      <c r="DT61" t="e">
        <f>'SurveyRpt_20150223 (1)'!AL377+"h_l!${S"</f>
        <v>#VALUE!</v>
      </c>
      <c r="DU61" t="e">
        <f>'SurveyRpt_20150223 (1)'!AM377+"h_l!${T"</f>
        <v>#VALUE!</v>
      </c>
      <c r="DV61" t="e">
        <f>'SurveyRpt_20150223 (1)'!AN377+"h_l!${U"</f>
        <v>#VALUE!</v>
      </c>
      <c r="DW61" t="e">
        <f>'SurveyRpt_20150223 (1)'!A378+"h_l!${V"</f>
        <v>#VALUE!</v>
      </c>
      <c r="DX61" s="25" t="e">
        <f>'SurveyRpt_20150223 (1)'!B378+"h_l!${W"</f>
        <v>#VALUE!</v>
      </c>
      <c r="DY61" t="e">
        <f>'SurveyRpt_20150223 (1)'!C378+"h_l!${X"</f>
        <v>#VALUE!</v>
      </c>
      <c r="DZ61" s="25" t="e">
        <f>'SurveyRpt_20150223 (1)'!D378+"h_l!${Y"</f>
        <v>#VALUE!</v>
      </c>
      <c r="EA61" t="e">
        <f>'SurveyRpt_20150223 (1)'!E378+"h_l!${Z"</f>
        <v>#VALUE!</v>
      </c>
      <c r="EB61" t="e">
        <f>'SurveyRpt_20150223 (1)'!F378+"h_l!${["</f>
        <v>#VALUE!</v>
      </c>
      <c r="EC61" t="e">
        <f>'SurveyRpt_20150223 (1)'!G378+"h_l!${\"</f>
        <v>#VALUE!</v>
      </c>
      <c r="ED61" t="e">
        <f>'SurveyRpt_20150223 (1)'!H378+"h_l!${]"</f>
        <v>#VALUE!</v>
      </c>
      <c r="EE61" t="e">
        <f>'SurveyRpt_20150223 (1)'!I378+"h_l!${^"</f>
        <v>#VALUE!</v>
      </c>
      <c r="EF61" t="e">
        <f>'SurveyRpt_20150223 (1)'!J378+"h_l!${_"</f>
        <v>#VALUE!</v>
      </c>
      <c r="EG61" t="e">
        <f>'SurveyRpt_20150223 (1)'!K378+"h_l!${`"</f>
        <v>#VALUE!</v>
      </c>
      <c r="EH61" t="e">
        <f>'SurveyRpt_20150223 (1)'!L378+"h_l!${a"</f>
        <v>#VALUE!</v>
      </c>
      <c r="EI61" t="e">
        <f>'SurveyRpt_20150223 (1)'!M378+"h_l!${b"</f>
        <v>#VALUE!</v>
      </c>
      <c r="EJ61" t="e">
        <f>'SurveyRpt_20150223 (1)'!N378+"h_l!${c"</f>
        <v>#VALUE!</v>
      </c>
      <c r="EK61" t="e">
        <f>'SurveyRpt_20150223 (1)'!O378+"h_l!${d"</f>
        <v>#VALUE!</v>
      </c>
      <c r="EL61" t="e">
        <f>'SurveyRpt_20150223 (1)'!P378+"h_l!${e"</f>
        <v>#VALUE!</v>
      </c>
      <c r="EM61" t="e">
        <f>'SurveyRpt_20150223 (1)'!Q378+"h_l!${f"</f>
        <v>#VALUE!</v>
      </c>
      <c r="EN61" t="e">
        <f>'SurveyRpt_20150223 (1)'!R378+"h_l!${g"</f>
        <v>#VALUE!</v>
      </c>
      <c r="EO61" t="e">
        <f>'SurveyRpt_20150223 (1)'!S378+"h_l!${h"</f>
        <v>#VALUE!</v>
      </c>
      <c r="EP61" t="e">
        <f>'SurveyRpt_20150223 (1)'!T378+"h_l!${i"</f>
        <v>#VALUE!</v>
      </c>
      <c r="EQ61" t="e">
        <f>'SurveyRpt_20150223 (1)'!U378+"h_l!${j"</f>
        <v>#VALUE!</v>
      </c>
      <c r="ER61" t="e">
        <f>'SurveyRpt_20150223 (1)'!V378+"h_l!${k"</f>
        <v>#VALUE!</v>
      </c>
      <c r="ES61" t="e">
        <f>'SurveyRpt_20150223 (1)'!W378+"h_l!${l"</f>
        <v>#VALUE!</v>
      </c>
      <c r="ET61" t="e">
        <f>'SurveyRpt_20150223 (1)'!X378+"h_l!${m"</f>
        <v>#VALUE!</v>
      </c>
      <c r="EU61" t="e">
        <f>'SurveyRpt_20150223 (1)'!Y378+"h_l!${n"</f>
        <v>#VALUE!</v>
      </c>
      <c r="EV61" t="e">
        <f>'SurveyRpt_20150223 (1)'!Z378+"h_l!${o"</f>
        <v>#VALUE!</v>
      </c>
      <c r="EW61" t="e">
        <f>'SurveyRpt_20150223 (1)'!AA378+"h_l!${p"</f>
        <v>#VALUE!</v>
      </c>
      <c r="EX61" t="e">
        <f>'SurveyRpt_20150223 (1)'!AB378+"h_l!${q"</f>
        <v>#VALUE!</v>
      </c>
      <c r="EY61" t="e">
        <f>'SurveyRpt_20150223 (1)'!AC378+"h_l!${r"</f>
        <v>#VALUE!</v>
      </c>
      <c r="EZ61" t="e">
        <f>'SurveyRpt_20150223 (1)'!AD378+"h_l!${s"</f>
        <v>#VALUE!</v>
      </c>
      <c r="FA61" t="e">
        <f>'SurveyRpt_20150223 (1)'!AE378+"h_l!${t"</f>
        <v>#VALUE!</v>
      </c>
      <c r="FB61" t="e">
        <f>'SurveyRpt_20150223 (1)'!AF378+"h_l!${u"</f>
        <v>#VALUE!</v>
      </c>
      <c r="FC61" t="e">
        <f>'SurveyRpt_20150223 (1)'!AG378+"h_l!${v"</f>
        <v>#VALUE!</v>
      </c>
      <c r="FD61" t="e">
        <f>'SurveyRpt_20150223 (1)'!AH378+"h_l!${w"</f>
        <v>#VALUE!</v>
      </c>
      <c r="FE61" t="e">
        <f>'SurveyRpt_20150223 (1)'!AI378+"h_l!${x"</f>
        <v>#VALUE!</v>
      </c>
      <c r="FF61" t="e">
        <f>'SurveyRpt_20150223 (1)'!AJ378+"h_l!${y"</f>
        <v>#VALUE!</v>
      </c>
      <c r="FG61" t="e">
        <f>'SurveyRpt_20150223 (1)'!AK378+"h_l!${z"</f>
        <v>#VALUE!</v>
      </c>
      <c r="FH61" t="e">
        <f>'SurveyRpt_20150223 (1)'!AL378+"h_l!${{"</f>
        <v>#VALUE!</v>
      </c>
      <c r="FI61" t="e">
        <f>'SurveyRpt_20150223 (1)'!AM378+"h_l!${|"</f>
        <v>#VALUE!</v>
      </c>
      <c r="FJ61" t="e">
        <f>'SurveyRpt_20150223 (1)'!AN378+"h_l!${}"</f>
        <v>#VALUE!</v>
      </c>
      <c r="FK61" t="e">
        <f>'SurveyRpt_20150223 (1)'!A379+"h_l!${~"</f>
        <v>#VALUE!</v>
      </c>
      <c r="FL61" s="25" t="e">
        <f>'SurveyRpt_20150223 (1)'!B379+"h_l!$|#"</f>
        <v>#VALUE!</v>
      </c>
      <c r="FM61" t="e">
        <f>'SurveyRpt_20150223 (1)'!C379+"h_l!$|$"</f>
        <v>#VALUE!</v>
      </c>
      <c r="FN61" s="25" t="e">
        <f>'SurveyRpt_20150223 (1)'!D379+"h_l!$|%"</f>
        <v>#VALUE!</v>
      </c>
      <c r="FO61" t="e">
        <f>'SurveyRpt_20150223 (1)'!E379+"h_l!$|&amp;"</f>
        <v>#VALUE!</v>
      </c>
      <c r="FP61" t="e">
        <f>'SurveyRpt_20150223 (1)'!F379+"h_l!$|'"</f>
        <v>#VALUE!</v>
      </c>
      <c r="FQ61" t="e">
        <f>'SurveyRpt_20150223 (1)'!G379+"h_l!$|("</f>
        <v>#VALUE!</v>
      </c>
      <c r="FR61" t="e">
        <f>'SurveyRpt_20150223 (1)'!H379+"h_l!$|)"</f>
        <v>#VALUE!</v>
      </c>
      <c r="FS61" t="e">
        <f>'SurveyRpt_20150223 (1)'!I379+"h_l!$|."</f>
        <v>#VALUE!</v>
      </c>
      <c r="FT61" t="e">
        <f>'SurveyRpt_20150223 (1)'!J379+"h_l!$|/"</f>
        <v>#VALUE!</v>
      </c>
      <c r="FU61" t="e">
        <f>'SurveyRpt_20150223 (1)'!K379+"h_l!$|0"</f>
        <v>#VALUE!</v>
      </c>
      <c r="FV61" t="e">
        <f>'SurveyRpt_20150223 (1)'!L379+"h_l!$|1"</f>
        <v>#VALUE!</v>
      </c>
      <c r="FW61" t="e">
        <f>'SurveyRpt_20150223 (1)'!M379+"h_l!$|2"</f>
        <v>#VALUE!</v>
      </c>
      <c r="FX61" t="e">
        <f>'SurveyRpt_20150223 (1)'!N379+"h_l!$|3"</f>
        <v>#VALUE!</v>
      </c>
      <c r="FY61" t="e">
        <f>'SurveyRpt_20150223 (1)'!O379+"h_l!$|4"</f>
        <v>#VALUE!</v>
      </c>
      <c r="FZ61" t="e">
        <f>'SurveyRpt_20150223 (1)'!P379+"h_l!$|5"</f>
        <v>#VALUE!</v>
      </c>
      <c r="GA61" t="e">
        <f>'SurveyRpt_20150223 (1)'!Q379+"h_l!$|6"</f>
        <v>#VALUE!</v>
      </c>
      <c r="GB61" t="e">
        <f>'SurveyRpt_20150223 (1)'!R379+"h_l!$|7"</f>
        <v>#VALUE!</v>
      </c>
      <c r="GC61" t="e">
        <f>'SurveyRpt_20150223 (1)'!S379+"h_l!$|8"</f>
        <v>#VALUE!</v>
      </c>
      <c r="GD61" t="e">
        <f>'SurveyRpt_20150223 (1)'!T379+"h_l!$|9"</f>
        <v>#VALUE!</v>
      </c>
      <c r="GE61" t="e">
        <f>'SurveyRpt_20150223 (1)'!U379+"h_l!$|:"</f>
        <v>#VALUE!</v>
      </c>
      <c r="GF61" t="e">
        <f>'SurveyRpt_20150223 (1)'!V379+"h_l!$|;"</f>
        <v>#VALUE!</v>
      </c>
      <c r="GG61" t="e">
        <f>'SurveyRpt_20150223 (1)'!W379+"h_l!$|&lt;"</f>
        <v>#VALUE!</v>
      </c>
      <c r="GH61" t="e">
        <f>'SurveyRpt_20150223 (1)'!X379+"h_l!$|="</f>
        <v>#VALUE!</v>
      </c>
      <c r="GI61" t="e">
        <f>'SurveyRpt_20150223 (1)'!Y379+"h_l!$|&gt;"</f>
        <v>#VALUE!</v>
      </c>
      <c r="GJ61" t="e">
        <f>'SurveyRpt_20150223 (1)'!Z379+"h_l!$|?"</f>
        <v>#VALUE!</v>
      </c>
      <c r="GK61" t="e">
        <f>'SurveyRpt_20150223 (1)'!AA379+"h_l!$|@"</f>
        <v>#VALUE!</v>
      </c>
      <c r="GL61" t="e">
        <f>'SurveyRpt_20150223 (1)'!AB379+"h_l!$|A"</f>
        <v>#VALUE!</v>
      </c>
      <c r="GM61" t="e">
        <f>'SurveyRpt_20150223 (1)'!AC379+"h_l!$|B"</f>
        <v>#VALUE!</v>
      </c>
      <c r="GN61" t="e">
        <f>'SurveyRpt_20150223 (1)'!AD379+"h_l!$|C"</f>
        <v>#VALUE!</v>
      </c>
      <c r="GO61" t="e">
        <f>'SurveyRpt_20150223 (1)'!AE379+"h_l!$|D"</f>
        <v>#VALUE!</v>
      </c>
      <c r="GP61" t="e">
        <f>'SurveyRpt_20150223 (1)'!AF379+"h_l!$|E"</f>
        <v>#VALUE!</v>
      </c>
      <c r="GQ61" t="e">
        <f>'SurveyRpt_20150223 (1)'!AG379+"h_l!$|F"</f>
        <v>#VALUE!</v>
      </c>
      <c r="GR61" t="e">
        <f>'SurveyRpt_20150223 (1)'!AH379+"h_l!$|G"</f>
        <v>#VALUE!</v>
      </c>
      <c r="GS61" t="e">
        <f>'SurveyRpt_20150223 (1)'!AI379+"h_l!$|H"</f>
        <v>#VALUE!</v>
      </c>
      <c r="GT61" t="e">
        <f>'SurveyRpt_20150223 (1)'!AJ379+"h_l!$|I"</f>
        <v>#VALUE!</v>
      </c>
      <c r="GU61" t="e">
        <f>'SurveyRpt_20150223 (1)'!AK379+"h_l!$|J"</f>
        <v>#VALUE!</v>
      </c>
      <c r="GV61" t="e">
        <f>'SurveyRpt_20150223 (1)'!AL379+"h_l!$|K"</f>
        <v>#VALUE!</v>
      </c>
      <c r="GW61" t="e">
        <f>'SurveyRpt_20150223 (1)'!AM379+"h_l!$|L"</f>
        <v>#VALUE!</v>
      </c>
      <c r="GX61" t="e">
        <f>'SurveyRpt_20150223 (1)'!AN379+"h_l!$|M"</f>
        <v>#VALUE!</v>
      </c>
      <c r="GY61" t="e">
        <f>'SurveyRpt_20150223 (1)'!A380+"h_l!$|N"</f>
        <v>#VALUE!</v>
      </c>
      <c r="GZ61" s="25" t="e">
        <f>'SurveyRpt_20150223 (1)'!B380+"h_l!$|O"</f>
        <v>#VALUE!</v>
      </c>
      <c r="HA61" t="e">
        <f>'SurveyRpt_20150223 (1)'!C380+"h_l!$|P"</f>
        <v>#VALUE!</v>
      </c>
      <c r="HB61" s="25" t="e">
        <f>'SurveyRpt_20150223 (1)'!D380+"h_l!$|Q"</f>
        <v>#VALUE!</v>
      </c>
      <c r="HC61" t="e">
        <f>'SurveyRpt_20150223 (1)'!E380+"h_l!$|R"</f>
        <v>#VALUE!</v>
      </c>
      <c r="HD61" t="e">
        <f>'SurveyRpt_20150223 (1)'!F380+"h_l!$|S"</f>
        <v>#VALUE!</v>
      </c>
      <c r="HE61" t="e">
        <f>'SurveyRpt_20150223 (1)'!G380+"h_l!$|T"</f>
        <v>#VALUE!</v>
      </c>
      <c r="HF61" t="e">
        <f>'SurveyRpt_20150223 (1)'!H380+"h_l!$|U"</f>
        <v>#VALUE!</v>
      </c>
      <c r="HG61" t="e">
        <f>'SurveyRpt_20150223 (1)'!I380+"h_l!$|V"</f>
        <v>#VALUE!</v>
      </c>
      <c r="HH61" t="e">
        <f>'SurveyRpt_20150223 (1)'!J380+"h_l!$|W"</f>
        <v>#VALUE!</v>
      </c>
      <c r="HI61" t="e">
        <f>'SurveyRpt_20150223 (1)'!K380+"h_l!$|X"</f>
        <v>#VALUE!</v>
      </c>
      <c r="HJ61" t="e">
        <f>'SurveyRpt_20150223 (1)'!L380+"h_l!$|Y"</f>
        <v>#VALUE!</v>
      </c>
      <c r="HK61" t="e">
        <f>'SurveyRpt_20150223 (1)'!M380+"h_l!$|Z"</f>
        <v>#VALUE!</v>
      </c>
      <c r="HL61" t="e">
        <f>'SurveyRpt_20150223 (1)'!N380+"h_l!$|["</f>
        <v>#VALUE!</v>
      </c>
      <c r="HM61" t="e">
        <f>'SurveyRpt_20150223 (1)'!O380+"h_l!$|\"</f>
        <v>#VALUE!</v>
      </c>
      <c r="HN61" t="e">
        <f>'SurveyRpt_20150223 (1)'!P380+"h_l!$|]"</f>
        <v>#VALUE!</v>
      </c>
      <c r="HO61" t="e">
        <f>'SurveyRpt_20150223 (1)'!Q380+"h_l!$|^"</f>
        <v>#VALUE!</v>
      </c>
      <c r="HP61" t="e">
        <f>'SurveyRpt_20150223 (1)'!R380+"h_l!$|_"</f>
        <v>#VALUE!</v>
      </c>
      <c r="HQ61" t="e">
        <f>'SurveyRpt_20150223 (1)'!S380+"h_l!$|`"</f>
        <v>#VALUE!</v>
      </c>
      <c r="HR61" t="e">
        <f>'SurveyRpt_20150223 (1)'!T380+"h_l!$|a"</f>
        <v>#VALUE!</v>
      </c>
      <c r="HS61" t="e">
        <f>'SurveyRpt_20150223 (1)'!U380+"h_l!$|b"</f>
        <v>#VALUE!</v>
      </c>
      <c r="HT61" t="e">
        <f>'SurveyRpt_20150223 (1)'!V380+"h_l!$|c"</f>
        <v>#VALUE!</v>
      </c>
      <c r="HU61" t="e">
        <f>'SurveyRpt_20150223 (1)'!W380+"h_l!$|d"</f>
        <v>#VALUE!</v>
      </c>
      <c r="HV61" t="e">
        <f>'SurveyRpt_20150223 (1)'!X380+"h_l!$|e"</f>
        <v>#VALUE!</v>
      </c>
      <c r="HW61" t="e">
        <f>'SurveyRpt_20150223 (1)'!Y380+"h_l!$|f"</f>
        <v>#VALUE!</v>
      </c>
      <c r="HX61" t="e">
        <f>'SurveyRpt_20150223 (1)'!Z380+"h_l!$|g"</f>
        <v>#VALUE!</v>
      </c>
      <c r="HY61" t="e">
        <f>'SurveyRpt_20150223 (1)'!AA380+"h_l!$|h"</f>
        <v>#VALUE!</v>
      </c>
      <c r="HZ61" t="e">
        <f>'SurveyRpt_20150223 (1)'!AB380+"h_l!$|i"</f>
        <v>#VALUE!</v>
      </c>
      <c r="IA61" t="e">
        <f>'SurveyRpt_20150223 (1)'!AC380+"h_l!$|j"</f>
        <v>#VALUE!</v>
      </c>
      <c r="IB61" t="e">
        <f>'SurveyRpt_20150223 (1)'!AD380+"h_l!$|k"</f>
        <v>#VALUE!</v>
      </c>
      <c r="IC61" t="e">
        <f>'SurveyRpt_20150223 (1)'!AE380+"h_l!$|l"</f>
        <v>#VALUE!</v>
      </c>
      <c r="ID61" t="e">
        <f>'SurveyRpt_20150223 (1)'!AF380+"h_l!$|m"</f>
        <v>#VALUE!</v>
      </c>
      <c r="IE61" t="e">
        <f>'SurveyRpt_20150223 (1)'!AG380+"h_l!$|n"</f>
        <v>#VALUE!</v>
      </c>
      <c r="IF61" t="e">
        <f>'SurveyRpt_20150223 (1)'!AH380+"h_l!$|o"</f>
        <v>#VALUE!</v>
      </c>
      <c r="IG61" t="e">
        <f>'SurveyRpt_20150223 (1)'!AI380+"h_l!$|p"</f>
        <v>#VALUE!</v>
      </c>
      <c r="IH61" t="e">
        <f>'SurveyRpt_20150223 (1)'!AJ380+"h_l!$|q"</f>
        <v>#VALUE!</v>
      </c>
      <c r="II61" t="e">
        <f>'SurveyRpt_20150223 (1)'!AK380+"h_l!$|r"</f>
        <v>#VALUE!</v>
      </c>
      <c r="IJ61" t="e">
        <f>'SurveyRpt_20150223 (1)'!AL380+"h_l!$|s"</f>
        <v>#VALUE!</v>
      </c>
      <c r="IK61" t="e">
        <f>'SurveyRpt_20150223 (1)'!AM380+"h_l!$|t"</f>
        <v>#VALUE!</v>
      </c>
      <c r="IL61" t="e">
        <f>'SurveyRpt_20150223 (1)'!AN380+"h_l!$|u"</f>
        <v>#VALUE!</v>
      </c>
      <c r="IM61" t="e">
        <f>'SurveyRpt_20150223 (1)'!A381+"h_l!$|v"</f>
        <v>#VALUE!</v>
      </c>
      <c r="IN61" s="25" t="e">
        <f>'SurveyRpt_20150223 (1)'!B381+"h_l!$|w"</f>
        <v>#VALUE!</v>
      </c>
      <c r="IO61" t="e">
        <f>'SurveyRpt_20150223 (1)'!C381+"h_l!$|x"</f>
        <v>#VALUE!</v>
      </c>
      <c r="IP61" s="25" t="e">
        <f>'SurveyRpt_20150223 (1)'!D381+"h_l!$|y"</f>
        <v>#VALUE!</v>
      </c>
      <c r="IQ61" t="e">
        <f>'SurveyRpt_20150223 (1)'!E381+"h_l!$|z"</f>
        <v>#VALUE!</v>
      </c>
      <c r="IR61" t="e">
        <f>'SurveyRpt_20150223 (1)'!F381+"h_l!$|{"</f>
        <v>#VALUE!</v>
      </c>
      <c r="IS61" t="e">
        <f>'SurveyRpt_20150223 (1)'!G381+"h_l!$||"</f>
        <v>#VALUE!</v>
      </c>
      <c r="IT61" t="e">
        <f>'SurveyRpt_20150223 (1)'!H381+"h_l!$|}"</f>
        <v>#VALUE!</v>
      </c>
      <c r="IU61" t="e">
        <f>'SurveyRpt_20150223 (1)'!I381+"h_l!$|~"</f>
        <v>#VALUE!</v>
      </c>
      <c r="IV61" t="e">
        <f>'SurveyRpt_20150223 (1)'!J381+"h_l!$}#"</f>
        <v>#VALUE!</v>
      </c>
    </row>
    <row r="62" spans="6:256" x14ac:dyDescent="0.25">
      <c r="F62" t="e">
        <f>'SurveyRpt_20150223 (1)'!K381+"h_l!$}$"</f>
        <v>#VALUE!</v>
      </c>
      <c r="G62" t="e">
        <f>'SurveyRpt_20150223 (1)'!L381+"h_l!$}%"</f>
        <v>#VALUE!</v>
      </c>
      <c r="H62" t="e">
        <f>'SurveyRpt_20150223 (1)'!M381+"h_l!$}&amp;"</f>
        <v>#VALUE!</v>
      </c>
      <c r="I62" t="e">
        <f>'SurveyRpt_20150223 (1)'!N381+"h_l!$}'"</f>
        <v>#VALUE!</v>
      </c>
      <c r="J62" t="e">
        <f>'SurveyRpt_20150223 (1)'!O381+"h_l!$}("</f>
        <v>#VALUE!</v>
      </c>
      <c r="K62" t="e">
        <f>'SurveyRpt_20150223 (1)'!P381+"h_l!$})"</f>
        <v>#VALUE!</v>
      </c>
      <c r="L62" t="e">
        <f>'SurveyRpt_20150223 (1)'!Q381+"h_l!$}."</f>
        <v>#VALUE!</v>
      </c>
      <c r="M62" t="e">
        <f>'SurveyRpt_20150223 (1)'!R381+"h_l!$}/"</f>
        <v>#VALUE!</v>
      </c>
      <c r="N62" t="e">
        <f>'SurveyRpt_20150223 (1)'!S381+"h_l!$}0"</f>
        <v>#VALUE!</v>
      </c>
      <c r="O62" t="e">
        <f>'SurveyRpt_20150223 (1)'!T381+"h_l!$}1"</f>
        <v>#VALUE!</v>
      </c>
      <c r="P62" t="e">
        <f>'SurveyRpt_20150223 (1)'!U381+"h_l!$}2"</f>
        <v>#VALUE!</v>
      </c>
      <c r="Q62" t="e">
        <f>'SurveyRpt_20150223 (1)'!V381+"h_l!$}3"</f>
        <v>#VALUE!</v>
      </c>
      <c r="R62" t="e">
        <f>'SurveyRpt_20150223 (1)'!W381+"h_l!$}4"</f>
        <v>#VALUE!</v>
      </c>
      <c r="S62" t="e">
        <f>'SurveyRpt_20150223 (1)'!X381+"h_l!$}5"</f>
        <v>#VALUE!</v>
      </c>
      <c r="T62" t="e">
        <f>'SurveyRpt_20150223 (1)'!Y381+"h_l!$}6"</f>
        <v>#VALUE!</v>
      </c>
      <c r="U62" t="e">
        <f>'SurveyRpt_20150223 (1)'!Z381+"h_l!$}7"</f>
        <v>#VALUE!</v>
      </c>
      <c r="V62" t="e">
        <f>'SurveyRpt_20150223 (1)'!AA381+"h_l!$}8"</f>
        <v>#VALUE!</v>
      </c>
      <c r="W62" t="e">
        <f>'SurveyRpt_20150223 (1)'!AB381+"h_l!$}9"</f>
        <v>#VALUE!</v>
      </c>
      <c r="X62" t="e">
        <f>'SurveyRpt_20150223 (1)'!AC381+"h_l!$}:"</f>
        <v>#VALUE!</v>
      </c>
      <c r="Y62" t="e">
        <f>'SurveyRpt_20150223 (1)'!AD381+"h_l!$};"</f>
        <v>#VALUE!</v>
      </c>
      <c r="Z62" t="e">
        <f>'SurveyRpt_20150223 (1)'!AE381+"h_l!$}&lt;"</f>
        <v>#VALUE!</v>
      </c>
      <c r="AA62" t="e">
        <f>'SurveyRpt_20150223 (1)'!AF381+"h_l!$}="</f>
        <v>#VALUE!</v>
      </c>
      <c r="AB62" t="e">
        <f>'SurveyRpt_20150223 (1)'!AG381+"h_l!$}&gt;"</f>
        <v>#VALUE!</v>
      </c>
      <c r="AC62" t="e">
        <f>'SurveyRpt_20150223 (1)'!AH381+"h_l!$}?"</f>
        <v>#VALUE!</v>
      </c>
      <c r="AD62" t="e">
        <f>'SurveyRpt_20150223 (1)'!AI381+"h_l!$}@"</f>
        <v>#VALUE!</v>
      </c>
      <c r="AE62" t="e">
        <f>'SurveyRpt_20150223 (1)'!AJ381+"h_l!$}A"</f>
        <v>#VALUE!</v>
      </c>
      <c r="AF62" t="e">
        <f>'SurveyRpt_20150223 (1)'!AK381+"h_l!$}B"</f>
        <v>#VALUE!</v>
      </c>
      <c r="AG62" t="e">
        <f>'SurveyRpt_20150223 (1)'!AL381+"h_l!$}C"</f>
        <v>#VALUE!</v>
      </c>
      <c r="AH62" t="e">
        <f>'SurveyRpt_20150223 (1)'!AM381+"h_l!$}D"</f>
        <v>#VALUE!</v>
      </c>
      <c r="AI62" t="e">
        <f>'SurveyRpt_20150223 (1)'!AN381+"h_l!$}E"</f>
        <v>#VALUE!</v>
      </c>
      <c r="AJ62" t="e">
        <f>'SurveyRpt_20150223 (1)'!A382+"h_l!$}F"</f>
        <v>#VALUE!</v>
      </c>
      <c r="AK62" s="25" t="e">
        <f>'SurveyRpt_20150223 (1)'!B382+"h_l!$}G"</f>
        <v>#VALUE!</v>
      </c>
      <c r="AL62" t="e">
        <f>'SurveyRpt_20150223 (1)'!C382+"h_l!$}H"</f>
        <v>#VALUE!</v>
      </c>
      <c r="AM62" s="25" t="e">
        <f>'SurveyRpt_20150223 (1)'!D382+"h_l!$}I"</f>
        <v>#VALUE!</v>
      </c>
      <c r="AN62" t="e">
        <f>'SurveyRpt_20150223 (1)'!E382+"h_l!$}J"</f>
        <v>#VALUE!</v>
      </c>
      <c r="AO62" t="e">
        <f>'SurveyRpt_20150223 (1)'!F382+"h_l!$}K"</f>
        <v>#VALUE!</v>
      </c>
      <c r="AP62" t="e">
        <f>'SurveyRpt_20150223 (1)'!G382+"h_l!$}L"</f>
        <v>#VALUE!</v>
      </c>
      <c r="AQ62" t="e">
        <f>'SurveyRpt_20150223 (1)'!H382+"h_l!$}M"</f>
        <v>#VALUE!</v>
      </c>
      <c r="AR62" t="e">
        <f>'SurveyRpt_20150223 (1)'!I382+"h_l!$}N"</f>
        <v>#VALUE!</v>
      </c>
      <c r="AS62" t="e">
        <f>'SurveyRpt_20150223 (1)'!J382+"h_l!$}O"</f>
        <v>#VALUE!</v>
      </c>
      <c r="AT62" t="e">
        <f>'SurveyRpt_20150223 (1)'!K382+"h_l!$}P"</f>
        <v>#VALUE!</v>
      </c>
      <c r="AU62" t="e">
        <f>'SurveyRpt_20150223 (1)'!L382+"h_l!$}Q"</f>
        <v>#VALUE!</v>
      </c>
      <c r="AV62" t="e">
        <f>'SurveyRpt_20150223 (1)'!M382+"h_l!$}R"</f>
        <v>#VALUE!</v>
      </c>
      <c r="AW62" t="e">
        <f>'SurveyRpt_20150223 (1)'!N382+"h_l!$}S"</f>
        <v>#VALUE!</v>
      </c>
      <c r="AX62" t="e">
        <f>'SurveyRpt_20150223 (1)'!O382+"h_l!$}T"</f>
        <v>#VALUE!</v>
      </c>
      <c r="AY62" t="e">
        <f>'SurveyRpt_20150223 (1)'!P382+"h_l!$}U"</f>
        <v>#VALUE!</v>
      </c>
      <c r="AZ62" t="e">
        <f>'SurveyRpt_20150223 (1)'!Q382+"h_l!$}V"</f>
        <v>#VALUE!</v>
      </c>
      <c r="BA62" t="e">
        <f>'SurveyRpt_20150223 (1)'!R382+"h_l!$}W"</f>
        <v>#VALUE!</v>
      </c>
      <c r="BB62" t="e">
        <f>'SurveyRpt_20150223 (1)'!S382+"h_l!$}X"</f>
        <v>#VALUE!</v>
      </c>
      <c r="BC62" t="e">
        <f>'SurveyRpt_20150223 (1)'!T382+"h_l!$}Y"</f>
        <v>#VALUE!</v>
      </c>
      <c r="BD62" t="e">
        <f>'SurveyRpt_20150223 (1)'!U382+"h_l!$}Z"</f>
        <v>#VALUE!</v>
      </c>
      <c r="BE62" t="e">
        <f>'SurveyRpt_20150223 (1)'!V382+"h_l!$}["</f>
        <v>#VALUE!</v>
      </c>
      <c r="BF62" t="e">
        <f>'SurveyRpt_20150223 (1)'!W382+"h_l!$}\"</f>
        <v>#VALUE!</v>
      </c>
      <c r="BG62" t="e">
        <f>'SurveyRpt_20150223 (1)'!X382+"h_l!$}]"</f>
        <v>#VALUE!</v>
      </c>
      <c r="BH62" t="e">
        <f>'SurveyRpt_20150223 (1)'!Y382+"h_l!$}^"</f>
        <v>#VALUE!</v>
      </c>
      <c r="BI62" t="e">
        <f>'SurveyRpt_20150223 (1)'!Z382+"h_l!$}_"</f>
        <v>#VALUE!</v>
      </c>
      <c r="BJ62" t="e">
        <f>'SurveyRpt_20150223 (1)'!AA382+"h_l!$}`"</f>
        <v>#VALUE!</v>
      </c>
      <c r="BK62" t="e">
        <f>'SurveyRpt_20150223 (1)'!AB382+"h_l!$}a"</f>
        <v>#VALUE!</v>
      </c>
      <c r="BL62" t="e">
        <f>'SurveyRpt_20150223 (1)'!AC382+"h_l!$}b"</f>
        <v>#VALUE!</v>
      </c>
      <c r="BM62" t="e">
        <f>'SurveyRpt_20150223 (1)'!AD382+"h_l!$}c"</f>
        <v>#VALUE!</v>
      </c>
      <c r="BN62" t="e">
        <f>'SurveyRpt_20150223 (1)'!AE382+"h_l!$}d"</f>
        <v>#VALUE!</v>
      </c>
      <c r="BO62" t="e">
        <f>'SurveyRpt_20150223 (1)'!AF382+"h_l!$}e"</f>
        <v>#VALUE!</v>
      </c>
      <c r="BP62" t="e">
        <f>'SurveyRpt_20150223 (1)'!AG382+"h_l!$}f"</f>
        <v>#VALUE!</v>
      </c>
      <c r="BQ62" t="e">
        <f>'SurveyRpt_20150223 (1)'!AH382+"h_l!$}g"</f>
        <v>#VALUE!</v>
      </c>
      <c r="BR62" t="e">
        <f>'SurveyRpt_20150223 (1)'!AI382+"h_l!$}h"</f>
        <v>#VALUE!</v>
      </c>
      <c r="BS62" t="e">
        <f>'SurveyRpt_20150223 (1)'!AJ382+"h_l!$}i"</f>
        <v>#VALUE!</v>
      </c>
      <c r="BT62" t="e">
        <f>'SurveyRpt_20150223 (1)'!AK382+"h_l!$}j"</f>
        <v>#VALUE!</v>
      </c>
      <c r="BU62" t="e">
        <f>'SurveyRpt_20150223 (1)'!AL382+"h_l!$}k"</f>
        <v>#VALUE!</v>
      </c>
      <c r="BV62" t="e">
        <f>'SurveyRpt_20150223 (1)'!AM382+"h_l!$}l"</f>
        <v>#VALUE!</v>
      </c>
      <c r="BW62" t="e">
        <f>'SurveyRpt_20150223 (1)'!AN382+"h_l!$}m"</f>
        <v>#VALUE!</v>
      </c>
      <c r="BX62" t="e">
        <f>'SurveyRpt_20150223 (1)'!A383+"h_l!$}n"</f>
        <v>#VALUE!</v>
      </c>
      <c r="BY62" s="25" t="e">
        <f>'SurveyRpt_20150223 (1)'!B383+"h_l!$}o"</f>
        <v>#VALUE!</v>
      </c>
      <c r="BZ62" t="e">
        <f>'SurveyRpt_20150223 (1)'!C383+"h_l!$}p"</f>
        <v>#VALUE!</v>
      </c>
      <c r="CA62" s="25" t="e">
        <f>'SurveyRpt_20150223 (1)'!D383+"h_l!$}q"</f>
        <v>#VALUE!</v>
      </c>
      <c r="CB62" t="e">
        <f>'SurveyRpt_20150223 (1)'!E383+"h_l!$}r"</f>
        <v>#VALUE!</v>
      </c>
      <c r="CC62" t="e">
        <f>'SurveyRpt_20150223 (1)'!F383+"h_l!$}s"</f>
        <v>#VALUE!</v>
      </c>
      <c r="CD62" t="e">
        <f>'SurveyRpt_20150223 (1)'!G383+"h_l!$}t"</f>
        <v>#VALUE!</v>
      </c>
      <c r="CE62" t="e">
        <f>'SurveyRpt_20150223 (1)'!H383+"h_l!$}u"</f>
        <v>#VALUE!</v>
      </c>
      <c r="CF62" t="e">
        <f>'SurveyRpt_20150223 (1)'!I383+"h_l!$}v"</f>
        <v>#VALUE!</v>
      </c>
      <c r="CG62" t="e">
        <f>'SurveyRpt_20150223 (1)'!J383+"h_l!$}w"</f>
        <v>#VALUE!</v>
      </c>
      <c r="CH62" t="e">
        <f>'SurveyRpt_20150223 (1)'!K383+"h_l!$}x"</f>
        <v>#VALUE!</v>
      </c>
      <c r="CI62" t="e">
        <f>'SurveyRpt_20150223 (1)'!L383+"h_l!$}y"</f>
        <v>#VALUE!</v>
      </c>
      <c r="CJ62" t="e">
        <f>'SurveyRpt_20150223 (1)'!M383+"h_l!$}z"</f>
        <v>#VALUE!</v>
      </c>
      <c r="CK62" t="e">
        <f>'SurveyRpt_20150223 (1)'!N383+"h_l!$}{"</f>
        <v>#VALUE!</v>
      </c>
      <c r="CL62" t="e">
        <f>'SurveyRpt_20150223 (1)'!O383+"h_l!$}|"</f>
        <v>#VALUE!</v>
      </c>
      <c r="CM62" t="e">
        <f>'SurveyRpt_20150223 (1)'!P383+"h_l!$}}"</f>
        <v>#VALUE!</v>
      </c>
      <c r="CN62" t="e">
        <f>'SurveyRpt_20150223 (1)'!Q383+"h_l!$}~"</f>
        <v>#VALUE!</v>
      </c>
      <c r="CO62" t="e">
        <f>'SurveyRpt_20150223 (1)'!R383+"h_l!$~#"</f>
        <v>#VALUE!</v>
      </c>
      <c r="CP62" t="e">
        <f>'SurveyRpt_20150223 (1)'!S383+"h_l!$~$"</f>
        <v>#VALUE!</v>
      </c>
      <c r="CQ62" t="e">
        <f>'SurveyRpt_20150223 (1)'!T383+"h_l!$~%"</f>
        <v>#VALUE!</v>
      </c>
      <c r="CR62" t="e">
        <f>'SurveyRpt_20150223 (1)'!U383+"h_l!$~&amp;"</f>
        <v>#VALUE!</v>
      </c>
      <c r="CS62" t="e">
        <f>'SurveyRpt_20150223 (1)'!V383+"h_l!$~'"</f>
        <v>#VALUE!</v>
      </c>
      <c r="CT62" t="e">
        <f>'SurveyRpt_20150223 (1)'!W383+"h_l!$~("</f>
        <v>#VALUE!</v>
      </c>
      <c r="CU62" t="e">
        <f>'SurveyRpt_20150223 (1)'!X383+"h_l!$~)"</f>
        <v>#VALUE!</v>
      </c>
      <c r="CV62" t="e">
        <f>'SurveyRpt_20150223 (1)'!Y383+"h_l!$~."</f>
        <v>#VALUE!</v>
      </c>
      <c r="CW62" t="e">
        <f>'SurveyRpt_20150223 (1)'!Z383+"h_l!$~/"</f>
        <v>#VALUE!</v>
      </c>
      <c r="CX62" t="e">
        <f>'SurveyRpt_20150223 (1)'!AA383+"h_l!$~0"</f>
        <v>#VALUE!</v>
      </c>
      <c r="CY62" t="e">
        <f>'SurveyRpt_20150223 (1)'!AB383+"h_l!$~1"</f>
        <v>#VALUE!</v>
      </c>
      <c r="CZ62" t="e">
        <f>'SurveyRpt_20150223 (1)'!AC383+"h_l!$~2"</f>
        <v>#VALUE!</v>
      </c>
      <c r="DA62" t="e">
        <f>'SurveyRpt_20150223 (1)'!AD383+"h_l!$~3"</f>
        <v>#VALUE!</v>
      </c>
      <c r="DB62" t="e">
        <f>'SurveyRpt_20150223 (1)'!AE383+"h_l!$~4"</f>
        <v>#VALUE!</v>
      </c>
      <c r="DC62" t="e">
        <f>'SurveyRpt_20150223 (1)'!AF383+"h_l!$~5"</f>
        <v>#VALUE!</v>
      </c>
      <c r="DD62" t="e">
        <f>'SurveyRpt_20150223 (1)'!AG383+"h_l!$~6"</f>
        <v>#VALUE!</v>
      </c>
      <c r="DE62" t="e">
        <f>'SurveyRpt_20150223 (1)'!AH383+"h_l!$~7"</f>
        <v>#VALUE!</v>
      </c>
      <c r="DF62" t="e">
        <f>'SurveyRpt_20150223 (1)'!AI383+"h_l!$~8"</f>
        <v>#VALUE!</v>
      </c>
      <c r="DG62" t="e">
        <f>'SurveyRpt_20150223 (1)'!AJ383+"h_l!$~9"</f>
        <v>#VALUE!</v>
      </c>
      <c r="DH62" t="e">
        <f>'SurveyRpt_20150223 (1)'!AK383+"h_l!$~:"</f>
        <v>#VALUE!</v>
      </c>
      <c r="DI62" t="e">
        <f>'SurveyRpt_20150223 (1)'!AL383+"h_l!$~;"</f>
        <v>#VALUE!</v>
      </c>
      <c r="DJ62" t="e">
        <f>'SurveyRpt_20150223 (1)'!AM383+"h_l!$~&lt;"</f>
        <v>#VALUE!</v>
      </c>
      <c r="DK62" t="e">
        <f>'SurveyRpt_20150223 (1)'!AN383+"h_l!$~="</f>
        <v>#VALUE!</v>
      </c>
      <c r="DL62" t="e">
        <f>'SurveyRpt_20150223 (1)'!A384+"h_l!$~&gt;"</f>
        <v>#VALUE!</v>
      </c>
      <c r="DM62" s="25" t="e">
        <f>'SurveyRpt_20150223 (1)'!B384+"h_l!$~?"</f>
        <v>#VALUE!</v>
      </c>
      <c r="DN62" t="e">
        <f>'SurveyRpt_20150223 (1)'!C384+"h_l!$~@"</f>
        <v>#VALUE!</v>
      </c>
      <c r="DO62" s="25" t="e">
        <f>'SurveyRpt_20150223 (1)'!D384+"h_l!$~A"</f>
        <v>#VALUE!</v>
      </c>
      <c r="DP62" t="e">
        <f>'SurveyRpt_20150223 (1)'!E384+"h_l!$~B"</f>
        <v>#VALUE!</v>
      </c>
      <c r="DQ62" t="e">
        <f>'SurveyRpt_20150223 (1)'!F384+"h_l!$~C"</f>
        <v>#VALUE!</v>
      </c>
      <c r="DR62" t="e">
        <f>'SurveyRpt_20150223 (1)'!G384+"h_l!$~D"</f>
        <v>#VALUE!</v>
      </c>
      <c r="DS62" t="e">
        <f>'SurveyRpt_20150223 (1)'!H384+"h_l!$~E"</f>
        <v>#VALUE!</v>
      </c>
      <c r="DT62" t="e">
        <f>'SurveyRpt_20150223 (1)'!I384+"h_l!$~F"</f>
        <v>#VALUE!</v>
      </c>
      <c r="DU62" t="e">
        <f>'SurveyRpt_20150223 (1)'!J384+"h_l!$~G"</f>
        <v>#VALUE!</v>
      </c>
      <c r="DV62" t="e">
        <f>'SurveyRpt_20150223 (1)'!K384+"h_l!$~H"</f>
        <v>#VALUE!</v>
      </c>
      <c r="DW62" t="e">
        <f>'SurveyRpt_20150223 (1)'!L384+"h_l!$~I"</f>
        <v>#VALUE!</v>
      </c>
      <c r="DX62" t="e">
        <f>'SurveyRpt_20150223 (1)'!M384+"h_l!$~J"</f>
        <v>#VALUE!</v>
      </c>
      <c r="DY62" t="e">
        <f>'SurveyRpt_20150223 (1)'!N384+"h_l!$~K"</f>
        <v>#VALUE!</v>
      </c>
      <c r="DZ62" t="e">
        <f>'SurveyRpt_20150223 (1)'!O384+"h_l!$~L"</f>
        <v>#VALUE!</v>
      </c>
      <c r="EA62" t="e">
        <f>'SurveyRpt_20150223 (1)'!P384+"h_l!$~M"</f>
        <v>#VALUE!</v>
      </c>
      <c r="EB62" t="e">
        <f>'SurveyRpt_20150223 (1)'!Q384+"h_l!$~N"</f>
        <v>#VALUE!</v>
      </c>
      <c r="EC62" t="e">
        <f>'SurveyRpt_20150223 (1)'!R384+"h_l!$~O"</f>
        <v>#VALUE!</v>
      </c>
      <c r="ED62" t="e">
        <f>'SurveyRpt_20150223 (1)'!S384+"h_l!$~P"</f>
        <v>#VALUE!</v>
      </c>
      <c r="EE62" t="e">
        <f>'SurveyRpt_20150223 (1)'!T384+"h_l!$~Q"</f>
        <v>#VALUE!</v>
      </c>
      <c r="EF62" t="e">
        <f>'SurveyRpt_20150223 (1)'!U384+"h_l!$~R"</f>
        <v>#VALUE!</v>
      </c>
      <c r="EG62" t="e">
        <f>'SurveyRpt_20150223 (1)'!V384+"h_l!$~S"</f>
        <v>#VALUE!</v>
      </c>
      <c r="EH62" t="e">
        <f>'SurveyRpt_20150223 (1)'!W384+"h_l!$~T"</f>
        <v>#VALUE!</v>
      </c>
      <c r="EI62" t="e">
        <f>'SurveyRpt_20150223 (1)'!X384+"h_l!$~U"</f>
        <v>#VALUE!</v>
      </c>
      <c r="EJ62" t="e">
        <f>'SurveyRpt_20150223 (1)'!Y384+"h_l!$~V"</f>
        <v>#VALUE!</v>
      </c>
      <c r="EK62" t="e">
        <f>'SurveyRpt_20150223 (1)'!Z384+"h_l!$~W"</f>
        <v>#VALUE!</v>
      </c>
      <c r="EL62" t="e">
        <f>'SurveyRpt_20150223 (1)'!AA384+"h_l!$~X"</f>
        <v>#VALUE!</v>
      </c>
      <c r="EM62" t="e">
        <f>'SurveyRpt_20150223 (1)'!AB384+"h_l!$~Y"</f>
        <v>#VALUE!</v>
      </c>
      <c r="EN62" t="e">
        <f>'SurveyRpt_20150223 (1)'!AC384+"h_l!$~Z"</f>
        <v>#VALUE!</v>
      </c>
      <c r="EO62" t="e">
        <f>'SurveyRpt_20150223 (1)'!AD384+"h_l!$~["</f>
        <v>#VALUE!</v>
      </c>
      <c r="EP62" t="e">
        <f>'SurveyRpt_20150223 (1)'!AE384+"h_l!$~\"</f>
        <v>#VALUE!</v>
      </c>
      <c r="EQ62" t="e">
        <f>'SurveyRpt_20150223 (1)'!AF384+"h_l!$~]"</f>
        <v>#VALUE!</v>
      </c>
      <c r="ER62" t="e">
        <f>'SurveyRpt_20150223 (1)'!AG384+"h_l!$~^"</f>
        <v>#VALUE!</v>
      </c>
      <c r="ES62" t="e">
        <f>'SurveyRpt_20150223 (1)'!AH384+"h_l!$~_"</f>
        <v>#VALUE!</v>
      </c>
      <c r="ET62" t="e">
        <f>'SurveyRpt_20150223 (1)'!AI384+"h_l!$~`"</f>
        <v>#VALUE!</v>
      </c>
      <c r="EU62" t="e">
        <f>'SurveyRpt_20150223 (1)'!AJ384+"h_l!$~a"</f>
        <v>#VALUE!</v>
      </c>
      <c r="EV62" t="e">
        <f>'SurveyRpt_20150223 (1)'!AK384+"h_l!$~b"</f>
        <v>#VALUE!</v>
      </c>
      <c r="EW62" t="e">
        <f>'SurveyRpt_20150223 (1)'!AL384+"h_l!$~c"</f>
        <v>#VALUE!</v>
      </c>
      <c r="EX62" t="e">
        <f>'SurveyRpt_20150223 (1)'!AM384+"h_l!$~d"</f>
        <v>#VALUE!</v>
      </c>
      <c r="EY62" t="e">
        <f>'SurveyRpt_20150223 (1)'!AN384+"h_l!$~e"</f>
        <v>#VALUE!</v>
      </c>
      <c r="EZ62" t="e">
        <f>'SurveyRpt_20150223 (1)'!A385+"h_l!$~f"</f>
        <v>#VALUE!</v>
      </c>
      <c r="FA62" s="25" t="e">
        <f>'SurveyRpt_20150223 (1)'!B385+"h_l!$~g"</f>
        <v>#VALUE!</v>
      </c>
      <c r="FB62" t="e">
        <f>'SurveyRpt_20150223 (1)'!C385+"h_l!$~h"</f>
        <v>#VALUE!</v>
      </c>
      <c r="FC62" s="25" t="e">
        <f>'SurveyRpt_20150223 (1)'!D385+"h_l!$~i"</f>
        <v>#VALUE!</v>
      </c>
      <c r="FD62" t="e">
        <f>'SurveyRpt_20150223 (1)'!E385+"h_l!$~j"</f>
        <v>#VALUE!</v>
      </c>
      <c r="FE62" t="e">
        <f>'SurveyRpt_20150223 (1)'!F385+"h_l!$~k"</f>
        <v>#VALUE!</v>
      </c>
      <c r="FF62" t="e">
        <f>'SurveyRpt_20150223 (1)'!G385+"h_l!$~l"</f>
        <v>#VALUE!</v>
      </c>
      <c r="FG62" t="e">
        <f>'SurveyRpt_20150223 (1)'!H385+"h_l!$~m"</f>
        <v>#VALUE!</v>
      </c>
      <c r="FH62" t="e">
        <f>'SurveyRpt_20150223 (1)'!I385+"h_l!$~n"</f>
        <v>#VALUE!</v>
      </c>
      <c r="FI62" t="e">
        <f>'SurveyRpt_20150223 (1)'!J385+"h_l!$~o"</f>
        <v>#VALUE!</v>
      </c>
      <c r="FJ62" t="e">
        <f>'SurveyRpt_20150223 (1)'!K385+"h_l!$~p"</f>
        <v>#VALUE!</v>
      </c>
      <c r="FK62" t="e">
        <f>'SurveyRpt_20150223 (1)'!L385+"h_l!$~q"</f>
        <v>#VALUE!</v>
      </c>
      <c r="FL62" t="e">
        <f>'SurveyRpt_20150223 (1)'!M385+"h_l!$~r"</f>
        <v>#VALUE!</v>
      </c>
      <c r="FM62" t="e">
        <f>'SurveyRpt_20150223 (1)'!N385+"h_l!$~s"</f>
        <v>#VALUE!</v>
      </c>
      <c r="FN62" t="e">
        <f>'SurveyRpt_20150223 (1)'!O385+"h_l!$~t"</f>
        <v>#VALUE!</v>
      </c>
      <c r="FO62" t="e">
        <f>'SurveyRpt_20150223 (1)'!P385+"h_l!$~u"</f>
        <v>#VALUE!</v>
      </c>
      <c r="FP62" t="e">
        <f>'SurveyRpt_20150223 (1)'!Q385+"h_l!$~v"</f>
        <v>#VALUE!</v>
      </c>
      <c r="FQ62" t="e">
        <f>'SurveyRpt_20150223 (1)'!R385+"h_l!$~w"</f>
        <v>#VALUE!</v>
      </c>
      <c r="FR62" t="e">
        <f>'SurveyRpt_20150223 (1)'!S385+"h_l!$~x"</f>
        <v>#VALUE!</v>
      </c>
      <c r="FS62" t="e">
        <f>'SurveyRpt_20150223 (1)'!T385+"h_l!$~y"</f>
        <v>#VALUE!</v>
      </c>
      <c r="FT62" t="e">
        <f>'SurveyRpt_20150223 (1)'!U385+"h_l!$~z"</f>
        <v>#VALUE!</v>
      </c>
      <c r="FU62" t="e">
        <f>'SurveyRpt_20150223 (1)'!V385+"h_l!$~{"</f>
        <v>#VALUE!</v>
      </c>
      <c r="FV62" t="e">
        <f>'SurveyRpt_20150223 (1)'!W385+"h_l!$~|"</f>
        <v>#VALUE!</v>
      </c>
      <c r="FW62" t="e">
        <f>'SurveyRpt_20150223 (1)'!X385+"h_l!$~}"</f>
        <v>#VALUE!</v>
      </c>
      <c r="FX62" t="e">
        <f>'SurveyRpt_20150223 (1)'!Y385+"h_l!$~~"</f>
        <v>#VALUE!</v>
      </c>
      <c r="FY62" t="e">
        <f>'SurveyRpt_20150223 (1)'!Z385+"h_l!%##"</f>
        <v>#VALUE!</v>
      </c>
      <c r="FZ62" t="e">
        <f>'SurveyRpt_20150223 (1)'!AA385+"h_l!%#$"</f>
        <v>#VALUE!</v>
      </c>
      <c r="GA62" t="e">
        <f>'SurveyRpt_20150223 (1)'!AB385+"h_l!%#%"</f>
        <v>#VALUE!</v>
      </c>
      <c r="GB62" t="e">
        <f>'SurveyRpt_20150223 (1)'!AC385+"h_l!%#&amp;"</f>
        <v>#VALUE!</v>
      </c>
      <c r="GC62" t="e">
        <f>'SurveyRpt_20150223 (1)'!AD385+"h_l!%#'"</f>
        <v>#VALUE!</v>
      </c>
      <c r="GD62" t="e">
        <f>'SurveyRpt_20150223 (1)'!AE385+"h_l!%#("</f>
        <v>#VALUE!</v>
      </c>
      <c r="GE62" t="e">
        <f>'SurveyRpt_20150223 (1)'!AF385+"h_l!%#)"</f>
        <v>#VALUE!</v>
      </c>
      <c r="GF62" t="e">
        <f>'SurveyRpt_20150223 (1)'!AG385+"h_l!%#."</f>
        <v>#VALUE!</v>
      </c>
      <c r="GG62" t="e">
        <f>'SurveyRpt_20150223 (1)'!AH385+"h_l!%#/"</f>
        <v>#VALUE!</v>
      </c>
      <c r="GH62" t="e">
        <f>'SurveyRpt_20150223 (1)'!AI385+"h_l!%#0"</f>
        <v>#VALUE!</v>
      </c>
      <c r="GI62" t="e">
        <f>'SurveyRpt_20150223 (1)'!AJ385+"h_l!%#1"</f>
        <v>#VALUE!</v>
      </c>
      <c r="GJ62" t="e">
        <f>'SurveyRpt_20150223 (1)'!AK385+"h_l!%#2"</f>
        <v>#VALUE!</v>
      </c>
      <c r="GK62" t="e">
        <f>'SurveyRpt_20150223 (1)'!AL385+"h_l!%#3"</f>
        <v>#VALUE!</v>
      </c>
      <c r="GL62" t="e">
        <f>'SurveyRpt_20150223 (1)'!AM385+"h_l!%#4"</f>
        <v>#VALUE!</v>
      </c>
      <c r="GM62" t="e">
        <f>'SurveyRpt_20150223 (1)'!AN385+"h_l!%#5"</f>
        <v>#VALUE!</v>
      </c>
      <c r="GN62" t="e">
        <f>'SurveyRpt_20150223 (1)'!A386+"h_l!%#6"</f>
        <v>#VALUE!</v>
      </c>
      <c r="GO62" s="25" t="e">
        <f>'SurveyRpt_20150223 (1)'!B386+"h_l!%#7"</f>
        <v>#VALUE!</v>
      </c>
      <c r="GP62" t="e">
        <f>'SurveyRpt_20150223 (1)'!C386+"h_l!%#8"</f>
        <v>#VALUE!</v>
      </c>
      <c r="GQ62" s="25" t="e">
        <f>'SurveyRpt_20150223 (1)'!D386+"h_l!%#9"</f>
        <v>#VALUE!</v>
      </c>
      <c r="GR62" t="e">
        <f>'SurveyRpt_20150223 (1)'!E386+"h_l!%#:"</f>
        <v>#VALUE!</v>
      </c>
      <c r="GS62" t="e">
        <f>'SurveyRpt_20150223 (1)'!F386+"h_l!%#;"</f>
        <v>#VALUE!</v>
      </c>
      <c r="GT62" t="e">
        <f>'SurveyRpt_20150223 (1)'!G386+"h_l!%#&lt;"</f>
        <v>#VALUE!</v>
      </c>
      <c r="GU62" t="e">
        <f>'SurveyRpt_20150223 (1)'!H386+"h_l!%#="</f>
        <v>#VALUE!</v>
      </c>
      <c r="GV62" t="e">
        <f>'SurveyRpt_20150223 (1)'!I386+"h_l!%#&gt;"</f>
        <v>#VALUE!</v>
      </c>
      <c r="GW62" t="e">
        <f>'SurveyRpt_20150223 (1)'!J386+"h_l!%#?"</f>
        <v>#VALUE!</v>
      </c>
      <c r="GX62" t="e">
        <f>'SurveyRpt_20150223 (1)'!K386+"h_l!%#@"</f>
        <v>#VALUE!</v>
      </c>
      <c r="GY62" t="e">
        <f>'SurveyRpt_20150223 (1)'!L386+"h_l!%#A"</f>
        <v>#VALUE!</v>
      </c>
      <c r="GZ62" t="e">
        <f>'SurveyRpt_20150223 (1)'!M386+"h_l!%#B"</f>
        <v>#VALUE!</v>
      </c>
      <c r="HA62" t="e">
        <f>'SurveyRpt_20150223 (1)'!N386+"h_l!%#C"</f>
        <v>#VALUE!</v>
      </c>
      <c r="HB62" t="e">
        <f>'SurveyRpt_20150223 (1)'!O386+"h_l!%#D"</f>
        <v>#VALUE!</v>
      </c>
      <c r="HC62" t="e">
        <f>'SurveyRpt_20150223 (1)'!P386+"h_l!%#E"</f>
        <v>#VALUE!</v>
      </c>
      <c r="HD62" t="e">
        <f>'SurveyRpt_20150223 (1)'!Q386+"h_l!%#F"</f>
        <v>#VALUE!</v>
      </c>
      <c r="HE62" t="e">
        <f>'SurveyRpt_20150223 (1)'!R386+"h_l!%#G"</f>
        <v>#VALUE!</v>
      </c>
      <c r="HF62" t="e">
        <f>'SurveyRpt_20150223 (1)'!S386+"h_l!%#H"</f>
        <v>#VALUE!</v>
      </c>
      <c r="HG62" t="e">
        <f>'SurveyRpt_20150223 (1)'!T386+"h_l!%#I"</f>
        <v>#VALUE!</v>
      </c>
      <c r="HH62" t="e">
        <f>'SurveyRpt_20150223 (1)'!U386+"h_l!%#J"</f>
        <v>#VALUE!</v>
      </c>
      <c r="HI62" t="e">
        <f>'SurveyRpt_20150223 (1)'!V386+"h_l!%#K"</f>
        <v>#VALUE!</v>
      </c>
      <c r="HJ62" t="e">
        <f>'SurveyRpt_20150223 (1)'!W386+"h_l!%#L"</f>
        <v>#VALUE!</v>
      </c>
      <c r="HK62" t="e">
        <f>'SurveyRpt_20150223 (1)'!X386+"h_l!%#M"</f>
        <v>#VALUE!</v>
      </c>
      <c r="HL62" t="e">
        <f>'SurveyRpt_20150223 (1)'!Y386+"h_l!%#N"</f>
        <v>#VALUE!</v>
      </c>
      <c r="HM62" t="e">
        <f>'SurveyRpt_20150223 (1)'!Z386+"h_l!%#O"</f>
        <v>#VALUE!</v>
      </c>
      <c r="HN62" t="e">
        <f>'SurveyRpt_20150223 (1)'!AA386+"h_l!%#P"</f>
        <v>#VALUE!</v>
      </c>
      <c r="HO62" t="e">
        <f>'SurveyRpt_20150223 (1)'!AB386+"h_l!%#Q"</f>
        <v>#VALUE!</v>
      </c>
      <c r="HP62" t="e">
        <f>'SurveyRpt_20150223 (1)'!AC386+"h_l!%#R"</f>
        <v>#VALUE!</v>
      </c>
      <c r="HQ62" t="e">
        <f>'SurveyRpt_20150223 (1)'!AD386+"h_l!%#S"</f>
        <v>#VALUE!</v>
      </c>
      <c r="HR62" t="e">
        <f>'SurveyRpt_20150223 (1)'!AE386+"h_l!%#T"</f>
        <v>#VALUE!</v>
      </c>
      <c r="HS62" t="e">
        <f>'SurveyRpt_20150223 (1)'!AF386+"h_l!%#U"</f>
        <v>#VALUE!</v>
      </c>
      <c r="HT62" t="e">
        <f>'SurveyRpt_20150223 (1)'!AG386+"h_l!%#V"</f>
        <v>#VALUE!</v>
      </c>
      <c r="HU62" t="e">
        <f>'SurveyRpt_20150223 (1)'!AH386+"h_l!%#W"</f>
        <v>#VALUE!</v>
      </c>
      <c r="HV62" t="e">
        <f>'SurveyRpt_20150223 (1)'!AI386+"h_l!%#X"</f>
        <v>#VALUE!</v>
      </c>
      <c r="HW62" t="e">
        <f>'SurveyRpt_20150223 (1)'!AJ386+"h_l!%#Y"</f>
        <v>#VALUE!</v>
      </c>
      <c r="HX62" t="e">
        <f>'SurveyRpt_20150223 (1)'!AK386+"h_l!%#Z"</f>
        <v>#VALUE!</v>
      </c>
      <c r="HY62" t="e">
        <f>'SurveyRpt_20150223 (1)'!AL386+"h_l!%#["</f>
        <v>#VALUE!</v>
      </c>
      <c r="HZ62" t="e">
        <f>'SurveyRpt_20150223 (1)'!AM386+"h_l!%#\"</f>
        <v>#VALUE!</v>
      </c>
      <c r="IA62" t="e">
        <f>'SurveyRpt_20150223 (1)'!AN386+"h_l!%#]"</f>
        <v>#VALUE!</v>
      </c>
      <c r="IB62" t="e">
        <f>'SurveyRpt_20150223 (1)'!A387+"h_l!%#^"</f>
        <v>#VALUE!</v>
      </c>
      <c r="IC62" s="25" t="e">
        <f>'SurveyRpt_20150223 (1)'!B387+"h_l!%#_"</f>
        <v>#VALUE!</v>
      </c>
      <c r="ID62" t="e">
        <f>'SurveyRpt_20150223 (1)'!C387+"h_l!%#`"</f>
        <v>#VALUE!</v>
      </c>
      <c r="IE62" s="25" t="e">
        <f>'SurveyRpt_20150223 (1)'!D387+"h_l!%#a"</f>
        <v>#VALUE!</v>
      </c>
      <c r="IF62" t="e">
        <f>'SurveyRpt_20150223 (1)'!E387+"h_l!%#b"</f>
        <v>#VALUE!</v>
      </c>
      <c r="IG62" t="e">
        <f>'SurveyRpt_20150223 (1)'!F387+"h_l!%#c"</f>
        <v>#VALUE!</v>
      </c>
      <c r="IH62" t="e">
        <f>'SurveyRpt_20150223 (1)'!G387+"h_l!%#d"</f>
        <v>#VALUE!</v>
      </c>
      <c r="II62" t="e">
        <f>'SurveyRpt_20150223 (1)'!H387+"h_l!%#e"</f>
        <v>#VALUE!</v>
      </c>
      <c r="IJ62" t="e">
        <f>'SurveyRpt_20150223 (1)'!I387+"h_l!%#f"</f>
        <v>#VALUE!</v>
      </c>
      <c r="IK62" t="e">
        <f>'SurveyRpt_20150223 (1)'!J387+"h_l!%#g"</f>
        <v>#VALUE!</v>
      </c>
      <c r="IL62" t="e">
        <f>'SurveyRpt_20150223 (1)'!K387+"h_l!%#h"</f>
        <v>#VALUE!</v>
      </c>
      <c r="IM62" t="e">
        <f>'SurveyRpt_20150223 (1)'!L387+"h_l!%#i"</f>
        <v>#VALUE!</v>
      </c>
      <c r="IN62" t="e">
        <f>'SurveyRpt_20150223 (1)'!M387+"h_l!%#j"</f>
        <v>#VALUE!</v>
      </c>
      <c r="IO62" t="e">
        <f>'SurveyRpt_20150223 (1)'!N387+"h_l!%#k"</f>
        <v>#VALUE!</v>
      </c>
      <c r="IP62" t="e">
        <f>'SurveyRpt_20150223 (1)'!O387+"h_l!%#l"</f>
        <v>#VALUE!</v>
      </c>
      <c r="IQ62" t="e">
        <f>'SurveyRpt_20150223 (1)'!P387+"h_l!%#m"</f>
        <v>#VALUE!</v>
      </c>
      <c r="IR62" t="e">
        <f>'SurveyRpt_20150223 (1)'!Q387+"h_l!%#n"</f>
        <v>#VALUE!</v>
      </c>
      <c r="IS62" t="e">
        <f>'SurveyRpt_20150223 (1)'!R387+"h_l!%#o"</f>
        <v>#VALUE!</v>
      </c>
      <c r="IT62" t="e">
        <f>'SurveyRpt_20150223 (1)'!S387+"h_l!%#p"</f>
        <v>#VALUE!</v>
      </c>
      <c r="IU62" t="e">
        <f>'SurveyRpt_20150223 (1)'!T387+"h_l!%#q"</f>
        <v>#VALUE!</v>
      </c>
      <c r="IV62" t="e">
        <f>'SurveyRpt_20150223 (1)'!U387+"h_l!%#r"</f>
        <v>#VALUE!</v>
      </c>
    </row>
    <row r="63" spans="6:256" x14ac:dyDescent="0.25">
      <c r="F63" t="e">
        <f>'SurveyRpt_20150223 (1)'!V387+"h_l!%#s"</f>
        <v>#VALUE!</v>
      </c>
      <c r="G63" t="e">
        <f>'SurveyRpt_20150223 (1)'!W387+"h_l!%#t"</f>
        <v>#VALUE!</v>
      </c>
      <c r="H63" t="e">
        <f>'SurveyRpt_20150223 (1)'!X387+"h_l!%#u"</f>
        <v>#VALUE!</v>
      </c>
      <c r="I63" t="e">
        <f>'SurveyRpt_20150223 (1)'!Y387+"h_l!%#v"</f>
        <v>#VALUE!</v>
      </c>
      <c r="J63" t="e">
        <f>'SurveyRpt_20150223 (1)'!Z387+"h_l!%#w"</f>
        <v>#VALUE!</v>
      </c>
      <c r="K63" t="e">
        <f>'SurveyRpt_20150223 (1)'!AA387+"h_l!%#x"</f>
        <v>#VALUE!</v>
      </c>
      <c r="L63" t="e">
        <f>'SurveyRpt_20150223 (1)'!AB387+"h_l!%#y"</f>
        <v>#VALUE!</v>
      </c>
      <c r="M63" t="e">
        <f>'SurveyRpt_20150223 (1)'!AC387+"h_l!%#z"</f>
        <v>#VALUE!</v>
      </c>
      <c r="N63" t="e">
        <f>'SurveyRpt_20150223 (1)'!AD387+"h_l!%#{"</f>
        <v>#VALUE!</v>
      </c>
      <c r="O63" t="e">
        <f>'SurveyRpt_20150223 (1)'!AE387+"h_l!%#|"</f>
        <v>#VALUE!</v>
      </c>
      <c r="P63" t="e">
        <f>'SurveyRpt_20150223 (1)'!AF387+"h_l!%#}"</f>
        <v>#VALUE!</v>
      </c>
      <c r="Q63" t="e">
        <f>'SurveyRpt_20150223 (1)'!AG387+"h_l!%#~"</f>
        <v>#VALUE!</v>
      </c>
      <c r="R63" t="e">
        <f>'SurveyRpt_20150223 (1)'!AH387+"h_l!%$#"</f>
        <v>#VALUE!</v>
      </c>
      <c r="S63" t="e">
        <f>'SurveyRpt_20150223 (1)'!AI387+"h_l!%$$"</f>
        <v>#VALUE!</v>
      </c>
      <c r="T63" t="e">
        <f>'SurveyRpt_20150223 (1)'!AJ387+"h_l!%$%"</f>
        <v>#VALUE!</v>
      </c>
      <c r="U63" t="e">
        <f>'SurveyRpt_20150223 (1)'!AK387+"h_l!%$&amp;"</f>
        <v>#VALUE!</v>
      </c>
      <c r="V63" t="e">
        <f>'SurveyRpt_20150223 (1)'!AL387+"h_l!%$'"</f>
        <v>#VALUE!</v>
      </c>
      <c r="W63" t="e">
        <f>'SurveyRpt_20150223 (1)'!AM387+"h_l!%$("</f>
        <v>#VALUE!</v>
      </c>
      <c r="X63" t="e">
        <f>'SurveyRpt_20150223 (1)'!AN387+"h_l!%$)"</f>
        <v>#VALUE!</v>
      </c>
      <c r="Y63" t="e">
        <f>'SurveyRpt_20150223 (1)'!A388+"h_l!%$."</f>
        <v>#VALUE!</v>
      </c>
      <c r="Z63" s="25" t="e">
        <f>'SurveyRpt_20150223 (1)'!B388+"h_l!%$/"</f>
        <v>#VALUE!</v>
      </c>
      <c r="AA63" t="e">
        <f>'SurveyRpt_20150223 (1)'!C388+"h_l!%$0"</f>
        <v>#VALUE!</v>
      </c>
      <c r="AB63" s="25" t="e">
        <f>'SurveyRpt_20150223 (1)'!D388+"h_l!%$1"</f>
        <v>#VALUE!</v>
      </c>
      <c r="AC63" t="e">
        <f>'SurveyRpt_20150223 (1)'!E388+"h_l!%$2"</f>
        <v>#VALUE!</v>
      </c>
      <c r="AD63" t="e">
        <f>'SurveyRpt_20150223 (1)'!F388+"h_l!%$3"</f>
        <v>#VALUE!</v>
      </c>
      <c r="AE63" t="e">
        <f>'SurveyRpt_20150223 (1)'!G388+"h_l!%$4"</f>
        <v>#VALUE!</v>
      </c>
      <c r="AF63" t="e">
        <f>'SurveyRpt_20150223 (1)'!H388+"h_l!%$5"</f>
        <v>#VALUE!</v>
      </c>
      <c r="AG63" t="e">
        <f>'SurveyRpt_20150223 (1)'!I388+"h_l!%$6"</f>
        <v>#VALUE!</v>
      </c>
      <c r="AH63" t="e">
        <f>'SurveyRpt_20150223 (1)'!J388+"h_l!%$7"</f>
        <v>#VALUE!</v>
      </c>
      <c r="AI63" t="e">
        <f>'SurveyRpt_20150223 (1)'!K388+"h_l!%$8"</f>
        <v>#VALUE!</v>
      </c>
      <c r="AJ63" t="e">
        <f>'SurveyRpt_20150223 (1)'!L388+"h_l!%$9"</f>
        <v>#VALUE!</v>
      </c>
      <c r="AK63" t="e">
        <f>'SurveyRpt_20150223 (1)'!M388+"h_l!%$:"</f>
        <v>#VALUE!</v>
      </c>
      <c r="AL63" t="e">
        <f>'SurveyRpt_20150223 (1)'!N388+"h_l!%$;"</f>
        <v>#VALUE!</v>
      </c>
      <c r="AM63" t="e">
        <f>'SurveyRpt_20150223 (1)'!O388+"h_l!%$&lt;"</f>
        <v>#VALUE!</v>
      </c>
      <c r="AN63" t="e">
        <f>'SurveyRpt_20150223 (1)'!P388+"h_l!%$="</f>
        <v>#VALUE!</v>
      </c>
      <c r="AO63" t="e">
        <f>'SurveyRpt_20150223 (1)'!Q388+"h_l!%$&gt;"</f>
        <v>#VALUE!</v>
      </c>
      <c r="AP63" t="e">
        <f>'SurveyRpt_20150223 (1)'!R388+"h_l!%$?"</f>
        <v>#VALUE!</v>
      </c>
      <c r="AQ63" t="e">
        <f>'SurveyRpt_20150223 (1)'!S388+"h_l!%$@"</f>
        <v>#VALUE!</v>
      </c>
      <c r="AR63" t="e">
        <f>'SurveyRpt_20150223 (1)'!T388+"h_l!%$A"</f>
        <v>#VALUE!</v>
      </c>
      <c r="AS63" t="e">
        <f>'SurveyRpt_20150223 (1)'!U388+"h_l!%$B"</f>
        <v>#VALUE!</v>
      </c>
      <c r="AT63" t="e">
        <f>'SurveyRpt_20150223 (1)'!V388+"h_l!%$C"</f>
        <v>#VALUE!</v>
      </c>
      <c r="AU63" t="e">
        <f>'SurveyRpt_20150223 (1)'!W388+"h_l!%$D"</f>
        <v>#VALUE!</v>
      </c>
      <c r="AV63" t="e">
        <f>'SurveyRpt_20150223 (1)'!X388+"h_l!%$E"</f>
        <v>#VALUE!</v>
      </c>
      <c r="AW63" t="e">
        <f>'SurveyRpt_20150223 (1)'!Y388+"h_l!%$F"</f>
        <v>#VALUE!</v>
      </c>
      <c r="AX63" t="e">
        <f>'SurveyRpt_20150223 (1)'!Z388+"h_l!%$G"</f>
        <v>#VALUE!</v>
      </c>
      <c r="AY63" t="e">
        <f>'SurveyRpt_20150223 (1)'!AA388+"h_l!%$H"</f>
        <v>#VALUE!</v>
      </c>
      <c r="AZ63" t="e">
        <f>'SurveyRpt_20150223 (1)'!AB388+"h_l!%$I"</f>
        <v>#VALUE!</v>
      </c>
      <c r="BA63" t="e">
        <f>'SurveyRpt_20150223 (1)'!AC388+"h_l!%$J"</f>
        <v>#VALUE!</v>
      </c>
      <c r="BB63" t="e">
        <f>'SurveyRpt_20150223 (1)'!AD388+"h_l!%$K"</f>
        <v>#VALUE!</v>
      </c>
      <c r="BC63" t="e">
        <f>'SurveyRpt_20150223 (1)'!AE388+"h_l!%$L"</f>
        <v>#VALUE!</v>
      </c>
      <c r="BD63" t="e">
        <f>'SurveyRpt_20150223 (1)'!AF388+"h_l!%$M"</f>
        <v>#VALUE!</v>
      </c>
      <c r="BE63" t="e">
        <f>'SurveyRpt_20150223 (1)'!AG388+"h_l!%$N"</f>
        <v>#VALUE!</v>
      </c>
      <c r="BF63" t="e">
        <f>'SurveyRpt_20150223 (1)'!AH388+"h_l!%$O"</f>
        <v>#VALUE!</v>
      </c>
      <c r="BG63" t="e">
        <f>'SurveyRpt_20150223 (1)'!AI388+"h_l!%$P"</f>
        <v>#VALUE!</v>
      </c>
      <c r="BH63" t="e">
        <f>'SurveyRpt_20150223 (1)'!AJ388+"h_l!%$Q"</f>
        <v>#VALUE!</v>
      </c>
      <c r="BI63" t="e">
        <f>'SurveyRpt_20150223 (1)'!AK388+"h_l!%$R"</f>
        <v>#VALUE!</v>
      </c>
      <c r="BJ63" t="e">
        <f>'SurveyRpt_20150223 (1)'!AL388+"h_l!%$S"</f>
        <v>#VALUE!</v>
      </c>
      <c r="BK63" t="e">
        <f>'SurveyRpt_20150223 (1)'!AM388+"h_l!%$T"</f>
        <v>#VALUE!</v>
      </c>
      <c r="BL63" t="e">
        <f>'SurveyRpt_20150223 (1)'!AN388+"h_l!%$U"</f>
        <v>#VALUE!</v>
      </c>
      <c r="BM63" t="e">
        <f>'SurveyRpt_20150223 (1)'!A389+"h_l!%$V"</f>
        <v>#VALUE!</v>
      </c>
      <c r="BN63" s="25" t="e">
        <f>'SurveyRpt_20150223 (1)'!B389+"h_l!%$W"</f>
        <v>#VALUE!</v>
      </c>
      <c r="BO63" t="e">
        <f>'SurveyRpt_20150223 (1)'!C389+"h_l!%$X"</f>
        <v>#VALUE!</v>
      </c>
      <c r="BP63" s="25" t="e">
        <f>'SurveyRpt_20150223 (1)'!D389+"h_l!%$Y"</f>
        <v>#VALUE!</v>
      </c>
      <c r="BQ63" t="e">
        <f>'SurveyRpt_20150223 (1)'!E389+"h_l!%$Z"</f>
        <v>#VALUE!</v>
      </c>
      <c r="BR63" t="e">
        <f>'SurveyRpt_20150223 (1)'!F389+"h_l!%$["</f>
        <v>#VALUE!</v>
      </c>
      <c r="BS63" t="e">
        <f>'SurveyRpt_20150223 (1)'!G389+"h_l!%$\"</f>
        <v>#VALUE!</v>
      </c>
      <c r="BT63" t="e">
        <f>'SurveyRpt_20150223 (1)'!H389+"h_l!%$]"</f>
        <v>#VALUE!</v>
      </c>
      <c r="BU63" t="e">
        <f>'SurveyRpt_20150223 (1)'!I389+"h_l!%$^"</f>
        <v>#VALUE!</v>
      </c>
      <c r="BV63" t="e">
        <f>'SurveyRpt_20150223 (1)'!J389+"h_l!%$_"</f>
        <v>#VALUE!</v>
      </c>
      <c r="BW63" t="e">
        <f>'SurveyRpt_20150223 (1)'!K389+"h_l!%$`"</f>
        <v>#VALUE!</v>
      </c>
      <c r="BX63" t="e">
        <f>'SurveyRpt_20150223 (1)'!L389+"h_l!%$a"</f>
        <v>#VALUE!</v>
      </c>
      <c r="BY63" t="e">
        <f>'SurveyRpt_20150223 (1)'!M389+"h_l!%$b"</f>
        <v>#VALUE!</v>
      </c>
      <c r="BZ63" t="e">
        <f>'SurveyRpt_20150223 (1)'!N389+"h_l!%$c"</f>
        <v>#VALUE!</v>
      </c>
      <c r="CA63" t="e">
        <f>'SurveyRpt_20150223 (1)'!O389+"h_l!%$d"</f>
        <v>#VALUE!</v>
      </c>
      <c r="CB63" t="e">
        <f>'SurveyRpt_20150223 (1)'!P389+"h_l!%$e"</f>
        <v>#VALUE!</v>
      </c>
      <c r="CC63" t="e">
        <f>'SurveyRpt_20150223 (1)'!Q389+"h_l!%$f"</f>
        <v>#VALUE!</v>
      </c>
      <c r="CD63" t="e">
        <f>'SurveyRpt_20150223 (1)'!R389+"h_l!%$g"</f>
        <v>#VALUE!</v>
      </c>
      <c r="CE63" t="e">
        <f>'SurveyRpt_20150223 (1)'!S389+"h_l!%$h"</f>
        <v>#VALUE!</v>
      </c>
      <c r="CF63" t="e">
        <f>'SurveyRpt_20150223 (1)'!T389+"h_l!%$i"</f>
        <v>#VALUE!</v>
      </c>
      <c r="CG63" t="e">
        <f>'SurveyRpt_20150223 (1)'!U389+"h_l!%$j"</f>
        <v>#VALUE!</v>
      </c>
      <c r="CH63" t="e">
        <f>'SurveyRpt_20150223 (1)'!V389+"h_l!%$k"</f>
        <v>#VALUE!</v>
      </c>
      <c r="CI63" t="e">
        <f>'SurveyRpt_20150223 (1)'!W389+"h_l!%$l"</f>
        <v>#VALUE!</v>
      </c>
      <c r="CJ63" t="e">
        <f>'SurveyRpt_20150223 (1)'!X389+"h_l!%$m"</f>
        <v>#VALUE!</v>
      </c>
      <c r="CK63" t="e">
        <f>'SurveyRpt_20150223 (1)'!Y389+"h_l!%$n"</f>
        <v>#VALUE!</v>
      </c>
      <c r="CL63" t="e">
        <f>'SurveyRpt_20150223 (1)'!Z389+"h_l!%$o"</f>
        <v>#VALUE!</v>
      </c>
      <c r="CM63" t="e">
        <f>'SurveyRpt_20150223 (1)'!AA389+"h_l!%$p"</f>
        <v>#VALUE!</v>
      </c>
      <c r="CN63" t="e">
        <f>'SurveyRpt_20150223 (1)'!AB389+"h_l!%$q"</f>
        <v>#VALUE!</v>
      </c>
      <c r="CO63" t="e">
        <f>'SurveyRpt_20150223 (1)'!AC389+"h_l!%$r"</f>
        <v>#VALUE!</v>
      </c>
      <c r="CP63" t="e">
        <f>'SurveyRpt_20150223 (1)'!AD389+"h_l!%$s"</f>
        <v>#VALUE!</v>
      </c>
      <c r="CQ63" t="e">
        <f>'SurveyRpt_20150223 (1)'!AE389+"h_l!%$t"</f>
        <v>#VALUE!</v>
      </c>
      <c r="CR63" t="e">
        <f>'SurveyRpt_20150223 (1)'!AF389+"h_l!%$u"</f>
        <v>#VALUE!</v>
      </c>
      <c r="CS63" t="e">
        <f>'SurveyRpt_20150223 (1)'!AG389+"h_l!%$v"</f>
        <v>#VALUE!</v>
      </c>
      <c r="CT63" t="e">
        <f>'SurveyRpt_20150223 (1)'!AH389+"h_l!%$w"</f>
        <v>#VALUE!</v>
      </c>
      <c r="CU63" t="e">
        <f>'SurveyRpt_20150223 (1)'!AI389+"h_l!%$x"</f>
        <v>#VALUE!</v>
      </c>
      <c r="CV63" t="e">
        <f>'SurveyRpt_20150223 (1)'!AJ389+"h_l!%$y"</f>
        <v>#VALUE!</v>
      </c>
      <c r="CW63" t="e">
        <f>'SurveyRpt_20150223 (1)'!AK389+"h_l!%$z"</f>
        <v>#VALUE!</v>
      </c>
      <c r="CX63" t="e">
        <f>'SurveyRpt_20150223 (1)'!AL389+"h_l!%${"</f>
        <v>#VALUE!</v>
      </c>
      <c r="CY63" t="e">
        <f>'SurveyRpt_20150223 (1)'!AM389+"h_l!%$|"</f>
        <v>#VALUE!</v>
      </c>
      <c r="CZ63" t="e">
        <f>'SurveyRpt_20150223 (1)'!AN389+"h_l!%$}"</f>
        <v>#VALUE!</v>
      </c>
      <c r="DA63" t="e">
        <f>'SurveyRpt_20150223 (1)'!A390+"h_l!%$~"</f>
        <v>#VALUE!</v>
      </c>
      <c r="DB63" s="25" t="e">
        <f>'SurveyRpt_20150223 (1)'!B390+"h_l!%%#"</f>
        <v>#VALUE!</v>
      </c>
      <c r="DC63" t="e">
        <f>'SurveyRpt_20150223 (1)'!C390+"h_l!%%$"</f>
        <v>#VALUE!</v>
      </c>
      <c r="DD63" s="25" t="e">
        <f>'SurveyRpt_20150223 (1)'!D390+"h_l!%%%"</f>
        <v>#VALUE!</v>
      </c>
      <c r="DE63" t="e">
        <f>'SurveyRpt_20150223 (1)'!E390+"h_l!%%&amp;"</f>
        <v>#VALUE!</v>
      </c>
      <c r="DF63" t="e">
        <f>'SurveyRpt_20150223 (1)'!F390+"h_l!%%'"</f>
        <v>#VALUE!</v>
      </c>
      <c r="DG63" t="e">
        <f>'SurveyRpt_20150223 (1)'!G390+"h_l!%%("</f>
        <v>#VALUE!</v>
      </c>
      <c r="DH63" t="e">
        <f>'SurveyRpt_20150223 (1)'!H390+"h_l!%%)"</f>
        <v>#VALUE!</v>
      </c>
      <c r="DI63" t="e">
        <f>'SurveyRpt_20150223 (1)'!I390+"h_l!%%."</f>
        <v>#VALUE!</v>
      </c>
      <c r="DJ63" t="e">
        <f>'SurveyRpt_20150223 (1)'!J390+"h_l!%%/"</f>
        <v>#VALUE!</v>
      </c>
      <c r="DK63" t="e">
        <f>'SurveyRpt_20150223 (1)'!K390+"h_l!%%0"</f>
        <v>#VALUE!</v>
      </c>
      <c r="DL63" t="e">
        <f>'SurveyRpt_20150223 (1)'!L390+"h_l!%%1"</f>
        <v>#VALUE!</v>
      </c>
      <c r="DM63" t="e">
        <f>'SurveyRpt_20150223 (1)'!M390+"h_l!%%2"</f>
        <v>#VALUE!</v>
      </c>
      <c r="DN63" t="e">
        <f>'SurveyRpt_20150223 (1)'!N390+"h_l!%%3"</f>
        <v>#VALUE!</v>
      </c>
      <c r="DO63" t="e">
        <f>'SurveyRpt_20150223 (1)'!O390+"h_l!%%4"</f>
        <v>#VALUE!</v>
      </c>
      <c r="DP63" t="e">
        <f>'SurveyRpt_20150223 (1)'!P390+"h_l!%%5"</f>
        <v>#VALUE!</v>
      </c>
      <c r="DQ63" t="e">
        <f>'SurveyRpt_20150223 (1)'!Q390+"h_l!%%6"</f>
        <v>#VALUE!</v>
      </c>
      <c r="DR63" t="e">
        <f>'SurveyRpt_20150223 (1)'!R390+"h_l!%%7"</f>
        <v>#VALUE!</v>
      </c>
      <c r="DS63" t="e">
        <f>'SurveyRpt_20150223 (1)'!S390+"h_l!%%8"</f>
        <v>#VALUE!</v>
      </c>
      <c r="DT63" t="e">
        <f>'SurveyRpt_20150223 (1)'!T390+"h_l!%%9"</f>
        <v>#VALUE!</v>
      </c>
      <c r="DU63" t="e">
        <f>'SurveyRpt_20150223 (1)'!U390+"h_l!%%:"</f>
        <v>#VALUE!</v>
      </c>
      <c r="DV63" t="e">
        <f>'SurveyRpt_20150223 (1)'!V390+"h_l!%%;"</f>
        <v>#VALUE!</v>
      </c>
      <c r="DW63" t="e">
        <f>'SurveyRpt_20150223 (1)'!W390+"h_l!%%&lt;"</f>
        <v>#VALUE!</v>
      </c>
      <c r="DX63" t="e">
        <f>'SurveyRpt_20150223 (1)'!X390+"h_l!%%="</f>
        <v>#VALUE!</v>
      </c>
      <c r="DY63" t="e">
        <f>'SurveyRpt_20150223 (1)'!Y390+"h_l!%%&gt;"</f>
        <v>#VALUE!</v>
      </c>
      <c r="DZ63" t="e">
        <f>'SurveyRpt_20150223 (1)'!Z390+"h_l!%%?"</f>
        <v>#VALUE!</v>
      </c>
      <c r="EA63" t="e">
        <f>'SurveyRpt_20150223 (1)'!AA390+"h_l!%%@"</f>
        <v>#VALUE!</v>
      </c>
      <c r="EB63" t="e">
        <f>'SurveyRpt_20150223 (1)'!AB390+"h_l!%%A"</f>
        <v>#VALUE!</v>
      </c>
      <c r="EC63" t="e">
        <f>'SurveyRpt_20150223 (1)'!AC390+"h_l!%%B"</f>
        <v>#VALUE!</v>
      </c>
      <c r="ED63" t="e">
        <f>'SurveyRpt_20150223 (1)'!AD390+"h_l!%%C"</f>
        <v>#VALUE!</v>
      </c>
      <c r="EE63" t="e">
        <f>'SurveyRpt_20150223 (1)'!AE390+"h_l!%%D"</f>
        <v>#VALUE!</v>
      </c>
      <c r="EF63" t="e">
        <f>'SurveyRpt_20150223 (1)'!AF390+"h_l!%%E"</f>
        <v>#VALUE!</v>
      </c>
      <c r="EG63" t="e">
        <f>'SurveyRpt_20150223 (1)'!AG390+"h_l!%%F"</f>
        <v>#VALUE!</v>
      </c>
      <c r="EH63" t="e">
        <f>'SurveyRpt_20150223 (1)'!AH390+"h_l!%%G"</f>
        <v>#VALUE!</v>
      </c>
      <c r="EI63" t="e">
        <f>'SurveyRpt_20150223 (1)'!AI390+"h_l!%%H"</f>
        <v>#VALUE!</v>
      </c>
      <c r="EJ63" t="e">
        <f>'SurveyRpt_20150223 (1)'!AJ390+"h_l!%%I"</f>
        <v>#VALUE!</v>
      </c>
      <c r="EK63" t="e">
        <f>'SurveyRpt_20150223 (1)'!AK390+"h_l!%%J"</f>
        <v>#VALUE!</v>
      </c>
      <c r="EL63" t="e">
        <f>'SurveyRpt_20150223 (1)'!AL390+"h_l!%%K"</f>
        <v>#VALUE!</v>
      </c>
      <c r="EM63" t="e">
        <f>'SurveyRpt_20150223 (1)'!AM390+"h_l!%%L"</f>
        <v>#VALUE!</v>
      </c>
      <c r="EN63" t="e">
        <f>'SurveyRpt_20150223 (1)'!AN390+"h_l!%%M"</f>
        <v>#VALUE!</v>
      </c>
      <c r="EO63" t="e">
        <f>'SurveyRpt_20150223 (1)'!A391+"h_l!%%N"</f>
        <v>#VALUE!</v>
      </c>
      <c r="EP63" s="25" t="e">
        <f>'SurveyRpt_20150223 (1)'!B391+"h_l!%%O"</f>
        <v>#VALUE!</v>
      </c>
      <c r="EQ63" t="e">
        <f>'SurveyRpt_20150223 (1)'!C391+"h_l!%%P"</f>
        <v>#VALUE!</v>
      </c>
      <c r="ER63" s="25" t="e">
        <f>'SurveyRpt_20150223 (1)'!D391+"h_l!%%Q"</f>
        <v>#VALUE!</v>
      </c>
      <c r="ES63" t="e">
        <f>'SurveyRpt_20150223 (1)'!E391+"h_l!%%R"</f>
        <v>#VALUE!</v>
      </c>
      <c r="ET63" t="e">
        <f>'SurveyRpt_20150223 (1)'!F391+"h_l!%%S"</f>
        <v>#VALUE!</v>
      </c>
      <c r="EU63" t="e">
        <f>'SurveyRpt_20150223 (1)'!G391+"h_l!%%T"</f>
        <v>#VALUE!</v>
      </c>
      <c r="EV63" t="e">
        <f>'SurveyRpt_20150223 (1)'!H391+"h_l!%%U"</f>
        <v>#VALUE!</v>
      </c>
      <c r="EW63" t="e">
        <f>'SurveyRpt_20150223 (1)'!I391+"h_l!%%V"</f>
        <v>#VALUE!</v>
      </c>
      <c r="EX63" t="e">
        <f>'SurveyRpt_20150223 (1)'!J391+"h_l!%%W"</f>
        <v>#VALUE!</v>
      </c>
      <c r="EY63" t="e">
        <f>'SurveyRpt_20150223 (1)'!K391+"h_l!%%X"</f>
        <v>#VALUE!</v>
      </c>
      <c r="EZ63" t="e">
        <f>'SurveyRpt_20150223 (1)'!L391+"h_l!%%Y"</f>
        <v>#VALUE!</v>
      </c>
      <c r="FA63" t="e">
        <f>'SurveyRpt_20150223 (1)'!M391+"h_l!%%Z"</f>
        <v>#VALUE!</v>
      </c>
      <c r="FB63" t="e">
        <f>'SurveyRpt_20150223 (1)'!N391+"h_l!%%["</f>
        <v>#VALUE!</v>
      </c>
      <c r="FC63" t="e">
        <f>'SurveyRpt_20150223 (1)'!O391+"h_l!%%\"</f>
        <v>#VALUE!</v>
      </c>
      <c r="FD63" t="e">
        <f>'SurveyRpt_20150223 (1)'!P391+"h_l!%%]"</f>
        <v>#VALUE!</v>
      </c>
      <c r="FE63" t="e">
        <f>'SurveyRpt_20150223 (1)'!Q391+"h_l!%%^"</f>
        <v>#VALUE!</v>
      </c>
      <c r="FF63" t="e">
        <f>'SurveyRpt_20150223 (1)'!R391+"h_l!%%_"</f>
        <v>#VALUE!</v>
      </c>
      <c r="FG63" t="e">
        <f>'SurveyRpt_20150223 (1)'!S391+"h_l!%%`"</f>
        <v>#VALUE!</v>
      </c>
      <c r="FH63" t="e">
        <f>'SurveyRpt_20150223 (1)'!T391+"h_l!%%a"</f>
        <v>#VALUE!</v>
      </c>
      <c r="FI63" t="e">
        <f>'SurveyRpt_20150223 (1)'!U391+"h_l!%%b"</f>
        <v>#VALUE!</v>
      </c>
      <c r="FJ63" t="e">
        <f>'SurveyRpt_20150223 (1)'!V391+"h_l!%%c"</f>
        <v>#VALUE!</v>
      </c>
      <c r="FK63" t="e">
        <f>'SurveyRpt_20150223 (1)'!W391+"h_l!%%d"</f>
        <v>#VALUE!</v>
      </c>
      <c r="FL63" t="e">
        <f>'SurveyRpt_20150223 (1)'!X391+"h_l!%%e"</f>
        <v>#VALUE!</v>
      </c>
      <c r="FM63" t="e">
        <f>'SurveyRpt_20150223 (1)'!Y391+"h_l!%%f"</f>
        <v>#VALUE!</v>
      </c>
      <c r="FN63" t="e">
        <f>'SurveyRpt_20150223 (1)'!Z391+"h_l!%%g"</f>
        <v>#VALUE!</v>
      </c>
      <c r="FO63" t="e">
        <f>'SurveyRpt_20150223 (1)'!AA391+"h_l!%%h"</f>
        <v>#VALUE!</v>
      </c>
      <c r="FP63" t="e">
        <f>'SurveyRpt_20150223 (1)'!AB391+"h_l!%%i"</f>
        <v>#VALUE!</v>
      </c>
      <c r="FQ63" t="e">
        <f>'SurveyRpt_20150223 (1)'!AC391+"h_l!%%j"</f>
        <v>#VALUE!</v>
      </c>
      <c r="FR63" t="e">
        <f>'SurveyRpt_20150223 (1)'!AD391+"h_l!%%k"</f>
        <v>#VALUE!</v>
      </c>
      <c r="FS63" t="e">
        <f>'SurveyRpt_20150223 (1)'!AE391+"h_l!%%l"</f>
        <v>#VALUE!</v>
      </c>
      <c r="FT63" t="e">
        <f>'SurveyRpt_20150223 (1)'!AF391+"h_l!%%m"</f>
        <v>#VALUE!</v>
      </c>
      <c r="FU63" t="e">
        <f>'SurveyRpt_20150223 (1)'!AG391+"h_l!%%n"</f>
        <v>#VALUE!</v>
      </c>
      <c r="FV63" t="e">
        <f>'SurveyRpt_20150223 (1)'!AH391+"h_l!%%o"</f>
        <v>#VALUE!</v>
      </c>
      <c r="FW63" t="e">
        <f>'SurveyRpt_20150223 (1)'!AI391+"h_l!%%p"</f>
        <v>#VALUE!</v>
      </c>
      <c r="FX63" t="e">
        <f>'SurveyRpt_20150223 (1)'!AJ391+"h_l!%%q"</f>
        <v>#VALUE!</v>
      </c>
      <c r="FY63" t="e">
        <f>'SurveyRpt_20150223 (1)'!AK391+"h_l!%%r"</f>
        <v>#VALUE!</v>
      </c>
      <c r="FZ63" t="e">
        <f>'SurveyRpt_20150223 (1)'!AL391+"h_l!%%s"</f>
        <v>#VALUE!</v>
      </c>
      <c r="GA63" t="e">
        <f>'SurveyRpt_20150223 (1)'!AM391+"h_l!%%t"</f>
        <v>#VALUE!</v>
      </c>
      <c r="GB63" t="e">
        <f>'SurveyRpt_20150223 (1)'!AN391+"h_l!%%u"</f>
        <v>#VALUE!</v>
      </c>
      <c r="GC63" t="e">
        <f>'SurveyRpt_20150223 (1)'!A392+"h_l!%%v"</f>
        <v>#VALUE!</v>
      </c>
      <c r="GD63" s="25" t="e">
        <f>'SurveyRpt_20150223 (1)'!B392+"h_l!%%w"</f>
        <v>#VALUE!</v>
      </c>
      <c r="GE63" t="e">
        <f>'SurveyRpt_20150223 (1)'!C392+"h_l!%%x"</f>
        <v>#VALUE!</v>
      </c>
      <c r="GF63" s="25" t="e">
        <f>'SurveyRpt_20150223 (1)'!D392+"h_l!%%y"</f>
        <v>#VALUE!</v>
      </c>
      <c r="GG63" t="e">
        <f>'SurveyRpt_20150223 (1)'!E392+"h_l!%%z"</f>
        <v>#VALUE!</v>
      </c>
      <c r="GH63" t="e">
        <f>'SurveyRpt_20150223 (1)'!F392+"h_l!%%{"</f>
        <v>#VALUE!</v>
      </c>
      <c r="GI63" t="e">
        <f>'SurveyRpt_20150223 (1)'!G392+"h_l!%%|"</f>
        <v>#VALUE!</v>
      </c>
      <c r="GJ63" t="e">
        <f>'SurveyRpt_20150223 (1)'!H392+"h_l!%%}"</f>
        <v>#VALUE!</v>
      </c>
      <c r="GK63" t="e">
        <f>'SurveyRpt_20150223 (1)'!I392+"h_l!%%~"</f>
        <v>#VALUE!</v>
      </c>
      <c r="GL63" t="e">
        <f>'SurveyRpt_20150223 (1)'!J392+"h_l!%&amp;#"</f>
        <v>#VALUE!</v>
      </c>
      <c r="GM63" t="e">
        <f>'SurveyRpt_20150223 (1)'!K392+"h_l!%&amp;$"</f>
        <v>#VALUE!</v>
      </c>
      <c r="GN63" t="e">
        <f>'SurveyRpt_20150223 (1)'!L392+"h_l!%&amp;%"</f>
        <v>#VALUE!</v>
      </c>
      <c r="GO63" t="e">
        <f>'SurveyRpt_20150223 (1)'!M392+"h_l!%&amp;&amp;"</f>
        <v>#VALUE!</v>
      </c>
      <c r="GP63" t="e">
        <f>'SurveyRpt_20150223 (1)'!N392+"h_l!%&amp;'"</f>
        <v>#VALUE!</v>
      </c>
      <c r="GQ63" t="e">
        <f>'SurveyRpt_20150223 (1)'!O392+"h_l!%&amp;("</f>
        <v>#VALUE!</v>
      </c>
      <c r="GR63" t="e">
        <f>'SurveyRpt_20150223 (1)'!P392+"h_l!%&amp;)"</f>
        <v>#VALUE!</v>
      </c>
      <c r="GS63" t="e">
        <f>'SurveyRpt_20150223 (1)'!Q392+"h_l!%&amp;."</f>
        <v>#VALUE!</v>
      </c>
      <c r="GT63" t="e">
        <f>'SurveyRpt_20150223 (1)'!R392+"h_l!%&amp;/"</f>
        <v>#VALUE!</v>
      </c>
      <c r="GU63" t="e">
        <f>'SurveyRpt_20150223 (1)'!S392+"h_l!%&amp;0"</f>
        <v>#VALUE!</v>
      </c>
      <c r="GV63" t="e">
        <f>'SurveyRpt_20150223 (1)'!T392+"h_l!%&amp;1"</f>
        <v>#VALUE!</v>
      </c>
      <c r="GW63" t="e">
        <f>'SurveyRpt_20150223 (1)'!U392+"h_l!%&amp;2"</f>
        <v>#VALUE!</v>
      </c>
      <c r="GX63" t="e">
        <f>'SurveyRpt_20150223 (1)'!V392+"h_l!%&amp;3"</f>
        <v>#VALUE!</v>
      </c>
      <c r="GY63" t="e">
        <f>'SurveyRpt_20150223 (1)'!W392+"h_l!%&amp;4"</f>
        <v>#VALUE!</v>
      </c>
      <c r="GZ63" t="e">
        <f>'SurveyRpt_20150223 (1)'!X392+"h_l!%&amp;5"</f>
        <v>#VALUE!</v>
      </c>
      <c r="HA63" t="e">
        <f>'SurveyRpt_20150223 (1)'!Y392+"h_l!%&amp;6"</f>
        <v>#VALUE!</v>
      </c>
      <c r="HB63" t="e">
        <f>'SurveyRpt_20150223 (1)'!Z392+"h_l!%&amp;7"</f>
        <v>#VALUE!</v>
      </c>
      <c r="HC63" t="e">
        <f>'SurveyRpt_20150223 (1)'!AA392+"h_l!%&amp;8"</f>
        <v>#VALUE!</v>
      </c>
      <c r="HD63" t="e">
        <f>'SurveyRpt_20150223 (1)'!AB392+"h_l!%&amp;9"</f>
        <v>#VALUE!</v>
      </c>
      <c r="HE63" t="e">
        <f>'SurveyRpt_20150223 (1)'!AC392+"h_l!%&amp;:"</f>
        <v>#VALUE!</v>
      </c>
      <c r="HF63" t="e">
        <f>'SurveyRpt_20150223 (1)'!AD392+"h_l!%&amp;;"</f>
        <v>#VALUE!</v>
      </c>
      <c r="HG63" t="e">
        <f>'SurveyRpt_20150223 (1)'!AE392+"h_l!%&amp;&lt;"</f>
        <v>#VALUE!</v>
      </c>
      <c r="HH63" t="e">
        <f>'SurveyRpt_20150223 (1)'!AF392+"h_l!%&amp;="</f>
        <v>#VALUE!</v>
      </c>
      <c r="HI63" t="e">
        <f>'SurveyRpt_20150223 (1)'!AG392+"h_l!%&amp;&gt;"</f>
        <v>#VALUE!</v>
      </c>
      <c r="HJ63" t="e">
        <f>'SurveyRpt_20150223 (1)'!AH392+"h_l!%&amp;?"</f>
        <v>#VALUE!</v>
      </c>
      <c r="HK63" t="e">
        <f>'SurveyRpt_20150223 (1)'!AI392+"h_l!%&amp;@"</f>
        <v>#VALUE!</v>
      </c>
      <c r="HL63" t="e">
        <f>'SurveyRpt_20150223 (1)'!AJ392+"h_l!%&amp;A"</f>
        <v>#VALUE!</v>
      </c>
      <c r="HM63" t="e">
        <f>'SurveyRpt_20150223 (1)'!AK392+"h_l!%&amp;B"</f>
        <v>#VALUE!</v>
      </c>
      <c r="HN63" t="e">
        <f>'SurveyRpt_20150223 (1)'!AL392+"h_l!%&amp;C"</f>
        <v>#VALUE!</v>
      </c>
      <c r="HO63" t="e">
        <f>'SurveyRpt_20150223 (1)'!AM392+"h_l!%&amp;D"</f>
        <v>#VALUE!</v>
      </c>
      <c r="HP63" t="e">
        <f>'SurveyRpt_20150223 (1)'!AN392+"h_l!%&amp;E"</f>
        <v>#VALUE!</v>
      </c>
      <c r="HQ63" t="e">
        <f>'SurveyRpt_20150223 (1)'!A393+"h_l!%&amp;F"</f>
        <v>#VALUE!</v>
      </c>
      <c r="HR63" s="25" t="e">
        <f>'SurveyRpt_20150223 (1)'!B393+"h_l!%&amp;G"</f>
        <v>#VALUE!</v>
      </c>
      <c r="HS63" t="e">
        <f>'SurveyRpt_20150223 (1)'!C393+"h_l!%&amp;H"</f>
        <v>#VALUE!</v>
      </c>
      <c r="HT63" s="25" t="e">
        <f>'SurveyRpt_20150223 (1)'!D393+"h_l!%&amp;I"</f>
        <v>#VALUE!</v>
      </c>
      <c r="HU63" t="e">
        <f>'SurveyRpt_20150223 (1)'!E393+"h_l!%&amp;J"</f>
        <v>#VALUE!</v>
      </c>
      <c r="HV63" t="e">
        <f>'SurveyRpt_20150223 (1)'!F393+"h_l!%&amp;K"</f>
        <v>#VALUE!</v>
      </c>
      <c r="HW63" t="e">
        <f>'SurveyRpt_20150223 (1)'!G393+"h_l!%&amp;L"</f>
        <v>#VALUE!</v>
      </c>
      <c r="HX63" t="e">
        <f>'SurveyRpt_20150223 (1)'!H393+"h_l!%&amp;M"</f>
        <v>#VALUE!</v>
      </c>
      <c r="HY63" t="e">
        <f>'SurveyRpt_20150223 (1)'!I393+"h_l!%&amp;N"</f>
        <v>#VALUE!</v>
      </c>
      <c r="HZ63" t="e">
        <f>'SurveyRpt_20150223 (1)'!J393+"h_l!%&amp;O"</f>
        <v>#VALUE!</v>
      </c>
      <c r="IA63" t="e">
        <f>'SurveyRpt_20150223 (1)'!K393+"h_l!%&amp;P"</f>
        <v>#VALUE!</v>
      </c>
      <c r="IB63" t="e">
        <f>'SurveyRpt_20150223 (1)'!L393+"h_l!%&amp;Q"</f>
        <v>#VALUE!</v>
      </c>
      <c r="IC63" t="e">
        <f>'SurveyRpt_20150223 (1)'!M393+"h_l!%&amp;R"</f>
        <v>#VALUE!</v>
      </c>
      <c r="ID63" t="e">
        <f>'SurveyRpt_20150223 (1)'!N393+"h_l!%&amp;S"</f>
        <v>#VALUE!</v>
      </c>
      <c r="IE63" t="e">
        <f>'SurveyRpt_20150223 (1)'!O393+"h_l!%&amp;T"</f>
        <v>#VALUE!</v>
      </c>
      <c r="IF63" t="e">
        <f>'SurveyRpt_20150223 (1)'!P393+"h_l!%&amp;U"</f>
        <v>#VALUE!</v>
      </c>
      <c r="IG63" t="e">
        <f>'SurveyRpt_20150223 (1)'!Q393+"h_l!%&amp;V"</f>
        <v>#VALUE!</v>
      </c>
      <c r="IH63" t="e">
        <f>'SurveyRpt_20150223 (1)'!R393+"h_l!%&amp;W"</f>
        <v>#VALUE!</v>
      </c>
      <c r="II63" t="e">
        <f>'SurveyRpt_20150223 (1)'!S393+"h_l!%&amp;X"</f>
        <v>#VALUE!</v>
      </c>
      <c r="IJ63" t="e">
        <f>'SurveyRpt_20150223 (1)'!T393+"h_l!%&amp;Y"</f>
        <v>#VALUE!</v>
      </c>
      <c r="IK63" t="e">
        <f>'SurveyRpt_20150223 (1)'!U393+"h_l!%&amp;Z"</f>
        <v>#VALUE!</v>
      </c>
      <c r="IL63" t="e">
        <f>'SurveyRpt_20150223 (1)'!V393+"h_l!%&amp;["</f>
        <v>#VALUE!</v>
      </c>
      <c r="IM63" t="e">
        <f>'SurveyRpt_20150223 (1)'!W393+"h_l!%&amp;\"</f>
        <v>#VALUE!</v>
      </c>
      <c r="IN63" t="e">
        <f>'SurveyRpt_20150223 (1)'!X393+"h_l!%&amp;]"</f>
        <v>#VALUE!</v>
      </c>
      <c r="IO63" t="e">
        <f>'SurveyRpt_20150223 (1)'!Y393+"h_l!%&amp;^"</f>
        <v>#VALUE!</v>
      </c>
      <c r="IP63" t="e">
        <f>'SurveyRpt_20150223 (1)'!Z393+"h_l!%&amp;_"</f>
        <v>#VALUE!</v>
      </c>
      <c r="IQ63" t="e">
        <f>'SurveyRpt_20150223 (1)'!AA393+"h_l!%&amp;`"</f>
        <v>#VALUE!</v>
      </c>
      <c r="IR63" t="e">
        <f>'SurveyRpt_20150223 (1)'!AB393+"h_l!%&amp;a"</f>
        <v>#VALUE!</v>
      </c>
      <c r="IS63" t="e">
        <f>'SurveyRpt_20150223 (1)'!AC393+"h_l!%&amp;b"</f>
        <v>#VALUE!</v>
      </c>
      <c r="IT63" t="e">
        <f>'SurveyRpt_20150223 (1)'!AD393+"h_l!%&amp;c"</f>
        <v>#VALUE!</v>
      </c>
      <c r="IU63" t="e">
        <f>'SurveyRpt_20150223 (1)'!AE393+"h_l!%&amp;d"</f>
        <v>#VALUE!</v>
      </c>
      <c r="IV63" t="e">
        <f>'SurveyRpt_20150223 (1)'!AF393+"h_l!%&amp;e"</f>
        <v>#VALUE!</v>
      </c>
    </row>
    <row r="64" spans="6:256" x14ac:dyDescent="0.25">
      <c r="F64" t="e">
        <f>'SurveyRpt_20150223 (1)'!AG393+"h_l!%&amp;f"</f>
        <v>#VALUE!</v>
      </c>
      <c r="G64" t="e">
        <f>'SurveyRpt_20150223 (1)'!AH393+"h_l!%&amp;g"</f>
        <v>#VALUE!</v>
      </c>
      <c r="H64" t="e">
        <f>'SurveyRpt_20150223 (1)'!AI393+"h_l!%&amp;h"</f>
        <v>#VALUE!</v>
      </c>
      <c r="I64" t="e">
        <f>'SurveyRpt_20150223 (1)'!AJ393+"h_l!%&amp;i"</f>
        <v>#VALUE!</v>
      </c>
      <c r="J64" t="e">
        <f>'SurveyRpt_20150223 (1)'!AK393+"h_l!%&amp;j"</f>
        <v>#VALUE!</v>
      </c>
      <c r="K64" t="e">
        <f>'SurveyRpt_20150223 (1)'!AL393+"h_l!%&amp;k"</f>
        <v>#VALUE!</v>
      </c>
      <c r="L64" t="e">
        <f>'SurveyRpt_20150223 (1)'!AM393+"h_l!%&amp;l"</f>
        <v>#VALUE!</v>
      </c>
      <c r="M64" t="e">
        <f>'SurveyRpt_20150223 (1)'!AN393+"h_l!%&amp;m"</f>
        <v>#VALUE!</v>
      </c>
      <c r="N64" t="e">
        <f>'SurveyRpt_20150223 (1)'!A394+"h_l!%&amp;n"</f>
        <v>#VALUE!</v>
      </c>
      <c r="O64" s="25" t="e">
        <f>'SurveyRpt_20150223 (1)'!B394+"h_l!%&amp;o"</f>
        <v>#VALUE!</v>
      </c>
      <c r="P64" t="e">
        <f>'SurveyRpt_20150223 (1)'!C394+"h_l!%&amp;p"</f>
        <v>#VALUE!</v>
      </c>
      <c r="Q64" s="25" t="e">
        <f>'SurveyRpt_20150223 (1)'!D394+"h_l!%&amp;q"</f>
        <v>#VALUE!</v>
      </c>
      <c r="R64" t="e">
        <f>'SurveyRpt_20150223 (1)'!E394+"h_l!%&amp;r"</f>
        <v>#VALUE!</v>
      </c>
      <c r="S64" t="e">
        <f>'SurveyRpt_20150223 (1)'!F394+"h_l!%&amp;s"</f>
        <v>#VALUE!</v>
      </c>
      <c r="T64" t="e">
        <f>'SurveyRpt_20150223 (1)'!G394+"h_l!%&amp;t"</f>
        <v>#VALUE!</v>
      </c>
      <c r="U64" t="e">
        <f>'SurveyRpt_20150223 (1)'!H394+"h_l!%&amp;u"</f>
        <v>#VALUE!</v>
      </c>
      <c r="V64" t="e">
        <f>'SurveyRpt_20150223 (1)'!I394+"h_l!%&amp;v"</f>
        <v>#VALUE!</v>
      </c>
      <c r="W64" t="e">
        <f>'SurveyRpt_20150223 (1)'!J394+"h_l!%&amp;w"</f>
        <v>#VALUE!</v>
      </c>
      <c r="X64" t="e">
        <f>'SurveyRpt_20150223 (1)'!K394+"h_l!%&amp;x"</f>
        <v>#VALUE!</v>
      </c>
      <c r="Y64" t="e">
        <f>'SurveyRpt_20150223 (1)'!L394+"h_l!%&amp;y"</f>
        <v>#VALUE!</v>
      </c>
      <c r="Z64" t="e">
        <f>'SurveyRpt_20150223 (1)'!M394+"h_l!%&amp;z"</f>
        <v>#VALUE!</v>
      </c>
      <c r="AA64" t="e">
        <f>'SurveyRpt_20150223 (1)'!N394+"h_l!%&amp;{"</f>
        <v>#VALUE!</v>
      </c>
      <c r="AB64" t="e">
        <f>'SurveyRpt_20150223 (1)'!O394+"h_l!%&amp;|"</f>
        <v>#VALUE!</v>
      </c>
      <c r="AC64" t="e">
        <f>'SurveyRpt_20150223 (1)'!P394+"h_l!%&amp;}"</f>
        <v>#VALUE!</v>
      </c>
      <c r="AD64" t="e">
        <f>'SurveyRpt_20150223 (1)'!Q394+"h_l!%&amp;~"</f>
        <v>#VALUE!</v>
      </c>
      <c r="AE64" t="e">
        <f>'SurveyRpt_20150223 (1)'!R394+"h_l!%'#"</f>
        <v>#VALUE!</v>
      </c>
      <c r="AF64" t="e">
        <f>'SurveyRpt_20150223 (1)'!S394+"h_l!%'$"</f>
        <v>#VALUE!</v>
      </c>
      <c r="AG64" t="e">
        <f>'SurveyRpt_20150223 (1)'!T394+"h_l!%'%"</f>
        <v>#VALUE!</v>
      </c>
      <c r="AH64" t="e">
        <f>'SurveyRpt_20150223 (1)'!U394+"h_l!%'&amp;"</f>
        <v>#VALUE!</v>
      </c>
      <c r="AI64" t="e">
        <f>'SurveyRpt_20150223 (1)'!V394+"h_l!%''"</f>
        <v>#VALUE!</v>
      </c>
      <c r="AJ64" t="e">
        <f>'SurveyRpt_20150223 (1)'!W394+"h_l!%'("</f>
        <v>#VALUE!</v>
      </c>
      <c r="AK64" t="e">
        <f>'SurveyRpt_20150223 (1)'!X394+"h_l!%')"</f>
        <v>#VALUE!</v>
      </c>
      <c r="AL64" t="e">
        <f>'SurveyRpt_20150223 (1)'!Y394+"h_l!%'."</f>
        <v>#VALUE!</v>
      </c>
      <c r="AM64" t="e">
        <f>'SurveyRpt_20150223 (1)'!Z394+"h_l!%'/"</f>
        <v>#VALUE!</v>
      </c>
      <c r="AN64" t="e">
        <f>'SurveyRpt_20150223 (1)'!AA394+"h_l!%'0"</f>
        <v>#VALUE!</v>
      </c>
      <c r="AO64" t="e">
        <f>'SurveyRpt_20150223 (1)'!AB394+"h_l!%'1"</f>
        <v>#VALUE!</v>
      </c>
      <c r="AP64" t="e">
        <f>'SurveyRpt_20150223 (1)'!AC394+"h_l!%'2"</f>
        <v>#VALUE!</v>
      </c>
      <c r="AQ64" t="e">
        <f>'SurveyRpt_20150223 (1)'!AD394+"h_l!%'3"</f>
        <v>#VALUE!</v>
      </c>
      <c r="AR64" t="e">
        <f>'SurveyRpt_20150223 (1)'!AE394+"h_l!%'4"</f>
        <v>#VALUE!</v>
      </c>
      <c r="AS64" t="e">
        <f>'SurveyRpt_20150223 (1)'!AF394+"h_l!%'5"</f>
        <v>#VALUE!</v>
      </c>
      <c r="AT64" t="e">
        <f>'SurveyRpt_20150223 (1)'!AG394+"h_l!%'6"</f>
        <v>#VALUE!</v>
      </c>
      <c r="AU64" t="e">
        <f>'SurveyRpt_20150223 (1)'!AH394+"h_l!%'7"</f>
        <v>#VALUE!</v>
      </c>
      <c r="AV64" t="e">
        <f>'SurveyRpt_20150223 (1)'!AI394+"h_l!%'8"</f>
        <v>#VALUE!</v>
      </c>
      <c r="AW64" t="e">
        <f>'SurveyRpt_20150223 (1)'!AJ394+"h_l!%'9"</f>
        <v>#VALUE!</v>
      </c>
      <c r="AX64" t="e">
        <f>'SurveyRpt_20150223 (1)'!AK394+"h_l!%':"</f>
        <v>#VALUE!</v>
      </c>
      <c r="AY64" t="e">
        <f>'SurveyRpt_20150223 (1)'!AL394+"h_l!%';"</f>
        <v>#VALUE!</v>
      </c>
      <c r="AZ64" t="e">
        <f>'SurveyRpt_20150223 (1)'!AM394+"h_l!%'&lt;"</f>
        <v>#VALUE!</v>
      </c>
      <c r="BA64" t="e">
        <f>'SurveyRpt_20150223 (1)'!AN394+"h_l!%'="</f>
        <v>#VALUE!</v>
      </c>
      <c r="BB64" t="e">
        <f>'SurveyRpt_20150223 (1)'!A395+"h_l!%'&gt;"</f>
        <v>#VALUE!</v>
      </c>
      <c r="BC64" s="25" t="e">
        <f>'SurveyRpt_20150223 (1)'!B395+"h_l!%'?"</f>
        <v>#VALUE!</v>
      </c>
      <c r="BD64" t="e">
        <f>'SurveyRpt_20150223 (1)'!C395+"h_l!%'@"</f>
        <v>#VALUE!</v>
      </c>
      <c r="BE64" s="25" t="e">
        <f>'SurveyRpt_20150223 (1)'!D395+"h_l!%'A"</f>
        <v>#VALUE!</v>
      </c>
      <c r="BF64" t="e">
        <f>'SurveyRpt_20150223 (1)'!E395+"h_l!%'B"</f>
        <v>#VALUE!</v>
      </c>
      <c r="BG64" t="e">
        <f>'SurveyRpt_20150223 (1)'!F395+"h_l!%'C"</f>
        <v>#VALUE!</v>
      </c>
      <c r="BH64" t="e">
        <f>'SurveyRpt_20150223 (1)'!G395+"h_l!%'D"</f>
        <v>#VALUE!</v>
      </c>
      <c r="BI64" t="e">
        <f>'SurveyRpt_20150223 (1)'!H395+"h_l!%'E"</f>
        <v>#VALUE!</v>
      </c>
      <c r="BJ64" t="e">
        <f>'SurveyRpt_20150223 (1)'!I395+"h_l!%'F"</f>
        <v>#VALUE!</v>
      </c>
      <c r="BK64" t="e">
        <f>'SurveyRpt_20150223 (1)'!J395+"h_l!%'G"</f>
        <v>#VALUE!</v>
      </c>
      <c r="BL64" t="e">
        <f>'SurveyRpt_20150223 (1)'!K395+"h_l!%'H"</f>
        <v>#VALUE!</v>
      </c>
      <c r="BM64" t="e">
        <f>'SurveyRpt_20150223 (1)'!L395+"h_l!%'I"</f>
        <v>#VALUE!</v>
      </c>
      <c r="BN64" t="e">
        <f>'SurveyRpt_20150223 (1)'!M395+"h_l!%'J"</f>
        <v>#VALUE!</v>
      </c>
      <c r="BO64" t="e">
        <f>'SurveyRpt_20150223 (1)'!N395+"h_l!%'K"</f>
        <v>#VALUE!</v>
      </c>
      <c r="BP64" t="e">
        <f>'SurveyRpt_20150223 (1)'!O395+"h_l!%'L"</f>
        <v>#VALUE!</v>
      </c>
      <c r="BQ64" t="e">
        <f>'SurveyRpt_20150223 (1)'!P395+"h_l!%'M"</f>
        <v>#VALUE!</v>
      </c>
      <c r="BR64" t="e">
        <f>'SurveyRpt_20150223 (1)'!Q395+"h_l!%'N"</f>
        <v>#VALUE!</v>
      </c>
      <c r="BS64" t="e">
        <f>'SurveyRpt_20150223 (1)'!R395+"h_l!%'O"</f>
        <v>#VALUE!</v>
      </c>
      <c r="BT64" t="e">
        <f>'SurveyRpt_20150223 (1)'!S395+"h_l!%'P"</f>
        <v>#VALUE!</v>
      </c>
      <c r="BU64" t="e">
        <f>'SurveyRpt_20150223 (1)'!T395+"h_l!%'Q"</f>
        <v>#VALUE!</v>
      </c>
      <c r="BV64" t="e">
        <f>'SurveyRpt_20150223 (1)'!U395+"h_l!%'R"</f>
        <v>#VALUE!</v>
      </c>
      <c r="BW64" t="e">
        <f>'SurveyRpt_20150223 (1)'!V395+"h_l!%'S"</f>
        <v>#VALUE!</v>
      </c>
      <c r="BX64" t="e">
        <f>'SurveyRpt_20150223 (1)'!W395+"h_l!%'T"</f>
        <v>#VALUE!</v>
      </c>
      <c r="BY64" t="e">
        <f>'SurveyRpt_20150223 (1)'!X395+"h_l!%'U"</f>
        <v>#VALUE!</v>
      </c>
      <c r="BZ64" t="e">
        <f>'SurveyRpt_20150223 (1)'!Y395+"h_l!%'V"</f>
        <v>#VALUE!</v>
      </c>
      <c r="CA64" t="e">
        <f>'SurveyRpt_20150223 (1)'!Z395+"h_l!%'W"</f>
        <v>#VALUE!</v>
      </c>
      <c r="CB64" t="e">
        <f>'SurveyRpt_20150223 (1)'!AA395+"h_l!%'X"</f>
        <v>#VALUE!</v>
      </c>
      <c r="CC64" t="e">
        <f>'SurveyRpt_20150223 (1)'!AB395+"h_l!%'Y"</f>
        <v>#VALUE!</v>
      </c>
      <c r="CD64" t="e">
        <f>'SurveyRpt_20150223 (1)'!AC395+"h_l!%'Z"</f>
        <v>#VALUE!</v>
      </c>
      <c r="CE64" t="e">
        <f>'SurveyRpt_20150223 (1)'!AD395+"h_l!%'["</f>
        <v>#VALUE!</v>
      </c>
      <c r="CF64" t="e">
        <f>'SurveyRpt_20150223 (1)'!AE395+"h_l!%'\"</f>
        <v>#VALUE!</v>
      </c>
      <c r="CG64" t="e">
        <f>'SurveyRpt_20150223 (1)'!AF395+"h_l!%']"</f>
        <v>#VALUE!</v>
      </c>
      <c r="CH64" t="e">
        <f>'SurveyRpt_20150223 (1)'!AG395+"h_l!%'^"</f>
        <v>#VALUE!</v>
      </c>
      <c r="CI64" t="e">
        <f>'SurveyRpt_20150223 (1)'!AH395+"h_l!%'_"</f>
        <v>#VALUE!</v>
      </c>
      <c r="CJ64" t="e">
        <f>'SurveyRpt_20150223 (1)'!AI395+"h_l!%'`"</f>
        <v>#VALUE!</v>
      </c>
      <c r="CK64" t="e">
        <f>'SurveyRpt_20150223 (1)'!AJ395+"h_l!%'a"</f>
        <v>#VALUE!</v>
      </c>
      <c r="CL64" t="e">
        <f>'SurveyRpt_20150223 (1)'!AK395+"h_l!%'b"</f>
        <v>#VALUE!</v>
      </c>
      <c r="CM64" t="e">
        <f>'SurveyRpt_20150223 (1)'!AL395+"h_l!%'c"</f>
        <v>#VALUE!</v>
      </c>
      <c r="CN64" t="e">
        <f>'SurveyRpt_20150223 (1)'!AM395+"h_l!%'d"</f>
        <v>#VALUE!</v>
      </c>
      <c r="CO64" t="e">
        <f>'SurveyRpt_20150223 (1)'!AN395+"h_l!%'e"</f>
        <v>#VALUE!</v>
      </c>
      <c r="CP64" t="e">
        <f>'SurveyRpt_20150223 (1)'!A396+"h_l!%'f"</f>
        <v>#VALUE!</v>
      </c>
      <c r="CQ64" s="25" t="e">
        <f>'SurveyRpt_20150223 (1)'!B396+"h_l!%'g"</f>
        <v>#VALUE!</v>
      </c>
      <c r="CR64" t="e">
        <f>'SurveyRpt_20150223 (1)'!C396+"h_l!%'h"</f>
        <v>#VALUE!</v>
      </c>
      <c r="CS64" s="25" t="e">
        <f>'SurveyRpt_20150223 (1)'!D396+"h_l!%'i"</f>
        <v>#VALUE!</v>
      </c>
      <c r="CT64" t="e">
        <f>'SurveyRpt_20150223 (1)'!E396+"h_l!%'j"</f>
        <v>#VALUE!</v>
      </c>
      <c r="CU64" t="e">
        <f>'SurveyRpt_20150223 (1)'!F396+"h_l!%'k"</f>
        <v>#VALUE!</v>
      </c>
      <c r="CV64" t="e">
        <f>'SurveyRpt_20150223 (1)'!G396+"h_l!%'l"</f>
        <v>#VALUE!</v>
      </c>
      <c r="CW64" t="e">
        <f>'SurveyRpt_20150223 (1)'!H396+"h_l!%'m"</f>
        <v>#VALUE!</v>
      </c>
      <c r="CX64" t="e">
        <f>'SurveyRpt_20150223 (1)'!I396+"h_l!%'n"</f>
        <v>#VALUE!</v>
      </c>
      <c r="CY64" t="e">
        <f>'SurveyRpt_20150223 (1)'!J396+"h_l!%'o"</f>
        <v>#VALUE!</v>
      </c>
      <c r="CZ64" t="e">
        <f>'SurveyRpt_20150223 (1)'!K396+"h_l!%'p"</f>
        <v>#VALUE!</v>
      </c>
      <c r="DA64" t="e">
        <f>'SurveyRpt_20150223 (1)'!L396+"h_l!%'q"</f>
        <v>#VALUE!</v>
      </c>
      <c r="DB64" t="e">
        <f>'SurveyRpt_20150223 (1)'!M396+"h_l!%'r"</f>
        <v>#VALUE!</v>
      </c>
      <c r="DC64" t="e">
        <f>'SurveyRpt_20150223 (1)'!N396+"h_l!%'s"</f>
        <v>#VALUE!</v>
      </c>
      <c r="DD64" t="e">
        <f>'SurveyRpt_20150223 (1)'!O396+"h_l!%'t"</f>
        <v>#VALUE!</v>
      </c>
      <c r="DE64" t="e">
        <f>'SurveyRpt_20150223 (1)'!P396+"h_l!%'u"</f>
        <v>#VALUE!</v>
      </c>
      <c r="DF64" t="e">
        <f>'SurveyRpt_20150223 (1)'!Q396+"h_l!%'v"</f>
        <v>#VALUE!</v>
      </c>
      <c r="DG64" t="e">
        <f>'SurveyRpt_20150223 (1)'!R396+"h_l!%'w"</f>
        <v>#VALUE!</v>
      </c>
      <c r="DH64" t="e">
        <f>'SurveyRpt_20150223 (1)'!S396+"h_l!%'x"</f>
        <v>#VALUE!</v>
      </c>
      <c r="DI64" t="e">
        <f>'SurveyRpt_20150223 (1)'!T396+"h_l!%'y"</f>
        <v>#VALUE!</v>
      </c>
      <c r="DJ64" t="e">
        <f>'SurveyRpt_20150223 (1)'!U396+"h_l!%'z"</f>
        <v>#VALUE!</v>
      </c>
      <c r="DK64" t="e">
        <f>'SurveyRpt_20150223 (1)'!V396+"h_l!%'{"</f>
        <v>#VALUE!</v>
      </c>
      <c r="DL64" t="e">
        <f>'SurveyRpt_20150223 (1)'!W396+"h_l!%'|"</f>
        <v>#VALUE!</v>
      </c>
      <c r="DM64" t="e">
        <f>'SurveyRpt_20150223 (1)'!X396+"h_l!%'}"</f>
        <v>#VALUE!</v>
      </c>
      <c r="DN64" t="e">
        <f>'SurveyRpt_20150223 (1)'!Y396+"h_l!%'~"</f>
        <v>#VALUE!</v>
      </c>
      <c r="DO64" t="e">
        <f>'SurveyRpt_20150223 (1)'!Z396+"h_l!%(#"</f>
        <v>#VALUE!</v>
      </c>
      <c r="DP64" t="e">
        <f>'SurveyRpt_20150223 (1)'!AA396+"h_l!%($"</f>
        <v>#VALUE!</v>
      </c>
      <c r="DQ64" t="e">
        <f>'SurveyRpt_20150223 (1)'!AB396+"h_l!%(%"</f>
        <v>#VALUE!</v>
      </c>
      <c r="DR64" t="e">
        <f>'SurveyRpt_20150223 (1)'!AC396+"h_l!%(&amp;"</f>
        <v>#VALUE!</v>
      </c>
      <c r="DS64" t="e">
        <f>'SurveyRpt_20150223 (1)'!AD396+"h_l!%('"</f>
        <v>#VALUE!</v>
      </c>
      <c r="DT64" t="e">
        <f>'SurveyRpt_20150223 (1)'!AE396+"h_l!%(("</f>
        <v>#VALUE!</v>
      </c>
      <c r="DU64" t="e">
        <f>'SurveyRpt_20150223 (1)'!AF396+"h_l!%()"</f>
        <v>#VALUE!</v>
      </c>
      <c r="DV64" t="e">
        <f>'SurveyRpt_20150223 (1)'!AG396+"h_l!%(."</f>
        <v>#VALUE!</v>
      </c>
      <c r="DW64" t="e">
        <f>'SurveyRpt_20150223 (1)'!AH396+"h_l!%(/"</f>
        <v>#VALUE!</v>
      </c>
      <c r="DX64" t="e">
        <f>'SurveyRpt_20150223 (1)'!AI396+"h_l!%(0"</f>
        <v>#VALUE!</v>
      </c>
      <c r="DY64" t="e">
        <f>'SurveyRpt_20150223 (1)'!AJ396+"h_l!%(1"</f>
        <v>#VALUE!</v>
      </c>
      <c r="DZ64" t="e">
        <f>'SurveyRpt_20150223 (1)'!AK396+"h_l!%(2"</f>
        <v>#VALUE!</v>
      </c>
      <c r="EA64" t="e">
        <f>'SurveyRpt_20150223 (1)'!AL396+"h_l!%(3"</f>
        <v>#VALUE!</v>
      </c>
      <c r="EB64" t="e">
        <f>'SurveyRpt_20150223 (1)'!AM396+"h_l!%(4"</f>
        <v>#VALUE!</v>
      </c>
      <c r="EC64" t="e">
        <f>'SurveyRpt_20150223 (1)'!AN396+"h_l!%(5"</f>
        <v>#VALUE!</v>
      </c>
      <c r="ED64" t="e">
        <f>'SurveyRpt_20150223 (1)'!A397+"h_l!%(6"</f>
        <v>#VALUE!</v>
      </c>
      <c r="EE64" s="25" t="e">
        <f>'SurveyRpt_20150223 (1)'!B397+"h_l!%(7"</f>
        <v>#VALUE!</v>
      </c>
      <c r="EF64" t="e">
        <f>'SurveyRpt_20150223 (1)'!C397+"h_l!%(8"</f>
        <v>#VALUE!</v>
      </c>
      <c r="EG64" s="25" t="e">
        <f>'SurveyRpt_20150223 (1)'!D397+"h_l!%(9"</f>
        <v>#VALUE!</v>
      </c>
      <c r="EH64" t="e">
        <f>'SurveyRpt_20150223 (1)'!E397+"h_l!%(:"</f>
        <v>#VALUE!</v>
      </c>
      <c r="EI64" t="e">
        <f>'SurveyRpt_20150223 (1)'!F397+"h_l!%(;"</f>
        <v>#VALUE!</v>
      </c>
      <c r="EJ64" t="e">
        <f>'SurveyRpt_20150223 (1)'!G397+"h_l!%(&lt;"</f>
        <v>#VALUE!</v>
      </c>
      <c r="EK64" t="e">
        <f>'SurveyRpt_20150223 (1)'!H397+"h_l!%(="</f>
        <v>#VALUE!</v>
      </c>
      <c r="EL64" t="e">
        <f>'SurveyRpt_20150223 (1)'!I397+"h_l!%(&gt;"</f>
        <v>#VALUE!</v>
      </c>
      <c r="EM64" t="e">
        <f>'SurveyRpt_20150223 (1)'!J397+"h_l!%(?"</f>
        <v>#VALUE!</v>
      </c>
      <c r="EN64" t="e">
        <f>'SurveyRpt_20150223 (1)'!K397+"h_l!%(@"</f>
        <v>#VALUE!</v>
      </c>
      <c r="EO64" t="e">
        <f>'SurveyRpt_20150223 (1)'!L397+"h_l!%(A"</f>
        <v>#VALUE!</v>
      </c>
      <c r="EP64" t="e">
        <f>'SurveyRpt_20150223 (1)'!M397+"h_l!%(B"</f>
        <v>#VALUE!</v>
      </c>
      <c r="EQ64" t="e">
        <f>'SurveyRpt_20150223 (1)'!N397+"h_l!%(C"</f>
        <v>#VALUE!</v>
      </c>
      <c r="ER64" t="e">
        <f>'SurveyRpt_20150223 (1)'!O397+"h_l!%(D"</f>
        <v>#VALUE!</v>
      </c>
      <c r="ES64" t="e">
        <f>'SurveyRpt_20150223 (1)'!P397+"h_l!%(E"</f>
        <v>#VALUE!</v>
      </c>
      <c r="ET64" t="e">
        <f>'SurveyRpt_20150223 (1)'!Q397+"h_l!%(F"</f>
        <v>#VALUE!</v>
      </c>
      <c r="EU64" t="e">
        <f>'SurveyRpt_20150223 (1)'!R397+"h_l!%(G"</f>
        <v>#VALUE!</v>
      </c>
      <c r="EV64" t="e">
        <f>'SurveyRpt_20150223 (1)'!S397+"h_l!%(H"</f>
        <v>#VALUE!</v>
      </c>
      <c r="EW64" t="e">
        <f>'SurveyRpt_20150223 (1)'!T397+"h_l!%(I"</f>
        <v>#VALUE!</v>
      </c>
      <c r="EX64" t="e">
        <f>'SurveyRpt_20150223 (1)'!U397+"h_l!%(J"</f>
        <v>#VALUE!</v>
      </c>
      <c r="EY64" t="e">
        <f>'SurveyRpt_20150223 (1)'!V397+"h_l!%(K"</f>
        <v>#VALUE!</v>
      </c>
      <c r="EZ64" t="e">
        <f>'SurveyRpt_20150223 (1)'!W397+"h_l!%(L"</f>
        <v>#VALUE!</v>
      </c>
      <c r="FA64" t="e">
        <f>'SurveyRpt_20150223 (1)'!X397+"h_l!%(M"</f>
        <v>#VALUE!</v>
      </c>
      <c r="FB64" t="e">
        <f>'SurveyRpt_20150223 (1)'!Y397+"h_l!%(N"</f>
        <v>#VALUE!</v>
      </c>
      <c r="FC64" t="e">
        <f>'SurveyRpt_20150223 (1)'!Z397+"h_l!%(O"</f>
        <v>#VALUE!</v>
      </c>
      <c r="FD64" t="e">
        <f>'SurveyRpt_20150223 (1)'!AA397+"h_l!%(P"</f>
        <v>#VALUE!</v>
      </c>
      <c r="FE64" t="e">
        <f>'SurveyRpt_20150223 (1)'!AB397+"h_l!%(Q"</f>
        <v>#VALUE!</v>
      </c>
      <c r="FF64" t="e">
        <f>'SurveyRpt_20150223 (1)'!AC397+"h_l!%(R"</f>
        <v>#VALUE!</v>
      </c>
      <c r="FG64" t="e">
        <f>'SurveyRpt_20150223 (1)'!AD397+"h_l!%(S"</f>
        <v>#VALUE!</v>
      </c>
      <c r="FH64" t="e">
        <f>'SurveyRpt_20150223 (1)'!AE397+"h_l!%(T"</f>
        <v>#VALUE!</v>
      </c>
      <c r="FI64" t="e">
        <f>'SurveyRpt_20150223 (1)'!AF397+"h_l!%(U"</f>
        <v>#VALUE!</v>
      </c>
      <c r="FJ64" t="e">
        <f>'SurveyRpt_20150223 (1)'!AG397+"h_l!%(V"</f>
        <v>#VALUE!</v>
      </c>
      <c r="FK64" t="e">
        <f>'SurveyRpt_20150223 (1)'!AH397+"h_l!%(W"</f>
        <v>#VALUE!</v>
      </c>
      <c r="FL64" t="e">
        <f>'SurveyRpt_20150223 (1)'!AI397+"h_l!%(X"</f>
        <v>#VALUE!</v>
      </c>
      <c r="FM64" t="e">
        <f>'SurveyRpt_20150223 (1)'!AJ397+"h_l!%(Y"</f>
        <v>#VALUE!</v>
      </c>
      <c r="FN64" t="e">
        <f>'SurveyRpt_20150223 (1)'!AK397+"h_l!%(Z"</f>
        <v>#VALUE!</v>
      </c>
      <c r="FO64" t="e">
        <f>'SurveyRpt_20150223 (1)'!AL397+"h_l!%(["</f>
        <v>#VALUE!</v>
      </c>
      <c r="FP64" t="e">
        <f>'SurveyRpt_20150223 (1)'!AM397+"h_l!%(\"</f>
        <v>#VALUE!</v>
      </c>
      <c r="FQ64" t="e">
        <f>'SurveyRpt_20150223 (1)'!AN397+"h_l!%(]"</f>
        <v>#VALUE!</v>
      </c>
      <c r="FR64" t="e">
        <f>'SurveyRpt_20150223 (1)'!A398+"h_l!%(^"</f>
        <v>#VALUE!</v>
      </c>
      <c r="FS64" s="25" t="e">
        <f>'SurveyRpt_20150223 (1)'!B398+"h_l!%(_"</f>
        <v>#VALUE!</v>
      </c>
      <c r="FT64" t="e">
        <f>'SurveyRpt_20150223 (1)'!C398+"h_l!%(`"</f>
        <v>#VALUE!</v>
      </c>
      <c r="FU64" s="25" t="e">
        <f>'SurveyRpt_20150223 (1)'!D398+"h_l!%(a"</f>
        <v>#VALUE!</v>
      </c>
      <c r="FV64" t="e">
        <f>'SurveyRpt_20150223 (1)'!E398+"h_l!%(b"</f>
        <v>#VALUE!</v>
      </c>
      <c r="FW64" t="e">
        <f>'SurveyRpt_20150223 (1)'!F398+"h_l!%(c"</f>
        <v>#VALUE!</v>
      </c>
      <c r="FX64" t="e">
        <f>'SurveyRpt_20150223 (1)'!G398+"h_l!%(d"</f>
        <v>#VALUE!</v>
      </c>
      <c r="FY64" t="e">
        <f>'SurveyRpt_20150223 (1)'!H398+"h_l!%(e"</f>
        <v>#VALUE!</v>
      </c>
      <c r="FZ64" t="e">
        <f>'SurveyRpt_20150223 (1)'!I398+"h_l!%(f"</f>
        <v>#VALUE!</v>
      </c>
      <c r="GA64" t="e">
        <f>'SurveyRpt_20150223 (1)'!J398+"h_l!%(g"</f>
        <v>#VALUE!</v>
      </c>
      <c r="GB64" t="e">
        <f>'SurveyRpt_20150223 (1)'!K398+"h_l!%(h"</f>
        <v>#VALUE!</v>
      </c>
      <c r="GC64" t="e">
        <f>'SurveyRpt_20150223 (1)'!L398+"h_l!%(i"</f>
        <v>#VALUE!</v>
      </c>
      <c r="GD64" t="e">
        <f>'SurveyRpt_20150223 (1)'!M398+"h_l!%(j"</f>
        <v>#VALUE!</v>
      </c>
      <c r="GE64" t="e">
        <f>'SurveyRpt_20150223 (1)'!N398+"h_l!%(k"</f>
        <v>#VALUE!</v>
      </c>
      <c r="GF64" t="e">
        <f>'SurveyRpt_20150223 (1)'!O398+"h_l!%(l"</f>
        <v>#VALUE!</v>
      </c>
      <c r="GG64" t="e">
        <f>'SurveyRpt_20150223 (1)'!P398+"h_l!%(m"</f>
        <v>#VALUE!</v>
      </c>
      <c r="GH64" t="e">
        <f>'SurveyRpt_20150223 (1)'!Q398+"h_l!%(n"</f>
        <v>#VALUE!</v>
      </c>
      <c r="GI64" t="e">
        <f>'SurveyRpt_20150223 (1)'!R398+"h_l!%(o"</f>
        <v>#VALUE!</v>
      </c>
      <c r="GJ64" t="e">
        <f>'SurveyRpt_20150223 (1)'!S398+"h_l!%(p"</f>
        <v>#VALUE!</v>
      </c>
      <c r="GK64" t="e">
        <f>'SurveyRpt_20150223 (1)'!T398+"h_l!%(q"</f>
        <v>#VALUE!</v>
      </c>
      <c r="GL64" t="e">
        <f>'SurveyRpt_20150223 (1)'!U398+"h_l!%(r"</f>
        <v>#VALUE!</v>
      </c>
      <c r="GM64" t="e">
        <f>'SurveyRpt_20150223 (1)'!V398+"h_l!%(s"</f>
        <v>#VALUE!</v>
      </c>
      <c r="GN64" t="e">
        <f>'SurveyRpt_20150223 (1)'!W398+"h_l!%(t"</f>
        <v>#VALUE!</v>
      </c>
      <c r="GO64" t="e">
        <f>'SurveyRpt_20150223 (1)'!X398+"h_l!%(u"</f>
        <v>#VALUE!</v>
      </c>
      <c r="GP64" t="e">
        <f>'SurveyRpt_20150223 (1)'!Y398+"h_l!%(v"</f>
        <v>#VALUE!</v>
      </c>
      <c r="GQ64" t="e">
        <f>'SurveyRpt_20150223 (1)'!Z398+"h_l!%(w"</f>
        <v>#VALUE!</v>
      </c>
      <c r="GR64" t="e">
        <f>'SurveyRpt_20150223 (1)'!AA398+"h_l!%(x"</f>
        <v>#VALUE!</v>
      </c>
      <c r="GS64" t="e">
        <f>'SurveyRpt_20150223 (1)'!AB398+"h_l!%(y"</f>
        <v>#VALUE!</v>
      </c>
      <c r="GT64" t="e">
        <f>'SurveyRpt_20150223 (1)'!AC398+"h_l!%(z"</f>
        <v>#VALUE!</v>
      </c>
      <c r="GU64" t="e">
        <f>'SurveyRpt_20150223 (1)'!AD398+"h_l!%({"</f>
        <v>#VALUE!</v>
      </c>
      <c r="GV64" t="e">
        <f>'SurveyRpt_20150223 (1)'!AE398+"h_l!%(|"</f>
        <v>#VALUE!</v>
      </c>
      <c r="GW64" t="e">
        <f>'SurveyRpt_20150223 (1)'!AF398+"h_l!%(}"</f>
        <v>#VALUE!</v>
      </c>
      <c r="GX64" t="e">
        <f>'SurveyRpt_20150223 (1)'!AG398+"h_l!%(~"</f>
        <v>#VALUE!</v>
      </c>
      <c r="GY64" t="e">
        <f>'SurveyRpt_20150223 (1)'!AH398+"h_l!%)#"</f>
        <v>#VALUE!</v>
      </c>
      <c r="GZ64" t="e">
        <f>'SurveyRpt_20150223 (1)'!AI398+"h_l!%)$"</f>
        <v>#VALUE!</v>
      </c>
      <c r="HA64" t="e">
        <f>'SurveyRpt_20150223 (1)'!AJ398+"h_l!%)%"</f>
        <v>#VALUE!</v>
      </c>
      <c r="HB64" t="e">
        <f>'SurveyRpt_20150223 (1)'!AK398+"h_l!%)&amp;"</f>
        <v>#VALUE!</v>
      </c>
      <c r="HC64" t="e">
        <f>'SurveyRpt_20150223 (1)'!AL398+"h_l!%)'"</f>
        <v>#VALUE!</v>
      </c>
      <c r="HD64" t="e">
        <f>'SurveyRpt_20150223 (1)'!AM398+"h_l!%)("</f>
        <v>#VALUE!</v>
      </c>
      <c r="HE64" t="e">
        <f>'SurveyRpt_20150223 (1)'!AN398+"h_l!%))"</f>
        <v>#VALUE!</v>
      </c>
      <c r="HF64" t="e">
        <f>'SurveyRpt_20150223 (1)'!A399+"h_l!%)."</f>
        <v>#VALUE!</v>
      </c>
      <c r="HG64" s="25" t="e">
        <f>'SurveyRpt_20150223 (1)'!B399+"h_l!%)/"</f>
        <v>#VALUE!</v>
      </c>
      <c r="HH64" t="e">
        <f>'SurveyRpt_20150223 (1)'!C399+"h_l!%)0"</f>
        <v>#VALUE!</v>
      </c>
      <c r="HI64" s="25" t="e">
        <f>'SurveyRpt_20150223 (1)'!D399+"h_l!%)1"</f>
        <v>#VALUE!</v>
      </c>
      <c r="HJ64" t="e">
        <f>'SurveyRpt_20150223 (1)'!E399+"h_l!%)2"</f>
        <v>#VALUE!</v>
      </c>
      <c r="HK64" t="e">
        <f>'SurveyRpt_20150223 (1)'!F399+"h_l!%)3"</f>
        <v>#VALUE!</v>
      </c>
      <c r="HL64" t="e">
        <f>'SurveyRpt_20150223 (1)'!G399+"h_l!%)4"</f>
        <v>#VALUE!</v>
      </c>
      <c r="HM64" t="e">
        <f>'SurveyRpt_20150223 (1)'!H399+"h_l!%)5"</f>
        <v>#VALUE!</v>
      </c>
      <c r="HN64" t="e">
        <f>'SurveyRpt_20150223 (1)'!I399+"h_l!%)6"</f>
        <v>#VALUE!</v>
      </c>
      <c r="HO64" t="e">
        <f>'SurveyRpt_20150223 (1)'!J399+"h_l!%)7"</f>
        <v>#VALUE!</v>
      </c>
      <c r="HP64" t="e">
        <f>'SurveyRpt_20150223 (1)'!K399+"h_l!%)8"</f>
        <v>#VALUE!</v>
      </c>
      <c r="HQ64" t="e">
        <f>'SurveyRpt_20150223 (1)'!L399+"h_l!%)9"</f>
        <v>#VALUE!</v>
      </c>
      <c r="HR64" t="e">
        <f>'SurveyRpt_20150223 (1)'!M399+"h_l!%):"</f>
        <v>#VALUE!</v>
      </c>
      <c r="HS64" t="e">
        <f>'SurveyRpt_20150223 (1)'!N399+"h_l!%);"</f>
        <v>#VALUE!</v>
      </c>
      <c r="HT64" t="e">
        <f>'SurveyRpt_20150223 (1)'!O399+"h_l!%)&lt;"</f>
        <v>#VALUE!</v>
      </c>
      <c r="HU64" t="e">
        <f>'SurveyRpt_20150223 (1)'!P399+"h_l!%)="</f>
        <v>#VALUE!</v>
      </c>
      <c r="HV64" t="e">
        <f>'SurveyRpt_20150223 (1)'!Q399+"h_l!%)&gt;"</f>
        <v>#VALUE!</v>
      </c>
      <c r="HW64" t="e">
        <f>'SurveyRpt_20150223 (1)'!R399+"h_l!%)?"</f>
        <v>#VALUE!</v>
      </c>
      <c r="HX64" t="e">
        <f>'SurveyRpt_20150223 (1)'!S399+"h_l!%)@"</f>
        <v>#VALUE!</v>
      </c>
      <c r="HY64" t="e">
        <f>'SurveyRpt_20150223 (1)'!T399+"h_l!%)A"</f>
        <v>#VALUE!</v>
      </c>
      <c r="HZ64" t="e">
        <f>'SurveyRpt_20150223 (1)'!U399+"h_l!%)B"</f>
        <v>#VALUE!</v>
      </c>
      <c r="IA64" t="e">
        <f>'SurveyRpt_20150223 (1)'!V399+"h_l!%)C"</f>
        <v>#VALUE!</v>
      </c>
      <c r="IB64" t="e">
        <f>'SurveyRpt_20150223 (1)'!W399+"h_l!%)D"</f>
        <v>#VALUE!</v>
      </c>
      <c r="IC64" t="e">
        <f>'SurveyRpt_20150223 (1)'!X399+"h_l!%)E"</f>
        <v>#VALUE!</v>
      </c>
      <c r="ID64" t="e">
        <f>'SurveyRpt_20150223 (1)'!Y399+"h_l!%)F"</f>
        <v>#VALUE!</v>
      </c>
      <c r="IE64" t="e">
        <f>'SurveyRpt_20150223 (1)'!Z399+"h_l!%)G"</f>
        <v>#VALUE!</v>
      </c>
      <c r="IF64" t="e">
        <f>'SurveyRpt_20150223 (1)'!AA399+"h_l!%)H"</f>
        <v>#VALUE!</v>
      </c>
      <c r="IG64" t="e">
        <f>'SurveyRpt_20150223 (1)'!AB399+"h_l!%)I"</f>
        <v>#VALUE!</v>
      </c>
      <c r="IH64" t="e">
        <f>'SurveyRpt_20150223 (1)'!AC399+"h_l!%)J"</f>
        <v>#VALUE!</v>
      </c>
      <c r="II64" t="e">
        <f>'SurveyRpt_20150223 (1)'!AD399+"h_l!%)K"</f>
        <v>#VALUE!</v>
      </c>
      <c r="IJ64" t="e">
        <f>'SurveyRpt_20150223 (1)'!AE399+"h_l!%)L"</f>
        <v>#VALUE!</v>
      </c>
      <c r="IK64" t="e">
        <f>'SurveyRpt_20150223 (1)'!AF399+"h_l!%)M"</f>
        <v>#VALUE!</v>
      </c>
      <c r="IL64" t="e">
        <f>'SurveyRpt_20150223 (1)'!AG399+"h_l!%)N"</f>
        <v>#VALUE!</v>
      </c>
      <c r="IM64" t="e">
        <f>'SurveyRpt_20150223 (1)'!AH399+"h_l!%)O"</f>
        <v>#VALUE!</v>
      </c>
      <c r="IN64" t="e">
        <f>'SurveyRpt_20150223 (1)'!AI399+"h_l!%)P"</f>
        <v>#VALUE!</v>
      </c>
      <c r="IO64" t="e">
        <f>'SurveyRpt_20150223 (1)'!AJ399+"h_l!%)Q"</f>
        <v>#VALUE!</v>
      </c>
      <c r="IP64" t="e">
        <f>'SurveyRpt_20150223 (1)'!AK399+"h_l!%)R"</f>
        <v>#VALUE!</v>
      </c>
      <c r="IQ64" t="e">
        <f>'SurveyRpt_20150223 (1)'!AL399+"h_l!%)S"</f>
        <v>#VALUE!</v>
      </c>
      <c r="IR64" t="e">
        <f>'SurveyRpt_20150223 (1)'!AM399+"h_l!%)T"</f>
        <v>#VALUE!</v>
      </c>
      <c r="IS64" t="e">
        <f>'SurveyRpt_20150223 (1)'!AN399+"h_l!%)U"</f>
        <v>#VALUE!</v>
      </c>
      <c r="IT64" t="e">
        <f>'SurveyRpt_20150223 (1)'!A400+"h_l!%)V"</f>
        <v>#VALUE!</v>
      </c>
      <c r="IU64" s="25" t="e">
        <f>'SurveyRpt_20150223 (1)'!B400+"h_l!%)W"</f>
        <v>#VALUE!</v>
      </c>
      <c r="IV64" t="e">
        <f>'SurveyRpt_20150223 (1)'!C400+"h_l!%)X"</f>
        <v>#VALUE!</v>
      </c>
    </row>
    <row r="65" spans="6:256" x14ac:dyDescent="0.25">
      <c r="F65" s="25" t="e">
        <f>'SurveyRpt_20150223 (1)'!D400+"h_l!%)Y"</f>
        <v>#VALUE!</v>
      </c>
      <c r="G65" t="e">
        <f>'SurveyRpt_20150223 (1)'!E400+"h_l!%)Z"</f>
        <v>#VALUE!</v>
      </c>
      <c r="H65" t="e">
        <f>'SurveyRpt_20150223 (1)'!F400+"h_l!%)["</f>
        <v>#VALUE!</v>
      </c>
      <c r="I65" t="e">
        <f>'SurveyRpt_20150223 (1)'!G400+"h_l!%)\"</f>
        <v>#VALUE!</v>
      </c>
      <c r="J65" t="e">
        <f>'SurveyRpt_20150223 (1)'!H400+"h_l!%)]"</f>
        <v>#VALUE!</v>
      </c>
      <c r="K65" t="e">
        <f>'SurveyRpt_20150223 (1)'!I400+"h_l!%)^"</f>
        <v>#VALUE!</v>
      </c>
      <c r="L65" t="e">
        <f>'SurveyRpt_20150223 (1)'!J400+"h_l!%)_"</f>
        <v>#VALUE!</v>
      </c>
      <c r="M65" t="e">
        <f>'SurveyRpt_20150223 (1)'!K400+"h_l!%)`"</f>
        <v>#VALUE!</v>
      </c>
      <c r="N65" t="e">
        <f>'SurveyRpt_20150223 (1)'!L400+"h_l!%)a"</f>
        <v>#VALUE!</v>
      </c>
      <c r="O65" t="e">
        <f>'SurveyRpt_20150223 (1)'!M400+"h_l!%)b"</f>
        <v>#VALUE!</v>
      </c>
      <c r="P65" t="e">
        <f>'SurveyRpt_20150223 (1)'!N400+"h_l!%)c"</f>
        <v>#VALUE!</v>
      </c>
      <c r="Q65" t="e">
        <f>'SurveyRpt_20150223 (1)'!O400+"h_l!%)d"</f>
        <v>#VALUE!</v>
      </c>
      <c r="R65" t="e">
        <f>'SurveyRpt_20150223 (1)'!P400+"h_l!%)e"</f>
        <v>#VALUE!</v>
      </c>
      <c r="S65" t="e">
        <f>'SurveyRpt_20150223 (1)'!Q400+"h_l!%)f"</f>
        <v>#VALUE!</v>
      </c>
      <c r="T65" t="e">
        <f>'SurveyRpt_20150223 (1)'!R400+"h_l!%)g"</f>
        <v>#VALUE!</v>
      </c>
      <c r="U65" t="e">
        <f>'SurveyRpt_20150223 (1)'!S400+"h_l!%)h"</f>
        <v>#VALUE!</v>
      </c>
      <c r="V65" t="e">
        <f>'SurveyRpt_20150223 (1)'!T400+"h_l!%)i"</f>
        <v>#VALUE!</v>
      </c>
      <c r="W65" t="e">
        <f>'SurveyRpt_20150223 (1)'!U400+"h_l!%)j"</f>
        <v>#VALUE!</v>
      </c>
      <c r="X65" t="e">
        <f>'SurveyRpt_20150223 (1)'!V400+"h_l!%)k"</f>
        <v>#VALUE!</v>
      </c>
      <c r="Y65" t="e">
        <f>'SurveyRpt_20150223 (1)'!W400+"h_l!%)l"</f>
        <v>#VALUE!</v>
      </c>
      <c r="Z65" t="e">
        <f>'SurveyRpt_20150223 (1)'!X400+"h_l!%)m"</f>
        <v>#VALUE!</v>
      </c>
      <c r="AA65" t="e">
        <f>'SurveyRpt_20150223 (1)'!Y400+"h_l!%)n"</f>
        <v>#VALUE!</v>
      </c>
      <c r="AB65" t="e">
        <f>'SurveyRpt_20150223 (1)'!Z400+"h_l!%)o"</f>
        <v>#VALUE!</v>
      </c>
      <c r="AC65" t="e">
        <f>'SurveyRpt_20150223 (1)'!AA400+"h_l!%)p"</f>
        <v>#VALUE!</v>
      </c>
      <c r="AD65" t="e">
        <f>'SurveyRpt_20150223 (1)'!AB400+"h_l!%)q"</f>
        <v>#VALUE!</v>
      </c>
      <c r="AE65" t="e">
        <f>'SurveyRpt_20150223 (1)'!AC400+"h_l!%)r"</f>
        <v>#VALUE!</v>
      </c>
      <c r="AF65" t="e">
        <f>'SurveyRpt_20150223 (1)'!AD400+"h_l!%)s"</f>
        <v>#VALUE!</v>
      </c>
      <c r="AG65" t="e">
        <f>'SurveyRpt_20150223 (1)'!AE400+"h_l!%)t"</f>
        <v>#VALUE!</v>
      </c>
      <c r="AH65" t="e">
        <f>'SurveyRpt_20150223 (1)'!AF400+"h_l!%)u"</f>
        <v>#VALUE!</v>
      </c>
      <c r="AI65" t="e">
        <f>'SurveyRpt_20150223 (1)'!AG400+"h_l!%)v"</f>
        <v>#VALUE!</v>
      </c>
      <c r="AJ65" t="e">
        <f>'SurveyRpt_20150223 (1)'!AH400+"h_l!%)w"</f>
        <v>#VALUE!</v>
      </c>
      <c r="AK65" t="e">
        <f>'SurveyRpt_20150223 (1)'!AI400+"h_l!%)x"</f>
        <v>#VALUE!</v>
      </c>
      <c r="AL65" t="e">
        <f>'SurveyRpt_20150223 (1)'!AJ400+"h_l!%)y"</f>
        <v>#VALUE!</v>
      </c>
      <c r="AM65" t="e">
        <f>'SurveyRpt_20150223 (1)'!AK400+"h_l!%)z"</f>
        <v>#VALUE!</v>
      </c>
      <c r="AN65" t="e">
        <f>'SurveyRpt_20150223 (1)'!AL400+"h_l!%){"</f>
        <v>#VALUE!</v>
      </c>
      <c r="AO65" t="e">
        <f>'SurveyRpt_20150223 (1)'!AM400+"h_l!%)|"</f>
        <v>#VALUE!</v>
      </c>
      <c r="AP65" t="e">
        <f>'SurveyRpt_20150223 (1)'!AN400+"h_l!%)}"</f>
        <v>#VALUE!</v>
      </c>
      <c r="AQ65" t="e">
        <f>'SurveyRpt_20150223 (1)'!A401+"h_l!%)~"</f>
        <v>#VALUE!</v>
      </c>
      <c r="AR65" s="25" t="e">
        <f>'SurveyRpt_20150223 (1)'!B401+"h_l!%.#"</f>
        <v>#VALUE!</v>
      </c>
      <c r="AS65" t="e">
        <f>'SurveyRpt_20150223 (1)'!C401+"h_l!%.$"</f>
        <v>#VALUE!</v>
      </c>
      <c r="AT65" s="25" t="e">
        <f>'SurveyRpt_20150223 (1)'!D401+"h_l!%.%"</f>
        <v>#VALUE!</v>
      </c>
      <c r="AU65" t="e">
        <f>'SurveyRpt_20150223 (1)'!E401+"h_l!%.&amp;"</f>
        <v>#VALUE!</v>
      </c>
      <c r="AV65" t="e">
        <f>'SurveyRpt_20150223 (1)'!F401+"h_l!%.'"</f>
        <v>#VALUE!</v>
      </c>
      <c r="AW65" t="e">
        <f>'SurveyRpt_20150223 (1)'!G401+"h_l!%.("</f>
        <v>#VALUE!</v>
      </c>
      <c r="AX65" t="e">
        <f>'SurveyRpt_20150223 (1)'!H401+"h_l!%.)"</f>
        <v>#VALUE!</v>
      </c>
      <c r="AY65" t="e">
        <f>'SurveyRpt_20150223 (1)'!I401+"h_l!%.."</f>
        <v>#VALUE!</v>
      </c>
      <c r="AZ65" t="e">
        <f>'SurveyRpt_20150223 (1)'!J401+"h_l!%./"</f>
        <v>#VALUE!</v>
      </c>
      <c r="BA65" t="e">
        <f>'SurveyRpt_20150223 (1)'!K401+"h_l!%.0"</f>
        <v>#VALUE!</v>
      </c>
      <c r="BB65" t="e">
        <f>'SurveyRpt_20150223 (1)'!L401+"h_l!%.1"</f>
        <v>#VALUE!</v>
      </c>
      <c r="BC65" t="e">
        <f>'SurveyRpt_20150223 (1)'!M401+"h_l!%.2"</f>
        <v>#VALUE!</v>
      </c>
      <c r="BD65" t="e">
        <f>'SurveyRpt_20150223 (1)'!N401+"h_l!%.3"</f>
        <v>#VALUE!</v>
      </c>
      <c r="BE65" t="e">
        <f>'SurveyRpt_20150223 (1)'!O401+"h_l!%.4"</f>
        <v>#VALUE!</v>
      </c>
      <c r="BF65" t="e">
        <f>'SurveyRpt_20150223 (1)'!P401+"h_l!%.5"</f>
        <v>#VALUE!</v>
      </c>
      <c r="BG65" t="e">
        <f>'SurveyRpt_20150223 (1)'!Q401+"h_l!%.6"</f>
        <v>#VALUE!</v>
      </c>
      <c r="BH65" t="e">
        <f>'SurveyRpt_20150223 (1)'!R401+"h_l!%.7"</f>
        <v>#VALUE!</v>
      </c>
      <c r="BI65" t="e">
        <f>'SurveyRpt_20150223 (1)'!S401+"h_l!%.8"</f>
        <v>#VALUE!</v>
      </c>
      <c r="BJ65" t="e">
        <f>'SurveyRpt_20150223 (1)'!T401+"h_l!%.9"</f>
        <v>#VALUE!</v>
      </c>
      <c r="BK65" t="e">
        <f>'SurveyRpt_20150223 (1)'!U401+"h_l!%.:"</f>
        <v>#VALUE!</v>
      </c>
      <c r="BL65" t="e">
        <f>'SurveyRpt_20150223 (1)'!V401+"h_l!%.;"</f>
        <v>#VALUE!</v>
      </c>
      <c r="BM65" t="e">
        <f>'SurveyRpt_20150223 (1)'!W401+"h_l!%.&lt;"</f>
        <v>#VALUE!</v>
      </c>
      <c r="BN65" t="e">
        <f>'SurveyRpt_20150223 (1)'!X401+"h_l!%.="</f>
        <v>#VALUE!</v>
      </c>
      <c r="BO65" t="e">
        <f>'SurveyRpt_20150223 (1)'!Y401+"h_l!%.&gt;"</f>
        <v>#VALUE!</v>
      </c>
      <c r="BP65" t="e">
        <f>'SurveyRpt_20150223 (1)'!Z401+"h_l!%.?"</f>
        <v>#VALUE!</v>
      </c>
      <c r="BQ65" t="e">
        <f>'SurveyRpt_20150223 (1)'!AA401+"h_l!%.@"</f>
        <v>#VALUE!</v>
      </c>
      <c r="BR65" t="e">
        <f>'SurveyRpt_20150223 (1)'!AB401+"h_l!%.A"</f>
        <v>#VALUE!</v>
      </c>
      <c r="BS65" t="e">
        <f>'SurveyRpt_20150223 (1)'!AC401+"h_l!%.B"</f>
        <v>#VALUE!</v>
      </c>
      <c r="BT65" t="e">
        <f>'SurveyRpt_20150223 (1)'!AD401+"h_l!%.C"</f>
        <v>#VALUE!</v>
      </c>
      <c r="BU65" t="e">
        <f>'SurveyRpt_20150223 (1)'!AE401+"h_l!%.D"</f>
        <v>#VALUE!</v>
      </c>
      <c r="BV65" t="e">
        <f>'SurveyRpt_20150223 (1)'!AF401+"h_l!%.E"</f>
        <v>#VALUE!</v>
      </c>
      <c r="BW65" t="e">
        <f>'SurveyRpt_20150223 (1)'!AG401+"h_l!%.F"</f>
        <v>#VALUE!</v>
      </c>
      <c r="BX65" t="e">
        <f>'SurveyRpt_20150223 (1)'!AH401+"h_l!%.G"</f>
        <v>#VALUE!</v>
      </c>
      <c r="BY65" t="e">
        <f>'SurveyRpt_20150223 (1)'!AI401+"h_l!%.H"</f>
        <v>#VALUE!</v>
      </c>
      <c r="BZ65" t="e">
        <f>'SurveyRpt_20150223 (1)'!AJ401+"h_l!%.I"</f>
        <v>#VALUE!</v>
      </c>
      <c r="CA65" t="e">
        <f>'SurveyRpt_20150223 (1)'!AK401+"h_l!%.J"</f>
        <v>#VALUE!</v>
      </c>
      <c r="CB65" t="e">
        <f>'SurveyRpt_20150223 (1)'!AL401+"h_l!%.K"</f>
        <v>#VALUE!</v>
      </c>
      <c r="CC65" t="e">
        <f>'SurveyRpt_20150223 (1)'!AM401+"h_l!%.L"</f>
        <v>#VALUE!</v>
      </c>
      <c r="CD65" t="e">
        <f>'SurveyRpt_20150223 (1)'!AN401+"h_l!%.M"</f>
        <v>#VALUE!</v>
      </c>
      <c r="CE65" t="e">
        <f>'SurveyRpt_20150223 (1)'!A402+"h_l!%.N"</f>
        <v>#VALUE!</v>
      </c>
      <c r="CF65" s="25" t="e">
        <f>'SurveyRpt_20150223 (1)'!B402+"h_l!%.O"</f>
        <v>#VALUE!</v>
      </c>
      <c r="CG65" t="e">
        <f>'SurveyRpt_20150223 (1)'!C402+"h_l!%.P"</f>
        <v>#VALUE!</v>
      </c>
      <c r="CH65" s="25" t="e">
        <f>'SurveyRpt_20150223 (1)'!D402+"h_l!%.Q"</f>
        <v>#VALUE!</v>
      </c>
      <c r="CI65" t="e">
        <f>'SurveyRpt_20150223 (1)'!E402+"h_l!%.R"</f>
        <v>#VALUE!</v>
      </c>
      <c r="CJ65" t="e">
        <f>'SurveyRpt_20150223 (1)'!F402+"h_l!%.S"</f>
        <v>#VALUE!</v>
      </c>
      <c r="CK65" t="e">
        <f>'SurveyRpt_20150223 (1)'!G402+"h_l!%.T"</f>
        <v>#VALUE!</v>
      </c>
      <c r="CL65" t="e">
        <f>'SurveyRpt_20150223 (1)'!H402+"h_l!%.U"</f>
        <v>#VALUE!</v>
      </c>
      <c r="CM65" t="e">
        <f>'SurveyRpt_20150223 (1)'!I402+"h_l!%.V"</f>
        <v>#VALUE!</v>
      </c>
      <c r="CN65" t="e">
        <f>'SurveyRpt_20150223 (1)'!J402+"h_l!%.W"</f>
        <v>#VALUE!</v>
      </c>
      <c r="CO65" t="e">
        <f>'SurveyRpt_20150223 (1)'!K402+"h_l!%.X"</f>
        <v>#VALUE!</v>
      </c>
      <c r="CP65" t="e">
        <f>'SurveyRpt_20150223 (1)'!L402+"h_l!%.Y"</f>
        <v>#VALUE!</v>
      </c>
      <c r="CQ65" t="e">
        <f>'SurveyRpt_20150223 (1)'!M402+"h_l!%.Z"</f>
        <v>#VALUE!</v>
      </c>
      <c r="CR65" t="e">
        <f>'SurveyRpt_20150223 (1)'!N402+"h_l!%.["</f>
        <v>#VALUE!</v>
      </c>
      <c r="CS65" t="e">
        <f>'SurveyRpt_20150223 (1)'!O402+"h_l!%.\"</f>
        <v>#VALUE!</v>
      </c>
      <c r="CT65" t="e">
        <f>'SurveyRpt_20150223 (1)'!P402+"h_l!%.]"</f>
        <v>#VALUE!</v>
      </c>
      <c r="CU65" t="e">
        <f>'SurveyRpt_20150223 (1)'!Q402+"h_l!%.^"</f>
        <v>#VALUE!</v>
      </c>
      <c r="CV65" t="e">
        <f>'SurveyRpt_20150223 (1)'!R402+"h_l!%._"</f>
        <v>#VALUE!</v>
      </c>
      <c r="CW65" t="e">
        <f>'SurveyRpt_20150223 (1)'!S402+"h_l!%.`"</f>
        <v>#VALUE!</v>
      </c>
      <c r="CX65" t="e">
        <f>'SurveyRpt_20150223 (1)'!T402+"h_l!%.a"</f>
        <v>#VALUE!</v>
      </c>
      <c r="CY65" t="e">
        <f>'SurveyRpt_20150223 (1)'!U402+"h_l!%.b"</f>
        <v>#VALUE!</v>
      </c>
      <c r="CZ65" t="e">
        <f>'SurveyRpt_20150223 (1)'!V402+"h_l!%.c"</f>
        <v>#VALUE!</v>
      </c>
      <c r="DA65" t="e">
        <f>'SurveyRpt_20150223 (1)'!W402+"h_l!%.d"</f>
        <v>#VALUE!</v>
      </c>
      <c r="DB65" t="e">
        <f>'SurveyRpt_20150223 (1)'!X402+"h_l!%.e"</f>
        <v>#VALUE!</v>
      </c>
      <c r="DC65" t="e">
        <f>'SurveyRpt_20150223 (1)'!Y402+"h_l!%.f"</f>
        <v>#VALUE!</v>
      </c>
      <c r="DD65" t="e">
        <f>'SurveyRpt_20150223 (1)'!Z402+"h_l!%.g"</f>
        <v>#VALUE!</v>
      </c>
      <c r="DE65" t="e">
        <f>'SurveyRpt_20150223 (1)'!AA402+"h_l!%.h"</f>
        <v>#VALUE!</v>
      </c>
      <c r="DF65" t="e">
        <f>'SurveyRpt_20150223 (1)'!AB402+"h_l!%.i"</f>
        <v>#VALUE!</v>
      </c>
      <c r="DG65" t="e">
        <f>'SurveyRpt_20150223 (1)'!AC402+"h_l!%.j"</f>
        <v>#VALUE!</v>
      </c>
      <c r="DH65" t="e">
        <f>'SurveyRpt_20150223 (1)'!AD402+"h_l!%.k"</f>
        <v>#VALUE!</v>
      </c>
      <c r="DI65" t="e">
        <f>'SurveyRpt_20150223 (1)'!AE402+"h_l!%.l"</f>
        <v>#VALUE!</v>
      </c>
      <c r="DJ65" t="e">
        <f>'SurveyRpt_20150223 (1)'!AF402+"h_l!%.m"</f>
        <v>#VALUE!</v>
      </c>
      <c r="DK65" t="e">
        <f>'SurveyRpt_20150223 (1)'!AG402+"h_l!%.n"</f>
        <v>#VALUE!</v>
      </c>
      <c r="DL65" t="e">
        <f>'SurveyRpt_20150223 (1)'!AH402+"h_l!%.o"</f>
        <v>#VALUE!</v>
      </c>
      <c r="DM65" t="e">
        <f>'SurveyRpt_20150223 (1)'!AI402+"h_l!%.p"</f>
        <v>#VALUE!</v>
      </c>
      <c r="DN65" t="e">
        <f>'SurveyRpt_20150223 (1)'!AJ402+"h_l!%.q"</f>
        <v>#VALUE!</v>
      </c>
      <c r="DO65" t="e">
        <f>'SurveyRpt_20150223 (1)'!AK402+"h_l!%.r"</f>
        <v>#VALUE!</v>
      </c>
      <c r="DP65" t="e">
        <f>'SurveyRpt_20150223 (1)'!AL402+"h_l!%.s"</f>
        <v>#VALUE!</v>
      </c>
      <c r="DQ65" t="e">
        <f>'SurveyRpt_20150223 (1)'!AM402+"h_l!%.t"</f>
        <v>#VALUE!</v>
      </c>
      <c r="DR65" t="e">
        <f>'SurveyRpt_20150223 (1)'!AN402+"h_l!%.u"</f>
        <v>#VALUE!</v>
      </c>
      <c r="DS65" t="e">
        <f>'SurveyRpt_20150223 (1)'!A403+"h_l!%.v"</f>
        <v>#VALUE!</v>
      </c>
      <c r="DT65" s="25" t="e">
        <f>'SurveyRpt_20150223 (1)'!B403+"h_l!%.w"</f>
        <v>#VALUE!</v>
      </c>
      <c r="DU65" t="e">
        <f>'SurveyRpt_20150223 (1)'!C403+"h_l!%.x"</f>
        <v>#VALUE!</v>
      </c>
      <c r="DV65" s="25" t="e">
        <f>'SurveyRpt_20150223 (1)'!D403+"h_l!%.y"</f>
        <v>#VALUE!</v>
      </c>
      <c r="DW65" t="e">
        <f>'SurveyRpt_20150223 (1)'!E403+"h_l!%.z"</f>
        <v>#VALUE!</v>
      </c>
      <c r="DX65" t="e">
        <f>'SurveyRpt_20150223 (1)'!F403+"h_l!%.{"</f>
        <v>#VALUE!</v>
      </c>
      <c r="DY65" t="e">
        <f>'SurveyRpt_20150223 (1)'!G403+"h_l!%.|"</f>
        <v>#VALUE!</v>
      </c>
      <c r="DZ65" t="e">
        <f>'SurveyRpt_20150223 (1)'!H403+"h_l!%.}"</f>
        <v>#VALUE!</v>
      </c>
      <c r="EA65" t="e">
        <f>'SurveyRpt_20150223 (1)'!I403+"h_l!%.~"</f>
        <v>#VALUE!</v>
      </c>
      <c r="EB65" t="e">
        <f>'SurveyRpt_20150223 (1)'!J403+"h_l!%/#"</f>
        <v>#VALUE!</v>
      </c>
      <c r="EC65" t="e">
        <f>'SurveyRpt_20150223 (1)'!K403+"h_l!%/$"</f>
        <v>#VALUE!</v>
      </c>
      <c r="ED65" t="e">
        <f>'SurveyRpt_20150223 (1)'!L403+"h_l!%/%"</f>
        <v>#VALUE!</v>
      </c>
      <c r="EE65" t="e">
        <f>'SurveyRpt_20150223 (1)'!M403+"h_l!%/&amp;"</f>
        <v>#VALUE!</v>
      </c>
      <c r="EF65" t="e">
        <f>'SurveyRpt_20150223 (1)'!N403+"h_l!%/'"</f>
        <v>#VALUE!</v>
      </c>
      <c r="EG65" t="e">
        <f>'SurveyRpt_20150223 (1)'!O403+"h_l!%/("</f>
        <v>#VALUE!</v>
      </c>
      <c r="EH65" t="e">
        <f>'SurveyRpt_20150223 (1)'!P403+"h_l!%/)"</f>
        <v>#VALUE!</v>
      </c>
      <c r="EI65" t="e">
        <f>'SurveyRpt_20150223 (1)'!Q403+"h_l!%/."</f>
        <v>#VALUE!</v>
      </c>
      <c r="EJ65" t="e">
        <f>'SurveyRpt_20150223 (1)'!R403+"h_l!%//"</f>
        <v>#VALUE!</v>
      </c>
      <c r="EK65" t="e">
        <f>'SurveyRpt_20150223 (1)'!S403+"h_l!%/0"</f>
        <v>#VALUE!</v>
      </c>
      <c r="EL65" t="e">
        <f>'SurveyRpt_20150223 (1)'!T403+"h_l!%/1"</f>
        <v>#VALUE!</v>
      </c>
      <c r="EM65" t="e">
        <f>'SurveyRpt_20150223 (1)'!U403+"h_l!%/2"</f>
        <v>#VALUE!</v>
      </c>
      <c r="EN65" t="e">
        <f>'SurveyRpt_20150223 (1)'!V403+"h_l!%/3"</f>
        <v>#VALUE!</v>
      </c>
      <c r="EO65" t="e">
        <f>'SurveyRpt_20150223 (1)'!W403+"h_l!%/4"</f>
        <v>#VALUE!</v>
      </c>
      <c r="EP65" t="e">
        <f>'SurveyRpt_20150223 (1)'!X403+"h_l!%/5"</f>
        <v>#VALUE!</v>
      </c>
      <c r="EQ65" t="e">
        <f>'SurveyRpt_20150223 (1)'!Y403+"h_l!%/6"</f>
        <v>#VALUE!</v>
      </c>
      <c r="ER65" t="e">
        <f>'SurveyRpt_20150223 (1)'!Z403+"h_l!%/7"</f>
        <v>#VALUE!</v>
      </c>
      <c r="ES65" t="e">
        <f>'SurveyRpt_20150223 (1)'!AA403+"h_l!%/8"</f>
        <v>#VALUE!</v>
      </c>
      <c r="ET65" t="e">
        <f>'SurveyRpt_20150223 (1)'!AB403+"h_l!%/9"</f>
        <v>#VALUE!</v>
      </c>
      <c r="EU65" t="e">
        <f>'SurveyRpt_20150223 (1)'!AC403+"h_l!%/:"</f>
        <v>#VALUE!</v>
      </c>
      <c r="EV65" t="e">
        <f>'SurveyRpt_20150223 (1)'!AD403+"h_l!%/;"</f>
        <v>#VALUE!</v>
      </c>
      <c r="EW65" t="e">
        <f>'SurveyRpt_20150223 (1)'!AE403+"h_l!%/&lt;"</f>
        <v>#VALUE!</v>
      </c>
      <c r="EX65" t="e">
        <f>'SurveyRpt_20150223 (1)'!AF403+"h_l!%/="</f>
        <v>#VALUE!</v>
      </c>
      <c r="EY65" t="e">
        <f>'SurveyRpt_20150223 (1)'!AG403+"h_l!%/&gt;"</f>
        <v>#VALUE!</v>
      </c>
      <c r="EZ65" t="e">
        <f>'SurveyRpt_20150223 (1)'!AH403+"h_l!%/?"</f>
        <v>#VALUE!</v>
      </c>
      <c r="FA65" t="e">
        <f>'SurveyRpt_20150223 (1)'!AI403+"h_l!%/@"</f>
        <v>#VALUE!</v>
      </c>
      <c r="FB65" t="e">
        <f>'SurveyRpt_20150223 (1)'!AJ403+"h_l!%/A"</f>
        <v>#VALUE!</v>
      </c>
      <c r="FC65" t="e">
        <f>'SurveyRpt_20150223 (1)'!AK403+"h_l!%/B"</f>
        <v>#VALUE!</v>
      </c>
      <c r="FD65" t="e">
        <f>'SurveyRpt_20150223 (1)'!AL403+"h_l!%/C"</f>
        <v>#VALUE!</v>
      </c>
      <c r="FE65" t="e">
        <f>'SurveyRpt_20150223 (1)'!AM403+"h_l!%/D"</f>
        <v>#VALUE!</v>
      </c>
      <c r="FF65" t="e">
        <f>'SurveyRpt_20150223 (1)'!AN403+"h_l!%/E"</f>
        <v>#VALUE!</v>
      </c>
      <c r="FG65" t="e">
        <f>'SurveyRpt_20150223 (1)'!A404+"h_l!%/F"</f>
        <v>#VALUE!</v>
      </c>
      <c r="FH65" s="25" t="e">
        <f>'SurveyRpt_20150223 (1)'!B404+"h_l!%/G"</f>
        <v>#VALUE!</v>
      </c>
      <c r="FI65" t="e">
        <f>'SurveyRpt_20150223 (1)'!C404+"h_l!%/H"</f>
        <v>#VALUE!</v>
      </c>
      <c r="FJ65" s="25" t="e">
        <f>'SurveyRpt_20150223 (1)'!D404+"h_l!%/I"</f>
        <v>#VALUE!</v>
      </c>
      <c r="FK65" t="e">
        <f>'SurveyRpt_20150223 (1)'!E404+"h_l!%/J"</f>
        <v>#VALUE!</v>
      </c>
      <c r="FL65" t="e">
        <f>'SurveyRpt_20150223 (1)'!F404+"h_l!%/K"</f>
        <v>#VALUE!</v>
      </c>
      <c r="FM65" t="e">
        <f>'SurveyRpt_20150223 (1)'!G404+"h_l!%/L"</f>
        <v>#VALUE!</v>
      </c>
      <c r="FN65" t="e">
        <f>'SurveyRpt_20150223 (1)'!H404+"h_l!%/M"</f>
        <v>#VALUE!</v>
      </c>
      <c r="FO65" t="e">
        <f>'SurveyRpt_20150223 (1)'!I404+"h_l!%/N"</f>
        <v>#VALUE!</v>
      </c>
      <c r="FP65" t="e">
        <f>'SurveyRpt_20150223 (1)'!J404+"h_l!%/O"</f>
        <v>#VALUE!</v>
      </c>
      <c r="FQ65" t="e">
        <f>'SurveyRpt_20150223 (1)'!K404+"h_l!%/P"</f>
        <v>#VALUE!</v>
      </c>
      <c r="FR65" t="e">
        <f>'SurveyRpt_20150223 (1)'!L404+"h_l!%/Q"</f>
        <v>#VALUE!</v>
      </c>
      <c r="FS65" t="e">
        <f>'SurveyRpt_20150223 (1)'!M404+"h_l!%/R"</f>
        <v>#VALUE!</v>
      </c>
      <c r="FT65" t="e">
        <f>'SurveyRpt_20150223 (1)'!N404+"h_l!%/S"</f>
        <v>#VALUE!</v>
      </c>
      <c r="FU65" t="e">
        <f>'SurveyRpt_20150223 (1)'!O404+"h_l!%/T"</f>
        <v>#VALUE!</v>
      </c>
      <c r="FV65" t="e">
        <f>'SurveyRpt_20150223 (1)'!P404+"h_l!%/U"</f>
        <v>#VALUE!</v>
      </c>
      <c r="FW65" t="e">
        <f>'SurveyRpt_20150223 (1)'!Q404+"h_l!%/V"</f>
        <v>#VALUE!</v>
      </c>
      <c r="FX65" t="e">
        <f>'SurveyRpt_20150223 (1)'!R404+"h_l!%/W"</f>
        <v>#VALUE!</v>
      </c>
      <c r="FY65" t="e">
        <f>'SurveyRpt_20150223 (1)'!S404+"h_l!%/X"</f>
        <v>#VALUE!</v>
      </c>
      <c r="FZ65" t="e">
        <f>'SurveyRpt_20150223 (1)'!T404+"h_l!%/Y"</f>
        <v>#VALUE!</v>
      </c>
      <c r="GA65" t="e">
        <f>'SurveyRpt_20150223 (1)'!U404+"h_l!%/Z"</f>
        <v>#VALUE!</v>
      </c>
      <c r="GB65" t="e">
        <f>'SurveyRpt_20150223 (1)'!V404+"h_l!%/["</f>
        <v>#VALUE!</v>
      </c>
      <c r="GC65" t="e">
        <f>'SurveyRpt_20150223 (1)'!W404+"h_l!%/\"</f>
        <v>#VALUE!</v>
      </c>
      <c r="GD65" t="e">
        <f>'SurveyRpt_20150223 (1)'!X404+"h_l!%/]"</f>
        <v>#VALUE!</v>
      </c>
      <c r="GE65" t="e">
        <f>'SurveyRpt_20150223 (1)'!Y404+"h_l!%/^"</f>
        <v>#VALUE!</v>
      </c>
      <c r="GF65" t="e">
        <f>'SurveyRpt_20150223 (1)'!Z404+"h_l!%/_"</f>
        <v>#VALUE!</v>
      </c>
      <c r="GG65" t="e">
        <f>'SurveyRpt_20150223 (1)'!AA404+"h_l!%/`"</f>
        <v>#VALUE!</v>
      </c>
      <c r="GH65" t="e">
        <f>'SurveyRpt_20150223 (1)'!AB404+"h_l!%/a"</f>
        <v>#VALUE!</v>
      </c>
      <c r="GI65" t="e">
        <f>'SurveyRpt_20150223 (1)'!AC404+"h_l!%/b"</f>
        <v>#VALUE!</v>
      </c>
      <c r="GJ65" t="e">
        <f>'SurveyRpt_20150223 (1)'!AD404+"h_l!%/c"</f>
        <v>#VALUE!</v>
      </c>
      <c r="GK65" t="e">
        <f>'SurveyRpt_20150223 (1)'!AE404+"h_l!%/d"</f>
        <v>#VALUE!</v>
      </c>
      <c r="GL65" t="e">
        <f>'SurveyRpt_20150223 (1)'!AF404+"h_l!%/e"</f>
        <v>#VALUE!</v>
      </c>
      <c r="GM65" t="e">
        <f>'SurveyRpt_20150223 (1)'!AG404+"h_l!%/f"</f>
        <v>#VALUE!</v>
      </c>
      <c r="GN65" t="e">
        <f>'SurveyRpt_20150223 (1)'!AH404+"h_l!%/g"</f>
        <v>#VALUE!</v>
      </c>
      <c r="GO65" t="e">
        <f>'SurveyRpt_20150223 (1)'!AI404+"h_l!%/h"</f>
        <v>#VALUE!</v>
      </c>
      <c r="GP65" t="e">
        <f>'SurveyRpt_20150223 (1)'!AJ404+"h_l!%/i"</f>
        <v>#VALUE!</v>
      </c>
      <c r="GQ65" t="e">
        <f>'SurveyRpt_20150223 (1)'!AK404+"h_l!%/j"</f>
        <v>#VALUE!</v>
      </c>
      <c r="GR65" t="e">
        <f>'SurveyRpt_20150223 (1)'!AL404+"h_l!%/k"</f>
        <v>#VALUE!</v>
      </c>
      <c r="GS65" t="e">
        <f>'SurveyRpt_20150223 (1)'!AM404+"h_l!%/l"</f>
        <v>#VALUE!</v>
      </c>
      <c r="GT65" t="e">
        <f>'SurveyRpt_20150223 (1)'!AN404+"h_l!%/m"</f>
        <v>#VALUE!</v>
      </c>
      <c r="GU65" t="e">
        <f>'SurveyRpt_20150223 (1)'!A405+"h_l!%/n"</f>
        <v>#VALUE!</v>
      </c>
      <c r="GV65" s="25" t="e">
        <f>'SurveyRpt_20150223 (1)'!B405+"h_l!%/o"</f>
        <v>#VALUE!</v>
      </c>
      <c r="GW65" t="e">
        <f>'SurveyRpt_20150223 (1)'!C405+"h_l!%/p"</f>
        <v>#VALUE!</v>
      </c>
      <c r="GX65" s="25" t="e">
        <f>'SurveyRpt_20150223 (1)'!D405+"h_l!%/q"</f>
        <v>#VALUE!</v>
      </c>
      <c r="GY65" t="e">
        <f>'SurveyRpt_20150223 (1)'!E405+"h_l!%/r"</f>
        <v>#VALUE!</v>
      </c>
      <c r="GZ65" t="e">
        <f>'SurveyRpt_20150223 (1)'!F405+"h_l!%/s"</f>
        <v>#VALUE!</v>
      </c>
      <c r="HA65" t="e">
        <f>'SurveyRpt_20150223 (1)'!G405+"h_l!%/t"</f>
        <v>#VALUE!</v>
      </c>
      <c r="HB65" t="e">
        <f>'SurveyRpt_20150223 (1)'!H405+"h_l!%/u"</f>
        <v>#VALUE!</v>
      </c>
      <c r="HC65" t="e">
        <f>'SurveyRpt_20150223 (1)'!I405+"h_l!%/v"</f>
        <v>#VALUE!</v>
      </c>
      <c r="HD65" t="e">
        <f>'SurveyRpt_20150223 (1)'!J405+"h_l!%/w"</f>
        <v>#VALUE!</v>
      </c>
      <c r="HE65" t="e">
        <f>'SurveyRpt_20150223 (1)'!K405+"h_l!%/x"</f>
        <v>#VALUE!</v>
      </c>
      <c r="HF65" t="e">
        <f>'SurveyRpt_20150223 (1)'!L405+"h_l!%/y"</f>
        <v>#VALUE!</v>
      </c>
      <c r="HG65" t="e">
        <f>'SurveyRpt_20150223 (1)'!M405+"h_l!%/z"</f>
        <v>#VALUE!</v>
      </c>
      <c r="HH65" t="e">
        <f>'SurveyRpt_20150223 (1)'!N405+"h_l!%/{"</f>
        <v>#VALUE!</v>
      </c>
      <c r="HI65" t="e">
        <f>'SurveyRpt_20150223 (1)'!O405+"h_l!%/|"</f>
        <v>#VALUE!</v>
      </c>
      <c r="HJ65" t="e">
        <f>'SurveyRpt_20150223 (1)'!P405+"h_l!%/}"</f>
        <v>#VALUE!</v>
      </c>
      <c r="HK65" t="e">
        <f>'SurveyRpt_20150223 (1)'!Q405+"h_l!%/~"</f>
        <v>#VALUE!</v>
      </c>
      <c r="HL65" t="e">
        <f>'SurveyRpt_20150223 (1)'!R405+"h_l!%0#"</f>
        <v>#VALUE!</v>
      </c>
      <c r="HM65" t="e">
        <f>'SurveyRpt_20150223 (1)'!S405+"h_l!%0$"</f>
        <v>#VALUE!</v>
      </c>
      <c r="HN65" t="e">
        <f>'SurveyRpt_20150223 (1)'!T405+"h_l!%0%"</f>
        <v>#VALUE!</v>
      </c>
      <c r="HO65" t="e">
        <f>'SurveyRpt_20150223 (1)'!U405+"h_l!%0&amp;"</f>
        <v>#VALUE!</v>
      </c>
      <c r="HP65" t="e">
        <f>'SurveyRpt_20150223 (1)'!V405+"h_l!%0'"</f>
        <v>#VALUE!</v>
      </c>
      <c r="HQ65" t="e">
        <f>'SurveyRpt_20150223 (1)'!W405+"h_l!%0("</f>
        <v>#VALUE!</v>
      </c>
      <c r="HR65" t="e">
        <f>'SurveyRpt_20150223 (1)'!X405+"h_l!%0)"</f>
        <v>#VALUE!</v>
      </c>
      <c r="HS65" t="e">
        <f>'SurveyRpt_20150223 (1)'!Y405+"h_l!%0."</f>
        <v>#VALUE!</v>
      </c>
      <c r="HT65" t="e">
        <f>'SurveyRpt_20150223 (1)'!Z405+"h_l!%0/"</f>
        <v>#VALUE!</v>
      </c>
      <c r="HU65" t="e">
        <f>'SurveyRpt_20150223 (1)'!AA405+"h_l!%00"</f>
        <v>#VALUE!</v>
      </c>
      <c r="HV65" t="e">
        <f>'SurveyRpt_20150223 (1)'!AB405+"h_l!%01"</f>
        <v>#VALUE!</v>
      </c>
      <c r="HW65" t="e">
        <f>'SurveyRpt_20150223 (1)'!AC405+"h_l!%02"</f>
        <v>#VALUE!</v>
      </c>
      <c r="HX65" t="e">
        <f>'SurveyRpt_20150223 (1)'!AD405+"h_l!%03"</f>
        <v>#VALUE!</v>
      </c>
      <c r="HY65" t="e">
        <f>'SurveyRpt_20150223 (1)'!AE405+"h_l!%04"</f>
        <v>#VALUE!</v>
      </c>
      <c r="HZ65" t="e">
        <f>'SurveyRpt_20150223 (1)'!AF405+"h_l!%05"</f>
        <v>#VALUE!</v>
      </c>
      <c r="IA65" t="e">
        <f>'SurveyRpt_20150223 (1)'!AG405+"h_l!%06"</f>
        <v>#VALUE!</v>
      </c>
      <c r="IB65" t="e">
        <f>'SurveyRpt_20150223 (1)'!AH405+"h_l!%07"</f>
        <v>#VALUE!</v>
      </c>
      <c r="IC65" t="e">
        <f>'SurveyRpt_20150223 (1)'!AI405+"h_l!%08"</f>
        <v>#VALUE!</v>
      </c>
      <c r="ID65" t="e">
        <f>'SurveyRpt_20150223 (1)'!AJ405+"h_l!%09"</f>
        <v>#VALUE!</v>
      </c>
      <c r="IE65" t="e">
        <f>'SurveyRpt_20150223 (1)'!AK405+"h_l!%0:"</f>
        <v>#VALUE!</v>
      </c>
      <c r="IF65" t="e">
        <f>'SurveyRpt_20150223 (1)'!AL405+"h_l!%0;"</f>
        <v>#VALUE!</v>
      </c>
      <c r="IG65" t="e">
        <f>'SurveyRpt_20150223 (1)'!AM405+"h_l!%0&lt;"</f>
        <v>#VALUE!</v>
      </c>
      <c r="IH65" t="e">
        <f>'SurveyRpt_20150223 (1)'!AN405+"h_l!%0="</f>
        <v>#VALUE!</v>
      </c>
      <c r="II65" t="e">
        <f>'SurveyRpt_20150223 (1)'!A406+"h_l!%0&gt;"</f>
        <v>#VALUE!</v>
      </c>
      <c r="IJ65" s="25" t="e">
        <f>'SurveyRpt_20150223 (1)'!B406+"h_l!%0?"</f>
        <v>#VALUE!</v>
      </c>
      <c r="IK65" t="e">
        <f>'SurveyRpt_20150223 (1)'!C406+"h_l!%0@"</f>
        <v>#VALUE!</v>
      </c>
      <c r="IL65" s="25" t="e">
        <f>'SurveyRpt_20150223 (1)'!D406+"h_l!%0A"</f>
        <v>#VALUE!</v>
      </c>
      <c r="IM65" t="e">
        <f>'SurveyRpt_20150223 (1)'!E406+"h_l!%0B"</f>
        <v>#VALUE!</v>
      </c>
      <c r="IN65" t="e">
        <f>'SurveyRpt_20150223 (1)'!F406+"h_l!%0C"</f>
        <v>#VALUE!</v>
      </c>
      <c r="IO65" t="e">
        <f>'SurveyRpt_20150223 (1)'!G406+"h_l!%0D"</f>
        <v>#VALUE!</v>
      </c>
      <c r="IP65" t="e">
        <f>'SurveyRpt_20150223 (1)'!H406+"h_l!%0E"</f>
        <v>#VALUE!</v>
      </c>
      <c r="IQ65" t="e">
        <f>'SurveyRpt_20150223 (1)'!I406+"h_l!%0F"</f>
        <v>#VALUE!</v>
      </c>
      <c r="IR65" t="e">
        <f>'SurveyRpt_20150223 (1)'!J406+"h_l!%0G"</f>
        <v>#VALUE!</v>
      </c>
      <c r="IS65" t="e">
        <f>'SurveyRpt_20150223 (1)'!K406+"h_l!%0H"</f>
        <v>#VALUE!</v>
      </c>
      <c r="IT65" t="e">
        <f>'SurveyRpt_20150223 (1)'!L406+"h_l!%0I"</f>
        <v>#VALUE!</v>
      </c>
      <c r="IU65" t="e">
        <f>'SurveyRpt_20150223 (1)'!M406+"h_l!%0J"</f>
        <v>#VALUE!</v>
      </c>
      <c r="IV65" t="e">
        <f>'SurveyRpt_20150223 (1)'!N406+"h_l!%0K"</f>
        <v>#VALUE!</v>
      </c>
    </row>
    <row r="66" spans="6:256" x14ac:dyDescent="0.25">
      <c r="F66" t="e">
        <f>'SurveyRpt_20150223 (1)'!O406+"h_l!%0L"</f>
        <v>#VALUE!</v>
      </c>
      <c r="G66" t="e">
        <f>'SurveyRpt_20150223 (1)'!P406+"h_l!%0M"</f>
        <v>#VALUE!</v>
      </c>
      <c r="H66" t="e">
        <f>'SurveyRpt_20150223 (1)'!Q406+"h_l!%0N"</f>
        <v>#VALUE!</v>
      </c>
      <c r="I66" t="e">
        <f>'SurveyRpt_20150223 (1)'!R406+"h_l!%0O"</f>
        <v>#VALUE!</v>
      </c>
      <c r="J66" t="e">
        <f>'SurveyRpt_20150223 (1)'!S406+"h_l!%0P"</f>
        <v>#VALUE!</v>
      </c>
      <c r="K66" t="e">
        <f>'SurveyRpt_20150223 (1)'!T406+"h_l!%0Q"</f>
        <v>#VALUE!</v>
      </c>
      <c r="L66" t="e">
        <f>'SurveyRpt_20150223 (1)'!U406+"h_l!%0R"</f>
        <v>#VALUE!</v>
      </c>
      <c r="M66" t="e">
        <f>'SurveyRpt_20150223 (1)'!V406+"h_l!%0S"</f>
        <v>#VALUE!</v>
      </c>
      <c r="N66" t="e">
        <f>'SurveyRpt_20150223 (1)'!W406+"h_l!%0T"</f>
        <v>#VALUE!</v>
      </c>
      <c r="O66" t="e">
        <f>'SurveyRpt_20150223 (1)'!X406+"h_l!%0U"</f>
        <v>#VALUE!</v>
      </c>
      <c r="P66" t="e">
        <f>'SurveyRpt_20150223 (1)'!Y406+"h_l!%0V"</f>
        <v>#VALUE!</v>
      </c>
      <c r="Q66" t="e">
        <f>'SurveyRpt_20150223 (1)'!Z406+"h_l!%0W"</f>
        <v>#VALUE!</v>
      </c>
      <c r="R66" t="e">
        <f>'SurveyRpt_20150223 (1)'!AA406+"h_l!%0X"</f>
        <v>#VALUE!</v>
      </c>
      <c r="S66" t="e">
        <f>'SurveyRpt_20150223 (1)'!AB406+"h_l!%0Y"</f>
        <v>#VALUE!</v>
      </c>
      <c r="T66" t="e">
        <f>'SurveyRpt_20150223 (1)'!AC406+"h_l!%0Z"</f>
        <v>#VALUE!</v>
      </c>
      <c r="U66" t="e">
        <f>'SurveyRpt_20150223 (1)'!AD406+"h_l!%0["</f>
        <v>#VALUE!</v>
      </c>
      <c r="V66" t="e">
        <f>'SurveyRpt_20150223 (1)'!AE406+"h_l!%0\"</f>
        <v>#VALUE!</v>
      </c>
      <c r="W66" t="e">
        <f>'SurveyRpt_20150223 (1)'!AF406+"h_l!%0]"</f>
        <v>#VALUE!</v>
      </c>
      <c r="X66" t="e">
        <f>'SurveyRpt_20150223 (1)'!AG406+"h_l!%0^"</f>
        <v>#VALUE!</v>
      </c>
      <c r="Y66" t="e">
        <f>'SurveyRpt_20150223 (1)'!AH406+"h_l!%0_"</f>
        <v>#VALUE!</v>
      </c>
      <c r="Z66" t="e">
        <f>'SurveyRpt_20150223 (1)'!AI406+"h_l!%0`"</f>
        <v>#VALUE!</v>
      </c>
      <c r="AA66" t="e">
        <f>'SurveyRpt_20150223 (1)'!AJ406+"h_l!%0a"</f>
        <v>#VALUE!</v>
      </c>
      <c r="AB66" t="e">
        <f>'SurveyRpt_20150223 (1)'!AK406+"h_l!%0b"</f>
        <v>#VALUE!</v>
      </c>
      <c r="AC66" t="e">
        <f>'SurveyRpt_20150223 (1)'!AL406+"h_l!%0c"</f>
        <v>#VALUE!</v>
      </c>
      <c r="AD66" t="e">
        <f>'SurveyRpt_20150223 (1)'!AM406+"h_l!%0d"</f>
        <v>#VALUE!</v>
      </c>
      <c r="AE66" t="e">
        <f>'SurveyRpt_20150223 (1)'!AN406+"h_l!%0e"</f>
        <v>#VALUE!</v>
      </c>
      <c r="AF66" t="e">
        <f>'SurveyRpt_20150223 (1)'!A407+"h_l!%0f"</f>
        <v>#VALUE!</v>
      </c>
      <c r="AG66" s="25" t="e">
        <f>'SurveyRpt_20150223 (1)'!B407+"h_l!%0g"</f>
        <v>#VALUE!</v>
      </c>
      <c r="AH66" t="e">
        <f>'SurveyRpt_20150223 (1)'!C407+"h_l!%0h"</f>
        <v>#VALUE!</v>
      </c>
      <c r="AI66" s="25" t="e">
        <f>'SurveyRpt_20150223 (1)'!D407+"h_l!%0i"</f>
        <v>#VALUE!</v>
      </c>
      <c r="AJ66" t="e">
        <f>'SurveyRpt_20150223 (1)'!E407+"h_l!%0j"</f>
        <v>#VALUE!</v>
      </c>
      <c r="AK66" t="e">
        <f>'SurveyRpt_20150223 (1)'!F407+"h_l!%0k"</f>
        <v>#VALUE!</v>
      </c>
      <c r="AL66" t="e">
        <f>'SurveyRpt_20150223 (1)'!G407+"h_l!%0l"</f>
        <v>#VALUE!</v>
      </c>
      <c r="AM66" t="e">
        <f>'SurveyRpt_20150223 (1)'!H407+"h_l!%0m"</f>
        <v>#VALUE!</v>
      </c>
      <c r="AN66" t="e">
        <f>'SurveyRpt_20150223 (1)'!I407+"h_l!%0n"</f>
        <v>#VALUE!</v>
      </c>
      <c r="AO66" t="e">
        <f>'SurveyRpt_20150223 (1)'!J407+"h_l!%0o"</f>
        <v>#VALUE!</v>
      </c>
      <c r="AP66" t="e">
        <f>'SurveyRpt_20150223 (1)'!K407+"h_l!%0p"</f>
        <v>#VALUE!</v>
      </c>
      <c r="AQ66" t="e">
        <f>'SurveyRpt_20150223 (1)'!L407+"h_l!%0q"</f>
        <v>#VALUE!</v>
      </c>
      <c r="AR66" t="e">
        <f>'SurveyRpt_20150223 (1)'!M407+"h_l!%0r"</f>
        <v>#VALUE!</v>
      </c>
      <c r="AS66" t="e">
        <f>'SurveyRpt_20150223 (1)'!N407+"h_l!%0s"</f>
        <v>#VALUE!</v>
      </c>
      <c r="AT66" t="e">
        <f>'SurveyRpt_20150223 (1)'!O407+"h_l!%0t"</f>
        <v>#VALUE!</v>
      </c>
      <c r="AU66" t="e">
        <f>'SurveyRpt_20150223 (1)'!P407+"h_l!%0u"</f>
        <v>#VALUE!</v>
      </c>
      <c r="AV66" t="e">
        <f>'SurveyRpt_20150223 (1)'!Q407+"h_l!%0v"</f>
        <v>#VALUE!</v>
      </c>
      <c r="AW66" t="e">
        <f>'SurveyRpt_20150223 (1)'!R407+"h_l!%0w"</f>
        <v>#VALUE!</v>
      </c>
      <c r="AX66" t="e">
        <f>'SurveyRpt_20150223 (1)'!S407+"h_l!%0x"</f>
        <v>#VALUE!</v>
      </c>
      <c r="AY66" t="e">
        <f>'SurveyRpt_20150223 (1)'!T407+"h_l!%0y"</f>
        <v>#VALUE!</v>
      </c>
      <c r="AZ66" t="e">
        <f>'SurveyRpt_20150223 (1)'!U407+"h_l!%0z"</f>
        <v>#VALUE!</v>
      </c>
      <c r="BA66" t="e">
        <f>'SurveyRpt_20150223 (1)'!V407+"h_l!%0{"</f>
        <v>#VALUE!</v>
      </c>
      <c r="BB66" t="e">
        <f>'SurveyRpt_20150223 (1)'!W407+"h_l!%0|"</f>
        <v>#VALUE!</v>
      </c>
      <c r="BC66" t="e">
        <f>'SurveyRpt_20150223 (1)'!X407+"h_l!%0}"</f>
        <v>#VALUE!</v>
      </c>
      <c r="BD66" t="e">
        <f>'SurveyRpt_20150223 (1)'!Y407+"h_l!%0~"</f>
        <v>#VALUE!</v>
      </c>
      <c r="BE66" t="e">
        <f>'SurveyRpt_20150223 (1)'!Z407+"h_l!%1#"</f>
        <v>#VALUE!</v>
      </c>
      <c r="BF66" t="e">
        <f>'SurveyRpt_20150223 (1)'!AA407+"h_l!%1$"</f>
        <v>#VALUE!</v>
      </c>
      <c r="BG66" t="e">
        <f>'SurveyRpt_20150223 (1)'!AB407+"h_l!%1%"</f>
        <v>#VALUE!</v>
      </c>
      <c r="BH66" t="e">
        <f>'SurveyRpt_20150223 (1)'!AC407+"h_l!%1&amp;"</f>
        <v>#VALUE!</v>
      </c>
      <c r="BI66" t="e">
        <f>'SurveyRpt_20150223 (1)'!AD407+"h_l!%1'"</f>
        <v>#VALUE!</v>
      </c>
      <c r="BJ66" t="e">
        <f>'SurveyRpt_20150223 (1)'!AE407+"h_l!%1("</f>
        <v>#VALUE!</v>
      </c>
      <c r="BK66" t="e">
        <f>'SurveyRpt_20150223 (1)'!AF407+"h_l!%1)"</f>
        <v>#VALUE!</v>
      </c>
      <c r="BL66" t="e">
        <f>'SurveyRpt_20150223 (1)'!AG407+"h_l!%1."</f>
        <v>#VALUE!</v>
      </c>
      <c r="BM66" t="e">
        <f>'SurveyRpt_20150223 (1)'!AH407+"h_l!%1/"</f>
        <v>#VALUE!</v>
      </c>
      <c r="BN66" t="e">
        <f>'SurveyRpt_20150223 (1)'!AI407+"h_l!%10"</f>
        <v>#VALUE!</v>
      </c>
      <c r="BO66" t="e">
        <f>'SurveyRpt_20150223 (1)'!AJ407+"h_l!%11"</f>
        <v>#VALUE!</v>
      </c>
      <c r="BP66" t="e">
        <f>'SurveyRpt_20150223 (1)'!AK407+"h_l!%12"</f>
        <v>#VALUE!</v>
      </c>
      <c r="BQ66" t="e">
        <f>'SurveyRpt_20150223 (1)'!AL407+"h_l!%13"</f>
        <v>#VALUE!</v>
      </c>
      <c r="BR66" t="e">
        <f>'SurveyRpt_20150223 (1)'!AM407+"h_l!%14"</f>
        <v>#VALUE!</v>
      </c>
      <c r="BS66" t="e">
        <f>'SurveyRpt_20150223 (1)'!AN407+"h_l!%15"</f>
        <v>#VALUE!</v>
      </c>
      <c r="BT66" t="e">
        <f>'SurveyRpt_20150223 (1)'!A408+"h_l!%16"</f>
        <v>#VALUE!</v>
      </c>
      <c r="BU66" s="25" t="e">
        <f>'SurveyRpt_20150223 (1)'!B408+"h_l!%17"</f>
        <v>#VALUE!</v>
      </c>
      <c r="BV66" t="e">
        <f>'SurveyRpt_20150223 (1)'!C408+"h_l!%18"</f>
        <v>#VALUE!</v>
      </c>
      <c r="BW66" s="25" t="e">
        <f>'SurveyRpt_20150223 (1)'!D408+"h_l!%19"</f>
        <v>#VALUE!</v>
      </c>
      <c r="BX66" t="e">
        <f>'SurveyRpt_20150223 (1)'!E408+"h_l!%1:"</f>
        <v>#VALUE!</v>
      </c>
      <c r="BY66" t="e">
        <f>'SurveyRpt_20150223 (1)'!F408+"h_l!%1;"</f>
        <v>#VALUE!</v>
      </c>
      <c r="BZ66" t="e">
        <f>'SurveyRpt_20150223 (1)'!G408+"h_l!%1&lt;"</f>
        <v>#VALUE!</v>
      </c>
      <c r="CA66" t="e">
        <f>'SurveyRpt_20150223 (1)'!H408+"h_l!%1="</f>
        <v>#VALUE!</v>
      </c>
      <c r="CB66" t="e">
        <f>'SurveyRpt_20150223 (1)'!I408+"h_l!%1&gt;"</f>
        <v>#VALUE!</v>
      </c>
      <c r="CC66" t="e">
        <f>'SurveyRpt_20150223 (1)'!J408+"h_l!%1?"</f>
        <v>#VALUE!</v>
      </c>
      <c r="CD66" t="e">
        <f>'SurveyRpt_20150223 (1)'!K408+"h_l!%1@"</f>
        <v>#VALUE!</v>
      </c>
      <c r="CE66" t="e">
        <f>'SurveyRpt_20150223 (1)'!L408+"h_l!%1A"</f>
        <v>#VALUE!</v>
      </c>
      <c r="CF66" t="e">
        <f>'SurveyRpt_20150223 (1)'!M408+"h_l!%1B"</f>
        <v>#VALUE!</v>
      </c>
      <c r="CG66" t="e">
        <f>'SurveyRpt_20150223 (1)'!N408+"h_l!%1C"</f>
        <v>#VALUE!</v>
      </c>
      <c r="CH66" t="e">
        <f>'SurveyRpt_20150223 (1)'!O408+"h_l!%1D"</f>
        <v>#VALUE!</v>
      </c>
      <c r="CI66" t="e">
        <f>'SurveyRpt_20150223 (1)'!P408+"h_l!%1E"</f>
        <v>#VALUE!</v>
      </c>
      <c r="CJ66" t="e">
        <f>'SurveyRpt_20150223 (1)'!Q408+"h_l!%1F"</f>
        <v>#VALUE!</v>
      </c>
      <c r="CK66" t="e">
        <f>'SurveyRpt_20150223 (1)'!R408+"h_l!%1G"</f>
        <v>#VALUE!</v>
      </c>
      <c r="CL66" t="e">
        <f>'SurveyRpt_20150223 (1)'!S408+"h_l!%1H"</f>
        <v>#VALUE!</v>
      </c>
      <c r="CM66" t="e">
        <f>'SurveyRpt_20150223 (1)'!T408+"h_l!%1I"</f>
        <v>#VALUE!</v>
      </c>
      <c r="CN66" t="e">
        <f>'SurveyRpt_20150223 (1)'!U408+"h_l!%1J"</f>
        <v>#VALUE!</v>
      </c>
      <c r="CO66" t="e">
        <f>'SurveyRpt_20150223 (1)'!V408+"h_l!%1K"</f>
        <v>#VALUE!</v>
      </c>
      <c r="CP66" t="e">
        <f>'SurveyRpt_20150223 (1)'!W408+"h_l!%1L"</f>
        <v>#VALUE!</v>
      </c>
      <c r="CQ66" t="e">
        <f>'SurveyRpt_20150223 (1)'!X408+"h_l!%1M"</f>
        <v>#VALUE!</v>
      </c>
      <c r="CR66" t="e">
        <f>'SurveyRpt_20150223 (1)'!Y408+"h_l!%1N"</f>
        <v>#VALUE!</v>
      </c>
      <c r="CS66" t="e">
        <f>'SurveyRpt_20150223 (1)'!Z408+"h_l!%1O"</f>
        <v>#VALUE!</v>
      </c>
      <c r="CT66" t="e">
        <f>'SurveyRpt_20150223 (1)'!AA408+"h_l!%1P"</f>
        <v>#VALUE!</v>
      </c>
      <c r="CU66" t="e">
        <f>'SurveyRpt_20150223 (1)'!AB408+"h_l!%1Q"</f>
        <v>#VALUE!</v>
      </c>
      <c r="CV66" t="e">
        <f>'SurveyRpt_20150223 (1)'!AC408+"h_l!%1R"</f>
        <v>#VALUE!</v>
      </c>
      <c r="CW66" t="e">
        <f>'SurveyRpt_20150223 (1)'!AD408+"h_l!%1S"</f>
        <v>#VALUE!</v>
      </c>
      <c r="CX66" t="e">
        <f>'SurveyRpt_20150223 (1)'!AE408+"h_l!%1T"</f>
        <v>#VALUE!</v>
      </c>
      <c r="CY66" t="e">
        <f>'SurveyRpt_20150223 (1)'!AF408+"h_l!%1U"</f>
        <v>#VALUE!</v>
      </c>
      <c r="CZ66" t="e">
        <f>'SurveyRpt_20150223 (1)'!AG408+"h_l!%1V"</f>
        <v>#VALUE!</v>
      </c>
      <c r="DA66" t="e">
        <f>'SurveyRpt_20150223 (1)'!AH408+"h_l!%1W"</f>
        <v>#VALUE!</v>
      </c>
      <c r="DB66" t="e">
        <f>'SurveyRpt_20150223 (1)'!AI408+"h_l!%1X"</f>
        <v>#VALUE!</v>
      </c>
      <c r="DC66" t="e">
        <f>'SurveyRpt_20150223 (1)'!AJ408+"h_l!%1Y"</f>
        <v>#VALUE!</v>
      </c>
      <c r="DD66" t="e">
        <f>'SurveyRpt_20150223 (1)'!AK408+"h_l!%1Z"</f>
        <v>#VALUE!</v>
      </c>
      <c r="DE66" t="e">
        <f>'SurveyRpt_20150223 (1)'!AL408+"h_l!%1["</f>
        <v>#VALUE!</v>
      </c>
      <c r="DF66" t="e">
        <f>'SurveyRpt_20150223 (1)'!AM408+"h_l!%1\"</f>
        <v>#VALUE!</v>
      </c>
      <c r="DG66" t="e">
        <f>'SurveyRpt_20150223 (1)'!AN408+"h_l!%1]"</f>
        <v>#VALUE!</v>
      </c>
      <c r="DH66" t="e">
        <f>'SurveyRpt_20150223 (1)'!A409+"h_l!%1^"</f>
        <v>#VALUE!</v>
      </c>
      <c r="DI66" s="25" t="e">
        <f>'SurveyRpt_20150223 (1)'!B409+"h_l!%1_"</f>
        <v>#VALUE!</v>
      </c>
      <c r="DJ66" t="e">
        <f>'SurveyRpt_20150223 (1)'!C409+"h_l!%1`"</f>
        <v>#VALUE!</v>
      </c>
      <c r="DK66" s="25" t="e">
        <f>'SurveyRpt_20150223 (1)'!D409+"h_l!%1a"</f>
        <v>#VALUE!</v>
      </c>
      <c r="DL66" t="e">
        <f>'SurveyRpt_20150223 (1)'!E409+"h_l!%1b"</f>
        <v>#VALUE!</v>
      </c>
      <c r="DM66" t="e">
        <f>'SurveyRpt_20150223 (1)'!F409+"h_l!%1c"</f>
        <v>#VALUE!</v>
      </c>
      <c r="DN66" t="e">
        <f>'SurveyRpt_20150223 (1)'!G409+"h_l!%1d"</f>
        <v>#VALUE!</v>
      </c>
      <c r="DO66" t="e">
        <f>'SurveyRpt_20150223 (1)'!H409+"h_l!%1e"</f>
        <v>#VALUE!</v>
      </c>
      <c r="DP66" t="e">
        <f>'SurveyRpt_20150223 (1)'!I409+"h_l!%1f"</f>
        <v>#VALUE!</v>
      </c>
      <c r="DQ66" t="e">
        <f>'SurveyRpt_20150223 (1)'!J409+"h_l!%1g"</f>
        <v>#VALUE!</v>
      </c>
      <c r="DR66" t="e">
        <f>'SurveyRpt_20150223 (1)'!K409+"h_l!%1h"</f>
        <v>#VALUE!</v>
      </c>
      <c r="DS66" t="e">
        <f>'SurveyRpt_20150223 (1)'!L409+"h_l!%1i"</f>
        <v>#VALUE!</v>
      </c>
      <c r="DT66" t="e">
        <f>'SurveyRpt_20150223 (1)'!M409+"h_l!%1j"</f>
        <v>#VALUE!</v>
      </c>
      <c r="DU66" t="e">
        <f>'SurveyRpt_20150223 (1)'!N409+"h_l!%1k"</f>
        <v>#VALUE!</v>
      </c>
      <c r="DV66" t="e">
        <f>'SurveyRpt_20150223 (1)'!O409+"h_l!%1l"</f>
        <v>#VALUE!</v>
      </c>
      <c r="DW66" t="e">
        <f>'SurveyRpt_20150223 (1)'!P409+"h_l!%1m"</f>
        <v>#VALUE!</v>
      </c>
      <c r="DX66" t="e">
        <f>'SurveyRpt_20150223 (1)'!Q409+"h_l!%1n"</f>
        <v>#VALUE!</v>
      </c>
      <c r="DY66" t="e">
        <f>'SurveyRpt_20150223 (1)'!R409+"h_l!%1o"</f>
        <v>#VALUE!</v>
      </c>
      <c r="DZ66" t="e">
        <f>'SurveyRpt_20150223 (1)'!S409+"h_l!%1p"</f>
        <v>#VALUE!</v>
      </c>
      <c r="EA66" t="e">
        <f>'SurveyRpt_20150223 (1)'!T409+"h_l!%1q"</f>
        <v>#VALUE!</v>
      </c>
      <c r="EB66" t="e">
        <f>'SurveyRpt_20150223 (1)'!U409+"h_l!%1r"</f>
        <v>#VALUE!</v>
      </c>
      <c r="EC66" t="e">
        <f>'SurveyRpt_20150223 (1)'!V409+"h_l!%1s"</f>
        <v>#VALUE!</v>
      </c>
      <c r="ED66" t="e">
        <f>'SurveyRpt_20150223 (1)'!W409+"h_l!%1t"</f>
        <v>#VALUE!</v>
      </c>
      <c r="EE66" t="e">
        <f>'SurveyRpt_20150223 (1)'!X409+"h_l!%1u"</f>
        <v>#VALUE!</v>
      </c>
      <c r="EF66" t="e">
        <f>'SurveyRpt_20150223 (1)'!Y409+"h_l!%1v"</f>
        <v>#VALUE!</v>
      </c>
      <c r="EG66" t="e">
        <f>'SurveyRpt_20150223 (1)'!Z409+"h_l!%1w"</f>
        <v>#VALUE!</v>
      </c>
      <c r="EH66" t="e">
        <f>'SurveyRpt_20150223 (1)'!AA409+"h_l!%1x"</f>
        <v>#VALUE!</v>
      </c>
      <c r="EI66" t="e">
        <f>'SurveyRpt_20150223 (1)'!AB409+"h_l!%1y"</f>
        <v>#VALUE!</v>
      </c>
      <c r="EJ66" t="e">
        <f>'SurveyRpt_20150223 (1)'!AC409+"h_l!%1z"</f>
        <v>#VALUE!</v>
      </c>
      <c r="EK66" t="e">
        <f>'SurveyRpt_20150223 (1)'!AD409+"h_l!%1{"</f>
        <v>#VALUE!</v>
      </c>
      <c r="EL66" t="e">
        <f>'SurveyRpt_20150223 (1)'!AE409+"h_l!%1|"</f>
        <v>#VALUE!</v>
      </c>
      <c r="EM66" t="e">
        <f>'SurveyRpt_20150223 (1)'!AF409+"h_l!%1}"</f>
        <v>#VALUE!</v>
      </c>
      <c r="EN66" t="e">
        <f>'SurveyRpt_20150223 (1)'!AG409+"h_l!%1~"</f>
        <v>#VALUE!</v>
      </c>
      <c r="EO66" t="e">
        <f>'SurveyRpt_20150223 (1)'!AH409+"h_l!%2#"</f>
        <v>#VALUE!</v>
      </c>
      <c r="EP66" t="e">
        <f>'SurveyRpt_20150223 (1)'!AI409+"h_l!%2$"</f>
        <v>#VALUE!</v>
      </c>
      <c r="EQ66" t="e">
        <f>'SurveyRpt_20150223 (1)'!AJ409+"h_l!%2%"</f>
        <v>#VALUE!</v>
      </c>
      <c r="ER66" t="e">
        <f>'SurveyRpt_20150223 (1)'!AK409+"h_l!%2&amp;"</f>
        <v>#VALUE!</v>
      </c>
      <c r="ES66" t="e">
        <f>'SurveyRpt_20150223 (1)'!AL409+"h_l!%2'"</f>
        <v>#VALUE!</v>
      </c>
      <c r="ET66" t="e">
        <f>'SurveyRpt_20150223 (1)'!AM409+"h_l!%2("</f>
        <v>#VALUE!</v>
      </c>
      <c r="EU66" t="e">
        <f>'SurveyRpt_20150223 (1)'!AN409+"h_l!%2)"</f>
        <v>#VALUE!</v>
      </c>
      <c r="EV66" t="e">
        <f>'SurveyRpt_20150223 (1)'!A410+"h_l!%2."</f>
        <v>#VALUE!</v>
      </c>
      <c r="EW66" s="25" t="e">
        <f>'SurveyRpt_20150223 (1)'!B410+"h_l!%2/"</f>
        <v>#VALUE!</v>
      </c>
      <c r="EX66" t="e">
        <f>'SurveyRpt_20150223 (1)'!C410+"h_l!%20"</f>
        <v>#VALUE!</v>
      </c>
      <c r="EY66" s="25" t="e">
        <f>'SurveyRpt_20150223 (1)'!D410+"h_l!%21"</f>
        <v>#VALUE!</v>
      </c>
      <c r="EZ66" t="e">
        <f>'SurveyRpt_20150223 (1)'!E410+"h_l!%22"</f>
        <v>#VALUE!</v>
      </c>
      <c r="FA66" t="e">
        <f>'SurveyRpt_20150223 (1)'!F410+"h_l!%23"</f>
        <v>#VALUE!</v>
      </c>
      <c r="FB66" t="e">
        <f>'SurveyRpt_20150223 (1)'!G410+"h_l!%24"</f>
        <v>#VALUE!</v>
      </c>
      <c r="FC66" t="e">
        <f>'SurveyRpt_20150223 (1)'!H410+"h_l!%25"</f>
        <v>#VALUE!</v>
      </c>
      <c r="FD66" t="e">
        <f>'SurveyRpt_20150223 (1)'!I410+"h_l!%26"</f>
        <v>#VALUE!</v>
      </c>
      <c r="FE66" t="e">
        <f>'SurveyRpt_20150223 (1)'!J410+"h_l!%27"</f>
        <v>#VALUE!</v>
      </c>
      <c r="FF66" t="e">
        <f>'SurveyRpt_20150223 (1)'!K410+"h_l!%28"</f>
        <v>#VALUE!</v>
      </c>
      <c r="FG66" t="e">
        <f>'SurveyRpt_20150223 (1)'!L410+"h_l!%29"</f>
        <v>#VALUE!</v>
      </c>
      <c r="FH66" t="e">
        <f>'SurveyRpt_20150223 (1)'!M410+"h_l!%2:"</f>
        <v>#VALUE!</v>
      </c>
      <c r="FI66" t="e">
        <f>'SurveyRpt_20150223 (1)'!N410+"h_l!%2;"</f>
        <v>#VALUE!</v>
      </c>
      <c r="FJ66" t="e">
        <f>'SurveyRpt_20150223 (1)'!O410+"h_l!%2&lt;"</f>
        <v>#VALUE!</v>
      </c>
      <c r="FK66" t="e">
        <f>'SurveyRpt_20150223 (1)'!P410+"h_l!%2="</f>
        <v>#VALUE!</v>
      </c>
      <c r="FL66" t="e">
        <f>'SurveyRpt_20150223 (1)'!Q410+"h_l!%2&gt;"</f>
        <v>#VALUE!</v>
      </c>
      <c r="FM66" t="e">
        <f>'SurveyRpt_20150223 (1)'!R410+"h_l!%2?"</f>
        <v>#VALUE!</v>
      </c>
      <c r="FN66" t="e">
        <f>'SurveyRpt_20150223 (1)'!S410+"h_l!%2@"</f>
        <v>#VALUE!</v>
      </c>
      <c r="FO66" t="e">
        <f>'SurveyRpt_20150223 (1)'!T410+"h_l!%2A"</f>
        <v>#VALUE!</v>
      </c>
      <c r="FP66" t="e">
        <f>'SurveyRpt_20150223 (1)'!U410+"h_l!%2B"</f>
        <v>#VALUE!</v>
      </c>
      <c r="FQ66" t="e">
        <f>'SurveyRpt_20150223 (1)'!V410+"h_l!%2C"</f>
        <v>#VALUE!</v>
      </c>
      <c r="FR66" t="e">
        <f>'SurveyRpt_20150223 (1)'!W410+"h_l!%2D"</f>
        <v>#VALUE!</v>
      </c>
      <c r="FS66" t="e">
        <f>'SurveyRpt_20150223 (1)'!X410+"h_l!%2E"</f>
        <v>#VALUE!</v>
      </c>
      <c r="FT66" t="e">
        <f>'SurveyRpt_20150223 (1)'!Y410+"h_l!%2F"</f>
        <v>#VALUE!</v>
      </c>
      <c r="FU66" t="e">
        <f>'SurveyRpt_20150223 (1)'!Z410+"h_l!%2G"</f>
        <v>#VALUE!</v>
      </c>
      <c r="FV66" t="e">
        <f>'SurveyRpt_20150223 (1)'!AA410+"h_l!%2H"</f>
        <v>#VALUE!</v>
      </c>
      <c r="FW66" t="e">
        <f>'SurveyRpt_20150223 (1)'!AB410+"h_l!%2I"</f>
        <v>#VALUE!</v>
      </c>
      <c r="FX66" t="e">
        <f>'SurveyRpt_20150223 (1)'!AC410+"h_l!%2J"</f>
        <v>#VALUE!</v>
      </c>
      <c r="FY66" t="e">
        <f>'SurveyRpt_20150223 (1)'!AD410+"h_l!%2K"</f>
        <v>#VALUE!</v>
      </c>
      <c r="FZ66" t="e">
        <f>'SurveyRpt_20150223 (1)'!AE410+"h_l!%2L"</f>
        <v>#VALUE!</v>
      </c>
      <c r="GA66" t="e">
        <f>'SurveyRpt_20150223 (1)'!AF410+"h_l!%2M"</f>
        <v>#VALUE!</v>
      </c>
      <c r="GB66" t="e">
        <f>'SurveyRpt_20150223 (1)'!AG410+"h_l!%2N"</f>
        <v>#VALUE!</v>
      </c>
      <c r="GC66" t="e">
        <f>'SurveyRpt_20150223 (1)'!AH410+"h_l!%2O"</f>
        <v>#VALUE!</v>
      </c>
      <c r="GD66" t="e">
        <f>'SurveyRpt_20150223 (1)'!AI410+"h_l!%2P"</f>
        <v>#VALUE!</v>
      </c>
      <c r="GE66" t="e">
        <f>'SurveyRpt_20150223 (1)'!AJ410+"h_l!%2Q"</f>
        <v>#VALUE!</v>
      </c>
      <c r="GF66" t="e">
        <f>'SurveyRpt_20150223 (1)'!AK410+"h_l!%2R"</f>
        <v>#VALUE!</v>
      </c>
      <c r="GG66" t="e">
        <f>'SurveyRpt_20150223 (1)'!AL410+"h_l!%2S"</f>
        <v>#VALUE!</v>
      </c>
      <c r="GH66" t="e">
        <f>'SurveyRpt_20150223 (1)'!AM410+"h_l!%2T"</f>
        <v>#VALUE!</v>
      </c>
      <c r="GI66" t="e">
        <f>'SurveyRpt_20150223 (1)'!AN410+"h_l!%2U"</f>
        <v>#VALUE!</v>
      </c>
      <c r="GJ66" t="e">
        <f>'SurveyRpt_20150223 (1)'!A411+"h_l!%2V"</f>
        <v>#VALUE!</v>
      </c>
      <c r="GK66" s="25" t="e">
        <f>'SurveyRpt_20150223 (1)'!B411+"h_l!%2W"</f>
        <v>#VALUE!</v>
      </c>
      <c r="GL66" t="e">
        <f>'SurveyRpt_20150223 (1)'!C411+"h_l!%2X"</f>
        <v>#VALUE!</v>
      </c>
      <c r="GM66" s="25" t="e">
        <f>'SurveyRpt_20150223 (1)'!D411+"h_l!%2Y"</f>
        <v>#VALUE!</v>
      </c>
      <c r="GN66" t="e">
        <f>'SurveyRpt_20150223 (1)'!E411+"h_l!%2Z"</f>
        <v>#VALUE!</v>
      </c>
      <c r="GO66" t="e">
        <f>'SurveyRpt_20150223 (1)'!F411+"h_l!%2["</f>
        <v>#VALUE!</v>
      </c>
      <c r="GP66" t="e">
        <f>'SurveyRpt_20150223 (1)'!G411+"h_l!%2\"</f>
        <v>#VALUE!</v>
      </c>
      <c r="GQ66" t="e">
        <f>'SurveyRpt_20150223 (1)'!H411+"h_l!%2]"</f>
        <v>#VALUE!</v>
      </c>
      <c r="GR66" t="e">
        <f>'SurveyRpt_20150223 (1)'!I411+"h_l!%2^"</f>
        <v>#VALUE!</v>
      </c>
      <c r="GS66" t="e">
        <f>'SurveyRpt_20150223 (1)'!J411+"h_l!%2_"</f>
        <v>#VALUE!</v>
      </c>
      <c r="GT66" t="e">
        <f>'SurveyRpt_20150223 (1)'!K411+"h_l!%2`"</f>
        <v>#VALUE!</v>
      </c>
      <c r="GU66" t="e">
        <f>'SurveyRpt_20150223 (1)'!L411+"h_l!%2a"</f>
        <v>#VALUE!</v>
      </c>
      <c r="GV66" t="e">
        <f>'SurveyRpt_20150223 (1)'!M411+"h_l!%2b"</f>
        <v>#VALUE!</v>
      </c>
      <c r="GW66" t="e">
        <f>'SurveyRpt_20150223 (1)'!N411+"h_l!%2c"</f>
        <v>#VALUE!</v>
      </c>
      <c r="GX66" t="e">
        <f>'SurveyRpt_20150223 (1)'!O411+"h_l!%2d"</f>
        <v>#VALUE!</v>
      </c>
      <c r="GY66" t="e">
        <f>'SurveyRpt_20150223 (1)'!P411+"h_l!%2e"</f>
        <v>#VALUE!</v>
      </c>
      <c r="GZ66" t="e">
        <f>'SurveyRpt_20150223 (1)'!Q411+"h_l!%2f"</f>
        <v>#VALUE!</v>
      </c>
      <c r="HA66" t="e">
        <f>'SurveyRpt_20150223 (1)'!R411+"h_l!%2g"</f>
        <v>#VALUE!</v>
      </c>
      <c r="HB66" t="e">
        <f>'SurveyRpt_20150223 (1)'!S411+"h_l!%2h"</f>
        <v>#VALUE!</v>
      </c>
      <c r="HC66" t="e">
        <f>'SurveyRpt_20150223 (1)'!T411+"h_l!%2i"</f>
        <v>#VALUE!</v>
      </c>
      <c r="HD66" t="e">
        <f>'SurveyRpt_20150223 (1)'!U411+"h_l!%2j"</f>
        <v>#VALUE!</v>
      </c>
      <c r="HE66" t="e">
        <f>'SurveyRpt_20150223 (1)'!V411+"h_l!%2k"</f>
        <v>#VALUE!</v>
      </c>
      <c r="HF66" t="e">
        <f>'SurveyRpt_20150223 (1)'!W411+"h_l!%2l"</f>
        <v>#VALUE!</v>
      </c>
      <c r="HG66" t="e">
        <f>'SurveyRpt_20150223 (1)'!X411+"h_l!%2m"</f>
        <v>#VALUE!</v>
      </c>
      <c r="HH66" t="e">
        <f>'SurveyRpt_20150223 (1)'!Y411+"h_l!%2n"</f>
        <v>#VALUE!</v>
      </c>
      <c r="HI66" t="e">
        <f>'SurveyRpt_20150223 (1)'!Z411+"h_l!%2o"</f>
        <v>#VALUE!</v>
      </c>
      <c r="HJ66" t="e">
        <f>'SurveyRpt_20150223 (1)'!AA411+"h_l!%2p"</f>
        <v>#VALUE!</v>
      </c>
      <c r="HK66" t="e">
        <f>'SurveyRpt_20150223 (1)'!AB411+"h_l!%2q"</f>
        <v>#VALUE!</v>
      </c>
      <c r="HL66" t="e">
        <f>'SurveyRpt_20150223 (1)'!AC411+"h_l!%2r"</f>
        <v>#VALUE!</v>
      </c>
      <c r="HM66" t="e">
        <f>'SurveyRpt_20150223 (1)'!AD411+"h_l!%2s"</f>
        <v>#VALUE!</v>
      </c>
      <c r="HN66" t="e">
        <f>'SurveyRpt_20150223 (1)'!AE411+"h_l!%2t"</f>
        <v>#VALUE!</v>
      </c>
      <c r="HO66" t="e">
        <f>'SurveyRpt_20150223 (1)'!AF411+"h_l!%2u"</f>
        <v>#VALUE!</v>
      </c>
      <c r="HP66" t="e">
        <f>'SurveyRpt_20150223 (1)'!AG411+"h_l!%2v"</f>
        <v>#VALUE!</v>
      </c>
      <c r="HQ66" t="e">
        <f>'SurveyRpt_20150223 (1)'!AH411+"h_l!%2w"</f>
        <v>#VALUE!</v>
      </c>
      <c r="HR66" t="e">
        <f>'SurveyRpt_20150223 (1)'!AI411+"h_l!%2x"</f>
        <v>#VALUE!</v>
      </c>
      <c r="HS66" t="e">
        <f>'SurveyRpt_20150223 (1)'!AJ411+"h_l!%2y"</f>
        <v>#VALUE!</v>
      </c>
      <c r="HT66" t="e">
        <f>'SurveyRpt_20150223 (1)'!AK411+"h_l!%2z"</f>
        <v>#VALUE!</v>
      </c>
      <c r="HU66" t="e">
        <f>'SurveyRpt_20150223 (1)'!AL411+"h_l!%2{"</f>
        <v>#VALUE!</v>
      </c>
      <c r="HV66" t="e">
        <f>'SurveyRpt_20150223 (1)'!AM411+"h_l!%2|"</f>
        <v>#VALUE!</v>
      </c>
      <c r="HW66" t="e">
        <f>'SurveyRpt_20150223 (1)'!AN411+"h_l!%2}"</f>
        <v>#VALUE!</v>
      </c>
      <c r="HX66" t="e">
        <f>'SurveyRpt_20150223 (1)'!A412+"h_l!%2~"</f>
        <v>#VALUE!</v>
      </c>
      <c r="HY66" s="25" t="e">
        <f>'SurveyRpt_20150223 (1)'!B412+"h_l!%3#"</f>
        <v>#VALUE!</v>
      </c>
      <c r="HZ66" t="e">
        <f>'SurveyRpt_20150223 (1)'!C412+"h_l!%3$"</f>
        <v>#VALUE!</v>
      </c>
      <c r="IA66" s="25" t="e">
        <f>'SurveyRpt_20150223 (1)'!D412+"h_l!%3%"</f>
        <v>#VALUE!</v>
      </c>
      <c r="IB66" t="e">
        <f>'SurveyRpt_20150223 (1)'!E412+"h_l!%3&amp;"</f>
        <v>#VALUE!</v>
      </c>
      <c r="IC66" t="e">
        <f>'SurveyRpt_20150223 (1)'!F412+"h_l!%3'"</f>
        <v>#VALUE!</v>
      </c>
      <c r="ID66" t="e">
        <f>'SurveyRpt_20150223 (1)'!G412+"h_l!%3("</f>
        <v>#VALUE!</v>
      </c>
      <c r="IE66" t="e">
        <f>'SurveyRpt_20150223 (1)'!H412+"h_l!%3)"</f>
        <v>#VALUE!</v>
      </c>
      <c r="IF66" t="e">
        <f>'SurveyRpt_20150223 (1)'!I412+"h_l!%3."</f>
        <v>#VALUE!</v>
      </c>
      <c r="IG66" t="e">
        <f>'SurveyRpt_20150223 (1)'!J412+"h_l!%3/"</f>
        <v>#VALUE!</v>
      </c>
      <c r="IH66" t="e">
        <f>'SurveyRpt_20150223 (1)'!K412+"h_l!%30"</f>
        <v>#VALUE!</v>
      </c>
      <c r="II66" t="e">
        <f>'SurveyRpt_20150223 (1)'!L412+"h_l!%31"</f>
        <v>#VALUE!</v>
      </c>
      <c r="IJ66" t="e">
        <f>'SurveyRpt_20150223 (1)'!M412+"h_l!%32"</f>
        <v>#VALUE!</v>
      </c>
      <c r="IK66" t="e">
        <f>'SurveyRpt_20150223 (1)'!N412+"h_l!%33"</f>
        <v>#VALUE!</v>
      </c>
      <c r="IL66" t="e">
        <f>'SurveyRpt_20150223 (1)'!O412+"h_l!%34"</f>
        <v>#VALUE!</v>
      </c>
      <c r="IM66" t="e">
        <f>'SurveyRpt_20150223 (1)'!P412+"h_l!%35"</f>
        <v>#VALUE!</v>
      </c>
      <c r="IN66" t="e">
        <f>'SurveyRpt_20150223 (1)'!Q412+"h_l!%36"</f>
        <v>#VALUE!</v>
      </c>
      <c r="IO66" t="e">
        <f>'SurveyRpt_20150223 (1)'!R412+"h_l!%37"</f>
        <v>#VALUE!</v>
      </c>
      <c r="IP66" t="e">
        <f>'SurveyRpt_20150223 (1)'!S412+"h_l!%38"</f>
        <v>#VALUE!</v>
      </c>
      <c r="IQ66" t="e">
        <f>'SurveyRpt_20150223 (1)'!T412+"h_l!%39"</f>
        <v>#VALUE!</v>
      </c>
      <c r="IR66" t="e">
        <f>'SurveyRpt_20150223 (1)'!U412+"h_l!%3:"</f>
        <v>#VALUE!</v>
      </c>
      <c r="IS66" t="e">
        <f>'SurveyRpt_20150223 (1)'!V412+"h_l!%3;"</f>
        <v>#VALUE!</v>
      </c>
      <c r="IT66" t="e">
        <f>'SurveyRpt_20150223 (1)'!W412+"h_l!%3&lt;"</f>
        <v>#VALUE!</v>
      </c>
      <c r="IU66" t="e">
        <f>'SurveyRpt_20150223 (1)'!X412+"h_l!%3="</f>
        <v>#VALUE!</v>
      </c>
      <c r="IV66" t="e">
        <f>'SurveyRpt_20150223 (1)'!Y412+"h_l!%3&gt;"</f>
        <v>#VALUE!</v>
      </c>
    </row>
    <row r="67" spans="6:256" x14ac:dyDescent="0.25">
      <c r="F67" t="e">
        <f>'SurveyRpt_20150223 (1)'!Z412+"h_l!%3?"</f>
        <v>#VALUE!</v>
      </c>
      <c r="G67" t="e">
        <f>'SurveyRpt_20150223 (1)'!AA412+"h_l!%3@"</f>
        <v>#VALUE!</v>
      </c>
      <c r="H67" t="e">
        <f>'SurveyRpt_20150223 (1)'!AB412+"h_l!%3A"</f>
        <v>#VALUE!</v>
      </c>
      <c r="I67" t="e">
        <f>'SurveyRpt_20150223 (1)'!AC412+"h_l!%3B"</f>
        <v>#VALUE!</v>
      </c>
      <c r="J67" t="e">
        <f>'SurveyRpt_20150223 (1)'!AD412+"h_l!%3C"</f>
        <v>#VALUE!</v>
      </c>
      <c r="K67" t="e">
        <f>'SurveyRpt_20150223 (1)'!AE412+"h_l!%3D"</f>
        <v>#VALUE!</v>
      </c>
      <c r="L67" t="e">
        <f>'SurveyRpt_20150223 (1)'!AF412+"h_l!%3E"</f>
        <v>#VALUE!</v>
      </c>
      <c r="M67" t="e">
        <f>'SurveyRpt_20150223 (1)'!AG412+"h_l!%3F"</f>
        <v>#VALUE!</v>
      </c>
      <c r="N67" t="e">
        <f>'SurveyRpt_20150223 (1)'!AH412+"h_l!%3G"</f>
        <v>#VALUE!</v>
      </c>
      <c r="O67" t="e">
        <f>'SurveyRpt_20150223 (1)'!AI412+"h_l!%3H"</f>
        <v>#VALUE!</v>
      </c>
      <c r="P67" t="e">
        <f>'SurveyRpt_20150223 (1)'!AJ412+"h_l!%3I"</f>
        <v>#VALUE!</v>
      </c>
      <c r="Q67" t="e">
        <f>'SurveyRpt_20150223 (1)'!AK412+"h_l!%3J"</f>
        <v>#VALUE!</v>
      </c>
      <c r="R67" t="e">
        <f>'SurveyRpt_20150223 (1)'!AL412+"h_l!%3K"</f>
        <v>#VALUE!</v>
      </c>
      <c r="S67" t="e">
        <f>'SurveyRpt_20150223 (1)'!AM412+"h_l!%3L"</f>
        <v>#VALUE!</v>
      </c>
      <c r="T67" t="e">
        <f>'SurveyRpt_20150223 (1)'!AN412+"h_l!%3M"</f>
        <v>#VALUE!</v>
      </c>
      <c r="U67" t="e">
        <f>'SurveyRpt_20150223 (1)'!A413+"h_l!%3N"</f>
        <v>#VALUE!</v>
      </c>
      <c r="V67" s="25" t="e">
        <f>'SurveyRpt_20150223 (1)'!B413+"h_l!%3O"</f>
        <v>#VALUE!</v>
      </c>
      <c r="W67" t="e">
        <f>'SurveyRpt_20150223 (1)'!C413+"h_l!%3P"</f>
        <v>#VALUE!</v>
      </c>
      <c r="X67" s="25" t="e">
        <f>'SurveyRpt_20150223 (1)'!D413+"h_l!%3Q"</f>
        <v>#VALUE!</v>
      </c>
      <c r="Y67" t="e">
        <f>'SurveyRpt_20150223 (1)'!E413+"h_l!%3R"</f>
        <v>#VALUE!</v>
      </c>
      <c r="Z67" t="e">
        <f>'SurveyRpt_20150223 (1)'!F413+"h_l!%3S"</f>
        <v>#VALUE!</v>
      </c>
      <c r="AA67" t="e">
        <f>'SurveyRpt_20150223 (1)'!G413+"h_l!%3T"</f>
        <v>#VALUE!</v>
      </c>
      <c r="AB67" t="e">
        <f>'SurveyRpt_20150223 (1)'!H413+"h_l!%3U"</f>
        <v>#VALUE!</v>
      </c>
      <c r="AC67" t="e">
        <f>'SurveyRpt_20150223 (1)'!I413+"h_l!%3V"</f>
        <v>#VALUE!</v>
      </c>
      <c r="AD67" t="e">
        <f>'SurveyRpt_20150223 (1)'!J413+"h_l!%3W"</f>
        <v>#VALUE!</v>
      </c>
      <c r="AE67" t="e">
        <f>'SurveyRpt_20150223 (1)'!K413+"h_l!%3X"</f>
        <v>#VALUE!</v>
      </c>
      <c r="AF67" t="e">
        <f>'SurveyRpt_20150223 (1)'!L413+"h_l!%3Y"</f>
        <v>#VALUE!</v>
      </c>
      <c r="AG67" t="e">
        <f>'SurveyRpt_20150223 (1)'!M413+"h_l!%3Z"</f>
        <v>#VALUE!</v>
      </c>
      <c r="AH67" t="e">
        <f>'SurveyRpt_20150223 (1)'!N413+"h_l!%3["</f>
        <v>#VALUE!</v>
      </c>
      <c r="AI67" t="e">
        <f>'SurveyRpt_20150223 (1)'!O413+"h_l!%3\"</f>
        <v>#VALUE!</v>
      </c>
      <c r="AJ67" t="e">
        <f>'SurveyRpt_20150223 (1)'!P413+"h_l!%3]"</f>
        <v>#VALUE!</v>
      </c>
      <c r="AK67" t="e">
        <f>'SurveyRpt_20150223 (1)'!Q413+"h_l!%3^"</f>
        <v>#VALUE!</v>
      </c>
      <c r="AL67" t="e">
        <f>'SurveyRpt_20150223 (1)'!R413+"h_l!%3_"</f>
        <v>#VALUE!</v>
      </c>
      <c r="AM67" t="e">
        <f>'SurveyRpt_20150223 (1)'!S413+"h_l!%3`"</f>
        <v>#VALUE!</v>
      </c>
      <c r="AN67" t="e">
        <f>'SurveyRpt_20150223 (1)'!T413+"h_l!%3a"</f>
        <v>#VALUE!</v>
      </c>
      <c r="AO67" t="e">
        <f>'SurveyRpt_20150223 (1)'!U413+"h_l!%3b"</f>
        <v>#VALUE!</v>
      </c>
      <c r="AP67" t="e">
        <f>'SurveyRpt_20150223 (1)'!V413+"h_l!%3c"</f>
        <v>#VALUE!</v>
      </c>
      <c r="AQ67" t="e">
        <f>'SurveyRpt_20150223 (1)'!W413+"h_l!%3d"</f>
        <v>#VALUE!</v>
      </c>
      <c r="AR67" t="e">
        <f>'SurveyRpt_20150223 (1)'!X413+"h_l!%3e"</f>
        <v>#VALUE!</v>
      </c>
      <c r="AS67" t="e">
        <f>'SurveyRpt_20150223 (1)'!Y413+"h_l!%3f"</f>
        <v>#VALUE!</v>
      </c>
      <c r="AT67" t="e">
        <f>'SurveyRpt_20150223 (1)'!Z413+"h_l!%3g"</f>
        <v>#VALUE!</v>
      </c>
      <c r="AU67" t="e">
        <f>'SurveyRpt_20150223 (1)'!AA413+"h_l!%3h"</f>
        <v>#VALUE!</v>
      </c>
      <c r="AV67" t="e">
        <f>'SurveyRpt_20150223 (1)'!AB413+"h_l!%3i"</f>
        <v>#VALUE!</v>
      </c>
      <c r="AW67" t="e">
        <f>'SurveyRpt_20150223 (1)'!AC413+"h_l!%3j"</f>
        <v>#VALUE!</v>
      </c>
      <c r="AX67" t="e">
        <f>'SurveyRpt_20150223 (1)'!AD413+"h_l!%3k"</f>
        <v>#VALUE!</v>
      </c>
      <c r="AY67" t="e">
        <f>'SurveyRpt_20150223 (1)'!AE413+"h_l!%3l"</f>
        <v>#VALUE!</v>
      </c>
      <c r="AZ67" t="e">
        <f>'SurveyRpt_20150223 (1)'!AF413+"h_l!%3m"</f>
        <v>#VALUE!</v>
      </c>
      <c r="BA67" t="e">
        <f>'SurveyRpt_20150223 (1)'!AG413+"h_l!%3n"</f>
        <v>#VALUE!</v>
      </c>
      <c r="BB67" t="e">
        <f>'SurveyRpt_20150223 (1)'!AH413+"h_l!%3o"</f>
        <v>#VALUE!</v>
      </c>
      <c r="BC67" t="e">
        <f>'SurveyRpt_20150223 (1)'!AI413+"h_l!%3p"</f>
        <v>#VALUE!</v>
      </c>
      <c r="BD67" t="e">
        <f>'SurveyRpt_20150223 (1)'!AJ413+"h_l!%3q"</f>
        <v>#VALUE!</v>
      </c>
      <c r="BE67" t="e">
        <f>'SurveyRpt_20150223 (1)'!AK413+"h_l!%3r"</f>
        <v>#VALUE!</v>
      </c>
      <c r="BF67" t="e">
        <f>'SurveyRpt_20150223 (1)'!AL413+"h_l!%3s"</f>
        <v>#VALUE!</v>
      </c>
      <c r="BG67" t="e">
        <f>'SurveyRpt_20150223 (1)'!AM413+"h_l!%3t"</f>
        <v>#VALUE!</v>
      </c>
      <c r="BH67" t="e">
        <f>'SurveyRpt_20150223 (1)'!AN413+"h_l!%3u"</f>
        <v>#VALUE!</v>
      </c>
      <c r="BI67" t="e">
        <f>'SurveyRpt_20150223 (1)'!A414+"h_l!%3v"</f>
        <v>#VALUE!</v>
      </c>
      <c r="BJ67" s="25" t="e">
        <f>'SurveyRpt_20150223 (1)'!B414+"h_l!%3w"</f>
        <v>#VALUE!</v>
      </c>
      <c r="BK67" t="e">
        <f>'SurveyRpt_20150223 (1)'!C414+"h_l!%3x"</f>
        <v>#VALUE!</v>
      </c>
      <c r="BL67" s="25" t="e">
        <f>'SurveyRpt_20150223 (1)'!D414+"h_l!%3y"</f>
        <v>#VALUE!</v>
      </c>
      <c r="BM67" t="e">
        <f>'SurveyRpt_20150223 (1)'!E414+"h_l!%3z"</f>
        <v>#VALUE!</v>
      </c>
      <c r="BN67" t="e">
        <f>'SurveyRpt_20150223 (1)'!F414+"h_l!%3{"</f>
        <v>#VALUE!</v>
      </c>
      <c r="BO67" t="e">
        <f>'SurveyRpt_20150223 (1)'!G414+"h_l!%3|"</f>
        <v>#VALUE!</v>
      </c>
      <c r="BP67" t="e">
        <f>'SurveyRpt_20150223 (1)'!H414+"h_l!%3}"</f>
        <v>#VALUE!</v>
      </c>
      <c r="BQ67" t="e">
        <f>'SurveyRpt_20150223 (1)'!I414+"h_l!%3~"</f>
        <v>#VALUE!</v>
      </c>
      <c r="BR67" t="e">
        <f>'SurveyRpt_20150223 (1)'!J414+"h_l!%4#"</f>
        <v>#VALUE!</v>
      </c>
      <c r="BS67" t="e">
        <f>'SurveyRpt_20150223 (1)'!K414+"h_l!%4$"</f>
        <v>#VALUE!</v>
      </c>
      <c r="BT67" t="e">
        <f>'SurveyRpt_20150223 (1)'!L414+"h_l!%4%"</f>
        <v>#VALUE!</v>
      </c>
      <c r="BU67" t="e">
        <f>'SurveyRpt_20150223 (1)'!M414+"h_l!%4&amp;"</f>
        <v>#VALUE!</v>
      </c>
      <c r="BV67" t="e">
        <f>'SurveyRpt_20150223 (1)'!N414+"h_l!%4'"</f>
        <v>#VALUE!</v>
      </c>
      <c r="BW67" t="e">
        <f>'SurveyRpt_20150223 (1)'!O414+"h_l!%4("</f>
        <v>#VALUE!</v>
      </c>
      <c r="BX67" t="e">
        <f>'SurveyRpt_20150223 (1)'!P414+"h_l!%4)"</f>
        <v>#VALUE!</v>
      </c>
      <c r="BY67" t="e">
        <f>'SurveyRpt_20150223 (1)'!Q414+"h_l!%4."</f>
        <v>#VALUE!</v>
      </c>
      <c r="BZ67" t="e">
        <f>'SurveyRpt_20150223 (1)'!R414+"h_l!%4/"</f>
        <v>#VALUE!</v>
      </c>
      <c r="CA67" t="e">
        <f>'SurveyRpt_20150223 (1)'!S414+"h_l!%40"</f>
        <v>#VALUE!</v>
      </c>
      <c r="CB67" t="e">
        <f>'SurveyRpt_20150223 (1)'!T414+"h_l!%41"</f>
        <v>#VALUE!</v>
      </c>
      <c r="CC67" t="e">
        <f>'SurveyRpt_20150223 (1)'!U414+"h_l!%42"</f>
        <v>#VALUE!</v>
      </c>
      <c r="CD67" t="e">
        <f>'SurveyRpt_20150223 (1)'!V414+"h_l!%43"</f>
        <v>#VALUE!</v>
      </c>
      <c r="CE67" t="e">
        <f>'SurveyRpt_20150223 (1)'!W414+"h_l!%44"</f>
        <v>#VALUE!</v>
      </c>
      <c r="CF67" t="e">
        <f>'SurveyRpt_20150223 (1)'!X414+"h_l!%45"</f>
        <v>#VALUE!</v>
      </c>
      <c r="CG67" t="e">
        <f>'SurveyRpt_20150223 (1)'!Y414+"h_l!%46"</f>
        <v>#VALUE!</v>
      </c>
      <c r="CH67" t="e">
        <f>'SurveyRpt_20150223 (1)'!Z414+"h_l!%47"</f>
        <v>#VALUE!</v>
      </c>
      <c r="CI67" t="e">
        <f>'SurveyRpt_20150223 (1)'!AA414+"h_l!%48"</f>
        <v>#VALUE!</v>
      </c>
      <c r="CJ67" t="e">
        <f>'SurveyRpt_20150223 (1)'!AB414+"h_l!%49"</f>
        <v>#VALUE!</v>
      </c>
      <c r="CK67" t="e">
        <f>'SurveyRpt_20150223 (1)'!AC414+"h_l!%4:"</f>
        <v>#VALUE!</v>
      </c>
      <c r="CL67" t="e">
        <f>'SurveyRpt_20150223 (1)'!AD414+"h_l!%4;"</f>
        <v>#VALUE!</v>
      </c>
      <c r="CM67" t="e">
        <f>'SurveyRpt_20150223 (1)'!AE414+"h_l!%4&lt;"</f>
        <v>#VALUE!</v>
      </c>
      <c r="CN67" t="e">
        <f>'SurveyRpt_20150223 (1)'!AF414+"h_l!%4="</f>
        <v>#VALUE!</v>
      </c>
      <c r="CO67" t="e">
        <f>'SurveyRpt_20150223 (1)'!AG414+"h_l!%4&gt;"</f>
        <v>#VALUE!</v>
      </c>
      <c r="CP67" t="e">
        <f>'SurveyRpt_20150223 (1)'!AH414+"h_l!%4?"</f>
        <v>#VALUE!</v>
      </c>
      <c r="CQ67" t="e">
        <f>'SurveyRpt_20150223 (1)'!AI414+"h_l!%4@"</f>
        <v>#VALUE!</v>
      </c>
      <c r="CR67" t="e">
        <f>'SurveyRpt_20150223 (1)'!AJ414+"h_l!%4A"</f>
        <v>#VALUE!</v>
      </c>
      <c r="CS67" t="e">
        <f>'SurveyRpt_20150223 (1)'!AK414+"h_l!%4B"</f>
        <v>#VALUE!</v>
      </c>
      <c r="CT67" t="e">
        <f>'SurveyRpt_20150223 (1)'!AL414+"h_l!%4C"</f>
        <v>#VALUE!</v>
      </c>
      <c r="CU67" t="e">
        <f>'SurveyRpt_20150223 (1)'!AM414+"h_l!%4D"</f>
        <v>#VALUE!</v>
      </c>
      <c r="CV67" t="e">
        <f>'SurveyRpt_20150223 (1)'!AN414+"h_l!%4E"</f>
        <v>#VALUE!</v>
      </c>
      <c r="CW67" t="e">
        <f>'SurveyRpt_20150223 (1)'!A415+"h_l!%4F"</f>
        <v>#VALUE!</v>
      </c>
      <c r="CX67" s="25" t="e">
        <f>'SurveyRpt_20150223 (1)'!B415+"h_l!%4G"</f>
        <v>#VALUE!</v>
      </c>
      <c r="CY67" t="e">
        <f>'SurveyRpt_20150223 (1)'!C415+"h_l!%4H"</f>
        <v>#VALUE!</v>
      </c>
      <c r="CZ67" s="25" t="e">
        <f>'SurveyRpt_20150223 (1)'!D415+"h_l!%4I"</f>
        <v>#VALUE!</v>
      </c>
      <c r="DA67" t="e">
        <f>'SurveyRpt_20150223 (1)'!E415+"h_l!%4J"</f>
        <v>#VALUE!</v>
      </c>
      <c r="DB67" t="e">
        <f>'SurveyRpt_20150223 (1)'!F415+"h_l!%4K"</f>
        <v>#VALUE!</v>
      </c>
      <c r="DC67" t="e">
        <f>'SurveyRpt_20150223 (1)'!G415+"h_l!%4L"</f>
        <v>#VALUE!</v>
      </c>
      <c r="DD67" t="e">
        <f>'SurveyRpt_20150223 (1)'!H415+"h_l!%4M"</f>
        <v>#VALUE!</v>
      </c>
      <c r="DE67" t="e">
        <f>'SurveyRpt_20150223 (1)'!I415+"h_l!%4N"</f>
        <v>#VALUE!</v>
      </c>
      <c r="DF67" t="e">
        <f>'SurveyRpt_20150223 (1)'!J415+"h_l!%4O"</f>
        <v>#VALUE!</v>
      </c>
      <c r="DG67" t="e">
        <f>'SurveyRpt_20150223 (1)'!K415+"h_l!%4P"</f>
        <v>#VALUE!</v>
      </c>
      <c r="DH67" t="e">
        <f>'SurveyRpt_20150223 (1)'!L415+"h_l!%4Q"</f>
        <v>#VALUE!</v>
      </c>
      <c r="DI67" t="e">
        <f>'SurveyRpt_20150223 (1)'!M415+"h_l!%4R"</f>
        <v>#VALUE!</v>
      </c>
      <c r="DJ67" t="e">
        <f>'SurveyRpt_20150223 (1)'!N415+"h_l!%4S"</f>
        <v>#VALUE!</v>
      </c>
      <c r="DK67" t="e">
        <f>'SurveyRpt_20150223 (1)'!O415+"h_l!%4T"</f>
        <v>#VALUE!</v>
      </c>
      <c r="DL67" t="e">
        <f>'SurveyRpt_20150223 (1)'!P415+"h_l!%4U"</f>
        <v>#VALUE!</v>
      </c>
      <c r="DM67" t="e">
        <f>'SurveyRpt_20150223 (1)'!Q415+"h_l!%4V"</f>
        <v>#VALUE!</v>
      </c>
      <c r="DN67" t="e">
        <f>'SurveyRpt_20150223 (1)'!R415+"h_l!%4W"</f>
        <v>#VALUE!</v>
      </c>
      <c r="DO67" t="e">
        <f>'SurveyRpt_20150223 (1)'!S415+"h_l!%4X"</f>
        <v>#VALUE!</v>
      </c>
      <c r="DP67" t="e">
        <f>'SurveyRpt_20150223 (1)'!T415+"h_l!%4Y"</f>
        <v>#VALUE!</v>
      </c>
      <c r="DQ67" t="e">
        <f>'SurveyRpt_20150223 (1)'!U415+"h_l!%4Z"</f>
        <v>#VALUE!</v>
      </c>
      <c r="DR67" t="e">
        <f>'SurveyRpt_20150223 (1)'!V415+"h_l!%4["</f>
        <v>#VALUE!</v>
      </c>
      <c r="DS67" t="e">
        <f>'SurveyRpt_20150223 (1)'!W415+"h_l!%4\"</f>
        <v>#VALUE!</v>
      </c>
      <c r="DT67" t="e">
        <f>'SurveyRpt_20150223 (1)'!X415+"h_l!%4]"</f>
        <v>#VALUE!</v>
      </c>
      <c r="DU67" t="e">
        <f>'SurveyRpt_20150223 (1)'!Y415+"h_l!%4^"</f>
        <v>#VALUE!</v>
      </c>
      <c r="DV67" t="e">
        <f>'SurveyRpt_20150223 (1)'!Z415+"h_l!%4_"</f>
        <v>#VALUE!</v>
      </c>
      <c r="DW67" t="e">
        <f>'SurveyRpt_20150223 (1)'!AA415+"h_l!%4`"</f>
        <v>#VALUE!</v>
      </c>
      <c r="DX67" t="e">
        <f>'SurveyRpt_20150223 (1)'!AB415+"h_l!%4a"</f>
        <v>#VALUE!</v>
      </c>
      <c r="DY67" t="e">
        <f>'SurveyRpt_20150223 (1)'!AC415+"h_l!%4b"</f>
        <v>#VALUE!</v>
      </c>
      <c r="DZ67" t="e">
        <f>'SurveyRpt_20150223 (1)'!AD415+"h_l!%4c"</f>
        <v>#VALUE!</v>
      </c>
      <c r="EA67" t="e">
        <f>'SurveyRpt_20150223 (1)'!AE415+"h_l!%4d"</f>
        <v>#VALUE!</v>
      </c>
      <c r="EB67" t="e">
        <f>'SurveyRpt_20150223 (1)'!AF415+"h_l!%4e"</f>
        <v>#VALUE!</v>
      </c>
      <c r="EC67" t="e">
        <f>'SurveyRpt_20150223 (1)'!AG415+"h_l!%4f"</f>
        <v>#VALUE!</v>
      </c>
      <c r="ED67" t="e">
        <f>'SurveyRpt_20150223 (1)'!AH415+"h_l!%4g"</f>
        <v>#VALUE!</v>
      </c>
      <c r="EE67" t="e">
        <f>'SurveyRpt_20150223 (1)'!AI415+"h_l!%4h"</f>
        <v>#VALUE!</v>
      </c>
      <c r="EF67" t="e">
        <f>'SurveyRpt_20150223 (1)'!AJ415+"h_l!%4i"</f>
        <v>#VALUE!</v>
      </c>
      <c r="EG67" t="e">
        <f>'SurveyRpt_20150223 (1)'!AK415+"h_l!%4j"</f>
        <v>#VALUE!</v>
      </c>
      <c r="EH67" t="e">
        <f>'SurveyRpt_20150223 (1)'!AL415+"h_l!%4k"</f>
        <v>#VALUE!</v>
      </c>
      <c r="EI67" t="e">
        <f>'SurveyRpt_20150223 (1)'!AM415+"h_l!%4l"</f>
        <v>#VALUE!</v>
      </c>
      <c r="EJ67" t="e">
        <f>'SurveyRpt_20150223 (1)'!AN415+"h_l!%4m"</f>
        <v>#VALUE!</v>
      </c>
      <c r="EK67" t="e">
        <f>'SurveyRpt_20150223 (1)'!A416+"h_l!%4n"</f>
        <v>#VALUE!</v>
      </c>
      <c r="EL67" s="25" t="e">
        <f>'SurveyRpt_20150223 (1)'!B416+"h_l!%4o"</f>
        <v>#VALUE!</v>
      </c>
      <c r="EM67" t="e">
        <f>'SurveyRpt_20150223 (1)'!C416+"h_l!%4p"</f>
        <v>#VALUE!</v>
      </c>
      <c r="EN67" s="25" t="e">
        <f>'SurveyRpt_20150223 (1)'!D416+"h_l!%4q"</f>
        <v>#VALUE!</v>
      </c>
      <c r="EO67" t="e">
        <f>'SurveyRpt_20150223 (1)'!E416+"h_l!%4r"</f>
        <v>#VALUE!</v>
      </c>
      <c r="EP67" t="e">
        <f>'SurveyRpt_20150223 (1)'!F416+"h_l!%4s"</f>
        <v>#VALUE!</v>
      </c>
      <c r="EQ67" t="e">
        <f>'SurveyRpt_20150223 (1)'!G416+"h_l!%4t"</f>
        <v>#VALUE!</v>
      </c>
      <c r="ER67" t="e">
        <f>'SurveyRpt_20150223 (1)'!H416+"h_l!%4u"</f>
        <v>#VALUE!</v>
      </c>
      <c r="ES67" t="e">
        <f>'SurveyRpt_20150223 (1)'!I416+"h_l!%4v"</f>
        <v>#VALUE!</v>
      </c>
      <c r="ET67" t="e">
        <f>'SurveyRpt_20150223 (1)'!J416+"h_l!%4w"</f>
        <v>#VALUE!</v>
      </c>
      <c r="EU67" t="e">
        <f>'SurveyRpt_20150223 (1)'!K416+"h_l!%4x"</f>
        <v>#VALUE!</v>
      </c>
      <c r="EV67" t="e">
        <f>'SurveyRpt_20150223 (1)'!L416+"h_l!%4y"</f>
        <v>#VALUE!</v>
      </c>
      <c r="EW67" t="e">
        <f>'SurveyRpt_20150223 (1)'!M416+"h_l!%4z"</f>
        <v>#VALUE!</v>
      </c>
      <c r="EX67" t="e">
        <f>'SurveyRpt_20150223 (1)'!N416+"h_l!%4{"</f>
        <v>#VALUE!</v>
      </c>
      <c r="EY67" t="e">
        <f>'SurveyRpt_20150223 (1)'!O416+"h_l!%4|"</f>
        <v>#VALUE!</v>
      </c>
      <c r="EZ67" t="e">
        <f>'SurveyRpt_20150223 (1)'!P416+"h_l!%4}"</f>
        <v>#VALUE!</v>
      </c>
      <c r="FA67" t="e">
        <f>'SurveyRpt_20150223 (1)'!Q416+"h_l!%4~"</f>
        <v>#VALUE!</v>
      </c>
      <c r="FB67" t="e">
        <f>'SurveyRpt_20150223 (1)'!R416+"h_l!%5#"</f>
        <v>#VALUE!</v>
      </c>
      <c r="FC67" t="e">
        <f>'SurveyRpt_20150223 (1)'!S416+"h_l!%5$"</f>
        <v>#VALUE!</v>
      </c>
      <c r="FD67" t="e">
        <f>'SurveyRpt_20150223 (1)'!T416+"h_l!%5%"</f>
        <v>#VALUE!</v>
      </c>
      <c r="FE67" t="e">
        <f>'SurveyRpt_20150223 (1)'!U416+"h_l!%5&amp;"</f>
        <v>#VALUE!</v>
      </c>
      <c r="FF67" t="e">
        <f>'SurveyRpt_20150223 (1)'!V416+"h_l!%5'"</f>
        <v>#VALUE!</v>
      </c>
      <c r="FG67" t="e">
        <f>'SurveyRpt_20150223 (1)'!W416+"h_l!%5("</f>
        <v>#VALUE!</v>
      </c>
      <c r="FH67" t="e">
        <f>'SurveyRpt_20150223 (1)'!X416+"h_l!%5)"</f>
        <v>#VALUE!</v>
      </c>
      <c r="FI67" t="e">
        <f>'SurveyRpt_20150223 (1)'!Y416+"h_l!%5."</f>
        <v>#VALUE!</v>
      </c>
      <c r="FJ67" t="e">
        <f>'SurveyRpt_20150223 (1)'!Z416+"h_l!%5/"</f>
        <v>#VALUE!</v>
      </c>
      <c r="FK67" t="e">
        <f>'SurveyRpt_20150223 (1)'!AA416+"h_l!%50"</f>
        <v>#VALUE!</v>
      </c>
      <c r="FL67" t="e">
        <f>'SurveyRpt_20150223 (1)'!AB416+"h_l!%51"</f>
        <v>#VALUE!</v>
      </c>
      <c r="FM67" t="e">
        <f>'SurveyRpt_20150223 (1)'!AC416+"h_l!%52"</f>
        <v>#VALUE!</v>
      </c>
      <c r="FN67" t="e">
        <f>'SurveyRpt_20150223 (1)'!AD416+"h_l!%53"</f>
        <v>#VALUE!</v>
      </c>
      <c r="FO67" t="e">
        <f>'SurveyRpt_20150223 (1)'!AE416+"h_l!%54"</f>
        <v>#VALUE!</v>
      </c>
      <c r="FP67" t="e">
        <f>'SurveyRpt_20150223 (1)'!AF416+"h_l!%55"</f>
        <v>#VALUE!</v>
      </c>
      <c r="FQ67" t="e">
        <f>'SurveyRpt_20150223 (1)'!AG416+"h_l!%56"</f>
        <v>#VALUE!</v>
      </c>
      <c r="FR67" t="e">
        <f>'SurveyRpt_20150223 (1)'!AH416+"h_l!%57"</f>
        <v>#VALUE!</v>
      </c>
      <c r="FS67" t="e">
        <f>'SurveyRpt_20150223 (1)'!AI416+"h_l!%58"</f>
        <v>#VALUE!</v>
      </c>
      <c r="FT67" t="e">
        <f>'SurveyRpt_20150223 (1)'!AJ416+"h_l!%59"</f>
        <v>#VALUE!</v>
      </c>
      <c r="FU67" t="e">
        <f>'SurveyRpt_20150223 (1)'!AK416+"h_l!%5:"</f>
        <v>#VALUE!</v>
      </c>
      <c r="FV67" t="e">
        <f>'SurveyRpt_20150223 (1)'!AL416+"h_l!%5;"</f>
        <v>#VALUE!</v>
      </c>
      <c r="FW67" t="e">
        <f>'SurveyRpt_20150223 (1)'!AM416+"h_l!%5&lt;"</f>
        <v>#VALUE!</v>
      </c>
      <c r="FX67" t="e">
        <f>'SurveyRpt_20150223 (1)'!AN416+"h_l!%5="</f>
        <v>#VALUE!</v>
      </c>
      <c r="FY67" t="e">
        <f>'SurveyRpt_20150223 (1)'!A417+"h_l!%5&gt;"</f>
        <v>#VALUE!</v>
      </c>
      <c r="FZ67" s="25" t="e">
        <f>'SurveyRpt_20150223 (1)'!B417+"h_l!%5?"</f>
        <v>#VALUE!</v>
      </c>
      <c r="GA67" t="e">
        <f>'SurveyRpt_20150223 (1)'!C417+"h_l!%5@"</f>
        <v>#VALUE!</v>
      </c>
      <c r="GB67" s="25" t="e">
        <f>'SurveyRpt_20150223 (1)'!D417+"h_l!%5A"</f>
        <v>#VALUE!</v>
      </c>
      <c r="GC67" t="e">
        <f>'SurveyRpt_20150223 (1)'!E417+"h_l!%5B"</f>
        <v>#VALUE!</v>
      </c>
      <c r="GD67" t="e">
        <f>'SurveyRpt_20150223 (1)'!F417+"h_l!%5C"</f>
        <v>#VALUE!</v>
      </c>
      <c r="GE67" t="e">
        <f>'SurveyRpt_20150223 (1)'!G417+"h_l!%5D"</f>
        <v>#VALUE!</v>
      </c>
      <c r="GF67" t="e">
        <f>'SurveyRpt_20150223 (1)'!H417+"h_l!%5E"</f>
        <v>#VALUE!</v>
      </c>
      <c r="GG67" t="e">
        <f>'SurveyRpt_20150223 (1)'!I417+"h_l!%5F"</f>
        <v>#VALUE!</v>
      </c>
      <c r="GH67" t="e">
        <f>'SurveyRpt_20150223 (1)'!J417+"h_l!%5G"</f>
        <v>#VALUE!</v>
      </c>
      <c r="GI67" t="e">
        <f>'SurveyRpt_20150223 (1)'!K417+"h_l!%5H"</f>
        <v>#VALUE!</v>
      </c>
      <c r="GJ67" t="e">
        <f>'SurveyRpt_20150223 (1)'!L417+"h_l!%5I"</f>
        <v>#VALUE!</v>
      </c>
      <c r="GK67" t="e">
        <f>'SurveyRpt_20150223 (1)'!M417+"h_l!%5J"</f>
        <v>#VALUE!</v>
      </c>
      <c r="GL67" t="e">
        <f>'SurveyRpt_20150223 (1)'!N417+"h_l!%5K"</f>
        <v>#VALUE!</v>
      </c>
      <c r="GM67" t="e">
        <f>'SurveyRpt_20150223 (1)'!O417+"h_l!%5L"</f>
        <v>#VALUE!</v>
      </c>
      <c r="GN67" t="e">
        <f>'SurveyRpt_20150223 (1)'!P417+"h_l!%5M"</f>
        <v>#VALUE!</v>
      </c>
      <c r="GO67" t="e">
        <f>'SurveyRpt_20150223 (1)'!Q417+"h_l!%5N"</f>
        <v>#VALUE!</v>
      </c>
      <c r="GP67" t="e">
        <f>'SurveyRpt_20150223 (1)'!R417+"h_l!%5O"</f>
        <v>#VALUE!</v>
      </c>
      <c r="GQ67" t="e">
        <f>'SurveyRpt_20150223 (1)'!S417+"h_l!%5P"</f>
        <v>#VALUE!</v>
      </c>
      <c r="GR67" t="e">
        <f>'SurveyRpt_20150223 (1)'!T417+"h_l!%5Q"</f>
        <v>#VALUE!</v>
      </c>
      <c r="GS67" t="e">
        <f>'SurveyRpt_20150223 (1)'!U417+"h_l!%5R"</f>
        <v>#VALUE!</v>
      </c>
      <c r="GT67" t="e">
        <f>'SurveyRpt_20150223 (1)'!V417+"h_l!%5S"</f>
        <v>#VALUE!</v>
      </c>
      <c r="GU67" t="e">
        <f>'SurveyRpt_20150223 (1)'!W417+"h_l!%5T"</f>
        <v>#VALUE!</v>
      </c>
      <c r="GV67" t="e">
        <f>'SurveyRpt_20150223 (1)'!X417+"h_l!%5U"</f>
        <v>#VALUE!</v>
      </c>
      <c r="GW67" t="e">
        <f>'SurveyRpt_20150223 (1)'!Y417+"h_l!%5V"</f>
        <v>#VALUE!</v>
      </c>
      <c r="GX67" t="e">
        <f>'SurveyRpt_20150223 (1)'!Z417+"h_l!%5W"</f>
        <v>#VALUE!</v>
      </c>
      <c r="GY67" t="e">
        <f>'SurveyRpt_20150223 (1)'!AA417+"h_l!%5X"</f>
        <v>#VALUE!</v>
      </c>
      <c r="GZ67" t="e">
        <f>'SurveyRpt_20150223 (1)'!AB417+"h_l!%5Y"</f>
        <v>#VALUE!</v>
      </c>
      <c r="HA67" t="e">
        <f>'SurveyRpt_20150223 (1)'!AC417+"h_l!%5Z"</f>
        <v>#VALUE!</v>
      </c>
      <c r="HB67" t="e">
        <f>'SurveyRpt_20150223 (1)'!AD417+"h_l!%5["</f>
        <v>#VALUE!</v>
      </c>
      <c r="HC67" t="e">
        <f>'SurveyRpt_20150223 (1)'!AE417+"h_l!%5\"</f>
        <v>#VALUE!</v>
      </c>
      <c r="HD67" t="e">
        <f>'SurveyRpt_20150223 (1)'!AF417+"h_l!%5]"</f>
        <v>#VALUE!</v>
      </c>
      <c r="HE67" t="e">
        <f>'SurveyRpt_20150223 (1)'!AG417+"h_l!%5^"</f>
        <v>#VALUE!</v>
      </c>
      <c r="HF67" t="e">
        <f>'SurveyRpt_20150223 (1)'!AH417+"h_l!%5_"</f>
        <v>#VALUE!</v>
      </c>
      <c r="HG67" t="e">
        <f>'SurveyRpt_20150223 (1)'!AI417+"h_l!%5`"</f>
        <v>#VALUE!</v>
      </c>
      <c r="HH67" t="e">
        <f>'SurveyRpt_20150223 (1)'!AJ417+"h_l!%5a"</f>
        <v>#VALUE!</v>
      </c>
      <c r="HI67" t="e">
        <f>'SurveyRpt_20150223 (1)'!AK417+"h_l!%5b"</f>
        <v>#VALUE!</v>
      </c>
      <c r="HJ67" t="e">
        <f>'SurveyRpt_20150223 (1)'!AL417+"h_l!%5c"</f>
        <v>#VALUE!</v>
      </c>
      <c r="HK67" t="e">
        <f>'SurveyRpt_20150223 (1)'!AM417+"h_l!%5d"</f>
        <v>#VALUE!</v>
      </c>
      <c r="HL67" t="e">
        <f>'SurveyRpt_20150223 (1)'!AN417+"h_l!%5e"</f>
        <v>#VALUE!</v>
      </c>
      <c r="HM67" t="e">
        <f>'SurveyRpt_20150223 (1)'!A418+"h_l!%5f"</f>
        <v>#VALUE!</v>
      </c>
      <c r="HN67" s="25" t="e">
        <f>'SurveyRpt_20150223 (1)'!B418+"h_l!%5g"</f>
        <v>#VALUE!</v>
      </c>
      <c r="HO67" t="e">
        <f>'SurveyRpt_20150223 (1)'!C418+"h_l!%5h"</f>
        <v>#VALUE!</v>
      </c>
      <c r="HP67" s="25" t="e">
        <f>'SurveyRpt_20150223 (1)'!D418+"h_l!%5i"</f>
        <v>#VALUE!</v>
      </c>
      <c r="HQ67" t="e">
        <f>'SurveyRpt_20150223 (1)'!E418+"h_l!%5j"</f>
        <v>#VALUE!</v>
      </c>
      <c r="HR67" t="e">
        <f>'SurveyRpt_20150223 (1)'!F418+"h_l!%5k"</f>
        <v>#VALUE!</v>
      </c>
      <c r="HS67" t="e">
        <f>'SurveyRpt_20150223 (1)'!G418+"h_l!%5l"</f>
        <v>#VALUE!</v>
      </c>
      <c r="HT67" t="e">
        <f>'SurveyRpt_20150223 (1)'!H418+"h_l!%5m"</f>
        <v>#VALUE!</v>
      </c>
      <c r="HU67" t="e">
        <f>'SurveyRpt_20150223 (1)'!I418+"h_l!%5n"</f>
        <v>#VALUE!</v>
      </c>
      <c r="HV67" t="e">
        <f>'SurveyRpt_20150223 (1)'!J418+"h_l!%5o"</f>
        <v>#VALUE!</v>
      </c>
      <c r="HW67" t="e">
        <f>'SurveyRpt_20150223 (1)'!K418+"h_l!%5p"</f>
        <v>#VALUE!</v>
      </c>
      <c r="HX67" t="e">
        <f>'SurveyRpt_20150223 (1)'!L418+"h_l!%5q"</f>
        <v>#VALUE!</v>
      </c>
      <c r="HY67" t="e">
        <f>'SurveyRpt_20150223 (1)'!M418+"h_l!%5r"</f>
        <v>#VALUE!</v>
      </c>
      <c r="HZ67" t="e">
        <f>'SurveyRpt_20150223 (1)'!N418+"h_l!%5s"</f>
        <v>#VALUE!</v>
      </c>
      <c r="IA67" t="e">
        <f>'SurveyRpt_20150223 (1)'!O418+"h_l!%5t"</f>
        <v>#VALUE!</v>
      </c>
      <c r="IB67" t="e">
        <f>'SurveyRpt_20150223 (1)'!P418+"h_l!%5u"</f>
        <v>#VALUE!</v>
      </c>
      <c r="IC67" t="e">
        <f>'SurveyRpt_20150223 (1)'!Q418+"h_l!%5v"</f>
        <v>#VALUE!</v>
      </c>
      <c r="ID67" t="e">
        <f>'SurveyRpt_20150223 (1)'!R418+"h_l!%5w"</f>
        <v>#VALUE!</v>
      </c>
      <c r="IE67" t="e">
        <f>'SurveyRpt_20150223 (1)'!S418+"h_l!%5x"</f>
        <v>#VALUE!</v>
      </c>
      <c r="IF67" t="e">
        <f>'SurveyRpt_20150223 (1)'!T418+"h_l!%5y"</f>
        <v>#VALUE!</v>
      </c>
      <c r="IG67" t="e">
        <f>'SurveyRpt_20150223 (1)'!U418+"h_l!%5z"</f>
        <v>#VALUE!</v>
      </c>
      <c r="IH67" t="e">
        <f>'SurveyRpt_20150223 (1)'!V418+"h_l!%5{"</f>
        <v>#VALUE!</v>
      </c>
      <c r="II67" t="e">
        <f>'SurveyRpt_20150223 (1)'!W418+"h_l!%5|"</f>
        <v>#VALUE!</v>
      </c>
      <c r="IJ67" t="e">
        <f>'SurveyRpt_20150223 (1)'!X418+"h_l!%5}"</f>
        <v>#VALUE!</v>
      </c>
      <c r="IK67" t="e">
        <f>'SurveyRpt_20150223 (1)'!Y418+"h_l!%5~"</f>
        <v>#VALUE!</v>
      </c>
      <c r="IL67" t="e">
        <f>'SurveyRpt_20150223 (1)'!Z418+"h_l!%6#"</f>
        <v>#VALUE!</v>
      </c>
      <c r="IM67" t="e">
        <f>'SurveyRpt_20150223 (1)'!AA418+"h_l!%6$"</f>
        <v>#VALUE!</v>
      </c>
      <c r="IN67" t="e">
        <f>'SurveyRpt_20150223 (1)'!AB418+"h_l!%6%"</f>
        <v>#VALUE!</v>
      </c>
      <c r="IO67" t="e">
        <f>'SurveyRpt_20150223 (1)'!AC418+"h_l!%6&amp;"</f>
        <v>#VALUE!</v>
      </c>
      <c r="IP67" t="e">
        <f>'SurveyRpt_20150223 (1)'!AD418+"h_l!%6'"</f>
        <v>#VALUE!</v>
      </c>
      <c r="IQ67" t="e">
        <f>'SurveyRpt_20150223 (1)'!AE418+"h_l!%6("</f>
        <v>#VALUE!</v>
      </c>
      <c r="IR67" t="e">
        <f>'SurveyRpt_20150223 (1)'!AF418+"h_l!%6)"</f>
        <v>#VALUE!</v>
      </c>
      <c r="IS67" t="e">
        <f>'SurveyRpt_20150223 (1)'!AG418+"h_l!%6."</f>
        <v>#VALUE!</v>
      </c>
      <c r="IT67" t="e">
        <f>'SurveyRpt_20150223 (1)'!AH418+"h_l!%6/"</f>
        <v>#VALUE!</v>
      </c>
      <c r="IU67" t="e">
        <f>'SurveyRpt_20150223 (1)'!AI418+"h_l!%60"</f>
        <v>#VALUE!</v>
      </c>
      <c r="IV67" t="e">
        <f>'SurveyRpt_20150223 (1)'!AJ418+"h_l!%61"</f>
        <v>#VALUE!</v>
      </c>
    </row>
    <row r="68" spans="6:256" x14ac:dyDescent="0.25">
      <c r="F68" t="e">
        <f>'SurveyRpt_20150223 (1)'!AK418+"h_l!%62"</f>
        <v>#VALUE!</v>
      </c>
      <c r="G68" t="e">
        <f>'SurveyRpt_20150223 (1)'!AL418+"h_l!%63"</f>
        <v>#VALUE!</v>
      </c>
      <c r="H68" t="e">
        <f>'SurveyRpt_20150223 (1)'!AM418+"h_l!%64"</f>
        <v>#VALUE!</v>
      </c>
      <c r="I68" t="e">
        <f>'SurveyRpt_20150223 (1)'!AN418+"h_l!%65"</f>
        <v>#VALUE!</v>
      </c>
      <c r="J68" t="e">
        <f>'SurveyRpt_20150223 (1)'!A419+"h_l!%66"</f>
        <v>#VALUE!</v>
      </c>
      <c r="K68" s="25" t="e">
        <f>'SurveyRpt_20150223 (1)'!B419+"h_l!%67"</f>
        <v>#VALUE!</v>
      </c>
      <c r="L68" t="e">
        <f>'SurveyRpt_20150223 (1)'!C419+"h_l!%68"</f>
        <v>#VALUE!</v>
      </c>
      <c r="M68" s="25" t="e">
        <f>'SurveyRpt_20150223 (1)'!D419+"h_l!%69"</f>
        <v>#VALUE!</v>
      </c>
      <c r="N68" t="e">
        <f>'SurveyRpt_20150223 (1)'!E419+"h_l!%6:"</f>
        <v>#VALUE!</v>
      </c>
      <c r="O68" t="e">
        <f>'SurveyRpt_20150223 (1)'!F419+"h_l!%6;"</f>
        <v>#VALUE!</v>
      </c>
      <c r="P68" t="e">
        <f>'SurveyRpt_20150223 (1)'!G419+"h_l!%6&lt;"</f>
        <v>#VALUE!</v>
      </c>
      <c r="Q68" t="e">
        <f>'SurveyRpt_20150223 (1)'!H419+"h_l!%6="</f>
        <v>#VALUE!</v>
      </c>
      <c r="R68" t="e">
        <f>'SurveyRpt_20150223 (1)'!I419+"h_l!%6&gt;"</f>
        <v>#VALUE!</v>
      </c>
      <c r="S68" t="e">
        <f>'SurveyRpt_20150223 (1)'!J419+"h_l!%6?"</f>
        <v>#VALUE!</v>
      </c>
      <c r="T68" t="e">
        <f>'SurveyRpt_20150223 (1)'!K419+"h_l!%6@"</f>
        <v>#VALUE!</v>
      </c>
      <c r="U68" t="e">
        <f>'SurveyRpt_20150223 (1)'!L419+"h_l!%6A"</f>
        <v>#VALUE!</v>
      </c>
      <c r="V68" t="e">
        <f>'SurveyRpt_20150223 (1)'!M419+"h_l!%6B"</f>
        <v>#VALUE!</v>
      </c>
      <c r="W68" t="e">
        <f>'SurveyRpt_20150223 (1)'!N419+"h_l!%6C"</f>
        <v>#VALUE!</v>
      </c>
      <c r="X68" t="e">
        <f>'SurveyRpt_20150223 (1)'!O419+"h_l!%6D"</f>
        <v>#VALUE!</v>
      </c>
      <c r="Y68" t="e">
        <f>'SurveyRpt_20150223 (1)'!P419+"h_l!%6E"</f>
        <v>#VALUE!</v>
      </c>
      <c r="Z68" t="e">
        <f>'SurveyRpt_20150223 (1)'!Q419+"h_l!%6F"</f>
        <v>#VALUE!</v>
      </c>
      <c r="AA68" t="e">
        <f>'SurveyRpt_20150223 (1)'!R419+"h_l!%6G"</f>
        <v>#VALUE!</v>
      </c>
      <c r="AB68" t="e">
        <f>'SurveyRpt_20150223 (1)'!S419+"h_l!%6H"</f>
        <v>#VALUE!</v>
      </c>
      <c r="AC68" t="e">
        <f>'SurveyRpt_20150223 (1)'!T419+"h_l!%6I"</f>
        <v>#VALUE!</v>
      </c>
      <c r="AD68" t="e">
        <f>'SurveyRpt_20150223 (1)'!U419+"h_l!%6J"</f>
        <v>#VALUE!</v>
      </c>
      <c r="AE68" t="e">
        <f>'SurveyRpt_20150223 (1)'!V419+"h_l!%6K"</f>
        <v>#VALUE!</v>
      </c>
      <c r="AF68" t="e">
        <f>'SurveyRpt_20150223 (1)'!W419+"h_l!%6L"</f>
        <v>#VALUE!</v>
      </c>
      <c r="AG68" t="e">
        <f>'SurveyRpt_20150223 (1)'!X419+"h_l!%6M"</f>
        <v>#VALUE!</v>
      </c>
      <c r="AH68" t="e">
        <f>'SurveyRpt_20150223 (1)'!Y419+"h_l!%6N"</f>
        <v>#VALUE!</v>
      </c>
      <c r="AI68" t="e">
        <f>'SurveyRpt_20150223 (1)'!Z419+"h_l!%6O"</f>
        <v>#VALUE!</v>
      </c>
      <c r="AJ68" t="e">
        <f>'SurveyRpt_20150223 (1)'!AA419+"h_l!%6P"</f>
        <v>#VALUE!</v>
      </c>
      <c r="AK68" t="e">
        <f>'SurveyRpt_20150223 (1)'!AB419+"h_l!%6Q"</f>
        <v>#VALUE!</v>
      </c>
      <c r="AL68" t="e">
        <f>'SurveyRpt_20150223 (1)'!AC419+"h_l!%6R"</f>
        <v>#VALUE!</v>
      </c>
      <c r="AM68" t="e">
        <f>'SurveyRpt_20150223 (1)'!AD419+"h_l!%6S"</f>
        <v>#VALUE!</v>
      </c>
      <c r="AN68" t="e">
        <f>'SurveyRpt_20150223 (1)'!AE419+"h_l!%6T"</f>
        <v>#VALUE!</v>
      </c>
      <c r="AO68" t="e">
        <f>'SurveyRpt_20150223 (1)'!AF419+"h_l!%6U"</f>
        <v>#VALUE!</v>
      </c>
      <c r="AP68" t="e">
        <f>'SurveyRpt_20150223 (1)'!AG419+"h_l!%6V"</f>
        <v>#VALUE!</v>
      </c>
      <c r="AQ68" t="e">
        <f>'SurveyRpt_20150223 (1)'!AH419+"h_l!%6W"</f>
        <v>#VALUE!</v>
      </c>
      <c r="AR68" t="e">
        <f>'SurveyRpt_20150223 (1)'!AI419+"h_l!%6X"</f>
        <v>#VALUE!</v>
      </c>
      <c r="AS68" t="e">
        <f>'SurveyRpt_20150223 (1)'!AJ419+"h_l!%6Y"</f>
        <v>#VALUE!</v>
      </c>
      <c r="AT68" t="e">
        <f>'SurveyRpt_20150223 (1)'!AK419+"h_l!%6Z"</f>
        <v>#VALUE!</v>
      </c>
      <c r="AU68" t="e">
        <f>'SurveyRpt_20150223 (1)'!AL419+"h_l!%6["</f>
        <v>#VALUE!</v>
      </c>
      <c r="AV68" t="e">
        <f>'SurveyRpt_20150223 (1)'!AM419+"h_l!%6\"</f>
        <v>#VALUE!</v>
      </c>
      <c r="AW68" t="e">
        <f>'SurveyRpt_20150223 (1)'!AN419+"h_l!%6]"</f>
        <v>#VALUE!</v>
      </c>
      <c r="AX68" t="e">
        <f>'SurveyRpt_20150223 (1)'!A420+"h_l!%6^"</f>
        <v>#VALUE!</v>
      </c>
      <c r="AY68" s="25" t="e">
        <f>'SurveyRpt_20150223 (1)'!B420+"h_l!%6_"</f>
        <v>#VALUE!</v>
      </c>
      <c r="AZ68" t="e">
        <f>'SurveyRpt_20150223 (1)'!C420+"h_l!%6`"</f>
        <v>#VALUE!</v>
      </c>
      <c r="BA68" s="25" t="e">
        <f>'SurveyRpt_20150223 (1)'!D420+"h_l!%6a"</f>
        <v>#VALUE!</v>
      </c>
      <c r="BB68" t="e">
        <f>'SurveyRpt_20150223 (1)'!E420+"h_l!%6b"</f>
        <v>#VALUE!</v>
      </c>
      <c r="BC68" t="e">
        <f>'SurveyRpt_20150223 (1)'!F420+"h_l!%6c"</f>
        <v>#VALUE!</v>
      </c>
      <c r="BD68" t="e">
        <f>'SurveyRpt_20150223 (1)'!G420+"h_l!%6d"</f>
        <v>#VALUE!</v>
      </c>
      <c r="BE68" t="e">
        <f>'SurveyRpt_20150223 (1)'!H420+"h_l!%6e"</f>
        <v>#VALUE!</v>
      </c>
      <c r="BF68" t="e">
        <f>'SurveyRpt_20150223 (1)'!I420+"h_l!%6f"</f>
        <v>#VALUE!</v>
      </c>
      <c r="BG68" t="e">
        <f>'SurveyRpt_20150223 (1)'!J420+"h_l!%6g"</f>
        <v>#VALUE!</v>
      </c>
      <c r="BH68" t="e">
        <f>'SurveyRpt_20150223 (1)'!K420+"h_l!%6h"</f>
        <v>#VALUE!</v>
      </c>
      <c r="BI68" t="e">
        <f>'SurveyRpt_20150223 (1)'!L420+"h_l!%6i"</f>
        <v>#VALUE!</v>
      </c>
      <c r="BJ68" t="e">
        <f>'SurveyRpt_20150223 (1)'!M420+"h_l!%6j"</f>
        <v>#VALUE!</v>
      </c>
      <c r="BK68" t="e">
        <f>'SurveyRpt_20150223 (1)'!N420+"h_l!%6k"</f>
        <v>#VALUE!</v>
      </c>
      <c r="BL68" t="e">
        <f>'SurveyRpt_20150223 (1)'!O420+"h_l!%6l"</f>
        <v>#VALUE!</v>
      </c>
      <c r="BM68" t="e">
        <f>'SurveyRpt_20150223 (1)'!P420+"h_l!%6m"</f>
        <v>#VALUE!</v>
      </c>
      <c r="BN68" t="e">
        <f>'SurveyRpt_20150223 (1)'!Q420+"h_l!%6n"</f>
        <v>#VALUE!</v>
      </c>
      <c r="BO68" t="e">
        <f>'SurveyRpt_20150223 (1)'!R420+"h_l!%6o"</f>
        <v>#VALUE!</v>
      </c>
      <c r="BP68" t="e">
        <f>'SurveyRpt_20150223 (1)'!S420+"h_l!%6p"</f>
        <v>#VALUE!</v>
      </c>
      <c r="BQ68" t="e">
        <f>'SurveyRpt_20150223 (1)'!T420+"h_l!%6q"</f>
        <v>#VALUE!</v>
      </c>
      <c r="BR68" t="e">
        <f>'SurveyRpt_20150223 (1)'!U420+"h_l!%6r"</f>
        <v>#VALUE!</v>
      </c>
      <c r="BS68" t="e">
        <f>'SurveyRpt_20150223 (1)'!V420+"h_l!%6s"</f>
        <v>#VALUE!</v>
      </c>
      <c r="BT68" t="e">
        <f>'SurveyRpt_20150223 (1)'!W420+"h_l!%6t"</f>
        <v>#VALUE!</v>
      </c>
      <c r="BU68" t="e">
        <f>'SurveyRpt_20150223 (1)'!X420+"h_l!%6u"</f>
        <v>#VALUE!</v>
      </c>
      <c r="BV68" t="e">
        <f>'SurveyRpt_20150223 (1)'!Y420+"h_l!%6v"</f>
        <v>#VALUE!</v>
      </c>
      <c r="BW68" t="e">
        <f>'SurveyRpt_20150223 (1)'!Z420+"h_l!%6w"</f>
        <v>#VALUE!</v>
      </c>
      <c r="BX68" t="e">
        <f>'SurveyRpt_20150223 (1)'!AA420+"h_l!%6x"</f>
        <v>#VALUE!</v>
      </c>
      <c r="BY68" t="e">
        <f>'SurveyRpt_20150223 (1)'!AB420+"h_l!%6y"</f>
        <v>#VALUE!</v>
      </c>
      <c r="BZ68" t="e">
        <f>'SurveyRpt_20150223 (1)'!AC420+"h_l!%6z"</f>
        <v>#VALUE!</v>
      </c>
      <c r="CA68" t="e">
        <f>'SurveyRpt_20150223 (1)'!AD420+"h_l!%6{"</f>
        <v>#VALUE!</v>
      </c>
      <c r="CB68" t="e">
        <f>'SurveyRpt_20150223 (1)'!AE420+"h_l!%6|"</f>
        <v>#VALUE!</v>
      </c>
      <c r="CC68" t="e">
        <f>'SurveyRpt_20150223 (1)'!AF420+"h_l!%6}"</f>
        <v>#VALUE!</v>
      </c>
      <c r="CD68" t="e">
        <f>'SurveyRpt_20150223 (1)'!AG420+"h_l!%6~"</f>
        <v>#VALUE!</v>
      </c>
      <c r="CE68" t="e">
        <f>'SurveyRpt_20150223 (1)'!AH420+"h_l!%7#"</f>
        <v>#VALUE!</v>
      </c>
      <c r="CF68" t="e">
        <f>'SurveyRpt_20150223 (1)'!AI420+"h_l!%7$"</f>
        <v>#VALUE!</v>
      </c>
      <c r="CG68" t="e">
        <f>'SurveyRpt_20150223 (1)'!AJ420+"h_l!%7%"</f>
        <v>#VALUE!</v>
      </c>
      <c r="CH68" t="e">
        <f>'SurveyRpt_20150223 (1)'!AK420+"h_l!%7&amp;"</f>
        <v>#VALUE!</v>
      </c>
      <c r="CI68" t="e">
        <f>'SurveyRpt_20150223 (1)'!AL420+"h_l!%7'"</f>
        <v>#VALUE!</v>
      </c>
      <c r="CJ68" t="e">
        <f>'SurveyRpt_20150223 (1)'!AM420+"h_l!%7("</f>
        <v>#VALUE!</v>
      </c>
      <c r="CK68" t="e">
        <f>'SurveyRpt_20150223 (1)'!AN420+"h_l!%7)"</f>
        <v>#VALUE!</v>
      </c>
      <c r="CL68" t="e">
        <f>'SurveyRpt_20150223 (1)'!A421+"h_l!%7."</f>
        <v>#VALUE!</v>
      </c>
      <c r="CM68" s="25" t="e">
        <f>'SurveyRpt_20150223 (1)'!B421+"h_l!%7/"</f>
        <v>#VALUE!</v>
      </c>
      <c r="CN68" t="e">
        <f>'SurveyRpt_20150223 (1)'!C421+"h_l!%70"</f>
        <v>#VALUE!</v>
      </c>
      <c r="CO68" s="25" t="e">
        <f>'SurveyRpt_20150223 (1)'!D421+"h_l!%71"</f>
        <v>#VALUE!</v>
      </c>
      <c r="CP68" t="e">
        <f>'SurveyRpt_20150223 (1)'!E421+"h_l!%72"</f>
        <v>#VALUE!</v>
      </c>
      <c r="CQ68" t="e">
        <f>'SurveyRpt_20150223 (1)'!F421+"h_l!%73"</f>
        <v>#VALUE!</v>
      </c>
      <c r="CR68" t="e">
        <f>'SurveyRpt_20150223 (1)'!G421+"h_l!%74"</f>
        <v>#VALUE!</v>
      </c>
      <c r="CS68" t="e">
        <f>'SurveyRpt_20150223 (1)'!H421+"h_l!%75"</f>
        <v>#VALUE!</v>
      </c>
      <c r="CT68" t="e">
        <f>'SurveyRpt_20150223 (1)'!I421+"h_l!%76"</f>
        <v>#VALUE!</v>
      </c>
      <c r="CU68" t="e">
        <f>'SurveyRpt_20150223 (1)'!J421+"h_l!%77"</f>
        <v>#VALUE!</v>
      </c>
      <c r="CV68" t="e">
        <f>'SurveyRpt_20150223 (1)'!K421+"h_l!%78"</f>
        <v>#VALUE!</v>
      </c>
      <c r="CW68" t="e">
        <f>'SurveyRpt_20150223 (1)'!L421+"h_l!%79"</f>
        <v>#VALUE!</v>
      </c>
      <c r="CX68" t="e">
        <f>'SurveyRpt_20150223 (1)'!M421+"h_l!%7:"</f>
        <v>#VALUE!</v>
      </c>
      <c r="CY68" t="e">
        <f>'SurveyRpt_20150223 (1)'!N421+"h_l!%7;"</f>
        <v>#VALUE!</v>
      </c>
      <c r="CZ68" t="e">
        <f>'SurveyRpt_20150223 (1)'!O421+"h_l!%7&lt;"</f>
        <v>#VALUE!</v>
      </c>
      <c r="DA68" t="e">
        <f>'SurveyRpt_20150223 (1)'!P421+"h_l!%7="</f>
        <v>#VALUE!</v>
      </c>
      <c r="DB68" t="e">
        <f>'SurveyRpt_20150223 (1)'!Q421+"h_l!%7&gt;"</f>
        <v>#VALUE!</v>
      </c>
      <c r="DC68" t="e">
        <f>'SurveyRpt_20150223 (1)'!R421+"h_l!%7?"</f>
        <v>#VALUE!</v>
      </c>
      <c r="DD68" t="e">
        <f>'SurveyRpt_20150223 (1)'!S421+"h_l!%7@"</f>
        <v>#VALUE!</v>
      </c>
      <c r="DE68" t="e">
        <f>'SurveyRpt_20150223 (1)'!T421+"h_l!%7A"</f>
        <v>#VALUE!</v>
      </c>
      <c r="DF68" t="e">
        <f>'SurveyRpt_20150223 (1)'!U421+"h_l!%7B"</f>
        <v>#VALUE!</v>
      </c>
      <c r="DG68" t="e">
        <f>'SurveyRpt_20150223 (1)'!V421+"h_l!%7C"</f>
        <v>#VALUE!</v>
      </c>
      <c r="DH68" t="e">
        <f>'SurveyRpt_20150223 (1)'!W421+"h_l!%7D"</f>
        <v>#VALUE!</v>
      </c>
      <c r="DI68" t="e">
        <f>'SurveyRpt_20150223 (1)'!X421+"h_l!%7E"</f>
        <v>#VALUE!</v>
      </c>
      <c r="DJ68" t="e">
        <f>'SurveyRpt_20150223 (1)'!Y421+"h_l!%7F"</f>
        <v>#VALUE!</v>
      </c>
      <c r="DK68" t="e">
        <f>'SurveyRpt_20150223 (1)'!Z421+"h_l!%7G"</f>
        <v>#VALUE!</v>
      </c>
      <c r="DL68" t="e">
        <f>'SurveyRpt_20150223 (1)'!AA421+"h_l!%7H"</f>
        <v>#VALUE!</v>
      </c>
      <c r="DM68" t="e">
        <f>'SurveyRpt_20150223 (1)'!AB421+"h_l!%7I"</f>
        <v>#VALUE!</v>
      </c>
      <c r="DN68" t="e">
        <f>'SurveyRpt_20150223 (1)'!AC421+"h_l!%7J"</f>
        <v>#VALUE!</v>
      </c>
      <c r="DO68" t="e">
        <f>'SurveyRpt_20150223 (1)'!AD421+"h_l!%7K"</f>
        <v>#VALUE!</v>
      </c>
      <c r="DP68" t="e">
        <f>'SurveyRpt_20150223 (1)'!AE421+"h_l!%7L"</f>
        <v>#VALUE!</v>
      </c>
      <c r="DQ68" t="e">
        <f>'SurveyRpt_20150223 (1)'!AF421+"h_l!%7M"</f>
        <v>#VALUE!</v>
      </c>
      <c r="DR68" t="e">
        <f>'SurveyRpt_20150223 (1)'!AG421+"h_l!%7N"</f>
        <v>#VALUE!</v>
      </c>
      <c r="DS68" t="e">
        <f>'SurveyRpt_20150223 (1)'!AH421+"h_l!%7O"</f>
        <v>#VALUE!</v>
      </c>
      <c r="DT68" t="e">
        <f>'SurveyRpt_20150223 (1)'!AI421+"h_l!%7P"</f>
        <v>#VALUE!</v>
      </c>
      <c r="DU68" t="e">
        <f>'SurveyRpt_20150223 (1)'!AJ421+"h_l!%7Q"</f>
        <v>#VALUE!</v>
      </c>
      <c r="DV68" t="e">
        <f>'SurveyRpt_20150223 (1)'!AK421+"h_l!%7R"</f>
        <v>#VALUE!</v>
      </c>
      <c r="DW68" t="e">
        <f>'SurveyRpt_20150223 (1)'!AL421+"h_l!%7S"</f>
        <v>#VALUE!</v>
      </c>
      <c r="DX68" t="e">
        <f>'SurveyRpt_20150223 (1)'!AM421+"h_l!%7T"</f>
        <v>#VALUE!</v>
      </c>
      <c r="DY68" t="e">
        <f>'SurveyRpt_20150223 (1)'!AN421+"h_l!%7U"</f>
        <v>#VALUE!</v>
      </c>
      <c r="DZ68" t="e">
        <f>'SurveyRpt_20150223 (1)'!A422+"h_l!%7V"</f>
        <v>#VALUE!</v>
      </c>
      <c r="EA68" s="25" t="e">
        <f>'SurveyRpt_20150223 (1)'!B422+"h_l!%7W"</f>
        <v>#VALUE!</v>
      </c>
      <c r="EB68" t="e">
        <f>'SurveyRpt_20150223 (1)'!C422+"h_l!%7X"</f>
        <v>#VALUE!</v>
      </c>
      <c r="EC68" s="25" t="e">
        <f>'SurveyRpt_20150223 (1)'!D422+"h_l!%7Y"</f>
        <v>#VALUE!</v>
      </c>
      <c r="ED68" t="e">
        <f>'SurveyRpt_20150223 (1)'!E422+"h_l!%7Z"</f>
        <v>#VALUE!</v>
      </c>
      <c r="EE68" t="e">
        <f>'SurveyRpt_20150223 (1)'!F422+"h_l!%7["</f>
        <v>#VALUE!</v>
      </c>
      <c r="EF68" t="e">
        <f>'SurveyRpt_20150223 (1)'!G422+"h_l!%7\"</f>
        <v>#VALUE!</v>
      </c>
      <c r="EG68" t="e">
        <f>'SurveyRpt_20150223 (1)'!H422+"h_l!%7]"</f>
        <v>#VALUE!</v>
      </c>
      <c r="EH68" t="e">
        <f>'SurveyRpt_20150223 (1)'!I422+"h_l!%7^"</f>
        <v>#VALUE!</v>
      </c>
      <c r="EI68" t="e">
        <f>'SurveyRpt_20150223 (1)'!J422+"h_l!%7_"</f>
        <v>#VALUE!</v>
      </c>
      <c r="EJ68" t="e">
        <f>'SurveyRpt_20150223 (1)'!K422+"h_l!%7`"</f>
        <v>#VALUE!</v>
      </c>
      <c r="EK68" t="e">
        <f>'SurveyRpt_20150223 (1)'!L422+"h_l!%7a"</f>
        <v>#VALUE!</v>
      </c>
      <c r="EL68" t="e">
        <f>'SurveyRpt_20150223 (1)'!M422+"h_l!%7b"</f>
        <v>#VALUE!</v>
      </c>
      <c r="EM68" t="e">
        <f>'SurveyRpt_20150223 (1)'!N422+"h_l!%7c"</f>
        <v>#VALUE!</v>
      </c>
      <c r="EN68" t="e">
        <f>'SurveyRpt_20150223 (1)'!O422+"h_l!%7d"</f>
        <v>#VALUE!</v>
      </c>
      <c r="EO68" t="e">
        <f>'SurveyRpt_20150223 (1)'!P422+"h_l!%7e"</f>
        <v>#VALUE!</v>
      </c>
      <c r="EP68" t="e">
        <f>'SurveyRpt_20150223 (1)'!Q422+"h_l!%7f"</f>
        <v>#VALUE!</v>
      </c>
      <c r="EQ68" t="e">
        <f>'SurveyRpt_20150223 (1)'!R422+"h_l!%7g"</f>
        <v>#VALUE!</v>
      </c>
      <c r="ER68" t="e">
        <f>'SurveyRpt_20150223 (1)'!S422+"h_l!%7h"</f>
        <v>#VALUE!</v>
      </c>
      <c r="ES68" t="e">
        <f>'SurveyRpt_20150223 (1)'!T422+"h_l!%7i"</f>
        <v>#VALUE!</v>
      </c>
      <c r="ET68" t="e">
        <f>'SurveyRpt_20150223 (1)'!U422+"h_l!%7j"</f>
        <v>#VALUE!</v>
      </c>
      <c r="EU68" t="e">
        <f>'SurveyRpt_20150223 (1)'!V422+"h_l!%7k"</f>
        <v>#VALUE!</v>
      </c>
      <c r="EV68" t="e">
        <f>'SurveyRpt_20150223 (1)'!W422+"h_l!%7l"</f>
        <v>#VALUE!</v>
      </c>
      <c r="EW68" t="e">
        <f>'SurveyRpt_20150223 (1)'!X422+"h_l!%7m"</f>
        <v>#VALUE!</v>
      </c>
      <c r="EX68" t="e">
        <f>'SurveyRpt_20150223 (1)'!Y422+"h_l!%7n"</f>
        <v>#VALUE!</v>
      </c>
      <c r="EY68" t="e">
        <f>'SurveyRpt_20150223 (1)'!Z422+"h_l!%7o"</f>
        <v>#VALUE!</v>
      </c>
      <c r="EZ68" t="e">
        <f>'SurveyRpt_20150223 (1)'!AA422+"h_l!%7p"</f>
        <v>#VALUE!</v>
      </c>
      <c r="FA68" t="e">
        <f>'SurveyRpt_20150223 (1)'!AB422+"h_l!%7q"</f>
        <v>#VALUE!</v>
      </c>
      <c r="FB68" t="e">
        <f>'SurveyRpt_20150223 (1)'!AC422+"h_l!%7r"</f>
        <v>#VALUE!</v>
      </c>
      <c r="FC68" t="e">
        <f>'SurveyRpt_20150223 (1)'!AD422+"h_l!%7s"</f>
        <v>#VALUE!</v>
      </c>
      <c r="FD68" t="e">
        <f>'SurveyRpt_20150223 (1)'!AE422+"h_l!%7t"</f>
        <v>#VALUE!</v>
      </c>
      <c r="FE68" t="e">
        <f>'SurveyRpt_20150223 (1)'!AF422+"h_l!%7u"</f>
        <v>#VALUE!</v>
      </c>
      <c r="FF68" t="e">
        <f>'SurveyRpt_20150223 (1)'!AG422+"h_l!%7v"</f>
        <v>#VALUE!</v>
      </c>
      <c r="FG68" t="e">
        <f>'SurveyRpt_20150223 (1)'!AH422+"h_l!%7w"</f>
        <v>#VALUE!</v>
      </c>
      <c r="FH68" t="e">
        <f>'SurveyRpt_20150223 (1)'!AI422+"h_l!%7x"</f>
        <v>#VALUE!</v>
      </c>
      <c r="FI68" t="e">
        <f>'SurveyRpt_20150223 (1)'!AJ422+"h_l!%7y"</f>
        <v>#VALUE!</v>
      </c>
      <c r="FJ68" t="e">
        <f>'SurveyRpt_20150223 (1)'!AK422+"h_l!%7z"</f>
        <v>#VALUE!</v>
      </c>
      <c r="FK68" t="e">
        <f>'SurveyRpt_20150223 (1)'!AL422+"h_l!%7{"</f>
        <v>#VALUE!</v>
      </c>
      <c r="FL68" t="e">
        <f>'SurveyRpt_20150223 (1)'!AM422+"h_l!%7|"</f>
        <v>#VALUE!</v>
      </c>
      <c r="FM68" t="e">
        <f>'SurveyRpt_20150223 (1)'!AN422+"h_l!%7}"</f>
        <v>#VALUE!</v>
      </c>
      <c r="FN68" t="e">
        <f>'SurveyRpt_20150223 (1)'!A423+"h_l!%7~"</f>
        <v>#VALUE!</v>
      </c>
      <c r="FO68" s="25" t="e">
        <f>'SurveyRpt_20150223 (1)'!B423+"h_l!%8#"</f>
        <v>#VALUE!</v>
      </c>
      <c r="FP68" t="e">
        <f>'SurveyRpt_20150223 (1)'!C423+"h_l!%8$"</f>
        <v>#VALUE!</v>
      </c>
      <c r="FQ68" s="25" t="e">
        <f>'SurveyRpt_20150223 (1)'!D423+"h_l!%8%"</f>
        <v>#VALUE!</v>
      </c>
      <c r="FR68" t="e">
        <f>'SurveyRpt_20150223 (1)'!E423+"h_l!%8&amp;"</f>
        <v>#VALUE!</v>
      </c>
      <c r="FS68" t="e">
        <f>'SurveyRpt_20150223 (1)'!F423+"h_l!%8'"</f>
        <v>#VALUE!</v>
      </c>
      <c r="FT68" t="e">
        <f>'SurveyRpt_20150223 (1)'!G423+"h_l!%8("</f>
        <v>#VALUE!</v>
      </c>
      <c r="FU68" t="e">
        <f>'SurveyRpt_20150223 (1)'!H423+"h_l!%8)"</f>
        <v>#VALUE!</v>
      </c>
      <c r="FV68" t="e">
        <f>'SurveyRpt_20150223 (1)'!I423+"h_l!%8."</f>
        <v>#VALUE!</v>
      </c>
      <c r="FW68" t="e">
        <f>'SurveyRpt_20150223 (1)'!J423+"h_l!%8/"</f>
        <v>#VALUE!</v>
      </c>
      <c r="FX68" t="e">
        <f>'SurveyRpt_20150223 (1)'!K423+"h_l!%80"</f>
        <v>#VALUE!</v>
      </c>
      <c r="FY68" t="e">
        <f>'SurveyRpt_20150223 (1)'!L423+"h_l!%81"</f>
        <v>#VALUE!</v>
      </c>
      <c r="FZ68" t="e">
        <f>'SurveyRpt_20150223 (1)'!M423+"h_l!%82"</f>
        <v>#VALUE!</v>
      </c>
      <c r="GA68" t="e">
        <f>'SurveyRpt_20150223 (1)'!N423+"h_l!%83"</f>
        <v>#VALUE!</v>
      </c>
      <c r="GB68" t="e">
        <f>'SurveyRpt_20150223 (1)'!O423+"h_l!%84"</f>
        <v>#VALUE!</v>
      </c>
      <c r="GC68" t="e">
        <f>'SurveyRpt_20150223 (1)'!P423+"h_l!%85"</f>
        <v>#VALUE!</v>
      </c>
      <c r="GD68" t="e">
        <f>'SurveyRpt_20150223 (1)'!Q423+"h_l!%86"</f>
        <v>#VALUE!</v>
      </c>
      <c r="GE68" t="e">
        <f>'SurveyRpt_20150223 (1)'!R423+"h_l!%87"</f>
        <v>#VALUE!</v>
      </c>
      <c r="GF68" t="e">
        <f>'SurveyRpt_20150223 (1)'!S423+"h_l!%88"</f>
        <v>#VALUE!</v>
      </c>
      <c r="GG68" t="e">
        <f>'SurveyRpt_20150223 (1)'!T423+"h_l!%89"</f>
        <v>#VALUE!</v>
      </c>
      <c r="GH68" t="e">
        <f>'SurveyRpt_20150223 (1)'!U423+"h_l!%8:"</f>
        <v>#VALUE!</v>
      </c>
      <c r="GI68" t="e">
        <f>'SurveyRpt_20150223 (1)'!V423+"h_l!%8;"</f>
        <v>#VALUE!</v>
      </c>
      <c r="GJ68" t="e">
        <f>'SurveyRpt_20150223 (1)'!W423+"h_l!%8&lt;"</f>
        <v>#VALUE!</v>
      </c>
      <c r="GK68" t="e">
        <f>'SurveyRpt_20150223 (1)'!X423+"h_l!%8="</f>
        <v>#VALUE!</v>
      </c>
      <c r="GL68" t="e">
        <f>'SurveyRpt_20150223 (1)'!Y423+"h_l!%8&gt;"</f>
        <v>#VALUE!</v>
      </c>
      <c r="GM68" t="e">
        <f>'SurveyRpt_20150223 (1)'!Z423+"h_l!%8?"</f>
        <v>#VALUE!</v>
      </c>
      <c r="GN68" t="e">
        <f>'SurveyRpt_20150223 (1)'!AA423+"h_l!%8@"</f>
        <v>#VALUE!</v>
      </c>
      <c r="GO68" t="e">
        <f>'SurveyRpt_20150223 (1)'!AB423+"h_l!%8A"</f>
        <v>#VALUE!</v>
      </c>
      <c r="GP68" t="e">
        <f>'SurveyRpt_20150223 (1)'!AC423+"h_l!%8B"</f>
        <v>#VALUE!</v>
      </c>
      <c r="GQ68" t="e">
        <f>'SurveyRpt_20150223 (1)'!AD423+"h_l!%8C"</f>
        <v>#VALUE!</v>
      </c>
      <c r="GR68" t="e">
        <f>'SurveyRpt_20150223 (1)'!AE423+"h_l!%8D"</f>
        <v>#VALUE!</v>
      </c>
      <c r="GS68" t="e">
        <f>'SurveyRpt_20150223 (1)'!AF423+"h_l!%8E"</f>
        <v>#VALUE!</v>
      </c>
      <c r="GT68" t="e">
        <f>'SurveyRpt_20150223 (1)'!AG423+"h_l!%8F"</f>
        <v>#VALUE!</v>
      </c>
      <c r="GU68" t="e">
        <f>'SurveyRpt_20150223 (1)'!AH423+"h_l!%8G"</f>
        <v>#VALUE!</v>
      </c>
      <c r="GV68" t="e">
        <f>'SurveyRpt_20150223 (1)'!AI423+"h_l!%8H"</f>
        <v>#VALUE!</v>
      </c>
      <c r="GW68" t="e">
        <f>'SurveyRpt_20150223 (1)'!AJ423+"h_l!%8I"</f>
        <v>#VALUE!</v>
      </c>
      <c r="GX68" t="e">
        <f>'SurveyRpt_20150223 (1)'!AK423+"h_l!%8J"</f>
        <v>#VALUE!</v>
      </c>
      <c r="GY68" t="e">
        <f>'SurveyRpt_20150223 (1)'!AL423+"h_l!%8K"</f>
        <v>#VALUE!</v>
      </c>
      <c r="GZ68" t="e">
        <f>'SurveyRpt_20150223 (1)'!AM423+"h_l!%8L"</f>
        <v>#VALUE!</v>
      </c>
      <c r="HA68" t="e">
        <f>'SurveyRpt_20150223 (1)'!AN423+"h_l!%8M"</f>
        <v>#VALUE!</v>
      </c>
      <c r="HB68" t="e">
        <f>'SurveyRpt_20150223 (1)'!A424+"h_l!%8N"</f>
        <v>#VALUE!</v>
      </c>
      <c r="HC68" s="25" t="e">
        <f>'SurveyRpt_20150223 (1)'!B424+"h_l!%8O"</f>
        <v>#VALUE!</v>
      </c>
      <c r="HD68" t="e">
        <f>'SurveyRpt_20150223 (1)'!C424+"h_l!%8P"</f>
        <v>#VALUE!</v>
      </c>
      <c r="HE68" s="25" t="e">
        <f>'SurveyRpt_20150223 (1)'!D424+"h_l!%8Q"</f>
        <v>#VALUE!</v>
      </c>
      <c r="HF68" t="e">
        <f>'SurveyRpt_20150223 (1)'!E424+"h_l!%8R"</f>
        <v>#VALUE!</v>
      </c>
      <c r="HG68" t="e">
        <f>'SurveyRpt_20150223 (1)'!F424+"h_l!%8S"</f>
        <v>#VALUE!</v>
      </c>
      <c r="HH68" t="e">
        <f>'SurveyRpt_20150223 (1)'!G424+"h_l!%8T"</f>
        <v>#VALUE!</v>
      </c>
      <c r="HI68" t="e">
        <f>'SurveyRpt_20150223 (1)'!H424+"h_l!%8U"</f>
        <v>#VALUE!</v>
      </c>
      <c r="HJ68" t="e">
        <f>'SurveyRpt_20150223 (1)'!I424+"h_l!%8V"</f>
        <v>#VALUE!</v>
      </c>
      <c r="HK68" t="e">
        <f>'SurveyRpt_20150223 (1)'!J424+"h_l!%8W"</f>
        <v>#VALUE!</v>
      </c>
      <c r="HL68" t="e">
        <f>'SurveyRpt_20150223 (1)'!K424+"h_l!%8X"</f>
        <v>#VALUE!</v>
      </c>
      <c r="HM68" t="e">
        <f>'SurveyRpt_20150223 (1)'!L424+"h_l!%8Y"</f>
        <v>#VALUE!</v>
      </c>
      <c r="HN68" t="e">
        <f>'SurveyRpt_20150223 (1)'!M424+"h_l!%8Z"</f>
        <v>#VALUE!</v>
      </c>
      <c r="HO68" t="e">
        <f>'SurveyRpt_20150223 (1)'!N424+"h_l!%8["</f>
        <v>#VALUE!</v>
      </c>
      <c r="HP68" t="e">
        <f>'SurveyRpt_20150223 (1)'!O424+"h_l!%8\"</f>
        <v>#VALUE!</v>
      </c>
      <c r="HQ68" t="e">
        <f>'SurveyRpt_20150223 (1)'!P424+"h_l!%8]"</f>
        <v>#VALUE!</v>
      </c>
      <c r="HR68" t="e">
        <f>'SurveyRpt_20150223 (1)'!Q424+"h_l!%8^"</f>
        <v>#VALUE!</v>
      </c>
      <c r="HS68" t="e">
        <f>'SurveyRpt_20150223 (1)'!R424+"h_l!%8_"</f>
        <v>#VALUE!</v>
      </c>
      <c r="HT68" t="e">
        <f>'SurveyRpt_20150223 (1)'!S424+"h_l!%8`"</f>
        <v>#VALUE!</v>
      </c>
      <c r="HU68" t="e">
        <f>'SurveyRpt_20150223 (1)'!T424+"h_l!%8a"</f>
        <v>#VALUE!</v>
      </c>
      <c r="HV68" t="e">
        <f>'SurveyRpt_20150223 (1)'!U424+"h_l!%8b"</f>
        <v>#VALUE!</v>
      </c>
      <c r="HW68" t="e">
        <f>'SurveyRpt_20150223 (1)'!V424+"h_l!%8c"</f>
        <v>#VALUE!</v>
      </c>
      <c r="HX68" t="e">
        <f>'SurveyRpt_20150223 (1)'!W424+"h_l!%8d"</f>
        <v>#VALUE!</v>
      </c>
      <c r="HY68" t="e">
        <f>'SurveyRpt_20150223 (1)'!X424+"h_l!%8e"</f>
        <v>#VALUE!</v>
      </c>
      <c r="HZ68" t="e">
        <f>'SurveyRpt_20150223 (1)'!Y424+"h_l!%8f"</f>
        <v>#VALUE!</v>
      </c>
      <c r="IA68" t="e">
        <f>'SurveyRpt_20150223 (1)'!Z424+"h_l!%8g"</f>
        <v>#VALUE!</v>
      </c>
      <c r="IB68" t="e">
        <f>'SurveyRpt_20150223 (1)'!AA424+"h_l!%8h"</f>
        <v>#VALUE!</v>
      </c>
      <c r="IC68" t="e">
        <f>'SurveyRpt_20150223 (1)'!AB424+"h_l!%8i"</f>
        <v>#VALUE!</v>
      </c>
      <c r="ID68" t="e">
        <f>'SurveyRpt_20150223 (1)'!AC424+"h_l!%8j"</f>
        <v>#VALUE!</v>
      </c>
      <c r="IE68" t="e">
        <f>'SurveyRpt_20150223 (1)'!AD424+"h_l!%8k"</f>
        <v>#VALUE!</v>
      </c>
      <c r="IF68" t="e">
        <f>'SurveyRpt_20150223 (1)'!AE424+"h_l!%8l"</f>
        <v>#VALUE!</v>
      </c>
      <c r="IG68" t="e">
        <f>'SurveyRpt_20150223 (1)'!AF424+"h_l!%8m"</f>
        <v>#VALUE!</v>
      </c>
      <c r="IH68" t="e">
        <f>'SurveyRpt_20150223 (1)'!AG424+"h_l!%8n"</f>
        <v>#VALUE!</v>
      </c>
      <c r="II68" t="e">
        <f>'SurveyRpt_20150223 (1)'!AH424+"h_l!%8o"</f>
        <v>#VALUE!</v>
      </c>
      <c r="IJ68" t="e">
        <f>'SurveyRpt_20150223 (1)'!AI424+"h_l!%8p"</f>
        <v>#VALUE!</v>
      </c>
      <c r="IK68" t="e">
        <f>'SurveyRpt_20150223 (1)'!AJ424+"h_l!%8q"</f>
        <v>#VALUE!</v>
      </c>
      <c r="IL68" t="e">
        <f>'SurveyRpt_20150223 (1)'!AK424+"h_l!%8r"</f>
        <v>#VALUE!</v>
      </c>
      <c r="IM68" t="e">
        <f>'SurveyRpt_20150223 (1)'!AL424+"h_l!%8s"</f>
        <v>#VALUE!</v>
      </c>
      <c r="IN68" t="e">
        <f>'SurveyRpt_20150223 (1)'!AM424+"h_l!%8t"</f>
        <v>#VALUE!</v>
      </c>
      <c r="IO68" t="e">
        <f>'SurveyRpt_20150223 (1)'!AN424+"h_l!%8u"</f>
        <v>#VALUE!</v>
      </c>
      <c r="IP68" t="e">
        <f>'SurveyRpt_20150223 (1)'!A425+"h_l!%8v"</f>
        <v>#VALUE!</v>
      </c>
      <c r="IQ68" s="25" t="e">
        <f>'SurveyRpt_20150223 (1)'!B425+"h_l!%8w"</f>
        <v>#VALUE!</v>
      </c>
      <c r="IR68" t="e">
        <f>'SurveyRpt_20150223 (1)'!C425+"h_l!%8x"</f>
        <v>#VALUE!</v>
      </c>
      <c r="IS68" s="25" t="e">
        <f>'SurveyRpt_20150223 (1)'!D425+"h_l!%8y"</f>
        <v>#VALUE!</v>
      </c>
      <c r="IT68" t="e">
        <f>'SurveyRpt_20150223 (1)'!E425+"h_l!%8z"</f>
        <v>#VALUE!</v>
      </c>
      <c r="IU68" t="e">
        <f>'SurveyRpt_20150223 (1)'!F425+"h_l!%8{"</f>
        <v>#VALUE!</v>
      </c>
      <c r="IV68" t="e">
        <f>'SurveyRpt_20150223 (1)'!G425+"h_l!%8|"</f>
        <v>#VALUE!</v>
      </c>
    </row>
    <row r="69" spans="6:256" x14ac:dyDescent="0.25">
      <c r="F69" t="e">
        <f>'SurveyRpt_20150223 (1)'!H425+"h_l!%8}"</f>
        <v>#VALUE!</v>
      </c>
      <c r="G69" t="e">
        <f>'SurveyRpt_20150223 (1)'!I425+"h_l!%8~"</f>
        <v>#VALUE!</v>
      </c>
      <c r="H69" t="e">
        <f>'SurveyRpt_20150223 (1)'!J425+"h_l!%9#"</f>
        <v>#VALUE!</v>
      </c>
      <c r="I69" t="e">
        <f>'SurveyRpt_20150223 (1)'!K425+"h_l!%9$"</f>
        <v>#VALUE!</v>
      </c>
      <c r="J69" t="e">
        <f>'SurveyRpt_20150223 (1)'!L425+"h_l!%9%"</f>
        <v>#VALUE!</v>
      </c>
      <c r="K69" t="e">
        <f>'SurveyRpt_20150223 (1)'!M425+"h_l!%9&amp;"</f>
        <v>#VALUE!</v>
      </c>
      <c r="L69" t="e">
        <f>'SurveyRpt_20150223 (1)'!N425+"h_l!%9'"</f>
        <v>#VALUE!</v>
      </c>
      <c r="M69" t="e">
        <f>'SurveyRpt_20150223 (1)'!O425+"h_l!%9("</f>
        <v>#VALUE!</v>
      </c>
      <c r="N69" t="e">
        <f>'SurveyRpt_20150223 (1)'!P425+"h_l!%9)"</f>
        <v>#VALUE!</v>
      </c>
      <c r="O69" t="e">
        <f>'SurveyRpt_20150223 (1)'!Q425+"h_l!%9."</f>
        <v>#VALUE!</v>
      </c>
      <c r="P69" t="e">
        <f>'SurveyRpt_20150223 (1)'!R425+"h_l!%9/"</f>
        <v>#VALUE!</v>
      </c>
      <c r="Q69" t="e">
        <f>'SurveyRpt_20150223 (1)'!S425+"h_l!%90"</f>
        <v>#VALUE!</v>
      </c>
      <c r="R69" t="e">
        <f>'SurveyRpt_20150223 (1)'!T425+"h_l!%91"</f>
        <v>#VALUE!</v>
      </c>
      <c r="S69" t="e">
        <f>'SurveyRpt_20150223 (1)'!U425+"h_l!%92"</f>
        <v>#VALUE!</v>
      </c>
      <c r="T69" t="e">
        <f>'SurveyRpt_20150223 (1)'!V425+"h_l!%93"</f>
        <v>#VALUE!</v>
      </c>
      <c r="U69" t="e">
        <f>'SurveyRpt_20150223 (1)'!W425+"h_l!%94"</f>
        <v>#VALUE!</v>
      </c>
      <c r="V69" t="e">
        <f>'SurveyRpt_20150223 (1)'!X425+"h_l!%95"</f>
        <v>#VALUE!</v>
      </c>
      <c r="W69" t="e">
        <f>'SurveyRpt_20150223 (1)'!Y425+"h_l!%96"</f>
        <v>#VALUE!</v>
      </c>
      <c r="X69" t="e">
        <f>'SurveyRpt_20150223 (1)'!Z425+"h_l!%97"</f>
        <v>#VALUE!</v>
      </c>
      <c r="Y69" t="e">
        <f>'SurveyRpt_20150223 (1)'!AA425+"h_l!%98"</f>
        <v>#VALUE!</v>
      </c>
      <c r="Z69" t="e">
        <f>'SurveyRpt_20150223 (1)'!AB425+"h_l!%99"</f>
        <v>#VALUE!</v>
      </c>
      <c r="AA69" t="e">
        <f>'SurveyRpt_20150223 (1)'!AC425+"h_l!%9:"</f>
        <v>#VALUE!</v>
      </c>
      <c r="AB69" t="e">
        <f>'SurveyRpt_20150223 (1)'!AD425+"h_l!%9;"</f>
        <v>#VALUE!</v>
      </c>
      <c r="AC69" t="e">
        <f>'SurveyRpt_20150223 (1)'!AE425+"h_l!%9&lt;"</f>
        <v>#VALUE!</v>
      </c>
      <c r="AD69" t="e">
        <f>'SurveyRpt_20150223 (1)'!AF425+"h_l!%9="</f>
        <v>#VALUE!</v>
      </c>
      <c r="AE69" t="e">
        <f>'SurveyRpt_20150223 (1)'!AG425+"h_l!%9&gt;"</f>
        <v>#VALUE!</v>
      </c>
      <c r="AF69" t="e">
        <f>'SurveyRpt_20150223 (1)'!AH425+"h_l!%9?"</f>
        <v>#VALUE!</v>
      </c>
      <c r="AG69" t="e">
        <f>'SurveyRpt_20150223 (1)'!AI425+"h_l!%9@"</f>
        <v>#VALUE!</v>
      </c>
      <c r="AH69" t="e">
        <f>'SurveyRpt_20150223 (1)'!AJ425+"h_l!%9A"</f>
        <v>#VALUE!</v>
      </c>
      <c r="AI69" t="e">
        <f>'SurveyRpt_20150223 (1)'!AK425+"h_l!%9B"</f>
        <v>#VALUE!</v>
      </c>
      <c r="AJ69" t="e">
        <f>'SurveyRpt_20150223 (1)'!AL425+"h_l!%9C"</f>
        <v>#VALUE!</v>
      </c>
      <c r="AK69" t="e">
        <f>'SurveyRpt_20150223 (1)'!AM425+"h_l!%9D"</f>
        <v>#VALUE!</v>
      </c>
      <c r="AL69" t="e">
        <f>'SurveyRpt_20150223 (1)'!AN425+"h_l!%9E"</f>
        <v>#VALUE!</v>
      </c>
      <c r="AM69" t="e">
        <f>'SurveyRpt_20150223 (1)'!A426+"h_l!%9F"</f>
        <v>#VALUE!</v>
      </c>
      <c r="AN69" s="25" t="e">
        <f>'SurveyRpt_20150223 (1)'!B426+"h_l!%9G"</f>
        <v>#VALUE!</v>
      </c>
      <c r="AO69" t="e">
        <f>'SurveyRpt_20150223 (1)'!C426+"h_l!%9H"</f>
        <v>#VALUE!</v>
      </c>
      <c r="AP69" s="25" t="e">
        <f>'SurveyRpt_20150223 (1)'!D426+"h_l!%9I"</f>
        <v>#VALUE!</v>
      </c>
      <c r="AQ69" t="e">
        <f>'SurveyRpt_20150223 (1)'!E426+"h_l!%9J"</f>
        <v>#VALUE!</v>
      </c>
      <c r="AR69" t="e">
        <f>'SurveyRpt_20150223 (1)'!F426+"h_l!%9K"</f>
        <v>#VALUE!</v>
      </c>
      <c r="AS69" t="e">
        <f>'SurveyRpt_20150223 (1)'!G426+"h_l!%9L"</f>
        <v>#VALUE!</v>
      </c>
      <c r="AT69" t="e">
        <f>'SurveyRpt_20150223 (1)'!H426+"h_l!%9M"</f>
        <v>#VALUE!</v>
      </c>
      <c r="AU69" t="e">
        <f>'SurveyRpt_20150223 (1)'!I426+"h_l!%9N"</f>
        <v>#VALUE!</v>
      </c>
      <c r="AV69" t="e">
        <f>'SurveyRpt_20150223 (1)'!J426+"h_l!%9O"</f>
        <v>#VALUE!</v>
      </c>
      <c r="AW69" t="e">
        <f>'SurveyRpt_20150223 (1)'!K426+"h_l!%9P"</f>
        <v>#VALUE!</v>
      </c>
      <c r="AX69" t="e">
        <f>'SurveyRpt_20150223 (1)'!L426+"h_l!%9Q"</f>
        <v>#VALUE!</v>
      </c>
      <c r="AY69" t="e">
        <f>'SurveyRpt_20150223 (1)'!M426+"h_l!%9R"</f>
        <v>#VALUE!</v>
      </c>
      <c r="AZ69" t="e">
        <f>'SurveyRpt_20150223 (1)'!N426+"h_l!%9S"</f>
        <v>#VALUE!</v>
      </c>
      <c r="BA69" t="e">
        <f>'SurveyRpt_20150223 (1)'!O426+"h_l!%9T"</f>
        <v>#VALUE!</v>
      </c>
      <c r="BB69" t="e">
        <f>'SurveyRpt_20150223 (1)'!P426+"h_l!%9U"</f>
        <v>#VALUE!</v>
      </c>
      <c r="BC69" t="e">
        <f>'SurveyRpt_20150223 (1)'!Q426+"h_l!%9V"</f>
        <v>#VALUE!</v>
      </c>
      <c r="BD69" t="e">
        <f>'SurveyRpt_20150223 (1)'!R426+"h_l!%9W"</f>
        <v>#VALUE!</v>
      </c>
      <c r="BE69" t="e">
        <f>'SurveyRpt_20150223 (1)'!S426+"h_l!%9X"</f>
        <v>#VALUE!</v>
      </c>
      <c r="BF69" t="e">
        <f>'SurveyRpt_20150223 (1)'!T426+"h_l!%9Y"</f>
        <v>#VALUE!</v>
      </c>
      <c r="BG69" t="e">
        <f>'SurveyRpt_20150223 (1)'!U426+"h_l!%9Z"</f>
        <v>#VALUE!</v>
      </c>
      <c r="BH69" t="e">
        <f>'SurveyRpt_20150223 (1)'!V426+"h_l!%9["</f>
        <v>#VALUE!</v>
      </c>
      <c r="BI69" t="e">
        <f>'SurveyRpt_20150223 (1)'!W426+"h_l!%9\"</f>
        <v>#VALUE!</v>
      </c>
      <c r="BJ69" t="e">
        <f>'SurveyRpt_20150223 (1)'!X426+"h_l!%9]"</f>
        <v>#VALUE!</v>
      </c>
      <c r="BK69" t="e">
        <f>'SurveyRpt_20150223 (1)'!Y426+"h_l!%9^"</f>
        <v>#VALUE!</v>
      </c>
      <c r="BL69" t="e">
        <f>'SurveyRpt_20150223 (1)'!Z426+"h_l!%9_"</f>
        <v>#VALUE!</v>
      </c>
      <c r="BM69" t="e">
        <f>'SurveyRpt_20150223 (1)'!AA426+"h_l!%9`"</f>
        <v>#VALUE!</v>
      </c>
      <c r="BN69" t="e">
        <f>'SurveyRpt_20150223 (1)'!AB426+"h_l!%9a"</f>
        <v>#VALUE!</v>
      </c>
      <c r="BO69" t="e">
        <f>'SurveyRpt_20150223 (1)'!AC426+"h_l!%9b"</f>
        <v>#VALUE!</v>
      </c>
      <c r="BP69" t="e">
        <f>'SurveyRpt_20150223 (1)'!AD426+"h_l!%9c"</f>
        <v>#VALUE!</v>
      </c>
      <c r="BQ69" t="e">
        <f>'SurveyRpt_20150223 (1)'!AE426+"h_l!%9d"</f>
        <v>#VALUE!</v>
      </c>
      <c r="BR69" t="e">
        <f>'SurveyRpt_20150223 (1)'!AF426+"h_l!%9e"</f>
        <v>#VALUE!</v>
      </c>
      <c r="BS69" t="e">
        <f>'SurveyRpt_20150223 (1)'!AG426+"h_l!%9f"</f>
        <v>#VALUE!</v>
      </c>
      <c r="BT69" t="e">
        <f>'SurveyRpt_20150223 (1)'!AH426+"h_l!%9g"</f>
        <v>#VALUE!</v>
      </c>
      <c r="BU69" t="e">
        <f>'SurveyRpt_20150223 (1)'!AI426+"h_l!%9h"</f>
        <v>#VALUE!</v>
      </c>
      <c r="BV69" t="e">
        <f>'SurveyRpt_20150223 (1)'!AJ426+"h_l!%9i"</f>
        <v>#VALUE!</v>
      </c>
      <c r="BW69" t="e">
        <f>'SurveyRpt_20150223 (1)'!AK426+"h_l!%9j"</f>
        <v>#VALUE!</v>
      </c>
      <c r="BX69" t="e">
        <f>'SurveyRpt_20150223 (1)'!AL426+"h_l!%9k"</f>
        <v>#VALUE!</v>
      </c>
      <c r="BY69" t="e">
        <f>'SurveyRpt_20150223 (1)'!AM426+"h_l!%9l"</f>
        <v>#VALUE!</v>
      </c>
      <c r="BZ69" t="e">
        <f>'SurveyRpt_20150223 (1)'!AN426+"h_l!%9m"</f>
        <v>#VALUE!</v>
      </c>
      <c r="CA69" t="e">
        <f>'SurveyRpt_20150223 (1)'!A427+"h_l!%9n"</f>
        <v>#VALUE!</v>
      </c>
      <c r="CB69" s="25" t="e">
        <f>'SurveyRpt_20150223 (1)'!B427+"h_l!%9o"</f>
        <v>#VALUE!</v>
      </c>
      <c r="CC69" t="e">
        <f>'SurveyRpt_20150223 (1)'!C427+"h_l!%9p"</f>
        <v>#VALUE!</v>
      </c>
      <c r="CD69" s="25" t="e">
        <f>'SurveyRpt_20150223 (1)'!D427+"h_l!%9q"</f>
        <v>#VALUE!</v>
      </c>
      <c r="CE69" t="e">
        <f>'SurveyRpt_20150223 (1)'!E427+"h_l!%9r"</f>
        <v>#VALUE!</v>
      </c>
      <c r="CF69" t="e">
        <f>'SurveyRpt_20150223 (1)'!F427+"h_l!%9s"</f>
        <v>#VALUE!</v>
      </c>
      <c r="CG69" t="e">
        <f>'SurveyRpt_20150223 (1)'!G427+"h_l!%9t"</f>
        <v>#VALUE!</v>
      </c>
      <c r="CH69" t="e">
        <f>'SurveyRpt_20150223 (1)'!H427+"h_l!%9u"</f>
        <v>#VALUE!</v>
      </c>
      <c r="CI69" t="e">
        <f>'SurveyRpt_20150223 (1)'!I427+"h_l!%9v"</f>
        <v>#VALUE!</v>
      </c>
      <c r="CJ69" t="e">
        <f>'SurveyRpt_20150223 (1)'!J427+"h_l!%9w"</f>
        <v>#VALUE!</v>
      </c>
      <c r="CK69" t="e">
        <f>'SurveyRpt_20150223 (1)'!K427+"h_l!%9x"</f>
        <v>#VALUE!</v>
      </c>
      <c r="CL69" t="e">
        <f>'SurveyRpt_20150223 (1)'!L427+"h_l!%9y"</f>
        <v>#VALUE!</v>
      </c>
      <c r="CM69" t="e">
        <f>'SurveyRpt_20150223 (1)'!M427+"h_l!%9z"</f>
        <v>#VALUE!</v>
      </c>
      <c r="CN69" t="e">
        <f>'SurveyRpt_20150223 (1)'!N427+"h_l!%9{"</f>
        <v>#VALUE!</v>
      </c>
      <c r="CO69" t="e">
        <f>'SurveyRpt_20150223 (1)'!O427+"h_l!%9|"</f>
        <v>#VALUE!</v>
      </c>
      <c r="CP69" t="e">
        <f>'SurveyRpt_20150223 (1)'!P427+"h_l!%9}"</f>
        <v>#VALUE!</v>
      </c>
      <c r="CQ69" t="e">
        <f>'SurveyRpt_20150223 (1)'!Q427+"h_l!%9~"</f>
        <v>#VALUE!</v>
      </c>
      <c r="CR69" t="e">
        <f>'SurveyRpt_20150223 (1)'!R427+"h_l!%:#"</f>
        <v>#VALUE!</v>
      </c>
      <c r="CS69" t="e">
        <f>'SurveyRpt_20150223 (1)'!S427+"h_l!%:$"</f>
        <v>#VALUE!</v>
      </c>
      <c r="CT69" t="e">
        <f>'SurveyRpt_20150223 (1)'!T427+"h_l!%:%"</f>
        <v>#VALUE!</v>
      </c>
      <c r="CU69" t="e">
        <f>'SurveyRpt_20150223 (1)'!U427+"h_l!%:&amp;"</f>
        <v>#VALUE!</v>
      </c>
      <c r="CV69" t="e">
        <f>'SurveyRpt_20150223 (1)'!V427+"h_l!%:'"</f>
        <v>#VALUE!</v>
      </c>
      <c r="CW69" t="e">
        <f>'SurveyRpt_20150223 (1)'!W427+"h_l!%:("</f>
        <v>#VALUE!</v>
      </c>
      <c r="CX69" t="e">
        <f>'SurveyRpt_20150223 (1)'!X427+"h_l!%:)"</f>
        <v>#VALUE!</v>
      </c>
      <c r="CY69" t="e">
        <f>'SurveyRpt_20150223 (1)'!Y427+"h_l!%:."</f>
        <v>#VALUE!</v>
      </c>
      <c r="CZ69" t="e">
        <f>'SurveyRpt_20150223 (1)'!Z427+"h_l!%:/"</f>
        <v>#VALUE!</v>
      </c>
      <c r="DA69" t="e">
        <f>'SurveyRpt_20150223 (1)'!AA427+"h_l!%:0"</f>
        <v>#VALUE!</v>
      </c>
      <c r="DB69" t="e">
        <f>'SurveyRpt_20150223 (1)'!AB427+"h_l!%:1"</f>
        <v>#VALUE!</v>
      </c>
      <c r="DC69" t="e">
        <f>'SurveyRpt_20150223 (1)'!AC427+"h_l!%:2"</f>
        <v>#VALUE!</v>
      </c>
      <c r="DD69" t="e">
        <f>'SurveyRpt_20150223 (1)'!AD427+"h_l!%:3"</f>
        <v>#VALUE!</v>
      </c>
      <c r="DE69" t="e">
        <f>'SurveyRpt_20150223 (1)'!AE427+"h_l!%:4"</f>
        <v>#VALUE!</v>
      </c>
      <c r="DF69" t="e">
        <f>'SurveyRpt_20150223 (1)'!AF427+"h_l!%:5"</f>
        <v>#VALUE!</v>
      </c>
      <c r="DG69" t="e">
        <f>'SurveyRpt_20150223 (1)'!AG427+"h_l!%:6"</f>
        <v>#VALUE!</v>
      </c>
      <c r="DH69" t="e">
        <f>'SurveyRpt_20150223 (1)'!AH427+"h_l!%:7"</f>
        <v>#VALUE!</v>
      </c>
      <c r="DI69" t="e">
        <f>'SurveyRpt_20150223 (1)'!AI427+"h_l!%:8"</f>
        <v>#VALUE!</v>
      </c>
      <c r="DJ69" t="e">
        <f>'SurveyRpt_20150223 (1)'!AJ427+"h_l!%:9"</f>
        <v>#VALUE!</v>
      </c>
      <c r="DK69" t="e">
        <f>'SurveyRpt_20150223 (1)'!AK427+"h_l!%::"</f>
        <v>#VALUE!</v>
      </c>
      <c r="DL69" t="e">
        <f>'SurveyRpt_20150223 (1)'!AL427+"h_l!%:;"</f>
        <v>#VALUE!</v>
      </c>
      <c r="DM69" t="e">
        <f>'SurveyRpt_20150223 (1)'!AM427+"h_l!%:&lt;"</f>
        <v>#VALUE!</v>
      </c>
      <c r="DN69" t="e">
        <f>'SurveyRpt_20150223 (1)'!AN427+"h_l!%:="</f>
        <v>#VALUE!</v>
      </c>
      <c r="DO69" t="e">
        <f>'SurveyRpt_20150223 (1)'!A428+"h_l!%:&gt;"</f>
        <v>#VALUE!</v>
      </c>
      <c r="DP69" s="25" t="e">
        <f>'SurveyRpt_20150223 (1)'!B428+"h_l!%:?"</f>
        <v>#VALUE!</v>
      </c>
      <c r="DQ69" t="e">
        <f>'SurveyRpt_20150223 (1)'!C428+"h_l!%:@"</f>
        <v>#VALUE!</v>
      </c>
      <c r="DR69" s="25" t="e">
        <f>'SurveyRpt_20150223 (1)'!D428+"h_l!%:A"</f>
        <v>#VALUE!</v>
      </c>
      <c r="DS69" t="e">
        <f>'SurveyRpt_20150223 (1)'!E428+"h_l!%:B"</f>
        <v>#VALUE!</v>
      </c>
      <c r="DT69" t="e">
        <f>'SurveyRpt_20150223 (1)'!F428+"h_l!%:C"</f>
        <v>#VALUE!</v>
      </c>
      <c r="DU69" t="e">
        <f>'SurveyRpt_20150223 (1)'!G428+"h_l!%:D"</f>
        <v>#VALUE!</v>
      </c>
      <c r="DV69" t="e">
        <f>'SurveyRpt_20150223 (1)'!H428+"h_l!%:E"</f>
        <v>#VALUE!</v>
      </c>
      <c r="DW69" t="e">
        <f>'SurveyRpt_20150223 (1)'!I428+"h_l!%:F"</f>
        <v>#VALUE!</v>
      </c>
      <c r="DX69" t="e">
        <f>'SurveyRpt_20150223 (1)'!J428+"h_l!%:G"</f>
        <v>#VALUE!</v>
      </c>
      <c r="DY69" t="e">
        <f>'SurveyRpt_20150223 (1)'!K428+"h_l!%:H"</f>
        <v>#VALUE!</v>
      </c>
      <c r="DZ69" t="e">
        <f>'SurveyRpt_20150223 (1)'!L428+"h_l!%:I"</f>
        <v>#VALUE!</v>
      </c>
      <c r="EA69" t="e">
        <f>'SurveyRpt_20150223 (1)'!M428+"h_l!%:J"</f>
        <v>#VALUE!</v>
      </c>
      <c r="EB69" t="e">
        <f>'SurveyRpt_20150223 (1)'!N428+"h_l!%:K"</f>
        <v>#VALUE!</v>
      </c>
      <c r="EC69" t="e">
        <f>'SurveyRpt_20150223 (1)'!O428+"h_l!%:L"</f>
        <v>#VALUE!</v>
      </c>
      <c r="ED69" t="e">
        <f>'SurveyRpt_20150223 (1)'!P428+"h_l!%:M"</f>
        <v>#VALUE!</v>
      </c>
      <c r="EE69" t="e">
        <f>'SurveyRpt_20150223 (1)'!Q428+"h_l!%:N"</f>
        <v>#VALUE!</v>
      </c>
      <c r="EF69" t="e">
        <f>'SurveyRpt_20150223 (1)'!R428+"h_l!%:O"</f>
        <v>#VALUE!</v>
      </c>
      <c r="EG69" t="e">
        <f>'SurveyRpt_20150223 (1)'!S428+"h_l!%:P"</f>
        <v>#VALUE!</v>
      </c>
      <c r="EH69" t="e">
        <f>'SurveyRpt_20150223 (1)'!T428+"h_l!%:Q"</f>
        <v>#VALUE!</v>
      </c>
      <c r="EI69" t="e">
        <f>'SurveyRpt_20150223 (1)'!U428+"h_l!%:R"</f>
        <v>#VALUE!</v>
      </c>
      <c r="EJ69" t="e">
        <f>'SurveyRpt_20150223 (1)'!V428+"h_l!%:S"</f>
        <v>#VALUE!</v>
      </c>
      <c r="EK69" t="e">
        <f>'SurveyRpt_20150223 (1)'!W428+"h_l!%:T"</f>
        <v>#VALUE!</v>
      </c>
      <c r="EL69" t="e">
        <f>'SurveyRpt_20150223 (1)'!X428+"h_l!%:U"</f>
        <v>#VALUE!</v>
      </c>
      <c r="EM69" t="e">
        <f>'SurveyRpt_20150223 (1)'!Y428+"h_l!%:V"</f>
        <v>#VALUE!</v>
      </c>
      <c r="EN69" t="e">
        <f>'SurveyRpt_20150223 (1)'!Z428+"h_l!%:W"</f>
        <v>#VALUE!</v>
      </c>
      <c r="EO69" t="e">
        <f>'SurveyRpt_20150223 (1)'!AA428+"h_l!%:X"</f>
        <v>#VALUE!</v>
      </c>
      <c r="EP69" t="e">
        <f>'SurveyRpt_20150223 (1)'!AB428+"h_l!%:Y"</f>
        <v>#VALUE!</v>
      </c>
      <c r="EQ69" t="e">
        <f>'SurveyRpt_20150223 (1)'!AC428+"h_l!%:Z"</f>
        <v>#VALUE!</v>
      </c>
      <c r="ER69" t="e">
        <f>'SurveyRpt_20150223 (1)'!AD428+"h_l!%:["</f>
        <v>#VALUE!</v>
      </c>
      <c r="ES69" t="e">
        <f>'SurveyRpt_20150223 (1)'!AE428+"h_l!%:\"</f>
        <v>#VALUE!</v>
      </c>
      <c r="ET69" t="e">
        <f>'SurveyRpt_20150223 (1)'!AF428+"h_l!%:]"</f>
        <v>#VALUE!</v>
      </c>
      <c r="EU69" t="e">
        <f>'SurveyRpt_20150223 (1)'!AG428+"h_l!%:^"</f>
        <v>#VALUE!</v>
      </c>
      <c r="EV69" t="e">
        <f>'SurveyRpt_20150223 (1)'!AH428+"h_l!%:_"</f>
        <v>#VALUE!</v>
      </c>
      <c r="EW69" t="e">
        <f>'SurveyRpt_20150223 (1)'!AI428+"h_l!%:`"</f>
        <v>#VALUE!</v>
      </c>
      <c r="EX69" t="e">
        <f>'SurveyRpt_20150223 (1)'!AJ428+"h_l!%:a"</f>
        <v>#VALUE!</v>
      </c>
      <c r="EY69" t="e">
        <f>'SurveyRpt_20150223 (1)'!AK428+"h_l!%:b"</f>
        <v>#VALUE!</v>
      </c>
      <c r="EZ69" t="e">
        <f>'SurveyRpt_20150223 (1)'!AL428+"h_l!%:c"</f>
        <v>#VALUE!</v>
      </c>
      <c r="FA69" t="e">
        <f>'SurveyRpt_20150223 (1)'!AM428+"h_l!%:d"</f>
        <v>#VALUE!</v>
      </c>
      <c r="FB69" t="e">
        <f>'SurveyRpt_20150223 (1)'!AN428+"h_l!%:e"</f>
        <v>#VALUE!</v>
      </c>
      <c r="FC69" t="e">
        <f>'SurveyRpt_20150223 (1)'!A429+"h_l!%:f"</f>
        <v>#VALUE!</v>
      </c>
      <c r="FD69" s="25" t="e">
        <f>'SurveyRpt_20150223 (1)'!B429+"h_l!%:g"</f>
        <v>#VALUE!</v>
      </c>
      <c r="FE69" t="e">
        <f>'SurveyRpt_20150223 (1)'!C429+"h_l!%:h"</f>
        <v>#VALUE!</v>
      </c>
      <c r="FF69" s="25" t="e">
        <f>'SurveyRpt_20150223 (1)'!D429+"h_l!%:i"</f>
        <v>#VALUE!</v>
      </c>
      <c r="FG69" t="e">
        <f>'SurveyRpt_20150223 (1)'!E429+"h_l!%:j"</f>
        <v>#VALUE!</v>
      </c>
      <c r="FH69" t="e">
        <f>'SurveyRpt_20150223 (1)'!F429+"h_l!%:k"</f>
        <v>#VALUE!</v>
      </c>
      <c r="FI69" t="e">
        <f>'SurveyRpt_20150223 (1)'!G429+"h_l!%:l"</f>
        <v>#VALUE!</v>
      </c>
      <c r="FJ69" t="e">
        <f>'SurveyRpt_20150223 (1)'!H429+"h_l!%:m"</f>
        <v>#VALUE!</v>
      </c>
      <c r="FK69" t="e">
        <f>'SurveyRpt_20150223 (1)'!I429+"h_l!%:n"</f>
        <v>#VALUE!</v>
      </c>
      <c r="FL69" t="e">
        <f>'SurveyRpt_20150223 (1)'!J429+"h_l!%:o"</f>
        <v>#VALUE!</v>
      </c>
      <c r="FM69" t="e">
        <f>'SurveyRpt_20150223 (1)'!K429+"h_l!%:p"</f>
        <v>#VALUE!</v>
      </c>
      <c r="FN69" t="e">
        <f>'SurveyRpt_20150223 (1)'!L429+"h_l!%:q"</f>
        <v>#VALUE!</v>
      </c>
      <c r="FO69" t="e">
        <f>'SurveyRpt_20150223 (1)'!M429+"h_l!%:r"</f>
        <v>#VALUE!</v>
      </c>
      <c r="FP69" t="e">
        <f>'SurveyRpt_20150223 (1)'!N429+"h_l!%:s"</f>
        <v>#VALUE!</v>
      </c>
      <c r="FQ69" t="e">
        <f>'SurveyRpt_20150223 (1)'!O429+"h_l!%:t"</f>
        <v>#VALUE!</v>
      </c>
      <c r="FR69" t="e">
        <f>'SurveyRpt_20150223 (1)'!P429+"h_l!%:u"</f>
        <v>#VALUE!</v>
      </c>
      <c r="FS69" t="e">
        <f>'SurveyRpt_20150223 (1)'!Q429+"h_l!%:v"</f>
        <v>#VALUE!</v>
      </c>
      <c r="FT69" t="e">
        <f>'SurveyRpt_20150223 (1)'!R429+"h_l!%:w"</f>
        <v>#VALUE!</v>
      </c>
      <c r="FU69" t="e">
        <f>'SurveyRpt_20150223 (1)'!S429+"h_l!%:x"</f>
        <v>#VALUE!</v>
      </c>
      <c r="FV69" t="e">
        <f>'SurveyRpt_20150223 (1)'!T429+"h_l!%:y"</f>
        <v>#VALUE!</v>
      </c>
      <c r="FW69" t="e">
        <f>'SurveyRpt_20150223 (1)'!U429+"h_l!%:z"</f>
        <v>#VALUE!</v>
      </c>
      <c r="FX69" t="e">
        <f>'SurveyRpt_20150223 (1)'!V429+"h_l!%:{"</f>
        <v>#VALUE!</v>
      </c>
      <c r="FY69" t="e">
        <f>'SurveyRpt_20150223 (1)'!W429+"h_l!%:|"</f>
        <v>#VALUE!</v>
      </c>
      <c r="FZ69" t="e">
        <f>'SurveyRpt_20150223 (1)'!X429+"h_l!%:}"</f>
        <v>#VALUE!</v>
      </c>
      <c r="GA69" t="e">
        <f>'SurveyRpt_20150223 (1)'!Y429+"h_l!%:~"</f>
        <v>#VALUE!</v>
      </c>
      <c r="GB69" t="e">
        <f>'SurveyRpt_20150223 (1)'!Z429+"h_l!%;#"</f>
        <v>#VALUE!</v>
      </c>
      <c r="GC69" t="e">
        <f>'SurveyRpt_20150223 (1)'!AA429+"h_l!%;$"</f>
        <v>#VALUE!</v>
      </c>
      <c r="GD69" t="e">
        <f>'SurveyRpt_20150223 (1)'!AB429+"h_l!%;%"</f>
        <v>#VALUE!</v>
      </c>
      <c r="GE69" t="e">
        <f>'SurveyRpt_20150223 (1)'!AC429+"h_l!%;&amp;"</f>
        <v>#VALUE!</v>
      </c>
      <c r="GF69" t="e">
        <f>'SurveyRpt_20150223 (1)'!AD429+"h_l!%;'"</f>
        <v>#VALUE!</v>
      </c>
      <c r="GG69" t="e">
        <f>'SurveyRpt_20150223 (1)'!AE429+"h_l!%;("</f>
        <v>#VALUE!</v>
      </c>
      <c r="GH69" t="e">
        <f>'SurveyRpt_20150223 (1)'!AF429+"h_l!%;)"</f>
        <v>#VALUE!</v>
      </c>
      <c r="GI69" t="e">
        <f>'SurveyRpt_20150223 (1)'!AG429+"h_l!%;."</f>
        <v>#VALUE!</v>
      </c>
      <c r="GJ69" t="e">
        <f>'SurveyRpt_20150223 (1)'!AH429+"h_l!%;/"</f>
        <v>#VALUE!</v>
      </c>
      <c r="GK69" t="e">
        <f>'SurveyRpt_20150223 (1)'!AI429+"h_l!%;0"</f>
        <v>#VALUE!</v>
      </c>
      <c r="GL69" t="e">
        <f>'SurveyRpt_20150223 (1)'!AJ429+"h_l!%;1"</f>
        <v>#VALUE!</v>
      </c>
      <c r="GM69" t="e">
        <f>'SurveyRpt_20150223 (1)'!AK429+"h_l!%;2"</f>
        <v>#VALUE!</v>
      </c>
      <c r="GN69" t="e">
        <f>'SurveyRpt_20150223 (1)'!AL429+"h_l!%;3"</f>
        <v>#VALUE!</v>
      </c>
      <c r="GO69" t="e">
        <f>'SurveyRpt_20150223 (1)'!AM429+"h_l!%;4"</f>
        <v>#VALUE!</v>
      </c>
      <c r="GP69" t="e">
        <f>'SurveyRpt_20150223 (1)'!AN429+"h_l!%;5"</f>
        <v>#VALUE!</v>
      </c>
      <c r="GQ69" t="e">
        <f>'SurveyRpt_20150223 (1)'!A430+"h_l!%;6"</f>
        <v>#VALUE!</v>
      </c>
      <c r="GR69" s="25" t="e">
        <f>'SurveyRpt_20150223 (1)'!B430+"h_l!%;7"</f>
        <v>#VALUE!</v>
      </c>
      <c r="GS69" t="e">
        <f>'SurveyRpt_20150223 (1)'!C430+"h_l!%;8"</f>
        <v>#VALUE!</v>
      </c>
      <c r="GT69" s="25" t="e">
        <f>'SurveyRpt_20150223 (1)'!D430+"h_l!%;9"</f>
        <v>#VALUE!</v>
      </c>
      <c r="GU69" t="e">
        <f>'SurveyRpt_20150223 (1)'!E430+"h_l!%;:"</f>
        <v>#VALUE!</v>
      </c>
      <c r="GV69" t="e">
        <f>'SurveyRpt_20150223 (1)'!F430+"h_l!%;;"</f>
        <v>#VALUE!</v>
      </c>
      <c r="GW69" t="e">
        <f>'SurveyRpt_20150223 (1)'!G430+"h_l!%;&lt;"</f>
        <v>#VALUE!</v>
      </c>
      <c r="GX69" t="e">
        <f>'SurveyRpt_20150223 (1)'!H430+"h_l!%;="</f>
        <v>#VALUE!</v>
      </c>
      <c r="GY69" t="e">
        <f>'SurveyRpt_20150223 (1)'!I430+"h_l!%;&gt;"</f>
        <v>#VALUE!</v>
      </c>
      <c r="GZ69" t="e">
        <f>'SurveyRpt_20150223 (1)'!J430+"h_l!%;?"</f>
        <v>#VALUE!</v>
      </c>
      <c r="HA69" t="e">
        <f>'SurveyRpt_20150223 (1)'!K430+"h_l!%;@"</f>
        <v>#VALUE!</v>
      </c>
      <c r="HB69" t="e">
        <f>'SurveyRpt_20150223 (1)'!L430+"h_l!%;A"</f>
        <v>#VALUE!</v>
      </c>
      <c r="HC69" t="e">
        <f>'SurveyRpt_20150223 (1)'!M430+"h_l!%;B"</f>
        <v>#VALUE!</v>
      </c>
      <c r="HD69" t="e">
        <f>'SurveyRpt_20150223 (1)'!N430+"h_l!%;C"</f>
        <v>#VALUE!</v>
      </c>
      <c r="HE69" t="e">
        <f>'SurveyRpt_20150223 (1)'!O430+"h_l!%;D"</f>
        <v>#VALUE!</v>
      </c>
      <c r="HF69" t="e">
        <f>'SurveyRpt_20150223 (1)'!P430+"h_l!%;E"</f>
        <v>#VALUE!</v>
      </c>
      <c r="HG69" t="e">
        <f>'SurveyRpt_20150223 (1)'!Q430+"h_l!%;F"</f>
        <v>#VALUE!</v>
      </c>
      <c r="HH69" t="e">
        <f>'SurveyRpt_20150223 (1)'!R430+"h_l!%;G"</f>
        <v>#VALUE!</v>
      </c>
      <c r="HI69" t="e">
        <f>'SurveyRpt_20150223 (1)'!S430+"h_l!%;H"</f>
        <v>#VALUE!</v>
      </c>
      <c r="HJ69" t="e">
        <f>'SurveyRpt_20150223 (1)'!T430+"h_l!%;I"</f>
        <v>#VALUE!</v>
      </c>
      <c r="HK69" t="e">
        <f>'SurveyRpt_20150223 (1)'!U430+"h_l!%;J"</f>
        <v>#VALUE!</v>
      </c>
      <c r="HL69" t="e">
        <f>'SurveyRpt_20150223 (1)'!V430+"h_l!%;K"</f>
        <v>#VALUE!</v>
      </c>
      <c r="HM69" t="e">
        <f>'SurveyRpt_20150223 (1)'!W430+"h_l!%;L"</f>
        <v>#VALUE!</v>
      </c>
      <c r="HN69" t="e">
        <f>'SurveyRpt_20150223 (1)'!X430+"h_l!%;M"</f>
        <v>#VALUE!</v>
      </c>
      <c r="HO69" t="e">
        <f>'SurveyRpt_20150223 (1)'!Y430+"h_l!%;N"</f>
        <v>#VALUE!</v>
      </c>
      <c r="HP69" t="e">
        <f>'SurveyRpt_20150223 (1)'!Z430+"h_l!%;O"</f>
        <v>#VALUE!</v>
      </c>
      <c r="HQ69" t="e">
        <f>'SurveyRpt_20150223 (1)'!AA430+"h_l!%;P"</f>
        <v>#VALUE!</v>
      </c>
      <c r="HR69" t="e">
        <f>'SurveyRpt_20150223 (1)'!AB430+"h_l!%;Q"</f>
        <v>#VALUE!</v>
      </c>
      <c r="HS69" t="e">
        <f>'SurveyRpt_20150223 (1)'!AC430+"h_l!%;R"</f>
        <v>#VALUE!</v>
      </c>
      <c r="HT69" t="e">
        <f>'SurveyRpt_20150223 (1)'!AD430+"h_l!%;S"</f>
        <v>#VALUE!</v>
      </c>
      <c r="HU69" t="e">
        <f>'SurveyRpt_20150223 (1)'!AE430+"h_l!%;T"</f>
        <v>#VALUE!</v>
      </c>
      <c r="HV69" t="e">
        <f>'SurveyRpt_20150223 (1)'!AF430+"h_l!%;U"</f>
        <v>#VALUE!</v>
      </c>
      <c r="HW69" t="e">
        <f>'SurveyRpt_20150223 (1)'!AG430+"h_l!%;V"</f>
        <v>#VALUE!</v>
      </c>
      <c r="HX69" t="e">
        <f>'SurveyRpt_20150223 (1)'!AH430+"h_l!%;W"</f>
        <v>#VALUE!</v>
      </c>
      <c r="HY69" t="e">
        <f>'SurveyRpt_20150223 (1)'!AI430+"h_l!%;X"</f>
        <v>#VALUE!</v>
      </c>
      <c r="HZ69" t="e">
        <f>'SurveyRpt_20150223 (1)'!AJ430+"h_l!%;Y"</f>
        <v>#VALUE!</v>
      </c>
      <c r="IA69" t="e">
        <f>'SurveyRpt_20150223 (1)'!AK430+"h_l!%;Z"</f>
        <v>#VALUE!</v>
      </c>
      <c r="IB69" t="e">
        <f>'SurveyRpt_20150223 (1)'!AL430+"h_l!%;["</f>
        <v>#VALUE!</v>
      </c>
      <c r="IC69" t="e">
        <f>'SurveyRpt_20150223 (1)'!AM430+"h_l!%;\"</f>
        <v>#VALUE!</v>
      </c>
      <c r="ID69" t="e">
        <f>'SurveyRpt_20150223 (1)'!AN430+"h_l!%;]"</f>
        <v>#VALUE!</v>
      </c>
      <c r="IE69" t="e">
        <f>'SurveyRpt_20150223 (1)'!A431+"h_l!%;^"</f>
        <v>#VALUE!</v>
      </c>
      <c r="IF69" s="25" t="e">
        <f>'SurveyRpt_20150223 (1)'!B431+"h_l!%;_"</f>
        <v>#VALUE!</v>
      </c>
      <c r="IG69" t="e">
        <f>'SurveyRpt_20150223 (1)'!C431+"h_l!%;`"</f>
        <v>#VALUE!</v>
      </c>
      <c r="IH69" s="25" t="e">
        <f>'SurveyRpt_20150223 (1)'!D431+"h_l!%;a"</f>
        <v>#VALUE!</v>
      </c>
      <c r="II69" t="e">
        <f>'SurveyRpt_20150223 (1)'!E431+"h_l!%;b"</f>
        <v>#VALUE!</v>
      </c>
      <c r="IJ69" t="e">
        <f>'SurveyRpt_20150223 (1)'!F431+"h_l!%;c"</f>
        <v>#VALUE!</v>
      </c>
      <c r="IK69" t="e">
        <f>'SurveyRpt_20150223 (1)'!G431+"h_l!%;d"</f>
        <v>#VALUE!</v>
      </c>
      <c r="IL69" t="e">
        <f>'SurveyRpt_20150223 (1)'!H431+"h_l!%;e"</f>
        <v>#VALUE!</v>
      </c>
      <c r="IM69" t="e">
        <f>'SurveyRpt_20150223 (1)'!I431+"h_l!%;f"</f>
        <v>#VALUE!</v>
      </c>
      <c r="IN69" t="e">
        <f>'SurveyRpt_20150223 (1)'!J431+"h_l!%;g"</f>
        <v>#VALUE!</v>
      </c>
      <c r="IO69" t="e">
        <f>'SurveyRpt_20150223 (1)'!K431+"h_l!%;h"</f>
        <v>#VALUE!</v>
      </c>
      <c r="IP69" t="e">
        <f>'SurveyRpt_20150223 (1)'!L431+"h_l!%;i"</f>
        <v>#VALUE!</v>
      </c>
      <c r="IQ69" t="e">
        <f>'SurveyRpt_20150223 (1)'!M431+"h_l!%;j"</f>
        <v>#VALUE!</v>
      </c>
      <c r="IR69" t="e">
        <f>'SurveyRpt_20150223 (1)'!N431+"h_l!%;k"</f>
        <v>#VALUE!</v>
      </c>
      <c r="IS69" t="e">
        <f>'SurveyRpt_20150223 (1)'!O431+"h_l!%;l"</f>
        <v>#VALUE!</v>
      </c>
      <c r="IT69" t="e">
        <f>'SurveyRpt_20150223 (1)'!P431+"h_l!%;m"</f>
        <v>#VALUE!</v>
      </c>
      <c r="IU69" t="e">
        <f>'SurveyRpt_20150223 (1)'!Q431+"h_l!%;n"</f>
        <v>#VALUE!</v>
      </c>
      <c r="IV69" t="e">
        <f>'SurveyRpt_20150223 (1)'!R431+"h_l!%;o"</f>
        <v>#VALUE!</v>
      </c>
    </row>
    <row r="70" spans="6:256" x14ac:dyDescent="0.25">
      <c r="F70" t="e">
        <f>'SurveyRpt_20150223 (1)'!S431+"h_l!%;p"</f>
        <v>#VALUE!</v>
      </c>
      <c r="G70" t="e">
        <f>'SurveyRpt_20150223 (1)'!T431+"h_l!%;q"</f>
        <v>#VALUE!</v>
      </c>
      <c r="H70" t="e">
        <f>'SurveyRpt_20150223 (1)'!U431+"h_l!%;r"</f>
        <v>#VALUE!</v>
      </c>
      <c r="I70" t="e">
        <f>'SurveyRpt_20150223 (1)'!V431+"h_l!%;s"</f>
        <v>#VALUE!</v>
      </c>
      <c r="J70" t="e">
        <f>'SurveyRpt_20150223 (1)'!W431+"h_l!%;t"</f>
        <v>#VALUE!</v>
      </c>
      <c r="K70" t="e">
        <f>'SurveyRpt_20150223 (1)'!X431+"h_l!%;u"</f>
        <v>#VALUE!</v>
      </c>
      <c r="L70" t="e">
        <f>'SurveyRpt_20150223 (1)'!Y431+"h_l!%;v"</f>
        <v>#VALUE!</v>
      </c>
      <c r="M70" t="e">
        <f>'SurveyRpt_20150223 (1)'!Z431+"h_l!%;w"</f>
        <v>#VALUE!</v>
      </c>
      <c r="N70" t="e">
        <f>'SurveyRpt_20150223 (1)'!AA431+"h_l!%;x"</f>
        <v>#VALUE!</v>
      </c>
      <c r="O70" t="e">
        <f>'SurveyRpt_20150223 (1)'!AB431+"h_l!%;y"</f>
        <v>#VALUE!</v>
      </c>
      <c r="P70" t="e">
        <f>'SurveyRpt_20150223 (1)'!AC431+"h_l!%;z"</f>
        <v>#VALUE!</v>
      </c>
      <c r="Q70" t="e">
        <f>'SurveyRpt_20150223 (1)'!AD431+"h_l!%;{"</f>
        <v>#VALUE!</v>
      </c>
      <c r="R70" t="e">
        <f>'SurveyRpt_20150223 (1)'!AE431+"h_l!%;|"</f>
        <v>#VALUE!</v>
      </c>
      <c r="S70" t="e">
        <f>'SurveyRpt_20150223 (1)'!AF431+"h_l!%;}"</f>
        <v>#VALUE!</v>
      </c>
      <c r="T70" t="e">
        <f>'SurveyRpt_20150223 (1)'!AG431+"h_l!%;~"</f>
        <v>#VALUE!</v>
      </c>
      <c r="U70" t="e">
        <f>'SurveyRpt_20150223 (1)'!AH431+"h_l!%&lt;#"</f>
        <v>#VALUE!</v>
      </c>
      <c r="V70" t="e">
        <f>'SurveyRpt_20150223 (1)'!AI431+"h_l!%&lt;$"</f>
        <v>#VALUE!</v>
      </c>
      <c r="W70" t="e">
        <f>'SurveyRpt_20150223 (1)'!AJ431+"h_l!%&lt;%"</f>
        <v>#VALUE!</v>
      </c>
      <c r="X70" t="e">
        <f>'SurveyRpt_20150223 (1)'!AK431+"h_l!%&lt;&amp;"</f>
        <v>#VALUE!</v>
      </c>
      <c r="Y70" t="e">
        <f>'SurveyRpt_20150223 (1)'!AL431+"h_l!%&lt;'"</f>
        <v>#VALUE!</v>
      </c>
      <c r="Z70" t="e">
        <f>'SurveyRpt_20150223 (1)'!AM431+"h_l!%&lt;("</f>
        <v>#VALUE!</v>
      </c>
      <c r="AA70" t="e">
        <f>'SurveyRpt_20150223 (1)'!AN431+"h_l!%&lt;)"</f>
        <v>#VALUE!</v>
      </c>
      <c r="AB70" t="e">
        <f>'SurveyRpt_20150223 (1)'!A432+"h_l!%&lt;."</f>
        <v>#VALUE!</v>
      </c>
      <c r="AC70" s="25" t="e">
        <f>'SurveyRpt_20150223 (1)'!B432+"h_l!%&lt;/"</f>
        <v>#VALUE!</v>
      </c>
      <c r="AD70" t="e">
        <f>'SurveyRpt_20150223 (1)'!C432+"h_l!%&lt;0"</f>
        <v>#VALUE!</v>
      </c>
      <c r="AE70" s="25" t="e">
        <f>'SurveyRpt_20150223 (1)'!D432+"h_l!%&lt;1"</f>
        <v>#VALUE!</v>
      </c>
      <c r="AF70" t="e">
        <f>'SurveyRpt_20150223 (1)'!E432+"h_l!%&lt;2"</f>
        <v>#VALUE!</v>
      </c>
      <c r="AG70" t="e">
        <f>'SurveyRpt_20150223 (1)'!F432+"h_l!%&lt;3"</f>
        <v>#VALUE!</v>
      </c>
      <c r="AH70" t="e">
        <f>'SurveyRpt_20150223 (1)'!G432+"h_l!%&lt;4"</f>
        <v>#VALUE!</v>
      </c>
      <c r="AI70" t="e">
        <f>'SurveyRpt_20150223 (1)'!H432+"h_l!%&lt;5"</f>
        <v>#VALUE!</v>
      </c>
      <c r="AJ70" t="e">
        <f>'SurveyRpt_20150223 (1)'!I432+"h_l!%&lt;6"</f>
        <v>#VALUE!</v>
      </c>
      <c r="AK70" t="e">
        <f>'SurveyRpt_20150223 (1)'!J432+"h_l!%&lt;7"</f>
        <v>#VALUE!</v>
      </c>
      <c r="AL70" t="e">
        <f>'SurveyRpt_20150223 (1)'!K432+"h_l!%&lt;8"</f>
        <v>#VALUE!</v>
      </c>
      <c r="AM70" t="e">
        <f>'SurveyRpt_20150223 (1)'!L432+"h_l!%&lt;9"</f>
        <v>#VALUE!</v>
      </c>
      <c r="AN70" t="e">
        <f>'SurveyRpt_20150223 (1)'!M432+"h_l!%&lt;:"</f>
        <v>#VALUE!</v>
      </c>
      <c r="AO70" t="e">
        <f>'SurveyRpt_20150223 (1)'!N432+"h_l!%&lt;;"</f>
        <v>#VALUE!</v>
      </c>
      <c r="AP70" t="e">
        <f>'SurveyRpt_20150223 (1)'!O432+"h_l!%&lt;&lt;"</f>
        <v>#VALUE!</v>
      </c>
      <c r="AQ70" t="e">
        <f>'SurveyRpt_20150223 (1)'!P432+"h_l!%&lt;="</f>
        <v>#VALUE!</v>
      </c>
      <c r="AR70" t="e">
        <f>'SurveyRpt_20150223 (1)'!Q432+"h_l!%&lt;&gt;"</f>
        <v>#VALUE!</v>
      </c>
      <c r="AS70" t="e">
        <f>'SurveyRpt_20150223 (1)'!R432+"h_l!%&lt;?"</f>
        <v>#VALUE!</v>
      </c>
      <c r="AT70" t="e">
        <f>'SurveyRpt_20150223 (1)'!S432+"h_l!%&lt;@"</f>
        <v>#VALUE!</v>
      </c>
      <c r="AU70" t="e">
        <f>'SurveyRpt_20150223 (1)'!T432+"h_l!%&lt;A"</f>
        <v>#VALUE!</v>
      </c>
      <c r="AV70" t="e">
        <f>'SurveyRpt_20150223 (1)'!U432+"h_l!%&lt;B"</f>
        <v>#VALUE!</v>
      </c>
      <c r="AW70" t="e">
        <f>'SurveyRpt_20150223 (1)'!V432+"h_l!%&lt;C"</f>
        <v>#VALUE!</v>
      </c>
      <c r="AX70" t="e">
        <f>'SurveyRpt_20150223 (1)'!W432+"h_l!%&lt;D"</f>
        <v>#VALUE!</v>
      </c>
      <c r="AY70" t="e">
        <f>'SurveyRpt_20150223 (1)'!X432+"h_l!%&lt;E"</f>
        <v>#VALUE!</v>
      </c>
      <c r="AZ70" t="e">
        <f>'SurveyRpt_20150223 (1)'!Y432+"h_l!%&lt;F"</f>
        <v>#VALUE!</v>
      </c>
      <c r="BA70" t="e">
        <f>'SurveyRpt_20150223 (1)'!Z432+"h_l!%&lt;G"</f>
        <v>#VALUE!</v>
      </c>
      <c r="BB70" t="e">
        <f>'SurveyRpt_20150223 (1)'!AA432+"h_l!%&lt;H"</f>
        <v>#VALUE!</v>
      </c>
      <c r="BC70" t="e">
        <f>'SurveyRpt_20150223 (1)'!AB432+"h_l!%&lt;I"</f>
        <v>#VALUE!</v>
      </c>
      <c r="BD70" t="e">
        <f>'SurveyRpt_20150223 (1)'!AC432+"h_l!%&lt;J"</f>
        <v>#VALUE!</v>
      </c>
      <c r="BE70" t="e">
        <f>'SurveyRpt_20150223 (1)'!AD432+"h_l!%&lt;K"</f>
        <v>#VALUE!</v>
      </c>
      <c r="BF70" t="e">
        <f>'SurveyRpt_20150223 (1)'!AE432+"h_l!%&lt;L"</f>
        <v>#VALUE!</v>
      </c>
      <c r="BG70" t="e">
        <f>'SurveyRpt_20150223 (1)'!AF432+"h_l!%&lt;M"</f>
        <v>#VALUE!</v>
      </c>
      <c r="BH70" t="e">
        <f>'SurveyRpt_20150223 (1)'!AG432+"h_l!%&lt;N"</f>
        <v>#VALUE!</v>
      </c>
      <c r="BI70" t="e">
        <f>'SurveyRpt_20150223 (1)'!AH432+"h_l!%&lt;O"</f>
        <v>#VALUE!</v>
      </c>
      <c r="BJ70" t="e">
        <f>'SurveyRpt_20150223 (1)'!AI432+"h_l!%&lt;P"</f>
        <v>#VALUE!</v>
      </c>
      <c r="BK70" t="e">
        <f>'SurveyRpt_20150223 (1)'!AJ432+"h_l!%&lt;Q"</f>
        <v>#VALUE!</v>
      </c>
      <c r="BL70" t="e">
        <f>'SurveyRpt_20150223 (1)'!AK432+"h_l!%&lt;R"</f>
        <v>#VALUE!</v>
      </c>
      <c r="BM70" t="e">
        <f>'SurveyRpt_20150223 (1)'!AL432+"h_l!%&lt;S"</f>
        <v>#VALUE!</v>
      </c>
      <c r="BN70" t="e">
        <f>'SurveyRpt_20150223 (1)'!AM432+"h_l!%&lt;T"</f>
        <v>#VALUE!</v>
      </c>
      <c r="BO70" t="e">
        <f>'SurveyRpt_20150223 (1)'!AN432+"h_l!%&lt;U"</f>
        <v>#VALUE!</v>
      </c>
      <c r="BP70" t="e">
        <f>'SurveyRpt_20150223 (1)'!A433+"h_l!%&lt;V"</f>
        <v>#VALUE!</v>
      </c>
      <c r="BQ70" s="25" t="e">
        <f>'SurveyRpt_20150223 (1)'!B433+"h_l!%&lt;W"</f>
        <v>#VALUE!</v>
      </c>
      <c r="BR70" t="e">
        <f>'SurveyRpt_20150223 (1)'!C433+"h_l!%&lt;X"</f>
        <v>#VALUE!</v>
      </c>
      <c r="BS70" s="25" t="e">
        <f>'SurveyRpt_20150223 (1)'!D433+"h_l!%&lt;Y"</f>
        <v>#VALUE!</v>
      </c>
      <c r="BT70" t="e">
        <f>'SurveyRpt_20150223 (1)'!E433+"h_l!%&lt;Z"</f>
        <v>#VALUE!</v>
      </c>
      <c r="BU70" t="e">
        <f>'SurveyRpt_20150223 (1)'!F433+"h_l!%&lt;["</f>
        <v>#VALUE!</v>
      </c>
      <c r="BV70" t="e">
        <f>'SurveyRpt_20150223 (1)'!G433+"h_l!%&lt;\"</f>
        <v>#VALUE!</v>
      </c>
      <c r="BW70" t="e">
        <f>'SurveyRpt_20150223 (1)'!H433+"h_l!%&lt;]"</f>
        <v>#VALUE!</v>
      </c>
      <c r="BX70" t="e">
        <f>'SurveyRpt_20150223 (1)'!I433+"h_l!%&lt;^"</f>
        <v>#VALUE!</v>
      </c>
      <c r="BY70" t="e">
        <f>'SurveyRpt_20150223 (1)'!J433+"h_l!%&lt;_"</f>
        <v>#VALUE!</v>
      </c>
      <c r="BZ70" t="e">
        <f>'SurveyRpt_20150223 (1)'!K433+"h_l!%&lt;`"</f>
        <v>#VALUE!</v>
      </c>
      <c r="CA70" t="e">
        <f>'SurveyRpt_20150223 (1)'!L433+"h_l!%&lt;a"</f>
        <v>#VALUE!</v>
      </c>
      <c r="CB70" t="e">
        <f>'SurveyRpt_20150223 (1)'!M433+"h_l!%&lt;b"</f>
        <v>#VALUE!</v>
      </c>
      <c r="CC70" t="e">
        <f>'SurveyRpt_20150223 (1)'!N433+"h_l!%&lt;c"</f>
        <v>#VALUE!</v>
      </c>
      <c r="CD70" t="e">
        <f>'SurveyRpt_20150223 (1)'!O433+"h_l!%&lt;d"</f>
        <v>#VALUE!</v>
      </c>
      <c r="CE70" t="e">
        <f>'SurveyRpt_20150223 (1)'!P433+"h_l!%&lt;e"</f>
        <v>#VALUE!</v>
      </c>
      <c r="CF70" t="e">
        <f>'SurveyRpt_20150223 (1)'!Q433+"h_l!%&lt;f"</f>
        <v>#VALUE!</v>
      </c>
      <c r="CG70" t="e">
        <f>'SurveyRpt_20150223 (1)'!R433+"h_l!%&lt;g"</f>
        <v>#VALUE!</v>
      </c>
      <c r="CH70" t="e">
        <f>'SurveyRpt_20150223 (1)'!S433+"h_l!%&lt;h"</f>
        <v>#VALUE!</v>
      </c>
      <c r="CI70" t="e">
        <f>'SurveyRpt_20150223 (1)'!T433+"h_l!%&lt;i"</f>
        <v>#VALUE!</v>
      </c>
      <c r="CJ70" t="e">
        <f>'SurveyRpt_20150223 (1)'!U433+"h_l!%&lt;j"</f>
        <v>#VALUE!</v>
      </c>
      <c r="CK70" t="e">
        <f>'SurveyRpt_20150223 (1)'!V433+"h_l!%&lt;k"</f>
        <v>#VALUE!</v>
      </c>
      <c r="CL70" t="e">
        <f>'SurveyRpt_20150223 (1)'!W433+"h_l!%&lt;l"</f>
        <v>#VALUE!</v>
      </c>
      <c r="CM70" t="e">
        <f>'SurveyRpt_20150223 (1)'!X433+"h_l!%&lt;m"</f>
        <v>#VALUE!</v>
      </c>
      <c r="CN70" t="e">
        <f>'SurveyRpt_20150223 (1)'!Y433+"h_l!%&lt;n"</f>
        <v>#VALUE!</v>
      </c>
      <c r="CO70" t="e">
        <f>'SurveyRpt_20150223 (1)'!Z433+"h_l!%&lt;o"</f>
        <v>#VALUE!</v>
      </c>
      <c r="CP70" t="e">
        <f>'SurveyRpt_20150223 (1)'!AA433+"h_l!%&lt;p"</f>
        <v>#VALUE!</v>
      </c>
      <c r="CQ70" t="e">
        <f>'SurveyRpt_20150223 (1)'!AB433+"h_l!%&lt;q"</f>
        <v>#VALUE!</v>
      </c>
      <c r="CR70" t="e">
        <f>'SurveyRpt_20150223 (1)'!AC433+"h_l!%&lt;r"</f>
        <v>#VALUE!</v>
      </c>
      <c r="CS70" t="e">
        <f>'SurveyRpt_20150223 (1)'!AD433+"h_l!%&lt;s"</f>
        <v>#VALUE!</v>
      </c>
      <c r="CT70" t="e">
        <f>'SurveyRpt_20150223 (1)'!AE433+"h_l!%&lt;t"</f>
        <v>#VALUE!</v>
      </c>
      <c r="CU70" t="e">
        <f>'SurveyRpt_20150223 (1)'!AF433+"h_l!%&lt;u"</f>
        <v>#VALUE!</v>
      </c>
      <c r="CV70" t="e">
        <f>'SurveyRpt_20150223 (1)'!AG433+"h_l!%&lt;v"</f>
        <v>#VALUE!</v>
      </c>
      <c r="CW70" t="e">
        <f>'SurveyRpt_20150223 (1)'!AH433+"h_l!%&lt;w"</f>
        <v>#VALUE!</v>
      </c>
      <c r="CX70" t="e">
        <f>'SurveyRpt_20150223 (1)'!AI433+"h_l!%&lt;x"</f>
        <v>#VALUE!</v>
      </c>
      <c r="CY70" t="e">
        <f>'SurveyRpt_20150223 (1)'!AJ433+"h_l!%&lt;y"</f>
        <v>#VALUE!</v>
      </c>
      <c r="CZ70" t="e">
        <f>'SurveyRpt_20150223 (1)'!AK433+"h_l!%&lt;z"</f>
        <v>#VALUE!</v>
      </c>
      <c r="DA70" t="e">
        <f>'SurveyRpt_20150223 (1)'!AL433+"h_l!%&lt;{"</f>
        <v>#VALUE!</v>
      </c>
      <c r="DB70" t="e">
        <f>'SurveyRpt_20150223 (1)'!AM433+"h_l!%&lt;|"</f>
        <v>#VALUE!</v>
      </c>
      <c r="DC70" t="e">
        <f>'SurveyRpt_20150223 (1)'!AN433+"h_l!%&lt;}"</f>
        <v>#VALUE!</v>
      </c>
      <c r="DD70" t="e">
        <f>'SurveyRpt_20150223 (1)'!A434+"h_l!%&lt;~"</f>
        <v>#VALUE!</v>
      </c>
      <c r="DE70" s="25" t="e">
        <f>'SurveyRpt_20150223 (1)'!B434+"h_l!%=#"</f>
        <v>#VALUE!</v>
      </c>
      <c r="DF70" t="e">
        <f>'SurveyRpt_20150223 (1)'!C434+"h_l!%=$"</f>
        <v>#VALUE!</v>
      </c>
      <c r="DG70" s="25" t="e">
        <f>'SurveyRpt_20150223 (1)'!D434+"h_l!%=%"</f>
        <v>#VALUE!</v>
      </c>
      <c r="DH70" t="e">
        <f>'SurveyRpt_20150223 (1)'!E434+"h_l!%=&amp;"</f>
        <v>#VALUE!</v>
      </c>
      <c r="DI70" t="e">
        <f>'SurveyRpt_20150223 (1)'!F434+"h_l!%='"</f>
        <v>#VALUE!</v>
      </c>
      <c r="DJ70" t="e">
        <f>'SurveyRpt_20150223 (1)'!G434+"h_l!%=("</f>
        <v>#VALUE!</v>
      </c>
      <c r="DK70" t="e">
        <f>'SurveyRpt_20150223 (1)'!H434+"h_l!%=)"</f>
        <v>#VALUE!</v>
      </c>
      <c r="DL70" t="e">
        <f>'SurveyRpt_20150223 (1)'!I434+"h_l!%=."</f>
        <v>#VALUE!</v>
      </c>
      <c r="DM70" t="e">
        <f>'SurveyRpt_20150223 (1)'!J434+"h_l!%=/"</f>
        <v>#VALUE!</v>
      </c>
      <c r="DN70" t="e">
        <f>'SurveyRpt_20150223 (1)'!K434+"h_l!%=0"</f>
        <v>#VALUE!</v>
      </c>
      <c r="DO70" t="e">
        <f>'SurveyRpt_20150223 (1)'!L434+"h_l!%=1"</f>
        <v>#VALUE!</v>
      </c>
      <c r="DP70" t="e">
        <f>'SurveyRpt_20150223 (1)'!M434+"h_l!%=2"</f>
        <v>#VALUE!</v>
      </c>
      <c r="DQ70" t="e">
        <f>'SurveyRpt_20150223 (1)'!N434+"h_l!%=3"</f>
        <v>#VALUE!</v>
      </c>
      <c r="DR70" t="e">
        <f>'SurveyRpt_20150223 (1)'!O434+"h_l!%=4"</f>
        <v>#VALUE!</v>
      </c>
      <c r="DS70" t="e">
        <f>'SurveyRpt_20150223 (1)'!P434+"h_l!%=5"</f>
        <v>#VALUE!</v>
      </c>
      <c r="DT70" t="e">
        <f>'SurveyRpt_20150223 (1)'!Q434+"h_l!%=6"</f>
        <v>#VALUE!</v>
      </c>
      <c r="DU70" t="e">
        <f>'SurveyRpt_20150223 (1)'!R434+"h_l!%=7"</f>
        <v>#VALUE!</v>
      </c>
      <c r="DV70" t="e">
        <f>'SurveyRpt_20150223 (1)'!S434+"h_l!%=8"</f>
        <v>#VALUE!</v>
      </c>
      <c r="DW70" t="e">
        <f>'SurveyRpt_20150223 (1)'!T434+"h_l!%=9"</f>
        <v>#VALUE!</v>
      </c>
      <c r="DX70" t="e">
        <f>'SurveyRpt_20150223 (1)'!U434+"h_l!%=:"</f>
        <v>#VALUE!</v>
      </c>
      <c r="DY70" t="e">
        <f>'SurveyRpt_20150223 (1)'!V434+"h_l!%=;"</f>
        <v>#VALUE!</v>
      </c>
      <c r="DZ70" t="e">
        <f>'SurveyRpt_20150223 (1)'!W434+"h_l!%=&lt;"</f>
        <v>#VALUE!</v>
      </c>
      <c r="EA70" t="e">
        <f>'SurveyRpt_20150223 (1)'!X434+"h_l!%=="</f>
        <v>#VALUE!</v>
      </c>
      <c r="EB70" t="e">
        <f>'SurveyRpt_20150223 (1)'!Y434+"h_l!%=&gt;"</f>
        <v>#VALUE!</v>
      </c>
      <c r="EC70" t="e">
        <f>'SurveyRpt_20150223 (1)'!Z434+"h_l!%=?"</f>
        <v>#VALUE!</v>
      </c>
      <c r="ED70" t="e">
        <f>'SurveyRpt_20150223 (1)'!AA434+"h_l!%=@"</f>
        <v>#VALUE!</v>
      </c>
      <c r="EE70" t="e">
        <f>'SurveyRpt_20150223 (1)'!AB434+"h_l!%=A"</f>
        <v>#VALUE!</v>
      </c>
      <c r="EF70" t="e">
        <f>'SurveyRpt_20150223 (1)'!AC434+"h_l!%=B"</f>
        <v>#VALUE!</v>
      </c>
      <c r="EG70" t="e">
        <f>'SurveyRpt_20150223 (1)'!AD434+"h_l!%=C"</f>
        <v>#VALUE!</v>
      </c>
      <c r="EH70" t="e">
        <f>'SurveyRpt_20150223 (1)'!AE434+"h_l!%=D"</f>
        <v>#VALUE!</v>
      </c>
      <c r="EI70" t="e">
        <f>'SurveyRpt_20150223 (1)'!AF434+"h_l!%=E"</f>
        <v>#VALUE!</v>
      </c>
      <c r="EJ70" t="e">
        <f>'SurveyRpt_20150223 (1)'!AG434+"h_l!%=F"</f>
        <v>#VALUE!</v>
      </c>
      <c r="EK70" t="e">
        <f>'SurveyRpt_20150223 (1)'!AH434+"h_l!%=G"</f>
        <v>#VALUE!</v>
      </c>
      <c r="EL70" t="e">
        <f>'SurveyRpt_20150223 (1)'!AI434+"h_l!%=H"</f>
        <v>#VALUE!</v>
      </c>
      <c r="EM70" t="e">
        <f>'SurveyRpt_20150223 (1)'!AJ434+"h_l!%=I"</f>
        <v>#VALUE!</v>
      </c>
      <c r="EN70" t="e">
        <f>'SurveyRpt_20150223 (1)'!AK434+"h_l!%=J"</f>
        <v>#VALUE!</v>
      </c>
      <c r="EO70" t="e">
        <f>'SurveyRpt_20150223 (1)'!AL434+"h_l!%=K"</f>
        <v>#VALUE!</v>
      </c>
      <c r="EP70" t="e">
        <f>'SurveyRpt_20150223 (1)'!AM434+"h_l!%=L"</f>
        <v>#VALUE!</v>
      </c>
      <c r="EQ70" t="e">
        <f>'SurveyRpt_20150223 (1)'!AN434+"h_l!%=M"</f>
        <v>#VALUE!</v>
      </c>
      <c r="ER70" t="e">
        <f>'SurveyRpt_20150223 (1)'!A435+"h_l!%=N"</f>
        <v>#VALUE!</v>
      </c>
      <c r="ES70" s="25" t="e">
        <f>'SurveyRpt_20150223 (1)'!B435+"h_l!%=O"</f>
        <v>#VALUE!</v>
      </c>
      <c r="ET70" t="e">
        <f>'SurveyRpt_20150223 (1)'!C435+"h_l!%=P"</f>
        <v>#VALUE!</v>
      </c>
      <c r="EU70" s="25" t="e">
        <f>'SurveyRpt_20150223 (1)'!D435+"h_l!%=Q"</f>
        <v>#VALUE!</v>
      </c>
      <c r="EV70" t="e">
        <f>'SurveyRpt_20150223 (1)'!E435+"h_l!%=R"</f>
        <v>#VALUE!</v>
      </c>
      <c r="EW70" t="e">
        <f>'SurveyRpt_20150223 (1)'!F435+"h_l!%=S"</f>
        <v>#VALUE!</v>
      </c>
      <c r="EX70" t="e">
        <f>'SurveyRpt_20150223 (1)'!G435+"h_l!%=T"</f>
        <v>#VALUE!</v>
      </c>
      <c r="EY70" t="e">
        <f>'SurveyRpt_20150223 (1)'!H435+"h_l!%=U"</f>
        <v>#VALUE!</v>
      </c>
      <c r="EZ70" t="e">
        <f>'SurveyRpt_20150223 (1)'!I435+"h_l!%=V"</f>
        <v>#VALUE!</v>
      </c>
      <c r="FA70" t="e">
        <f>'SurveyRpt_20150223 (1)'!J435+"h_l!%=W"</f>
        <v>#VALUE!</v>
      </c>
      <c r="FB70" t="e">
        <f>'SurveyRpt_20150223 (1)'!K435+"h_l!%=X"</f>
        <v>#VALUE!</v>
      </c>
      <c r="FC70" t="e">
        <f>'SurveyRpt_20150223 (1)'!L435+"h_l!%=Y"</f>
        <v>#VALUE!</v>
      </c>
      <c r="FD70" t="e">
        <f>'SurveyRpt_20150223 (1)'!M435+"h_l!%=Z"</f>
        <v>#VALUE!</v>
      </c>
      <c r="FE70" t="e">
        <f>'SurveyRpt_20150223 (1)'!N435+"h_l!%=["</f>
        <v>#VALUE!</v>
      </c>
      <c r="FF70" t="e">
        <f>'SurveyRpt_20150223 (1)'!O435+"h_l!%=\"</f>
        <v>#VALUE!</v>
      </c>
      <c r="FG70" t="e">
        <f>'SurveyRpt_20150223 (1)'!P435+"h_l!%=]"</f>
        <v>#VALUE!</v>
      </c>
      <c r="FH70" t="e">
        <f>'SurveyRpt_20150223 (1)'!Q435+"h_l!%=^"</f>
        <v>#VALUE!</v>
      </c>
      <c r="FI70" t="e">
        <f>'SurveyRpt_20150223 (1)'!R435+"h_l!%=_"</f>
        <v>#VALUE!</v>
      </c>
      <c r="FJ70" t="e">
        <f>'SurveyRpt_20150223 (1)'!S435+"h_l!%=`"</f>
        <v>#VALUE!</v>
      </c>
      <c r="FK70" t="e">
        <f>'SurveyRpt_20150223 (1)'!T435+"h_l!%=a"</f>
        <v>#VALUE!</v>
      </c>
      <c r="FL70" t="e">
        <f>'SurveyRpt_20150223 (1)'!U435+"h_l!%=b"</f>
        <v>#VALUE!</v>
      </c>
      <c r="FM70" t="e">
        <f>'SurveyRpt_20150223 (1)'!V435+"h_l!%=c"</f>
        <v>#VALUE!</v>
      </c>
      <c r="FN70" t="e">
        <f>'SurveyRpt_20150223 (1)'!W435+"h_l!%=d"</f>
        <v>#VALUE!</v>
      </c>
      <c r="FO70" t="e">
        <f>'SurveyRpt_20150223 (1)'!X435+"h_l!%=e"</f>
        <v>#VALUE!</v>
      </c>
      <c r="FP70" t="e">
        <f>'SurveyRpt_20150223 (1)'!Y435+"h_l!%=f"</f>
        <v>#VALUE!</v>
      </c>
      <c r="FQ70" t="e">
        <f>'SurveyRpt_20150223 (1)'!Z435+"h_l!%=g"</f>
        <v>#VALUE!</v>
      </c>
      <c r="FR70" t="e">
        <f>'SurveyRpt_20150223 (1)'!AA435+"h_l!%=h"</f>
        <v>#VALUE!</v>
      </c>
      <c r="FS70" t="e">
        <f>'SurveyRpt_20150223 (1)'!AB435+"h_l!%=i"</f>
        <v>#VALUE!</v>
      </c>
      <c r="FT70" t="e">
        <f>'SurveyRpt_20150223 (1)'!AC435+"h_l!%=j"</f>
        <v>#VALUE!</v>
      </c>
      <c r="FU70" t="e">
        <f>'SurveyRpt_20150223 (1)'!AD435+"h_l!%=k"</f>
        <v>#VALUE!</v>
      </c>
      <c r="FV70" t="e">
        <f>'SurveyRpt_20150223 (1)'!AE435+"h_l!%=l"</f>
        <v>#VALUE!</v>
      </c>
      <c r="FW70" t="e">
        <f>'SurveyRpt_20150223 (1)'!AF435+"h_l!%=m"</f>
        <v>#VALUE!</v>
      </c>
      <c r="FX70" t="e">
        <f>'SurveyRpt_20150223 (1)'!AG435+"h_l!%=n"</f>
        <v>#VALUE!</v>
      </c>
      <c r="FY70" t="e">
        <f>'SurveyRpt_20150223 (1)'!AH435+"h_l!%=o"</f>
        <v>#VALUE!</v>
      </c>
      <c r="FZ70" t="e">
        <f>'SurveyRpt_20150223 (1)'!AI435+"h_l!%=p"</f>
        <v>#VALUE!</v>
      </c>
      <c r="GA70" t="e">
        <f>'SurveyRpt_20150223 (1)'!AJ435+"h_l!%=q"</f>
        <v>#VALUE!</v>
      </c>
      <c r="GB70" t="e">
        <f>'SurveyRpt_20150223 (1)'!AK435+"h_l!%=r"</f>
        <v>#VALUE!</v>
      </c>
      <c r="GC70" t="e">
        <f>'SurveyRpt_20150223 (1)'!AL435+"h_l!%=s"</f>
        <v>#VALUE!</v>
      </c>
      <c r="GD70" t="e">
        <f>'SurveyRpt_20150223 (1)'!AM435+"h_l!%=t"</f>
        <v>#VALUE!</v>
      </c>
      <c r="GE70" t="e">
        <f>'SurveyRpt_20150223 (1)'!AN435+"h_l!%=u"</f>
        <v>#VALUE!</v>
      </c>
      <c r="GF70" t="e">
        <f>'SurveyRpt_20150223 (1)'!A436+"h_l!%=v"</f>
        <v>#VALUE!</v>
      </c>
      <c r="GG70" s="25" t="e">
        <f>'SurveyRpt_20150223 (1)'!B436+"h_l!%=w"</f>
        <v>#VALUE!</v>
      </c>
      <c r="GH70" t="e">
        <f>'SurveyRpt_20150223 (1)'!C436+"h_l!%=x"</f>
        <v>#VALUE!</v>
      </c>
      <c r="GI70" s="25" t="e">
        <f>'SurveyRpt_20150223 (1)'!D436+"h_l!%=y"</f>
        <v>#VALUE!</v>
      </c>
      <c r="GJ70" t="e">
        <f>'SurveyRpt_20150223 (1)'!E436+"h_l!%=z"</f>
        <v>#VALUE!</v>
      </c>
      <c r="GK70" t="e">
        <f>'SurveyRpt_20150223 (1)'!F436+"h_l!%={"</f>
        <v>#VALUE!</v>
      </c>
      <c r="GL70" t="e">
        <f>'SurveyRpt_20150223 (1)'!G436+"h_l!%=|"</f>
        <v>#VALUE!</v>
      </c>
      <c r="GM70" t="e">
        <f>'SurveyRpt_20150223 (1)'!H436+"h_l!%=}"</f>
        <v>#VALUE!</v>
      </c>
      <c r="GN70" t="e">
        <f>'SurveyRpt_20150223 (1)'!I436+"h_l!%=~"</f>
        <v>#VALUE!</v>
      </c>
      <c r="GO70" t="e">
        <f>'SurveyRpt_20150223 (1)'!J436+"h_l!%&gt;#"</f>
        <v>#VALUE!</v>
      </c>
      <c r="GP70" t="e">
        <f>'SurveyRpt_20150223 (1)'!K436+"h_l!%&gt;$"</f>
        <v>#VALUE!</v>
      </c>
      <c r="GQ70" t="e">
        <f>'SurveyRpt_20150223 (1)'!L436+"h_l!%&gt;%"</f>
        <v>#VALUE!</v>
      </c>
      <c r="GR70" t="e">
        <f>'SurveyRpt_20150223 (1)'!M436+"h_l!%&gt;&amp;"</f>
        <v>#VALUE!</v>
      </c>
      <c r="GS70" t="e">
        <f>'SurveyRpt_20150223 (1)'!N436+"h_l!%&gt;'"</f>
        <v>#VALUE!</v>
      </c>
      <c r="GT70" t="e">
        <f>'SurveyRpt_20150223 (1)'!O436+"h_l!%&gt;("</f>
        <v>#VALUE!</v>
      </c>
      <c r="GU70" t="e">
        <f>'SurveyRpt_20150223 (1)'!P436+"h_l!%&gt;)"</f>
        <v>#VALUE!</v>
      </c>
      <c r="GV70" t="e">
        <f>'SurveyRpt_20150223 (1)'!Q436+"h_l!%&gt;."</f>
        <v>#VALUE!</v>
      </c>
      <c r="GW70" t="e">
        <f>'SurveyRpt_20150223 (1)'!R436+"h_l!%&gt;/"</f>
        <v>#VALUE!</v>
      </c>
      <c r="GX70" t="e">
        <f>'SurveyRpt_20150223 (1)'!S436+"h_l!%&gt;0"</f>
        <v>#VALUE!</v>
      </c>
      <c r="GY70" t="e">
        <f>'SurveyRpt_20150223 (1)'!T436+"h_l!%&gt;1"</f>
        <v>#VALUE!</v>
      </c>
      <c r="GZ70" t="e">
        <f>'SurveyRpt_20150223 (1)'!U436+"h_l!%&gt;2"</f>
        <v>#VALUE!</v>
      </c>
      <c r="HA70" t="e">
        <f>'SurveyRpt_20150223 (1)'!V436+"h_l!%&gt;3"</f>
        <v>#VALUE!</v>
      </c>
      <c r="HB70" t="e">
        <f>'SurveyRpt_20150223 (1)'!W436+"h_l!%&gt;4"</f>
        <v>#VALUE!</v>
      </c>
      <c r="HC70" t="e">
        <f>'SurveyRpt_20150223 (1)'!X436+"h_l!%&gt;5"</f>
        <v>#VALUE!</v>
      </c>
      <c r="HD70" t="e">
        <f>'SurveyRpt_20150223 (1)'!Y436+"h_l!%&gt;6"</f>
        <v>#VALUE!</v>
      </c>
      <c r="HE70" t="e">
        <f>'SurveyRpt_20150223 (1)'!Z436+"h_l!%&gt;7"</f>
        <v>#VALUE!</v>
      </c>
      <c r="HF70" t="e">
        <f>'SurveyRpt_20150223 (1)'!AA436+"h_l!%&gt;8"</f>
        <v>#VALUE!</v>
      </c>
      <c r="HG70" t="e">
        <f>'SurveyRpt_20150223 (1)'!AB436+"h_l!%&gt;9"</f>
        <v>#VALUE!</v>
      </c>
      <c r="HH70" t="e">
        <f>'SurveyRpt_20150223 (1)'!AC436+"h_l!%&gt;:"</f>
        <v>#VALUE!</v>
      </c>
      <c r="HI70" t="e">
        <f>'SurveyRpt_20150223 (1)'!AD436+"h_l!%&gt;;"</f>
        <v>#VALUE!</v>
      </c>
      <c r="HJ70" t="e">
        <f>'SurveyRpt_20150223 (1)'!AE436+"h_l!%&gt;&lt;"</f>
        <v>#VALUE!</v>
      </c>
      <c r="HK70" t="e">
        <f>'SurveyRpt_20150223 (1)'!AF436+"h_l!%&gt;="</f>
        <v>#VALUE!</v>
      </c>
      <c r="HL70" t="e">
        <f>'SurveyRpt_20150223 (1)'!AG436+"h_l!%&gt;&gt;"</f>
        <v>#VALUE!</v>
      </c>
      <c r="HM70" t="e">
        <f>'SurveyRpt_20150223 (1)'!AH436+"h_l!%&gt;?"</f>
        <v>#VALUE!</v>
      </c>
      <c r="HN70" t="e">
        <f>'SurveyRpt_20150223 (1)'!AI436+"h_l!%&gt;@"</f>
        <v>#VALUE!</v>
      </c>
      <c r="HO70" t="e">
        <f>'SurveyRpt_20150223 (1)'!AJ436+"h_l!%&gt;A"</f>
        <v>#VALUE!</v>
      </c>
      <c r="HP70" t="e">
        <f>'SurveyRpt_20150223 (1)'!AK436+"h_l!%&gt;B"</f>
        <v>#VALUE!</v>
      </c>
      <c r="HQ70" t="e">
        <f>'SurveyRpt_20150223 (1)'!AL436+"h_l!%&gt;C"</f>
        <v>#VALUE!</v>
      </c>
      <c r="HR70" t="e">
        <f>'SurveyRpt_20150223 (1)'!AM436+"h_l!%&gt;D"</f>
        <v>#VALUE!</v>
      </c>
      <c r="HS70" t="e">
        <f>'SurveyRpt_20150223 (1)'!AN436+"h_l!%&gt;E"</f>
        <v>#VALUE!</v>
      </c>
      <c r="HT70" t="e">
        <f>'SurveyRpt_20150223 (1)'!A437+"h_l!%&gt;F"</f>
        <v>#VALUE!</v>
      </c>
      <c r="HU70" s="25" t="e">
        <f>'SurveyRpt_20150223 (1)'!B437+"h_l!%&gt;G"</f>
        <v>#VALUE!</v>
      </c>
      <c r="HV70" t="e">
        <f>'SurveyRpt_20150223 (1)'!C437+"h_l!%&gt;H"</f>
        <v>#VALUE!</v>
      </c>
      <c r="HW70" s="25" t="e">
        <f>'SurveyRpt_20150223 (1)'!D437+"h_l!%&gt;I"</f>
        <v>#VALUE!</v>
      </c>
      <c r="HX70" t="e">
        <f>'SurveyRpt_20150223 (1)'!E437+"h_l!%&gt;J"</f>
        <v>#VALUE!</v>
      </c>
      <c r="HY70" t="e">
        <f>'SurveyRpt_20150223 (1)'!F437+"h_l!%&gt;K"</f>
        <v>#VALUE!</v>
      </c>
      <c r="HZ70" t="e">
        <f>'SurveyRpt_20150223 (1)'!G437+"h_l!%&gt;L"</f>
        <v>#VALUE!</v>
      </c>
      <c r="IA70" t="e">
        <f>'SurveyRpt_20150223 (1)'!H437+"h_l!%&gt;M"</f>
        <v>#VALUE!</v>
      </c>
      <c r="IB70" t="e">
        <f>'SurveyRpt_20150223 (1)'!I437+"h_l!%&gt;N"</f>
        <v>#VALUE!</v>
      </c>
      <c r="IC70" t="e">
        <f>'SurveyRpt_20150223 (1)'!J437+"h_l!%&gt;O"</f>
        <v>#VALUE!</v>
      </c>
      <c r="ID70" t="e">
        <f>'SurveyRpt_20150223 (1)'!K437+"h_l!%&gt;P"</f>
        <v>#VALUE!</v>
      </c>
      <c r="IE70" t="e">
        <f>'SurveyRpt_20150223 (1)'!L437+"h_l!%&gt;Q"</f>
        <v>#VALUE!</v>
      </c>
      <c r="IF70" t="e">
        <f>'SurveyRpt_20150223 (1)'!M437+"h_l!%&gt;R"</f>
        <v>#VALUE!</v>
      </c>
      <c r="IG70" t="e">
        <f>'SurveyRpt_20150223 (1)'!N437+"h_l!%&gt;S"</f>
        <v>#VALUE!</v>
      </c>
      <c r="IH70" t="e">
        <f>'SurveyRpt_20150223 (1)'!O437+"h_l!%&gt;T"</f>
        <v>#VALUE!</v>
      </c>
      <c r="II70" t="e">
        <f>'SurveyRpt_20150223 (1)'!P437+"h_l!%&gt;U"</f>
        <v>#VALUE!</v>
      </c>
      <c r="IJ70" t="e">
        <f>'SurveyRpt_20150223 (1)'!Q437+"h_l!%&gt;V"</f>
        <v>#VALUE!</v>
      </c>
      <c r="IK70" t="e">
        <f>'SurveyRpt_20150223 (1)'!R437+"h_l!%&gt;W"</f>
        <v>#VALUE!</v>
      </c>
      <c r="IL70" t="e">
        <f>'SurveyRpt_20150223 (1)'!S437+"h_l!%&gt;X"</f>
        <v>#VALUE!</v>
      </c>
      <c r="IM70" t="e">
        <f>'SurveyRpt_20150223 (1)'!T437+"h_l!%&gt;Y"</f>
        <v>#VALUE!</v>
      </c>
      <c r="IN70" t="e">
        <f>'SurveyRpt_20150223 (1)'!U437+"h_l!%&gt;Z"</f>
        <v>#VALUE!</v>
      </c>
      <c r="IO70" t="e">
        <f>'SurveyRpt_20150223 (1)'!V437+"h_l!%&gt;["</f>
        <v>#VALUE!</v>
      </c>
      <c r="IP70" t="e">
        <f>'SurveyRpt_20150223 (1)'!W437+"h_l!%&gt;\"</f>
        <v>#VALUE!</v>
      </c>
      <c r="IQ70" t="e">
        <f>'SurveyRpt_20150223 (1)'!X437+"h_l!%&gt;]"</f>
        <v>#VALUE!</v>
      </c>
      <c r="IR70" t="e">
        <f>'SurveyRpt_20150223 (1)'!Y437+"h_l!%&gt;^"</f>
        <v>#VALUE!</v>
      </c>
      <c r="IS70" t="e">
        <f>'SurveyRpt_20150223 (1)'!Z437+"h_l!%&gt;_"</f>
        <v>#VALUE!</v>
      </c>
      <c r="IT70" t="e">
        <f>'SurveyRpt_20150223 (1)'!AA437+"h_l!%&gt;`"</f>
        <v>#VALUE!</v>
      </c>
      <c r="IU70" t="e">
        <f>'SurveyRpt_20150223 (1)'!AB437+"h_l!%&gt;a"</f>
        <v>#VALUE!</v>
      </c>
      <c r="IV70" t="e">
        <f>'SurveyRpt_20150223 (1)'!AC437+"h_l!%&gt;b"</f>
        <v>#VALUE!</v>
      </c>
    </row>
    <row r="71" spans="6:256" x14ac:dyDescent="0.25">
      <c r="F71" t="e">
        <f>'SurveyRpt_20150223 (1)'!AD437+"h_l!%&gt;c"</f>
        <v>#VALUE!</v>
      </c>
      <c r="G71" t="e">
        <f>'SurveyRpt_20150223 (1)'!AE437+"h_l!%&gt;d"</f>
        <v>#VALUE!</v>
      </c>
      <c r="H71" t="e">
        <f>'SurveyRpt_20150223 (1)'!AF437+"h_l!%&gt;e"</f>
        <v>#VALUE!</v>
      </c>
      <c r="I71" t="e">
        <f>'SurveyRpt_20150223 (1)'!AG437+"h_l!%&gt;f"</f>
        <v>#VALUE!</v>
      </c>
      <c r="J71" t="e">
        <f>'SurveyRpt_20150223 (1)'!AH437+"h_l!%&gt;g"</f>
        <v>#VALUE!</v>
      </c>
      <c r="K71" t="e">
        <f>'SurveyRpt_20150223 (1)'!AI437+"h_l!%&gt;h"</f>
        <v>#VALUE!</v>
      </c>
      <c r="L71" t="e">
        <f>'SurveyRpt_20150223 (1)'!AJ437+"h_l!%&gt;i"</f>
        <v>#VALUE!</v>
      </c>
      <c r="M71" t="e">
        <f>'SurveyRpt_20150223 (1)'!AK437+"h_l!%&gt;j"</f>
        <v>#VALUE!</v>
      </c>
      <c r="N71" t="e">
        <f>'SurveyRpt_20150223 (1)'!AL437+"h_l!%&gt;k"</f>
        <v>#VALUE!</v>
      </c>
      <c r="O71" t="e">
        <f>'SurveyRpt_20150223 (1)'!AM437+"h_l!%&gt;l"</f>
        <v>#VALUE!</v>
      </c>
      <c r="P71" t="e">
        <f>'SurveyRpt_20150223 (1)'!AN437+"h_l!%&gt;m"</f>
        <v>#VALUE!</v>
      </c>
      <c r="Q71" t="e">
        <f>'SurveyRpt_20150223 (1)'!A438+"h_l!%&gt;n"</f>
        <v>#VALUE!</v>
      </c>
      <c r="R71" s="25" t="e">
        <f>'SurveyRpt_20150223 (1)'!B438+"h_l!%&gt;o"</f>
        <v>#VALUE!</v>
      </c>
      <c r="S71" t="e">
        <f>'SurveyRpt_20150223 (1)'!C438+"h_l!%&gt;p"</f>
        <v>#VALUE!</v>
      </c>
      <c r="T71" s="25" t="e">
        <f>'SurveyRpt_20150223 (1)'!D438+"h_l!%&gt;q"</f>
        <v>#VALUE!</v>
      </c>
      <c r="U71" t="e">
        <f>'SurveyRpt_20150223 (1)'!E438+"h_l!%&gt;r"</f>
        <v>#VALUE!</v>
      </c>
      <c r="V71" t="e">
        <f>'SurveyRpt_20150223 (1)'!F438+"h_l!%&gt;s"</f>
        <v>#VALUE!</v>
      </c>
      <c r="W71" t="e">
        <f>'SurveyRpt_20150223 (1)'!G438+"h_l!%&gt;t"</f>
        <v>#VALUE!</v>
      </c>
      <c r="X71" t="e">
        <f>'SurveyRpt_20150223 (1)'!H438+"h_l!%&gt;u"</f>
        <v>#VALUE!</v>
      </c>
      <c r="Y71" t="e">
        <f>'SurveyRpt_20150223 (1)'!I438+"h_l!%&gt;v"</f>
        <v>#VALUE!</v>
      </c>
      <c r="Z71" t="e">
        <f>'SurveyRpt_20150223 (1)'!J438+"h_l!%&gt;w"</f>
        <v>#VALUE!</v>
      </c>
      <c r="AA71" t="e">
        <f>'SurveyRpt_20150223 (1)'!K438+"h_l!%&gt;x"</f>
        <v>#VALUE!</v>
      </c>
      <c r="AB71" t="e">
        <f>'SurveyRpt_20150223 (1)'!L438+"h_l!%&gt;y"</f>
        <v>#VALUE!</v>
      </c>
      <c r="AC71" t="e">
        <f>'SurveyRpt_20150223 (1)'!M438+"h_l!%&gt;z"</f>
        <v>#VALUE!</v>
      </c>
      <c r="AD71" t="e">
        <f>'SurveyRpt_20150223 (1)'!N438+"h_l!%&gt;{"</f>
        <v>#VALUE!</v>
      </c>
      <c r="AE71" t="e">
        <f>'SurveyRpt_20150223 (1)'!O438+"h_l!%&gt;|"</f>
        <v>#VALUE!</v>
      </c>
      <c r="AF71" t="e">
        <f>'SurveyRpt_20150223 (1)'!P438+"h_l!%&gt;}"</f>
        <v>#VALUE!</v>
      </c>
      <c r="AG71" t="e">
        <f>'SurveyRpt_20150223 (1)'!Q438+"h_l!%&gt;~"</f>
        <v>#VALUE!</v>
      </c>
      <c r="AH71" t="e">
        <f>'SurveyRpt_20150223 (1)'!R438+"h_l!%?#"</f>
        <v>#VALUE!</v>
      </c>
      <c r="AI71" t="e">
        <f>'SurveyRpt_20150223 (1)'!S438+"h_l!%?$"</f>
        <v>#VALUE!</v>
      </c>
      <c r="AJ71" t="e">
        <f>'SurveyRpt_20150223 (1)'!T438+"h_l!%?%"</f>
        <v>#VALUE!</v>
      </c>
      <c r="AK71" t="e">
        <f>'SurveyRpt_20150223 (1)'!U438+"h_l!%?&amp;"</f>
        <v>#VALUE!</v>
      </c>
      <c r="AL71" t="e">
        <f>'SurveyRpt_20150223 (1)'!V438+"h_l!%?'"</f>
        <v>#VALUE!</v>
      </c>
      <c r="AM71" t="e">
        <f>'SurveyRpt_20150223 (1)'!W438+"h_l!%?("</f>
        <v>#VALUE!</v>
      </c>
      <c r="AN71" t="e">
        <f>'SurveyRpt_20150223 (1)'!X438+"h_l!%?)"</f>
        <v>#VALUE!</v>
      </c>
      <c r="AO71" t="e">
        <f>'SurveyRpt_20150223 (1)'!Y438+"h_l!%?."</f>
        <v>#VALUE!</v>
      </c>
      <c r="AP71" t="e">
        <f>'SurveyRpt_20150223 (1)'!Z438+"h_l!%?/"</f>
        <v>#VALUE!</v>
      </c>
      <c r="AQ71" t="e">
        <f>'SurveyRpt_20150223 (1)'!AA438+"h_l!%?0"</f>
        <v>#VALUE!</v>
      </c>
      <c r="AR71" t="e">
        <f>'SurveyRpt_20150223 (1)'!AB438+"h_l!%?1"</f>
        <v>#VALUE!</v>
      </c>
      <c r="AS71" t="e">
        <f>'SurveyRpt_20150223 (1)'!AC438+"h_l!%?2"</f>
        <v>#VALUE!</v>
      </c>
      <c r="AT71" t="e">
        <f>'SurveyRpt_20150223 (1)'!AD438+"h_l!%?3"</f>
        <v>#VALUE!</v>
      </c>
      <c r="AU71" t="e">
        <f>'SurveyRpt_20150223 (1)'!AE438+"h_l!%?4"</f>
        <v>#VALUE!</v>
      </c>
      <c r="AV71" t="e">
        <f>'SurveyRpt_20150223 (1)'!AF438+"h_l!%?5"</f>
        <v>#VALUE!</v>
      </c>
      <c r="AW71" t="e">
        <f>'SurveyRpt_20150223 (1)'!AG438+"h_l!%?6"</f>
        <v>#VALUE!</v>
      </c>
      <c r="AX71" t="e">
        <f>'SurveyRpt_20150223 (1)'!AH438+"h_l!%?7"</f>
        <v>#VALUE!</v>
      </c>
      <c r="AY71" t="e">
        <f>'SurveyRpt_20150223 (1)'!AI438+"h_l!%?8"</f>
        <v>#VALUE!</v>
      </c>
      <c r="AZ71" t="e">
        <f>'SurveyRpt_20150223 (1)'!AJ438+"h_l!%?9"</f>
        <v>#VALUE!</v>
      </c>
      <c r="BA71" t="e">
        <f>'SurveyRpt_20150223 (1)'!AK438+"h_l!%?:"</f>
        <v>#VALUE!</v>
      </c>
      <c r="BB71" t="e">
        <f>'SurveyRpt_20150223 (1)'!AL438+"h_l!%?;"</f>
        <v>#VALUE!</v>
      </c>
      <c r="BC71" t="e">
        <f>'SurveyRpt_20150223 (1)'!AM438+"h_l!%?&lt;"</f>
        <v>#VALUE!</v>
      </c>
      <c r="BD71" t="e">
        <f>'SurveyRpt_20150223 (1)'!AN438+"h_l!%?="</f>
        <v>#VALUE!</v>
      </c>
      <c r="BE71" t="e">
        <f>'SurveyRpt_20150223 (1)'!A439+"h_l!%?&gt;"</f>
        <v>#VALUE!</v>
      </c>
      <c r="BF71" s="25" t="e">
        <f>'SurveyRpt_20150223 (1)'!B439+"h_l!%??"</f>
        <v>#VALUE!</v>
      </c>
      <c r="BG71" t="e">
        <f>'SurveyRpt_20150223 (1)'!C439+"h_l!%?@"</f>
        <v>#VALUE!</v>
      </c>
      <c r="BH71" s="25" t="e">
        <f>'SurveyRpt_20150223 (1)'!D439+"h_l!%?A"</f>
        <v>#VALUE!</v>
      </c>
      <c r="BI71" t="e">
        <f>'SurveyRpt_20150223 (1)'!E439+"h_l!%?B"</f>
        <v>#VALUE!</v>
      </c>
      <c r="BJ71" t="e">
        <f>'SurveyRpt_20150223 (1)'!F439+"h_l!%?C"</f>
        <v>#VALUE!</v>
      </c>
      <c r="BK71" t="e">
        <f>'SurveyRpt_20150223 (1)'!G439+"h_l!%?D"</f>
        <v>#VALUE!</v>
      </c>
      <c r="BL71" t="e">
        <f>'SurveyRpt_20150223 (1)'!H439+"h_l!%?E"</f>
        <v>#VALUE!</v>
      </c>
      <c r="BM71" t="e">
        <f>'SurveyRpt_20150223 (1)'!I439+"h_l!%?F"</f>
        <v>#VALUE!</v>
      </c>
      <c r="BN71" t="e">
        <f>'SurveyRpt_20150223 (1)'!J439+"h_l!%?G"</f>
        <v>#VALUE!</v>
      </c>
      <c r="BO71" t="e">
        <f>'SurveyRpt_20150223 (1)'!K439+"h_l!%?H"</f>
        <v>#VALUE!</v>
      </c>
      <c r="BP71" t="e">
        <f>'SurveyRpt_20150223 (1)'!L439+"h_l!%?I"</f>
        <v>#VALUE!</v>
      </c>
      <c r="BQ71" t="e">
        <f>'SurveyRpt_20150223 (1)'!M439+"h_l!%?J"</f>
        <v>#VALUE!</v>
      </c>
      <c r="BR71" t="e">
        <f>'SurveyRpt_20150223 (1)'!N439+"h_l!%?K"</f>
        <v>#VALUE!</v>
      </c>
      <c r="BS71" t="e">
        <f>'SurveyRpt_20150223 (1)'!O439+"h_l!%?L"</f>
        <v>#VALUE!</v>
      </c>
      <c r="BT71" t="e">
        <f>'SurveyRpt_20150223 (1)'!P439+"h_l!%?M"</f>
        <v>#VALUE!</v>
      </c>
      <c r="BU71" t="e">
        <f>'SurveyRpt_20150223 (1)'!Q439+"h_l!%?N"</f>
        <v>#VALUE!</v>
      </c>
      <c r="BV71" t="e">
        <f>'SurveyRpt_20150223 (1)'!R439+"h_l!%?O"</f>
        <v>#VALUE!</v>
      </c>
      <c r="BW71" t="e">
        <f>'SurveyRpt_20150223 (1)'!S439+"h_l!%?P"</f>
        <v>#VALUE!</v>
      </c>
      <c r="BX71" t="e">
        <f>'SurveyRpt_20150223 (1)'!T439+"h_l!%?Q"</f>
        <v>#VALUE!</v>
      </c>
      <c r="BY71" t="e">
        <f>'SurveyRpt_20150223 (1)'!U439+"h_l!%?R"</f>
        <v>#VALUE!</v>
      </c>
      <c r="BZ71" t="e">
        <f>'SurveyRpt_20150223 (1)'!V439+"h_l!%?S"</f>
        <v>#VALUE!</v>
      </c>
      <c r="CA71" t="e">
        <f>'SurveyRpt_20150223 (1)'!W439+"h_l!%?T"</f>
        <v>#VALUE!</v>
      </c>
      <c r="CB71" t="e">
        <f>'SurveyRpt_20150223 (1)'!X439+"h_l!%?U"</f>
        <v>#VALUE!</v>
      </c>
      <c r="CC71" t="e">
        <f>'SurveyRpt_20150223 (1)'!Y439+"h_l!%?V"</f>
        <v>#VALUE!</v>
      </c>
      <c r="CD71" t="e">
        <f>'SurveyRpt_20150223 (1)'!Z439+"h_l!%?W"</f>
        <v>#VALUE!</v>
      </c>
      <c r="CE71" t="e">
        <f>'SurveyRpt_20150223 (1)'!AA439+"h_l!%?X"</f>
        <v>#VALUE!</v>
      </c>
      <c r="CF71" t="e">
        <f>'SurveyRpt_20150223 (1)'!AB439+"h_l!%?Y"</f>
        <v>#VALUE!</v>
      </c>
      <c r="CG71" t="e">
        <f>'SurveyRpt_20150223 (1)'!AC439+"h_l!%?Z"</f>
        <v>#VALUE!</v>
      </c>
      <c r="CH71" t="e">
        <f>'SurveyRpt_20150223 (1)'!AD439+"h_l!%?["</f>
        <v>#VALUE!</v>
      </c>
      <c r="CI71" t="e">
        <f>'SurveyRpt_20150223 (1)'!AE439+"h_l!%?\"</f>
        <v>#VALUE!</v>
      </c>
      <c r="CJ71" t="e">
        <f>'SurveyRpt_20150223 (1)'!AF439+"h_l!%?]"</f>
        <v>#VALUE!</v>
      </c>
      <c r="CK71" t="e">
        <f>'SurveyRpt_20150223 (1)'!AG439+"h_l!%?^"</f>
        <v>#VALUE!</v>
      </c>
      <c r="CL71" t="e">
        <f>'SurveyRpt_20150223 (1)'!AH439+"h_l!%?_"</f>
        <v>#VALUE!</v>
      </c>
      <c r="CM71" t="e">
        <f>'SurveyRpt_20150223 (1)'!AI439+"h_l!%?`"</f>
        <v>#VALUE!</v>
      </c>
      <c r="CN71" t="e">
        <f>'SurveyRpt_20150223 (1)'!AJ439+"h_l!%?a"</f>
        <v>#VALUE!</v>
      </c>
      <c r="CO71" t="e">
        <f>'SurveyRpt_20150223 (1)'!AK439+"h_l!%?b"</f>
        <v>#VALUE!</v>
      </c>
      <c r="CP71" t="e">
        <f>'SurveyRpt_20150223 (1)'!AL439+"h_l!%?c"</f>
        <v>#VALUE!</v>
      </c>
      <c r="CQ71" t="e">
        <f>'SurveyRpt_20150223 (1)'!AM439+"h_l!%?d"</f>
        <v>#VALUE!</v>
      </c>
      <c r="CR71" t="e">
        <f>'SurveyRpt_20150223 (1)'!AN439+"h_l!%?e"</f>
        <v>#VALUE!</v>
      </c>
      <c r="CS71" t="e">
        <f>'SurveyRpt_20150223 (1)'!A440+"h_l!%?f"</f>
        <v>#VALUE!</v>
      </c>
      <c r="CT71" s="25" t="e">
        <f>'SurveyRpt_20150223 (1)'!B440+"h_l!%?g"</f>
        <v>#VALUE!</v>
      </c>
      <c r="CU71" t="e">
        <f>'SurveyRpt_20150223 (1)'!C440+"h_l!%?h"</f>
        <v>#VALUE!</v>
      </c>
      <c r="CV71" s="25" t="e">
        <f>'SurveyRpt_20150223 (1)'!D440+"h_l!%?i"</f>
        <v>#VALUE!</v>
      </c>
      <c r="CW71" t="e">
        <f>'SurveyRpt_20150223 (1)'!E440+"h_l!%?j"</f>
        <v>#VALUE!</v>
      </c>
      <c r="CX71" t="e">
        <f>'SurveyRpt_20150223 (1)'!F440+"h_l!%?k"</f>
        <v>#VALUE!</v>
      </c>
      <c r="CY71" t="e">
        <f>'SurveyRpt_20150223 (1)'!G440+"h_l!%?l"</f>
        <v>#VALUE!</v>
      </c>
      <c r="CZ71" t="e">
        <f>'SurveyRpt_20150223 (1)'!H440+"h_l!%?m"</f>
        <v>#VALUE!</v>
      </c>
      <c r="DA71" t="e">
        <f>'SurveyRpt_20150223 (1)'!I440+"h_l!%?n"</f>
        <v>#VALUE!</v>
      </c>
      <c r="DB71" t="e">
        <f>'SurveyRpt_20150223 (1)'!J440+"h_l!%?o"</f>
        <v>#VALUE!</v>
      </c>
      <c r="DC71" t="e">
        <f>'SurveyRpt_20150223 (1)'!K440+"h_l!%?p"</f>
        <v>#VALUE!</v>
      </c>
      <c r="DD71" t="e">
        <f>'SurveyRpt_20150223 (1)'!L440+"h_l!%?q"</f>
        <v>#VALUE!</v>
      </c>
      <c r="DE71" t="e">
        <f>'SurveyRpt_20150223 (1)'!M440+"h_l!%?r"</f>
        <v>#VALUE!</v>
      </c>
      <c r="DF71" t="e">
        <f>'SurveyRpt_20150223 (1)'!N440+"h_l!%?s"</f>
        <v>#VALUE!</v>
      </c>
      <c r="DG71" t="e">
        <f>'SurveyRpt_20150223 (1)'!O440+"h_l!%?t"</f>
        <v>#VALUE!</v>
      </c>
      <c r="DH71" t="e">
        <f>'SurveyRpt_20150223 (1)'!P440+"h_l!%?u"</f>
        <v>#VALUE!</v>
      </c>
      <c r="DI71" t="e">
        <f>'SurveyRpt_20150223 (1)'!Q440+"h_l!%?v"</f>
        <v>#VALUE!</v>
      </c>
      <c r="DJ71" t="e">
        <f>'SurveyRpt_20150223 (1)'!R440+"h_l!%?w"</f>
        <v>#VALUE!</v>
      </c>
      <c r="DK71" t="e">
        <f>'SurveyRpt_20150223 (1)'!S440+"h_l!%?x"</f>
        <v>#VALUE!</v>
      </c>
      <c r="DL71" t="e">
        <f>'SurveyRpt_20150223 (1)'!T440+"h_l!%?y"</f>
        <v>#VALUE!</v>
      </c>
      <c r="DM71" t="e">
        <f>'SurveyRpt_20150223 (1)'!U440+"h_l!%?z"</f>
        <v>#VALUE!</v>
      </c>
      <c r="DN71" t="e">
        <f>'SurveyRpt_20150223 (1)'!V440+"h_l!%?{"</f>
        <v>#VALUE!</v>
      </c>
      <c r="DO71" t="e">
        <f>'SurveyRpt_20150223 (1)'!W440+"h_l!%?|"</f>
        <v>#VALUE!</v>
      </c>
      <c r="DP71" t="e">
        <f>'SurveyRpt_20150223 (1)'!X440+"h_l!%?}"</f>
        <v>#VALUE!</v>
      </c>
      <c r="DQ71" t="e">
        <f>'SurveyRpt_20150223 (1)'!Y440+"h_l!%?~"</f>
        <v>#VALUE!</v>
      </c>
      <c r="DR71" t="e">
        <f>'SurveyRpt_20150223 (1)'!Z440+"h_l!%@#"</f>
        <v>#VALUE!</v>
      </c>
      <c r="DS71" t="e">
        <f>'SurveyRpt_20150223 (1)'!AA440+"h_l!%@$"</f>
        <v>#VALUE!</v>
      </c>
      <c r="DT71" t="e">
        <f>'SurveyRpt_20150223 (1)'!AB440+"h_l!%@%"</f>
        <v>#VALUE!</v>
      </c>
      <c r="DU71" t="e">
        <f>'SurveyRpt_20150223 (1)'!AC440+"h_l!%@&amp;"</f>
        <v>#VALUE!</v>
      </c>
      <c r="DV71" t="e">
        <f>'SurveyRpt_20150223 (1)'!AD440+"h_l!%@'"</f>
        <v>#VALUE!</v>
      </c>
      <c r="DW71" t="e">
        <f>'SurveyRpt_20150223 (1)'!AE440+"h_l!%@("</f>
        <v>#VALUE!</v>
      </c>
      <c r="DX71" t="e">
        <f>'SurveyRpt_20150223 (1)'!AF440+"h_l!%@)"</f>
        <v>#VALUE!</v>
      </c>
      <c r="DY71" t="e">
        <f>'SurveyRpt_20150223 (1)'!AG440+"h_l!%@."</f>
        <v>#VALUE!</v>
      </c>
      <c r="DZ71" t="e">
        <f>'SurveyRpt_20150223 (1)'!AH440+"h_l!%@/"</f>
        <v>#VALUE!</v>
      </c>
      <c r="EA71" t="e">
        <f>'SurveyRpt_20150223 (1)'!AI440+"h_l!%@0"</f>
        <v>#VALUE!</v>
      </c>
      <c r="EB71" t="e">
        <f>'SurveyRpt_20150223 (1)'!AJ440+"h_l!%@1"</f>
        <v>#VALUE!</v>
      </c>
      <c r="EC71" t="e">
        <f>'SurveyRpt_20150223 (1)'!AK440+"h_l!%@2"</f>
        <v>#VALUE!</v>
      </c>
      <c r="ED71" t="e">
        <f>'SurveyRpt_20150223 (1)'!AL440+"h_l!%@3"</f>
        <v>#VALUE!</v>
      </c>
      <c r="EE71" t="e">
        <f>'SurveyRpt_20150223 (1)'!AM440+"h_l!%@4"</f>
        <v>#VALUE!</v>
      </c>
      <c r="EF71" t="e">
        <f>'SurveyRpt_20150223 (1)'!AN440+"h_l!%@5"</f>
        <v>#VALUE!</v>
      </c>
      <c r="EG71" t="e">
        <f>'SurveyRpt_20150223 (1)'!A441+"h_l!%@6"</f>
        <v>#VALUE!</v>
      </c>
      <c r="EH71" s="25" t="e">
        <f>'SurveyRpt_20150223 (1)'!B441+"h_l!%@7"</f>
        <v>#VALUE!</v>
      </c>
      <c r="EI71" t="e">
        <f>'SurveyRpt_20150223 (1)'!C441+"h_l!%@8"</f>
        <v>#VALUE!</v>
      </c>
      <c r="EJ71" s="25" t="e">
        <f>'SurveyRpt_20150223 (1)'!D441+"h_l!%@9"</f>
        <v>#VALUE!</v>
      </c>
      <c r="EK71" t="e">
        <f>'SurveyRpt_20150223 (1)'!E441+"h_l!%@:"</f>
        <v>#VALUE!</v>
      </c>
      <c r="EL71" t="e">
        <f>'SurveyRpt_20150223 (1)'!F441+"h_l!%@;"</f>
        <v>#VALUE!</v>
      </c>
      <c r="EM71" t="e">
        <f>'SurveyRpt_20150223 (1)'!G441+"h_l!%@&lt;"</f>
        <v>#VALUE!</v>
      </c>
      <c r="EN71" t="e">
        <f>'SurveyRpt_20150223 (1)'!H441+"h_l!%@="</f>
        <v>#VALUE!</v>
      </c>
      <c r="EO71" t="e">
        <f>'SurveyRpt_20150223 (1)'!I441+"h_l!%@&gt;"</f>
        <v>#VALUE!</v>
      </c>
      <c r="EP71" t="e">
        <f>'SurveyRpt_20150223 (1)'!J441+"h_l!%@?"</f>
        <v>#VALUE!</v>
      </c>
      <c r="EQ71" t="e">
        <f>'SurveyRpt_20150223 (1)'!K441+"h_l!%@@"</f>
        <v>#VALUE!</v>
      </c>
      <c r="ER71" t="e">
        <f>'SurveyRpt_20150223 (1)'!L441+"h_l!%@A"</f>
        <v>#VALUE!</v>
      </c>
      <c r="ES71" t="e">
        <f>'SurveyRpt_20150223 (1)'!M441+"h_l!%@B"</f>
        <v>#VALUE!</v>
      </c>
      <c r="ET71" t="e">
        <f>'SurveyRpt_20150223 (1)'!N441+"h_l!%@C"</f>
        <v>#VALUE!</v>
      </c>
      <c r="EU71" t="e">
        <f>'SurveyRpt_20150223 (1)'!O441+"h_l!%@D"</f>
        <v>#VALUE!</v>
      </c>
      <c r="EV71" t="e">
        <f>'SurveyRpt_20150223 (1)'!P441+"h_l!%@E"</f>
        <v>#VALUE!</v>
      </c>
      <c r="EW71" t="e">
        <f>'SurveyRpt_20150223 (1)'!Q441+"h_l!%@F"</f>
        <v>#VALUE!</v>
      </c>
      <c r="EX71" t="e">
        <f>'SurveyRpt_20150223 (1)'!R441+"h_l!%@G"</f>
        <v>#VALUE!</v>
      </c>
      <c r="EY71" t="e">
        <f>'SurveyRpt_20150223 (1)'!S441+"h_l!%@H"</f>
        <v>#VALUE!</v>
      </c>
      <c r="EZ71" t="e">
        <f>'SurveyRpt_20150223 (1)'!T441+"h_l!%@I"</f>
        <v>#VALUE!</v>
      </c>
      <c r="FA71" t="e">
        <f>'SurveyRpt_20150223 (1)'!U441+"h_l!%@J"</f>
        <v>#VALUE!</v>
      </c>
      <c r="FB71" t="e">
        <f>'SurveyRpt_20150223 (1)'!V441+"h_l!%@K"</f>
        <v>#VALUE!</v>
      </c>
      <c r="FC71" t="e">
        <f>'SurveyRpt_20150223 (1)'!W441+"h_l!%@L"</f>
        <v>#VALUE!</v>
      </c>
      <c r="FD71" t="e">
        <f>'SurveyRpt_20150223 (1)'!X441+"h_l!%@M"</f>
        <v>#VALUE!</v>
      </c>
      <c r="FE71" t="e">
        <f>'SurveyRpt_20150223 (1)'!Y441+"h_l!%@N"</f>
        <v>#VALUE!</v>
      </c>
      <c r="FF71" t="e">
        <f>'SurveyRpt_20150223 (1)'!Z441+"h_l!%@O"</f>
        <v>#VALUE!</v>
      </c>
      <c r="FG71" t="e">
        <f>'SurveyRpt_20150223 (1)'!AA441+"h_l!%@P"</f>
        <v>#VALUE!</v>
      </c>
      <c r="FH71" t="e">
        <f>'SurveyRpt_20150223 (1)'!AB441+"h_l!%@Q"</f>
        <v>#VALUE!</v>
      </c>
      <c r="FI71" t="e">
        <f>'SurveyRpt_20150223 (1)'!AC441+"h_l!%@R"</f>
        <v>#VALUE!</v>
      </c>
      <c r="FJ71" t="e">
        <f>'SurveyRpt_20150223 (1)'!AD441+"h_l!%@S"</f>
        <v>#VALUE!</v>
      </c>
      <c r="FK71" t="e">
        <f>'SurveyRpt_20150223 (1)'!AE441+"h_l!%@T"</f>
        <v>#VALUE!</v>
      </c>
      <c r="FL71" t="e">
        <f>'SurveyRpt_20150223 (1)'!AF441+"h_l!%@U"</f>
        <v>#VALUE!</v>
      </c>
      <c r="FM71" t="e">
        <f>'SurveyRpt_20150223 (1)'!AG441+"h_l!%@V"</f>
        <v>#VALUE!</v>
      </c>
      <c r="FN71" t="e">
        <f>'SurveyRpt_20150223 (1)'!AH441+"h_l!%@W"</f>
        <v>#VALUE!</v>
      </c>
      <c r="FO71" t="e">
        <f>'SurveyRpt_20150223 (1)'!AI441+"h_l!%@X"</f>
        <v>#VALUE!</v>
      </c>
      <c r="FP71" t="e">
        <f>'SurveyRpt_20150223 (1)'!AJ441+"h_l!%@Y"</f>
        <v>#VALUE!</v>
      </c>
      <c r="FQ71" t="e">
        <f>'SurveyRpt_20150223 (1)'!AK441+"h_l!%@Z"</f>
        <v>#VALUE!</v>
      </c>
      <c r="FR71" t="e">
        <f>'SurveyRpt_20150223 (1)'!AL441+"h_l!%@["</f>
        <v>#VALUE!</v>
      </c>
      <c r="FS71" t="e">
        <f>'SurveyRpt_20150223 (1)'!AM441+"h_l!%@\"</f>
        <v>#VALUE!</v>
      </c>
      <c r="FT71" t="e">
        <f>'SurveyRpt_20150223 (1)'!AN441+"h_l!%@]"</f>
        <v>#VALUE!</v>
      </c>
      <c r="FU71" t="e">
        <f>'SurveyRpt_20150223 (1)'!A442+"h_l!%@^"</f>
        <v>#VALUE!</v>
      </c>
      <c r="FV71" s="25" t="e">
        <f>'SurveyRpt_20150223 (1)'!B442+"h_l!%@_"</f>
        <v>#VALUE!</v>
      </c>
      <c r="FW71" t="e">
        <f>'SurveyRpt_20150223 (1)'!C442+"h_l!%@`"</f>
        <v>#VALUE!</v>
      </c>
      <c r="FX71" s="25" t="e">
        <f>'SurveyRpt_20150223 (1)'!D442+"h_l!%@a"</f>
        <v>#VALUE!</v>
      </c>
      <c r="FY71" t="e">
        <f>'SurveyRpt_20150223 (1)'!E442+"h_l!%@b"</f>
        <v>#VALUE!</v>
      </c>
      <c r="FZ71" t="e">
        <f>'SurveyRpt_20150223 (1)'!F442+"h_l!%@c"</f>
        <v>#VALUE!</v>
      </c>
      <c r="GA71" t="e">
        <f>'SurveyRpt_20150223 (1)'!G442+"h_l!%@d"</f>
        <v>#VALUE!</v>
      </c>
      <c r="GB71" t="e">
        <f>'SurveyRpt_20150223 (1)'!H442+"h_l!%@e"</f>
        <v>#VALUE!</v>
      </c>
      <c r="GC71" t="e">
        <f>'SurveyRpt_20150223 (1)'!I442+"h_l!%@f"</f>
        <v>#VALUE!</v>
      </c>
      <c r="GD71" t="e">
        <f>'SurveyRpt_20150223 (1)'!J442+"h_l!%@g"</f>
        <v>#VALUE!</v>
      </c>
      <c r="GE71" t="e">
        <f>'SurveyRpt_20150223 (1)'!K442+"h_l!%@h"</f>
        <v>#VALUE!</v>
      </c>
      <c r="GF71" t="e">
        <f>'SurveyRpt_20150223 (1)'!L442+"h_l!%@i"</f>
        <v>#VALUE!</v>
      </c>
      <c r="GG71" t="e">
        <f>'SurveyRpt_20150223 (1)'!M442+"h_l!%@j"</f>
        <v>#VALUE!</v>
      </c>
      <c r="GH71" t="e">
        <f>'SurveyRpt_20150223 (1)'!N442+"h_l!%@k"</f>
        <v>#VALUE!</v>
      </c>
      <c r="GI71" t="e">
        <f>'SurveyRpt_20150223 (1)'!O442+"h_l!%@l"</f>
        <v>#VALUE!</v>
      </c>
      <c r="GJ71" t="e">
        <f>'SurveyRpt_20150223 (1)'!P442+"h_l!%@m"</f>
        <v>#VALUE!</v>
      </c>
      <c r="GK71" t="e">
        <f>'SurveyRpt_20150223 (1)'!Q442+"h_l!%@n"</f>
        <v>#VALUE!</v>
      </c>
      <c r="GL71" t="e">
        <f>'SurveyRpt_20150223 (1)'!R442+"h_l!%@o"</f>
        <v>#VALUE!</v>
      </c>
      <c r="GM71" t="e">
        <f>'SurveyRpt_20150223 (1)'!S442+"h_l!%@p"</f>
        <v>#VALUE!</v>
      </c>
      <c r="GN71" t="e">
        <f>'SurveyRpt_20150223 (1)'!T442+"h_l!%@q"</f>
        <v>#VALUE!</v>
      </c>
      <c r="GO71" t="e">
        <f>'SurveyRpt_20150223 (1)'!U442+"h_l!%@r"</f>
        <v>#VALUE!</v>
      </c>
      <c r="GP71" t="e">
        <f>'SurveyRpt_20150223 (1)'!V442+"h_l!%@s"</f>
        <v>#VALUE!</v>
      </c>
      <c r="GQ71" t="e">
        <f>'SurveyRpt_20150223 (1)'!W442+"h_l!%@t"</f>
        <v>#VALUE!</v>
      </c>
      <c r="GR71" t="e">
        <f>'SurveyRpt_20150223 (1)'!X442+"h_l!%@u"</f>
        <v>#VALUE!</v>
      </c>
      <c r="GS71" t="e">
        <f>'SurveyRpt_20150223 (1)'!Y442+"h_l!%@v"</f>
        <v>#VALUE!</v>
      </c>
      <c r="GT71" t="e">
        <f>'SurveyRpt_20150223 (1)'!Z442+"h_l!%@w"</f>
        <v>#VALUE!</v>
      </c>
      <c r="GU71" t="e">
        <f>'SurveyRpt_20150223 (1)'!AA442+"h_l!%@x"</f>
        <v>#VALUE!</v>
      </c>
      <c r="GV71" t="e">
        <f>'SurveyRpt_20150223 (1)'!AB442+"h_l!%@y"</f>
        <v>#VALUE!</v>
      </c>
      <c r="GW71" t="e">
        <f>'SurveyRpt_20150223 (1)'!AC442+"h_l!%@z"</f>
        <v>#VALUE!</v>
      </c>
      <c r="GX71" t="e">
        <f>'SurveyRpt_20150223 (1)'!AD442+"h_l!%@{"</f>
        <v>#VALUE!</v>
      </c>
      <c r="GY71" t="e">
        <f>'SurveyRpt_20150223 (1)'!AE442+"h_l!%@|"</f>
        <v>#VALUE!</v>
      </c>
      <c r="GZ71" t="e">
        <f>'SurveyRpt_20150223 (1)'!AF442+"h_l!%@}"</f>
        <v>#VALUE!</v>
      </c>
      <c r="HA71" t="e">
        <f>'SurveyRpt_20150223 (1)'!AG442+"h_l!%@~"</f>
        <v>#VALUE!</v>
      </c>
      <c r="HB71" t="e">
        <f>'SurveyRpt_20150223 (1)'!AH442+"h_l!%A#"</f>
        <v>#VALUE!</v>
      </c>
      <c r="HC71" t="e">
        <f>'SurveyRpt_20150223 (1)'!AI442+"h_l!%A$"</f>
        <v>#VALUE!</v>
      </c>
      <c r="HD71" t="e">
        <f>'SurveyRpt_20150223 (1)'!AJ442+"h_l!%A%"</f>
        <v>#VALUE!</v>
      </c>
      <c r="HE71" t="e">
        <f>'SurveyRpt_20150223 (1)'!AK442+"h_l!%A&amp;"</f>
        <v>#VALUE!</v>
      </c>
      <c r="HF71" t="e">
        <f>'SurveyRpt_20150223 (1)'!AL442+"h_l!%A'"</f>
        <v>#VALUE!</v>
      </c>
      <c r="HG71" t="e">
        <f>'SurveyRpt_20150223 (1)'!AM442+"h_l!%A("</f>
        <v>#VALUE!</v>
      </c>
      <c r="HH71" t="e">
        <f>'SurveyRpt_20150223 (1)'!AN442+"h_l!%A)"</f>
        <v>#VALUE!</v>
      </c>
      <c r="HI71" t="e">
        <f>'SurveyRpt_20150223 (1)'!A443+"h_l!%A."</f>
        <v>#VALUE!</v>
      </c>
      <c r="HJ71" s="25" t="e">
        <f>'SurveyRpt_20150223 (1)'!B443+"h_l!%A/"</f>
        <v>#VALUE!</v>
      </c>
      <c r="HK71" t="e">
        <f>'SurveyRpt_20150223 (1)'!C443+"h_l!%A0"</f>
        <v>#VALUE!</v>
      </c>
      <c r="HL71" s="25" t="e">
        <f>'SurveyRpt_20150223 (1)'!D443+"h_l!%A1"</f>
        <v>#VALUE!</v>
      </c>
      <c r="HM71" t="e">
        <f>'SurveyRpt_20150223 (1)'!E443+"h_l!%A2"</f>
        <v>#VALUE!</v>
      </c>
      <c r="HN71" t="e">
        <f>'SurveyRpt_20150223 (1)'!F443+"h_l!%A3"</f>
        <v>#VALUE!</v>
      </c>
      <c r="HO71" t="e">
        <f>'SurveyRpt_20150223 (1)'!G443+"h_l!%A4"</f>
        <v>#VALUE!</v>
      </c>
      <c r="HP71" t="e">
        <f>'SurveyRpt_20150223 (1)'!H443+"h_l!%A5"</f>
        <v>#VALUE!</v>
      </c>
      <c r="HQ71" t="e">
        <f>'SurveyRpt_20150223 (1)'!I443+"h_l!%A6"</f>
        <v>#VALUE!</v>
      </c>
      <c r="HR71" t="e">
        <f>'SurveyRpt_20150223 (1)'!J443+"h_l!%A7"</f>
        <v>#VALUE!</v>
      </c>
      <c r="HS71" t="e">
        <f>'SurveyRpt_20150223 (1)'!K443+"h_l!%A8"</f>
        <v>#VALUE!</v>
      </c>
      <c r="HT71" t="e">
        <f>'SurveyRpt_20150223 (1)'!L443+"h_l!%A9"</f>
        <v>#VALUE!</v>
      </c>
      <c r="HU71" t="e">
        <f>'SurveyRpt_20150223 (1)'!M443+"h_l!%A:"</f>
        <v>#VALUE!</v>
      </c>
      <c r="HV71" t="e">
        <f>'SurveyRpt_20150223 (1)'!N443+"h_l!%A;"</f>
        <v>#VALUE!</v>
      </c>
      <c r="HW71" t="e">
        <f>'SurveyRpt_20150223 (1)'!O443+"h_l!%A&lt;"</f>
        <v>#VALUE!</v>
      </c>
      <c r="HX71" t="e">
        <f>'SurveyRpt_20150223 (1)'!P443+"h_l!%A="</f>
        <v>#VALUE!</v>
      </c>
      <c r="HY71" t="e">
        <f>'SurveyRpt_20150223 (1)'!Q443+"h_l!%A&gt;"</f>
        <v>#VALUE!</v>
      </c>
      <c r="HZ71" t="e">
        <f>'SurveyRpt_20150223 (1)'!R443+"h_l!%A?"</f>
        <v>#VALUE!</v>
      </c>
      <c r="IA71" t="e">
        <f>'SurveyRpt_20150223 (1)'!S443+"h_l!%A@"</f>
        <v>#VALUE!</v>
      </c>
      <c r="IB71" t="e">
        <f>'SurveyRpt_20150223 (1)'!T443+"h_l!%AA"</f>
        <v>#VALUE!</v>
      </c>
      <c r="IC71" t="e">
        <f>'SurveyRpt_20150223 (1)'!U443+"h_l!%AB"</f>
        <v>#VALUE!</v>
      </c>
      <c r="ID71" t="e">
        <f>'SurveyRpt_20150223 (1)'!V443+"h_l!%AC"</f>
        <v>#VALUE!</v>
      </c>
      <c r="IE71" t="e">
        <f>'SurveyRpt_20150223 (1)'!W443+"h_l!%AD"</f>
        <v>#VALUE!</v>
      </c>
      <c r="IF71" t="e">
        <f>'SurveyRpt_20150223 (1)'!X443+"h_l!%AE"</f>
        <v>#VALUE!</v>
      </c>
      <c r="IG71" t="e">
        <f>'SurveyRpt_20150223 (1)'!Y443+"h_l!%AF"</f>
        <v>#VALUE!</v>
      </c>
      <c r="IH71" t="e">
        <f>'SurveyRpt_20150223 (1)'!Z443+"h_l!%AG"</f>
        <v>#VALUE!</v>
      </c>
      <c r="II71" t="e">
        <f>'SurveyRpt_20150223 (1)'!AA443+"h_l!%AH"</f>
        <v>#VALUE!</v>
      </c>
      <c r="IJ71" t="e">
        <f>'SurveyRpt_20150223 (1)'!AB443+"h_l!%AI"</f>
        <v>#VALUE!</v>
      </c>
      <c r="IK71" t="e">
        <f>'SurveyRpt_20150223 (1)'!AC443+"h_l!%AJ"</f>
        <v>#VALUE!</v>
      </c>
      <c r="IL71" t="e">
        <f>'SurveyRpt_20150223 (1)'!AD443+"h_l!%AK"</f>
        <v>#VALUE!</v>
      </c>
      <c r="IM71" t="e">
        <f>'SurveyRpt_20150223 (1)'!AE443+"h_l!%AL"</f>
        <v>#VALUE!</v>
      </c>
      <c r="IN71" t="e">
        <f>'SurveyRpt_20150223 (1)'!AF443+"h_l!%AM"</f>
        <v>#VALUE!</v>
      </c>
      <c r="IO71" t="e">
        <f>'SurveyRpt_20150223 (1)'!AG443+"h_l!%AN"</f>
        <v>#VALUE!</v>
      </c>
      <c r="IP71" t="e">
        <f>'SurveyRpt_20150223 (1)'!AH443+"h_l!%AO"</f>
        <v>#VALUE!</v>
      </c>
      <c r="IQ71" t="e">
        <f>'SurveyRpt_20150223 (1)'!AI443+"h_l!%AP"</f>
        <v>#VALUE!</v>
      </c>
      <c r="IR71" t="e">
        <f>'SurveyRpt_20150223 (1)'!AJ443+"h_l!%AQ"</f>
        <v>#VALUE!</v>
      </c>
      <c r="IS71" t="e">
        <f>'SurveyRpt_20150223 (1)'!AK443+"h_l!%AR"</f>
        <v>#VALUE!</v>
      </c>
      <c r="IT71" t="e">
        <f>'SurveyRpt_20150223 (1)'!AL443+"h_l!%AS"</f>
        <v>#VALUE!</v>
      </c>
      <c r="IU71" t="e">
        <f>'SurveyRpt_20150223 (1)'!AM443+"h_l!%AT"</f>
        <v>#VALUE!</v>
      </c>
      <c r="IV71" t="e">
        <f>'SurveyRpt_20150223 (1)'!AN443+"h_l!%AU"</f>
        <v>#VALUE!</v>
      </c>
    </row>
    <row r="72" spans="6:256" x14ac:dyDescent="0.25">
      <c r="F72" t="e">
        <f>'SurveyRpt_20150223 (1)'!A444+"h_l!%AV"</f>
        <v>#VALUE!</v>
      </c>
      <c r="G72" s="25" t="e">
        <f>'SurveyRpt_20150223 (1)'!B444+"h_l!%AW"</f>
        <v>#VALUE!</v>
      </c>
      <c r="H72" t="e">
        <f>'SurveyRpt_20150223 (1)'!C444+"h_l!%AX"</f>
        <v>#VALUE!</v>
      </c>
      <c r="I72" s="25" t="e">
        <f>'SurveyRpt_20150223 (1)'!D444+"h_l!%AY"</f>
        <v>#VALUE!</v>
      </c>
      <c r="J72" t="e">
        <f>'SurveyRpt_20150223 (1)'!E444+"h_l!%AZ"</f>
        <v>#VALUE!</v>
      </c>
      <c r="K72" t="e">
        <f>'SurveyRpt_20150223 (1)'!F444+"h_l!%A["</f>
        <v>#VALUE!</v>
      </c>
      <c r="L72" t="e">
        <f>'SurveyRpt_20150223 (1)'!G444+"h_l!%A\"</f>
        <v>#VALUE!</v>
      </c>
      <c r="M72" t="e">
        <f>'SurveyRpt_20150223 (1)'!H444+"h_l!%A]"</f>
        <v>#VALUE!</v>
      </c>
      <c r="N72" t="e">
        <f>'SurveyRpt_20150223 (1)'!I444+"h_l!%A^"</f>
        <v>#VALUE!</v>
      </c>
      <c r="O72" t="e">
        <f>'SurveyRpt_20150223 (1)'!J444+"h_l!%A_"</f>
        <v>#VALUE!</v>
      </c>
      <c r="P72" t="e">
        <f>'SurveyRpt_20150223 (1)'!K444+"h_l!%A`"</f>
        <v>#VALUE!</v>
      </c>
      <c r="Q72" t="e">
        <f>'SurveyRpt_20150223 (1)'!L444+"h_l!%Aa"</f>
        <v>#VALUE!</v>
      </c>
      <c r="R72" t="e">
        <f>'SurveyRpt_20150223 (1)'!M444+"h_l!%Ab"</f>
        <v>#VALUE!</v>
      </c>
      <c r="S72" t="e">
        <f>'SurveyRpt_20150223 (1)'!N444+"h_l!%Ac"</f>
        <v>#VALUE!</v>
      </c>
      <c r="T72" t="e">
        <f>'SurveyRpt_20150223 (1)'!O444+"h_l!%Ad"</f>
        <v>#VALUE!</v>
      </c>
      <c r="U72" t="e">
        <f>'SurveyRpt_20150223 (1)'!P444+"h_l!%Ae"</f>
        <v>#VALUE!</v>
      </c>
      <c r="V72" t="e">
        <f>'SurveyRpt_20150223 (1)'!Q444+"h_l!%Af"</f>
        <v>#VALUE!</v>
      </c>
      <c r="W72" t="e">
        <f>'SurveyRpt_20150223 (1)'!R444+"h_l!%Ag"</f>
        <v>#VALUE!</v>
      </c>
      <c r="X72" t="e">
        <f>'SurveyRpt_20150223 (1)'!S444+"h_l!%Ah"</f>
        <v>#VALUE!</v>
      </c>
      <c r="Y72" t="e">
        <f>'SurveyRpt_20150223 (1)'!T444+"h_l!%Ai"</f>
        <v>#VALUE!</v>
      </c>
      <c r="Z72" t="e">
        <f>'SurveyRpt_20150223 (1)'!U444+"h_l!%Aj"</f>
        <v>#VALUE!</v>
      </c>
      <c r="AA72" t="e">
        <f>'SurveyRpt_20150223 (1)'!V444+"h_l!%Ak"</f>
        <v>#VALUE!</v>
      </c>
      <c r="AB72" t="e">
        <f>'SurveyRpt_20150223 (1)'!W444+"h_l!%Al"</f>
        <v>#VALUE!</v>
      </c>
      <c r="AC72" t="e">
        <f>'SurveyRpt_20150223 (1)'!X444+"h_l!%Am"</f>
        <v>#VALUE!</v>
      </c>
      <c r="AD72" t="e">
        <f>'SurveyRpt_20150223 (1)'!Y444+"h_l!%An"</f>
        <v>#VALUE!</v>
      </c>
      <c r="AE72" t="e">
        <f>'SurveyRpt_20150223 (1)'!Z444+"h_l!%Ao"</f>
        <v>#VALUE!</v>
      </c>
      <c r="AF72" t="e">
        <f>'SurveyRpt_20150223 (1)'!AA444+"h_l!%Ap"</f>
        <v>#VALUE!</v>
      </c>
      <c r="AG72" t="e">
        <f>'SurveyRpt_20150223 (1)'!AB444+"h_l!%Aq"</f>
        <v>#VALUE!</v>
      </c>
      <c r="AH72" t="e">
        <f>'SurveyRpt_20150223 (1)'!AC444+"h_l!%Ar"</f>
        <v>#VALUE!</v>
      </c>
      <c r="AI72" t="e">
        <f>'SurveyRpt_20150223 (1)'!AD444+"h_l!%As"</f>
        <v>#VALUE!</v>
      </c>
      <c r="AJ72" t="e">
        <f>'SurveyRpt_20150223 (1)'!AE444+"h_l!%At"</f>
        <v>#VALUE!</v>
      </c>
      <c r="AK72" t="e">
        <f>'SurveyRpt_20150223 (1)'!AF444+"h_l!%Au"</f>
        <v>#VALUE!</v>
      </c>
      <c r="AL72" t="e">
        <f>'SurveyRpt_20150223 (1)'!AG444+"h_l!%Av"</f>
        <v>#VALUE!</v>
      </c>
      <c r="AM72" t="e">
        <f>'SurveyRpt_20150223 (1)'!AH444+"h_l!%Aw"</f>
        <v>#VALUE!</v>
      </c>
      <c r="AN72" t="e">
        <f>'SurveyRpt_20150223 (1)'!AI444+"h_l!%Ax"</f>
        <v>#VALUE!</v>
      </c>
      <c r="AO72" t="e">
        <f>'SurveyRpt_20150223 (1)'!AJ444+"h_l!%Ay"</f>
        <v>#VALUE!</v>
      </c>
      <c r="AP72" t="e">
        <f>'SurveyRpt_20150223 (1)'!AK444+"h_l!%Az"</f>
        <v>#VALUE!</v>
      </c>
      <c r="AQ72" t="e">
        <f>'SurveyRpt_20150223 (1)'!AL444+"h_l!%A{"</f>
        <v>#VALUE!</v>
      </c>
      <c r="AR72" t="e">
        <f>'SurveyRpt_20150223 (1)'!AM444+"h_l!%A|"</f>
        <v>#VALUE!</v>
      </c>
      <c r="AS72" t="e">
        <f>'SurveyRpt_20150223 (1)'!AN444+"h_l!%A}"</f>
        <v>#VALUE!</v>
      </c>
      <c r="AT72" t="e">
        <f>'SurveyRpt_20150223 (1)'!A445+"h_l!%A~"</f>
        <v>#VALUE!</v>
      </c>
      <c r="AU72" s="25" t="e">
        <f>'SurveyRpt_20150223 (1)'!B445+"h_l!%B#"</f>
        <v>#VALUE!</v>
      </c>
      <c r="AV72" t="e">
        <f>'SurveyRpt_20150223 (1)'!C445+"h_l!%B$"</f>
        <v>#VALUE!</v>
      </c>
      <c r="AW72" s="25" t="e">
        <f>'SurveyRpt_20150223 (1)'!D445+"h_l!%B%"</f>
        <v>#VALUE!</v>
      </c>
      <c r="AX72" t="e">
        <f>'SurveyRpt_20150223 (1)'!E445+"h_l!%B&amp;"</f>
        <v>#VALUE!</v>
      </c>
      <c r="AY72" t="e">
        <f>'SurveyRpt_20150223 (1)'!F445+"h_l!%B'"</f>
        <v>#VALUE!</v>
      </c>
      <c r="AZ72" t="e">
        <f>'SurveyRpt_20150223 (1)'!G445+"h_l!%B("</f>
        <v>#VALUE!</v>
      </c>
      <c r="BA72" t="e">
        <f>'SurveyRpt_20150223 (1)'!H445+"h_l!%B)"</f>
        <v>#VALUE!</v>
      </c>
      <c r="BB72" t="e">
        <f>'SurveyRpt_20150223 (1)'!I445+"h_l!%B."</f>
        <v>#VALUE!</v>
      </c>
      <c r="BC72" t="e">
        <f>'SurveyRpt_20150223 (1)'!J445+"h_l!%B/"</f>
        <v>#VALUE!</v>
      </c>
      <c r="BD72" t="e">
        <f>'SurveyRpt_20150223 (1)'!K445+"h_l!%B0"</f>
        <v>#VALUE!</v>
      </c>
      <c r="BE72" t="e">
        <f>'SurveyRpt_20150223 (1)'!L445+"h_l!%B1"</f>
        <v>#VALUE!</v>
      </c>
      <c r="BF72" t="e">
        <f>'SurveyRpt_20150223 (1)'!M445+"h_l!%B2"</f>
        <v>#VALUE!</v>
      </c>
      <c r="BG72" t="e">
        <f>'SurveyRpt_20150223 (1)'!N445+"h_l!%B3"</f>
        <v>#VALUE!</v>
      </c>
      <c r="BH72" t="e">
        <f>'SurveyRpt_20150223 (1)'!O445+"h_l!%B4"</f>
        <v>#VALUE!</v>
      </c>
      <c r="BI72" t="e">
        <f>'SurveyRpt_20150223 (1)'!P445+"h_l!%B5"</f>
        <v>#VALUE!</v>
      </c>
      <c r="BJ72" t="e">
        <f>'SurveyRpt_20150223 (1)'!Q445+"h_l!%B6"</f>
        <v>#VALUE!</v>
      </c>
      <c r="BK72" t="e">
        <f>'SurveyRpt_20150223 (1)'!R445+"h_l!%B7"</f>
        <v>#VALUE!</v>
      </c>
      <c r="BL72" t="e">
        <f>'SurveyRpt_20150223 (1)'!S445+"h_l!%B8"</f>
        <v>#VALUE!</v>
      </c>
      <c r="BM72" t="e">
        <f>'SurveyRpt_20150223 (1)'!T445+"h_l!%B9"</f>
        <v>#VALUE!</v>
      </c>
      <c r="BN72" t="e">
        <f>'SurveyRpt_20150223 (1)'!U445+"h_l!%B:"</f>
        <v>#VALUE!</v>
      </c>
      <c r="BO72" t="e">
        <f>'SurveyRpt_20150223 (1)'!V445+"h_l!%B;"</f>
        <v>#VALUE!</v>
      </c>
      <c r="BP72" t="e">
        <f>'SurveyRpt_20150223 (1)'!W445+"h_l!%B&lt;"</f>
        <v>#VALUE!</v>
      </c>
      <c r="BQ72" t="e">
        <f>'SurveyRpt_20150223 (1)'!X445+"h_l!%B="</f>
        <v>#VALUE!</v>
      </c>
      <c r="BR72" t="e">
        <f>'SurveyRpt_20150223 (1)'!Y445+"h_l!%B&gt;"</f>
        <v>#VALUE!</v>
      </c>
      <c r="BS72" t="e">
        <f>'SurveyRpt_20150223 (1)'!Z445+"h_l!%B?"</f>
        <v>#VALUE!</v>
      </c>
      <c r="BT72" t="e">
        <f>'SurveyRpt_20150223 (1)'!AA445+"h_l!%B@"</f>
        <v>#VALUE!</v>
      </c>
      <c r="BU72" t="e">
        <f>'SurveyRpt_20150223 (1)'!AB445+"h_l!%BA"</f>
        <v>#VALUE!</v>
      </c>
      <c r="BV72" t="e">
        <f>'SurveyRpt_20150223 (1)'!AC445+"h_l!%BB"</f>
        <v>#VALUE!</v>
      </c>
      <c r="BW72" t="e">
        <f>'SurveyRpt_20150223 (1)'!AD445+"h_l!%BC"</f>
        <v>#VALUE!</v>
      </c>
      <c r="BX72" t="e">
        <f>'SurveyRpt_20150223 (1)'!AE445+"h_l!%BD"</f>
        <v>#VALUE!</v>
      </c>
      <c r="BY72" t="e">
        <f>'SurveyRpt_20150223 (1)'!AF445+"h_l!%BE"</f>
        <v>#VALUE!</v>
      </c>
      <c r="BZ72" t="e">
        <f>'SurveyRpt_20150223 (1)'!AG445+"h_l!%BF"</f>
        <v>#VALUE!</v>
      </c>
      <c r="CA72" t="e">
        <f>'SurveyRpt_20150223 (1)'!AH445+"h_l!%BG"</f>
        <v>#VALUE!</v>
      </c>
      <c r="CB72" t="e">
        <f>'SurveyRpt_20150223 (1)'!AI445+"h_l!%BH"</f>
        <v>#VALUE!</v>
      </c>
      <c r="CC72" t="e">
        <f>'SurveyRpt_20150223 (1)'!AJ445+"h_l!%BI"</f>
        <v>#VALUE!</v>
      </c>
      <c r="CD72" t="e">
        <f>'SurveyRpt_20150223 (1)'!AK445+"h_l!%BJ"</f>
        <v>#VALUE!</v>
      </c>
      <c r="CE72" t="e">
        <f>'SurveyRpt_20150223 (1)'!AL445+"h_l!%BK"</f>
        <v>#VALUE!</v>
      </c>
      <c r="CF72" t="e">
        <f>'SurveyRpt_20150223 (1)'!AM445+"h_l!%BL"</f>
        <v>#VALUE!</v>
      </c>
      <c r="CG72" t="e">
        <f>'SurveyRpt_20150223 (1)'!AN445+"h_l!%BM"</f>
        <v>#VALUE!</v>
      </c>
      <c r="CH72" t="e">
        <f>'SurveyRpt_20150223 (1)'!A446+"h_l!%BN"</f>
        <v>#VALUE!</v>
      </c>
      <c r="CI72" s="25" t="e">
        <f>'SurveyRpt_20150223 (1)'!B446+"h_l!%BO"</f>
        <v>#VALUE!</v>
      </c>
      <c r="CJ72" t="e">
        <f>'SurveyRpt_20150223 (1)'!C446+"h_l!%BP"</f>
        <v>#VALUE!</v>
      </c>
      <c r="CK72" s="25" t="e">
        <f>'SurveyRpt_20150223 (1)'!D446+"h_l!%BQ"</f>
        <v>#VALUE!</v>
      </c>
      <c r="CL72" t="e">
        <f>'SurveyRpt_20150223 (1)'!E446+"h_l!%BR"</f>
        <v>#VALUE!</v>
      </c>
      <c r="CM72" t="e">
        <f>'SurveyRpt_20150223 (1)'!F446+"h_l!%BS"</f>
        <v>#VALUE!</v>
      </c>
      <c r="CN72" t="e">
        <f>'SurveyRpt_20150223 (1)'!G446+"h_l!%BT"</f>
        <v>#VALUE!</v>
      </c>
      <c r="CO72" t="e">
        <f>'SurveyRpt_20150223 (1)'!H446+"h_l!%BU"</f>
        <v>#VALUE!</v>
      </c>
      <c r="CP72" t="e">
        <f>'SurveyRpt_20150223 (1)'!I446+"h_l!%BV"</f>
        <v>#VALUE!</v>
      </c>
      <c r="CQ72" t="e">
        <f>'SurveyRpt_20150223 (1)'!J446+"h_l!%BW"</f>
        <v>#VALUE!</v>
      </c>
      <c r="CR72" t="e">
        <f>'SurveyRpt_20150223 (1)'!K446+"h_l!%BX"</f>
        <v>#VALUE!</v>
      </c>
      <c r="CS72" t="e">
        <f>'SurveyRpt_20150223 (1)'!L446+"h_l!%BY"</f>
        <v>#VALUE!</v>
      </c>
      <c r="CT72" t="e">
        <f>'SurveyRpt_20150223 (1)'!M446+"h_l!%BZ"</f>
        <v>#VALUE!</v>
      </c>
      <c r="CU72" t="e">
        <f>'SurveyRpt_20150223 (1)'!N446+"h_l!%B["</f>
        <v>#VALUE!</v>
      </c>
      <c r="CV72" t="e">
        <f>'SurveyRpt_20150223 (1)'!O446+"h_l!%B\"</f>
        <v>#VALUE!</v>
      </c>
      <c r="CW72" t="e">
        <f>'SurveyRpt_20150223 (1)'!P446+"h_l!%B]"</f>
        <v>#VALUE!</v>
      </c>
      <c r="CX72" t="e">
        <f>'SurveyRpt_20150223 (1)'!Q446+"h_l!%B^"</f>
        <v>#VALUE!</v>
      </c>
      <c r="CY72" t="e">
        <f>'SurveyRpt_20150223 (1)'!R446+"h_l!%B_"</f>
        <v>#VALUE!</v>
      </c>
      <c r="CZ72" t="e">
        <f>'SurveyRpt_20150223 (1)'!S446+"h_l!%B`"</f>
        <v>#VALUE!</v>
      </c>
      <c r="DA72" t="e">
        <f>'SurveyRpt_20150223 (1)'!T446+"h_l!%Ba"</f>
        <v>#VALUE!</v>
      </c>
      <c r="DB72" t="e">
        <f>'SurveyRpt_20150223 (1)'!U446+"h_l!%Bb"</f>
        <v>#VALUE!</v>
      </c>
      <c r="DC72" t="e">
        <f>'SurveyRpt_20150223 (1)'!V446+"h_l!%Bc"</f>
        <v>#VALUE!</v>
      </c>
      <c r="DD72" t="e">
        <f>'SurveyRpt_20150223 (1)'!W446+"h_l!%Bd"</f>
        <v>#VALUE!</v>
      </c>
      <c r="DE72" t="e">
        <f>'SurveyRpt_20150223 (1)'!X446+"h_l!%Be"</f>
        <v>#VALUE!</v>
      </c>
      <c r="DF72" t="e">
        <f>'SurveyRpt_20150223 (1)'!Y446+"h_l!%Bf"</f>
        <v>#VALUE!</v>
      </c>
      <c r="DG72" t="e">
        <f>'SurveyRpt_20150223 (1)'!Z446+"h_l!%Bg"</f>
        <v>#VALUE!</v>
      </c>
      <c r="DH72" t="e">
        <f>'SurveyRpt_20150223 (1)'!AA446+"h_l!%Bh"</f>
        <v>#VALUE!</v>
      </c>
      <c r="DI72" t="e">
        <f>'SurveyRpt_20150223 (1)'!AB446+"h_l!%Bi"</f>
        <v>#VALUE!</v>
      </c>
      <c r="DJ72" t="e">
        <f>'SurveyRpt_20150223 (1)'!AC446+"h_l!%Bj"</f>
        <v>#VALUE!</v>
      </c>
      <c r="DK72" t="e">
        <f>'SurveyRpt_20150223 (1)'!AD446+"h_l!%Bk"</f>
        <v>#VALUE!</v>
      </c>
      <c r="DL72" t="e">
        <f>'SurveyRpt_20150223 (1)'!AE446+"h_l!%Bl"</f>
        <v>#VALUE!</v>
      </c>
      <c r="DM72" t="e">
        <f>'SurveyRpt_20150223 (1)'!AF446+"h_l!%Bm"</f>
        <v>#VALUE!</v>
      </c>
      <c r="DN72" t="e">
        <f>'SurveyRpt_20150223 (1)'!AG446+"h_l!%Bn"</f>
        <v>#VALUE!</v>
      </c>
      <c r="DO72" t="e">
        <f>'SurveyRpt_20150223 (1)'!AH446+"h_l!%Bo"</f>
        <v>#VALUE!</v>
      </c>
      <c r="DP72" t="e">
        <f>'SurveyRpt_20150223 (1)'!AI446+"h_l!%Bp"</f>
        <v>#VALUE!</v>
      </c>
      <c r="DQ72" t="e">
        <f>'SurveyRpt_20150223 (1)'!AJ446+"h_l!%Bq"</f>
        <v>#VALUE!</v>
      </c>
      <c r="DR72" t="e">
        <f>'SurveyRpt_20150223 (1)'!AK446+"h_l!%Br"</f>
        <v>#VALUE!</v>
      </c>
      <c r="DS72" t="e">
        <f>'SurveyRpt_20150223 (1)'!AL446+"h_l!%Bs"</f>
        <v>#VALUE!</v>
      </c>
      <c r="DT72" t="e">
        <f>'SurveyRpt_20150223 (1)'!AM446+"h_l!%Bt"</f>
        <v>#VALUE!</v>
      </c>
      <c r="DU72" t="e">
        <f>'SurveyRpt_20150223 (1)'!AN446+"h_l!%Bu"</f>
        <v>#VALUE!</v>
      </c>
      <c r="DV72" t="e">
        <f>'SurveyRpt_20150223 (1)'!A447+"h_l!%Bv"</f>
        <v>#VALUE!</v>
      </c>
      <c r="DW72" s="25" t="e">
        <f>'SurveyRpt_20150223 (1)'!B447+"h_l!%Bw"</f>
        <v>#VALUE!</v>
      </c>
      <c r="DX72" t="e">
        <f>'SurveyRpt_20150223 (1)'!C447+"h_l!%Bx"</f>
        <v>#VALUE!</v>
      </c>
      <c r="DY72" s="25" t="e">
        <f>'SurveyRpt_20150223 (1)'!D447+"h_l!%By"</f>
        <v>#VALUE!</v>
      </c>
      <c r="DZ72" t="e">
        <f>'SurveyRpt_20150223 (1)'!E447+"h_l!%Bz"</f>
        <v>#VALUE!</v>
      </c>
      <c r="EA72" t="e">
        <f>'SurveyRpt_20150223 (1)'!F447+"h_l!%B{"</f>
        <v>#VALUE!</v>
      </c>
      <c r="EB72" t="e">
        <f>'SurveyRpt_20150223 (1)'!G447+"h_l!%B|"</f>
        <v>#VALUE!</v>
      </c>
      <c r="EC72" t="e">
        <f>'SurveyRpt_20150223 (1)'!H447+"h_l!%B}"</f>
        <v>#VALUE!</v>
      </c>
      <c r="ED72" t="e">
        <f>'SurveyRpt_20150223 (1)'!I447+"h_l!%B~"</f>
        <v>#VALUE!</v>
      </c>
      <c r="EE72" t="e">
        <f>'SurveyRpt_20150223 (1)'!J447+"h_l!%C#"</f>
        <v>#VALUE!</v>
      </c>
      <c r="EF72" t="e">
        <f>'SurveyRpt_20150223 (1)'!K447+"h_l!%C$"</f>
        <v>#VALUE!</v>
      </c>
      <c r="EG72" t="e">
        <f>'SurveyRpt_20150223 (1)'!L447+"h_l!%C%"</f>
        <v>#VALUE!</v>
      </c>
      <c r="EH72" t="e">
        <f>'SurveyRpt_20150223 (1)'!M447+"h_l!%C&amp;"</f>
        <v>#VALUE!</v>
      </c>
      <c r="EI72" t="e">
        <f>'SurveyRpt_20150223 (1)'!N447+"h_l!%C'"</f>
        <v>#VALUE!</v>
      </c>
      <c r="EJ72" t="e">
        <f>'SurveyRpt_20150223 (1)'!O447+"h_l!%C("</f>
        <v>#VALUE!</v>
      </c>
      <c r="EK72" t="e">
        <f>'SurveyRpt_20150223 (1)'!P447+"h_l!%C)"</f>
        <v>#VALUE!</v>
      </c>
      <c r="EL72" t="e">
        <f>'SurveyRpt_20150223 (1)'!Q447+"h_l!%C."</f>
        <v>#VALUE!</v>
      </c>
      <c r="EM72" t="e">
        <f>'SurveyRpt_20150223 (1)'!R447+"h_l!%C/"</f>
        <v>#VALUE!</v>
      </c>
      <c r="EN72" t="e">
        <f>'SurveyRpt_20150223 (1)'!S447+"h_l!%C0"</f>
        <v>#VALUE!</v>
      </c>
      <c r="EO72" t="e">
        <f>'SurveyRpt_20150223 (1)'!T447+"h_l!%C1"</f>
        <v>#VALUE!</v>
      </c>
      <c r="EP72" t="e">
        <f>'SurveyRpt_20150223 (1)'!U447+"h_l!%C2"</f>
        <v>#VALUE!</v>
      </c>
      <c r="EQ72" t="e">
        <f>'SurveyRpt_20150223 (1)'!V447+"h_l!%C3"</f>
        <v>#VALUE!</v>
      </c>
      <c r="ER72" t="e">
        <f>'SurveyRpt_20150223 (1)'!W447+"h_l!%C4"</f>
        <v>#VALUE!</v>
      </c>
      <c r="ES72" t="e">
        <f>'SurveyRpt_20150223 (1)'!X447+"h_l!%C5"</f>
        <v>#VALUE!</v>
      </c>
      <c r="ET72" t="e">
        <f>'SurveyRpt_20150223 (1)'!Y447+"h_l!%C6"</f>
        <v>#VALUE!</v>
      </c>
      <c r="EU72" t="e">
        <f>'SurveyRpt_20150223 (1)'!Z447+"h_l!%C7"</f>
        <v>#VALUE!</v>
      </c>
      <c r="EV72" t="e">
        <f>'SurveyRpt_20150223 (1)'!AA447+"h_l!%C8"</f>
        <v>#VALUE!</v>
      </c>
      <c r="EW72" t="e">
        <f>'SurveyRpt_20150223 (1)'!AB447+"h_l!%C9"</f>
        <v>#VALUE!</v>
      </c>
      <c r="EX72" t="e">
        <f>'SurveyRpt_20150223 (1)'!AC447+"h_l!%C:"</f>
        <v>#VALUE!</v>
      </c>
      <c r="EY72" t="e">
        <f>'SurveyRpt_20150223 (1)'!AD447+"h_l!%C;"</f>
        <v>#VALUE!</v>
      </c>
      <c r="EZ72" t="e">
        <f>'SurveyRpt_20150223 (1)'!AE447+"h_l!%C&lt;"</f>
        <v>#VALUE!</v>
      </c>
      <c r="FA72" t="e">
        <f>'SurveyRpt_20150223 (1)'!AF447+"h_l!%C="</f>
        <v>#VALUE!</v>
      </c>
      <c r="FB72" t="e">
        <f>'SurveyRpt_20150223 (1)'!AG447+"h_l!%C&gt;"</f>
        <v>#VALUE!</v>
      </c>
      <c r="FC72" t="e">
        <f>'SurveyRpt_20150223 (1)'!AH447+"h_l!%C?"</f>
        <v>#VALUE!</v>
      </c>
      <c r="FD72" t="e">
        <f>'SurveyRpt_20150223 (1)'!AI447+"h_l!%C@"</f>
        <v>#VALUE!</v>
      </c>
      <c r="FE72" t="e">
        <f>'SurveyRpt_20150223 (1)'!AJ447+"h_l!%CA"</f>
        <v>#VALUE!</v>
      </c>
      <c r="FF72" t="e">
        <f>'SurveyRpt_20150223 (1)'!AK447+"h_l!%CB"</f>
        <v>#VALUE!</v>
      </c>
      <c r="FG72" t="e">
        <f>'SurveyRpt_20150223 (1)'!AL447+"h_l!%CC"</f>
        <v>#VALUE!</v>
      </c>
      <c r="FH72" t="e">
        <f>'SurveyRpt_20150223 (1)'!AM447+"h_l!%CD"</f>
        <v>#VALUE!</v>
      </c>
      <c r="FI72" t="e">
        <f>'SurveyRpt_20150223 (1)'!AN447+"h_l!%CE"</f>
        <v>#VALUE!</v>
      </c>
      <c r="FJ72" t="e">
        <f>'SurveyRpt_20150223 (1)'!A448+"h_l!%CF"</f>
        <v>#VALUE!</v>
      </c>
      <c r="FK72" s="25" t="e">
        <f>'SurveyRpt_20150223 (1)'!B448+"h_l!%CG"</f>
        <v>#VALUE!</v>
      </c>
      <c r="FL72" t="e">
        <f>'SurveyRpt_20150223 (1)'!C448+"h_l!%CH"</f>
        <v>#VALUE!</v>
      </c>
      <c r="FM72" s="25" t="e">
        <f>'SurveyRpt_20150223 (1)'!D448+"h_l!%CI"</f>
        <v>#VALUE!</v>
      </c>
      <c r="FN72" t="e">
        <f>'SurveyRpt_20150223 (1)'!E448+"h_l!%CJ"</f>
        <v>#VALUE!</v>
      </c>
      <c r="FO72" t="e">
        <f>'SurveyRpt_20150223 (1)'!F448+"h_l!%CK"</f>
        <v>#VALUE!</v>
      </c>
      <c r="FP72" t="e">
        <f>'SurveyRpt_20150223 (1)'!G448+"h_l!%CL"</f>
        <v>#VALUE!</v>
      </c>
      <c r="FQ72" t="e">
        <f>'SurveyRpt_20150223 (1)'!H448+"h_l!%CM"</f>
        <v>#VALUE!</v>
      </c>
      <c r="FR72" t="e">
        <f>'SurveyRpt_20150223 (1)'!I448+"h_l!%CN"</f>
        <v>#VALUE!</v>
      </c>
      <c r="FS72" t="e">
        <f>'SurveyRpt_20150223 (1)'!J448+"h_l!%CO"</f>
        <v>#VALUE!</v>
      </c>
      <c r="FT72" t="e">
        <f>'SurveyRpt_20150223 (1)'!K448+"h_l!%CP"</f>
        <v>#VALUE!</v>
      </c>
      <c r="FU72" t="e">
        <f>'SurveyRpt_20150223 (1)'!L448+"h_l!%CQ"</f>
        <v>#VALUE!</v>
      </c>
      <c r="FV72" t="e">
        <f>'SurveyRpt_20150223 (1)'!M448+"h_l!%CR"</f>
        <v>#VALUE!</v>
      </c>
      <c r="FW72" t="e">
        <f>'SurveyRpt_20150223 (1)'!N448+"h_l!%CS"</f>
        <v>#VALUE!</v>
      </c>
      <c r="FX72" t="e">
        <f>'SurveyRpt_20150223 (1)'!O448+"h_l!%CT"</f>
        <v>#VALUE!</v>
      </c>
      <c r="FY72" t="e">
        <f>'SurveyRpt_20150223 (1)'!P448+"h_l!%CU"</f>
        <v>#VALUE!</v>
      </c>
      <c r="FZ72" t="e">
        <f>'SurveyRpt_20150223 (1)'!Q448+"h_l!%CV"</f>
        <v>#VALUE!</v>
      </c>
      <c r="GA72" t="e">
        <f>'SurveyRpt_20150223 (1)'!R448+"h_l!%CW"</f>
        <v>#VALUE!</v>
      </c>
      <c r="GB72" t="e">
        <f>'SurveyRpt_20150223 (1)'!S448+"h_l!%CX"</f>
        <v>#VALUE!</v>
      </c>
      <c r="GC72" t="e">
        <f>'SurveyRpt_20150223 (1)'!T448+"h_l!%CY"</f>
        <v>#VALUE!</v>
      </c>
      <c r="GD72" t="e">
        <f>'SurveyRpt_20150223 (1)'!U448+"h_l!%CZ"</f>
        <v>#VALUE!</v>
      </c>
      <c r="GE72" t="e">
        <f>'SurveyRpt_20150223 (1)'!V448+"h_l!%C["</f>
        <v>#VALUE!</v>
      </c>
      <c r="GF72" t="e">
        <f>'SurveyRpt_20150223 (1)'!W448+"h_l!%C\"</f>
        <v>#VALUE!</v>
      </c>
      <c r="GG72" t="e">
        <f>'SurveyRpt_20150223 (1)'!X448+"h_l!%C]"</f>
        <v>#VALUE!</v>
      </c>
      <c r="GH72" t="e">
        <f>'SurveyRpt_20150223 (1)'!Y448+"h_l!%C^"</f>
        <v>#VALUE!</v>
      </c>
      <c r="GI72" t="e">
        <f>'SurveyRpt_20150223 (1)'!Z448+"h_l!%C_"</f>
        <v>#VALUE!</v>
      </c>
      <c r="GJ72" t="e">
        <f>'SurveyRpt_20150223 (1)'!AA448+"h_l!%C`"</f>
        <v>#VALUE!</v>
      </c>
      <c r="GK72" t="e">
        <f>'SurveyRpt_20150223 (1)'!AB448+"h_l!%Ca"</f>
        <v>#VALUE!</v>
      </c>
      <c r="GL72" t="e">
        <f>'SurveyRpt_20150223 (1)'!AC448+"h_l!%Cb"</f>
        <v>#VALUE!</v>
      </c>
      <c r="GM72" t="e">
        <f>'SurveyRpt_20150223 (1)'!AD448+"h_l!%Cc"</f>
        <v>#VALUE!</v>
      </c>
      <c r="GN72" t="e">
        <f>'SurveyRpt_20150223 (1)'!AE448+"h_l!%Cd"</f>
        <v>#VALUE!</v>
      </c>
      <c r="GO72" t="e">
        <f>'SurveyRpt_20150223 (1)'!AF448+"h_l!%Ce"</f>
        <v>#VALUE!</v>
      </c>
      <c r="GP72" t="e">
        <f>'SurveyRpt_20150223 (1)'!AG448+"h_l!%Cf"</f>
        <v>#VALUE!</v>
      </c>
      <c r="GQ72" t="e">
        <f>'SurveyRpt_20150223 (1)'!AH448+"h_l!%Cg"</f>
        <v>#VALUE!</v>
      </c>
      <c r="GR72" t="e">
        <f>'SurveyRpt_20150223 (1)'!AI448+"h_l!%Ch"</f>
        <v>#VALUE!</v>
      </c>
      <c r="GS72" t="e">
        <f>'SurveyRpt_20150223 (1)'!AJ448+"h_l!%Ci"</f>
        <v>#VALUE!</v>
      </c>
      <c r="GT72" t="e">
        <f>'SurveyRpt_20150223 (1)'!AK448+"h_l!%Cj"</f>
        <v>#VALUE!</v>
      </c>
      <c r="GU72" t="e">
        <f>'SurveyRpt_20150223 (1)'!AL448+"h_l!%Ck"</f>
        <v>#VALUE!</v>
      </c>
      <c r="GV72" t="e">
        <f>'SurveyRpt_20150223 (1)'!AM448+"h_l!%Cl"</f>
        <v>#VALUE!</v>
      </c>
      <c r="GW72" t="e">
        <f>'SurveyRpt_20150223 (1)'!AN448+"h_l!%Cm"</f>
        <v>#VALUE!</v>
      </c>
      <c r="GX72" t="e">
        <f>'SurveyRpt_20150223 (1)'!A449+"h_l!%Cn"</f>
        <v>#VALUE!</v>
      </c>
      <c r="GY72" s="25" t="e">
        <f>'SurveyRpt_20150223 (1)'!B449+"h_l!%Co"</f>
        <v>#VALUE!</v>
      </c>
      <c r="GZ72" t="e">
        <f>'SurveyRpt_20150223 (1)'!C449+"h_l!%Cp"</f>
        <v>#VALUE!</v>
      </c>
      <c r="HA72" s="25" t="e">
        <f>'SurveyRpt_20150223 (1)'!D449+"h_l!%Cq"</f>
        <v>#VALUE!</v>
      </c>
      <c r="HB72" t="e">
        <f>'SurveyRpt_20150223 (1)'!E449+"h_l!%Cr"</f>
        <v>#VALUE!</v>
      </c>
      <c r="HC72" t="e">
        <f>'SurveyRpt_20150223 (1)'!F449+"h_l!%Cs"</f>
        <v>#VALUE!</v>
      </c>
      <c r="HD72" t="e">
        <f>'SurveyRpt_20150223 (1)'!G449+"h_l!%Ct"</f>
        <v>#VALUE!</v>
      </c>
      <c r="HE72" t="e">
        <f>'SurveyRpt_20150223 (1)'!H449+"h_l!%Cu"</f>
        <v>#VALUE!</v>
      </c>
      <c r="HF72" t="e">
        <f>'SurveyRpt_20150223 (1)'!I449+"h_l!%Cv"</f>
        <v>#VALUE!</v>
      </c>
      <c r="HG72" t="e">
        <f>'SurveyRpt_20150223 (1)'!J449+"h_l!%Cw"</f>
        <v>#VALUE!</v>
      </c>
      <c r="HH72" t="e">
        <f>'SurveyRpt_20150223 (1)'!K449+"h_l!%Cx"</f>
        <v>#VALUE!</v>
      </c>
      <c r="HI72" t="e">
        <f>'SurveyRpt_20150223 (1)'!L449+"h_l!%Cy"</f>
        <v>#VALUE!</v>
      </c>
      <c r="HJ72" t="e">
        <f>'SurveyRpt_20150223 (1)'!M449+"h_l!%Cz"</f>
        <v>#VALUE!</v>
      </c>
      <c r="HK72" t="e">
        <f>'SurveyRpt_20150223 (1)'!N449+"h_l!%C{"</f>
        <v>#VALUE!</v>
      </c>
      <c r="HL72" t="e">
        <f>'SurveyRpt_20150223 (1)'!O449+"h_l!%C|"</f>
        <v>#VALUE!</v>
      </c>
      <c r="HM72" t="e">
        <f>'SurveyRpt_20150223 (1)'!P449+"h_l!%C}"</f>
        <v>#VALUE!</v>
      </c>
      <c r="HN72" t="e">
        <f>'SurveyRpt_20150223 (1)'!Q449+"h_l!%C~"</f>
        <v>#VALUE!</v>
      </c>
      <c r="HO72" t="e">
        <f>'SurveyRpt_20150223 (1)'!R449+"h_l!%D#"</f>
        <v>#VALUE!</v>
      </c>
      <c r="HP72" t="e">
        <f>'SurveyRpt_20150223 (1)'!S449+"h_l!%D$"</f>
        <v>#VALUE!</v>
      </c>
      <c r="HQ72" t="e">
        <f>'SurveyRpt_20150223 (1)'!T449+"h_l!%D%"</f>
        <v>#VALUE!</v>
      </c>
      <c r="HR72" t="e">
        <f>'SurveyRpt_20150223 (1)'!U449+"h_l!%D&amp;"</f>
        <v>#VALUE!</v>
      </c>
      <c r="HS72" t="e">
        <f>'SurveyRpt_20150223 (1)'!V449+"h_l!%D'"</f>
        <v>#VALUE!</v>
      </c>
      <c r="HT72" t="e">
        <f>'SurveyRpt_20150223 (1)'!W449+"h_l!%D("</f>
        <v>#VALUE!</v>
      </c>
      <c r="HU72" t="e">
        <f>'SurveyRpt_20150223 (1)'!X449+"h_l!%D)"</f>
        <v>#VALUE!</v>
      </c>
      <c r="HV72" t="e">
        <f>'SurveyRpt_20150223 (1)'!Y449+"h_l!%D."</f>
        <v>#VALUE!</v>
      </c>
      <c r="HW72" t="e">
        <f>'SurveyRpt_20150223 (1)'!Z449+"h_l!%D/"</f>
        <v>#VALUE!</v>
      </c>
      <c r="HX72" t="e">
        <f>'SurveyRpt_20150223 (1)'!AA449+"h_l!%D0"</f>
        <v>#VALUE!</v>
      </c>
      <c r="HY72" t="e">
        <f>'SurveyRpt_20150223 (1)'!AB449+"h_l!%D1"</f>
        <v>#VALUE!</v>
      </c>
      <c r="HZ72" t="e">
        <f>'SurveyRpt_20150223 (1)'!AC449+"h_l!%D2"</f>
        <v>#VALUE!</v>
      </c>
      <c r="IA72" t="e">
        <f>'SurveyRpt_20150223 (1)'!AD449+"h_l!%D3"</f>
        <v>#VALUE!</v>
      </c>
      <c r="IB72" t="e">
        <f>'SurveyRpt_20150223 (1)'!AE449+"h_l!%D4"</f>
        <v>#VALUE!</v>
      </c>
      <c r="IC72" t="e">
        <f>'SurveyRpt_20150223 (1)'!AF449+"h_l!%D5"</f>
        <v>#VALUE!</v>
      </c>
      <c r="ID72" t="e">
        <f>'SurveyRpt_20150223 (1)'!AG449+"h_l!%D6"</f>
        <v>#VALUE!</v>
      </c>
      <c r="IE72" t="e">
        <f>'SurveyRpt_20150223 (1)'!AH449+"h_l!%D7"</f>
        <v>#VALUE!</v>
      </c>
      <c r="IF72" t="e">
        <f>'SurveyRpt_20150223 (1)'!AI449+"h_l!%D8"</f>
        <v>#VALUE!</v>
      </c>
      <c r="IG72" t="e">
        <f>'SurveyRpt_20150223 (1)'!AJ449+"h_l!%D9"</f>
        <v>#VALUE!</v>
      </c>
      <c r="IH72" t="e">
        <f>'SurveyRpt_20150223 (1)'!AK449+"h_l!%D:"</f>
        <v>#VALUE!</v>
      </c>
      <c r="II72" t="e">
        <f>'SurveyRpt_20150223 (1)'!AL449+"h_l!%D;"</f>
        <v>#VALUE!</v>
      </c>
      <c r="IJ72" t="e">
        <f>'SurveyRpt_20150223 (1)'!AM449+"h_l!%D&lt;"</f>
        <v>#VALUE!</v>
      </c>
      <c r="IK72" t="e">
        <f>'SurveyRpt_20150223 (1)'!AN449+"h_l!%D="</f>
        <v>#VALUE!</v>
      </c>
      <c r="IL72" t="e">
        <f>'SurveyRpt_20150223 (1)'!A450+"h_l!%D&gt;"</f>
        <v>#VALUE!</v>
      </c>
      <c r="IM72" s="25" t="e">
        <f>'SurveyRpt_20150223 (1)'!B450+"h_l!%D?"</f>
        <v>#VALUE!</v>
      </c>
      <c r="IN72" t="e">
        <f>'SurveyRpt_20150223 (1)'!C450+"h_l!%D@"</f>
        <v>#VALUE!</v>
      </c>
      <c r="IO72" s="25" t="e">
        <f>'SurveyRpt_20150223 (1)'!D450+"h_l!%DA"</f>
        <v>#VALUE!</v>
      </c>
      <c r="IP72" t="e">
        <f>'SurveyRpt_20150223 (1)'!E450+"h_l!%DB"</f>
        <v>#VALUE!</v>
      </c>
      <c r="IQ72" t="e">
        <f>'SurveyRpt_20150223 (1)'!F450+"h_l!%DC"</f>
        <v>#VALUE!</v>
      </c>
      <c r="IR72" t="e">
        <f>'SurveyRpt_20150223 (1)'!G450+"h_l!%DD"</f>
        <v>#VALUE!</v>
      </c>
      <c r="IS72" t="e">
        <f>'SurveyRpt_20150223 (1)'!H450+"h_l!%DE"</f>
        <v>#VALUE!</v>
      </c>
      <c r="IT72" t="e">
        <f>'SurveyRpt_20150223 (1)'!I450+"h_l!%DF"</f>
        <v>#VALUE!</v>
      </c>
      <c r="IU72" t="e">
        <f>'SurveyRpt_20150223 (1)'!J450+"h_l!%DG"</f>
        <v>#VALUE!</v>
      </c>
      <c r="IV72" t="e">
        <f>'SurveyRpt_20150223 (1)'!K450+"h_l!%DH"</f>
        <v>#VALUE!</v>
      </c>
    </row>
    <row r="73" spans="6:256" x14ac:dyDescent="0.25">
      <c r="F73" t="e">
        <f>'SurveyRpt_20150223 (1)'!L450+"h_l!%DI"</f>
        <v>#VALUE!</v>
      </c>
      <c r="G73" t="e">
        <f>'SurveyRpt_20150223 (1)'!M450+"h_l!%DJ"</f>
        <v>#VALUE!</v>
      </c>
      <c r="H73" t="e">
        <f>'SurveyRpt_20150223 (1)'!N450+"h_l!%DK"</f>
        <v>#VALUE!</v>
      </c>
      <c r="I73" t="e">
        <f>'SurveyRpt_20150223 (1)'!O450+"h_l!%DL"</f>
        <v>#VALUE!</v>
      </c>
      <c r="J73" t="e">
        <f>'SurveyRpt_20150223 (1)'!P450+"h_l!%DM"</f>
        <v>#VALUE!</v>
      </c>
      <c r="K73" t="e">
        <f>'SurveyRpt_20150223 (1)'!Q450+"h_l!%DN"</f>
        <v>#VALUE!</v>
      </c>
      <c r="L73" t="e">
        <f>'SurveyRpt_20150223 (1)'!R450+"h_l!%DO"</f>
        <v>#VALUE!</v>
      </c>
      <c r="M73" t="e">
        <f>'SurveyRpt_20150223 (1)'!S450+"h_l!%DP"</f>
        <v>#VALUE!</v>
      </c>
      <c r="N73" t="e">
        <f>'SurveyRpt_20150223 (1)'!T450+"h_l!%DQ"</f>
        <v>#VALUE!</v>
      </c>
      <c r="O73" t="e">
        <f>'SurveyRpt_20150223 (1)'!U450+"h_l!%DR"</f>
        <v>#VALUE!</v>
      </c>
      <c r="P73" t="e">
        <f>'SurveyRpt_20150223 (1)'!V450+"h_l!%DS"</f>
        <v>#VALUE!</v>
      </c>
      <c r="Q73" t="e">
        <f>'SurveyRpt_20150223 (1)'!W450+"h_l!%DT"</f>
        <v>#VALUE!</v>
      </c>
      <c r="R73" t="e">
        <f>'SurveyRpt_20150223 (1)'!X450+"h_l!%DU"</f>
        <v>#VALUE!</v>
      </c>
      <c r="S73" t="e">
        <f>'SurveyRpt_20150223 (1)'!Y450+"h_l!%DV"</f>
        <v>#VALUE!</v>
      </c>
      <c r="T73" t="e">
        <f>'SurveyRpt_20150223 (1)'!Z450+"h_l!%DW"</f>
        <v>#VALUE!</v>
      </c>
      <c r="U73" t="e">
        <f>'SurveyRpt_20150223 (1)'!AA450+"h_l!%DX"</f>
        <v>#VALUE!</v>
      </c>
      <c r="V73" t="e">
        <f>'SurveyRpt_20150223 (1)'!AB450+"h_l!%DY"</f>
        <v>#VALUE!</v>
      </c>
      <c r="W73" t="e">
        <f>'SurveyRpt_20150223 (1)'!AC450+"h_l!%DZ"</f>
        <v>#VALUE!</v>
      </c>
      <c r="X73" t="e">
        <f>'SurveyRpt_20150223 (1)'!AD450+"h_l!%D["</f>
        <v>#VALUE!</v>
      </c>
      <c r="Y73" t="e">
        <f>'SurveyRpt_20150223 (1)'!AE450+"h_l!%D\"</f>
        <v>#VALUE!</v>
      </c>
      <c r="Z73" t="e">
        <f>'SurveyRpt_20150223 (1)'!AF450+"h_l!%D]"</f>
        <v>#VALUE!</v>
      </c>
      <c r="AA73" t="e">
        <f>'SurveyRpt_20150223 (1)'!AG450+"h_l!%D^"</f>
        <v>#VALUE!</v>
      </c>
      <c r="AB73" t="e">
        <f>'SurveyRpt_20150223 (1)'!AH450+"h_l!%D_"</f>
        <v>#VALUE!</v>
      </c>
      <c r="AC73" t="e">
        <f>'SurveyRpt_20150223 (1)'!AI450+"h_l!%D`"</f>
        <v>#VALUE!</v>
      </c>
      <c r="AD73" t="e">
        <f>'SurveyRpt_20150223 (1)'!AJ450+"h_l!%Da"</f>
        <v>#VALUE!</v>
      </c>
      <c r="AE73" t="e">
        <f>'SurveyRpt_20150223 (1)'!AK450+"h_l!%Db"</f>
        <v>#VALUE!</v>
      </c>
      <c r="AF73" t="e">
        <f>'SurveyRpt_20150223 (1)'!AL450+"h_l!%Dc"</f>
        <v>#VALUE!</v>
      </c>
      <c r="AG73" t="e">
        <f>'SurveyRpt_20150223 (1)'!AM450+"h_l!%Dd"</f>
        <v>#VALUE!</v>
      </c>
      <c r="AH73" t="e">
        <f>'SurveyRpt_20150223 (1)'!AN450+"h_l!%De"</f>
        <v>#VALUE!</v>
      </c>
      <c r="AI73" t="e">
        <f>'SurveyRpt_20150223 (1)'!A451+"h_l!%Df"</f>
        <v>#VALUE!</v>
      </c>
      <c r="AJ73" s="25" t="e">
        <f>'SurveyRpt_20150223 (1)'!B451+"h_l!%Dg"</f>
        <v>#VALUE!</v>
      </c>
      <c r="AK73" t="e">
        <f>'SurveyRpt_20150223 (1)'!C451+"h_l!%Dh"</f>
        <v>#VALUE!</v>
      </c>
      <c r="AL73" s="25" t="e">
        <f>'SurveyRpt_20150223 (1)'!D451+"h_l!%Di"</f>
        <v>#VALUE!</v>
      </c>
      <c r="AM73" t="e">
        <f>'SurveyRpt_20150223 (1)'!E451+"h_l!%Dj"</f>
        <v>#VALUE!</v>
      </c>
      <c r="AN73" t="e">
        <f>'SurveyRpt_20150223 (1)'!F451+"h_l!%Dk"</f>
        <v>#VALUE!</v>
      </c>
      <c r="AO73" t="e">
        <f>'SurveyRpt_20150223 (1)'!G451+"h_l!%Dl"</f>
        <v>#VALUE!</v>
      </c>
      <c r="AP73" t="e">
        <f>'SurveyRpt_20150223 (1)'!H451+"h_l!%Dm"</f>
        <v>#VALUE!</v>
      </c>
      <c r="AQ73" t="e">
        <f>'SurveyRpt_20150223 (1)'!I451+"h_l!%Dn"</f>
        <v>#VALUE!</v>
      </c>
      <c r="AR73" t="e">
        <f>'SurveyRpt_20150223 (1)'!J451+"h_l!%Do"</f>
        <v>#VALUE!</v>
      </c>
      <c r="AS73" t="e">
        <f>'SurveyRpt_20150223 (1)'!K451+"h_l!%Dp"</f>
        <v>#VALUE!</v>
      </c>
      <c r="AT73" t="e">
        <f>'SurveyRpt_20150223 (1)'!L451+"h_l!%Dq"</f>
        <v>#VALUE!</v>
      </c>
      <c r="AU73" t="e">
        <f>'SurveyRpt_20150223 (1)'!M451+"h_l!%Dr"</f>
        <v>#VALUE!</v>
      </c>
      <c r="AV73" t="e">
        <f>'SurveyRpt_20150223 (1)'!N451+"h_l!%Ds"</f>
        <v>#VALUE!</v>
      </c>
      <c r="AW73" t="e">
        <f>'SurveyRpt_20150223 (1)'!O451+"h_l!%Dt"</f>
        <v>#VALUE!</v>
      </c>
      <c r="AX73" t="e">
        <f>'SurveyRpt_20150223 (1)'!P451+"h_l!%Du"</f>
        <v>#VALUE!</v>
      </c>
      <c r="AY73" t="e">
        <f>'SurveyRpt_20150223 (1)'!Q451+"h_l!%Dv"</f>
        <v>#VALUE!</v>
      </c>
      <c r="AZ73" t="e">
        <f>'SurveyRpt_20150223 (1)'!R451+"h_l!%Dw"</f>
        <v>#VALUE!</v>
      </c>
      <c r="BA73" t="e">
        <f>'SurveyRpt_20150223 (1)'!S451+"h_l!%Dx"</f>
        <v>#VALUE!</v>
      </c>
      <c r="BB73" t="e">
        <f>'SurveyRpt_20150223 (1)'!T451+"h_l!%Dy"</f>
        <v>#VALUE!</v>
      </c>
      <c r="BC73" t="e">
        <f>'SurveyRpt_20150223 (1)'!U451+"h_l!%Dz"</f>
        <v>#VALUE!</v>
      </c>
      <c r="BD73" t="e">
        <f>'SurveyRpt_20150223 (1)'!V451+"h_l!%D{"</f>
        <v>#VALUE!</v>
      </c>
      <c r="BE73" t="e">
        <f>'SurveyRpt_20150223 (1)'!W451+"h_l!%D|"</f>
        <v>#VALUE!</v>
      </c>
      <c r="BF73" t="e">
        <f>'SurveyRpt_20150223 (1)'!X451+"h_l!%D}"</f>
        <v>#VALUE!</v>
      </c>
      <c r="BG73" t="e">
        <f>'SurveyRpt_20150223 (1)'!Y451+"h_l!%D~"</f>
        <v>#VALUE!</v>
      </c>
      <c r="BH73" t="e">
        <f>'SurveyRpt_20150223 (1)'!Z451+"h_l!%E#"</f>
        <v>#VALUE!</v>
      </c>
      <c r="BI73" t="e">
        <f>'SurveyRpt_20150223 (1)'!AA451+"h_l!%E$"</f>
        <v>#VALUE!</v>
      </c>
      <c r="BJ73" t="e">
        <f>'SurveyRpt_20150223 (1)'!AB451+"h_l!%E%"</f>
        <v>#VALUE!</v>
      </c>
      <c r="BK73" t="e">
        <f>'SurveyRpt_20150223 (1)'!AC451+"h_l!%E&amp;"</f>
        <v>#VALUE!</v>
      </c>
      <c r="BL73" t="e">
        <f>'SurveyRpt_20150223 (1)'!AD451+"h_l!%E'"</f>
        <v>#VALUE!</v>
      </c>
      <c r="BM73" t="e">
        <f>'SurveyRpt_20150223 (1)'!AE451+"h_l!%E("</f>
        <v>#VALUE!</v>
      </c>
      <c r="BN73" t="e">
        <f>'SurveyRpt_20150223 (1)'!AF451+"h_l!%E)"</f>
        <v>#VALUE!</v>
      </c>
      <c r="BO73" t="e">
        <f>'SurveyRpt_20150223 (1)'!AG451+"h_l!%E."</f>
        <v>#VALUE!</v>
      </c>
      <c r="BP73" t="e">
        <f>'SurveyRpt_20150223 (1)'!AH451+"h_l!%E/"</f>
        <v>#VALUE!</v>
      </c>
      <c r="BQ73" t="e">
        <f>'SurveyRpt_20150223 (1)'!AI451+"h_l!%E0"</f>
        <v>#VALUE!</v>
      </c>
      <c r="BR73" t="e">
        <f>'SurveyRpt_20150223 (1)'!AJ451+"h_l!%E1"</f>
        <v>#VALUE!</v>
      </c>
      <c r="BS73" t="e">
        <f>'SurveyRpt_20150223 (1)'!AK451+"h_l!%E2"</f>
        <v>#VALUE!</v>
      </c>
      <c r="BT73" t="e">
        <f>'SurveyRpt_20150223 (1)'!AL451+"h_l!%E3"</f>
        <v>#VALUE!</v>
      </c>
      <c r="BU73" t="e">
        <f>'SurveyRpt_20150223 (1)'!AM451+"h_l!%E4"</f>
        <v>#VALUE!</v>
      </c>
      <c r="BV73" t="e">
        <f>'SurveyRpt_20150223 (1)'!AN451+"h_l!%E5"</f>
        <v>#VALUE!</v>
      </c>
      <c r="BW73" t="e">
        <f>'SurveyRpt_20150223 (1)'!A452+"h_l!%E6"</f>
        <v>#VALUE!</v>
      </c>
      <c r="BX73" s="25" t="e">
        <f>'SurveyRpt_20150223 (1)'!B452+"h_l!%E7"</f>
        <v>#VALUE!</v>
      </c>
      <c r="BY73" t="e">
        <f>'SurveyRpt_20150223 (1)'!C452+"h_l!%E8"</f>
        <v>#VALUE!</v>
      </c>
      <c r="BZ73" s="25" t="e">
        <f>'SurveyRpt_20150223 (1)'!D452+"h_l!%E9"</f>
        <v>#VALUE!</v>
      </c>
      <c r="CA73" t="e">
        <f>'SurveyRpt_20150223 (1)'!E452+"h_l!%E:"</f>
        <v>#VALUE!</v>
      </c>
      <c r="CB73" t="e">
        <f>'SurveyRpt_20150223 (1)'!F452+"h_l!%E;"</f>
        <v>#VALUE!</v>
      </c>
      <c r="CC73" t="e">
        <f>'SurveyRpt_20150223 (1)'!G452+"h_l!%E&lt;"</f>
        <v>#VALUE!</v>
      </c>
      <c r="CD73" t="e">
        <f>'SurveyRpt_20150223 (1)'!H452+"h_l!%E="</f>
        <v>#VALUE!</v>
      </c>
      <c r="CE73" t="e">
        <f>'SurveyRpt_20150223 (1)'!I452+"h_l!%E&gt;"</f>
        <v>#VALUE!</v>
      </c>
      <c r="CF73" t="e">
        <f>'SurveyRpt_20150223 (1)'!J452+"h_l!%E?"</f>
        <v>#VALUE!</v>
      </c>
      <c r="CG73" t="e">
        <f>'SurveyRpt_20150223 (1)'!K452+"h_l!%E@"</f>
        <v>#VALUE!</v>
      </c>
      <c r="CH73" t="e">
        <f>'SurveyRpt_20150223 (1)'!L452+"h_l!%EA"</f>
        <v>#VALUE!</v>
      </c>
      <c r="CI73" t="e">
        <f>'SurveyRpt_20150223 (1)'!M452+"h_l!%EB"</f>
        <v>#VALUE!</v>
      </c>
      <c r="CJ73" t="e">
        <f>'SurveyRpt_20150223 (1)'!N452+"h_l!%EC"</f>
        <v>#VALUE!</v>
      </c>
      <c r="CK73" t="e">
        <f>'SurveyRpt_20150223 (1)'!O452+"h_l!%ED"</f>
        <v>#VALUE!</v>
      </c>
      <c r="CL73" t="e">
        <f>'SurveyRpt_20150223 (1)'!P452+"h_l!%EE"</f>
        <v>#VALUE!</v>
      </c>
      <c r="CM73" t="e">
        <f>'SurveyRpt_20150223 (1)'!Q452+"h_l!%EF"</f>
        <v>#VALUE!</v>
      </c>
      <c r="CN73" t="e">
        <f>'SurveyRpt_20150223 (1)'!R452+"h_l!%EG"</f>
        <v>#VALUE!</v>
      </c>
      <c r="CO73" t="e">
        <f>'SurveyRpt_20150223 (1)'!S452+"h_l!%EH"</f>
        <v>#VALUE!</v>
      </c>
      <c r="CP73" t="e">
        <f>'SurveyRpt_20150223 (1)'!T452+"h_l!%EI"</f>
        <v>#VALUE!</v>
      </c>
      <c r="CQ73" t="e">
        <f>'SurveyRpt_20150223 (1)'!U452+"h_l!%EJ"</f>
        <v>#VALUE!</v>
      </c>
      <c r="CR73" t="e">
        <f>'SurveyRpt_20150223 (1)'!V452+"h_l!%EK"</f>
        <v>#VALUE!</v>
      </c>
      <c r="CS73" t="e">
        <f>'SurveyRpt_20150223 (1)'!W452+"h_l!%EL"</f>
        <v>#VALUE!</v>
      </c>
      <c r="CT73" t="e">
        <f>'SurveyRpt_20150223 (1)'!X452+"h_l!%EM"</f>
        <v>#VALUE!</v>
      </c>
      <c r="CU73" t="e">
        <f>'SurveyRpt_20150223 (1)'!Y452+"h_l!%EN"</f>
        <v>#VALUE!</v>
      </c>
      <c r="CV73" t="e">
        <f>'SurveyRpt_20150223 (1)'!Z452+"h_l!%EO"</f>
        <v>#VALUE!</v>
      </c>
      <c r="CW73" t="e">
        <f>'SurveyRpt_20150223 (1)'!AA452+"h_l!%EP"</f>
        <v>#VALUE!</v>
      </c>
      <c r="CX73" t="e">
        <f>'SurveyRpt_20150223 (1)'!AB452+"h_l!%EQ"</f>
        <v>#VALUE!</v>
      </c>
      <c r="CY73" t="e">
        <f>'SurveyRpt_20150223 (1)'!AC452+"h_l!%ER"</f>
        <v>#VALUE!</v>
      </c>
      <c r="CZ73" t="e">
        <f>'SurveyRpt_20150223 (1)'!AD452+"h_l!%ES"</f>
        <v>#VALUE!</v>
      </c>
      <c r="DA73" t="e">
        <f>'SurveyRpt_20150223 (1)'!AE452+"h_l!%ET"</f>
        <v>#VALUE!</v>
      </c>
      <c r="DB73" t="e">
        <f>'SurveyRpt_20150223 (1)'!AF452+"h_l!%EU"</f>
        <v>#VALUE!</v>
      </c>
      <c r="DC73" t="e">
        <f>'SurveyRpt_20150223 (1)'!AG452+"h_l!%EV"</f>
        <v>#VALUE!</v>
      </c>
      <c r="DD73" t="e">
        <f>'SurveyRpt_20150223 (1)'!AH452+"h_l!%EW"</f>
        <v>#VALUE!</v>
      </c>
      <c r="DE73" t="e">
        <f>'SurveyRpt_20150223 (1)'!AI452+"h_l!%EX"</f>
        <v>#VALUE!</v>
      </c>
      <c r="DF73" t="e">
        <f>'SurveyRpt_20150223 (1)'!AJ452+"h_l!%EY"</f>
        <v>#VALUE!</v>
      </c>
      <c r="DG73" t="e">
        <f>'SurveyRpt_20150223 (1)'!AK452+"h_l!%EZ"</f>
        <v>#VALUE!</v>
      </c>
      <c r="DH73" t="e">
        <f>'SurveyRpt_20150223 (1)'!AL452+"h_l!%E["</f>
        <v>#VALUE!</v>
      </c>
      <c r="DI73" t="e">
        <f>'SurveyRpt_20150223 (1)'!AM452+"h_l!%E\"</f>
        <v>#VALUE!</v>
      </c>
      <c r="DJ73" t="e">
        <f>'SurveyRpt_20150223 (1)'!AN452+"h_l!%E]"</f>
        <v>#VALUE!</v>
      </c>
      <c r="DK73" t="e">
        <f>'SurveyRpt_20150223 (1)'!A453+"h_l!%E^"</f>
        <v>#VALUE!</v>
      </c>
      <c r="DL73" s="25" t="e">
        <f>'SurveyRpt_20150223 (1)'!B453+"h_l!%E_"</f>
        <v>#VALUE!</v>
      </c>
      <c r="DM73" t="e">
        <f>'SurveyRpt_20150223 (1)'!C453+"h_l!%E`"</f>
        <v>#VALUE!</v>
      </c>
      <c r="DN73" s="25" t="e">
        <f>'SurveyRpt_20150223 (1)'!D453+"h_l!%Ea"</f>
        <v>#VALUE!</v>
      </c>
      <c r="DO73" t="e">
        <f>'SurveyRpt_20150223 (1)'!E453+"h_l!%Eb"</f>
        <v>#VALUE!</v>
      </c>
      <c r="DP73" t="e">
        <f>'SurveyRpt_20150223 (1)'!F453+"h_l!%Ec"</f>
        <v>#VALUE!</v>
      </c>
      <c r="DQ73" t="e">
        <f>'SurveyRpt_20150223 (1)'!G453+"h_l!%Ed"</f>
        <v>#VALUE!</v>
      </c>
      <c r="DR73" t="e">
        <f>'SurveyRpt_20150223 (1)'!H453+"h_l!%Ee"</f>
        <v>#VALUE!</v>
      </c>
      <c r="DS73" t="e">
        <f>'SurveyRpt_20150223 (1)'!I453+"h_l!%Ef"</f>
        <v>#VALUE!</v>
      </c>
      <c r="DT73" t="e">
        <f>'SurveyRpt_20150223 (1)'!J453+"h_l!%Eg"</f>
        <v>#VALUE!</v>
      </c>
      <c r="DU73" t="e">
        <f>'SurveyRpt_20150223 (1)'!K453+"h_l!%Eh"</f>
        <v>#VALUE!</v>
      </c>
      <c r="DV73" t="e">
        <f>'SurveyRpt_20150223 (1)'!L453+"h_l!%Ei"</f>
        <v>#VALUE!</v>
      </c>
      <c r="DW73" t="e">
        <f>'SurveyRpt_20150223 (1)'!M453+"h_l!%Ej"</f>
        <v>#VALUE!</v>
      </c>
      <c r="DX73" t="e">
        <f>'SurveyRpt_20150223 (1)'!N453+"h_l!%Ek"</f>
        <v>#VALUE!</v>
      </c>
      <c r="DY73" t="e">
        <f>'SurveyRpt_20150223 (1)'!O453+"h_l!%El"</f>
        <v>#VALUE!</v>
      </c>
      <c r="DZ73" t="e">
        <f>'SurveyRpt_20150223 (1)'!P453+"h_l!%Em"</f>
        <v>#VALUE!</v>
      </c>
      <c r="EA73" t="e">
        <f>'SurveyRpt_20150223 (1)'!Q453+"h_l!%En"</f>
        <v>#VALUE!</v>
      </c>
      <c r="EB73" t="e">
        <f>'SurveyRpt_20150223 (1)'!R453+"h_l!%Eo"</f>
        <v>#VALUE!</v>
      </c>
      <c r="EC73" t="e">
        <f>'SurveyRpt_20150223 (1)'!S453+"h_l!%Ep"</f>
        <v>#VALUE!</v>
      </c>
      <c r="ED73" t="e">
        <f>'SurveyRpt_20150223 (1)'!T453+"h_l!%Eq"</f>
        <v>#VALUE!</v>
      </c>
      <c r="EE73" t="e">
        <f>'SurveyRpt_20150223 (1)'!U453+"h_l!%Er"</f>
        <v>#VALUE!</v>
      </c>
      <c r="EF73" t="e">
        <f>'SurveyRpt_20150223 (1)'!V453+"h_l!%Es"</f>
        <v>#VALUE!</v>
      </c>
      <c r="EG73" t="e">
        <f>'SurveyRpt_20150223 (1)'!W453+"h_l!%Et"</f>
        <v>#VALUE!</v>
      </c>
      <c r="EH73" t="e">
        <f>'SurveyRpt_20150223 (1)'!X453+"h_l!%Eu"</f>
        <v>#VALUE!</v>
      </c>
      <c r="EI73" t="e">
        <f>'SurveyRpt_20150223 (1)'!Y453+"h_l!%Ev"</f>
        <v>#VALUE!</v>
      </c>
      <c r="EJ73" t="e">
        <f>'SurveyRpt_20150223 (1)'!Z453+"h_l!%Ew"</f>
        <v>#VALUE!</v>
      </c>
      <c r="EK73" t="e">
        <f>'SurveyRpt_20150223 (1)'!AA453+"h_l!%Ex"</f>
        <v>#VALUE!</v>
      </c>
      <c r="EL73" t="e">
        <f>'SurveyRpt_20150223 (1)'!AB453+"h_l!%Ey"</f>
        <v>#VALUE!</v>
      </c>
      <c r="EM73" t="e">
        <f>'SurveyRpt_20150223 (1)'!AC453+"h_l!%Ez"</f>
        <v>#VALUE!</v>
      </c>
      <c r="EN73" t="e">
        <f>'SurveyRpt_20150223 (1)'!AD453+"h_l!%E{"</f>
        <v>#VALUE!</v>
      </c>
      <c r="EO73" t="e">
        <f>'SurveyRpt_20150223 (1)'!AE453+"h_l!%E|"</f>
        <v>#VALUE!</v>
      </c>
      <c r="EP73" t="e">
        <f>'SurveyRpt_20150223 (1)'!AF453+"h_l!%E}"</f>
        <v>#VALUE!</v>
      </c>
      <c r="EQ73" t="e">
        <f>'SurveyRpt_20150223 (1)'!AG453+"h_l!%E~"</f>
        <v>#VALUE!</v>
      </c>
      <c r="ER73" t="e">
        <f>'SurveyRpt_20150223 (1)'!AH453+"h_l!%F#"</f>
        <v>#VALUE!</v>
      </c>
      <c r="ES73" t="e">
        <f>'SurveyRpt_20150223 (1)'!AI453+"h_l!%F$"</f>
        <v>#VALUE!</v>
      </c>
      <c r="ET73" t="e">
        <f>'SurveyRpt_20150223 (1)'!AJ453+"h_l!%F%"</f>
        <v>#VALUE!</v>
      </c>
      <c r="EU73" t="e">
        <f>'SurveyRpt_20150223 (1)'!AK453+"h_l!%F&amp;"</f>
        <v>#VALUE!</v>
      </c>
      <c r="EV73" t="e">
        <f>'SurveyRpt_20150223 (1)'!AL453+"h_l!%F'"</f>
        <v>#VALUE!</v>
      </c>
      <c r="EW73" t="e">
        <f>'SurveyRpt_20150223 (1)'!AM453+"h_l!%F("</f>
        <v>#VALUE!</v>
      </c>
      <c r="EX73" t="e">
        <f>'SurveyRpt_20150223 (1)'!AN453+"h_l!%F)"</f>
        <v>#VALUE!</v>
      </c>
      <c r="EY73" t="e">
        <f>'SurveyRpt_20150223 (1)'!A454+"h_l!%F."</f>
        <v>#VALUE!</v>
      </c>
      <c r="EZ73" s="25" t="e">
        <f>'SurveyRpt_20150223 (1)'!B454+"h_l!%F/"</f>
        <v>#VALUE!</v>
      </c>
      <c r="FA73" t="e">
        <f>'SurveyRpt_20150223 (1)'!C454+"h_l!%F0"</f>
        <v>#VALUE!</v>
      </c>
      <c r="FB73" s="25" t="e">
        <f>'SurveyRpt_20150223 (1)'!D454+"h_l!%F1"</f>
        <v>#VALUE!</v>
      </c>
      <c r="FC73" t="e">
        <f>'SurveyRpt_20150223 (1)'!E454+"h_l!%F2"</f>
        <v>#VALUE!</v>
      </c>
      <c r="FD73" t="e">
        <f>'SurveyRpt_20150223 (1)'!F454+"h_l!%F3"</f>
        <v>#VALUE!</v>
      </c>
      <c r="FE73" t="e">
        <f>'SurveyRpt_20150223 (1)'!G454+"h_l!%F4"</f>
        <v>#VALUE!</v>
      </c>
      <c r="FF73" t="e">
        <f>'SurveyRpt_20150223 (1)'!H454+"h_l!%F5"</f>
        <v>#VALUE!</v>
      </c>
      <c r="FG73" t="e">
        <f>'SurveyRpt_20150223 (1)'!I454+"h_l!%F6"</f>
        <v>#VALUE!</v>
      </c>
      <c r="FH73" t="e">
        <f>'SurveyRpt_20150223 (1)'!J454+"h_l!%F7"</f>
        <v>#VALUE!</v>
      </c>
      <c r="FI73" t="e">
        <f>'SurveyRpt_20150223 (1)'!K454+"h_l!%F8"</f>
        <v>#VALUE!</v>
      </c>
      <c r="FJ73" t="e">
        <f>'SurveyRpt_20150223 (1)'!L454+"h_l!%F9"</f>
        <v>#VALUE!</v>
      </c>
      <c r="FK73" t="e">
        <f>'SurveyRpt_20150223 (1)'!M454+"h_l!%F:"</f>
        <v>#VALUE!</v>
      </c>
      <c r="FL73" t="e">
        <f>'SurveyRpt_20150223 (1)'!N454+"h_l!%F;"</f>
        <v>#VALUE!</v>
      </c>
      <c r="FM73" t="e">
        <f>'SurveyRpt_20150223 (1)'!O454+"h_l!%F&lt;"</f>
        <v>#VALUE!</v>
      </c>
      <c r="FN73" t="e">
        <f>'SurveyRpt_20150223 (1)'!P454+"h_l!%F="</f>
        <v>#VALUE!</v>
      </c>
      <c r="FO73" t="e">
        <f>'SurveyRpt_20150223 (1)'!Q454+"h_l!%F&gt;"</f>
        <v>#VALUE!</v>
      </c>
      <c r="FP73" t="e">
        <f>'SurveyRpt_20150223 (1)'!R454+"h_l!%F?"</f>
        <v>#VALUE!</v>
      </c>
      <c r="FQ73" t="e">
        <f>'SurveyRpt_20150223 (1)'!S454+"h_l!%F@"</f>
        <v>#VALUE!</v>
      </c>
      <c r="FR73" t="e">
        <f>'SurveyRpt_20150223 (1)'!T454+"h_l!%FA"</f>
        <v>#VALUE!</v>
      </c>
      <c r="FS73" t="e">
        <f>'SurveyRpt_20150223 (1)'!U454+"h_l!%FB"</f>
        <v>#VALUE!</v>
      </c>
      <c r="FT73" t="e">
        <f>'SurveyRpt_20150223 (1)'!V454+"h_l!%FC"</f>
        <v>#VALUE!</v>
      </c>
      <c r="FU73" t="e">
        <f>'SurveyRpt_20150223 (1)'!W454+"h_l!%FD"</f>
        <v>#VALUE!</v>
      </c>
      <c r="FV73" t="e">
        <f>'SurveyRpt_20150223 (1)'!X454+"h_l!%FE"</f>
        <v>#VALUE!</v>
      </c>
      <c r="FW73" t="e">
        <f>'SurveyRpt_20150223 (1)'!Y454+"h_l!%FF"</f>
        <v>#VALUE!</v>
      </c>
      <c r="FX73" t="e">
        <f>'SurveyRpt_20150223 (1)'!Z454+"h_l!%FG"</f>
        <v>#VALUE!</v>
      </c>
      <c r="FY73" t="e">
        <f>'SurveyRpt_20150223 (1)'!AA454+"h_l!%FH"</f>
        <v>#VALUE!</v>
      </c>
      <c r="FZ73" t="e">
        <f>'SurveyRpt_20150223 (1)'!AB454+"h_l!%FI"</f>
        <v>#VALUE!</v>
      </c>
      <c r="GA73" t="e">
        <f>'SurveyRpt_20150223 (1)'!AC454+"h_l!%FJ"</f>
        <v>#VALUE!</v>
      </c>
      <c r="GB73" t="e">
        <f>'SurveyRpt_20150223 (1)'!AD454+"h_l!%FK"</f>
        <v>#VALUE!</v>
      </c>
      <c r="GC73" t="e">
        <f>'SurveyRpt_20150223 (1)'!AE454+"h_l!%FL"</f>
        <v>#VALUE!</v>
      </c>
      <c r="GD73" t="e">
        <f>'SurveyRpt_20150223 (1)'!AF454+"h_l!%FM"</f>
        <v>#VALUE!</v>
      </c>
      <c r="GE73" t="e">
        <f>'SurveyRpt_20150223 (1)'!AG454+"h_l!%FN"</f>
        <v>#VALUE!</v>
      </c>
      <c r="GF73" t="e">
        <f>'SurveyRpt_20150223 (1)'!AH454+"h_l!%FO"</f>
        <v>#VALUE!</v>
      </c>
      <c r="GG73" t="e">
        <f>'SurveyRpt_20150223 (1)'!AI454+"h_l!%FP"</f>
        <v>#VALUE!</v>
      </c>
      <c r="GH73" t="e">
        <f>'SurveyRpt_20150223 (1)'!AJ454+"h_l!%FQ"</f>
        <v>#VALUE!</v>
      </c>
      <c r="GI73" t="e">
        <f>'SurveyRpt_20150223 (1)'!AK454+"h_l!%FR"</f>
        <v>#VALUE!</v>
      </c>
      <c r="GJ73" t="e">
        <f>'SurveyRpt_20150223 (1)'!AL454+"h_l!%FS"</f>
        <v>#VALUE!</v>
      </c>
      <c r="GK73" t="e">
        <f>'SurveyRpt_20150223 (1)'!AM454+"h_l!%FT"</f>
        <v>#VALUE!</v>
      </c>
      <c r="GL73" t="e">
        <f>'SurveyRpt_20150223 (1)'!AN454+"h_l!%FU"</f>
        <v>#VALUE!</v>
      </c>
      <c r="GM73" t="e">
        <f>'SurveyRpt_20150223 (1)'!A455+"h_l!%FV"</f>
        <v>#VALUE!</v>
      </c>
      <c r="GN73" s="25" t="e">
        <f>'SurveyRpt_20150223 (1)'!B455+"h_l!%FW"</f>
        <v>#VALUE!</v>
      </c>
      <c r="GO73" t="e">
        <f>'SurveyRpt_20150223 (1)'!C455+"h_l!%FX"</f>
        <v>#VALUE!</v>
      </c>
      <c r="GP73" s="25" t="e">
        <f>'SurveyRpt_20150223 (1)'!D455+"h_l!%FY"</f>
        <v>#VALUE!</v>
      </c>
      <c r="GQ73" t="e">
        <f>'SurveyRpt_20150223 (1)'!E455+"h_l!%FZ"</f>
        <v>#VALUE!</v>
      </c>
      <c r="GR73" t="e">
        <f>'SurveyRpt_20150223 (1)'!F455+"h_l!%F["</f>
        <v>#VALUE!</v>
      </c>
      <c r="GS73" t="e">
        <f>'SurveyRpt_20150223 (1)'!G455+"h_l!%F\"</f>
        <v>#VALUE!</v>
      </c>
      <c r="GT73" t="e">
        <f>'SurveyRpt_20150223 (1)'!H455+"h_l!%F]"</f>
        <v>#VALUE!</v>
      </c>
      <c r="GU73" t="e">
        <f>'SurveyRpt_20150223 (1)'!I455+"h_l!%F^"</f>
        <v>#VALUE!</v>
      </c>
      <c r="GV73" t="e">
        <f>'SurveyRpt_20150223 (1)'!J455+"h_l!%F_"</f>
        <v>#VALUE!</v>
      </c>
      <c r="GW73" t="e">
        <f>'SurveyRpt_20150223 (1)'!K455+"h_l!%F`"</f>
        <v>#VALUE!</v>
      </c>
      <c r="GX73" t="e">
        <f>'SurveyRpt_20150223 (1)'!L455+"h_l!%Fa"</f>
        <v>#VALUE!</v>
      </c>
      <c r="GY73" t="e">
        <f>'SurveyRpt_20150223 (1)'!M455+"h_l!%Fb"</f>
        <v>#VALUE!</v>
      </c>
      <c r="GZ73" t="e">
        <f>'SurveyRpt_20150223 (1)'!N455+"h_l!%Fc"</f>
        <v>#VALUE!</v>
      </c>
      <c r="HA73" t="e">
        <f>'SurveyRpt_20150223 (1)'!O455+"h_l!%Fd"</f>
        <v>#VALUE!</v>
      </c>
      <c r="HB73" t="e">
        <f>'SurveyRpt_20150223 (1)'!P455+"h_l!%Fe"</f>
        <v>#VALUE!</v>
      </c>
      <c r="HC73" t="e">
        <f>'SurveyRpt_20150223 (1)'!Q455+"h_l!%Ff"</f>
        <v>#VALUE!</v>
      </c>
      <c r="HD73" t="e">
        <f>'SurveyRpt_20150223 (1)'!R455+"h_l!%Fg"</f>
        <v>#VALUE!</v>
      </c>
      <c r="HE73" t="e">
        <f>'SurveyRpt_20150223 (1)'!S455+"h_l!%Fh"</f>
        <v>#VALUE!</v>
      </c>
      <c r="HF73" t="e">
        <f>'SurveyRpt_20150223 (1)'!T455+"h_l!%Fi"</f>
        <v>#VALUE!</v>
      </c>
      <c r="HG73" t="e">
        <f>'SurveyRpt_20150223 (1)'!U455+"h_l!%Fj"</f>
        <v>#VALUE!</v>
      </c>
      <c r="HH73" t="e">
        <f>'SurveyRpt_20150223 (1)'!V455+"h_l!%Fk"</f>
        <v>#VALUE!</v>
      </c>
      <c r="HI73" t="e">
        <f>'SurveyRpt_20150223 (1)'!W455+"h_l!%Fl"</f>
        <v>#VALUE!</v>
      </c>
      <c r="HJ73" t="e">
        <f>'SurveyRpt_20150223 (1)'!X455+"h_l!%Fm"</f>
        <v>#VALUE!</v>
      </c>
      <c r="HK73" t="e">
        <f>'SurveyRpt_20150223 (1)'!Y455+"h_l!%Fn"</f>
        <v>#VALUE!</v>
      </c>
      <c r="HL73" t="e">
        <f>'SurveyRpt_20150223 (1)'!Z455+"h_l!%Fo"</f>
        <v>#VALUE!</v>
      </c>
      <c r="HM73" t="e">
        <f>'SurveyRpt_20150223 (1)'!AA455+"h_l!%Fp"</f>
        <v>#VALUE!</v>
      </c>
      <c r="HN73" t="e">
        <f>'SurveyRpt_20150223 (1)'!AB455+"h_l!%Fq"</f>
        <v>#VALUE!</v>
      </c>
      <c r="HO73" t="e">
        <f>'SurveyRpt_20150223 (1)'!AC455+"h_l!%Fr"</f>
        <v>#VALUE!</v>
      </c>
      <c r="HP73" t="e">
        <f>'SurveyRpt_20150223 (1)'!AD455+"h_l!%Fs"</f>
        <v>#VALUE!</v>
      </c>
      <c r="HQ73" t="e">
        <f>'SurveyRpt_20150223 (1)'!AE455+"h_l!%Ft"</f>
        <v>#VALUE!</v>
      </c>
      <c r="HR73" t="e">
        <f>'SurveyRpt_20150223 (1)'!AF455+"h_l!%Fu"</f>
        <v>#VALUE!</v>
      </c>
      <c r="HS73" t="e">
        <f>'SurveyRpt_20150223 (1)'!AG455+"h_l!%Fv"</f>
        <v>#VALUE!</v>
      </c>
      <c r="HT73" t="e">
        <f>'SurveyRpt_20150223 (1)'!AH455+"h_l!%Fw"</f>
        <v>#VALUE!</v>
      </c>
      <c r="HU73" t="e">
        <f>'SurveyRpt_20150223 (1)'!AI455+"h_l!%Fx"</f>
        <v>#VALUE!</v>
      </c>
      <c r="HV73" t="e">
        <f>'SurveyRpt_20150223 (1)'!AJ455+"h_l!%Fy"</f>
        <v>#VALUE!</v>
      </c>
      <c r="HW73" t="e">
        <f>'SurveyRpt_20150223 (1)'!AK455+"h_l!%Fz"</f>
        <v>#VALUE!</v>
      </c>
      <c r="HX73" t="e">
        <f>'SurveyRpt_20150223 (1)'!AL455+"h_l!%F{"</f>
        <v>#VALUE!</v>
      </c>
      <c r="HY73" t="e">
        <f>'SurveyRpt_20150223 (1)'!AM455+"h_l!%F|"</f>
        <v>#VALUE!</v>
      </c>
      <c r="HZ73" t="e">
        <f>'SurveyRpt_20150223 (1)'!AN455+"h_l!%F}"</f>
        <v>#VALUE!</v>
      </c>
      <c r="IA73" t="e">
        <f>'SurveyRpt_20150223 (1)'!A456+"h_l!%F~"</f>
        <v>#VALUE!</v>
      </c>
      <c r="IB73" s="25" t="e">
        <f>'SurveyRpt_20150223 (1)'!B456+"h_l!%G#"</f>
        <v>#VALUE!</v>
      </c>
      <c r="IC73" t="e">
        <f>'SurveyRpt_20150223 (1)'!C456+"h_l!%G$"</f>
        <v>#VALUE!</v>
      </c>
      <c r="ID73" s="25" t="e">
        <f>'SurveyRpt_20150223 (1)'!D456+"h_l!%G%"</f>
        <v>#VALUE!</v>
      </c>
      <c r="IE73" t="e">
        <f>'SurveyRpt_20150223 (1)'!E456+"h_l!%G&amp;"</f>
        <v>#VALUE!</v>
      </c>
      <c r="IF73" t="e">
        <f>'SurveyRpt_20150223 (1)'!F456+"h_l!%G'"</f>
        <v>#VALUE!</v>
      </c>
      <c r="IG73" t="e">
        <f>'SurveyRpt_20150223 (1)'!G456+"h_l!%G("</f>
        <v>#VALUE!</v>
      </c>
      <c r="IH73" t="e">
        <f>'SurveyRpt_20150223 (1)'!H456+"h_l!%G)"</f>
        <v>#VALUE!</v>
      </c>
      <c r="II73" t="e">
        <f>'SurveyRpt_20150223 (1)'!I456+"h_l!%G."</f>
        <v>#VALUE!</v>
      </c>
      <c r="IJ73" t="e">
        <f>'SurveyRpt_20150223 (1)'!J456+"h_l!%G/"</f>
        <v>#VALUE!</v>
      </c>
      <c r="IK73" t="e">
        <f>'SurveyRpt_20150223 (1)'!K456+"h_l!%G0"</f>
        <v>#VALUE!</v>
      </c>
      <c r="IL73" t="e">
        <f>'SurveyRpt_20150223 (1)'!L456+"h_l!%G1"</f>
        <v>#VALUE!</v>
      </c>
      <c r="IM73" t="e">
        <f>'SurveyRpt_20150223 (1)'!M456+"h_l!%G2"</f>
        <v>#VALUE!</v>
      </c>
      <c r="IN73" t="e">
        <f>'SurveyRpt_20150223 (1)'!N456+"h_l!%G3"</f>
        <v>#VALUE!</v>
      </c>
      <c r="IO73" t="e">
        <f>'SurveyRpt_20150223 (1)'!O456+"h_l!%G4"</f>
        <v>#VALUE!</v>
      </c>
      <c r="IP73" t="e">
        <f>'SurveyRpt_20150223 (1)'!P456+"h_l!%G5"</f>
        <v>#VALUE!</v>
      </c>
      <c r="IQ73" t="e">
        <f>'SurveyRpt_20150223 (1)'!Q456+"h_l!%G6"</f>
        <v>#VALUE!</v>
      </c>
      <c r="IR73" t="e">
        <f>'SurveyRpt_20150223 (1)'!R456+"h_l!%G7"</f>
        <v>#VALUE!</v>
      </c>
      <c r="IS73" t="e">
        <f>'SurveyRpt_20150223 (1)'!S456+"h_l!%G8"</f>
        <v>#VALUE!</v>
      </c>
      <c r="IT73" t="e">
        <f>'SurveyRpt_20150223 (1)'!T456+"h_l!%G9"</f>
        <v>#VALUE!</v>
      </c>
      <c r="IU73" t="e">
        <f>'SurveyRpt_20150223 (1)'!U456+"h_l!%G:"</f>
        <v>#VALUE!</v>
      </c>
      <c r="IV73" t="e">
        <f>'SurveyRpt_20150223 (1)'!V456+"h_l!%G;"</f>
        <v>#VALUE!</v>
      </c>
    </row>
    <row r="74" spans="6:256" x14ac:dyDescent="0.25">
      <c r="F74" t="e">
        <f>'SurveyRpt_20150223 (1)'!W456+"h_l!%G&lt;"</f>
        <v>#VALUE!</v>
      </c>
      <c r="G74" t="e">
        <f>'SurveyRpt_20150223 (1)'!X456+"h_l!%G="</f>
        <v>#VALUE!</v>
      </c>
      <c r="H74" t="e">
        <f>'SurveyRpt_20150223 (1)'!Y456+"h_l!%G&gt;"</f>
        <v>#VALUE!</v>
      </c>
      <c r="I74" t="e">
        <f>'SurveyRpt_20150223 (1)'!Z456+"h_l!%G?"</f>
        <v>#VALUE!</v>
      </c>
      <c r="J74" t="e">
        <f>'SurveyRpt_20150223 (1)'!AA456+"h_l!%G@"</f>
        <v>#VALUE!</v>
      </c>
      <c r="K74" t="e">
        <f>'SurveyRpt_20150223 (1)'!AB456+"h_l!%GA"</f>
        <v>#VALUE!</v>
      </c>
      <c r="L74" t="e">
        <f>'SurveyRpt_20150223 (1)'!AC456+"h_l!%GB"</f>
        <v>#VALUE!</v>
      </c>
      <c r="M74" t="e">
        <f>'SurveyRpt_20150223 (1)'!AD456+"h_l!%GC"</f>
        <v>#VALUE!</v>
      </c>
      <c r="N74" t="e">
        <f>'SurveyRpt_20150223 (1)'!AE456+"h_l!%GD"</f>
        <v>#VALUE!</v>
      </c>
      <c r="O74" t="e">
        <f>'SurveyRpt_20150223 (1)'!AF456+"h_l!%GE"</f>
        <v>#VALUE!</v>
      </c>
      <c r="P74" t="e">
        <f>'SurveyRpt_20150223 (1)'!AG456+"h_l!%GF"</f>
        <v>#VALUE!</v>
      </c>
      <c r="Q74" t="e">
        <f>'SurveyRpt_20150223 (1)'!AH456+"h_l!%GG"</f>
        <v>#VALUE!</v>
      </c>
      <c r="R74" t="e">
        <f>'SurveyRpt_20150223 (1)'!AI456+"h_l!%GH"</f>
        <v>#VALUE!</v>
      </c>
      <c r="S74" t="e">
        <f>'SurveyRpt_20150223 (1)'!AJ456+"h_l!%GI"</f>
        <v>#VALUE!</v>
      </c>
      <c r="T74" t="e">
        <f>'SurveyRpt_20150223 (1)'!AK456+"h_l!%GJ"</f>
        <v>#VALUE!</v>
      </c>
      <c r="U74" t="e">
        <f>'SurveyRpt_20150223 (1)'!AL456+"h_l!%GK"</f>
        <v>#VALUE!</v>
      </c>
      <c r="V74" t="e">
        <f>'SurveyRpt_20150223 (1)'!AM456+"h_l!%GL"</f>
        <v>#VALUE!</v>
      </c>
      <c r="W74" t="e">
        <f>'SurveyRpt_20150223 (1)'!AN456+"h_l!%GM"</f>
        <v>#VALUE!</v>
      </c>
      <c r="X74" t="e">
        <f>'SurveyRpt_20150223 (1)'!A457+"h_l!%GN"</f>
        <v>#VALUE!</v>
      </c>
      <c r="Y74" s="25" t="e">
        <f>'SurveyRpt_20150223 (1)'!B457+"h_l!%GO"</f>
        <v>#VALUE!</v>
      </c>
      <c r="Z74" t="e">
        <f>'SurveyRpt_20150223 (1)'!C457+"h_l!%GP"</f>
        <v>#VALUE!</v>
      </c>
      <c r="AA74" s="25" t="e">
        <f>'SurveyRpt_20150223 (1)'!D457+"h_l!%GQ"</f>
        <v>#VALUE!</v>
      </c>
      <c r="AB74" t="e">
        <f>'SurveyRpt_20150223 (1)'!E457+"h_l!%GR"</f>
        <v>#VALUE!</v>
      </c>
      <c r="AC74" t="e">
        <f>'SurveyRpt_20150223 (1)'!F457+"h_l!%GS"</f>
        <v>#VALUE!</v>
      </c>
      <c r="AD74" t="e">
        <f>'SurveyRpt_20150223 (1)'!G457+"h_l!%GT"</f>
        <v>#VALUE!</v>
      </c>
      <c r="AE74" t="e">
        <f>'SurveyRpt_20150223 (1)'!H457+"h_l!%GU"</f>
        <v>#VALUE!</v>
      </c>
      <c r="AF74" t="e">
        <f>'SurveyRpt_20150223 (1)'!I457+"h_l!%GV"</f>
        <v>#VALUE!</v>
      </c>
      <c r="AG74" t="e">
        <f>'SurveyRpt_20150223 (1)'!J457+"h_l!%GW"</f>
        <v>#VALUE!</v>
      </c>
      <c r="AH74" t="e">
        <f>'SurveyRpt_20150223 (1)'!K457+"h_l!%GX"</f>
        <v>#VALUE!</v>
      </c>
      <c r="AI74" t="e">
        <f>'SurveyRpt_20150223 (1)'!L457+"h_l!%GY"</f>
        <v>#VALUE!</v>
      </c>
      <c r="AJ74" t="e">
        <f>'SurveyRpt_20150223 (1)'!M457+"h_l!%GZ"</f>
        <v>#VALUE!</v>
      </c>
      <c r="AK74" t="e">
        <f>'SurveyRpt_20150223 (1)'!N457+"h_l!%G["</f>
        <v>#VALUE!</v>
      </c>
      <c r="AL74" t="e">
        <f>'SurveyRpt_20150223 (1)'!O457+"h_l!%G\"</f>
        <v>#VALUE!</v>
      </c>
      <c r="AM74" t="e">
        <f>'SurveyRpt_20150223 (1)'!P457+"h_l!%G]"</f>
        <v>#VALUE!</v>
      </c>
      <c r="AN74" t="e">
        <f>'SurveyRpt_20150223 (1)'!Q457+"h_l!%G^"</f>
        <v>#VALUE!</v>
      </c>
      <c r="AO74" t="e">
        <f>'SurveyRpt_20150223 (1)'!R457+"h_l!%G_"</f>
        <v>#VALUE!</v>
      </c>
      <c r="AP74" t="e">
        <f>'SurveyRpt_20150223 (1)'!S457+"h_l!%G`"</f>
        <v>#VALUE!</v>
      </c>
      <c r="AQ74" t="e">
        <f>'SurveyRpt_20150223 (1)'!T457+"h_l!%Ga"</f>
        <v>#VALUE!</v>
      </c>
      <c r="AR74" t="e">
        <f>'SurveyRpt_20150223 (1)'!U457+"h_l!%Gb"</f>
        <v>#VALUE!</v>
      </c>
      <c r="AS74" t="e">
        <f>'SurveyRpt_20150223 (1)'!V457+"h_l!%Gc"</f>
        <v>#VALUE!</v>
      </c>
      <c r="AT74" t="e">
        <f>'SurveyRpt_20150223 (1)'!W457+"h_l!%Gd"</f>
        <v>#VALUE!</v>
      </c>
      <c r="AU74" t="e">
        <f>'SurveyRpt_20150223 (1)'!X457+"h_l!%Ge"</f>
        <v>#VALUE!</v>
      </c>
      <c r="AV74" t="e">
        <f>'SurveyRpt_20150223 (1)'!Y457+"h_l!%Gf"</f>
        <v>#VALUE!</v>
      </c>
      <c r="AW74" t="e">
        <f>'SurveyRpt_20150223 (1)'!Z457+"h_l!%Gg"</f>
        <v>#VALUE!</v>
      </c>
      <c r="AX74" t="e">
        <f>'SurveyRpt_20150223 (1)'!AA457+"h_l!%Gh"</f>
        <v>#VALUE!</v>
      </c>
      <c r="AY74" t="e">
        <f>'SurveyRpt_20150223 (1)'!AB457+"h_l!%Gi"</f>
        <v>#VALUE!</v>
      </c>
      <c r="AZ74" t="e">
        <f>'SurveyRpt_20150223 (1)'!AC457+"h_l!%Gj"</f>
        <v>#VALUE!</v>
      </c>
      <c r="BA74" t="e">
        <f>'SurveyRpt_20150223 (1)'!AD457+"h_l!%Gk"</f>
        <v>#VALUE!</v>
      </c>
      <c r="BB74" t="e">
        <f>'SurveyRpt_20150223 (1)'!AE457+"h_l!%Gl"</f>
        <v>#VALUE!</v>
      </c>
      <c r="BC74" t="e">
        <f>'SurveyRpt_20150223 (1)'!AF457+"h_l!%Gm"</f>
        <v>#VALUE!</v>
      </c>
      <c r="BD74" t="e">
        <f>'SurveyRpt_20150223 (1)'!AG457+"h_l!%Gn"</f>
        <v>#VALUE!</v>
      </c>
      <c r="BE74" t="e">
        <f>'SurveyRpt_20150223 (1)'!AH457+"h_l!%Go"</f>
        <v>#VALUE!</v>
      </c>
      <c r="BF74" t="e">
        <f>'SurveyRpt_20150223 (1)'!AI457+"h_l!%Gp"</f>
        <v>#VALUE!</v>
      </c>
      <c r="BG74" t="e">
        <f>'SurveyRpt_20150223 (1)'!AJ457+"h_l!%Gq"</f>
        <v>#VALUE!</v>
      </c>
      <c r="BH74" t="e">
        <f>'SurveyRpt_20150223 (1)'!AK457+"h_l!%Gr"</f>
        <v>#VALUE!</v>
      </c>
      <c r="BI74" t="e">
        <f>'SurveyRpt_20150223 (1)'!AL457+"h_l!%Gs"</f>
        <v>#VALUE!</v>
      </c>
      <c r="BJ74" t="e">
        <f>'SurveyRpt_20150223 (1)'!AM457+"h_l!%Gt"</f>
        <v>#VALUE!</v>
      </c>
      <c r="BK74" t="e">
        <f>'SurveyRpt_20150223 (1)'!AN457+"h_l!%Gu"</f>
        <v>#VALUE!</v>
      </c>
      <c r="BL74" t="e">
        <f>'SurveyRpt_20150223 (1)'!A458+"h_l!%Gv"</f>
        <v>#VALUE!</v>
      </c>
      <c r="BM74" s="25" t="e">
        <f>'SurveyRpt_20150223 (1)'!B458+"h_l!%Gw"</f>
        <v>#VALUE!</v>
      </c>
      <c r="BN74" t="e">
        <f>'SurveyRpt_20150223 (1)'!C458+"h_l!%Gx"</f>
        <v>#VALUE!</v>
      </c>
      <c r="BO74" s="25" t="e">
        <f>'SurveyRpt_20150223 (1)'!D458+"h_l!%Gy"</f>
        <v>#VALUE!</v>
      </c>
      <c r="BP74" t="e">
        <f>'SurveyRpt_20150223 (1)'!E458+"h_l!%Gz"</f>
        <v>#VALUE!</v>
      </c>
      <c r="BQ74" t="e">
        <f>'SurveyRpt_20150223 (1)'!F458+"h_l!%G{"</f>
        <v>#VALUE!</v>
      </c>
      <c r="BR74" t="e">
        <f>'SurveyRpt_20150223 (1)'!G458+"h_l!%G|"</f>
        <v>#VALUE!</v>
      </c>
      <c r="BS74" t="e">
        <f>'SurveyRpt_20150223 (1)'!H458+"h_l!%G}"</f>
        <v>#VALUE!</v>
      </c>
      <c r="BT74" t="e">
        <f>'SurveyRpt_20150223 (1)'!I458+"h_l!%G~"</f>
        <v>#VALUE!</v>
      </c>
      <c r="BU74" t="e">
        <f>'SurveyRpt_20150223 (1)'!J458+"h_l!%H#"</f>
        <v>#VALUE!</v>
      </c>
      <c r="BV74" t="e">
        <f>'SurveyRpt_20150223 (1)'!K458+"h_l!%H$"</f>
        <v>#VALUE!</v>
      </c>
      <c r="BW74" t="e">
        <f>'SurveyRpt_20150223 (1)'!L458+"h_l!%H%"</f>
        <v>#VALUE!</v>
      </c>
      <c r="BX74" t="e">
        <f>'SurveyRpt_20150223 (1)'!M458+"h_l!%H&amp;"</f>
        <v>#VALUE!</v>
      </c>
      <c r="BY74" t="e">
        <f>'SurveyRpt_20150223 (1)'!N458+"h_l!%H'"</f>
        <v>#VALUE!</v>
      </c>
      <c r="BZ74" t="e">
        <f>'SurveyRpt_20150223 (1)'!O458+"h_l!%H("</f>
        <v>#VALUE!</v>
      </c>
      <c r="CA74" t="e">
        <f>'SurveyRpt_20150223 (1)'!P458+"h_l!%H)"</f>
        <v>#VALUE!</v>
      </c>
      <c r="CB74" t="e">
        <f>'SurveyRpt_20150223 (1)'!Q458+"h_l!%H."</f>
        <v>#VALUE!</v>
      </c>
      <c r="CC74" t="e">
        <f>'SurveyRpt_20150223 (1)'!R458+"h_l!%H/"</f>
        <v>#VALUE!</v>
      </c>
      <c r="CD74" t="e">
        <f>'SurveyRpt_20150223 (1)'!S458+"h_l!%H0"</f>
        <v>#VALUE!</v>
      </c>
      <c r="CE74" t="e">
        <f>'SurveyRpt_20150223 (1)'!T458+"h_l!%H1"</f>
        <v>#VALUE!</v>
      </c>
      <c r="CF74" t="e">
        <f>'SurveyRpt_20150223 (1)'!U458+"h_l!%H2"</f>
        <v>#VALUE!</v>
      </c>
      <c r="CG74" t="e">
        <f>'SurveyRpt_20150223 (1)'!V458+"h_l!%H3"</f>
        <v>#VALUE!</v>
      </c>
      <c r="CH74" t="e">
        <f>'SurveyRpt_20150223 (1)'!W458+"h_l!%H4"</f>
        <v>#VALUE!</v>
      </c>
      <c r="CI74" t="e">
        <f>'SurveyRpt_20150223 (1)'!X458+"h_l!%H5"</f>
        <v>#VALUE!</v>
      </c>
      <c r="CJ74" t="e">
        <f>'SurveyRpt_20150223 (1)'!Y458+"h_l!%H6"</f>
        <v>#VALUE!</v>
      </c>
      <c r="CK74" t="e">
        <f>'SurveyRpt_20150223 (1)'!Z458+"h_l!%H7"</f>
        <v>#VALUE!</v>
      </c>
      <c r="CL74" t="e">
        <f>'SurveyRpt_20150223 (1)'!AA458+"h_l!%H8"</f>
        <v>#VALUE!</v>
      </c>
      <c r="CM74" t="e">
        <f>'SurveyRpt_20150223 (1)'!AB458+"h_l!%H9"</f>
        <v>#VALUE!</v>
      </c>
      <c r="CN74" t="e">
        <f>'SurveyRpt_20150223 (1)'!AC458+"h_l!%H:"</f>
        <v>#VALUE!</v>
      </c>
      <c r="CO74" t="e">
        <f>'SurveyRpt_20150223 (1)'!AD458+"h_l!%H;"</f>
        <v>#VALUE!</v>
      </c>
      <c r="CP74" t="e">
        <f>'SurveyRpt_20150223 (1)'!AE458+"h_l!%H&lt;"</f>
        <v>#VALUE!</v>
      </c>
      <c r="CQ74" t="e">
        <f>'SurveyRpt_20150223 (1)'!AF458+"h_l!%H="</f>
        <v>#VALUE!</v>
      </c>
      <c r="CR74" t="e">
        <f>'SurveyRpt_20150223 (1)'!AG458+"h_l!%H&gt;"</f>
        <v>#VALUE!</v>
      </c>
      <c r="CS74" t="e">
        <f>'SurveyRpt_20150223 (1)'!AH458+"h_l!%H?"</f>
        <v>#VALUE!</v>
      </c>
      <c r="CT74" t="e">
        <f>'SurveyRpt_20150223 (1)'!AI458+"h_l!%H@"</f>
        <v>#VALUE!</v>
      </c>
      <c r="CU74" t="e">
        <f>'SurveyRpt_20150223 (1)'!AJ458+"h_l!%HA"</f>
        <v>#VALUE!</v>
      </c>
      <c r="CV74" t="e">
        <f>'SurveyRpt_20150223 (1)'!AK458+"h_l!%HB"</f>
        <v>#VALUE!</v>
      </c>
      <c r="CW74" t="e">
        <f>'SurveyRpt_20150223 (1)'!AL458+"h_l!%HC"</f>
        <v>#VALUE!</v>
      </c>
      <c r="CX74" t="e">
        <f>'SurveyRpt_20150223 (1)'!AM458+"h_l!%HD"</f>
        <v>#VALUE!</v>
      </c>
      <c r="CY74" t="e">
        <f>'SurveyRpt_20150223 (1)'!AN458+"h_l!%HE"</f>
        <v>#VALUE!</v>
      </c>
      <c r="CZ74" t="e">
        <f>'SurveyRpt_20150223 (1)'!A459+"h_l!%HF"</f>
        <v>#VALUE!</v>
      </c>
      <c r="DA74" s="25" t="e">
        <f>'SurveyRpt_20150223 (1)'!B459+"h_l!%HG"</f>
        <v>#VALUE!</v>
      </c>
      <c r="DB74" t="e">
        <f>'SurveyRpt_20150223 (1)'!C459+"h_l!%HH"</f>
        <v>#VALUE!</v>
      </c>
      <c r="DC74" s="25" t="e">
        <f>'SurveyRpt_20150223 (1)'!D459+"h_l!%HI"</f>
        <v>#VALUE!</v>
      </c>
      <c r="DD74" t="e">
        <f>'SurveyRpt_20150223 (1)'!E459+"h_l!%HJ"</f>
        <v>#VALUE!</v>
      </c>
      <c r="DE74" t="e">
        <f>'SurveyRpt_20150223 (1)'!F459+"h_l!%HK"</f>
        <v>#VALUE!</v>
      </c>
      <c r="DF74" t="e">
        <f>'SurveyRpt_20150223 (1)'!G459+"h_l!%HL"</f>
        <v>#VALUE!</v>
      </c>
      <c r="DG74" t="e">
        <f>'SurveyRpt_20150223 (1)'!H459+"h_l!%HM"</f>
        <v>#VALUE!</v>
      </c>
      <c r="DH74" t="e">
        <f>'SurveyRpt_20150223 (1)'!I459+"h_l!%HN"</f>
        <v>#VALUE!</v>
      </c>
      <c r="DI74" t="e">
        <f>'SurveyRpt_20150223 (1)'!J459+"h_l!%HO"</f>
        <v>#VALUE!</v>
      </c>
      <c r="DJ74" t="e">
        <f>'SurveyRpt_20150223 (1)'!K459+"h_l!%HP"</f>
        <v>#VALUE!</v>
      </c>
      <c r="DK74" t="e">
        <f>'SurveyRpt_20150223 (1)'!L459+"h_l!%HQ"</f>
        <v>#VALUE!</v>
      </c>
      <c r="DL74" t="e">
        <f>'SurveyRpt_20150223 (1)'!M459+"h_l!%HR"</f>
        <v>#VALUE!</v>
      </c>
      <c r="DM74" t="e">
        <f>'SurveyRpt_20150223 (1)'!N459+"h_l!%HS"</f>
        <v>#VALUE!</v>
      </c>
      <c r="DN74" t="e">
        <f>'SurveyRpt_20150223 (1)'!O459+"h_l!%HT"</f>
        <v>#VALUE!</v>
      </c>
      <c r="DO74" t="e">
        <f>'SurveyRpt_20150223 (1)'!P459+"h_l!%HU"</f>
        <v>#VALUE!</v>
      </c>
      <c r="DP74" t="e">
        <f>'SurveyRpt_20150223 (1)'!Q459+"h_l!%HV"</f>
        <v>#VALUE!</v>
      </c>
      <c r="DQ74" t="e">
        <f>'SurveyRpt_20150223 (1)'!R459+"h_l!%HW"</f>
        <v>#VALUE!</v>
      </c>
      <c r="DR74" t="e">
        <f>'SurveyRpt_20150223 (1)'!S459+"h_l!%HX"</f>
        <v>#VALUE!</v>
      </c>
      <c r="DS74" t="e">
        <f>'SurveyRpt_20150223 (1)'!T459+"h_l!%HY"</f>
        <v>#VALUE!</v>
      </c>
      <c r="DT74" t="e">
        <f>'SurveyRpt_20150223 (1)'!U459+"h_l!%HZ"</f>
        <v>#VALUE!</v>
      </c>
      <c r="DU74" t="e">
        <f>'SurveyRpt_20150223 (1)'!V459+"h_l!%H["</f>
        <v>#VALUE!</v>
      </c>
      <c r="DV74" t="e">
        <f>'SurveyRpt_20150223 (1)'!W459+"h_l!%H\"</f>
        <v>#VALUE!</v>
      </c>
      <c r="DW74" t="e">
        <f>'SurveyRpt_20150223 (1)'!X459+"h_l!%H]"</f>
        <v>#VALUE!</v>
      </c>
      <c r="DX74" t="e">
        <f>'SurveyRpt_20150223 (1)'!Y459+"h_l!%H^"</f>
        <v>#VALUE!</v>
      </c>
      <c r="DY74" t="e">
        <f>'SurveyRpt_20150223 (1)'!Z459+"h_l!%H_"</f>
        <v>#VALUE!</v>
      </c>
      <c r="DZ74" t="e">
        <f>'SurveyRpt_20150223 (1)'!AA459+"h_l!%H`"</f>
        <v>#VALUE!</v>
      </c>
      <c r="EA74" t="e">
        <f>'SurveyRpt_20150223 (1)'!AB459+"h_l!%Ha"</f>
        <v>#VALUE!</v>
      </c>
      <c r="EB74" t="e">
        <f>'SurveyRpt_20150223 (1)'!AC459+"h_l!%Hb"</f>
        <v>#VALUE!</v>
      </c>
      <c r="EC74" t="e">
        <f>'SurveyRpt_20150223 (1)'!AD459+"h_l!%Hc"</f>
        <v>#VALUE!</v>
      </c>
      <c r="ED74" t="e">
        <f>'SurveyRpt_20150223 (1)'!AE459+"h_l!%Hd"</f>
        <v>#VALUE!</v>
      </c>
      <c r="EE74" t="e">
        <f>'SurveyRpt_20150223 (1)'!AF459+"h_l!%He"</f>
        <v>#VALUE!</v>
      </c>
      <c r="EF74" t="e">
        <f>'SurveyRpt_20150223 (1)'!AG459+"h_l!%Hf"</f>
        <v>#VALUE!</v>
      </c>
      <c r="EG74" t="e">
        <f>'SurveyRpt_20150223 (1)'!AH459+"h_l!%Hg"</f>
        <v>#VALUE!</v>
      </c>
      <c r="EH74" t="e">
        <f>'SurveyRpt_20150223 (1)'!AI459+"h_l!%Hh"</f>
        <v>#VALUE!</v>
      </c>
      <c r="EI74" t="e">
        <f>'SurveyRpt_20150223 (1)'!AJ459+"h_l!%Hi"</f>
        <v>#VALUE!</v>
      </c>
      <c r="EJ74" t="e">
        <f>'SurveyRpt_20150223 (1)'!AK459+"h_l!%Hj"</f>
        <v>#VALUE!</v>
      </c>
      <c r="EK74" t="e">
        <f>'SurveyRpt_20150223 (1)'!AL459+"h_l!%Hk"</f>
        <v>#VALUE!</v>
      </c>
      <c r="EL74" t="e">
        <f>'SurveyRpt_20150223 (1)'!AM459+"h_l!%Hl"</f>
        <v>#VALUE!</v>
      </c>
      <c r="EM74" t="e">
        <f>'SurveyRpt_20150223 (1)'!AN459+"h_l!%Hm"</f>
        <v>#VALUE!</v>
      </c>
      <c r="EN74" t="e">
        <f>'SurveyRpt_20150223 (1)'!A460+"h_l!%Hn"</f>
        <v>#VALUE!</v>
      </c>
      <c r="EO74" s="25" t="e">
        <f>'SurveyRpt_20150223 (1)'!B460+"h_l!%Ho"</f>
        <v>#VALUE!</v>
      </c>
      <c r="EP74" t="e">
        <f>'SurveyRpt_20150223 (1)'!C460+"h_l!%Hp"</f>
        <v>#VALUE!</v>
      </c>
      <c r="EQ74" s="25" t="e">
        <f>'SurveyRpt_20150223 (1)'!D460+"h_l!%Hq"</f>
        <v>#VALUE!</v>
      </c>
      <c r="ER74" t="e">
        <f>'SurveyRpt_20150223 (1)'!E460+"h_l!%Hr"</f>
        <v>#VALUE!</v>
      </c>
      <c r="ES74" t="e">
        <f>'SurveyRpt_20150223 (1)'!F460+"h_l!%Hs"</f>
        <v>#VALUE!</v>
      </c>
      <c r="ET74" t="e">
        <f>'SurveyRpt_20150223 (1)'!G460+"h_l!%Ht"</f>
        <v>#VALUE!</v>
      </c>
      <c r="EU74" t="e">
        <f>'SurveyRpt_20150223 (1)'!H460+"h_l!%Hu"</f>
        <v>#VALUE!</v>
      </c>
      <c r="EV74" t="e">
        <f>'SurveyRpt_20150223 (1)'!I460+"h_l!%Hv"</f>
        <v>#VALUE!</v>
      </c>
      <c r="EW74" t="e">
        <f>'SurveyRpt_20150223 (1)'!J460+"h_l!%Hw"</f>
        <v>#VALUE!</v>
      </c>
      <c r="EX74" t="e">
        <f>'SurveyRpt_20150223 (1)'!K460+"h_l!%Hx"</f>
        <v>#VALUE!</v>
      </c>
      <c r="EY74" t="e">
        <f>'SurveyRpt_20150223 (1)'!L460+"h_l!%Hy"</f>
        <v>#VALUE!</v>
      </c>
      <c r="EZ74" t="e">
        <f>'SurveyRpt_20150223 (1)'!M460+"h_l!%Hz"</f>
        <v>#VALUE!</v>
      </c>
      <c r="FA74" t="e">
        <f>'SurveyRpt_20150223 (1)'!N460+"h_l!%H{"</f>
        <v>#VALUE!</v>
      </c>
      <c r="FB74" t="e">
        <f>'SurveyRpt_20150223 (1)'!O460+"h_l!%H|"</f>
        <v>#VALUE!</v>
      </c>
      <c r="FC74" t="e">
        <f>'SurveyRpt_20150223 (1)'!P460+"h_l!%H}"</f>
        <v>#VALUE!</v>
      </c>
      <c r="FD74" t="e">
        <f>'SurveyRpt_20150223 (1)'!Q460+"h_l!%H~"</f>
        <v>#VALUE!</v>
      </c>
      <c r="FE74" t="e">
        <f>'SurveyRpt_20150223 (1)'!R460+"h_l!%I#"</f>
        <v>#VALUE!</v>
      </c>
      <c r="FF74" t="e">
        <f>'SurveyRpt_20150223 (1)'!S460+"h_l!%I$"</f>
        <v>#VALUE!</v>
      </c>
      <c r="FG74" t="e">
        <f>'SurveyRpt_20150223 (1)'!T460+"h_l!%I%"</f>
        <v>#VALUE!</v>
      </c>
      <c r="FH74" t="e">
        <f>'SurveyRpt_20150223 (1)'!U460+"h_l!%I&amp;"</f>
        <v>#VALUE!</v>
      </c>
      <c r="FI74" t="e">
        <f>'SurveyRpt_20150223 (1)'!V460+"h_l!%I'"</f>
        <v>#VALUE!</v>
      </c>
      <c r="FJ74" t="e">
        <f>'SurveyRpt_20150223 (1)'!W460+"h_l!%I("</f>
        <v>#VALUE!</v>
      </c>
      <c r="FK74" t="e">
        <f>'SurveyRpt_20150223 (1)'!X460+"h_l!%I)"</f>
        <v>#VALUE!</v>
      </c>
      <c r="FL74" t="e">
        <f>'SurveyRpt_20150223 (1)'!Y460+"h_l!%I."</f>
        <v>#VALUE!</v>
      </c>
      <c r="FM74" t="e">
        <f>'SurveyRpt_20150223 (1)'!Z460+"h_l!%I/"</f>
        <v>#VALUE!</v>
      </c>
      <c r="FN74" t="e">
        <f>'SurveyRpt_20150223 (1)'!AA460+"h_l!%I0"</f>
        <v>#VALUE!</v>
      </c>
      <c r="FO74" t="e">
        <f>'SurveyRpt_20150223 (1)'!AB460+"h_l!%I1"</f>
        <v>#VALUE!</v>
      </c>
      <c r="FP74" t="e">
        <f>'SurveyRpt_20150223 (1)'!AC460+"h_l!%I2"</f>
        <v>#VALUE!</v>
      </c>
      <c r="FQ74" t="e">
        <f>'SurveyRpt_20150223 (1)'!AD460+"h_l!%I3"</f>
        <v>#VALUE!</v>
      </c>
      <c r="FR74" t="e">
        <f>'SurveyRpt_20150223 (1)'!AE460+"h_l!%I4"</f>
        <v>#VALUE!</v>
      </c>
      <c r="FS74" t="e">
        <f>'SurveyRpt_20150223 (1)'!AF460+"h_l!%I5"</f>
        <v>#VALUE!</v>
      </c>
      <c r="FT74" t="e">
        <f>'SurveyRpt_20150223 (1)'!AG460+"h_l!%I6"</f>
        <v>#VALUE!</v>
      </c>
      <c r="FU74" t="e">
        <f>'SurveyRpt_20150223 (1)'!AH460+"h_l!%I7"</f>
        <v>#VALUE!</v>
      </c>
      <c r="FV74" t="e">
        <f>'SurveyRpt_20150223 (1)'!AI460+"h_l!%I8"</f>
        <v>#VALUE!</v>
      </c>
      <c r="FW74" t="e">
        <f>'SurveyRpt_20150223 (1)'!AJ460+"h_l!%I9"</f>
        <v>#VALUE!</v>
      </c>
      <c r="FX74" t="e">
        <f>'SurveyRpt_20150223 (1)'!AK460+"h_l!%I:"</f>
        <v>#VALUE!</v>
      </c>
      <c r="FY74" t="e">
        <f>'SurveyRpt_20150223 (1)'!AL460+"h_l!%I;"</f>
        <v>#VALUE!</v>
      </c>
      <c r="FZ74" t="e">
        <f>'SurveyRpt_20150223 (1)'!AM460+"h_l!%I&lt;"</f>
        <v>#VALUE!</v>
      </c>
      <c r="GA74" t="e">
        <f>'SurveyRpt_20150223 (1)'!AN460+"h_l!%I="</f>
        <v>#VALUE!</v>
      </c>
      <c r="GB74" t="e">
        <f>'SurveyRpt_20150223 (1)'!A461+"h_l!%I&gt;"</f>
        <v>#VALUE!</v>
      </c>
      <c r="GC74" s="25" t="e">
        <f>'SurveyRpt_20150223 (1)'!B461+"h_l!%I?"</f>
        <v>#VALUE!</v>
      </c>
      <c r="GD74" t="e">
        <f>'SurveyRpt_20150223 (1)'!C461+"h_l!%I@"</f>
        <v>#VALUE!</v>
      </c>
      <c r="GE74" s="25" t="e">
        <f>'SurveyRpt_20150223 (1)'!D461+"h_l!%IA"</f>
        <v>#VALUE!</v>
      </c>
      <c r="GF74" t="e">
        <f>'SurveyRpt_20150223 (1)'!E461+"h_l!%IB"</f>
        <v>#VALUE!</v>
      </c>
      <c r="GG74" t="e">
        <f>'SurveyRpt_20150223 (1)'!F461+"h_l!%IC"</f>
        <v>#VALUE!</v>
      </c>
      <c r="GH74" t="e">
        <f>'SurveyRpt_20150223 (1)'!G461+"h_l!%ID"</f>
        <v>#VALUE!</v>
      </c>
      <c r="GI74" t="e">
        <f>'SurveyRpt_20150223 (1)'!H461+"h_l!%IE"</f>
        <v>#VALUE!</v>
      </c>
      <c r="GJ74" t="e">
        <f>'SurveyRpt_20150223 (1)'!I461+"h_l!%IF"</f>
        <v>#VALUE!</v>
      </c>
      <c r="GK74" t="e">
        <f>'SurveyRpt_20150223 (1)'!J461+"h_l!%IG"</f>
        <v>#VALUE!</v>
      </c>
      <c r="GL74" t="e">
        <f>'SurveyRpt_20150223 (1)'!K461+"h_l!%IH"</f>
        <v>#VALUE!</v>
      </c>
      <c r="GM74" t="e">
        <f>'SurveyRpt_20150223 (1)'!L461+"h_l!%II"</f>
        <v>#VALUE!</v>
      </c>
      <c r="GN74" t="e">
        <f>'SurveyRpt_20150223 (1)'!M461+"h_l!%IJ"</f>
        <v>#VALUE!</v>
      </c>
      <c r="GO74" t="e">
        <f>'SurveyRpt_20150223 (1)'!N461+"h_l!%IK"</f>
        <v>#VALUE!</v>
      </c>
      <c r="GP74" t="e">
        <f>'SurveyRpt_20150223 (1)'!O461+"h_l!%IL"</f>
        <v>#VALUE!</v>
      </c>
      <c r="GQ74" t="e">
        <f>'SurveyRpt_20150223 (1)'!P461+"h_l!%IM"</f>
        <v>#VALUE!</v>
      </c>
      <c r="GR74" t="e">
        <f>'SurveyRpt_20150223 (1)'!Q461+"h_l!%IN"</f>
        <v>#VALUE!</v>
      </c>
      <c r="GS74" t="e">
        <f>'SurveyRpt_20150223 (1)'!R461+"h_l!%IO"</f>
        <v>#VALUE!</v>
      </c>
      <c r="GT74" t="e">
        <f>'SurveyRpt_20150223 (1)'!S461+"h_l!%IP"</f>
        <v>#VALUE!</v>
      </c>
      <c r="GU74" t="e">
        <f>'SurveyRpt_20150223 (1)'!T461+"h_l!%IQ"</f>
        <v>#VALUE!</v>
      </c>
      <c r="GV74" t="e">
        <f>'SurveyRpt_20150223 (1)'!U461+"h_l!%IR"</f>
        <v>#VALUE!</v>
      </c>
      <c r="GW74" t="e">
        <f>'SurveyRpt_20150223 (1)'!V461+"h_l!%IS"</f>
        <v>#VALUE!</v>
      </c>
      <c r="GX74" t="e">
        <f>'SurveyRpt_20150223 (1)'!W461+"h_l!%IT"</f>
        <v>#VALUE!</v>
      </c>
      <c r="GY74" t="e">
        <f>'SurveyRpt_20150223 (1)'!X461+"h_l!%IU"</f>
        <v>#VALUE!</v>
      </c>
      <c r="GZ74" t="e">
        <f>'SurveyRpt_20150223 (1)'!Y461+"h_l!%IV"</f>
        <v>#VALUE!</v>
      </c>
      <c r="HA74" t="e">
        <f>'SurveyRpt_20150223 (1)'!Z461+"h_l!%IW"</f>
        <v>#VALUE!</v>
      </c>
      <c r="HB74" t="e">
        <f>'SurveyRpt_20150223 (1)'!AA461+"h_l!%IX"</f>
        <v>#VALUE!</v>
      </c>
      <c r="HC74" t="e">
        <f>'SurveyRpt_20150223 (1)'!AB461+"h_l!%IY"</f>
        <v>#VALUE!</v>
      </c>
      <c r="HD74" t="e">
        <f>'SurveyRpt_20150223 (1)'!AC461+"h_l!%IZ"</f>
        <v>#VALUE!</v>
      </c>
      <c r="HE74" t="e">
        <f>'SurveyRpt_20150223 (1)'!AD461+"h_l!%I["</f>
        <v>#VALUE!</v>
      </c>
      <c r="HF74" t="e">
        <f>'SurveyRpt_20150223 (1)'!AE461+"h_l!%I\"</f>
        <v>#VALUE!</v>
      </c>
      <c r="HG74" t="e">
        <f>'SurveyRpt_20150223 (1)'!AF461+"h_l!%I]"</f>
        <v>#VALUE!</v>
      </c>
      <c r="HH74" t="e">
        <f>'SurveyRpt_20150223 (1)'!AG461+"h_l!%I^"</f>
        <v>#VALUE!</v>
      </c>
      <c r="HI74" t="e">
        <f>'SurveyRpt_20150223 (1)'!AH461+"h_l!%I_"</f>
        <v>#VALUE!</v>
      </c>
      <c r="HJ74" t="e">
        <f>'SurveyRpt_20150223 (1)'!AI461+"h_l!%I`"</f>
        <v>#VALUE!</v>
      </c>
      <c r="HK74" t="e">
        <f>'SurveyRpt_20150223 (1)'!AJ461+"h_l!%Ia"</f>
        <v>#VALUE!</v>
      </c>
      <c r="HL74" t="e">
        <f>'SurveyRpt_20150223 (1)'!AK461+"h_l!%Ib"</f>
        <v>#VALUE!</v>
      </c>
      <c r="HM74" t="e">
        <f>'SurveyRpt_20150223 (1)'!AL461+"h_l!%Ic"</f>
        <v>#VALUE!</v>
      </c>
      <c r="HN74" t="e">
        <f>'SurveyRpt_20150223 (1)'!AM461+"h_l!%Id"</f>
        <v>#VALUE!</v>
      </c>
      <c r="HO74" t="e">
        <f>'SurveyRpt_20150223 (1)'!AN461+"h_l!%Ie"</f>
        <v>#VALUE!</v>
      </c>
      <c r="HP74" t="e">
        <f>'SurveyRpt_20150223 (1)'!A462+"h_l!%If"</f>
        <v>#VALUE!</v>
      </c>
      <c r="HQ74" s="25" t="e">
        <f>'SurveyRpt_20150223 (1)'!B462+"h_l!%Ig"</f>
        <v>#VALUE!</v>
      </c>
      <c r="HR74" t="e">
        <f>'SurveyRpt_20150223 (1)'!C462+"h_l!%Ih"</f>
        <v>#VALUE!</v>
      </c>
      <c r="HS74" s="25" t="e">
        <f>'SurveyRpt_20150223 (1)'!D462+"h_l!%Ii"</f>
        <v>#VALUE!</v>
      </c>
      <c r="HT74" t="e">
        <f>'SurveyRpt_20150223 (1)'!E462+"h_l!%Ij"</f>
        <v>#VALUE!</v>
      </c>
      <c r="HU74" t="e">
        <f>'SurveyRpt_20150223 (1)'!F462+"h_l!%Ik"</f>
        <v>#VALUE!</v>
      </c>
      <c r="HV74" t="e">
        <f>'SurveyRpt_20150223 (1)'!G462+"h_l!%Il"</f>
        <v>#VALUE!</v>
      </c>
      <c r="HW74" t="e">
        <f>'SurveyRpt_20150223 (1)'!H462+"h_l!%Im"</f>
        <v>#VALUE!</v>
      </c>
      <c r="HX74" t="e">
        <f>'SurveyRpt_20150223 (1)'!I462+"h_l!%In"</f>
        <v>#VALUE!</v>
      </c>
      <c r="HY74" t="e">
        <f>'SurveyRpt_20150223 (1)'!J462+"h_l!%Io"</f>
        <v>#VALUE!</v>
      </c>
      <c r="HZ74" t="e">
        <f>'SurveyRpt_20150223 (1)'!K462+"h_l!%Ip"</f>
        <v>#VALUE!</v>
      </c>
      <c r="IA74" t="e">
        <f>'SurveyRpt_20150223 (1)'!L462+"h_l!%Iq"</f>
        <v>#VALUE!</v>
      </c>
      <c r="IB74" t="e">
        <f>'SurveyRpt_20150223 (1)'!M462+"h_l!%Ir"</f>
        <v>#VALUE!</v>
      </c>
      <c r="IC74" t="e">
        <f>'SurveyRpt_20150223 (1)'!N462+"h_l!%Is"</f>
        <v>#VALUE!</v>
      </c>
      <c r="ID74" t="e">
        <f>'SurveyRpt_20150223 (1)'!O462+"h_l!%It"</f>
        <v>#VALUE!</v>
      </c>
      <c r="IE74" t="e">
        <f>'SurveyRpt_20150223 (1)'!P462+"h_l!%Iu"</f>
        <v>#VALUE!</v>
      </c>
      <c r="IF74" t="e">
        <f>'SurveyRpt_20150223 (1)'!Q462+"h_l!%Iv"</f>
        <v>#VALUE!</v>
      </c>
      <c r="IG74" t="e">
        <f>'SurveyRpt_20150223 (1)'!R462+"h_l!%Iw"</f>
        <v>#VALUE!</v>
      </c>
      <c r="IH74" t="e">
        <f>'SurveyRpt_20150223 (1)'!S462+"h_l!%Ix"</f>
        <v>#VALUE!</v>
      </c>
      <c r="II74" t="e">
        <f>'SurveyRpt_20150223 (1)'!T462+"h_l!%Iy"</f>
        <v>#VALUE!</v>
      </c>
      <c r="IJ74" t="e">
        <f>'SurveyRpt_20150223 (1)'!U462+"h_l!%Iz"</f>
        <v>#VALUE!</v>
      </c>
      <c r="IK74" t="e">
        <f>'SurveyRpt_20150223 (1)'!V462+"h_l!%I{"</f>
        <v>#VALUE!</v>
      </c>
      <c r="IL74" t="e">
        <f>'SurveyRpt_20150223 (1)'!W462+"h_l!%I|"</f>
        <v>#VALUE!</v>
      </c>
      <c r="IM74" t="e">
        <f>'SurveyRpt_20150223 (1)'!X462+"h_l!%I}"</f>
        <v>#VALUE!</v>
      </c>
      <c r="IN74" t="e">
        <f>'SurveyRpt_20150223 (1)'!Y462+"h_l!%I~"</f>
        <v>#VALUE!</v>
      </c>
      <c r="IO74" t="e">
        <f>'SurveyRpt_20150223 (1)'!Z462+"h_l!%J#"</f>
        <v>#VALUE!</v>
      </c>
      <c r="IP74" t="e">
        <f>'SurveyRpt_20150223 (1)'!AA462+"h_l!%J$"</f>
        <v>#VALUE!</v>
      </c>
      <c r="IQ74" t="e">
        <f>'SurveyRpt_20150223 (1)'!AB462+"h_l!%J%"</f>
        <v>#VALUE!</v>
      </c>
      <c r="IR74" t="e">
        <f>'SurveyRpt_20150223 (1)'!AC462+"h_l!%J&amp;"</f>
        <v>#VALUE!</v>
      </c>
      <c r="IS74" t="e">
        <f>'SurveyRpt_20150223 (1)'!AD462+"h_l!%J'"</f>
        <v>#VALUE!</v>
      </c>
      <c r="IT74" t="e">
        <f>'SurveyRpt_20150223 (1)'!AE462+"h_l!%J("</f>
        <v>#VALUE!</v>
      </c>
      <c r="IU74" t="e">
        <f>'SurveyRpt_20150223 (1)'!AF462+"h_l!%J)"</f>
        <v>#VALUE!</v>
      </c>
      <c r="IV74" t="e">
        <f>'SurveyRpt_20150223 (1)'!AG462+"h_l!%J."</f>
        <v>#VALUE!</v>
      </c>
    </row>
    <row r="75" spans="6:256" x14ac:dyDescent="0.25">
      <c r="F75" t="e">
        <f>'SurveyRpt_20150223 (1)'!AH462+"h_l!%J/"</f>
        <v>#VALUE!</v>
      </c>
      <c r="G75" t="e">
        <f>'SurveyRpt_20150223 (1)'!AI462+"h_l!%J0"</f>
        <v>#VALUE!</v>
      </c>
      <c r="H75" t="e">
        <f>'SurveyRpt_20150223 (1)'!AJ462+"h_l!%J1"</f>
        <v>#VALUE!</v>
      </c>
      <c r="I75" t="e">
        <f>'SurveyRpt_20150223 (1)'!AK462+"h_l!%J2"</f>
        <v>#VALUE!</v>
      </c>
      <c r="J75" t="e">
        <f>'SurveyRpt_20150223 (1)'!AL462+"h_l!%J3"</f>
        <v>#VALUE!</v>
      </c>
      <c r="K75" t="e">
        <f>'SurveyRpt_20150223 (1)'!AM462+"h_l!%J4"</f>
        <v>#VALUE!</v>
      </c>
      <c r="L75" t="e">
        <f>'SurveyRpt_20150223 (1)'!AN462+"h_l!%J5"</f>
        <v>#VALUE!</v>
      </c>
      <c r="M75" t="e">
        <f>'SurveyRpt_20150223 (1)'!A463+"h_l!%J6"</f>
        <v>#VALUE!</v>
      </c>
      <c r="N75" s="25" t="e">
        <f>'SurveyRpt_20150223 (1)'!B463+"h_l!%J7"</f>
        <v>#VALUE!</v>
      </c>
      <c r="O75" t="e">
        <f>'SurveyRpt_20150223 (1)'!C463+"h_l!%J8"</f>
        <v>#VALUE!</v>
      </c>
      <c r="P75" s="25" t="e">
        <f>'SurveyRpt_20150223 (1)'!D463+"h_l!%J9"</f>
        <v>#VALUE!</v>
      </c>
      <c r="Q75" t="e">
        <f>'SurveyRpt_20150223 (1)'!E463+"h_l!%J:"</f>
        <v>#VALUE!</v>
      </c>
      <c r="R75" t="e">
        <f>'SurveyRpt_20150223 (1)'!F463+"h_l!%J;"</f>
        <v>#VALUE!</v>
      </c>
      <c r="S75" t="e">
        <f>'SurveyRpt_20150223 (1)'!G463+"h_l!%J&lt;"</f>
        <v>#VALUE!</v>
      </c>
      <c r="T75" t="e">
        <f>'SurveyRpt_20150223 (1)'!H463+"h_l!%J="</f>
        <v>#VALUE!</v>
      </c>
      <c r="U75" t="e">
        <f>'SurveyRpt_20150223 (1)'!I463+"h_l!%J&gt;"</f>
        <v>#VALUE!</v>
      </c>
      <c r="V75" t="e">
        <f>'SurveyRpt_20150223 (1)'!J463+"h_l!%J?"</f>
        <v>#VALUE!</v>
      </c>
      <c r="W75" t="e">
        <f>'SurveyRpt_20150223 (1)'!K463+"h_l!%J@"</f>
        <v>#VALUE!</v>
      </c>
      <c r="X75" t="e">
        <f>'SurveyRpt_20150223 (1)'!L463+"h_l!%JA"</f>
        <v>#VALUE!</v>
      </c>
      <c r="Y75" t="e">
        <f>'SurveyRpt_20150223 (1)'!M463+"h_l!%JB"</f>
        <v>#VALUE!</v>
      </c>
      <c r="Z75" t="e">
        <f>'SurveyRpt_20150223 (1)'!N463+"h_l!%JC"</f>
        <v>#VALUE!</v>
      </c>
      <c r="AA75" t="e">
        <f>'SurveyRpt_20150223 (1)'!O463+"h_l!%JD"</f>
        <v>#VALUE!</v>
      </c>
      <c r="AB75" t="e">
        <f>'SurveyRpt_20150223 (1)'!P463+"h_l!%JE"</f>
        <v>#VALUE!</v>
      </c>
      <c r="AC75" t="e">
        <f>'SurveyRpt_20150223 (1)'!Q463+"h_l!%JF"</f>
        <v>#VALUE!</v>
      </c>
      <c r="AD75" t="e">
        <f>'SurveyRpt_20150223 (1)'!R463+"h_l!%JG"</f>
        <v>#VALUE!</v>
      </c>
      <c r="AE75" t="e">
        <f>'SurveyRpt_20150223 (1)'!S463+"h_l!%JH"</f>
        <v>#VALUE!</v>
      </c>
      <c r="AF75" t="e">
        <f>'SurveyRpt_20150223 (1)'!T463+"h_l!%JI"</f>
        <v>#VALUE!</v>
      </c>
      <c r="AG75" t="e">
        <f>'SurveyRpt_20150223 (1)'!U463+"h_l!%JJ"</f>
        <v>#VALUE!</v>
      </c>
      <c r="AH75" t="e">
        <f>'SurveyRpt_20150223 (1)'!V463+"h_l!%JK"</f>
        <v>#VALUE!</v>
      </c>
      <c r="AI75" t="e">
        <f>'SurveyRpt_20150223 (1)'!W463+"h_l!%JL"</f>
        <v>#VALUE!</v>
      </c>
      <c r="AJ75" t="e">
        <f>'SurveyRpt_20150223 (1)'!X463+"h_l!%JM"</f>
        <v>#VALUE!</v>
      </c>
      <c r="AK75" t="e">
        <f>'SurveyRpt_20150223 (1)'!Y463+"h_l!%JN"</f>
        <v>#VALUE!</v>
      </c>
      <c r="AL75" t="e">
        <f>'SurveyRpt_20150223 (1)'!Z463+"h_l!%JO"</f>
        <v>#VALUE!</v>
      </c>
      <c r="AM75" t="e">
        <f>'SurveyRpt_20150223 (1)'!AA463+"h_l!%JP"</f>
        <v>#VALUE!</v>
      </c>
      <c r="AN75" t="e">
        <f>'SurveyRpt_20150223 (1)'!AB463+"h_l!%JQ"</f>
        <v>#VALUE!</v>
      </c>
      <c r="AO75" t="e">
        <f>'SurveyRpt_20150223 (1)'!AC463+"h_l!%JR"</f>
        <v>#VALUE!</v>
      </c>
      <c r="AP75" t="e">
        <f>'SurveyRpt_20150223 (1)'!AD463+"h_l!%JS"</f>
        <v>#VALUE!</v>
      </c>
      <c r="AQ75" t="e">
        <f>'SurveyRpt_20150223 (1)'!AE463+"h_l!%JT"</f>
        <v>#VALUE!</v>
      </c>
      <c r="AR75" t="e">
        <f>'SurveyRpt_20150223 (1)'!AF463+"h_l!%JU"</f>
        <v>#VALUE!</v>
      </c>
      <c r="AS75" t="e">
        <f>'SurveyRpt_20150223 (1)'!AG463+"h_l!%JV"</f>
        <v>#VALUE!</v>
      </c>
      <c r="AT75" t="e">
        <f>'SurveyRpt_20150223 (1)'!AH463+"h_l!%JW"</f>
        <v>#VALUE!</v>
      </c>
      <c r="AU75" t="e">
        <f>'SurveyRpt_20150223 (1)'!AI463+"h_l!%JX"</f>
        <v>#VALUE!</v>
      </c>
      <c r="AV75" t="e">
        <f>'SurveyRpt_20150223 (1)'!AJ463+"h_l!%JY"</f>
        <v>#VALUE!</v>
      </c>
      <c r="AW75" t="e">
        <f>'SurveyRpt_20150223 (1)'!AK463+"h_l!%JZ"</f>
        <v>#VALUE!</v>
      </c>
      <c r="AX75" t="e">
        <f>'SurveyRpt_20150223 (1)'!AL463+"h_l!%J["</f>
        <v>#VALUE!</v>
      </c>
      <c r="AY75" t="e">
        <f>'SurveyRpt_20150223 (1)'!AM463+"h_l!%J\"</f>
        <v>#VALUE!</v>
      </c>
      <c r="AZ75" t="e">
        <f>'SurveyRpt_20150223 (1)'!AN463+"h_l!%J]"</f>
        <v>#VALUE!</v>
      </c>
      <c r="BA75" t="e">
        <f>'SurveyRpt_20150223 (1)'!A464+"h_l!%J^"</f>
        <v>#VALUE!</v>
      </c>
      <c r="BB75" s="25" t="e">
        <f>'SurveyRpt_20150223 (1)'!B464+"h_l!%J_"</f>
        <v>#VALUE!</v>
      </c>
      <c r="BC75" t="e">
        <f>'SurveyRpt_20150223 (1)'!C464+"h_l!%J`"</f>
        <v>#VALUE!</v>
      </c>
      <c r="BD75" s="25" t="e">
        <f>'SurveyRpt_20150223 (1)'!D464+"h_l!%Ja"</f>
        <v>#VALUE!</v>
      </c>
      <c r="BE75" t="e">
        <f>'SurveyRpt_20150223 (1)'!E464+"h_l!%Jb"</f>
        <v>#VALUE!</v>
      </c>
      <c r="BF75" t="e">
        <f>'SurveyRpt_20150223 (1)'!F464+"h_l!%Jc"</f>
        <v>#VALUE!</v>
      </c>
      <c r="BG75" t="e">
        <f>'SurveyRpt_20150223 (1)'!G464+"h_l!%Jd"</f>
        <v>#VALUE!</v>
      </c>
      <c r="BH75" t="e">
        <f>'SurveyRpt_20150223 (1)'!H464+"h_l!%Je"</f>
        <v>#VALUE!</v>
      </c>
      <c r="BI75" t="e">
        <f>'SurveyRpt_20150223 (1)'!I464+"h_l!%Jf"</f>
        <v>#VALUE!</v>
      </c>
      <c r="BJ75" t="e">
        <f>'SurveyRpt_20150223 (1)'!J464+"h_l!%Jg"</f>
        <v>#VALUE!</v>
      </c>
      <c r="BK75" t="e">
        <f>'SurveyRpt_20150223 (1)'!K464+"h_l!%Jh"</f>
        <v>#VALUE!</v>
      </c>
      <c r="BL75" t="e">
        <f>'SurveyRpt_20150223 (1)'!L464+"h_l!%Ji"</f>
        <v>#VALUE!</v>
      </c>
      <c r="BM75" t="e">
        <f>'SurveyRpt_20150223 (1)'!M464+"h_l!%Jj"</f>
        <v>#VALUE!</v>
      </c>
      <c r="BN75" t="e">
        <f>'SurveyRpt_20150223 (1)'!N464+"h_l!%Jk"</f>
        <v>#VALUE!</v>
      </c>
      <c r="BO75" t="e">
        <f>'SurveyRpt_20150223 (1)'!O464+"h_l!%Jl"</f>
        <v>#VALUE!</v>
      </c>
      <c r="BP75" t="e">
        <f>'SurveyRpt_20150223 (1)'!P464+"h_l!%Jm"</f>
        <v>#VALUE!</v>
      </c>
      <c r="BQ75" t="e">
        <f>'SurveyRpt_20150223 (1)'!Q464+"h_l!%Jn"</f>
        <v>#VALUE!</v>
      </c>
      <c r="BR75" t="e">
        <f>'SurveyRpt_20150223 (1)'!R464+"h_l!%Jo"</f>
        <v>#VALUE!</v>
      </c>
      <c r="BS75" t="e">
        <f>'SurveyRpt_20150223 (1)'!S464+"h_l!%Jp"</f>
        <v>#VALUE!</v>
      </c>
      <c r="BT75" t="e">
        <f>'SurveyRpt_20150223 (1)'!T464+"h_l!%Jq"</f>
        <v>#VALUE!</v>
      </c>
      <c r="BU75" t="e">
        <f>'SurveyRpt_20150223 (1)'!U464+"h_l!%Jr"</f>
        <v>#VALUE!</v>
      </c>
      <c r="BV75" t="e">
        <f>'SurveyRpt_20150223 (1)'!V464+"h_l!%Js"</f>
        <v>#VALUE!</v>
      </c>
      <c r="BW75" t="e">
        <f>'SurveyRpt_20150223 (1)'!W464+"h_l!%Jt"</f>
        <v>#VALUE!</v>
      </c>
      <c r="BX75" t="e">
        <f>'SurveyRpt_20150223 (1)'!X464+"h_l!%Ju"</f>
        <v>#VALUE!</v>
      </c>
      <c r="BY75" t="e">
        <f>'SurveyRpt_20150223 (1)'!Y464+"h_l!%Jv"</f>
        <v>#VALUE!</v>
      </c>
      <c r="BZ75" t="e">
        <f>'SurveyRpt_20150223 (1)'!Z464+"h_l!%Jw"</f>
        <v>#VALUE!</v>
      </c>
      <c r="CA75" t="e">
        <f>'SurveyRpt_20150223 (1)'!AA464+"h_l!%Jx"</f>
        <v>#VALUE!</v>
      </c>
      <c r="CB75" t="e">
        <f>'SurveyRpt_20150223 (1)'!AB464+"h_l!%Jy"</f>
        <v>#VALUE!</v>
      </c>
      <c r="CC75" t="e">
        <f>'SurveyRpt_20150223 (1)'!AC464+"h_l!%Jz"</f>
        <v>#VALUE!</v>
      </c>
      <c r="CD75" t="e">
        <f>'SurveyRpt_20150223 (1)'!AD464+"h_l!%J{"</f>
        <v>#VALUE!</v>
      </c>
      <c r="CE75" t="e">
        <f>'SurveyRpt_20150223 (1)'!AE464+"h_l!%J|"</f>
        <v>#VALUE!</v>
      </c>
      <c r="CF75" t="e">
        <f>'SurveyRpt_20150223 (1)'!AF464+"h_l!%J}"</f>
        <v>#VALUE!</v>
      </c>
      <c r="CG75" t="e">
        <f>'SurveyRpt_20150223 (1)'!AG464+"h_l!%J~"</f>
        <v>#VALUE!</v>
      </c>
      <c r="CH75" t="e">
        <f>'SurveyRpt_20150223 (1)'!AH464+"h_l!%K#"</f>
        <v>#VALUE!</v>
      </c>
      <c r="CI75" t="e">
        <f>'SurveyRpt_20150223 (1)'!AI464+"h_l!%K$"</f>
        <v>#VALUE!</v>
      </c>
      <c r="CJ75" t="e">
        <f>'SurveyRpt_20150223 (1)'!AJ464+"h_l!%K%"</f>
        <v>#VALUE!</v>
      </c>
      <c r="CK75" t="e">
        <f>'SurveyRpt_20150223 (1)'!AK464+"h_l!%K&amp;"</f>
        <v>#VALUE!</v>
      </c>
      <c r="CL75" t="e">
        <f>'SurveyRpt_20150223 (1)'!AL464+"h_l!%K'"</f>
        <v>#VALUE!</v>
      </c>
      <c r="CM75" t="e">
        <f>'SurveyRpt_20150223 (1)'!AM464+"h_l!%K("</f>
        <v>#VALUE!</v>
      </c>
      <c r="CN75" t="e">
        <f>'SurveyRpt_20150223 (1)'!AN464+"h_l!%K)"</f>
        <v>#VALUE!</v>
      </c>
      <c r="CO75" t="e">
        <f>'SurveyRpt_20150223 (1)'!A465+"h_l!%K."</f>
        <v>#VALUE!</v>
      </c>
      <c r="CP75" s="25" t="e">
        <f>'SurveyRpt_20150223 (1)'!B465+"h_l!%K/"</f>
        <v>#VALUE!</v>
      </c>
      <c r="CQ75" t="e">
        <f>'SurveyRpt_20150223 (1)'!C465+"h_l!%K0"</f>
        <v>#VALUE!</v>
      </c>
      <c r="CR75" s="25" t="e">
        <f>'SurveyRpt_20150223 (1)'!D465+"h_l!%K1"</f>
        <v>#VALUE!</v>
      </c>
      <c r="CS75" t="e">
        <f>'SurveyRpt_20150223 (1)'!E465+"h_l!%K2"</f>
        <v>#VALUE!</v>
      </c>
      <c r="CT75" t="e">
        <f>'SurveyRpt_20150223 (1)'!F465+"h_l!%K3"</f>
        <v>#VALUE!</v>
      </c>
      <c r="CU75" t="e">
        <f>'SurveyRpt_20150223 (1)'!G465+"h_l!%K4"</f>
        <v>#VALUE!</v>
      </c>
      <c r="CV75" t="e">
        <f>'SurveyRpt_20150223 (1)'!H465+"h_l!%K5"</f>
        <v>#VALUE!</v>
      </c>
      <c r="CW75" t="e">
        <f>'SurveyRpt_20150223 (1)'!I465+"h_l!%K6"</f>
        <v>#VALUE!</v>
      </c>
      <c r="CX75" t="e">
        <f>'SurveyRpt_20150223 (1)'!J465+"h_l!%K7"</f>
        <v>#VALUE!</v>
      </c>
      <c r="CY75" t="e">
        <f>'SurveyRpt_20150223 (1)'!K465+"h_l!%K8"</f>
        <v>#VALUE!</v>
      </c>
      <c r="CZ75" t="e">
        <f>'SurveyRpt_20150223 (1)'!L465+"h_l!%K9"</f>
        <v>#VALUE!</v>
      </c>
      <c r="DA75" t="e">
        <f>'SurveyRpt_20150223 (1)'!M465+"h_l!%K:"</f>
        <v>#VALUE!</v>
      </c>
      <c r="DB75" t="e">
        <f>'SurveyRpt_20150223 (1)'!N465+"h_l!%K;"</f>
        <v>#VALUE!</v>
      </c>
      <c r="DC75" t="e">
        <f>'SurveyRpt_20150223 (1)'!O465+"h_l!%K&lt;"</f>
        <v>#VALUE!</v>
      </c>
      <c r="DD75" t="e">
        <f>'SurveyRpt_20150223 (1)'!P465+"h_l!%K="</f>
        <v>#VALUE!</v>
      </c>
      <c r="DE75" t="e">
        <f>'SurveyRpt_20150223 (1)'!Q465+"h_l!%K&gt;"</f>
        <v>#VALUE!</v>
      </c>
      <c r="DF75" t="e">
        <f>'SurveyRpt_20150223 (1)'!R465+"h_l!%K?"</f>
        <v>#VALUE!</v>
      </c>
      <c r="DG75" t="e">
        <f>'SurveyRpt_20150223 (1)'!S465+"h_l!%K@"</f>
        <v>#VALUE!</v>
      </c>
      <c r="DH75" t="e">
        <f>'SurveyRpt_20150223 (1)'!T465+"h_l!%KA"</f>
        <v>#VALUE!</v>
      </c>
      <c r="DI75" t="e">
        <f>'SurveyRpt_20150223 (1)'!U465+"h_l!%KB"</f>
        <v>#VALUE!</v>
      </c>
      <c r="DJ75" t="e">
        <f>'SurveyRpt_20150223 (1)'!V465+"h_l!%KC"</f>
        <v>#VALUE!</v>
      </c>
      <c r="DK75" t="e">
        <f>'SurveyRpt_20150223 (1)'!W465+"h_l!%KD"</f>
        <v>#VALUE!</v>
      </c>
      <c r="DL75" t="e">
        <f>'SurveyRpt_20150223 (1)'!X465+"h_l!%KE"</f>
        <v>#VALUE!</v>
      </c>
      <c r="DM75" t="e">
        <f>'SurveyRpt_20150223 (1)'!Y465+"h_l!%KF"</f>
        <v>#VALUE!</v>
      </c>
      <c r="DN75" t="e">
        <f>'SurveyRpt_20150223 (1)'!Z465+"h_l!%KG"</f>
        <v>#VALUE!</v>
      </c>
      <c r="DO75" t="e">
        <f>'SurveyRpt_20150223 (1)'!AA465+"h_l!%KH"</f>
        <v>#VALUE!</v>
      </c>
      <c r="DP75" t="e">
        <f>'SurveyRpt_20150223 (1)'!AB465+"h_l!%KI"</f>
        <v>#VALUE!</v>
      </c>
      <c r="DQ75" t="e">
        <f>'SurveyRpt_20150223 (1)'!AC465+"h_l!%KJ"</f>
        <v>#VALUE!</v>
      </c>
      <c r="DR75" t="e">
        <f>'SurveyRpt_20150223 (1)'!AD465+"h_l!%KK"</f>
        <v>#VALUE!</v>
      </c>
      <c r="DS75" t="e">
        <f>'SurveyRpt_20150223 (1)'!AE465+"h_l!%KL"</f>
        <v>#VALUE!</v>
      </c>
      <c r="DT75" t="e">
        <f>'SurveyRpt_20150223 (1)'!AF465+"h_l!%KM"</f>
        <v>#VALUE!</v>
      </c>
      <c r="DU75" t="e">
        <f>'SurveyRpt_20150223 (1)'!AG465+"h_l!%KN"</f>
        <v>#VALUE!</v>
      </c>
      <c r="DV75" t="e">
        <f>'SurveyRpt_20150223 (1)'!AH465+"h_l!%KO"</f>
        <v>#VALUE!</v>
      </c>
      <c r="DW75" t="e">
        <f>'SurveyRpt_20150223 (1)'!AI465+"h_l!%KP"</f>
        <v>#VALUE!</v>
      </c>
      <c r="DX75" t="e">
        <f>'SurveyRpt_20150223 (1)'!AJ465+"h_l!%KQ"</f>
        <v>#VALUE!</v>
      </c>
      <c r="DY75" t="e">
        <f>'SurveyRpt_20150223 (1)'!AK465+"h_l!%KR"</f>
        <v>#VALUE!</v>
      </c>
      <c r="DZ75" t="e">
        <f>'SurveyRpt_20150223 (1)'!AL465+"h_l!%KS"</f>
        <v>#VALUE!</v>
      </c>
      <c r="EA75" t="e">
        <f>'SurveyRpt_20150223 (1)'!AM465+"h_l!%KT"</f>
        <v>#VALUE!</v>
      </c>
      <c r="EB75" t="e">
        <f>'SurveyRpt_20150223 (1)'!AN465+"h_l!%KU"</f>
        <v>#VALUE!</v>
      </c>
      <c r="EC75" t="e">
        <f>'SurveyRpt_20150223 (1)'!A466+"h_l!%KV"</f>
        <v>#VALUE!</v>
      </c>
      <c r="ED75" s="25" t="e">
        <f>'SurveyRpt_20150223 (1)'!B466+"h_l!%KW"</f>
        <v>#VALUE!</v>
      </c>
      <c r="EE75" t="e">
        <f>'SurveyRpt_20150223 (1)'!C466+"h_l!%KX"</f>
        <v>#VALUE!</v>
      </c>
      <c r="EF75" s="25" t="e">
        <f>'SurveyRpt_20150223 (1)'!D466+"h_l!%KY"</f>
        <v>#VALUE!</v>
      </c>
      <c r="EG75" t="e">
        <f>'SurveyRpt_20150223 (1)'!E466+"h_l!%KZ"</f>
        <v>#VALUE!</v>
      </c>
      <c r="EH75" t="e">
        <f>'SurveyRpt_20150223 (1)'!F466+"h_l!%K["</f>
        <v>#VALUE!</v>
      </c>
      <c r="EI75" t="e">
        <f>'SurveyRpt_20150223 (1)'!G466+"h_l!%K\"</f>
        <v>#VALUE!</v>
      </c>
      <c r="EJ75" t="e">
        <f>'SurveyRpt_20150223 (1)'!H466+"h_l!%K]"</f>
        <v>#VALUE!</v>
      </c>
      <c r="EK75" t="e">
        <f>'SurveyRpt_20150223 (1)'!I466+"h_l!%K^"</f>
        <v>#VALUE!</v>
      </c>
      <c r="EL75" t="e">
        <f>'SurveyRpt_20150223 (1)'!J466+"h_l!%K_"</f>
        <v>#VALUE!</v>
      </c>
      <c r="EM75" t="e">
        <f>'SurveyRpt_20150223 (1)'!K466+"h_l!%K`"</f>
        <v>#VALUE!</v>
      </c>
      <c r="EN75" t="e">
        <f>'SurveyRpt_20150223 (1)'!L466+"h_l!%Ka"</f>
        <v>#VALUE!</v>
      </c>
      <c r="EO75" t="e">
        <f>'SurveyRpt_20150223 (1)'!M466+"h_l!%Kb"</f>
        <v>#VALUE!</v>
      </c>
      <c r="EP75" t="e">
        <f>'SurveyRpt_20150223 (1)'!N466+"h_l!%Kc"</f>
        <v>#VALUE!</v>
      </c>
      <c r="EQ75" t="e">
        <f>'SurveyRpt_20150223 (1)'!O466+"h_l!%Kd"</f>
        <v>#VALUE!</v>
      </c>
      <c r="ER75" t="e">
        <f>'SurveyRpt_20150223 (1)'!P466+"h_l!%Ke"</f>
        <v>#VALUE!</v>
      </c>
      <c r="ES75" t="e">
        <f>'SurveyRpt_20150223 (1)'!Q466+"h_l!%Kf"</f>
        <v>#VALUE!</v>
      </c>
      <c r="ET75" t="e">
        <f>'SurveyRpt_20150223 (1)'!R466+"h_l!%Kg"</f>
        <v>#VALUE!</v>
      </c>
      <c r="EU75" t="e">
        <f>'SurveyRpt_20150223 (1)'!S466+"h_l!%Kh"</f>
        <v>#VALUE!</v>
      </c>
      <c r="EV75" t="e">
        <f>'SurveyRpt_20150223 (1)'!T466+"h_l!%Ki"</f>
        <v>#VALUE!</v>
      </c>
      <c r="EW75" t="e">
        <f>'SurveyRpt_20150223 (1)'!U466+"h_l!%Kj"</f>
        <v>#VALUE!</v>
      </c>
      <c r="EX75" t="e">
        <f>'SurveyRpt_20150223 (1)'!V466+"h_l!%Kk"</f>
        <v>#VALUE!</v>
      </c>
      <c r="EY75" t="e">
        <f>'SurveyRpt_20150223 (1)'!W466+"h_l!%Kl"</f>
        <v>#VALUE!</v>
      </c>
      <c r="EZ75" t="e">
        <f>'SurveyRpt_20150223 (1)'!X466+"h_l!%Km"</f>
        <v>#VALUE!</v>
      </c>
      <c r="FA75" t="e">
        <f>'SurveyRpt_20150223 (1)'!Y466+"h_l!%Kn"</f>
        <v>#VALUE!</v>
      </c>
      <c r="FB75" t="e">
        <f>'SurveyRpt_20150223 (1)'!Z466+"h_l!%Ko"</f>
        <v>#VALUE!</v>
      </c>
      <c r="FC75" t="e">
        <f>'SurveyRpt_20150223 (1)'!AA466+"h_l!%Kp"</f>
        <v>#VALUE!</v>
      </c>
      <c r="FD75" t="e">
        <f>'SurveyRpt_20150223 (1)'!AB466+"h_l!%Kq"</f>
        <v>#VALUE!</v>
      </c>
      <c r="FE75" t="e">
        <f>'SurveyRpt_20150223 (1)'!AC466+"h_l!%Kr"</f>
        <v>#VALUE!</v>
      </c>
      <c r="FF75" t="e">
        <f>'SurveyRpt_20150223 (1)'!AD466+"h_l!%Ks"</f>
        <v>#VALUE!</v>
      </c>
      <c r="FG75" t="e">
        <f>'SurveyRpt_20150223 (1)'!AE466+"h_l!%Kt"</f>
        <v>#VALUE!</v>
      </c>
      <c r="FH75" t="e">
        <f>'SurveyRpt_20150223 (1)'!AF466+"h_l!%Ku"</f>
        <v>#VALUE!</v>
      </c>
      <c r="FI75" t="e">
        <f>'SurveyRpt_20150223 (1)'!AG466+"h_l!%Kv"</f>
        <v>#VALUE!</v>
      </c>
      <c r="FJ75" t="e">
        <f>'SurveyRpt_20150223 (1)'!AH466+"h_l!%Kw"</f>
        <v>#VALUE!</v>
      </c>
      <c r="FK75" t="e">
        <f>'SurveyRpt_20150223 (1)'!AI466+"h_l!%Kx"</f>
        <v>#VALUE!</v>
      </c>
      <c r="FL75" t="e">
        <f>'SurveyRpt_20150223 (1)'!AJ466+"h_l!%Ky"</f>
        <v>#VALUE!</v>
      </c>
      <c r="FM75" t="e">
        <f>'SurveyRpt_20150223 (1)'!AK466+"h_l!%Kz"</f>
        <v>#VALUE!</v>
      </c>
      <c r="FN75" t="e">
        <f>'SurveyRpt_20150223 (1)'!AL466+"h_l!%K{"</f>
        <v>#VALUE!</v>
      </c>
      <c r="FO75" t="e">
        <f>'SurveyRpt_20150223 (1)'!AM466+"h_l!%K|"</f>
        <v>#VALUE!</v>
      </c>
      <c r="FP75" t="e">
        <f>'SurveyRpt_20150223 (1)'!AN466+"h_l!%K}"</f>
        <v>#VALUE!</v>
      </c>
      <c r="FQ75" t="e">
        <f>'SurveyRpt_20150223 (1)'!A467+"h_l!%K~"</f>
        <v>#VALUE!</v>
      </c>
      <c r="FR75" s="25" t="e">
        <f>'SurveyRpt_20150223 (1)'!B467+"h_l!%L#"</f>
        <v>#VALUE!</v>
      </c>
      <c r="FS75" t="e">
        <f>'SurveyRpt_20150223 (1)'!C467+"h_l!%L$"</f>
        <v>#VALUE!</v>
      </c>
      <c r="FT75" s="25" t="e">
        <f>'SurveyRpt_20150223 (1)'!D467+"h_l!%L%"</f>
        <v>#VALUE!</v>
      </c>
      <c r="FU75" t="e">
        <f>'SurveyRpt_20150223 (1)'!E467+"h_l!%L&amp;"</f>
        <v>#VALUE!</v>
      </c>
      <c r="FV75" t="e">
        <f>'SurveyRpt_20150223 (1)'!F467+"h_l!%L'"</f>
        <v>#VALUE!</v>
      </c>
      <c r="FW75" t="e">
        <f>'SurveyRpt_20150223 (1)'!G467+"h_l!%L("</f>
        <v>#VALUE!</v>
      </c>
      <c r="FX75" t="e">
        <f>'SurveyRpt_20150223 (1)'!H467+"h_l!%L)"</f>
        <v>#VALUE!</v>
      </c>
      <c r="FY75" t="e">
        <f>'SurveyRpt_20150223 (1)'!I467+"h_l!%L."</f>
        <v>#VALUE!</v>
      </c>
      <c r="FZ75" t="e">
        <f>'SurveyRpt_20150223 (1)'!J467+"h_l!%L/"</f>
        <v>#VALUE!</v>
      </c>
      <c r="GA75" t="e">
        <f>'SurveyRpt_20150223 (1)'!K467+"h_l!%L0"</f>
        <v>#VALUE!</v>
      </c>
      <c r="GB75" t="e">
        <f>'SurveyRpt_20150223 (1)'!L467+"h_l!%L1"</f>
        <v>#VALUE!</v>
      </c>
      <c r="GC75" t="e">
        <f>'SurveyRpt_20150223 (1)'!M467+"h_l!%L2"</f>
        <v>#VALUE!</v>
      </c>
      <c r="GD75" t="e">
        <f>'SurveyRpt_20150223 (1)'!N467+"h_l!%L3"</f>
        <v>#VALUE!</v>
      </c>
      <c r="GE75" t="e">
        <f>'SurveyRpt_20150223 (1)'!O467+"h_l!%L4"</f>
        <v>#VALUE!</v>
      </c>
      <c r="GF75" t="e">
        <f>'SurveyRpt_20150223 (1)'!P467+"h_l!%L5"</f>
        <v>#VALUE!</v>
      </c>
      <c r="GG75" t="e">
        <f>'SurveyRpt_20150223 (1)'!Q467+"h_l!%L6"</f>
        <v>#VALUE!</v>
      </c>
      <c r="GH75" t="e">
        <f>'SurveyRpt_20150223 (1)'!R467+"h_l!%L7"</f>
        <v>#VALUE!</v>
      </c>
      <c r="GI75" t="e">
        <f>'SurveyRpt_20150223 (1)'!S467+"h_l!%L8"</f>
        <v>#VALUE!</v>
      </c>
      <c r="GJ75" t="e">
        <f>'SurveyRpt_20150223 (1)'!T467+"h_l!%L9"</f>
        <v>#VALUE!</v>
      </c>
      <c r="GK75" t="e">
        <f>'SurveyRpt_20150223 (1)'!U467+"h_l!%L:"</f>
        <v>#VALUE!</v>
      </c>
      <c r="GL75" t="e">
        <f>'SurveyRpt_20150223 (1)'!V467+"h_l!%L;"</f>
        <v>#VALUE!</v>
      </c>
      <c r="GM75" t="e">
        <f>'SurveyRpt_20150223 (1)'!W467+"h_l!%L&lt;"</f>
        <v>#VALUE!</v>
      </c>
      <c r="GN75" t="e">
        <f>'SurveyRpt_20150223 (1)'!X467+"h_l!%L="</f>
        <v>#VALUE!</v>
      </c>
      <c r="GO75" t="e">
        <f>'SurveyRpt_20150223 (1)'!Y467+"h_l!%L&gt;"</f>
        <v>#VALUE!</v>
      </c>
      <c r="GP75" t="e">
        <f>'SurveyRpt_20150223 (1)'!Z467+"h_l!%L?"</f>
        <v>#VALUE!</v>
      </c>
      <c r="GQ75" t="e">
        <f>'SurveyRpt_20150223 (1)'!AA467+"h_l!%L@"</f>
        <v>#VALUE!</v>
      </c>
      <c r="GR75" t="e">
        <f>'SurveyRpt_20150223 (1)'!AB467+"h_l!%LA"</f>
        <v>#VALUE!</v>
      </c>
      <c r="GS75" t="e">
        <f>'SurveyRpt_20150223 (1)'!AC467+"h_l!%LB"</f>
        <v>#VALUE!</v>
      </c>
      <c r="GT75" t="e">
        <f>'SurveyRpt_20150223 (1)'!AD467+"h_l!%LC"</f>
        <v>#VALUE!</v>
      </c>
      <c r="GU75" t="e">
        <f>'SurveyRpt_20150223 (1)'!AE467+"h_l!%LD"</f>
        <v>#VALUE!</v>
      </c>
      <c r="GV75" t="e">
        <f>'SurveyRpt_20150223 (1)'!AF467+"h_l!%LE"</f>
        <v>#VALUE!</v>
      </c>
      <c r="GW75" t="e">
        <f>'SurveyRpt_20150223 (1)'!AG467+"h_l!%LF"</f>
        <v>#VALUE!</v>
      </c>
      <c r="GX75" t="e">
        <f>'SurveyRpt_20150223 (1)'!AH467+"h_l!%LG"</f>
        <v>#VALUE!</v>
      </c>
      <c r="GY75" t="e">
        <f>'SurveyRpt_20150223 (1)'!AI467+"h_l!%LH"</f>
        <v>#VALUE!</v>
      </c>
      <c r="GZ75" t="e">
        <f>'SurveyRpt_20150223 (1)'!AJ467+"h_l!%LI"</f>
        <v>#VALUE!</v>
      </c>
      <c r="HA75" t="e">
        <f>'SurveyRpt_20150223 (1)'!AK467+"h_l!%LJ"</f>
        <v>#VALUE!</v>
      </c>
      <c r="HB75" t="e">
        <f>'SurveyRpt_20150223 (1)'!AL467+"h_l!%LK"</f>
        <v>#VALUE!</v>
      </c>
      <c r="HC75" t="e">
        <f>'SurveyRpt_20150223 (1)'!AM467+"h_l!%LL"</f>
        <v>#VALUE!</v>
      </c>
      <c r="HD75" t="e">
        <f>'SurveyRpt_20150223 (1)'!AN467+"h_l!%LM"</f>
        <v>#VALUE!</v>
      </c>
      <c r="HE75" t="e">
        <f>'SurveyRpt_20150223 (1)'!A468+"h_l!%LN"</f>
        <v>#VALUE!</v>
      </c>
      <c r="HF75" s="25" t="e">
        <f>'SurveyRpt_20150223 (1)'!B468+"h_l!%LO"</f>
        <v>#VALUE!</v>
      </c>
      <c r="HG75" t="e">
        <f>'SurveyRpt_20150223 (1)'!C468+"h_l!%LP"</f>
        <v>#VALUE!</v>
      </c>
      <c r="HH75" s="25" t="e">
        <f>'SurveyRpt_20150223 (1)'!D468+"h_l!%LQ"</f>
        <v>#VALUE!</v>
      </c>
      <c r="HI75" t="e">
        <f>'SurveyRpt_20150223 (1)'!E468+"h_l!%LR"</f>
        <v>#VALUE!</v>
      </c>
      <c r="HJ75" t="e">
        <f>'SurveyRpt_20150223 (1)'!F468+"h_l!%LS"</f>
        <v>#VALUE!</v>
      </c>
      <c r="HK75" t="e">
        <f>'SurveyRpt_20150223 (1)'!G468+"h_l!%LT"</f>
        <v>#VALUE!</v>
      </c>
      <c r="HL75" t="e">
        <f>'SurveyRpt_20150223 (1)'!H468+"h_l!%LU"</f>
        <v>#VALUE!</v>
      </c>
      <c r="HM75" t="e">
        <f>'SurveyRpt_20150223 (1)'!I468+"h_l!%LV"</f>
        <v>#VALUE!</v>
      </c>
      <c r="HN75" t="e">
        <f>'SurveyRpt_20150223 (1)'!J468+"h_l!%LW"</f>
        <v>#VALUE!</v>
      </c>
      <c r="HO75" t="e">
        <f>'SurveyRpt_20150223 (1)'!K468+"h_l!%LX"</f>
        <v>#VALUE!</v>
      </c>
      <c r="HP75" t="e">
        <f>'SurveyRpt_20150223 (1)'!L468+"h_l!%LY"</f>
        <v>#VALUE!</v>
      </c>
      <c r="HQ75" t="e">
        <f>'SurveyRpt_20150223 (1)'!M468+"h_l!%LZ"</f>
        <v>#VALUE!</v>
      </c>
      <c r="HR75" t="e">
        <f>'SurveyRpt_20150223 (1)'!N468+"h_l!%L["</f>
        <v>#VALUE!</v>
      </c>
      <c r="HS75" t="e">
        <f>'SurveyRpt_20150223 (1)'!O468+"h_l!%L\"</f>
        <v>#VALUE!</v>
      </c>
      <c r="HT75" t="e">
        <f>'SurveyRpt_20150223 (1)'!P468+"h_l!%L]"</f>
        <v>#VALUE!</v>
      </c>
      <c r="HU75" t="e">
        <f>'SurveyRpt_20150223 (1)'!Q468+"h_l!%L^"</f>
        <v>#VALUE!</v>
      </c>
      <c r="HV75" t="e">
        <f>'SurveyRpt_20150223 (1)'!R468+"h_l!%L_"</f>
        <v>#VALUE!</v>
      </c>
      <c r="HW75" t="e">
        <f>'SurveyRpt_20150223 (1)'!S468+"h_l!%L`"</f>
        <v>#VALUE!</v>
      </c>
      <c r="HX75" t="e">
        <f>'SurveyRpt_20150223 (1)'!T468+"h_l!%La"</f>
        <v>#VALUE!</v>
      </c>
      <c r="HY75" t="e">
        <f>'SurveyRpt_20150223 (1)'!U468+"h_l!%Lb"</f>
        <v>#VALUE!</v>
      </c>
      <c r="HZ75" t="e">
        <f>'SurveyRpt_20150223 (1)'!V468+"h_l!%Lc"</f>
        <v>#VALUE!</v>
      </c>
      <c r="IA75" t="e">
        <f>'SurveyRpt_20150223 (1)'!W468+"h_l!%Ld"</f>
        <v>#VALUE!</v>
      </c>
      <c r="IB75" t="e">
        <f>'SurveyRpt_20150223 (1)'!X468+"h_l!%Le"</f>
        <v>#VALUE!</v>
      </c>
      <c r="IC75" t="e">
        <f>'SurveyRpt_20150223 (1)'!Y468+"h_l!%Lf"</f>
        <v>#VALUE!</v>
      </c>
      <c r="ID75" t="e">
        <f>'SurveyRpt_20150223 (1)'!Z468+"h_l!%Lg"</f>
        <v>#VALUE!</v>
      </c>
      <c r="IE75" t="e">
        <f>'SurveyRpt_20150223 (1)'!AA468+"h_l!%Lh"</f>
        <v>#VALUE!</v>
      </c>
      <c r="IF75" t="e">
        <f>'SurveyRpt_20150223 (1)'!AB468+"h_l!%Li"</f>
        <v>#VALUE!</v>
      </c>
      <c r="IG75" t="e">
        <f>'SurveyRpt_20150223 (1)'!AC468+"h_l!%Lj"</f>
        <v>#VALUE!</v>
      </c>
      <c r="IH75" t="e">
        <f>'SurveyRpt_20150223 (1)'!AD468+"h_l!%Lk"</f>
        <v>#VALUE!</v>
      </c>
      <c r="II75" t="e">
        <f>'SurveyRpt_20150223 (1)'!AE468+"h_l!%Ll"</f>
        <v>#VALUE!</v>
      </c>
      <c r="IJ75" t="e">
        <f>'SurveyRpt_20150223 (1)'!AF468+"h_l!%Lm"</f>
        <v>#VALUE!</v>
      </c>
      <c r="IK75" t="e">
        <f>'SurveyRpt_20150223 (1)'!AG468+"h_l!%Ln"</f>
        <v>#VALUE!</v>
      </c>
      <c r="IL75" t="e">
        <f>'SurveyRpt_20150223 (1)'!AH468+"h_l!%Lo"</f>
        <v>#VALUE!</v>
      </c>
      <c r="IM75" t="e">
        <f>'SurveyRpt_20150223 (1)'!AI468+"h_l!%Lp"</f>
        <v>#VALUE!</v>
      </c>
      <c r="IN75" t="e">
        <f>'SurveyRpt_20150223 (1)'!AJ468+"h_l!%Lq"</f>
        <v>#VALUE!</v>
      </c>
      <c r="IO75" t="e">
        <f>'SurveyRpt_20150223 (1)'!AK468+"h_l!%Lr"</f>
        <v>#VALUE!</v>
      </c>
      <c r="IP75" t="e">
        <f>'SurveyRpt_20150223 (1)'!AL468+"h_l!%Ls"</f>
        <v>#VALUE!</v>
      </c>
      <c r="IQ75" t="e">
        <f>'SurveyRpt_20150223 (1)'!AM468+"h_l!%Lt"</f>
        <v>#VALUE!</v>
      </c>
      <c r="IR75" t="e">
        <f>'SurveyRpt_20150223 (1)'!AN468+"h_l!%Lu"</f>
        <v>#VALUE!</v>
      </c>
      <c r="IS75" t="e">
        <f>'SurveyRpt_20150223 (1)'!A469+"h_l!%Lv"</f>
        <v>#VALUE!</v>
      </c>
      <c r="IT75" s="25" t="e">
        <f>'SurveyRpt_20150223 (1)'!B469+"h_l!%Lw"</f>
        <v>#VALUE!</v>
      </c>
      <c r="IU75" t="e">
        <f>'SurveyRpt_20150223 (1)'!C469+"h_l!%Lx"</f>
        <v>#VALUE!</v>
      </c>
      <c r="IV75" s="25" t="e">
        <f>'SurveyRpt_20150223 (1)'!D469+"h_l!%Ly"</f>
        <v>#VALUE!</v>
      </c>
    </row>
    <row r="76" spans="6:256" x14ac:dyDescent="0.25">
      <c r="F76" t="e">
        <f>'SurveyRpt_20150223 (1)'!E469+"h_l!%Lz"</f>
        <v>#VALUE!</v>
      </c>
      <c r="G76" t="e">
        <f>'SurveyRpt_20150223 (1)'!F469+"h_l!%L{"</f>
        <v>#VALUE!</v>
      </c>
      <c r="H76" t="e">
        <f>'SurveyRpt_20150223 (1)'!G469+"h_l!%L|"</f>
        <v>#VALUE!</v>
      </c>
      <c r="I76" t="e">
        <f>'SurveyRpt_20150223 (1)'!H469+"h_l!%L}"</f>
        <v>#VALUE!</v>
      </c>
      <c r="J76" t="e">
        <f>'SurveyRpt_20150223 (1)'!I469+"h_l!%L~"</f>
        <v>#VALUE!</v>
      </c>
      <c r="K76" t="e">
        <f>'SurveyRpt_20150223 (1)'!J469+"h_l!%M#"</f>
        <v>#VALUE!</v>
      </c>
      <c r="L76" t="e">
        <f>'SurveyRpt_20150223 (1)'!K469+"h_l!%M$"</f>
        <v>#VALUE!</v>
      </c>
      <c r="M76" t="e">
        <f>'SurveyRpt_20150223 (1)'!L469+"h_l!%M%"</f>
        <v>#VALUE!</v>
      </c>
      <c r="N76" t="e">
        <f>'SurveyRpt_20150223 (1)'!M469+"h_l!%M&amp;"</f>
        <v>#VALUE!</v>
      </c>
      <c r="O76" t="e">
        <f>'SurveyRpt_20150223 (1)'!N469+"h_l!%M'"</f>
        <v>#VALUE!</v>
      </c>
      <c r="P76" t="e">
        <f>'SurveyRpt_20150223 (1)'!O469+"h_l!%M("</f>
        <v>#VALUE!</v>
      </c>
      <c r="Q76" t="e">
        <f>'SurveyRpt_20150223 (1)'!P469+"h_l!%M)"</f>
        <v>#VALUE!</v>
      </c>
      <c r="R76" t="e">
        <f>'SurveyRpt_20150223 (1)'!Q469+"h_l!%M."</f>
        <v>#VALUE!</v>
      </c>
      <c r="S76" t="e">
        <f>'SurveyRpt_20150223 (1)'!R469+"h_l!%M/"</f>
        <v>#VALUE!</v>
      </c>
      <c r="T76" t="e">
        <f>'SurveyRpt_20150223 (1)'!S469+"h_l!%M0"</f>
        <v>#VALUE!</v>
      </c>
      <c r="U76" t="e">
        <f>'SurveyRpt_20150223 (1)'!T469+"h_l!%M1"</f>
        <v>#VALUE!</v>
      </c>
      <c r="V76" t="e">
        <f>'SurveyRpt_20150223 (1)'!U469+"h_l!%M2"</f>
        <v>#VALUE!</v>
      </c>
      <c r="W76" t="e">
        <f>'SurveyRpt_20150223 (1)'!V469+"h_l!%M3"</f>
        <v>#VALUE!</v>
      </c>
      <c r="X76" t="e">
        <f>'SurveyRpt_20150223 (1)'!W469+"h_l!%M4"</f>
        <v>#VALUE!</v>
      </c>
      <c r="Y76" t="e">
        <f>'SurveyRpt_20150223 (1)'!X469+"h_l!%M5"</f>
        <v>#VALUE!</v>
      </c>
      <c r="Z76" t="e">
        <f>'SurveyRpt_20150223 (1)'!Y469+"h_l!%M6"</f>
        <v>#VALUE!</v>
      </c>
      <c r="AA76" t="e">
        <f>'SurveyRpt_20150223 (1)'!Z469+"h_l!%M7"</f>
        <v>#VALUE!</v>
      </c>
      <c r="AB76" t="e">
        <f>'SurveyRpt_20150223 (1)'!AA469+"h_l!%M8"</f>
        <v>#VALUE!</v>
      </c>
      <c r="AC76" t="e">
        <f>'SurveyRpt_20150223 (1)'!AB469+"h_l!%M9"</f>
        <v>#VALUE!</v>
      </c>
      <c r="AD76" t="e">
        <f>'SurveyRpt_20150223 (1)'!AC469+"h_l!%M:"</f>
        <v>#VALUE!</v>
      </c>
      <c r="AE76" t="e">
        <f>'SurveyRpt_20150223 (1)'!AD469+"h_l!%M;"</f>
        <v>#VALUE!</v>
      </c>
      <c r="AF76" t="e">
        <f>'SurveyRpt_20150223 (1)'!AE469+"h_l!%M&lt;"</f>
        <v>#VALUE!</v>
      </c>
      <c r="AG76" t="e">
        <f>'SurveyRpt_20150223 (1)'!AF469+"h_l!%M="</f>
        <v>#VALUE!</v>
      </c>
      <c r="AH76" t="e">
        <f>'SurveyRpt_20150223 (1)'!AG469+"h_l!%M&gt;"</f>
        <v>#VALUE!</v>
      </c>
      <c r="AI76" t="e">
        <f>'SurveyRpt_20150223 (1)'!AH469+"h_l!%M?"</f>
        <v>#VALUE!</v>
      </c>
      <c r="AJ76" t="e">
        <f>'SurveyRpt_20150223 (1)'!AI469+"h_l!%M@"</f>
        <v>#VALUE!</v>
      </c>
      <c r="AK76" t="e">
        <f>'SurveyRpt_20150223 (1)'!AJ469+"h_l!%MA"</f>
        <v>#VALUE!</v>
      </c>
      <c r="AL76" t="e">
        <f>'SurveyRpt_20150223 (1)'!AK469+"h_l!%MB"</f>
        <v>#VALUE!</v>
      </c>
      <c r="AM76" t="e">
        <f>'SurveyRpt_20150223 (1)'!AL469+"h_l!%MC"</f>
        <v>#VALUE!</v>
      </c>
      <c r="AN76" t="e">
        <f>'SurveyRpt_20150223 (1)'!AM469+"h_l!%MD"</f>
        <v>#VALUE!</v>
      </c>
      <c r="AO76" t="e">
        <f>'SurveyRpt_20150223 (1)'!AN469+"h_l!%ME"</f>
        <v>#VALUE!</v>
      </c>
      <c r="AP76" t="e">
        <f>'SurveyRpt_20150223 (1)'!A470+"h_l!%MF"</f>
        <v>#VALUE!</v>
      </c>
      <c r="AQ76" s="25" t="e">
        <f>'SurveyRpt_20150223 (1)'!B470+"h_l!%MG"</f>
        <v>#VALUE!</v>
      </c>
      <c r="AR76" t="e">
        <f>'SurveyRpt_20150223 (1)'!C470+"h_l!%MH"</f>
        <v>#VALUE!</v>
      </c>
      <c r="AS76" s="25" t="e">
        <f>'SurveyRpt_20150223 (1)'!D470+"h_l!%MI"</f>
        <v>#VALUE!</v>
      </c>
      <c r="AT76" t="e">
        <f>'SurveyRpt_20150223 (1)'!E470+"h_l!%MJ"</f>
        <v>#VALUE!</v>
      </c>
      <c r="AU76" t="e">
        <f>'SurveyRpt_20150223 (1)'!F470+"h_l!%MK"</f>
        <v>#VALUE!</v>
      </c>
      <c r="AV76" t="e">
        <f>'SurveyRpt_20150223 (1)'!G470+"h_l!%ML"</f>
        <v>#VALUE!</v>
      </c>
      <c r="AW76" t="e">
        <f>'SurveyRpt_20150223 (1)'!H470+"h_l!%MM"</f>
        <v>#VALUE!</v>
      </c>
      <c r="AX76" t="e">
        <f>'SurveyRpt_20150223 (1)'!I470+"h_l!%MN"</f>
        <v>#VALUE!</v>
      </c>
      <c r="AY76" t="e">
        <f>'SurveyRpt_20150223 (1)'!J470+"h_l!%MO"</f>
        <v>#VALUE!</v>
      </c>
      <c r="AZ76" t="e">
        <f>'SurveyRpt_20150223 (1)'!K470+"h_l!%MP"</f>
        <v>#VALUE!</v>
      </c>
      <c r="BA76" t="e">
        <f>'SurveyRpt_20150223 (1)'!L470+"h_l!%MQ"</f>
        <v>#VALUE!</v>
      </c>
      <c r="BB76" t="e">
        <f>'SurveyRpt_20150223 (1)'!M470+"h_l!%MR"</f>
        <v>#VALUE!</v>
      </c>
      <c r="BC76" t="e">
        <f>'SurveyRpt_20150223 (1)'!N470+"h_l!%MS"</f>
        <v>#VALUE!</v>
      </c>
      <c r="BD76" t="e">
        <f>'SurveyRpt_20150223 (1)'!O470+"h_l!%MT"</f>
        <v>#VALUE!</v>
      </c>
      <c r="BE76" t="e">
        <f>'SurveyRpt_20150223 (1)'!P470+"h_l!%MU"</f>
        <v>#VALUE!</v>
      </c>
      <c r="BF76" t="e">
        <f>'SurveyRpt_20150223 (1)'!Q470+"h_l!%MV"</f>
        <v>#VALUE!</v>
      </c>
      <c r="BG76" t="e">
        <f>'SurveyRpt_20150223 (1)'!R470+"h_l!%MW"</f>
        <v>#VALUE!</v>
      </c>
      <c r="BH76" t="e">
        <f>'SurveyRpt_20150223 (1)'!S470+"h_l!%MX"</f>
        <v>#VALUE!</v>
      </c>
      <c r="BI76" t="e">
        <f>'SurveyRpt_20150223 (1)'!T470+"h_l!%MY"</f>
        <v>#VALUE!</v>
      </c>
      <c r="BJ76" t="e">
        <f>'SurveyRpt_20150223 (1)'!U470+"h_l!%MZ"</f>
        <v>#VALUE!</v>
      </c>
      <c r="BK76" t="e">
        <f>'SurveyRpt_20150223 (1)'!V470+"h_l!%M["</f>
        <v>#VALUE!</v>
      </c>
      <c r="BL76" t="e">
        <f>'SurveyRpt_20150223 (1)'!W470+"h_l!%M\"</f>
        <v>#VALUE!</v>
      </c>
      <c r="BM76" t="e">
        <f>'SurveyRpt_20150223 (1)'!X470+"h_l!%M]"</f>
        <v>#VALUE!</v>
      </c>
      <c r="BN76" t="e">
        <f>'SurveyRpt_20150223 (1)'!Y470+"h_l!%M^"</f>
        <v>#VALUE!</v>
      </c>
      <c r="BO76" t="e">
        <f>'SurveyRpt_20150223 (1)'!Z470+"h_l!%M_"</f>
        <v>#VALUE!</v>
      </c>
      <c r="BP76" t="e">
        <f>'SurveyRpt_20150223 (1)'!AA470+"h_l!%M`"</f>
        <v>#VALUE!</v>
      </c>
      <c r="BQ76" t="e">
        <f>'SurveyRpt_20150223 (1)'!AB470+"h_l!%Ma"</f>
        <v>#VALUE!</v>
      </c>
      <c r="BR76" t="e">
        <f>'SurveyRpt_20150223 (1)'!AC470+"h_l!%Mb"</f>
        <v>#VALUE!</v>
      </c>
      <c r="BS76" t="e">
        <f>'SurveyRpt_20150223 (1)'!AD470+"h_l!%Mc"</f>
        <v>#VALUE!</v>
      </c>
      <c r="BT76" t="e">
        <f>'SurveyRpt_20150223 (1)'!AE470+"h_l!%Md"</f>
        <v>#VALUE!</v>
      </c>
      <c r="BU76" t="e">
        <f>'SurveyRpt_20150223 (1)'!AF470+"h_l!%Me"</f>
        <v>#VALUE!</v>
      </c>
      <c r="BV76" t="e">
        <f>'SurveyRpt_20150223 (1)'!AG470+"h_l!%Mf"</f>
        <v>#VALUE!</v>
      </c>
      <c r="BW76" t="e">
        <f>'SurveyRpt_20150223 (1)'!AH470+"h_l!%Mg"</f>
        <v>#VALUE!</v>
      </c>
      <c r="BX76" t="e">
        <f>'SurveyRpt_20150223 (1)'!AI470+"h_l!%Mh"</f>
        <v>#VALUE!</v>
      </c>
      <c r="BY76" t="e">
        <f>'SurveyRpt_20150223 (1)'!AJ470+"h_l!%Mi"</f>
        <v>#VALUE!</v>
      </c>
      <c r="BZ76" t="e">
        <f>'SurveyRpt_20150223 (1)'!AK470+"h_l!%Mj"</f>
        <v>#VALUE!</v>
      </c>
      <c r="CA76" t="e">
        <f>'SurveyRpt_20150223 (1)'!AL470+"h_l!%Mk"</f>
        <v>#VALUE!</v>
      </c>
      <c r="CB76" t="e">
        <f>'SurveyRpt_20150223 (1)'!AM470+"h_l!%Ml"</f>
        <v>#VALUE!</v>
      </c>
      <c r="CC76" t="e">
        <f>'SurveyRpt_20150223 (1)'!AN470+"h_l!%Mm"</f>
        <v>#VALUE!</v>
      </c>
      <c r="CD76" t="e">
        <f>'SurveyRpt_20150223 (1)'!A471+"h_l!%Mn"</f>
        <v>#VALUE!</v>
      </c>
      <c r="CE76" s="25" t="e">
        <f>'SurveyRpt_20150223 (1)'!B471+"h_l!%Mo"</f>
        <v>#VALUE!</v>
      </c>
      <c r="CF76" t="e">
        <f>'SurveyRpt_20150223 (1)'!C471+"h_l!%Mp"</f>
        <v>#VALUE!</v>
      </c>
      <c r="CG76" s="25" t="e">
        <f>'SurveyRpt_20150223 (1)'!D471+"h_l!%Mq"</f>
        <v>#VALUE!</v>
      </c>
      <c r="CH76" t="e">
        <f>'SurveyRpt_20150223 (1)'!E471+"h_l!%Mr"</f>
        <v>#VALUE!</v>
      </c>
      <c r="CI76" t="e">
        <f>'SurveyRpt_20150223 (1)'!F471+"h_l!%Ms"</f>
        <v>#VALUE!</v>
      </c>
      <c r="CJ76" t="e">
        <f>'SurveyRpt_20150223 (1)'!G471+"h_l!%Mt"</f>
        <v>#VALUE!</v>
      </c>
      <c r="CK76" t="e">
        <f>'SurveyRpt_20150223 (1)'!H471+"h_l!%Mu"</f>
        <v>#VALUE!</v>
      </c>
      <c r="CL76" t="e">
        <f>'SurveyRpt_20150223 (1)'!I471+"h_l!%Mv"</f>
        <v>#VALUE!</v>
      </c>
      <c r="CM76" t="e">
        <f>'SurveyRpt_20150223 (1)'!J471+"h_l!%Mw"</f>
        <v>#VALUE!</v>
      </c>
      <c r="CN76" t="e">
        <f>'SurveyRpt_20150223 (1)'!K471+"h_l!%Mx"</f>
        <v>#VALUE!</v>
      </c>
      <c r="CO76" t="e">
        <f>'SurveyRpt_20150223 (1)'!L471+"h_l!%My"</f>
        <v>#VALUE!</v>
      </c>
      <c r="CP76" t="e">
        <f>'SurveyRpt_20150223 (1)'!M471+"h_l!%Mz"</f>
        <v>#VALUE!</v>
      </c>
      <c r="CQ76" t="e">
        <f>'SurveyRpt_20150223 (1)'!N471+"h_l!%M{"</f>
        <v>#VALUE!</v>
      </c>
      <c r="CR76" t="e">
        <f>'SurveyRpt_20150223 (1)'!O471+"h_l!%M|"</f>
        <v>#VALUE!</v>
      </c>
      <c r="CS76" t="e">
        <f>'SurveyRpt_20150223 (1)'!P471+"h_l!%M}"</f>
        <v>#VALUE!</v>
      </c>
      <c r="CT76" t="e">
        <f>'SurveyRpt_20150223 (1)'!Q471+"h_l!%M~"</f>
        <v>#VALUE!</v>
      </c>
      <c r="CU76" t="e">
        <f>'SurveyRpt_20150223 (1)'!R471+"h_l!%N#"</f>
        <v>#VALUE!</v>
      </c>
      <c r="CV76" t="e">
        <f>'SurveyRpt_20150223 (1)'!S471+"h_l!%N$"</f>
        <v>#VALUE!</v>
      </c>
      <c r="CW76" t="e">
        <f>'SurveyRpt_20150223 (1)'!T471+"h_l!%N%"</f>
        <v>#VALUE!</v>
      </c>
      <c r="CX76" t="e">
        <f>'SurveyRpt_20150223 (1)'!U471+"h_l!%N&amp;"</f>
        <v>#VALUE!</v>
      </c>
      <c r="CY76" t="e">
        <f>'SurveyRpt_20150223 (1)'!V471+"h_l!%N'"</f>
        <v>#VALUE!</v>
      </c>
      <c r="CZ76" t="e">
        <f>'SurveyRpt_20150223 (1)'!W471+"h_l!%N("</f>
        <v>#VALUE!</v>
      </c>
      <c r="DA76" t="e">
        <f>'SurveyRpt_20150223 (1)'!X471+"h_l!%N)"</f>
        <v>#VALUE!</v>
      </c>
      <c r="DB76" t="e">
        <f>'SurveyRpt_20150223 (1)'!Y471+"h_l!%N."</f>
        <v>#VALUE!</v>
      </c>
      <c r="DC76" t="e">
        <f>'SurveyRpt_20150223 (1)'!Z471+"h_l!%N/"</f>
        <v>#VALUE!</v>
      </c>
      <c r="DD76" t="e">
        <f>'SurveyRpt_20150223 (1)'!AA471+"h_l!%N0"</f>
        <v>#VALUE!</v>
      </c>
      <c r="DE76" t="e">
        <f>'SurveyRpt_20150223 (1)'!AB471+"h_l!%N1"</f>
        <v>#VALUE!</v>
      </c>
      <c r="DF76" t="e">
        <f>'SurveyRpt_20150223 (1)'!AC471+"h_l!%N2"</f>
        <v>#VALUE!</v>
      </c>
      <c r="DG76" t="e">
        <f>'SurveyRpt_20150223 (1)'!AD471+"h_l!%N3"</f>
        <v>#VALUE!</v>
      </c>
      <c r="DH76" t="e">
        <f>'SurveyRpt_20150223 (1)'!AE471+"h_l!%N4"</f>
        <v>#VALUE!</v>
      </c>
      <c r="DI76" t="e">
        <f>'SurveyRpt_20150223 (1)'!AF471+"h_l!%N5"</f>
        <v>#VALUE!</v>
      </c>
      <c r="DJ76" t="e">
        <f>'SurveyRpt_20150223 (1)'!AG471+"h_l!%N6"</f>
        <v>#VALUE!</v>
      </c>
      <c r="DK76" t="e">
        <f>'SurveyRpt_20150223 (1)'!AH471+"h_l!%N7"</f>
        <v>#VALUE!</v>
      </c>
      <c r="DL76" t="e">
        <f>'SurveyRpt_20150223 (1)'!AI471+"h_l!%N8"</f>
        <v>#VALUE!</v>
      </c>
      <c r="DM76" t="e">
        <f>'SurveyRpt_20150223 (1)'!AJ471+"h_l!%N9"</f>
        <v>#VALUE!</v>
      </c>
      <c r="DN76" t="e">
        <f>'SurveyRpt_20150223 (1)'!AK471+"h_l!%N:"</f>
        <v>#VALUE!</v>
      </c>
      <c r="DO76" t="e">
        <f>'SurveyRpt_20150223 (1)'!AL471+"h_l!%N;"</f>
        <v>#VALUE!</v>
      </c>
      <c r="DP76" t="e">
        <f>'SurveyRpt_20150223 (1)'!AM471+"h_l!%N&lt;"</f>
        <v>#VALUE!</v>
      </c>
      <c r="DQ76" t="e">
        <f>'SurveyRpt_20150223 (1)'!AN471+"h_l!%N="</f>
        <v>#VALUE!</v>
      </c>
      <c r="DR76" t="e">
        <f>'SurveyRpt_20150223 (1)'!A472+"h_l!%N&gt;"</f>
        <v>#VALUE!</v>
      </c>
      <c r="DS76" s="25" t="e">
        <f>'SurveyRpt_20150223 (1)'!B472+"h_l!%N?"</f>
        <v>#VALUE!</v>
      </c>
      <c r="DT76" t="e">
        <f>'SurveyRpt_20150223 (1)'!C472+"h_l!%N@"</f>
        <v>#VALUE!</v>
      </c>
      <c r="DU76" s="25" t="e">
        <f>'SurveyRpt_20150223 (1)'!D472+"h_l!%NA"</f>
        <v>#VALUE!</v>
      </c>
      <c r="DV76" t="e">
        <f>'SurveyRpt_20150223 (1)'!E472+"h_l!%NB"</f>
        <v>#VALUE!</v>
      </c>
      <c r="DW76" t="e">
        <f>'SurveyRpt_20150223 (1)'!F472+"h_l!%NC"</f>
        <v>#VALUE!</v>
      </c>
      <c r="DX76" t="e">
        <f>'SurveyRpt_20150223 (1)'!G472+"h_l!%ND"</f>
        <v>#VALUE!</v>
      </c>
      <c r="DY76" t="e">
        <f>'SurveyRpt_20150223 (1)'!H472+"h_l!%NE"</f>
        <v>#VALUE!</v>
      </c>
      <c r="DZ76" t="e">
        <f>'SurveyRpt_20150223 (1)'!I472+"h_l!%NF"</f>
        <v>#VALUE!</v>
      </c>
      <c r="EA76" t="e">
        <f>'SurveyRpt_20150223 (1)'!J472+"h_l!%NG"</f>
        <v>#VALUE!</v>
      </c>
      <c r="EB76" t="e">
        <f>'SurveyRpt_20150223 (1)'!K472+"h_l!%NH"</f>
        <v>#VALUE!</v>
      </c>
      <c r="EC76" t="e">
        <f>'SurveyRpt_20150223 (1)'!L472+"h_l!%NI"</f>
        <v>#VALUE!</v>
      </c>
      <c r="ED76" t="e">
        <f>'SurveyRpt_20150223 (1)'!M472+"h_l!%NJ"</f>
        <v>#VALUE!</v>
      </c>
      <c r="EE76" t="e">
        <f>'SurveyRpt_20150223 (1)'!N472+"h_l!%NK"</f>
        <v>#VALUE!</v>
      </c>
      <c r="EF76" t="e">
        <f>'SurveyRpt_20150223 (1)'!O472+"h_l!%NL"</f>
        <v>#VALUE!</v>
      </c>
      <c r="EG76" t="e">
        <f>'SurveyRpt_20150223 (1)'!P472+"h_l!%NM"</f>
        <v>#VALUE!</v>
      </c>
      <c r="EH76" t="e">
        <f>'SurveyRpt_20150223 (1)'!Q472+"h_l!%NN"</f>
        <v>#VALUE!</v>
      </c>
      <c r="EI76" t="e">
        <f>'SurveyRpt_20150223 (1)'!R472+"h_l!%NO"</f>
        <v>#VALUE!</v>
      </c>
      <c r="EJ76" t="e">
        <f>'SurveyRpt_20150223 (1)'!S472+"h_l!%NP"</f>
        <v>#VALUE!</v>
      </c>
      <c r="EK76" t="e">
        <f>'SurveyRpt_20150223 (1)'!T472+"h_l!%NQ"</f>
        <v>#VALUE!</v>
      </c>
      <c r="EL76" t="e">
        <f>'SurveyRpt_20150223 (1)'!U472+"h_l!%NR"</f>
        <v>#VALUE!</v>
      </c>
      <c r="EM76" t="e">
        <f>'SurveyRpt_20150223 (1)'!V472+"h_l!%NS"</f>
        <v>#VALUE!</v>
      </c>
      <c r="EN76" t="e">
        <f>'SurveyRpt_20150223 (1)'!W472+"h_l!%NT"</f>
        <v>#VALUE!</v>
      </c>
      <c r="EO76" t="e">
        <f>'SurveyRpt_20150223 (1)'!X472+"h_l!%NU"</f>
        <v>#VALUE!</v>
      </c>
      <c r="EP76" t="e">
        <f>'SurveyRpt_20150223 (1)'!Y472+"h_l!%NV"</f>
        <v>#VALUE!</v>
      </c>
      <c r="EQ76" t="e">
        <f>'SurveyRpt_20150223 (1)'!Z472+"h_l!%NW"</f>
        <v>#VALUE!</v>
      </c>
      <c r="ER76" t="e">
        <f>'SurveyRpt_20150223 (1)'!AA472+"h_l!%NX"</f>
        <v>#VALUE!</v>
      </c>
      <c r="ES76" t="e">
        <f>'SurveyRpt_20150223 (1)'!AB472+"h_l!%NY"</f>
        <v>#VALUE!</v>
      </c>
      <c r="ET76" t="e">
        <f>'SurveyRpt_20150223 (1)'!AC472+"h_l!%NZ"</f>
        <v>#VALUE!</v>
      </c>
      <c r="EU76" t="e">
        <f>'SurveyRpt_20150223 (1)'!AD472+"h_l!%N["</f>
        <v>#VALUE!</v>
      </c>
      <c r="EV76" t="e">
        <f>'SurveyRpt_20150223 (1)'!AE472+"h_l!%N\"</f>
        <v>#VALUE!</v>
      </c>
      <c r="EW76" t="e">
        <f>'SurveyRpt_20150223 (1)'!AF472+"h_l!%N]"</f>
        <v>#VALUE!</v>
      </c>
      <c r="EX76" t="e">
        <f>'SurveyRpt_20150223 (1)'!AG472+"h_l!%N^"</f>
        <v>#VALUE!</v>
      </c>
      <c r="EY76" t="e">
        <f>'SurveyRpt_20150223 (1)'!AH472+"h_l!%N_"</f>
        <v>#VALUE!</v>
      </c>
      <c r="EZ76" t="e">
        <f>'SurveyRpt_20150223 (1)'!AI472+"h_l!%N`"</f>
        <v>#VALUE!</v>
      </c>
      <c r="FA76" t="e">
        <f>'SurveyRpt_20150223 (1)'!AJ472+"h_l!%Na"</f>
        <v>#VALUE!</v>
      </c>
      <c r="FB76" t="e">
        <f>'SurveyRpt_20150223 (1)'!AK472+"h_l!%Nb"</f>
        <v>#VALUE!</v>
      </c>
      <c r="FC76" t="e">
        <f>'SurveyRpt_20150223 (1)'!AL472+"h_l!%Nc"</f>
        <v>#VALUE!</v>
      </c>
      <c r="FD76" t="e">
        <f>'SurveyRpt_20150223 (1)'!AM472+"h_l!%Nd"</f>
        <v>#VALUE!</v>
      </c>
      <c r="FE76" t="e">
        <f>'SurveyRpt_20150223 (1)'!AN472+"h_l!%Ne"</f>
        <v>#VALUE!</v>
      </c>
      <c r="FF76" t="e">
        <f>'SurveyRpt_20150223 (1)'!A473+"h_l!%Nf"</f>
        <v>#VALUE!</v>
      </c>
      <c r="FG76" s="25" t="e">
        <f>'SurveyRpt_20150223 (1)'!B473+"h_l!%Ng"</f>
        <v>#VALUE!</v>
      </c>
      <c r="FH76" t="e">
        <f>'SurveyRpt_20150223 (1)'!C473+"h_l!%Nh"</f>
        <v>#VALUE!</v>
      </c>
      <c r="FI76" s="25" t="e">
        <f>'SurveyRpt_20150223 (1)'!D473+"h_l!%Ni"</f>
        <v>#VALUE!</v>
      </c>
      <c r="FJ76" t="e">
        <f>'SurveyRpt_20150223 (1)'!E473+"h_l!%Nj"</f>
        <v>#VALUE!</v>
      </c>
      <c r="FK76" t="e">
        <f>'SurveyRpt_20150223 (1)'!F473+"h_l!%Nk"</f>
        <v>#VALUE!</v>
      </c>
      <c r="FL76" t="e">
        <f>'SurveyRpt_20150223 (1)'!G473+"h_l!%Nl"</f>
        <v>#VALUE!</v>
      </c>
      <c r="FM76" t="e">
        <f>'SurveyRpt_20150223 (1)'!H473+"h_l!%Nm"</f>
        <v>#VALUE!</v>
      </c>
      <c r="FN76" t="e">
        <f>'SurveyRpt_20150223 (1)'!I473+"h_l!%Nn"</f>
        <v>#VALUE!</v>
      </c>
      <c r="FO76" t="e">
        <f>'SurveyRpt_20150223 (1)'!J473+"h_l!%No"</f>
        <v>#VALUE!</v>
      </c>
      <c r="FP76" t="e">
        <f>'SurveyRpt_20150223 (1)'!K473+"h_l!%Np"</f>
        <v>#VALUE!</v>
      </c>
      <c r="FQ76" t="e">
        <f>'SurveyRpt_20150223 (1)'!L473+"h_l!%Nq"</f>
        <v>#VALUE!</v>
      </c>
      <c r="FR76" t="e">
        <f>'SurveyRpt_20150223 (1)'!M473+"h_l!%Nr"</f>
        <v>#VALUE!</v>
      </c>
      <c r="FS76" t="e">
        <f>'SurveyRpt_20150223 (1)'!N473+"h_l!%Ns"</f>
        <v>#VALUE!</v>
      </c>
      <c r="FT76" t="e">
        <f>'SurveyRpt_20150223 (1)'!O473+"h_l!%Nt"</f>
        <v>#VALUE!</v>
      </c>
      <c r="FU76" t="e">
        <f>'SurveyRpt_20150223 (1)'!P473+"h_l!%Nu"</f>
        <v>#VALUE!</v>
      </c>
      <c r="FV76" t="e">
        <f>'SurveyRpt_20150223 (1)'!Q473+"h_l!%Nv"</f>
        <v>#VALUE!</v>
      </c>
      <c r="FW76" t="e">
        <f>'SurveyRpt_20150223 (1)'!R473+"h_l!%Nw"</f>
        <v>#VALUE!</v>
      </c>
      <c r="FX76" t="e">
        <f>'SurveyRpt_20150223 (1)'!S473+"h_l!%Nx"</f>
        <v>#VALUE!</v>
      </c>
      <c r="FY76" t="e">
        <f>'SurveyRpt_20150223 (1)'!T473+"h_l!%Ny"</f>
        <v>#VALUE!</v>
      </c>
      <c r="FZ76" t="e">
        <f>'SurveyRpt_20150223 (1)'!U473+"h_l!%Nz"</f>
        <v>#VALUE!</v>
      </c>
      <c r="GA76" t="e">
        <f>'SurveyRpt_20150223 (1)'!V473+"h_l!%N{"</f>
        <v>#VALUE!</v>
      </c>
      <c r="GB76" t="e">
        <f>'SurveyRpt_20150223 (1)'!W473+"h_l!%N|"</f>
        <v>#VALUE!</v>
      </c>
      <c r="GC76" t="e">
        <f>'SurveyRpt_20150223 (1)'!X473+"h_l!%N}"</f>
        <v>#VALUE!</v>
      </c>
      <c r="GD76" t="e">
        <f>'SurveyRpt_20150223 (1)'!Y473+"h_l!%N~"</f>
        <v>#VALUE!</v>
      </c>
      <c r="GE76" t="e">
        <f>'SurveyRpt_20150223 (1)'!Z473+"h_l!%O#"</f>
        <v>#VALUE!</v>
      </c>
      <c r="GF76" t="e">
        <f>'SurveyRpt_20150223 (1)'!AA473+"h_l!%O$"</f>
        <v>#VALUE!</v>
      </c>
      <c r="GG76" t="e">
        <f>'SurveyRpt_20150223 (1)'!AB473+"h_l!%O%"</f>
        <v>#VALUE!</v>
      </c>
      <c r="GH76" t="e">
        <f>'SurveyRpt_20150223 (1)'!AC473+"h_l!%O&amp;"</f>
        <v>#VALUE!</v>
      </c>
      <c r="GI76" t="e">
        <f>'SurveyRpt_20150223 (1)'!AD473+"h_l!%O'"</f>
        <v>#VALUE!</v>
      </c>
      <c r="GJ76" t="e">
        <f>'SurveyRpt_20150223 (1)'!AE473+"h_l!%O("</f>
        <v>#VALUE!</v>
      </c>
      <c r="GK76" t="e">
        <f>'SurveyRpt_20150223 (1)'!AF473+"h_l!%O)"</f>
        <v>#VALUE!</v>
      </c>
      <c r="GL76" t="e">
        <f>'SurveyRpt_20150223 (1)'!AG473+"h_l!%O."</f>
        <v>#VALUE!</v>
      </c>
      <c r="GM76" t="e">
        <f>'SurveyRpt_20150223 (1)'!AH473+"h_l!%O/"</f>
        <v>#VALUE!</v>
      </c>
      <c r="GN76" t="e">
        <f>'SurveyRpt_20150223 (1)'!AI473+"h_l!%O0"</f>
        <v>#VALUE!</v>
      </c>
      <c r="GO76" t="e">
        <f>'SurveyRpt_20150223 (1)'!AJ473+"h_l!%O1"</f>
        <v>#VALUE!</v>
      </c>
      <c r="GP76" t="e">
        <f>'SurveyRpt_20150223 (1)'!AK473+"h_l!%O2"</f>
        <v>#VALUE!</v>
      </c>
      <c r="GQ76" t="e">
        <f>'SurveyRpt_20150223 (1)'!AL473+"h_l!%O3"</f>
        <v>#VALUE!</v>
      </c>
      <c r="GR76" t="e">
        <f>'SurveyRpt_20150223 (1)'!AM473+"h_l!%O4"</f>
        <v>#VALUE!</v>
      </c>
      <c r="GS76" t="e">
        <f>'SurveyRpt_20150223 (1)'!AN473+"h_l!%O5"</f>
        <v>#VALUE!</v>
      </c>
      <c r="GT76" t="e">
        <f>'SurveyRpt_20150223 (1)'!A474+"h_l!%O6"</f>
        <v>#VALUE!</v>
      </c>
      <c r="GU76" s="25" t="e">
        <f>'SurveyRpt_20150223 (1)'!B474+"h_l!%O7"</f>
        <v>#VALUE!</v>
      </c>
      <c r="GV76" t="e">
        <f>'SurveyRpt_20150223 (1)'!C474+"h_l!%O8"</f>
        <v>#VALUE!</v>
      </c>
      <c r="GW76" s="25" t="e">
        <f>'SurveyRpt_20150223 (1)'!D474+"h_l!%O9"</f>
        <v>#VALUE!</v>
      </c>
      <c r="GX76" t="e">
        <f>'SurveyRpt_20150223 (1)'!E474+"h_l!%O:"</f>
        <v>#VALUE!</v>
      </c>
      <c r="GY76" t="e">
        <f>'SurveyRpt_20150223 (1)'!F474+"h_l!%O;"</f>
        <v>#VALUE!</v>
      </c>
      <c r="GZ76" t="e">
        <f>'SurveyRpt_20150223 (1)'!G474+"h_l!%O&lt;"</f>
        <v>#VALUE!</v>
      </c>
      <c r="HA76" t="e">
        <f>'SurveyRpt_20150223 (1)'!H474+"h_l!%O="</f>
        <v>#VALUE!</v>
      </c>
      <c r="HB76" t="e">
        <f>'SurveyRpt_20150223 (1)'!I474+"h_l!%O&gt;"</f>
        <v>#VALUE!</v>
      </c>
      <c r="HC76" t="e">
        <f>'SurveyRpt_20150223 (1)'!J474+"h_l!%O?"</f>
        <v>#VALUE!</v>
      </c>
      <c r="HD76" t="e">
        <f>'SurveyRpt_20150223 (1)'!K474+"h_l!%O@"</f>
        <v>#VALUE!</v>
      </c>
      <c r="HE76" t="e">
        <f>'SurveyRpt_20150223 (1)'!L474+"h_l!%OA"</f>
        <v>#VALUE!</v>
      </c>
      <c r="HF76" t="e">
        <f>'SurveyRpt_20150223 (1)'!M474+"h_l!%OB"</f>
        <v>#VALUE!</v>
      </c>
      <c r="HG76" t="e">
        <f>'SurveyRpt_20150223 (1)'!N474+"h_l!%OC"</f>
        <v>#VALUE!</v>
      </c>
      <c r="HH76" t="e">
        <f>'SurveyRpt_20150223 (1)'!O474+"h_l!%OD"</f>
        <v>#VALUE!</v>
      </c>
      <c r="HI76" t="e">
        <f>'SurveyRpt_20150223 (1)'!P474+"h_l!%OE"</f>
        <v>#VALUE!</v>
      </c>
      <c r="HJ76" t="e">
        <f>'SurveyRpt_20150223 (1)'!Q474+"h_l!%OF"</f>
        <v>#VALUE!</v>
      </c>
      <c r="HK76" t="e">
        <f>'SurveyRpt_20150223 (1)'!R474+"h_l!%OG"</f>
        <v>#VALUE!</v>
      </c>
      <c r="HL76" t="e">
        <f>'SurveyRpt_20150223 (1)'!S474+"h_l!%OH"</f>
        <v>#VALUE!</v>
      </c>
      <c r="HM76" t="e">
        <f>'SurveyRpt_20150223 (1)'!T474+"h_l!%OI"</f>
        <v>#VALUE!</v>
      </c>
      <c r="HN76" t="e">
        <f>'SurveyRpt_20150223 (1)'!U474+"h_l!%OJ"</f>
        <v>#VALUE!</v>
      </c>
      <c r="HO76" t="e">
        <f>'SurveyRpt_20150223 (1)'!V474+"h_l!%OK"</f>
        <v>#VALUE!</v>
      </c>
      <c r="HP76" t="e">
        <f>'SurveyRpt_20150223 (1)'!W474+"h_l!%OL"</f>
        <v>#VALUE!</v>
      </c>
      <c r="HQ76" t="e">
        <f>'SurveyRpt_20150223 (1)'!X474+"h_l!%OM"</f>
        <v>#VALUE!</v>
      </c>
      <c r="HR76" t="e">
        <f>'SurveyRpt_20150223 (1)'!Y474+"h_l!%ON"</f>
        <v>#VALUE!</v>
      </c>
      <c r="HS76" t="e">
        <f>'SurveyRpt_20150223 (1)'!Z474+"h_l!%OO"</f>
        <v>#VALUE!</v>
      </c>
      <c r="HT76" t="e">
        <f>'SurveyRpt_20150223 (1)'!AA474+"h_l!%OP"</f>
        <v>#VALUE!</v>
      </c>
      <c r="HU76" t="e">
        <f>'SurveyRpt_20150223 (1)'!AB474+"h_l!%OQ"</f>
        <v>#VALUE!</v>
      </c>
      <c r="HV76" t="e">
        <f>'SurveyRpt_20150223 (1)'!AC474+"h_l!%OR"</f>
        <v>#VALUE!</v>
      </c>
      <c r="HW76" t="e">
        <f>'SurveyRpt_20150223 (1)'!AD474+"h_l!%OS"</f>
        <v>#VALUE!</v>
      </c>
      <c r="HX76" t="e">
        <f>'SurveyRpt_20150223 (1)'!AE474+"h_l!%OT"</f>
        <v>#VALUE!</v>
      </c>
      <c r="HY76" t="e">
        <f>'SurveyRpt_20150223 (1)'!AF474+"h_l!%OU"</f>
        <v>#VALUE!</v>
      </c>
      <c r="HZ76" t="e">
        <f>'SurveyRpt_20150223 (1)'!AG474+"h_l!%OV"</f>
        <v>#VALUE!</v>
      </c>
      <c r="IA76" t="e">
        <f>'SurveyRpt_20150223 (1)'!AH474+"h_l!%OW"</f>
        <v>#VALUE!</v>
      </c>
      <c r="IB76" t="e">
        <f>'SurveyRpt_20150223 (1)'!AI474+"h_l!%OX"</f>
        <v>#VALUE!</v>
      </c>
      <c r="IC76" t="e">
        <f>'SurveyRpt_20150223 (1)'!AJ474+"h_l!%OY"</f>
        <v>#VALUE!</v>
      </c>
      <c r="ID76" t="e">
        <f>'SurveyRpt_20150223 (1)'!AK474+"h_l!%OZ"</f>
        <v>#VALUE!</v>
      </c>
      <c r="IE76" t="e">
        <f>'SurveyRpt_20150223 (1)'!AL474+"h_l!%O["</f>
        <v>#VALUE!</v>
      </c>
      <c r="IF76" t="e">
        <f>'SurveyRpt_20150223 (1)'!AM474+"h_l!%O\"</f>
        <v>#VALUE!</v>
      </c>
      <c r="IG76" t="e">
        <f>'SurveyRpt_20150223 (1)'!AN474+"h_l!%O]"</f>
        <v>#VALUE!</v>
      </c>
      <c r="IH76" t="e">
        <f>'SurveyRpt_20150223 (1)'!A475+"h_l!%O^"</f>
        <v>#VALUE!</v>
      </c>
      <c r="II76" s="25" t="e">
        <f>'SurveyRpt_20150223 (1)'!B475+"h_l!%O_"</f>
        <v>#VALUE!</v>
      </c>
      <c r="IJ76" t="e">
        <f>'SurveyRpt_20150223 (1)'!C475+"h_l!%O`"</f>
        <v>#VALUE!</v>
      </c>
      <c r="IK76" s="25" t="e">
        <f>'SurveyRpt_20150223 (1)'!D475+"h_l!%Oa"</f>
        <v>#VALUE!</v>
      </c>
      <c r="IL76" t="e">
        <f>'SurveyRpt_20150223 (1)'!E475+"h_l!%Ob"</f>
        <v>#VALUE!</v>
      </c>
      <c r="IM76" t="e">
        <f>'SurveyRpt_20150223 (1)'!F475+"h_l!%Oc"</f>
        <v>#VALUE!</v>
      </c>
      <c r="IN76" t="e">
        <f>'SurveyRpt_20150223 (1)'!G475+"h_l!%Od"</f>
        <v>#VALUE!</v>
      </c>
      <c r="IO76" t="e">
        <f>'SurveyRpt_20150223 (1)'!H475+"h_l!%Oe"</f>
        <v>#VALUE!</v>
      </c>
      <c r="IP76" t="e">
        <f>'SurveyRpt_20150223 (1)'!I475+"h_l!%Of"</f>
        <v>#VALUE!</v>
      </c>
      <c r="IQ76" t="e">
        <f>'SurveyRpt_20150223 (1)'!J475+"h_l!%Og"</f>
        <v>#VALUE!</v>
      </c>
      <c r="IR76" t="e">
        <f>'SurveyRpt_20150223 (1)'!K475+"h_l!%Oh"</f>
        <v>#VALUE!</v>
      </c>
      <c r="IS76" t="e">
        <f>'SurveyRpt_20150223 (1)'!L475+"h_l!%Oi"</f>
        <v>#VALUE!</v>
      </c>
      <c r="IT76" t="e">
        <f>'SurveyRpt_20150223 (1)'!M475+"h_l!%Oj"</f>
        <v>#VALUE!</v>
      </c>
      <c r="IU76" t="e">
        <f>'SurveyRpt_20150223 (1)'!N475+"h_l!%Ok"</f>
        <v>#VALUE!</v>
      </c>
      <c r="IV76" t="e">
        <f>'SurveyRpt_20150223 (1)'!O475+"h_l!%Ol"</f>
        <v>#VALUE!</v>
      </c>
    </row>
    <row r="77" spans="6:256" x14ac:dyDescent="0.25">
      <c r="F77" t="e">
        <f>'SurveyRpt_20150223 (1)'!P475+"h_l!%Om"</f>
        <v>#VALUE!</v>
      </c>
      <c r="G77" t="e">
        <f>'SurveyRpt_20150223 (1)'!Q475+"h_l!%On"</f>
        <v>#VALUE!</v>
      </c>
      <c r="H77" t="e">
        <f>'SurveyRpt_20150223 (1)'!R475+"h_l!%Oo"</f>
        <v>#VALUE!</v>
      </c>
      <c r="I77" t="e">
        <f>'SurveyRpt_20150223 (1)'!S475+"h_l!%Op"</f>
        <v>#VALUE!</v>
      </c>
      <c r="J77" t="e">
        <f>'SurveyRpt_20150223 (1)'!T475+"h_l!%Oq"</f>
        <v>#VALUE!</v>
      </c>
      <c r="K77" t="e">
        <f>'SurveyRpt_20150223 (1)'!U475+"h_l!%Or"</f>
        <v>#VALUE!</v>
      </c>
      <c r="L77" t="e">
        <f>'SurveyRpt_20150223 (1)'!V475+"h_l!%Os"</f>
        <v>#VALUE!</v>
      </c>
      <c r="M77" t="e">
        <f>'SurveyRpt_20150223 (1)'!W475+"h_l!%Ot"</f>
        <v>#VALUE!</v>
      </c>
      <c r="N77" t="e">
        <f>'SurveyRpt_20150223 (1)'!X475+"h_l!%Ou"</f>
        <v>#VALUE!</v>
      </c>
      <c r="O77" t="e">
        <f>'SurveyRpt_20150223 (1)'!Y475+"h_l!%Ov"</f>
        <v>#VALUE!</v>
      </c>
      <c r="P77" t="e">
        <f>'SurveyRpt_20150223 (1)'!Z475+"h_l!%Ow"</f>
        <v>#VALUE!</v>
      </c>
      <c r="Q77" t="e">
        <f>'SurveyRpt_20150223 (1)'!AA475+"h_l!%Ox"</f>
        <v>#VALUE!</v>
      </c>
      <c r="R77" t="e">
        <f>'SurveyRpt_20150223 (1)'!AB475+"h_l!%Oy"</f>
        <v>#VALUE!</v>
      </c>
      <c r="S77" t="e">
        <f>'SurveyRpt_20150223 (1)'!AC475+"h_l!%Oz"</f>
        <v>#VALUE!</v>
      </c>
      <c r="T77" t="e">
        <f>'SurveyRpt_20150223 (1)'!AD475+"h_l!%O{"</f>
        <v>#VALUE!</v>
      </c>
      <c r="U77" t="e">
        <f>'SurveyRpt_20150223 (1)'!AE475+"h_l!%O|"</f>
        <v>#VALUE!</v>
      </c>
      <c r="V77" t="e">
        <f>'SurveyRpt_20150223 (1)'!AF475+"h_l!%O}"</f>
        <v>#VALUE!</v>
      </c>
      <c r="W77" t="e">
        <f>'SurveyRpt_20150223 (1)'!AG475+"h_l!%O~"</f>
        <v>#VALUE!</v>
      </c>
      <c r="X77" t="e">
        <f>'SurveyRpt_20150223 (1)'!AH475+"h_l!%P#"</f>
        <v>#VALUE!</v>
      </c>
      <c r="Y77" t="e">
        <f>'SurveyRpt_20150223 (1)'!AI475+"h_l!%P$"</f>
        <v>#VALUE!</v>
      </c>
      <c r="Z77" t="e">
        <f>'SurveyRpt_20150223 (1)'!AJ475+"h_l!%P%"</f>
        <v>#VALUE!</v>
      </c>
      <c r="AA77" t="e">
        <f>'SurveyRpt_20150223 (1)'!AK475+"h_l!%P&amp;"</f>
        <v>#VALUE!</v>
      </c>
      <c r="AB77" t="e">
        <f>'SurveyRpt_20150223 (1)'!AL475+"h_l!%P'"</f>
        <v>#VALUE!</v>
      </c>
      <c r="AC77" t="e">
        <f>'SurveyRpt_20150223 (1)'!AM475+"h_l!%P("</f>
        <v>#VALUE!</v>
      </c>
      <c r="AD77" t="e">
        <f>'SurveyRpt_20150223 (1)'!AN475+"h_l!%P)"</f>
        <v>#VALUE!</v>
      </c>
      <c r="AE77" t="e">
        <f>'SurveyRpt_20150223 (1)'!A476+"h_l!%P."</f>
        <v>#VALUE!</v>
      </c>
      <c r="AF77" s="25" t="e">
        <f>'SurveyRpt_20150223 (1)'!B476+"h_l!%P/"</f>
        <v>#VALUE!</v>
      </c>
      <c r="AG77" t="e">
        <f>'SurveyRpt_20150223 (1)'!C476+"h_l!%P0"</f>
        <v>#VALUE!</v>
      </c>
      <c r="AH77" s="25" t="e">
        <f>'SurveyRpt_20150223 (1)'!D476+"h_l!%P1"</f>
        <v>#VALUE!</v>
      </c>
      <c r="AI77" t="e">
        <f>'SurveyRpt_20150223 (1)'!E476+"h_l!%P2"</f>
        <v>#VALUE!</v>
      </c>
      <c r="AJ77" t="e">
        <f>'SurveyRpt_20150223 (1)'!F476+"h_l!%P3"</f>
        <v>#VALUE!</v>
      </c>
      <c r="AK77" t="e">
        <f>'SurveyRpt_20150223 (1)'!G476+"h_l!%P4"</f>
        <v>#VALUE!</v>
      </c>
      <c r="AL77" t="e">
        <f>'SurveyRpt_20150223 (1)'!H476+"h_l!%P5"</f>
        <v>#VALUE!</v>
      </c>
      <c r="AM77" t="e">
        <f>'SurveyRpt_20150223 (1)'!I476+"h_l!%P6"</f>
        <v>#VALUE!</v>
      </c>
      <c r="AN77" t="e">
        <f>'SurveyRpt_20150223 (1)'!J476+"h_l!%P7"</f>
        <v>#VALUE!</v>
      </c>
      <c r="AO77" t="e">
        <f>'SurveyRpt_20150223 (1)'!K476+"h_l!%P8"</f>
        <v>#VALUE!</v>
      </c>
      <c r="AP77" t="e">
        <f>'SurveyRpt_20150223 (1)'!L476+"h_l!%P9"</f>
        <v>#VALUE!</v>
      </c>
      <c r="AQ77" t="e">
        <f>'SurveyRpt_20150223 (1)'!M476+"h_l!%P:"</f>
        <v>#VALUE!</v>
      </c>
      <c r="AR77" t="e">
        <f>'SurveyRpt_20150223 (1)'!N476+"h_l!%P;"</f>
        <v>#VALUE!</v>
      </c>
      <c r="AS77" t="e">
        <f>'SurveyRpt_20150223 (1)'!O476+"h_l!%P&lt;"</f>
        <v>#VALUE!</v>
      </c>
      <c r="AT77" t="e">
        <f>'SurveyRpt_20150223 (1)'!P476+"h_l!%P="</f>
        <v>#VALUE!</v>
      </c>
      <c r="AU77" t="e">
        <f>'SurveyRpt_20150223 (1)'!Q476+"h_l!%P&gt;"</f>
        <v>#VALUE!</v>
      </c>
      <c r="AV77" t="e">
        <f>'SurveyRpt_20150223 (1)'!R476+"h_l!%P?"</f>
        <v>#VALUE!</v>
      </c>
      <c r="AW77" t="e">
        <f>'SurveyRpt_20150223 (1)'!S476+"h_l!%P@"</f>
        <v>#VALUE!</v>
      </c>
      <c r="AX77" t="e">
        <f>'SurveyRpt_20150223 (1)'!T476+"h_l!%PA"</f>
        <v>#VALUE!</v>
      </c>
      <c r="AY77" t="e">
        <f>'SurveyRpt_20150223 (1)'!U476+"h_l!%PB"</f>
        <v>#VALUE!</v>
      </c>
      <c r="AZ77" t="e">
        <f>'SurveyRpt_20150223 (1)'!V476+"h_l!%PC"</f>
        <v>#VALUE!</v>
      </c>
      <c r="BA77" t="e">
        <f>'SurveyRpt_20150223 (1)'!W476+"h_l!%PD"</f>
        <v>#VALUE!</v>
      </c>
      <c r="BB77" t="e">
        <f>'SurveyRpt_20150223 (1)'!X476+"h_l!%PE"</f>
        <v>#VALUE!</v>
      </c>
      <c r="BC77" t="e">
        <f>'SurveyRpt_20150223 (1)'!Y476+"h_l!%PF"</f>
        <v>#VALUE!</v>
      </c>
      <c r="BD77" t="e">
        <f>'SurveyRpt_20150223 (1)'!Z476+"h_l!%PG"</f>
        <v>#VALUE!</v>
      </c>
      <c r="BE77" t="e">
        <f>'SurveyRpt_20150223 (1)'!AA476+"h_l!%PH"</f>
        <v>#VALUE!</v>
      </c>
      <c r="BF77" t="e">
        <f>'SurveyRpt_20150223 (1)'!AB476+"h_l!%PI"</f>
        <v>#VALUE!</v>
      </c>
      <c r="BG77" t="e">
        <f>'SurveyRpt_20150223 (1)'!AC476+"h_l!%PJ"</f>
        <v>#VALUE!</v>
      </c>
      <c r="BH77" t="e">
        <f>'SurveyRpt_20150223 (1)'!AD476+"h_l!%PK"</f>
        <v>#VALUE!</v>
      </c>
      <c r="BI77" t="e">
        <f>'SurveyRpt_20150223 (1)'!AE476+"h_l!%PL"</f>
        <v>#VALUE!</v>
      </c>
      <c r="BJ77" t="e">
        <f>'SurveyRpt_20150223 (1)'!AF476+"h_l!%PM"</f>
        <v>#VALUE!</v>
      </c>
      <c r="BK77" t="e">
        <f>'SurveyRpt_20150223 (1)'!AG476+"h_l!%PN"</f>
        <v>#VALUE!</v>
      </c>
      <c r="BL77" t="e">
        <f>'SurveyRpt_20150223 (1)'!AH476+"h_l!%PO"</f>
        <v>#VALUE!</v>
      </c>
      <c r="BM77" t="e">
        <f>'SurveyRpt_20150223 (1)'!AI476+"h_l!%PP"</f>
        <v>#VALUE!</v>
      </c>
      <c r="BN77" t="e">
        <f>'SurveyRpt_20150223 (1)'!AJ476+"h_l!%PQ"</f>
        <v>#VALUE!</v>
      </c>
      <c r="BO77" t="e">
        <f>'SurveyRpt_20150223 (1)'!AK476+"h_l!%PR"</f>
        <v>#VALUE!</v>
      </c>
      <c r="BP77" t="e">
        <f>'SurveyRpt_20150223 (1)'!AL476+"h_l!%PS"</f>
        <v>#VALUE!</v>
      </c>
      <c r="BQ77" t="e">
        <f>'SurveyRpt_20150223 (1)'!AM476+"h_l!%PT"</f>
        <v>#VALUE!</v>
      </c>
      <c r="BR77" t="e">
        <f>'SurveyRpt_20150223 (1)'!AN476+"h_l!%PU"</f>
        <v>#VALUE!</v>
      </c>
      <c r="BS77" t="e">
        <f>'SurveyRpt_20150223 (1)'!A477+"h_l!%PV"</f>
        <v>#VALUE!</v>
      </c>
      <c r="BT77" s="25" t="e">
        <f>'SurveyRpt_20150223 (1)'!B477+"h_l!%PW"</f>
        <v>#VALUE!</v>
      </c>
      <c r="BU77" t="e">
        <f>'SurveyRpt_20150223 (1)'!C477+"h_l!%PX"</f>
        <v>#VALUE!</v>
      </c>
      <c r="BV77" s="25" t="e">
        <f>'SurveyRpt_20150223 (1)'!D477+"h_l!%PY"</f>
        <v>#VALUE!</v>
      </c>
      <c r="BW77" t="e">
        <f>'SurveyRpt_20150223 (1)'!E477+"h_l!%PZ"</f>
        <v>#VALUE!</v>
      </c>
      <c r="BX77" t="e">
        <f>'SurveyRpt_20150223 (1)'!F477+"h_l!%P["</f>
        <v>#VALUE!</v>
      </c>
      <c r="BY77" t="e">
        <f>'SurveyRpt_20150223 (1)'!G477+"h_l!%P\"</f>
        <v>#VALUE!</v>
      </c>
      <c r="BZ77" t="e">
        <f>'SurveyRpt_20150223 (1)'!H477+"h_l!%P]"</f>
        <v>#VALUE!</v>
      </c>
      <c r="CA77" t="e">
        <f>'SurveyRpt_20150223 (1)'!I477+"h_l!%P^"</f>
        <v>#VALUE!</v>
      </c>
      <c r="CB77" t="e">
        <f>'SurveyRpt_20150223 (1)'!J477+"h_l!%P_"</f>
        <v>#VALUE!</v>
      </c>
      <c r="CC77" t="e">
        <f>'SurveyRpt_20150223 (1)'!K477+"h_l!%P`"</f>
        <v>#VALUE!</v>
      </c>
      <c r="CD77" t="e">
        <f>'SurveyRpt_20150223 (1)'!L477+"h_l!%Pa"</f>
        <v>#VALUE!</v>
      </c>
      <c r="CE77" t="e">
        <f>'SurveyRpt_20150223 (1)'!M477+"h_l!%Pb"</f>
        <v>#VALUE!</v>
      </c>
      <c r="CF77" t="e">
        <f>'SurveyRpt_20150223 (1)'!N477+"h_l!%Pc"</f>
        <v>#VALUE!</v>
      </c>
      <c r="CG77" t="e">
        <f>'SurveyRpt_20150223 (1)'!O477+"h_l!%Pd"</f>
        <v>#VALUE!</v>
      </c>
      <c r="CH77" t="e">
        <f>'SurveyRpt_20150223 (1)'!P477+"h_l!%Pe"</f>
        <v>#VALUE!</v>
      </c>
      <c r="CI77" t="e">
        <f>'SurveyRpt_20150223 (1)'!Q477+"h_l!%Pf"</f>
        <v>#VALUE!</v>
      </c>
      <c r="CJ77" t="e">
        <f>'SurveyRpt_20150223 (1)'!R477+"h_l!%Pg"</f>
        <v>#VALUE!</v>
      </c>
      <c r="CK77" t="e">
        <f>'SurveyRpt_20150223 (1)'!S477+"h_l!%Ph"</f>
        <v>#VALUE!</v>
      </c>
      <c r="CL77" t="e">
        <f>'SurveyRpt_20150223 (1)'!T477+"h_l!%Pi"</f>
        <v>#VALUE!</v>
      </c>
      <c r="CM77" t="e">
        <f>'SurveyRpt_20150223 (1)'!U477+"h_l!%Pj"</f>
        <v>#VALUE!</v>
      </c>
      <c r="CN77" t="e">
        <f>'SurveyRpt_20150223 (1)'!V477+"h_l!%Pk"</f>
        <v>#VALUE!</v>
      </c>
      <c r="CO77" t="e">
        <f>'SurveyRpt_20150223 (1)'!W477+"h_l!%Pl"</f>
        <v>#VALUE!</v>
      </c>
      <c r="CP77" t="e">
        <f>'SurveyRpt_20150223 (1)'!X477+"h_l!%Pm"</f>
        <v>#VALUE!</v>
      </c>
      <c r="CQ77" t="e">
        <f>'SurveyRpt_20150223 (1)'!Y477+"h_l!%Pn"</f>
        <v>#VALUE!</v>
      </c>
      <c r="CR77" t="e">
        <f>'SurveyRpt_20150223 (1)'!Z477+"h_l!%Po"</f>
        <v>#VALUE!</v>
      </c>
      <c r="CS77" t="e">
        <f>'SurveyRpt_20150223 (1)'!AA477+"h_l!%Pp"</f>
        <v>#VALUE!</v>
      </c>
      <c r="CT77" t="e">
        <f>'SurveyRpt_20150223 (1)'!AB477+"h_l!%Pq"</f>
        <v>#VALUE!</v>
      </c>
      <c r="CU77" t="e">
        <f>'SurveyRpt_20150223 (1)'!AC477+"h_l!%Pr"</f>
        <v>#VALUE!</v>
      </c>
      <c r="CV77" t="e">
        <f>'SurveyRpt_20150223 (1)'!AD477+"h_l!%Ps"</f>
        <v>#VALUE!</v>
      </c>
      <c r="CW77" t="e">
        <f>'SurveyRpt_20150223 (1)'!AE477+"h_l!%Pt"</f>
        <v>#VALUE!</v>
      </c>
      <c r="CX77" t="e">
        <f>'SurveyRpt_20150223 (1)'!AF477+"h_l!%Pu"</f>
        <v>#VALUE!</v>
      </c>
      <c r="CY77" t="e">
        <f>'SurveyRpt_20150223 (1)'!AG477+"h_l!%Pv"</f>
        <v>#VALUE!</v>
      </c>
      <c r="CZ77" t="e">
        <f>'SurveyRpt_20150223 (1)'!AH477+"h_l!%Pw"</f>
        <v>#VALUE!</v>
      </c>
      <c r="DA77" t="e">
        <f>'SurveyRpt_20150223 (1)'!AI477+"h_l!%Px"</f>
        <v>#VALUE!</v>
      </c>
      <c r="DB77" t="e">
        <f>'SurveyRpt_20150223 (1)'!AJ477+"h_l!%Py"</f>
        <v>#VALUE!</v>
      </c>
      <c r="DC77" t="e">
        <f>'SurveyRpt_20150223 (1)'!AK477+"h_l!%Pz"</f>
        <v>#VALUE!</v>
      </c>
      <c r="DD77" t="e">
        <f>'SurveyRpt_20150223 (1)'!AL477+"h_l!%P{"</f>
        <v>#VALUE!</v>
      </c>
      <c r="DE77" t="e">
        <f>'SurveyRpt_20150223 (1)'!AM477+"h_l!%P|"</f>
        <v>#VALUE!</v>
      </c>
      <c r="DF77" t="e">
        <f>'SurveyRpt_20150223 (1)'!AN477+"h_l!%P}"</f>
        <v>#VALUE!</v>
      </c>
      <c r="DG77" t="e">
        <f>'SurveyRpt_20150223 (1)'!A478+"h_l!%P~"</f>
        <v>#VALUE!</v>
      </c>
      <c r="DH77" s="25" t="e">
        <f>'SurveyRpt_20150223 (1)'!B478+"h_l!%Q#"</f>
        <v>#VALUE!</v>
      </c>
      <c r="DI77" t="e">
        <f>'SurveyRpt_20150223 (1)'!C478+"h_l!%Q$"</f>
        <v>#VALUE!</v>
      </c>
      <c r="DJ77" s="25" t="e">
        <f>'SurveyRpt_20150223 (1)'!D478+"h_l!%Q%"</f>
        <v>#VALUE!</v>
      </c>
      <c r="DK77" t="e">
        <f>'SurveyRpt_20150223 (1)'!E478+"h_l!%Q&amp;"</f>
        <v>#VALUE!</v>
      </c>
      <c r="DL77" t="e">
        <f>'SurveyRpt_20150223 (1)'!F478+"h_l!%Q'"</f>
        <v>#VALUE!</v>
      </c>
      <c r="DM77" t="e">
        <f>'SurveyRpt_20150223 (1)'!G478+"h_l!%Q("</f>
        <v>#VALUE!</v>
      </c>
      <c r="DN77" t="e">
        <f>'SurveyRpt_20150223 (1)'!H478+"h_l!%Q)"</f>
        <v>#VALUE!</v>
      </c>
      <c r="DO77" t="e">
        <f>'SurveyRpt_20150223 (1)'!I478+"h_l!%Q."</f>
        <v>#VALUE!</v>
      </c>
      <c r="DP77" t="e">
        <f>'SurveyRpt_20150223 (1)'!J478+"h_l!%Q/"</f>
        <v>#VALUE!</v>
      </c>
      <c r="DQ77" t="e">
        <f>'SurveyRpt_20150223 (1)'!K478+"h_l!%Q0"</f>
        <v>#VALUE!</v>
      </c>
      <c r="DR77" t="e">
        <f>'SurveyRpt_20150223 (1)'!L478+"h_l!%Q1"</f>
        <v>#VALUE!</v>
      </c>
      <c r="DS77" t="e">
        <f>'SurveyRpt_20150223 (1)'!M478+"h_l!%Q2"</f>
        <v>#VALUE!</v>
      </c>
      <c r="DT77" t="e">
        <f>'SurveyRpt_20150223 (1)'!N478+"h_l!%Q3"</f>
        <v>#VALUE!</v>
      </c>
      <c r="DU77" t="e">
        <f>'SurveyRpt_20150223 (1)'!O478+"h_l!%Q4"</f>
        <v>#VALUE!</v>
      </c>
      <c r="DV77" t="e">
        <f>'SurveyRpt_20150223 (1)'!P478+"h_l!%Q5"</f>
        <v>#VALUE!</v>
      </c>
      <c r="DW77" t="e">
        <f>'SurveyRpt_20150223 (1)'!Q478+"h_l!%Q6"</f>
        <v>#VALUE!</v>
      </c>
      <c r="DX77" t="e">
        <f>'SurveyRpt_20150223 (1)'!R478+"h_l!%Q7"</f>
        <v>#VALUE!</v>
      </c>
      <c r="DY77" t="e">
        <f>'SurveyRpt_20150223 (1)'!S478+"h_l!%Q8"</f>
        <v>#VALUE!</v>
      </c>
      <c r="DZ77" t="e">
        <f>'SurveyRpt_20150223 (1)'!T478+"h_l!%Q9"</f>
        <v>#VALUE!</v>
      </c>
      <c r="EA77" t="e">
        <f>'SurveyRpt_20150223 (1)'!U478+"h_l!%Q:"</f>
        <v>#VALUE!</v>
      </c>
      <c r="EB77" t="e">
        <f>'SurveyRpt_20150223 (1)'!V478+"h_l!%Q;"</f>
        <v>#VALUE!</v>
      </c>
      <c r="EC77" t="e">
        <f>'SurveyRpt_20150223 (1)'!W478+"h_l!%Q&lt;"</f>
        <v>#VALUE!</v>
      </c>
      <c r="ED77" t="e">
        <f>'SurveyRpt_20150223 (1)'!X478+"h_l!%Q="</f>
        <v>#VALUE!</v>
      </c>
      <c r="EE77" t="e">
        <f>'SurveyRpt_20150223 (1)'!Y478+"h_l!%Q&gt;"</f>
        <v>#VALUE!</v>
      </c>
      <c r="EF77" t="e">
        <f>'SurveyRpt_20150223 (1)'!Z478+"h_l!%Q?"</f>
        <v>#VALUE!</v>
      </c>
      <c r="EG77" t="e">
        <f>'SurveyRpt_20150223 (1)'!AA478+"h_l!%Q@"</f>
        <v>#VALUE!</v>
      </c>
      <c r="EH77" t="e">
        <f>'SurveyRpt_20150223 (1)'!AB478+"h_l!%QA"</f>
        <v>#VALUE!</v>
      </c>
      <c r="EI77" t="e">
        <f>'SurveyRpt_20150223 (1)'!AC478+"h_l!%QB"</f>
        <v>#VALUE!</v>
      </c>
      <c r="EJ77" t="e">
        <f>'SurveyRpt_20150223 (1)'!AD478+"h_l!%QC"</f>
        <v>#VALUE!</v>
      </c>
      <c r="EK77" t="e">
        <f>'SurveyRpt_20150223 (1)'!AE478+"h_l!%QD"</f>
        <v>#VALUE!</v>
      </c>
      <c r="EL77" t="e">
        <f>'SurveyRpt_20150223 (1)'!AF478+"h_l!%QE"</f>
        <v>#VALUE!</v>
      </c>
      <c r="EM77" t="e">
        <f>'SurveyRpt_20150223 (1)'!AG478+"h_l!%QF"</f>
        <v>#VALUE!</v>
      </c>
      <c r="EN77" t="e">
        <f>'SurveyRpt_20150223 (1)'!AH478+"h_l!%QG"</f>
        <v>#VALUE!</v>
      </c>
      <c r="EO77" t="e">
        <f>'SurveyRpt_20150223 (1)'!AI478+"h_l!%QH"</f>
        <v>#VALUE!</v>
      </c>
      <c r="EP77" t="e">
        <f>'SurveyRpt_20150223 (1)'!AJ478+"h_l!%QI"</f>
        <v>#VALUE!</v>
      </c>
      <c r="EQ77" t="e">
        <f>'SurveyRpt_20150223 (1)'!AK478+"h_l!%QJ"</f>
        <v>#VALUE!</v>
      </c>
      <c r="ER77" t="e">
        <f>'SurveyRpt_20150223 (1)'!AL478+"h_l!%QK"</f>
        <v>#VALUE!</v>
      </c>
      <c r="ES77" t="e">
        <f>'SurveyRpt_20150223 (1)'!AM478+"h_l!%QL"</f>
        <v>#VALUE!</v>
      </c>
      <c r="ET77" t="e">
        <f>'SurveyRpt_20150223 (1)'!AN478+"h_l!%QM"</f>
        <v>#VALUE!</v>
      </c>
      <c r="EU77" t="e">
        <f>'SurveyRpt_20150223 (1)'!A479+"h_l!%QN"</f>
        <v>#VALUE!</v>
      </c>
      <c r="EV77" s="25" t="e">
        <f>'SurveyRpt_20150223 (1)'!B479+"h_l!%QO"</f>
        <v>#VALUE!</v>
      </c>
      <c r="EW77" t="e">
        <f>'SurveyRpt_20150223 (1)'!C479+"h_l!%QP"</f>
        <v>#VALUE!</v>
      </c>
      <c r="EX77" s="25" t="e">
        <f>'SurveyRpt_20150223 (1)'!D479+"h_l!%QQ"</f>
        <v>#VALUE!</v>
      </c>
      <c r="EY77" t="e">
        <f>'SurveyRpt_20150223 (1)'!E479+"h_l!%QR"</f>
        <v>#VALUE!</v>
      </c>
      <c r="EZ77" t="e">
        <f>'SurveyRpt_20150223 (1)'!F479+"h_l!%QS"</f>
        <v>#VALUE!</v>
      </c>
      <c r="FA77" t="e">
        <f>'SurveyRpt_20150223 (1)'!G479+"h_l!%QT"</f>
        <v>#VALUE!</v>
      </c>
      <c r="FB77" t="e">
        <f>'SurveyRpt_20150223 (1)'!H479+"h_l!%QU"</f>
        <v>#VALUE!</v>
      </c>
      <c r="FC77" t="e">
        <f>'SurveyRpt_20150223 (1)'!I479+"h_l!%QV"</f>
        <v>#VALUE!</v>
      </c>
      <c r="FD77" t="e">
        <f>'SurveyRpt_20150223 (1)'!J479+"h_l!%QW"</f>
        <v>#VALUE!</v>
      </c>
      <c r="FE77" t="e">
        <f>'SurveyRpt_20150223 (1)'!K479+"h_l!%QX"</f>
        <v>#VALUE!</v>
      </c>
      <c r="FF77" t="e">
        <f>'SurveyRpt_20150223 (1)'!L479+"h_l!%QY"</f>
        <v>#VALUE!</v>
      </c>
      <c r="FG77" t="e">
        <f>'SurveyRpt_20150223 (1)'!M479+"h_l!%QZ"</f>
        <v>#VALUE!</v>
      </c>
      <c r="FH77" t="e">
        <f>'SurveyRpt_20150223 (1)'!N479+"h_l!%Q["</f>
        <v>#VALUE!</v>
      </c>
      <c r="FI77" t="e">
        <f>'SurveyRpt_20150223 (1)'!O479+"h_l!%Q\"</f>
        <v>#VALUE!</v>
      </c>
      <c r="FJ77" t="e">
        <f>'SurveyRpt_20150223 (1)'!P479+"h_l!%Q]"</f>
        <v>#VALUE!</v>
      </c>
      <c r="FK77" t="e">
        <f>'SurveyRpt_20150223 (1)'!Q479+"h_l!%Q^"</f>
        <v>#VALUE!</v>
      </c>
      <c r="FL77" t="e">
        <f>'SurveyRpt_20150223 (1)'!R479+"h_l!%Q_"</f>
        <v>#VALUE!</v>
      </c>
      <c r="FM77" t="e">
        <f>'SurveyRpt_20150223 (1)'!S479+"h_l!%Q`"</f>
        <v>#VALUE!</v>
      </c>
      <c r="FN77" t="e">
        <f>'SurveyRpt_20150223 (1)'!T479+"h_l!%Qa"</f>
        <v>#VALUE!</v>
      </c>
      <c r="FO77" t="e">
        <f>'SurveyRpt_20150223 (1)'!U479+"h_l!%Qb"</f>
        <v>#VALUE!</v>
      </c>
      <c r="FP77" t="e">
        <f>'SurveyRpt_20150223 (1)'!V479+"h_l!%Qc"</f>
        <v>#VALUE!</v>
      </c>
      <c r="FQ77" t="e">
        <f>'SurveyRpt_20150223 (1)'!W479+"h_l!%Qd"</f>
        <v>#VALUE!</v>
      </c>
      <c r="FR77" t="e">
        <f>'SurveyRpt_20150223 (1)'!X479+"h_l!%Qe"</f>
        <v>#VALUE!</v>
      </c>
      <c r="FS77" t="e">
        <f>'SurveyRpt_20150223 (1)'!Y479+"h_l!%Qf"</f>
        <v>#VALUE!</v>
      </c>
      <c r="FT77" t="e">
        <f>'SurveyRpt_20150223 (1)'!Z479+"h_l!%Qg"</f>
        <v>#VALUE!</v>
      </c>
      <c r="FU77" t="e">
        <f>'SurveyRpt_20150223 (1)'!AA479+"h_l!%Qh"</f>
        <v>#VALUE!</v>
      </c>
      <c r="FV77" t="e">
        <f>'SurveyRpt_20150223 (1)'!AB479+"h_l!%Qi"</f>
        <v>#VALUE!</v>
      </c>
      <c r="FW77" t="e">
        <f>'SurveyRpt_20150223 (1)'!AC479+"h_l!%Qj"</f>
        <v>#VALUE!</v>
      </c>
      <c r="FX77" t="e">
        <f>'SurveyRpt_20150223 (1)'!AD479+"h_l!%Qk"</f>
        <v>#VALUE!</v>
      </c>
      <c r="FY77" t="e">
        <f>'SurveyRpt_20150223 (1)'!AE479+"h_l!%Ql"</f>
        <v>#VALUE!</v>
      </c>
      <c r="FZ77" t="e">
        <f>'SurveyRpt_20150223 (1)'!AF479+"h_l!%Qm"</f>
        <v>#VALUE!</v>
      </c>
      <c r="GA77" t="e">
        <f>'SurveyRpt_20150223 (1)'!AG479+"h_l!%Qn"</f>
        <v>#VALUE!</v>
      </c>
      <c r="GB77" t="e">
        <f>'SurveyRpt_20150223 (1)'!AH479+"h_l!%Qo"</f>
        <v>#VALUE!</v>
      </c>
      <c r="GC77" t="e">
        <f>'SurveyRpt_20150223 (1)'!AI479+"h_l!%Qp"</f>
        <v>#VALUE!</v>
      </c>
      <c r="GD77" t="e">
        <f>'SurveyRpt_20150223 (1)'!AJ479+"h_l!%Qq"</f>
        <v>#VALUE!</v>
      </c>
      <c r="GE77" t="e">
        <f>'SurveyRpt_20150223 (1)'!AK479+"h_l!%Qr"</f>
        <v>#VALUE!</v>
      </c>
      <c r="GF77" t="e">
        <f>'SurveyRpt_20150223 (1)'!AL479+"h_l!%Qs"</f>
        <v>#VALUE!</v>
      </c>
      <c r="GG77" t="e">
        <f>'SurveyRpt_20150223 (1)'!AM479+"h_l!%Qt"</f>
        <v>#VALUE!</v>
      </c>
      <c r="GH77" t="e">
        <f>'SurveyRpt_20150223 (1)'!AN479+"h_l!%Qu"</f>
        <v>#VALUE!</v>
      </c>
      <c r="GI77" t="e">
        <f>'SurveyRpt_20150223 (1)'!A480+"h_l!%Qv"</f>
        <v>#VALUE!</v>
      </c>
      <c r="GJ77" s="25" t="e">
        <f>'SurveyRpt_20150223 (1)'!B480+"h_l!%Qw"</f>
        <v>#VALUE!</v>
      </c>
      <c r="GK77" t="e">
        <f>'SurveyRpt_20150223 (1)'!C480+"h_l!%Qx"</f>
        <v>#VALUE!</v>
      </c>
      <c r="GL77" s="25" t="e">
        <f>'SurveyRpt_20150223 (1)'!D480+"h_l!%Qy"</f>
        <v>#VALUE!</v>
      </c>
      <c r="GM77" t="e">
        <f>'SurveyRpt_20150223 (1)'!E480+"h_l!%Qz"</f>
        <v>#VALUE!</v>
      </c>
      <c r="GN77" t="e">
        <f>'SurveyRpt_20150223 (1)'!F480+"h_l!%Q{"</f>
        <v>#VALUE!</v>
      </c>
      <c r="GO77" t="e">
        <f>'SurveyRpt_20150223 (1)'!G480+"h_l!%Q|"</f>
        <v>#VALUE!</v>
      </c>
      <c r="GP77" t="e">
        <f>'SurveyRpt_20150223 (1)'!H480+"h_l!%Q}"</f>
        <v>#VALUE!</v>
      </c>
      <c r="GQ77" t="e">
        <f>'SurveyRpt_20150223 (1)'!I480+"h_l!%Q~"</f>
        <v>#VALUE!</v>
      </c>
      <c r="GR77" t="e">
        <f>'SurveyRpt_20150223 (1)'!J480+"h_l!%R#"</f>
        <v>#VALUE!</v>
      </c>
      <c r="GS77" t="e">
        <f>'SurveyRpt_20150223 (1)'!K480+"h_l!%R$"</f>
        <v>#VALUE!</v>
      </c>
      <c r="GT77" t="e">
        <f>'SurveyRpt_20150223 (1)'!L480+"h_l!%R%"</f>
        <v>#VALUE!</v>
      </c>
      <c r="GU77" t="e">
        <f>'SurveyRpt_20150223 (1)'!M480+"h_l!%R&amp;"</f>
        <v>#VALUE!</v>
      </c>
      <c r="GV77" t="e">
        <f>'SurveyRpt_20150223 (1)'!N480+"h_l!%R'"</f>
        <v>#VALUE!</v>
      </c>
      <c r="GW77" t="e">
        <f>'SurveyRpt_20150223 (1)'!O480+"h_l!%R("</f>
        <v>#VALUE!</v>
      </c>
      <c r="GX77" t="e">
        <f>'SurveyRpt_20150223 (1)'!P480+"h_l!%R)"</f>
        <v>#VALUE!</v>
      </c>
      <c r="GY77" t="e">
        <f>'SurveyRpt_20150223 (1)'!Q480+"h_l!%R."</f>
        <v>#VALUE!</v>
      </c>
      <c r="GZ77" t="e">
        <f>'SurveyRpt_20150223 (1)'!R480+"h_l!%R/"</f>
        <v>#VALUE!</v>
      </c>
      <c r="HA77" t="e">
        <f>'SurveyRpt_20150223 (1)'!S480+"h_l!%R0"</f>
        <v>#VALUE!</v>
      </c>
      <c r="HB77" t="e">
        <f>'SurveyRpt_20150223 (1)'!T480+"h_l!%R1"</f>
        <v>#VALUE!</v>
      </c>
      <c r="HC77" t="e">
        <f>'SurveyRpt_20150223 (1)'!U480+"h_l!%R2"</f>
        <v>#VALUE!</v>
      </c>
      <c r="HD77" t="e">
        <f>'SurveyRpt_20150223 (1)'!V480+"h_l!%R3"</f>
        <v>#VALUE!</v>
      </c>
      <c r="HE77" t="e">
        <f>'SurveyRpt_20150223 (1)'!W480+"h_l!%R4"</f>
        <v>#VALUE!</v>
      </c>
      <c r="HF77" t="e">
        <f>'SurveyRpt_20150223 (1)'!X480+"h_l!%R5"</f>
        <v>#VALUE!</v>
      </c>
      <c r="HG77" t="e">
        <f>'SurveyRpt_20150223 (1)'!Y480+"h_l!%R6"</f>
        <v>#VALUE!</v>
      </c>
      <c r="HH77" t="e">
        <f>'SurveyRpt_20150223 (1)'!Z480+"h_l!%R7"</f>
        <v>#VALUE!</v>
      </c>
      <c r="HI77" t="e">
        <f>'SurveyRpt_20150223 (1)'!AA480+"h_l!%R8"</f>
        <v>#VALUE!</v>
      </c>
      <c r="HJ77" t="e">
        <f>'SurveyRpt_20150223 (1)'!AB480+"h_l!%R9"</f>
        <v>#VALUE!</v>
      </c>
      <c r="HK77" t="e">
        <f>'SurveyRpt_20150223 (1)'!AC480+"h_l!%R:"</f>
        <v>#VALUE!</v>
      </c>
      <c r="HL77" t="e">
        <f>'SurveyRpt_20150223 (1)'!AD480+"h_l!%R;"</f>
        <v>#VALUE!</v>
      </c>
      <c r="HM77" t="e">
        <f>'SurveyRpt_20150223 (1)'!AE480+"h_l!%R&lt;"</f>
        <v>#VALUE!</v>
      </c>
      <c r="HN77" t="e">
        <f>'SurveyRpt_20150223 (1)'!AF480+"h_l!%R="</f>
        <v>#VALUE!</v>
      </c>
      <c r="HO77" t="e">
        <f>'SurveyRpt_20150223 (1)'!AG480+"h_l!%R&gt;"</f>
        <v>#VALUE!</v>
      </c>
      <c r="HP77" t="e">
        <f>'SurveyRpt_20150223 (1)'!AH480+"h_l!%R?"</f>
        <v>#VALUE!</v>
      </c>
      <c r="HQ77" t="e">
        <f>'SurveyRpt_20150223 (1)'!AI480+"h_l!%R@"</f>
        <v>#VALUE!</v>
      </c>
      <c r="HR77" t="e">
        <f>'SurveyRpt_20150223 (1)'!AJ480+"h_l!%RA"</f>
        <v>#VALUE!</v>
      </c>
      <c r="HS77" t="e">
        <f>'SurveyRpt_20150223 (1)'!AK480+"h_l!%RB"</f>
        <v>#VALUE!</v>
      </c>
      <c r="HT77" t="e">
        <f>'SurveyRpt_20150223 (1)'!AL480+"h_l!%RC"</f>
        <v>#VALUE!</v>
      </c>
      <c r="HU77" t="e">
        <f>'SurveyRpt_20150223 (1)'!AM480+"h_l!%RD"</f>
        <v>#VALUE!</v>
      </c>
      <c r="HV77" t="e">
        <f>'SurveyRpt_20150223 (1)'!AN480+"h_l!%RE"</f>
        <v>#VALUE!</v>
      </c>
      <c r="HW77" t="e">
        <f>'SurveyRpt_20150223 (1)'!A481+"h_l!%RF"</f>
        <v>#VALUE!</v>
      </c>
      <c r="HX77" s="25" t="e">
        <f>'SurveyRpt_20150223 (1)'!B481+"h_l!%RG"</f>
        <v>#VALUE!</v>
      </c>
      <c r="HY77" t="e">
        <f>'SurveyRpt_20150223 (1)'!C481+"h_l!%RH"</f>
        <v>#VALUE!</v>
      </c>
      <c r="HZ77" s="25" t="e">
        <f>'SurveyRpt_20150223 (1)'!D481+"h_l!%RI"</f>
        <v>#VALUE!</v>
      </c>
      <c r="IA77" t="e">
        <f>'SurveyRpt_20150223 (1)'!E481+"h_l!%RJ"</f>
        <v>#VALUE!</v>
      </c>
      <c r="IB77" t="e">
        <f>'SurveyRpt_20150223 (1)'!F481+"h_l!%RK"</f>
        <v>#VALUE!</v>
      </c>
      <c r="IC77" t="e">
        <f>'SurveyRpt_20150223 (1)'!G481+"h_l!%RL"</f>
        <v>#VALUE!</v>
      </c>
      <c r="ID77" t="e">
        <f>'SurveyRpt_20150223 (1)'!H481+"h_l!%RM"</f>
        <v>#VALUE!</v>
      </c>
      <c r="IE77" t="e">
        <f>'SurveyRpt_20150223 (1)'!I481+"h_l!%RN"</f>
        <v>#VALUE!</v>
      </c>
      <c r="IF77" t="e">
        <f>'SurveyRpt_20150223 (1)'!J481+"h_l!%RO"</f>
        <v>#VALUE!</v>
      </c>
      <c r="IG77" t="e">
        <f>'SurveyRpt_20150223 (1)'!K481+"h_l!%RP"</f>
        <v>#VALUE!</v>
      </c>
      <c r="IH77" t="e">
        <f>'SurveyRpt_20150223 (1)'!L481+"h_l!%RQ"</f>
        <v>#VALUE!</v>
      </c>
      <c r="II77" t="e">
        <f>'SurveyRpt_20150223 (1)'!M481+"h_l!%RR"</f>
        <v>#VALUE!</v>
      </c>
      <c r="IJ77" t="e">
        <f>'SurveyRpt_20150223 (1)'!N481+"h_l!%RS"</f>
        <v>#VALUE!</v>
      </c>
      <c r="IK77" t="e">
        <f>'SurveyRpt_20150223 (1)'!O481+"h_l!%RT"</f>
        <v>#VALUE!</v>
      </c>
      <c r="IL77" t="e">
        <f>'SurveyRpt_20150223 (1)'!P481+"h_l!%RU"</f>
        <v>#VALUE!</v>
      </c>
      <c r="IM77" t="e">
        <f>'SurveyRpt_20150223 (1)'!Q481+"h_l!%RV"</f>
        <v>#VALUE!</v>
      </c>
      <c r="IN77" t="e">
        <f>'SurveyRpt_20150223 (1)'!R481+"h_l!%RW"</f>
        <v>#VALUE!</v>
      </c>
      <c r="IO77" t="e">
        <f>'SurveyRpt_20150223 (1)'!S481+"h_l!%RX"</f>
        <v>#VALUE!</v>
      </c>
      <c r="IP77" t="e">
        <f>'SurveyRpt_20150223 (1)'!T481+"h_l!%RY"</f>
        <v>#VALUE!</v>
      </c>
      <c r="IQ77" t="e">
        <f>'SurveyRpt_20150223 (1)'!U481+"h_l!%RZ"</f>
        <v>#VALUE!</v>
      </c>
      <c r="IR77" t="e">
        <f>'SurveyRpt_20150223 (1)'!V481+"h_l!%R["</f>
        <v>#VALUE!</v>
      </c>
      <c r="IS77" t="e">
        <f>'SurveyRpt_20150223 (1)'!W481+"h_l!%R\"</f>
        <v>#VALUE!</v>
      </c>
      <c r="IT77" t="e">
        <f>'SurveyRpt_20150223 (1)'!X481+"h_l!%R]"</f>
        <v>#VALUE!</v>
      </c>
      <c r="IU77" t="e">
        <f>'SurveyRpt_20150223 (1)'!Y481+"h_l!%R^"</f>
        <v>#VALUE!</v>
      </c>
      <c r="IV77" t="e">
        <f>'SurveyRpt_20150223 (1)'!Z481+"h_l!%R_"</f>
        <v>#VALUE!</v>
      </c>
    </row>
    <row r="78" spans="6:256" x14ac:dyDescent="0.25">
      <c r="F78" t="e">
        <f>'SurveyRpt_20150223 (1)'!AA481+"h_l!%R`"</f>
        <v>#VALUE!</v>
      </c>
      <c r="G78" t="e">
        <f>'SurveyRpt_20150223 (1)'!AB481+"h_l!%Ra"</f>
        <v>#VALUE!</v>
      </c>
      <c r="H78" t="e">
        <f>'SurveyRpt_20150223 (1)'!AC481+"h_l!%Rb"</f>
        <v>#VALUE!</v>
      </c>
      <c r="I78" t="e">
        <f>'SurveyRpt_20150223 (1)'!AD481+"h_l!%Rc"</f>
        <v>#VALUE!</v>
      </c>
      <c r="J78" t="e">
        <f>'SurveyRpt_20150223 (1)'!AE481+"h_l!%Rd"</f>
        <v>#VALUE!</v>
      </c>
      <c r="K78" t="e">
        <f>'SurveyRpt_20150223 (1)'!AF481+"h_l!%Re"</f>
        <v>#VALUE!</v>
      </c>
      <c r="L78" t="e">
        <f>'SurveyRpt_20150223 (1)'!AG481+"h_l!%Rf"</f>
        <v>#VALUE!</v>
      </c>
      <c r="M78" t="e">
        <f>'SurveyRpt_20150223 (1)'!AH481+"h_l!%Rg"</f>
        <v>#VALUE!</v>
      </c>
      <c r="N78" t="e">
        <f>'SurveyRpt_20150223 (1)'!AI481+"h_l!%Rh"</f>
        <v>#VALUE!</v>
      </c>
      <c r="O78" t="e">
        <f>'SurveyRpt_20150223 (1)'!AJ481+"h_l!%Ri"</f>
        <v>#VALUE!</v>
      </c>
      <c r="P78" t="e">
        <f>'SurveyRpt_20150223 (1)'!AK481+"h_l!%Rj"</f>
        <v>#VALUE!</v>
      </c>
      <c r="Q78" t="e">
        <f>'SurveyRpt_20150223 (1)'!AL481+"h_l!%Rk"</f>
        <v>#VALUE!</v>
      </c>
      <c r="R78" t="e">
        <f>'SurveyRpt_20150223 (1)'!AM481+"h_l!%Rl"</f>
        <v>#VALUE!</v>
      </c>
      <c r="S78" t="e">
        <f>'SurveyRpt_20150223 (1)'!AN481+"h_l!%Rm"</f>
        <v>#VALUE!</v>
      </c>
      <c r="T78" t="e">
        <f>'SurveyRpt_20150223 (1)'!A482+"h_l!%Rn"</f>
        <v>#VALUE!</v>
      </c>
      <c r="U78" s="25" t="e">
        <f>'SurveyRpt_20150223 (1)'!B482+"h_l!%Ro"</f>
        <v>#VALUE!</v>
      </c>
      <c r="V78" t="e">
        <f>'SurveyRpt_20150223 (1)'!C482+"h_l!%Rp"</f>
        <v>#VALUE!</v>
      </c>
      <c r="W78" s="25" t="e">
        <f>'SurveyRpt_20150223 (1)'!D482+"h_l!%Rq"</f>
        <v>#VALUE!</v>
      </c>
      <c r="X78" t="e">
        <f>'SurveyRpt_20150223 (1)'!E482+"h_l!%Rr"</f>
        <v>#VALUE!</v>
      </c>
      <c r="Y78" t="e">
        <f>'SurveyRpt_20150223 (1)'!F482+"h_l!%Rs"</f>
        <v>#VALUE!</v>
      </c>
      <c r="Z78" t="e">
        <f>'SurveyRpt_20150223 (1)'!G482+"h_l!%Rt"</f>
        <v>#VALUE!</v>
      </c>
      <c r="AA78" t="e">
        <f>'SurveyRpt_20150223 (1)'!H482+"h_l!%Ru"</f>
        <v>#VALUE!</v>
      </c>
      <c r="AB78" t="e">
        <f>'SurveyRpt_20150223 (1)'!I482+"h_l!%Rv"</f>
        <v>#VALUE!</v>
      </c>
      <c r="AC78" t="e">
        <f>'SurveyRpt_20150223 (1)'!J482+"h_l!%Rw"</f>
        <v>#VALUE!</v>
      </c>
      <c r="AD78" t="e">
        <f>'SurveyRpt_20150223 (1)'!K482+"h_l!%Rx"</f>
        <v>#VALUE!</v>
      </c>
      <c r="AE78" t="e">
        <f>'SurveyRpt_20150223 (1)'!L482+"h_l!%Ry"</f>
        <v>#VALUE!</v>
      </c>
      <c r="AF78" t="e">
        <f>'SurveyRpt_20150223 (1)'!M482+"h_l!%Rz"</f>
        <v>#VALUE!</v>
      </c>
      <c r="AG78" t="e">
        <f>'SurveyRpt_20150223 (1)'!N482+"h_l!%R{"</f>
        <v>#VALUE!</v>
      </c>
      <c r="AH78" t="e">
        <f>'SurveyRpt_20150223 (1)'!O482+"h_l!%R|"</f>
        <v>#VALUE!</v>
      </c>
      <c r="AI78" t="e">
        <f>'SurveyRpt_20150223 (1)'!P482+"h_l!%R}"</f>
        <v>#VALUE!</v>
      </c>
      <c r="AJ78" t="e">
        <f>'SurveyRpt_20150223 (1)'!Q482+"h_l!%R~"</f>
        <v>#VALUE!</v>
      </c>
      <c r="AK78" t="e">
        <f>'SurveyRpt_20150223 (1)'!R482+"h_l!%S#"</f>
        <v>#VALUE!</v>
      </c>
      <c r="AL78" t="e">
        <f>'SurveyRpt_20150223 (1)'!S482+"h_l!%S$"</f>
        <v>#VALUE!</v>
      </c>
      <c r="AM78" t="e">
        <f>'SurveyRpt_20150223 (1)'!T482+"h_l!%S%"</f>
        <v>#VALUE!</v>
      </c>
      <c r="AN78" t="e">
        <f>'SurveyRpt_20150223 (1)'!U482+"h_l!%S&amp;"</f>
        <v>#VALUE!</v>
      </c>
      <c r="AO78" t="e">
        <f>'SurveyRpt_20150223 (1)'!V482+"h_l!%S'"</f>
        <v>#VALUE!</v>
      </c>
      <c r="AP78" t="e">
        <f>'SurveyRpt_20150223 (1)'!W482+"h_l!%S("</f>
        <v>#VALUE!</v>
      </c>
      <c r="AQ78" t="e">
        <f>'SurveyRpt_20150223 (1)'!X482+"h_l!%S)"</f>
        <v>#VALUE!</v>
      </c>
      <c r="AR78" t="e">
        <f>'SurveyRpt_20150223 (1)'!Y482+"h_l!%S."</f>
        <v>#VALUE!</v>
      </c>
      <c r="AS78" t="e">
        <f>'SurveyRpt_20150223 (1)'!Z482+"h_l!%S/"</f>
        <v>#VALUE!</v>
      </c>
      <c r="AT78" t="e">
        <f>'SurveyRpt_20150223 (1)'!AA482+"h_l!%S0"</f>
        <v>#VALUE!</v>
      </c>
      <c r="AU78" t="e">
        <f>'SurveyRpt_20150223 (1)'!AB482+"h_l!%S1"</f>
        <v>#VALUE!</v>
      </c>
      <c r="AV78" t="e">
        <f>'SurveyRpt_20150223 (1)'!AC482+"h_l!%S2"</f>
        <v>#VALUE!</v>
      </c>
      <c r="AW78" t="e">
        <f>'SurveyRpt_20150223 (1)'!AD482+"h_l!%S3"</f>
        <v>#VALUE!</v>
      </c>
      <c r="AX78" t="e">
        <f>'SurveyRpt_20150223 (1)'!AE482+"h_l!%S4"</f>
        <v>#VALUE!</v>
      </c>
      <c r="AY78" t="e">
        <f>'SurveyRpt_20150223 (1)'!AF482+"h_l!%S5"</f>
        <v>#VALUE!</v>
      </c>
      <c r="AZ78" t="e">
        <f>'SurveyRpt_20150223 (1)'!AG482+"h_l!%S6"</f>
        <v>#VALUE!</v>
      </c>
      <c r="BA78" t="e">
        <f>'SurveyRpt_20150223 (1)'!AH482+"h_l!%S7"</f>
        <v>#VALUE!</v>
      </c>
      <c r="BB78" t="e">
        <f>'SurveyRpt_20150223 (1)'!AI482+"h_l!%S8"</f>
        <v>#VALUE!</v>
      </c>
      <c r="BC78" t="e">
        <f>'SurveyRpt_20150223 (1)'!AJ482+"h_l!%S9"</f>
        <v>#VALUE!</v>
      </c>
      <c r="BD78" t="e">
        <f>'SurveyRpt_20150223 (1)'!AK482+"h_l!%S:"</f>
        <v>#VALUE!</v>
      </c>
      <c r="BE78" t="e">
        <f>'SurveyRpt_20150223 (1)'!AL482+"h_l!%S;"</f>
        <v>#VALUE!</v>
      </c>
      <c r="BF78" t="e">
        <f>'SurveyRpt_20150223 (1)'!AM482+"h_l!%S&lt;"</f>
        <v>#VALUE!</v>
      </c>
      <c r="BG78" t="e">
        <f>'SurveyRpt_20150223 (1)'!AN482+"h_l!%S="</f>
        <v>#VALUE!</v>
      </c>
      <c r="BH78" t="e">
        <f>'SurveyRpt_20150223 (1)'!A483+"h_l!%S&gt;"</f>
        <v>#VALUE!</v>
      </c>
      <c r="BI78" s="25" t="e">
        <f>'SurveyRpt_20150223 (1)'!B483+"h_l!%S?"</f>
        <v>#VALUE!</v>
      </c>
      <c r="BJ78" t="e">
        <f>'SurveyRpt_20150223 (1)'!C483+"h_l!%S@"</f>
        <v>#VALUE!</v>
      </c>
      <c r="BK78" s="25" t="e">
        <f>'SurveyRpt_20150223 (1)'!D483+"h_l!%SA"</f>
        <v>#VALUE!</v>
      </c>
      <c r="BL78" t="e">
        <f>'SurveyRpt_20150223 (1)'!E483+"h_l!%SB"</f>
        <v>#VALUE!</v>
      </c>
      <c r="BM78" t="e">
        <f>'SurveyRpt_20150223 (1)'!F483+"h_l!%SC"</f>
        <v>#VALUE!</v>
      </c>
      <c r="BN78" t="e">
        <f>'SurveyRpt_20150223 (1)'!G483+"h_l!%SD"</f>
        <v>#VALUE!</v>
      </c>
      <c r="BO78" t="e">
        <f>'SurveyRpt_20150223 (1)'!H483+"h_l!%SE"</f>
        <v>#VALUE!</v>
      </c>
      <c r="BP78" t="e">
        <f>'SurveyRpt_20150223 (1)'!I483+"h_l!%SF"</f>
        <v>#VALUE!</v>
      </c>
      <c r="BQ78" t="e">
        <f>'SurveyRpt_20150223 (1)'!J483+"h_l!%SG"</f>
        <v>#VALUE!</v>
      </c>
      <c r="BR78" t="e">
        <f>'SurveyRpt_20150223 (1)'!K483+"h_l!%SH"</f>
        <v>#VALUE!</v>
      </c>
      <c r="BS78" t="e">
        <f>'SurveyRpt_20150223 (1)'!L483+"h_l!%SI"</f>
        <v>#VALUE!</v>
      </c>
      <c r="BT78" t="e">
        <f>'SurveyRpt_20150223 (1)'!M483+"h_l!%SJ"</f>
        <v>#VALUE!</v>
      </c>
      <c r="BU78" t="e">
        <f>'SurveyRpt_20150223 (1)'!N483+"h_l!%SK"</f>
        <v>#VALUE!</v>
      </c>
      <c r="BV78" t="e">
        <f>'SurveyRpt_20150223 (1)'!O483+"h_l!%SL"</f>
        <v>#VALUE!</v>
      </c>
      <c r="BW78" t="e">
        <f>'SurveyRpt_20150223 (1)'!P483+"h_l!%SM"</f>
        <v>#VALUE!</v>
      </c>
      <c r="BX78" t="e">
        <f>'SurveyRpt_20150223 (1)'!Q483+"h_l!%SN"</f>
        <v>#VALUE!</v>
      </c>
      <c r="BY78" t="e">
        <f>'SurveyRpt_20150223 (1)'!R483+"h_l!%SO"</f>
        <v>#VALUE!</v>
      </c>
      <c r="BZ78" t="e">
        <f>'SurveyRpt_20150223 (1)'!S483+"h_l!%SP"</f>
        <v>#VALUE!</v>
      </c>
      <c r="CA78" t="e">
        <f>'SurveyRpt_20150223 (1)'!T483+"h_l!%SQ"</f>
        <v>#VALUE!</v>
      </c>
      <c r="CB78" t="e">
        <f>'SurveyRpt_20150223 (1)'!U483+"h_l!%SR"</f>
        <v>#VALUE!</v>
      </c>
      <c r="CC78" t="e">
        <f>'SurveyRpt_20150223 (1)'!V483+"h_l!%SS"</f>
        <v>#VALUE!</v>
      </c>
      <c r="CD78" t="e">
        <f>'SurveyRpt_20150223 (1)'!W483+"h_l!%ST"</f>
        <v>#VALUE!</v>
      </c>
      <c r="CE78" t="e">
        <f>'SurveyRpt_20150223 (1)'!X483+"h_l!%SU"</f>
        <v>#VALUE!</v>
      </c>
      <c r="CF78" t="e">
        <f>'SurveyRpt_20150223 (1)'!Y483+"h_l!%SV"</f>
        <v>#VALUE!</v>
      </c>
      <c r="CG78" t="e">
        <f>'SurveyRpt_20150223 (1)'!Z483+"h_l!%SW"</f>
        <v>#VALUE!</v>
      </c>
      <c r="CH78" t="e">
        <f>'SurveyRpt_20150223 (1)'!AA483+"h_l!%SX"</f>
        <v>#VALUE!</v>
      </c>
      <c r="CI78" t="e">
        <f>'SurveyRpt_20150223 (1)'!AB483+"h_l!%SY"</f>
        <v>#VALUE!</v>
      </c>
      <c r="CJ78" t="e">
        <f>'SurveyRpt_20150223 (1)'!AC483+"h_l!%SZ"</f>
        <v>#VALUE!</v>
      </c>
      <c r="CK78" t="e">
        <f>'SurveyRpt_20150223 (1)'!AD483+"h_l!%S["</f>
        <v>#VALUE!</v>
      </c>
      <c r="CL78" t="e">
        <f>'SurveyRpt_20150223 (1)'!AE483+"h_l!%S\"</f>
        <v>#VALUE!</v>
      </c>
      <c r="CM78" t="e">
        <f>'SurveyRpt_20150223 (1)'!AF483+"h_l!%S]"</f>
        <v>#VALUE!</v>
      </c>
      <c r="CN78" t="e">
        <f>'SurveyRpt_20150223 (1)'!AG483+"h_l!%S^"</f>
        <v>#VALUE!</v>
      </c>
      <c r="CO78" t="e">
        <f>'SurveyRpt_20150223 (1)'!AH483+"h_l!%S_"</f>
        <v>#VALUE!</v>
      </c>
      <c r="CP78" t="e">
        <f>'SurveyRpt_20150223 (1)'!AI483+"h_l!%S`"</f>
        <v>#VALUE!</v>
      </c>
      <c r="CQ78" t="e">
        <f>'SurveyRpt_20150223 (1)'!AJ483+"h_l!%Sa"</f>
        <v>#VALUE!</v>
      </c>
      <c r="CR78" t="e">
        <f>'SurveyRpt_20150223 (1)'!AK483+"h_l!%Sb"</f>
        <v>#VALUE!</v>
      </c>
      <c r="CS78" t="e">
        <f>'SurveyRpt_20150223 (1)'!AL483+"h_l!%Sc"</f>
        <v>#VALUE!</v>
      </c>
      <c r="CT78" t="e">
        <f>'SurveyRpt_20150223 (1)'!AM483+"h_l!%Sd"</f>
        <v>#VALUE!</v>
      </c>
      <c r="CU78" t="e">
        <f>'SurveyRpt_20150223 (1)'!AN483+"h_l!%Se"</f>
        <v>#VALUE!</v>
      </c>
      <c r="CV78" t="e">
        <f>'SurveyRpt_20150223 (1)'!A484+"h_l!%Sf"</f>
        <v>#VALUE!</v>
      </c>
      <c r="CW78" s="25" t="e">
        <f>'SurveyRpt_20150223 (1)'!B484+"h_l!%Sg"</f>
        <v>#VALUE!</v>
      </c>
      <c r="CX78" t="e">
        <f>'SurveyRpt_20150223 (1)'!C484+"h_l!%Sh"</f>
        <v>#VALUE!</v>
      </c>
      <c r="CY78" s="25" t="e">
        <f>'SurveyRpt_20150223 (1)'!D484+"h_l!%Si"</f>
        <v>#VALUE!</v>
      </c>
      <c r="CZ78" t="e">
        <f>'SurveyRpt_20150223 (1)'!E484+"h_l!%Sj"</f>
        <v>#VALUE!</v>
      </c>
      <c r="DA78" t="e">
        <f>'SurveyRpt_20150223 (1)'!F484+"h_l!%Sk"</f>
        <v>#VALUE!</v>
      </c>
      <c r="DB78" t="e">
        <f>'SurveyRpt_20150223 (1)'!G484+"h_l!%Sl"</f>
        <v>#VALUE!</v>
      </c>
      <c r="DC78" t="e">
        <f>'SurveyRpt_20150223 (1)'!H484+"h_l!%Sm"</f>
        <v>#VALUE!</v>
      </c>
      <c r="DD78" t="e">
        <f>'SurveyRpt_20150223 (1)'!I484+"h_l!%Sn"</f>
        <v>#VALUE!</v>
      </c>
      <c r="DE78" t="e">
        <f>'SurveyRpt_20150223 (1)'!J484+"h_l!%So"</f>
        <v>#VALUE!</v>
      </c>
      <c r="DF78" t="e">
        <f>'SurveyRpt_20150223 (1)'!K484+"h_l!%Sp"</f>
        <v>#VALUE!</v>
      </c>
      <c r="DG78" t="e">
        <f>'SurveyRpt_20150223 (1)'!L484+"h_l!%Sq"</f>
        <v>#VALUE!</v>
      </c>
      <c r="DH78" t="e">
        <f>'SurveyRpt_20150223 (1)'!M484+"h_l!%Sr"</f>
        <v>#VALUE!</v>
      </c>
      <c r="DI78" t="e">
        <f>'SurveyRpt_20150223 (1)'!N484+"h_l!%Ss"</f>
        <v>#VALUE!</v>
      </c>
      <c r="DJ78" t="e">
        <f>'SurveyRpt_20150223 (1)'!O484+"h_l!%St"</f>
        <v>#VALUE!</v>
      </c>
      <c r="DK78" t="e">
        <f>'SurveyRpt_20150223 (1)'!P484+"h_l!%Su"</f>
        <v>#VALUE!</v>
      </c>
      <c r="DL78" t="e">
        <f>'SurveyRpt_20150223 (1)'!Q484+"h_l!%Sv"</f>
        <v>#VALUE!</v>
      </c>
      <c r="DM78" t="e">
        <f>'SurveyRpt_20150223 (1)'!R484+"h_l!%Sw"</f>
        <v>#VALUE!</v>
      </c>
      <c r="DN78" t="e">
        <f>'SurveyRpt_20150223 (1)'!S484+"h_l!%Sx"</f>
        <v>#VALUE!</v>
      </c>
      <c r="DO78" t="e">
        <f>'SurveyRpt_20150223 (1)'!T484+"h_l!%Sy"</f>
        <v>#VALUE!</v>
      </c>
      <c r="DP78" t="e">
        <f>'SurveyRpt_20150223 (1)'!U484+"h_l!%Sz"</f>
        <v>#VALUE!</v>
      </c>
      <c r="DQ78" t="e">
        <f>'SurveyRpt_20150223 (1)'!V484+"h_l!%S{"</f>
        <v>#VALUE!</v>
      </c>
      <c r="DR78" t="e">
        <f>'SurveyRpt_20150223 (1)'!W484+"h_l!%S|"</f>
        <v>#VALUE!</v>
      </c>
      <c r="DS78" t="e">
        <f>'SurveyRpt_20150223 (1)'!X484+"h_l!%S}"</f>
        <v>#VALUE!</v>
      </c>
      <c r="DT78" t="e">
        <f>'SurveyRpt_20150223 (1)'!Y484+"h_l!%S~"</f>
        <v>#VALUE!</v>
      </c>
      <c r="DU78" t="e">
        <f>'SurveyRpt_20150223 (1)'!Z484+"h_l!%T#"</f>
        <v>#VALUE!</v>
      </c>
      <c r="DV78" t="e">
        <f>'SurveyRpt_20150223 (1)'!AA484+"h_l!%T$"</f>
        <v>#VALUE!</v>
      </c>
      <c r="DW78" t="e">
        <f>'SurveyRpt_20150223 (1)'!AB484+"h_l!%T%"</f>
        <v>#VALUE!</v>
      </c>
      <c r="DX78" t="e">
        <f>'SurveyRpt_20150223 (1)'!AC484+"h_l!%T&amp;"</f>
        <v>#VALUE!</v>
      </c>
      <c r="DY78" t="e">
        <f>'SurveyRpt_20150223 (1)'!AD484+"h_l!%T'"</f>
        <v>#VALUE!</v>
      </c>
      <c r="DZ78" t="e">
        <f>'SurveyRpt_20150223 (1)'!AE484+"h_l!%T("</f>
        <v>#VALUE!</v>
      </c>
      <c r="EA78" t="e">
        <f>'SurveyRpt_20150223 (1)'!AF484+"h_l!%T)"</f>
        <v>#VALUE!</v>
      </c>
      <c r="EB78" t="e">
        <f>'SurveyRpt_20150223 (1)'!AG484+"h_l!%T."</f>
        <v>#VALUE!</v>
      </c>
      <c r="EC78" t="e">
        <f>'SurveyRpt_20150223 (1)'!AH484+"h_l!%T/"</f>
        <v>#VALUE!</v>
      </c>
      <c r="ED78" t="e">
        <f>'SurveyRpt_20150223 (1)'!AI484+"h_l!%T0"</f>
        <v>#VALUE!</v>
      </c>
      <c r="EE78" t="e">
        <f>'SurveyRpt_20150223 (1)'!AJ484+"h_l!%T1"</f>
        <v>#VALUE!</v>
      </c>
      <c r="EF78" t="e">
        <f>'SurveyRpt_20150223 (1)'!AK484+"h_l!%T2"</f>
        <v>#VALUE!</v>
      </c>
      <c r="EG78" t="e">
        <f>'SurveyRpt_20150223 (1)'!AL484+"h_l!%T3"</f>
        <v>#VALUE!</v>
      </c>
      <c r="EH78" t="e">
        <f>'SurveyRpt_20150223 (1)'!AM484+"h_l!%T4"</f>
        <v>#VALUE!</v>
      </c>
      <c r="EI78" t="e">
        <f>'SurveyRpt_20150223 (1)'!AN484+"h_l!%T5"</f>
        <v>#VALUE!</v>
      </c>
      <c r="EJ78" t="e">
        <f>'SurveyRpt_20150223 (1)'!A485+"h_l!%T6"</f>
        <v>#VALUE!</v>
      </c>
      <c r="EK78" s="25" t="e">
        <f>'SurveyRpt_20150223 (1)'!B485+"h_l!%T7"</f>
        <v>#VALUE!</v>
      </c>
      <c r="EL78" t="e">
        <f>'SurveyRpt_20150223 (1)'!C485+"h_l!%T8"</f>
        <v>#VALUE!</v>
      </c>
      <c r="EM78" s="25" t="e">
        <f>'SurveyRpt_20150223 (1)'!D485+"h_l!%T9"</f>
        <v>#VALUE!</v>
      </c>
      <c r="EN78" t="e">
        <f>'SurveyRpt_20150223 (1)'!E485+"h_l!%T:"</f>
        <v>#VALUE!</v>
      </c>
      <c r="EO78" t="e">
        <f>'SurveyRpt_20150223 (1)'!F485+"h_l!%T;"</f>
        <v>#VALUE!</v>
      </c>
      <c r="EP78" t="e">
        <f>'SurveyRpt_20150223 (1)'!G485+"h_l!%T&lt;"</f>
        <v>#VALUE!</v>
      </c>
      <c r="EQ78" t="e">
        <f>'SurveyRpt_20150223 (1)'!H485+"h_l!%T="</f>
        <v>#VALUE!</v>
      </c>
      <c r="ER78" t="e">
        <f>'SurveyRpt_20150223 (1)'!I485+"h_l!%T&gt;"</f>
        <v>#VALUE!</v>
      </c>
      <c r="ES78" t="e">
        <f>'SurveyRpt_20150223 (1)'!J485+"h_l!%T?"</f>
        <v>#VALUE!</v>
      </c>
      <c r="ET78" t="e">
        <f>'SurveyRpt_20150223 (1)'!K485+"h_l!%T@"</f>
        <v>#VALUE!</v>
      </c>
      <c r="EU78" t="e">
        <f>'SurveyRpt_20150223 (1)'!L485+"h_l!%TA"</f>
        <v>#VALUE!</v>
      </c>
      <c r="EV78" t="e">
        <f>'SurveyRpt_20150223 (1)'!M485+"h_l!%TB"</f>
        <v>#VALUE!</v>
      </c>
      <c r="EW78" t="e">
        <f>'SurveyRpt_20150223 (1)'!N485+"h_l!%TC"</f>
        <v>#VALUE!</v>
      </c>
      <c r="EX78" t="e">
        <f>'SurveyRpt_20150223 (1)'!O485+"h_l!%TD"</f>
        <v>#VALUE!</v>
      </c>
      <c r="EY78" t="e">
        <f>'SurveyRpt_20150223 (1)'!P485+"h_l!%TE"</f>
        <v>#VALUE!</v>
      </c>
      <c r="EZ78" t="e">
        <f>'SurveyRpt_20150223 (1)'!Q485+"h_l!%TF"</f>
        <v>#VALUE!</v>
      </c>
      <c r="FA78" t="e">
        <f>'SurveyRpt_20150223 (1)'!R485+"h_l!%TG"</f>
        <v>#VALUE!</v>
      </c>
      <c r="FB78" t="e">
        <f>'SurveyRpt_20150223 (1)'!S485+"h_l!%TH"</f>
        <v>#VALUE!</v>
      </c>
      <c r="FC78" t="e">
        <f>'SurveyRpt_20150223 (1)'!T485+"h_l!%TI"</f>
        <v>#VALUE!</v>
      </c>
      <c r="FD78" t="e">
        <f>'SurveyRpt_20150223 (1)'!U485+"h_l!%TJ"</f>
        <v>#VALUE!</v>
      </c>
      <c r="FE78" t="e">
        <f>'SurveyRpt_20150223 (1)'!V485+"h_l!%TK"</f>
        <v>#VALUE!</v>
      </c>
      <c r="FF78" t="e">
        <f>'SurveyRpt_20150223 (1)'!W485+"h_l!%TL"</f>
        <v>#VALUE!</v>
      </c>
      <c r="FG78" t="e">
        <f>'SurveyRpt_20150223 (1)'!X485+"h_l!%TM"</f>
        <v>#VALUE!</v>
      </c>
      <c r="FH78" t="e">
        <f>'SurveyRpt_20150223 (1)'!Y485+"h_l!%TN"</f>
        <v>#VALUE!</v>
      </c>
      <c r="FI78" t="e">
        <f>'SurveyRpt_20150223 (1)'!Z485+"h_l!%TO"</f>
        <v>#VALUE!</v>
      </c>
      <c r="FJ78" t="e">
        <f>'SurveyRpt_20150223 (1)'!AA485+"h_l!%TP"</f>
        <v>#VALUE!</v>
      </c>
      <c r="FK78" t="e">
        <f>'SurveyRpt_20150223 (1)'!AB485+"h_l!%TQ"</f>
        <v>#VALUE!</v>
      </c>
      <c r="FL78" t="e">
        <f>'SurveyRpt_20150223 (1)'!AC485+"h_l!%TR"</f>
        <v>#VALUE!</v>
      </c>
      <c r="FM78" t="e">
        <f>'SurveyRpt_20150223 (1)'!AD485+"h_l!%TS"</f>
        <v>#VALUE!</v>
      </c>
      <c r="FN78" t="e">
        <f>'SurveyRpt_20150223 (1)'!AE485+"h_l!%TT"</f>
        <v>#VALUE!</v>
      </c>
      <c r="FO78" t="e">
        <f>'SurveyRpt_20150223 (1)'!AF485+"h_l!%TU"</f>
        <v>#VALUE!</v>
      </c>
      <c r="FP78" t="e">
        <f>'SurveyRpt_20150223 (1)'!AG485+"h_l!%TV"</f>
        <v>#VALUE!</v>
      </c>
      <c r="FQ78" t="e">
        <f>'SurveyRpt_20150223 (1)'!AH485+"h_l!%TW"</f>
        <v>#VALUE!</v>
      </c>
      <c r="FR78" t="e">
        <f>'SurveyRpt_20150223 (1)'!AI485+"h_l!%TX"</f>
        <v>#VALUE!</v>
      </c>
      <c r="FS78" t="e">
        <f>'SurveyRpt_20150223 (1)'!AJ485+"h_l!%TY"</f>
        <v>#VALUE!</v>
      </c>
      <c r="FT78" t="e">
        <f>'SurveyRpt_20150223 (1)'!AK485+"h_l!%TZ"</f>
        <v>#VALUE!</v>
      </c>
      <c r="FU78" t="e">
        <f>'SurveyRpt_20150223 (1)'!AL485+"h_l!%T["</f>
        <v>#VALUE!</v>
      </c>
      <c r="FV78" t="e">
        <f>'SurveyRpt_20150223 (1)'!AM485+"h_l!%T\"</f>
        <v>#VALUE!</v>
      </c>
      <c r="FW78" t="e">
        <f>'SurveyRpt_20150223 (1)'!AN485+"h_l!%T]"</f>
        <v>#VALUE!</v>
      </c>
      <c r="FX78" t="e">
        <f>'SurveyRpt_20150223 (1)'!A486+"h_l!%T^"</f>
        <v>#VALUE!</v>
      </c>
      <c r="FY78" s="25" t="e">
        <f>'SurveyRpt_20150223 (1)'!B486+"h_l!%T_"</f>
        <v>#VALUE!</v>
      </c>
      <c r="FZ78" t="e">
        <f>'SurveyRpt_20150223 (1)'!C486+"h_l!%T`"</f>
        <v>#VALUE!</v>
      </c>
      <c r="GA78" s="25" t="e">
        <f>'SurveyRpt_20150223 (1)'!D486+"h_l!%Ta"</f>
        <v>#VALUE!</v>
      </c>
      <c r="GB78" t="e">
        <f>'SurveyRpt_20150223 (1)'!E486+"h_l!%Tb"</f>
        <v>#VALUE!</v>
      </c>
      <c r="GC78" t="e">
        <f>'SurveyRpt_20150223 (1)'!F486+"h_l!%Tc"</f>
        <v>#VALUE!</v>
      </c>
      <c r="GD78" t="e">
        <f>'SurveyRpt_20150223 (1)'!G486+"h_l!%Td"</f>
        <v>#VALUE!</v>
      </c>
      <c r="GE78" t="e">
        <f>'SurveyRpt_20150223 (1)'!H486+"h_l!%Te"</f>
        <v>#VALUE!</v>
      </c>
      <c r="GF78" t="e">
        <f>'SurveyRpt_20150223 (1)'!I486+"h_l!%Tf"</f>
        <v>#VALUE!</v>
      </c>
      <c r="GG78" t="e">
        <f>'SurveyRpt_20150223 (1)'!J486+"h_l!%Tg"</f>
        <v>#VALUE!</v>
      </c>
      <c r="GH78" t="e">
        <f>'SurveyRpt_20150223 (1)'!K486+"h_l!%Th"</f>
        <v>#VALUE!</v>
      </c>
      <c r="GI78" t="e">
        <f>'SurveyRpt_20150223 (1)'!L486+"h_l!%Ti"</f>
        <v>#VALUE!</v>
      </c>
      <c r="GJ78" t="e">
        <f>'SurveyRpt_20150223 (1)'!M486+"h_l!%Tj"</f>
        <v>#VALUE!</v>
      </c>
      <c r="GK78" t="e">
        <f>'SurveyRpt_20150223 (1)'!N486+"h_l!%Tk"</f>
        <v>#VALUE!</v>
      </c>
      <c r="GL78" t="e">
        <f>'SurveyRpt_20150223 (1)'!O486+"h_l!%Tl"</f>
        <v>#VALUE!</v>
      </c>
      <c r="GM78" t="e">
        <f>'SurveyRpt_20150223 (1)'!P486+"h_l!%Tm"</f>
        <v>#VALUE!</v>
      </c>
      <c r="GN78" t="e">
        <f>'SurveyRpt_20150223 (1)'!Q486+"h_l!%Tn"</f>
        <v>#VALUE!</v>
      </c>
      <c r="GO78" t="e">
        <f>'SurveyRpt_20150223 (1)'!R486+"h_l!%To"</f>
        <v>#VALUE!</v>
      </c>
      <c r="GP78" t="e">
        <f>'SurveyRpt_20150223 (1)'!S486+"h_l!%Tp"</f>
        <v>#VALUE!</v>
      </c>
      <c r="GQ78" t="e">
        <f>'SurveyRpt_20150223 (1)'!T486+"h_l!%Tq"</f>
        <v>#VALUE!</v>
      </c>
      <c r="GR78" t="e">
        <f>'SurveyRpt_20150223 (1)'!U486+"h_l!%Tr"</f>
        <v>#VALUE!</v>
      </c>
      <c r="GS78" t="e">
        <f>'SurveyRpt_20150223 (1)'!V486+"h_l!%Ts"</f>
        <v>#VALUE!</v>
      </c>
      <c r="GT78" t="e">
        <f>'SurveyRpt_20150223 (1)'!W486+"h_l!%Tt"</f>
        <v>#VALUE!</v>
      </c>
      <c r="GU78" t="e">
        <f>'SurveyRpt_20150223 (1)'!X486+"h_l!%Tu"</f>
        <v>#VALUE!</v>
      </c>
      <c r="GV78" t="e">
        <f>'SurveyRpt_20150223 (1)'!Y486+"h_l!%Tv"</f>
        <v>#VALUE!</v>
      </c>
      <c r="GW78" t="e">
        <f>'SurveyRpt_20150223 (1)'!Z486+"h_l!%Tw"</f>
        <v>#VALUE!</v>
      </c>
      <c r="GX78" t="e">
        <f>'SurveyRpt_20150223 (1)'!AA486+"h_l!%Tx"</f>
        <v>#VALUE!</v>
      </c>
      <c r="GY78" t="e">
        <f>'SurveyRpt_20150223 (1)'!AB486+"h_l!%Ty"</f>
        <v>#VALUE!</v>
      </c>
      <c r="GZ78" t="e">
        <f>'SurveyRpt_20150223 (1)'!AC486+"h_l!%Tz"</f>
        <v>#VALUE!</v>
      </c>
      <c r="HA78" t="e">
        <f>'SurveyRpt_20150223 (1)'!AD486+"h_l!%T{"</f>
        <v>#VALUE!</v>
      </c>
      <c r="HB78" t="e">
        <f>'SurveyRpt_20150223 (1)'!AE486+"h_l!%T|"</f>
        <v>#VALUE!</v>
      </c>
      <c r="HC78" t="e">
        <f>'SurveyRpt_20150223 (1)'!AF486+"h_l!%T}"</f>
        <v>#VALUE!</v>
      </c>
      <c r="HD78" t="e">
        <f>'SurveyRpt_20150223 (1)'!AG486+"h_l!%T~"</f>
        <v>#VALUE!</v>
      </c>
      <c r="HE78" t="e">
        <f>'SurveyRpt_20150223 (1)'!AH486+"h_l!%U#"</f>
        <v>#VALUE!</v>
      </c>
      <c r="HF78" t="e">
        <f>'SurveyRpt_20150223 (1)'!AI486+"h_l!%U$"</f>
        <v>#VALUE!</v>
      </c>
      <c r="HG78" t="e">
        <f>'SurveyRpt_20150223 (1)'!AJ486+"h_l!%U%"</f>
        <v>#VALUE!</v>
      </c>
      <c r="HH78" t="e">
        <f>'SurveyRpt_20150223 (1)'!AK486+"h_l!%U&amp;"</f>
        <v>#VALUE!</v>
      </c>
      <c r="HI78" t="e">
        <f>'SurveyRpt_20150223 (1)'!AL486+"h_l!%U'"</f>
        <v>#VALUE!</v>
      </c>
      <c r="HJ78" t="e">
        <f>'SurveyRpt_20150223 (1)'!AM486+"h_l!%U("</f>
        <v>#VALUE!</v>
      </c>
      <c r="HK78" t="e">
        <f>'SurveyRpt_20150223 (1)'!AN486+"h_l!%U)"</f>
        <v>#VALUE!</v>
      </c>
      <c r="HL78" t="e">
        <f>'SurveyRpt_20150223 (1)'!A487+"h_l!%U."</f>
        <v>#VALUE!</v>
      </c>
      <c r="HM78" s="25" t="e">
        <f>'SurveyRpt_20150223 (1)'!B487+"h_l!%U/"</f>
        <v>#VALUE!</v>
      </c>
      <c r="HN78" t="e">
        <f>'SurveyRpt_20150223 (1)'!C487+"h_l!%U0"</f>
        <v>#VALUE!</v>
      </c>
      <c r="HO78" s="25" t="e">
        <f>'SurveyRpt_20150223 (1)'!D487+"h_l!%U1"</f>
        <v>#VALUE!</v>
      </c>
      <c r="HP78" t="e">
        <f>'SurveyRpt_20150223 (1)'!E487+"h_l!%U2"</f>
        <v>#VALUE!</v>
      </c>
      <c r="HQ78" t="e">
        <f>'SurveyRpt_20150223 (1)'!F487+"h_l!%U3"</f>
        <v>#VALUE!</v>
      </c>
      <c r="HR78" t="e">
        <f>'SurveyRpt_20150223 (1)'!G487+"h_l!%U4"</f>
        <v>#VALUE!</v>
      </c>
      <c r="HS78" t="e">
        <f>'SurveyRpt_20150223 (1)'!H487+"h_l!%U5"</f>
        <v>#VALUE!</v>
      </c>
      <c r="HT78" t="e">
        <f>'SurveyRpt_20150223 (1)'!I487+"h_l!%U6"</f>
        <v>#VALUE!</v>
      </c>
      <c r="HU78" t="e">
        <f>'SurveyRpt_20150223 (1)'!J487+"h_l!%U7"</f>
        <v>#VALUE!</v>
      </c>
      <c r="HV78" t="e">
        <f>'SurveyRpt_20150223 (1)'!K487+"h_l!%U8"</f>
        <v>#VALUE!</v>
      </c>
      <c r="HW78" t="e">
        <f>'SurveyRpt_20150223 (1)'!L487+"h_l!%U9"</f>
        <v>#VALUE!</v>
      </c>
      <c r="HX78" t="e">
        <f>'SurveyRpt_20150223 (1)'!M487+"h_l!%U:"</f>
        <v>#VALUE!</v>
      </c>
      <c r="HY78" t="e">
        <f>'SurveyRpt_20150223 (1)'!N487+"h_l!%U;"</f>
        <v>#VALUE!</v>
      </c>
      <c r="HZ78" t="e">
        <f>'SurveyRpt_20150223 (1)'!O487+"h_l!%U&lt;"</f>
        <v>#VALUE!</v>
      </c>
      <c r="IA78" t="e">
        <f>'SurveyRpt_20150223 (1)'!P487+"h_l!%U="</f>
        <v>#VALUE!</v>
      </c>
      <c r="IB78" t="e">
        <f>'SurveyRpt_20150223 (1)'!Q487+"h_l!%U&gt;"</f>
        <v>#VALUE!</v>
      </c>
      <c r="IC78" t="e">
        <f>'SurveyRpt_20150223 (1)'!R487+"h_l!%U?"</f>
        <v>#VALUE!</v>
      </c>
      <c r="ID78" t="e">
        <f>'SurveyRpt_20150223 (1)'!S487+"h_l!%U@"</f>
        <v>#VALUE!</v>
      </c>
      <c r="IE78" t="e">
        <f>'SurveyRpt_20150223 (1)'!T487+"h_l!%UA"</f>
        <v>#VALUE!</v>
      </c>
      <c r="IF78" t="e">
        <f>'SurveyRpt_20150223 (1)'!U487+"h_l!%UB"</f>
        <v>#VALUE!</v>
      </c>
      <c r="IG78" t="e">
        <f>'SurveyRpt_20150223 (1)'!V487+"h_l!%UC"</f>
        <v>#VALUE!</v>
      </c>
      <c r="IH78" t="e">
        <f>'SurveyRpt_20150223 (1)'!W487+"h_l!%UD"</f>
        <v>#VALUE!</v>
      </c>
      <c r="II78" t="e">
        <f>'SurveyRpt_20150223 (1)'!X487+"h_l!%UE"</f>
        <v>#VALUE!</v>
      </c>
      <c r="IJ78" t="e">
        <f>'SurveyRpt_20150223 (1)'!Y487+"h_l!%UF"</f>
        <v>#VALUE!</v>
      </c>
      <c r="IK78" t="e">
        <f>'SurveyRpt_20150223 (1)'!Z487+"h_l!%UG"</f>
        <v>#VALUE!</v>
      </c>
      <c r="IL78" t="e">
        <f>'SurveyRpt_20150223 (1)'!AA487+"h_l!%UH"</f>
        <v>#VALUE!</v>
      </c>
      <c r="IM78" t="e">
        <f>'SurveyRpt_20150223 (1)'!AB487+"h_l!%UI"</f>
        <v>#VALUE!</v>
      </c>
      <c r="IN78" t="e">
        <f>'SurveyRpt_20150223 (1)'!AC487+"h_l!%UJ"</f>
        <v>#VALUE!</v>
      </c>
      <c r="IO78" t="e">
        <f>'SurveyRpt_20150223 (1)'!AD487+"h_l!%UK"</f>
        <v>#VALUE!</v>
      </c>
      <c r="IP78" t="e">
        <f>'SurveyRpt_20150223 (1)'!AE487+"h_l!%UL"</f>
        <v>#VALUE!</v>
      </c>
      <c r="IQ78" t="e">
        <f>'SurveyRpt_20150223 (1)'!AF487+"h_l!%UM"</f>
        <v>#VALUE!</v>
      </c>
      <c r="IR78" t="e">
        <f>'SurveyRpt_20150223 (1)'!AG487+"h_l!%UN"</f>
        <v>#VALUE!</v>
      </c>
      <c r="IS78" t="e">
        <f>'SurveyRpt_20150223 (1)'!AH487+"h_l!%UO"</f>
        <v>#VALUE!</v>
      </c>
      <c r="IT78" t="e">
        <f>'SurveyRpt_20150223 (1)'!AI487+"h_l!%UP"</f>
        <v>#VALUE!</v>
      </c>
      <c r="IU78" t="e">
        <f>'SurveyRpt_20150223 (1)'!AJ487+"h_l!%UQ"</f>
        <v>#VALUE!</v>
      </c>
      <c r="IV78" t="e">
        <f>'SurveyRpt_20150223 (1)'!AK487+"h_l!%UR"</f>
        <v>#VALUE!</v>
      </c>
    </row>
    <row r="79" spans="6:256" x14ac:dyDescent="0.25">
      <c r="F79" t="e">
        <f>'SurveyRpt_20150223 (1)'!AL487+"h_l!%US"</f>
        <v>#VALUE!</v>
      </c>
      <c r="G79" t="e">
        <f>'SurveyRpt_20150223 (1)'!AM487+"h_l!%UT"</f>
        <v>#VALUE!</v>
      </c>
      <c r="H79" t="e">
        <f>'SurveyRpt_20150223 (1)'!AN487+"h_l!%UU"</f>
        <v>#VALUE!</v>
      </c>
      <c r="I79" t="e">
        <f>'SurveyRpt_20150223 (1)'!A488+"h_l!%UV"</f>
        <v>#VALUE!</v>
      </c>
      <c r="J79" s="25" t="e">
        <f>'SurveyRpt_20150223 (1)'!B488+"h_l!%UW"</f>
        <v>#VALUE!</v>
      </c>
      <c r="K79" t="e">
        <f>'SurveyRpt_20150223 (1)'!C488+"h_l!%UX"</f>
        <v>#VALUE!</v>
      </c>
      <c r="L79" s="25" t="e">
        <f>'SurveyRpt_20150223 (1)'!D488+"h_l!%UY"</f>
        <v>#VALUE!</v>
      </c>
      <c r="M79" t="e">
        <f>'SurveyRpt_20150223 (1)'!E488+"h_l!%UZ"</f>
        <v>#VALUE!</v>
      </c>
      <c r="N79" t="e">
        <f>'SurveyRpt_20150223 (1)'!F488+"h_l!%U["</f>
        <v>#VALUE!</v>
      </c>
      <c r="O79" t="e">
        <f>'SurveyRpt_20150223 (1)'!G488+"h_l!%U\"</f>
        <v>#VALUE!</v>
      </c>
      <c r="P79" t="e">
        <f>'SurveyRpt_20150223 (1)'!H488+"h_l!%U]"</f>
        <v>#VALUE!</v>
      </c>
      <c r="Q79" t="e">
        <f>'SurveyRpt_20150223 (1)'!I488+"h_l!%U^"</f>
        <v>#VALUE!</v>
      </c>
      <c r="R79" t="e">
        <f>'SurveyRpt_20150223 (1)'!J488+"h_l!%U_"</f>
        <v>#VALUE!</v>
      </c>
      <c r="S79" t="e">
        <f>'SurveyRpt_20150223 (1)'!K488+"h_l!%U`"</f>
        <v>#VALUE!</v>
      </c>
      <c r="T79" t="e">
        <f>'SurveyRpt_20150223 (1)'!L488+"h_l!%Ua"</f>
        <v>#VALUE!</v>
      </c>
      <c r="U79" t="e">
        <f>'SurveyRpt_20150223 (1)'!M488+"h_l!%Ub"</f>
        <v>#VALUE!</v>
      </c>
      <c r="V79" t="e">
        <f>'SurveyRpt_20150223 (1)'!N488+"h_l!%Uc"</f>
        <v>#VALUE!</v>
      </c>
      <c r="W79" t="e">
        <f>'SurveyRpt_20150223 (1)'!O488+"h_l!%Ud"</f>
        <v>#VALUE!</v>
      </c>
      <c r="X79" t="e">
        <f>'SurveyRpt_20150223 (1)'!P488+"h_l!%Ue"</f>
        <v>#VALUE!</v>
      </c>
      <c r="Y79" t="e">
        <f>'SurveyRpt_20150223 (1)'!Q488+"h_l!%Uf"</f>
        <v>#VALUE!</v>
      </c>
      <c r="Z79" t="e">
        <f>'SurveyRpt_20150223 (1)'!R488+"h_l!%Ug"</f>
        <v>#VALUE!</v>
      </c>
      <c r="AA79" t="e">
        <f>'SurveyRpt_20150223 (1)'!S488+"h_l!%Uh"</f>
        <v>#VALUE!</v>
      </c>
      <c r="AB79" t="e">
        <f>'SurveyRpt_20150223 (1)'!T488+"h_l!%Ui"</f>
        <v>#VALUE!</v>
      </c>
      <c r="AC79" t="e">
        <f>'SurveyRpt_20150223 (1)'!U488+"h_l!%Uj"</f>
        <v>#VALUE!</v>
      </c>
      <c r="AD79" t="e">
        <f>'SurveyRpt_20150223 (1)'!V488+"h_l!%Uk"</f>
        <v>#VALUE!</v>
      </c>
      <c r="AE79" t="e">
        <f>'SurveyRpt_20150223 (1)'!W488+"h_l!%Ul"</f>
        <v>#VALUE!</v>
      </c>
      <c r="AF79" t="e">
        <f>'SurveyRpt_20150223 (1)'!X488+"h_l!%Um"</f>
        <v>#VALUE!</v>
      </c>
      <c r="AG79" t="e">
        <f>'SurveyRpt_20150223 (1)'!Y488+"h_l!%Un"</f>
        <v>#VALUE!</v>
      </c>
      <c r="AH79" t="e">
        <f>'SurveyRpt_20150223 (1)'!Z488+"h_l!%Uo"</f>
        <v>#VALUE!</v>
      </c>
      <c r="AI79" t="e">
        <f>'SurveyRpt_20150223 (1)'!AA488+"h_l!%Up"</f>
        <v>#VALUE!</v>
      </c>
      <c r="AJ79" t="e">
        <f>'SurveyRpt_20150223 (1)'!AB488+"h_l!%Uq"</f>
        <v>#VALUE!</v>
      </c>
      <c r="AK79" t="e">
        <f>'SurveyRpt_20150223 (1)'!AC488+"h_l!%Ur"</f>
        <v>#VALUE!</v>
      </c>
      <c r="AL79" t="e">
        <f>'SurveyRpt_20150223 (1)'!AD488+"h_l!%Us"</f>
        <v>#VALUE!</v>
      </c>
      <c r="AM79" t="e">
        <f>'SurveyRpt_20150223 (1)'!AE488+"h_l!%Ut"</f>
        <v>#VALUE!</v>
      </c>
      <c r="AN79" t="e">
        <f>'SurveyRpt_20150223 (1)'!AF488+"h_l!%Uu"</f>
        <v>#VALUE!</v>
      </c>
      <c r="AO79" t="e">
        <f>'SurveyRpt_20150223 (1)'!AG488+"h_l!%Uv"</f>
        <v>#VALUE!</v>
      </c>
      <c r="AP79" t="e">
        <f>'SurveyRpt_20150223 (1)'!AH488+"h_l!%Uw"</f>
        <v>#VALUE!</v>
      </c>
      <c r="AQ79" t="e">
        <f>'SurveyRpt_20150223 (1)'!AI488+"h_l!%Ux"</f>
        <v>#VALUE!</v>
      </c>
      <c r="AR79" t="e">
        <f>'SurveyRpt_20150223 (1)'!AJ488+"h_l!%Uy"</f>
        <v>#VALUE!</v>
      </c>
      <c r="AS79" t="e">
        <f>'SurveyRpt_20150223 (1)'!AK488+"h_l!%Uz"</f>
        <v>#VALUE!</v>
      </c>
      <c r="AT79" t="e">
        <f>'SurveyRpt_20150223 (1)'!AL488+"h_l!%U{"</f>
        <v>#VALUE!</v>
      </c>
      <c r="AU79" t="e">
        <f>'SurveyRpt_20150223 (1)'!AM488+"h_l!%U|"</f>
        <v>#VALUE!</v>
      </c>
      <c r="AV79" t="e">
        <f>'SurveyRpt_20150223 (1)'!AN488+"h_l!%U}"</f>
        <v>#VALUE!</v>
      </c>
      <c r="AW79" t="e">
        <f>'SurveyRpt_20150223 (1)'!A489+"h_l!%U~"</f>
        <v>#VALUE!</v>
      </c>
      <c r="AX79" s="25" t="e">
        <f>'SurveyRpt_20150223 (1)'!B489+"h_l!%V#"</f>
        <v>#VALUE!</v>
      </c>
      <c r="AY79" t="e">
        <f>'SurveyRpt_20150223 (1)'!C489+"h_l!%V$"</f>
        <v>#VALUE!</v>
      </c>
      <c r="AZ79" s="25" t="e">
        <f>'SurveyRpt_20150223 (1)'!D489+"h_l!%V%"</f>
        <v>#VALUE!</v>
      </c>
      <c r="BA79" t="e">
        <f>'SurveyRpt_20150223 (1)'!E489+"h_l!%V&amp;"</f>
        <v>#VALUE!</v>
      </c>
      <c r="BB79" t="e">
        <f>'SurveyRpt_20150223 (1)'!F489+"h_l!%V'"</f>
        <v>#VALUE!</v>
      </c>
      <c r="BC79" t="e">
        <f>'SurveyRpt_20150223 (1)'!G489+"h_l!%V("</f>
        <v>#VALUE!</v>
      </c>
      <c r="BD79" t="e">
        <f>'SurveyRpt_20150223 (1)'!H489+"h_l!%V)"</f>
        <v>#VALUE!</v>
      </c>
      <c r="BE79" t="e">
        <f>'SurveyRpt_20150223 (1)'!I489+"h_l!%V."</f>
        <v>#VALUE!</v>
      </c>
      <c r="BF79" t="e">
        <f>'SurveyRpt_20150223 (1)'!J489+"h_l!%V/"</f>
        <v>#VALUE!</v>
      </c>
      <c r="BG79" t="e">
        <f>'SurveyRpt_20150223 (1)'!K489+"h_l!%V0"</f>
        <v>#VALUE!</v>
      </c>
      <c r="BH79" t="e">
        <f>'SurveyRpt_20150223 (1)'!L489+"h_l!%V1"</f>
        <v>#VALUE!</v>
      </c>
      <c r="BI79" t="e">
        <f>'SurveyRpt_20150223 (1)'!M489+"h_l!%V2"</f>
        <v>#VALUE!</v>
      </c>
      <c r="BJ79" t="e">
        <f>'SurveyRpt_20150223 (1)'!N489+"h_l!%V3"</f>
        <v>#VALUE!</v>
      </c>
      <c r="BK79" t="e">
        <f>'SurveyRpt_20150223 (1)'!O489+"h_l!%V4"</f>
        <v>#VALUE!</v>
      </c>
      <c r="BL79" t="e">
        <f>'SurveyRpt_20150223 (1)'!P489+"h_l!%V5"</f>
        <v>#VALUE!</v>
      </c>
      <c r="BM79" t="e">
        <f>'SurveyRpt_20150223 (1)'!Q489+"h_l!%V6"</f>
        <v>#VALUE!</v>
      </c>
      <c r="BN79" t="e">
        <f>'SurveyRpt_20150223 (1)'!R489+"h_l!%V7"</f>
        <v>#VALUE!</v>
      </c>
      <c r="BO79" t="e">
        <f>'SurveyRpt_20150223 (1)'!S489+"h_l!%V8"</f>
        <v>#VALUE!</v>
      </c>
      <c r="BP79" t="e">
        <f>'SurveyRpt_20150223 (1)'!T489+"h_l!%V9"</f>
        <v>#VALUE!</v>
      </c>
      <c r="BQ79" t="e">
        <f>'SurveyRpt_20150223 (1)'!U489+"h_l!%V:"</f>
        <v>#VALUE!</v>
      </c>
      <c r="BR79" t="e">
        <f>'SurveyRpt_20150223 (1)'!V489+"h_l!%V;"</f>
        <v>#VALUE!</v>
      </c>
      <c r="BS79" t="e">
        <f>'SurveyRpt_20150223 (1)'!W489+"h_l!%V&lt;"</f>
        <v>#VALUE!</v>
      </c>
      <c r="BT79" t="e">
        <f>'SurveyRpt_20150223 (1)'!X489+"h_l!%V="</f>
        <v>#VALUE!</v>
      </c>
      <c r="BU79" t="e">
        <f>'SurveyRpt_20150223 (1)'!Y489+"h_l!%V&gt;"</f>
        <v>#VALUE!</v>
      </c>
      <c r="BV79" t="e">
        <f>'SurveyRpt_20150223 (1)'!Z489+"h_l!%V?"</f>
        <v>#VALUE!</v>
      </c>
      <c r="BW79" t="e">
        <f>'SurveyRpt_20150223 (1)'!AA489+"h_l!%V@"</f>
        <v>#VALUE!</v>
      </c>
      <c r="BX79" t="e">
        <f>'SurveyRpt_20150223 (1)'!AB489+"h_l!%VA"</f>
        <v>#VALUE!</v>
      </c>
      <c r="BY79" t="e">
        <f>'SurveyRpt_20150223 (1)'!AC489+"h_l!%VB"</f>
        <v>#VALUE!</v>
      </c>
      <c r="BZ79" t="e">
        <f>'SurveyRpt_20150223 (1)'!AD489+"h_l!%VC"</f>
        <v>#VALUE!</v>
      </c>
      <c r="CA79" t="e">
        <f>'SurveyRpt_20150223 (1)'!AE489+"h_l!%VD"</f>
        <v>#VALUE!</v>
      </c>
      <c r="CB79" t="e">
        <f>'SurveyRpt_20150223 (1)'!AF489+"h_l!%VE"</f>
        <v>#VALUE!</v>
      </c>
      <c r="CC79" t="e">
        <f>'SurveyRpt_20150223 (1)'!AG489+"h_l!%VF"</f>
        <v>#VALUE!</v>
      </c>
      <c r="CD79" t="e">
        <f>'SurveyRpt_20150223 (1)'!AH489+"h_l!%VG"</f>
        <v>#VALUE!</v>
      </c>
      <c r="CE79" t="e">
        <f>'SurveyRpt_20150223 (1)'!AI489+"h_l!%VH"</f>
        <v>#VALUE!</v>
      </c>
      <c r="CF79" t="e">
        <f>'SurveyRpt_20150223 (1)'!AJ489+"h_l!%VI"</f>
        <v>#VALUE!</v>
      </c>
      <c r="CG79" t="e">
        <f>'SurveyRpt_20150223 (1)'!AK489+"h_l!%VJ"</f>
        <v>#VALUE!</v>
      </c>
      <c r="CH79" t="e">
        <f>'SurveyRpt_20150223 (1)'!AL489+"h_l!%VK"</f>
        <v>#VALUE!</v>
      </c>
      <c r="CI79" t="e">
        <f>'SurveyRpt_20150223 (1)'!AM489+"h_l!%VL"</f>
        <v>#VALUE!</v>
      </c>
      <c r="CJ79" t="e">
        <f>'SurveyRpt_20150223 (1)'!AN489+"h_l!%VM"</f>
        <v>#VALUE!</v>
      </c>
      <c r="CK79" t="e">
        <f>'SurveyRpt_20150223 (1)'!A490+"h_l!%VN"</f>
        <v>#VALUE!</v>
      </c>
      <c r="CL79" s="25" t="e">
        <f>'SurveyRpt_20150223 (1)'!B490+"h_l!%VO"</f>
        <v>#VALUE!</v>
      </c>
      <c r="CM79" t="e">
        <f>'SurveyRpt_20150223 (1)'!C490+"h_l!%VP"</f>
        <v>#VALUE!</v>
      </c>
      <c r="CN79" s="25" t="e">
        <f>'SurveyRpt_20150223 (1)'!D490+"h_l!%VQ"</f>
        <v>#VALUE!</v>
      </c>
      <c r="CO79" t="e">
        <f>'SurveyRpt_20150223 (1)'!E490+"h_l!%VR"</f>
        <v>#VALUE!</v>
      </c>
      <c r="CP79" t="e">
        <f>'SurveyRpt_20150223 (1)'!F490+"h_l!%VS"</f>
        <v>#VALUE!</v>
      </c>
      <c r="CQ79" t="e">
        <f>'SurveyRpt_20150223 (1)'!G490+"h_l!%VT"</f>
        <v>#VALUE!</v>
      </c>
      <c r="CR79" t="e">
        <f>'SurveyRpt_20150223 (1)'!H490+"h_l!%VU"</f>
        <v>#VALUE!</v>
      </c>
      <c r="CS79" t="e">
        <f>'SurveyRpt_20150223 (1)'!I490+"h_l!%VV"</f>
        <v>#VALUE!</v>
      </c>
      <c r="CT79" t="e">
        <f>'SurveyRpt_20150223 (1)'!J490+"h_l!%VW"</f>
        <v>#VALUE!</v>
      </c>
      <c r="CU79" t="e">
        <f>'SurveyRpt_20150223 (1)'!K490+"h_l!%VX"</f>
        <v>#VALUE!</v>
      </c>
      <c r="CV79" t="e">
        <f>'SurveyRpt_20150223 (1)'!L490+"h_l!%VY"</f>
        <v>#VALUE!</v>
      </c>
      <c r="CW79" t="e">
        <f>'SurveyRpt_20150223 (1)'!M490+"h_l!%VZ"</f>
        <v>#VALUE!</v>
      </c>
      <c r="CX79" t="e">
        <f>'SurveyRpt_20150223 (1)'!N490+"h_l!%V["</f>
        <v>#VALUE!</v>
      </c>
      <c r="CY79" t="e">
        <f>'SurveyRpt_20150223 (1)'!O490+"h_l!%V\"</f>
        <v>#VALUE!</v>
      </c>
      <c r="CZ79" t="e">
        <f>'SurveyRpt_20150223 (1)'!P490+"h_l!%V]"</f>
        <v>#VALUE!</v>
      </c>
      <c r="DA79" t="e">
        <f>'SurveyRpt_20150223 (1)'!Q490+"h_l!%V^"</f>
        <v>#VALUE!</v>
      </c>
      <c r="DB79" t="e">
        <f>'SurveyRpt_20150223 (1)'!R490+"h_l!%V_"</f>
        <v>#VALUE!</v>
      </c>
      <c r="DC79" t="e">
        <f>'SurveyRpt_20150223 (1)'!S490+"h_l!%V`"</f>
        <v>#VALUE!</v>
      </c>
      <c r="DD79" t="e">
        <f>'SurveyRpt_20150223 (1)'!T490+"h_l!%Va"</f>
        <v>#VALUE!</v>
      </c>
      <c r="DE79" t="e">
        <f>'SurveyRpt_20150223 (1)'!U490+"h_l!%Vb"</f>
        <v>#VALUE!</v>
      </c>
      <c r="DF79" t="e">
        <f>'SurveyRpt_20150223 (1)'!V490+"h_l!%Vc"</f>
        <v>#VALUE!</v>
      </c>
      <c r="DG79" t="e">
        <f>'SurveyRpt_20150223 (1)'!W490+"h_l!%Vd"</f>
        <v>#VALUE!</v>
      </c>
      <c r="DH79" t="e">
        <f>'SurveyRpt_20150223 (1)'!X490+"h_l!%Ve"</f>
        <v>#VALUE!</v>
      </c>
      <c r="DI79" t="e">
        <f>'SurveyRpt_20150223 (1)'!Y490+"h_l!%Vf"</f>
        <v>#VALUE!</v>
      </c>
      <c r="DJ79" t="e">
        <f>'SurveyRpt_20150223 (1)'!Z490+"h_l!%Vg"</f>
        <v>#VALUE!</v>
      </c>
      <c r="DK79" t="e">
        <f>'SurveyRpt_20150223 (1)'!AA490+"h_l!%Vh"</f>
        <v>#VALUE!</v>
      </c>
      <c r="DL79" t="e">
        <f>'SurveyRpt_20150223 (1)'!AB490+"h_l!%Vi"</f>
        <v>#VALUE!</v>
      </c>
      <c r="DM79" t="e">
        <f>'SurveyRpt_20150223 (1)'!AC490+"h_l!%Vj"</f>
        <v>#VALUE!</v>
      </c>
      <c r="DN79" t="e">
        <f>'SurveyRpt_20150223 (1)'!AD490+"h_l!%Vk"</f>
        <v>#VALUE!</v>
      </c>
      <c r="DO79" t="e">
        <f>'SurveyRpt_20150223 (1)'!AE490+"h_l!%Vl"</f>
        <v>#VALUE!</v>
      </c>
      <c r="DP79" t="e">
        <f>'SurveyRpt_20150223 (1)'!AF490+"h_l!%Vm"</f>
        <v>#VALUE!</v>
      </c>
      <c r="DQ79" t="e">
        <f>'SurveyRpt_20150223 (1)'!AG490+"h_l!%Vn"</f>
        <v>#VALUE!</v>
      </c>
      <c r="DR79" t="e">
        <f>'SurveyRpt_20150223 (1)'!AH490+"h_l!%Vo"</f>
        <v>#VALUE!</v>
      </c>
      <c r="DS79" t="e">
        <f>'SurveyRpt_20150223 (1)'!AI490+"h_l!%Vp"</f>
        <v>#VALUE!</v>
      </c>
      <c r="DT79" t="e">
        <f>'SurveyRpt_20150223 (1)'!AJ490+"h_l!%Vq"</f>
        <v>#VALUE!</v>
      </c>
      <c r="DU79" t="e">
        <f>'SurveyRpt_20150223 (1)'!AK490+"h_l!%Vr"</f>
        <v>#VALUE!</v>
      </c>
      <c r="DV79" t="e">
        <f>'SurveyRpt_20150223 (1)'!AL490+"h_l!%Vs"</f>
        <v>#VALUE!</v>
      </c>
      <c r="DW79" t="e">
        <f>'SurveyRpt_20150223 (1)'!AM490+"h_l!%Vt"</f>
        <v>#VALUE!</v>
      </c>
      <c r="DX79" t="e">
        <f>'SurveyRpt_20150223 (1)'!AN490+"h_l!%Vu"</f>
        <v>#VALUE!</v>
      </c>
      <c r="DY79" t="e">
        <f>'SurveyRpt_20150223 (1)'!A491+"h_l!%Vv"</f>
        <v>#VALUE!</v>
      </c>
      <c r="DZ79" s="25" t="e">
        <f>'SurveyRpt_20150223 (1)'!B491+"h_l!%Vw"</f>
        <v>#VALUE!</v>
      </c>
      <c r="EA79" t="e">
        <f>'SurveyRpt_20150223 (1)'!C491+"h_l!%Vx"</f>
        <v>#VALUE!</v>
      </c>
      <c r="EB79" s="25" t="e">
        <f>'SurveyRpt_20150223 (1)'!D491+"h_l!%Vy"</f>
        <v>#VALUE!</v>
      </c>
      <c r="EC79" t="e">
        <f>'SurveyRpt_20150223 (1)'!E491+"h_l!%Vz"</f>
        <v>#VALUE!</v>
      </c>
      <c r="ED79" t="e">
        <f>'SurveyRpt_20150223 (1)'!F491+"h_l!%V{"</f>
        <v>#VALUE!</v>
      </c>
      <c r="EE79" t="e">
        <f>'SurveyRpt_20150223 (1)'!G491+"h_l!%V|"</f>
        <v>#VALUE!</v>
      </c>
      <c r="EF79" t="e">
        <f>'SurveyRpt_20150223 (1)'!H491+"h_l!%V}"</f>
        <v>#VALUE!</v>
      </c>
      <c r="EG79" t="e">
        <f>'SurveyRpt_20150223 (1)'!I491+"h_l!%V~"</f>
        <v>#VALUE!</v>
      </c>
      <c r="EH79" t="e">
        <f>'SurveyRpt_20150223 (1)'!J491+"h_l!%W#"</f>
        <v>#VALUE!</v>
      </c>
      <c r="EI79" t="e">
        <f>'SurveyRpt_20150223 (1)'!K491+"h_l!%W$"</f>
        <v>#VALUE!</v>
      </c>
      <c r="EJ79" t="e">
        <f>'SurveyRpt_20150223 (1)'!L491+"h_l!%W%"</f>
        <v>#VALUE!</v>
      </c>
      <c r="EK79" t="e">
        <f>'SurveyRpt_20150223 (1)'!M491+"h_l!%W&amp;"</f>
        <v>#VALUE!</v>
      </c>
      <c r="EL79" t="e">
        <f>'SurveyRpt_20150223 (1)'!N491+"h_l!%W'"</f>
        <v>#VALUE!</v>
      </c>
      <c r="EM79" t="e">
        <f>'SurveyRpt_20150223 (1)'!O491+"h_l!%W("</f>
        <v>#VALUE!</v>
      </c>
      <c r="EN79" t="e">
        <f>'SurveyRpt_20150223 (1)'!P491+"h_l!%W)"</f>
        <v>#VALUE!</v>
      </c>
      <c r="EO79" t="e">
        <f>'SurveyRpt_20150223 (1)'!Q491+"h_l!%W."</f>
        <v>#VALUE!</v>
      </c>
      <c r="EP79" t="e">
        <f>'SurveyRpt_20150223 (1)'!R491+"h_l!%W/"</f>
        <v>#VALUE!</v>
      </c>
      <c r="EQ79" t="e">
        <f>'SurveyRpt_20150223 (1)'!S491+"h_l!%W0"</f>
        <v>#VALUE!</v>
      </c>
      <c r="ER79" t="e">
        <f>'SurveyRpt_20150223 (1)'!T491+"h_l!%W1"</f>
        <v>#VALUE!</v>
      </c>
      <c r="ES79" t="e">
        <f>'SurveyRpt_20150223 (1)'!U491+"h_l!%W2"</f>
        <v>#VALUE!</v>
      </c>
      <c r="ET79" t="e">
        <f>'SurveyRpt_20150223 (1)'!V491+"h_l!%W3"</f>
        <v>#VALUE!</v>
      </c>
      <c r="EU79" t="e">
        <f>'SurveyRpt_20150223 (1)'!W491+"h_l!%W4"</f>
        <v>#VALUE!</v>
      </c>
      <c r="EV79" t="e">
        <f>'SurveyRpt_20150223 (1)'!X491+"h_l!%W5"</f>
        <v>#VALUE!</v>
      </c>
      <c r="EW79" t="e">
        <f>'SurveyRpt_20150223 (1)'!Y491+"h_l!%W6"</f>
        <v>#VALUE!</v>
      </c>
      <c r="EX79" t="e">
        <f>'SurveyRpt_20150223 (1)'!Z491+"h_l!%W7"</f>
        <v>#VALUE!</v>
      </c>
      <c r="EY79" t="e">
        <f>'SurveyRpt_20150223 (1)'!AA491+"h_l!%W8"</f>
        <v>#VALUE!</v>
      </c>
      <c r="EZ79" t="e">
        <f>'SurveyRpt_20150223 (1)'!AB491+"h_l!%W9"</f>
        <v>#VALUE!</v>
      </c>
      <c r="FA79" t="e">
        <f>'SurveyRpt_20150223 (1)'!AC491+"h_l!%W:"</f>
        <v>#VALUE!</v>
      </c>
      <c r="FB79" t="e">
        <f>'SurveyRpt_20150223 (1)'!AD491+"h_l!%W;"</f>
        <v>#VALUE!</v>
      </c>
      <c r="FC79" t="e">
        <f>'SurveyRpt_20150223 (1)'!AE491+"h_l!%W&lt;"</f>
        <v>#VALUE!</v>
      </c>
      <c r="FD79" t="e">
        <f>'SurveyRpt_20150223 (1)'!AF491+"h_l!%W="</f>
        <v>#VALUE!</v>
      </c>
      <c r="FE79" t="e">
        <f>'SurveyRpt_20150223 (1)'!AG491+"h_l!%W&gt;"</f>
        <v>#VALUE!</v>
      </c>
      <c r="FF79" t="e">
        <f>'SurveyRpt_20150223 (1)'!AH491+"h_l!%W?"</f>
        <v>#VALUE!</v>
      </c>
      <c r="FG79" t="e">
        <f>'SurveyRpt_20150223 (1)'!AI491+"h_l!%W@"</f>
        <v>#VALUE!</v>
      </c>
      <c r="FH79" t="e">
        <f>'SurveyRpt_20150223 (1)'!AJ491+"h_l!%WA"</f>
        <v>#VALUE!</v>
      </c>
      <c r="FI79" t="e">
        <f>'SurveyRpt_20150223 (1)'!AK491+"h_l!%WB"</f>
        <v>#VALUE!</v>
      </c>
      <c r="FJ79" t="e">
        <f>'SurveyRpt_20150223 (1)'!AL491+"h_l!%WC"</f>
        <v>#VALUE!</v>
      </c>
      <c r="FK79" t="e">
        <f>'SurveyRpt_20150223 (1)'!AM491+"h_l!%WD"</f>
        <v>#VALUE!</v>
      </c>
      <c r="FL79" t="e">
        <f>'SurveyRpt_20150223 (1)'!AN491+"h_l!%WE"</f>
        <v>#VALUE!</v>
      </c>
      <c r="FM79" t="e">
        <f>'SurveyRpt_20150223 (1)'!A492+"h_l!%WF"</f>
        <v>#VALUE!</v>
      </c>
      <c r="FN79" s="25" t="e">
        <f>'SurveyRpt_20150223 (1)'!B492+"h_l!%WG"</f>
        <v>#VALUE!</v>
      </c>
      <c r="FO79" t="e">
        <f>'SurveyRpt_20150223 (1)'!C492+"h_l!%WH"</f>
        <v>#VALUE!</v>
      </c>
      <c r="FP79" s="25" t="e">
        <f>'SurveyRpt_20150223 (1)'!D492+"h_l!%WI"</f>
        <v>#VALUE!</v>
      </c>
      <c r="FQ79" t="e">
        <f>'SurveyRpt_20150223 (1)'!E492+"h_l!%WJ"</f>
        <v>#VALUE!</v>
      </c>
      <c r="FR79" t="e">
        <f>'SurveyRpt_20150223 (1)'!F492+"h_l!%WK"</f>
        <v>#VALUE!</v>
      </c>
      <c r="FS79" t="e">
        <f>'SurveyRpt_20150223 (1)'!G492+"h_l!%WL"</f>
        <v>#VALUE!</v>
      </c>
      <c r="FT79" t="e">
        <f>'SurveyRpt_20150223 (1)'!H492+"h_l!%WM"</f>
        <v>#VALUE!</v>
      </c>
      <c r="FU79" t="e">
        <f>'SurveyRpt_20150223 (1)'!I492+"h_l!%WN"</f>
        <v>#VALUE!</v>
      </c>
      <c r="FV79" t="e">
        <f>'SurveyRpt_20150223 (1)'!J492+"h_l!%WO"</f>
        <v>#VALUE!</v>
      </c>
      <c r="FW79" t="e">
        <f>'SurveyRpt_20150223 (1)'!K492+"h_l!%WP"</f>
        <v>#VALUE!</v>
      </c>
      <c r="FX79" t="e">
        <f>'SurveyRpt_20150223 (1)'!L492+"h_l!%WQ"</f>
        <v>#VALUE!</v>
      </c>
      <c r="FY79" t="e">
        <f>'SurveyRpt_20150223 (1)'!M492+"h_l!%WR"</f>
        <v>#VALUE!</v>
      </c>
      <c r="FZ79" t="e">
        <f>'SurveyRpt_20150223 (1)'!N492+"h_l!%WS"</f>
        <v>#VALUE!</v>
      </c>
      <c r="GA79" t="e">
        <f>'SurveyRpt_20150223 (1)'!O492+"h_l!%WT"</f>
        <v>#VALUE!</v>
      </c>
      <c r="GB79" t="e">
        <f>'SurveyRpt_20150223 (1)'!P492+"h_l!%WU"</f>
        <v>#VALUE!</v>
      </c>
      <c r="GC79" t="e">
        <f>'SurveyRpt_20150223 (1)'!Q492+"h_l!%WV"</f>
        <v>#VALUE!</v>
      </c>
      <c r="GD79" t="e">
        <f>'SurveyRpt_20150223 (1)'!R492+"h_l!%WW"</f>
        <v>#VALUE!</v>
      </c>
      <c r="GE79" t="e">
        <f>'SurveyRpt_20150223 (1)'!S492+"h_l!%WX"</f>
        <v>#VALUE!</v>
      </c>
      <c r="GF79" t="e">
        <f>'SurveyRpt_20150223 (1)'!T492+"h_l!%WY"</f>
        <v>#VALUE!</v>
      </c>
      <c r="GG79" t="e">
        <f>'SurveyRpt_20150223 (1)'!U492+"h_l!%WZ"</f>
        <v>#VALUE!</v>
      </c>
      <c r="GH79" t="e">
        <f>'SurveyRpt_20150223 (1)'!V492+"h_l!%W["</f>
        <v>#VALUE!</v>
      </c>
      <c r="GI79" t="e">
        <f>'SurveyRpt_20150223 (1)'!W492+"h_l!%W\"</f>
        <v>#VALUE!</v>
      </c>
      <c r="GJ79" t="e">
        <f>'SurveyRpt_20150223 (1)'!X492+"h_l!%W]"</f>
        <v>#VALUE!</v>
      </c>
      <c r="GK79" t="e">
        <f>'SurveyRpt_20150223 (1)'!Y492+"h_l!%W^"</f>
        <v>#VALUE!</v>
      </c>
      <c r="GL79" t="e">
        <f>'SurveyRpt_20150223 (1)'!Z492+"h_l!%W_"</f>
        <v>#VALUE!</v>
      </c>
      <c r="GM79" t="e">
        <f>'SurveyRpt_20150223 (1)'!AA492+"h_l!%W`"</f>
        <v>#VALUE!</v>
      </c>
      <c r="GN79" t="e">
        <f>'SurveyRpt_20150223 (1)'!AB492+"h_l!%Wa"</f>
        <v>#VALUE!</v>
      </c>
      <c r="GO79" t="e">
        <f>'SurveyRpt_20150223 (1)'!AC492+"h_l!%Wb"</f>
        <v>#VALUE!</v>
      </c>
      <c r="GP79" t="e">
        <f>'SurveyRpt_20150223 (1)'!AD492+"h_l!%Wc"</f>
        <v>#VALUE!</v>
      </c>
      <c r="GQ79" t="e">
        <f>'SurveyRpt_20150223 (1)'!AE492+"h_l!%Wd"</f>
        <v>#VALUE!</v>
      </c>
      <c r="GR79" t="e">
        <f>'SurveyRpt_20150223 (1)'!AF492+"h_l!%We"</f>
        <v>#VALUE!</v>
      </c>
      <c r="GS79" t="e">
        <f>'SurveyRpt_20150223 (1)'!AG492+"h_l!%Wf"</f>
        <v>#VALUE!</v>
      </c>
      <c r="GT79" t="e">
        <f>'SurveyRpt_20150223 (1)'!AH492+"h_l!%Wg"</f>
        <v>#VALUE!</v>
      </c>
      <c r="GU79" t="e">
        <f>'SurveyRpt_20150223 (1)'!AI492+"h_l!%Wh"</f>
        <v>#VALUE!</v>
      </c>
      <c r="GV79" t="e">
        <f>'SurveyRpt_20150223 (1)'!AJ492+"h_l!%Wi"</f>
        <v>#VALUE!</v>
      </c>
      <c r="GW79" t="e">
        <f>'SurveyRpt_20150223 (1)'!AK492+"h_l!%Wj"</f>
        <v>#VALUE!</v>
      </c>
      <c r="GX79" t="e">
        <f>'SurveyRpt_20150223 (1)'!AL492+"h_l!%Wk"</f>
        <v>#VALUE!</v>
      </c>
      <c r="GY79" t="e">
        <f>'SurveyRpt_20150223 (1)'!AM492+"h_l!%Wl"</f>
        <v>#VALUE!</v>
      </c>
      <c r="GZ79" t="e">
        <f>'SurveyRpt_20150223 (1)'!AN492+"h_l!%Wm"</f>
        <v>#VALUE!</v>
      </c>
      <c r="HA79" t="e">
        <f>'SurveyRpt_20150223 (1)'!A493+"h_l!%Wn"</f>
        <v>#VALUE!</v>
      </c>
      <c r="HB79" s="25" t="e">
        <f>'SurveyRpt_20150223 (1)'!B493+"h_l!%Wo"</f>
        <v>#VALUE!</v>
      </c>
      <c r="HC79" t="e">
        <f>'SurveyRpt_20150223 (1)'!C493+"h_l!%Wp"</f>
        <v>#VALUE!</v>
      </c>
      <c r="HD79" s="25" t="e">
        <f>'SurveyRpt_20150223 (1)'!D493+"h_l!%Wq"</f>
        <v>#VALUE!</v>
      </c>
      <c r="HE79" t="e">
        <f>'SurveyRpt_20150223 (1)'!E493+"h_l!%Wr"</f>
        <v>#VALUE!</v>
      </c>
      <c r="HF79" t="e">
        <f>'SurveyRpt_20150223 (1)'!F493+"h_l!%Ws"</f>
        <v>#VALUE!</v>
      </c>
      <c r="HG79" t="e">
        <f>'SurveyRpt_20150223 (1)'!G493+"h_l!%Wt"</f>
        <v>#VALUE!</v>
      </c>
      <c r="HH79" t="e">
        <f>'SurveyRpt_20150223 (1)'!H493+"h_l!%Wu"</f>
        <v>#VALUE!</v>
      </c>
      <c r="HI79" t="e">
        <f>'SurveyRpt_20150223 (1)'!I493+"h_l!%Wv"</f>
        <v>#VALUE!</v>
      </c>
      <c r="HJ79" t="e">
        <f>'SurveyRpt_20150223 (1)'!J493+"h_l!%Ww"</f>
        <v>#VALUE!</v>
      </c>
      <c r="HK79" t="e">
        <f>'SurveyRpt_20150223 (1)'!K493+"h_l!%Wx"</f>
        <v>#VALUE!</v>
      </c>
      <c r="HL79" t="e">
        <f>'SurveyRpt_20150223 (1)'!L493+"h_l!%Wy"</f>
        <v>#VALUE!</v>
      </c>
      <c r="HM79" t="e">
        <f>'SurveyRpt_20150223 (1)'!M493+"h_l!%Wz"</f>
        <v>#VALUE!</v>
      </c>
      <c r="HN79" t="e">
        <f>'SurveyRpt_20150223 (1)'!N493+"h_l!%W{"</f>
        <v>#VALUE!</v>
      </c>
      <c r="HO79" t="e">
        <f>'SurveyRpt_20150223 (1)'!O493+"h_l!%W|"</f>
        <v>#VALUE!</v>
      </c>
      <c r="HP79" t="e">
        <f>'SurveyRpt_20150223 (1)'!P493+"h_l!%W}"</f>
        <v>#VALUE!</v>
      </c>
      <c r="HQ79" t="e">
        <f>'SurveyRpt_20150223 (1)'!Q493+"h_l!%W~"</f>
        <v>#VALUE!</v>
      </c>
      <c r="HR79" t="e">
        <f>'SurveyRpt_20150223 (1)'!R493+"h_l!%X#"</f>
        <v>#VALUE!</v>
      </c>
      <c r="HS79" t="e">
        <f>'SurveyRpt_20150223 (1)'!S493+"h_l!%X$"</f>
        <v>#VALUE!</v>
      </c>
      <c r="HT79" t="e">
        <f>'SurveyRpt_20150223 (1)'!T493+"h_l!%X%"</f>
        <v>#VALUE!</v>
      </c>
      <c r="HU79" t="e">
        <f>'SurveyRpt_20150223 (1)'!U493+"h_l!%X&amp;"</f>
        <v>#VALUE!</v>
      </c>
      <c r="HV79" t="e">
        <f>'SurveyRpt_20150223 (1)'!V493+"h_l!%X'"</f>
        <v>#VALUE!</v>
      </c>
      <c r="HW79" t="e">
        <f>'SurveyRpt_20150223 (1)'!W493+"h_l!%X("</f>
        <v>#VALUE!</v>
      </c>
      <c r="HX79" t="e">
        <f>'SurveyRpt_20150223 (1)'!X493+"h_l!%X)"</f>
        <v>#VALUE!</v>
      </c>
      <c r="HY79" t="e">
        <f>'SurveyRpt_20150223 (1)'!Y493+"h_l!%X."</f>
        <v>#VALUE!</v>
      </c>
      <c r="HZ79" t="e">
        <f>'SurveyRpt_20150223 (1)'!Z493+"h_l!%X/"</f>
        <v>#VALUE!</v>
      </c>
      <c r="IA79" t="e">
        <f>'SurveyRpt_20150223 (1)'!AA493+"h_l!%X0"</f>
        <v>#VALUE!</v>
      </c>
      <c r="IB79" t="e">
        <f>'SurveyRpt_20150223 (1)'!AB493+"h_l!%X1"</f>
        <v>#VALUE!</v>
      </c>
      <c r="IC79" t="e">
        <f>'SurveyRpt_20150223 (1)'!AC493+"h_l!%X2"</f>
        <v>#VALUE!</v>
      </c>
      <c r="ID79" t="e">
        <f>'SurveyRpt_20150223 (1)'!AD493+"h_l!%X3"</f>
        <v>#VALUE!</v>
      </c>
      <c r="IE79" t="e">
        <f>'SurveyRpt_20150223 (1)'!AE493+"h_l!%X4"</f>
        <v>#VALUE!</v>
      </c>
      <c r="IF79" t="e">
        <f>'SurveyRpt_20150223 (1)'!AF493+"h_l!%X5"</f>
        <v>#VALUE!</v>
      </c>
      <c r="IG79" t="e">
        <f>'SurveyRpt_20150223 (1)'!AG493+"h_l!%X6"</f>
        <v>#VALUE!</v>
      </c>
      <c r="IH79" t="e">
        <f>'SurveyRpt_20150223 (1)'!AH493+"h_l!%X7"</f>
        <v>#VALUE!</v>
      </c>
      <c r="II79" t="e">
        <f>'SurveyRpt_20150223 (1)'!AI493+"h_l!%X8"</f>
        <v>#VALUE!</v>
      </c>
      <c r="IJ79" t="e">
        <f>'SurveyRpt_20150223 (1)'!AJ493+"h_l!%X9"</f>
        <v>#VALUE!</v>
      </c>
      <c r="IK79" t="e">
        <f>'SurveyRpt_20150223 (1)'!AK493+"h_l!%X:"</f>
        <v>#VALUE!</v>
      </c>
      <c r="IL79" t="e">
        <f>'SurveyRpt_20150223 (1)'!AL493+"h_l!%X;"</f>
        <v>#VALUE!</v>
      </c>
      <c r="IM79" t="e">
        <f>'SurveyRpt_20150223 (1)'!AM493+"h_l!%X&lt;"</f>
        <v>#VALUE!</v>
      </c>
      <c r="IN79" t="e">
        <f>'SurveyRpt_20150223 (1)'!AN493+"h_l!%X="</f>
        <v>#VALUE!</v>
      </c>
      <c r="IO79" t="e">
        <f>'SurveyRpt_20150223 (1)'!A494+"h_l!%X&gt;"</f>
        <v>#VALUE!</v>
      </c>
      <c r="IP79" s="25" t="e">
        <f>'SurveyRpt_20150223 (1)'!B494+"h_l!%X?"</f>
        <v>#VALUE!</v>
      </c>
      <c r="IQ79" t="e">
        <f>'SurveyRpt_20150223 (1)'!C494+"h_l!%X@"</f>
        <v>#VALUE!</v>
      </c>
      <c r="IR79" s="25" t="e">
        <f>'SurveyRpt_20150223 (1)'!D494+"h_l!%XA"</f>
        <v>#VALUE!</v>
      </c>
      <c r="IS79" t="e">
        <f>'SurveyRpt_20150223 (1)'!E494+"h_l!%XB"</f>
        <v>#VALUE!</v>
      </c>
      <c r="IT79" t="e">
        <f>'SurveyRpt_20150223 (1)'!F494+"h_l!%XC"</f>
        <v>#VALUE!</v>
      </c>
      <c r="IU79" t="e">
        <f>'SurveyRpt_20150223 (1)'!G494+"h_l!%XD"</f>
        <v>#VALUE!</v>
      </c>
      <c r="IV79" t="e">
        <f>'SurveyRpt_20150223 (1)'!H494+"h_l!%XE"</f>
        <v>#VALUE!</v>
      </c>
    </row>
    <row r="80" spans="6:256" x14ac:dyDescent="0.25">
      <c r="F80" t="e">
        <f>'SurveyRpt_20150223 (1)'!I494+"h_l!%XF"</f>
        <v>#VALUE!</v>
      </c>
      <c r="G80" t="e">
        <f>'SurveyRpt_20150223 (1)'!J494+"h_l!%XG"</f>
        <v>#VALUE!</v>
      </c>
      <c r="H80" t="e">
        <f>'SurveyRpt_20150223 (1)'!K494+"h_l!%XH"</f>
        <v>#VALUE!</v>
      </c>
      <c r="I80" t="e">
        <f>'SurveyRpt_20150223 (1)'!L494+"h_l!%XI"</f>
        <v>#VALUE!</v>
      </c>
      <c r="J80" t="e">
        <f>'SurveyRpt_20150223 (1)'!M494+"h_l!%XJ"</f>
        <v>#VALUE!</v>
      </c>
      <c r="K80" t="e">
        <f>'SurveyRpt_20150223 (1)'!N494+"h_l!%XK"</f>
        <v>#VALUE!</v>
      </c>
      <c r="L80" t="e">
        <f>'SurveyRpt_20150223 (1)'!O494+"h_l!%XL"</f>
        <v>#VALUE!</v>
      </c>
      <c r="M80" t="e">
        <f>'SurveyRpt_20150223 (1)'!P494+"h_l!%XM"</f>
        <v>#VALUE!</v>
      </c>
      <c r="N80" t="e">
        <f>'SurveyRpt_20150223 (1)'!Q494+"h_l!%XN"</f>
        <v>#VALUE!</v>
      </c>
      <c r="O80" t="e">
        <f>'SurveyRpt_20150223 (1)'!R494+"h_l!%XO"</f>
        <v>#VALUE!</v>
      </c>
      <c r="P80" t="e">
        <f>'SurveyRpt_20150223 (1)'!S494+"h_l!%XP"</f>
        <v>#VALUE!</v>
      </c>
      <c r="Q80" t="e">
        <f>'SurveyRpt_20150223 (1)'!T494+"h_l!%XQ"</f>
        <v>#VALUE!</v>
      </c>
      <c r="R80" t="e">
        <f>'SurveyRpt_20150223 (1)'!U494+"h_l!%XR"</f>
        <v>#VALUE!</v>
      </c>
      <c r="S80" t="e">
        <f>'SurveyRpt_20150223 (1)'!V494+"h_l!%XS"</f>
        <v>#VALUE!</v>
      </c>
      <c r="T80" t="e">
        <f>'SurveyRpt_20150223 (1)'!W494+"h_l!%XT"</f>
        <v>#VALUE!</v>
      </c>
      <c r="U80" t="e">
        <f>'SurveyRpt_20150223 (1)'!X494+"h_l!%XU"</f>
        <v>#VALUE!</v>
      </c>
      <c r="V80" t="e">
        <f>'SurveyRpt_20150223 (1)'!Y494+"h_l!%XV"</f>
        <v>#VALUE!</v>
      </c>
      <c r="W80" t="e">
        <f>'SurveyRpt_20150223 (1)'!Z494+"h_l!%XW"</f>
        <v>#VALUE!</v>
      </c>
      <c r="X80" t="e">
        <f>'SurveyRpt_20150223 (1)'!AA494+"h_l!%XX"</f>
        <v>#VALUE!</v>
      </c>
      <c r="Y80" t="e">
        <f>'SurveyRpt_20150223 (1)'!AB494+"h_l!%XY"</f>
        <v>#VALUE!</v>
      </c>
      <c r="Z80" t="e">
        <f>'SurveyRpt_20150223 (1)'!AC494+"h_l!%XZ"</f>
        <v>#VALUE!</v>
      </c>
      <c r="AA80" t="e">
        <f>'SurveyRpt_20150223 (1)'!AD494+"h_l!%X["</f>
        <v>#VALUE!</v>
      </c>
      <c r="AB80" t="e">
        <f>'SurveyRpt_20150223 (1)'!AE494+"h_l!%X\"</f>
        <v>#VALUE!</v>
      </c>
      <c r="AC80" t="e">
        <f>'SurveyRpt_20150223 (1)'!AF494+"h_l!%X]"</f>
        <v>#VALUE!</v>
      </c>
      <c r="AD80" t="e">
        <f>'SurveyRpt_20150223 (1)'!AG494+"h_l!%X^"</f>
        <v>#VALUE!</v>
      </c>
      <c r="AE80" t="e">
        <f>'SurveyRpt_20150223 (1)'!AH494+"h_l!%X_"</f>
        <v>#VALUE!</v>
      </c>
      <c r="AF80" t="e">
        <f>'SurveyRpt_20150223 (1)'!AI494+"h_l!%X`"</f>
        <v>#VALUE!</v>
      </c>
      <c r="AG80" t="e">
        <f>'SurveyRpt_20150223 (1)'!AJ494+"h_l!%Xa"</f>
        <v>#VALUE!</v>
      </c>
      <c r="AH80" t="e">
        <f>'SurveyRpt_20150223 (1)'!AK494+"h_l!%Xb"</f>
        <v>#VALUE!</v>
      </c>
      <c r="AI80" t="e">
        <f>'SurveyRpt_20150223 (1)'!AL494+"h_l!%Xc"</f>
        <v>#VALUE!</v>
      </c>
      <c r="AJ80" t="e">
        <f>'SurveyRpt_20150223 (1)'!AM494+"h_l!%Xd"</f>
        <v>#VALUE!</v>
      </c>
      <c r="AK80" t="e">
        <f>'SurveyRpt_20150223 (1)'!AN494+"h_l!%Xe"</f>
        <v>#VALUE!</v>
      </c>
      <c r="AL80" t="e">
        <f>'SurveyRpt_20150223 (1)'!A495+"h_l!%Xf"</f>
        <v>#VALUE!</v>
      </c>
      <c r="AM80" s="25" t="e">
        <f>'SurveyRpt_20150223 (1)'!B495+"h_l!%Xg"</f>
        <v>#VALUE!</v>
      </c>
      <c r="AN80" t="e">
        <f>'SurveyRpt_20150223 (1)'!C495+"h_l!%Xh"</f>
        <v>#VALUE!</v>
      </c>
      <c r="AO80" s="25" t="e">
        <f>'SurveyRpt_20150223 (1)'!D495+"h_l!%Xi"</f>
        <v>#VALUE!</v>
      </c>
      <c r="AP80" t="e">
        <f>'SurveyRpt_20150223 (1)'!E495+"h_l!%Xj"</f>
        <v>#VALUE!</v>
      </c>
      <c r="AQ80" t="e">
        <f>'SurveyRpt_20150223 (1)'!F495+"h_l!%Xk"</f>
        <v>#VALUE!</v>
      </c>
      <c r="AR80" t="e">
        <f>'SurveyRpt_20150223 (1)'!G495+"h_l!%Xl"</f>
        <v>#VALUE!</v>
      </c>
      <c r="AS80" t="e">
        <f>'SurveyRpt_20150223 (1)'!H495+"h_l!%Xm"</f>
        <v>#VALUE!</v>
      </c>
      <c r="AT80" t="e">
        <f>'SurveyRpt_20150223 (1)'!I495+"h_l!%Xn"</f>
        <v>#VALUE!</v>
      </c>
      <c r="AU80" t="e">
        <f>'SurveyRpt_20150223 (1)'!J495+"h_l!%Xo"</f>
        <v>#VALUE!</v>
      </c>
      <c r="AV80" t="e">
        <f>'SurveyRpt_20150223 (1)'!K495+"h_l!%Xp"</f>
        <v>#VALUE!</v>
      </c>
      <c r="AW80" t="e">
        <f>'SurveyRpt_20150223 (1)'!L495+"h_l!%Xq"</f>
        <v>#VALUE!</v>
      </c>
      <c r="AX80" t="e">
        <f>'SurveyRpt_20150223 (1)'!M495+"h_l!%Xr"</f>
        <v>#VALUE!</v>
      </c>
      <c r="AY80" t="e">
        <f>'SurveyRpt_20150223 (1)'!N495+"h_l!%Xs"</f>
        <v>#VALUE!</v>
      </c>
      <c r="AZ80" t="e">
        <f>'SurveyRpt_20150223 (1)'!O495+"h_l!%Xt"</f>
        <v>#VALUE!</v>
      </c>
      <c r="BA80" t="e">
        <f>'SurveyRpt_20150223 (1)'!P495+"h_l!%Xu"</f>
        <v>#VALUE!</v>
      </c>
      <c r="BB80" t="e">
        <f>'SurveyRpt_20150223 (1)'!Q495+"h_l!%Xv"</f>
        <v>#VALUE!</v>
      </c>
      <c r="BC80" t="e">
        <f>'SurveyRpt_20150223 (1)'!R495+"h_l!%Xw"</f>
        <v>#VALUE!</v>
      </c>
      <c r="BD80" t="e">
        <f>'SurveyRpt_20150223 (1)'!S495+"h_l!%Xx"</f>
        <v>#VALUE!</v>
      </c>
      <c r="BE80" t="e">
        <f>'SurveyRpt_20150223 (1)'!T495+"h_l!%Xy"</f>
        <v>#VALUE!</v>
      </c>
      <c r="BF80" t="e">
        <f>'SurveyRpt_20150223 (1)'!U495+"h_l!%Xz"</f>
        <v>#VALUE!</v>
      </c>
      <c r="BG80" t="e">
        <f>'SurveyRpt_20150223 (1)'!V495+"h_l!%X{"</f>
        <v>#VALUE!</v>
      </c>
      <c r="BH80" t="e">
        <f>'SurveyRpt_20150223 (1)'!W495+"h_l!%X|"</f>
        <v>#VALUE!</v>
      </c>
      <c r="BI80" t="e">
        <f>'SurveyRpt_20150223 (1)'!X495+"h_l!%X}"</f>
        <v>#VALUE!</v>
      </c>
      <c r="BJ80" t="e">
        <f>'SurveyRpt_20150223 (1)'!Y495+"h_l!%X~"</f>
        <v>#VALUE!</v>
      </c>
      <c r="BK80" t="e">
        <f>'SurveyRpt_20150223 (1)'!Z495+"h_l!%Y#"</f>
        <v>#VALUE!</v>
      </c>
      <c r="BL80" t="e">
        <f>'SurveyRpt_20150223 (1)'!AA495+"h_l!%Y$"</f>
        <v>#VALUE!</v>
      </c>
      <c r="BM80" t="e">
        <f>'SurveyRpt_20150223 (1)'!AB495+"h_l!%Y%"</f>
        <v>#VALUE!</v>
      </c>
      <c r="BN80" t="e">
        <f>'SurveyRpt_20150223 (1)'!AC495+"h_l!%Y&amp;"</f>
        <v>#VALUE!</v>
      </c>
      <c r="BO80" t="e">
        <f>'SurveyRpt_20150223 (1)'!AD495+"h_l!%Y'"</f>
        <v>#VALUE!</v>
      </c>
      <c r="BP80" t="e">
        <f>'SurveyRpt_20150223 (1)'!AE495+"h_l!%Y("</f>
        <v>#VALUE!</v>
      </c>
      <c r="BQ80" t="e">
        <f>'SurveyRpt_20150223 (1)'!AF495+"h_l!%Y)"</f>
        <v>#VALUE!</v>
      </c>
      <c r="BR80" t="e">
        <f>'SurveyRpt_20150223 (1)'!AG495+"h_l!%Y."</f>
        <v>#VALUE!</v>
      </c>
      <c r="BS80" t="e">
        <f>'SurveyRpt_20150223 (1)'!AH495+"h_l!%Y/"</f>
        <v>#VALUE!</v>
      </c>
      <c r="BT80" t="e">
        <f>'SurveyRpt_20150223 (1)'!AI495+"h_l!%Y0"</f>
        <v>#VALUE!</v>
      </c>
      <c r="BU80" t="e">
        <f>'SurveyRpt_20150223 (1)'!AJ495+"h_l!%Y1"</f>
        <v>#VALUE!</v>
      </c>
      <c r="BV80" t="e">
        <f>'SurveyRpt_20150223 (1)'!AK495+"h_l!%Y2"</f>
        <v>#VALUE!</v>
      </c>
      <c r="BW80" t="e">
        <f>'SurveyRpt_20150223 (1)'!AL495+"h_l!%Y3"</f>
        <v>#VALUE!</v>
      </c>
      <c r="BX80" t="e">
        <f>'SurveyRpt_20150223 (1)'!AM495+"h_l!%Y4"</f>
        <v>#VALUE!</v>
      </c>
      <c r="BY80" t="e">
        <f>'SurveyRpt_20150223 (1)'!AN495+"h_l!%Y5"</f>
        <v>#VALUE!</v>
      </c>
      <c r="BZ80" t="e">
        <f>'SurveyRpt_20150223 (1)'!A496+"h_l!%Y6"</f>
        <v>#VALUE!</v>
      </c>
      <c r="CA80" s="25" t="e">
        <f>'SurveyRpt_20150223 (1)'!B496+"h_l!%Y7"</f>
        <v>#VALUE!</v>
      </c>
      <c r="CB80" t="e">
        <f>'SurveyRpt_20150223 (1)'!C496+"h_l!%Y8"</f>
        <v>#VALUE!</v>
      </c>
      <c r="CC80" s="25" t="e">
        <f>'SurveyRpt_20150223 (1)'!D496+"h_l!%Y9"</f>
        <v>#VALUE!</v>
      </c>
      <c r="CD80" t="e">
        <f>'SurveyRpt_20150223 (1)'!E496+"h_l!%Y:"</f>
        <v>#VALUE!</v>
      </c>
      <c r="CE80" t="e">
        <f>'SurveyRpt_20150223 (1)'!F496+"h_l!%Y;"</f>
        <v>#VALUE!</v>
      </c>
      <c r="CF80" t="e">
        <f>'SurveyRpt_20150223 (1)'!G496+"h_l!%Y&lt;"</f>
        <v>#VALUE!</v>
      </c>
      <c r="CG80" t="e">
        <f>'SurveyRpt_20150223 (1)'!H496+"h_l!%Y="</f>
        <v>#VALUE!</v>
      </c>
      <c r="CH80" t="e">
        <f>'SurveyRpt_20150223 (1)'!I496+"h_l!%Y&gt;"</f>
        <v>#VALUE!</v>
      </c>
      <c r="CI80" t="e">
        <f>'SurveyRpt_20150223 (1)'!J496+"h_l!%Y?"</f>
        <v>#VALUE!</v>
      </c>
      <c r="CJ80" t="e">
        <f>'SurveyRpt_20150223 (1)'!K496+"h_l!%Y@"</f>
        <v>#VALUE!</v>
      </c>
      <c r="CK80" t="e">
        <f>'SurveyRpt_20150223 (1)'!L496+"h_l!%YA"</f>
        <v>#VALUE!</v>
      </c>
      <c r="CL80" t="e">
        <f>'SurveyRpt_20150223 (1)'!M496+"h_l!%YB"</f>
        <v>#VALUE!</v>
      </c>
      <c r="CM80" t="e">
        <f>'SurveyRpt_20150223 (1)'!N496+"h_l!%YC"</f>
        <v>#VALUE!</v>
      </c>
      <c r="CN80" t="e">
        <f>'SurveyRpt_20150223 (1)'!O496+"h_l!%YD"</f>
        <v>#VALUE!</v>
      </c>
      <c r="CO80" t="e">
        <f>'SurveyRpt_20150223 (1)'!P496+"h_l!%YE"</f>
        <v>#VALUE!</v>
      </c>
      <c r="CP80" t="e">
        <f>'SurveyRpt_20150223 (1)'!Q496+"h_l!%YF"</f>
        <v>#VALUE!</v>
      </c>
      <c r="CQ80" t="e">
        <f>'SurveyRpt_20150223 (1)'!R496+"h_l!%YG"</f>
        <v>#VALUE!</v>
      </c>
      <c r="CR80" t="e">
        <f>'SurveyRpt_20150223 (1)'!S496+"h_l!%YH"</f>
        <v>#VALUE!</v>
      </c>
      <c r="CS80" t="e">
        <f>'SurveyRpt_20150223 (1)'!T496+"h_l!%YI"</f>
        <v>#VALUE!</v>
      </c>
      <c r="CT80" t="e">
        <f>'SurveyRpt_20150223 (1)'!U496+"h_l!%YJ"</f>
        <v>#VALUE!</v>
      </c>
      <c r="CU80" t="e">
        <f>'SurveyRpt_20150223 (1)'!V496+"h_l!%YK"</f>
        <v>#VALUE!</v>
      </c>
      <c r="CV80" t="e">
        <f>'SurveyRpt_20150223 (1)'!W496+"h_l!%YL"</f>
        <v>#VALUE!</v>
      </c>
      <c r="CW80" t="e">
        <f>'SurveyRpt_20150223 (1)'!X496+"h_l!%YM"</f>
        <v>#VALUE!</v>
      </c>
      <c r="CX80" t="e">
        <f>'SurveyRpt_20150223 (1)'!Y496+"h_l!%YN"</f>
        <v>#VALUE!</v>
      </c>
      <c r="CY80" t="e">
        <f>'SurveyRpt_20150223 (1)'!Z496+"h_l!%YO"</f>
        <v>#VALUE!</v>
      </c>
      <c r="CZ80" t="e">
        <f>'SurveyRpt_20150223 (1)'!AA496+"h_l!%YP"</f>
        <v>#VALUE!</v>
      </c>
      <c r="DA80" t="e">
        <f>'SurveyRpt_20150223 (1)'!AB496+"h_l!%YQ"</f>
        <v>#VALUE!</v>
      </c>
      <c r="DB80" t="e">
        <f>'SurveyRpt_20150223 (1)'!AC496+"h_l!%YR"</f>
        <v>#VALUE!</v>
      </c>
      <c r="DC80" t="e">
        <f>'SurveyRpt_20150223 (1)'!AD496+"h_l!%YS"</f>
        <v>#VALUE!</v>
      </c>
      <c r="DD80" t="e">
        <f>'SurveyRpt_20150223 (1)'!AE496+"h_l!%YT"</f>
        <v>#VALUE!</v>
      </c>
      <c r="DE80" t="e">
        <f>'SurveyRpt_20150223 (1)'!AF496+"h_l!%YU"</f>
        <v>#VALUE!</v>
      </c>
      <c r="DF80" t="e">
        <f>'SurveyRpt_20150223 (1)'!AG496+"h_l!%YV"</f>
        <v>#VALUE!</v>
      </c>
      <c r="DG80" t="e">
        <f>'SurveyRpt_20150223 (1)'!AH496+"h_l!%YW"</f>
        <v>#VALUE!</v>
      </c>
      <c r="DH80" t="e">
        <f>'SurveyRpt_20150223 (1)'!AI496+"h_l!%YX"</f>
        <v>#VALUE!</v>
      </c>
      <c r="DI80" t="e">
        <f>'SurveyRpt_20150223 (1)'!AJ496+"h_l!%YY"</f>
        <v>#VALUE!</v>
      </c>
      <c r="DJ80" t="e">
        <f>'SurveyRpt_20150223 (1)'!AK496+"h_l!%YZ"</f>
        <v>#VALUE!</v>
      </c>
      <c r="DK80" t="e">
        <f>'SurveyRpt_20150223 (1)'!AL496+"h_l!%Y["</f>
        <v>#VALUE!</v>
      </c>
      <c r="DL80" t="e">
        <f>'SurveyRpt_20150223 (1)'!AM496+"h_l!%Y\"</f>
        <v>#VALUE!</v>
      </c>
      <c r="DM80" t="e">
        <f>'SurveyRpt_20150223 (1)'!AN496+"h_l!%Y]"</f>
        <v>#VALUE!</v>
      </c>
      <c r="DN80" t="e">
        <f>'SurveyRpt_20150223 (1)'!A497+"h_l!%Y^"</f>
        <v>#VALUE!</v>
      </c>
      <c r="DO80" s="25" t="e">
        <f>'SurveyRpt_20150223 (1)'!B497+"h_l!%Y_"</f>
        <v>#VALUE!</v>
      </c>
      <c r="DP80" t="e">
        <f>'SurveyRpt_20150223 (1)'!C497+"h_l!%Y`"</f>
        <v>#VALUE!</v>
      </c>
      <c r="DQ80" s="25" t="e">
        <f>'SurveyRpt_20150223 (1)'!D497+"h_l!%Ya"</f>
        <v>#VALUE!</v>
      </c>
      <c r="DR80" t="e">
        <f>'SurveyRpt_20150223 (1)'!E497+"h_l!%Yb"</f>
        <v>#VALUE!</v>
      </c>
      <c r="DS80" t="e">
        <f>'SurveyRpt_20150223 (1)'!F497+"h_l!%Yc"</f>
        <v>#VALUE!</v>
      </c>
      <c r="DT80" t="e">
        <f>'SurveyRpt_20150223 (1)'!G497+"h_l!%Yd"</f>
        <v>#VALUE!</v>
      </c>
      <c r="DU80" t="e">
        <f>'SurveyRpt_20150223 (1)'!H497+"h_l!%Ye"</f>
        <v>#VALUE!</v>
      </c>
      <c r="DV80" t="e">
        <f>'SurveyRpt_20150223 (1)'!I497+"h_l!%Yf"</f>
        <v>#VALUE!</v>
      </c>
      <c r="DW80" t="e">
        <f>'SurveyRpt_20150223 (1)'!J497+"h_l!%Yg"</f>
        <v>#VALUE!</v>
      </c>
      <c r="DX80" t="e">
        <f>'SurveyRpt_20150223 (1)'!K497+"h_l!%Yh"</f>
        <v>#VALUE!</v>
      </c>
      <c r="DY80" t="e">
        <f>'SurveyRpt_20150223 (1)'!L497+"h_l!%Yi"</f>
        <v>#VALUE!</v>
      </c>
      <c r="DZ80" t="e">
        <f>'SurveyRpt_20150223 (1)'!M497+"h_l!%Yj"</f>
        <v>#VALUE!</v>
      </c>
      <c r="EA80" t="e">
        <f>'SurveyRpt_20150223 (1)'!N497+"h_l!%Yk"</f>
        <v>#VALUE!</v>
      </c>
      <c r="EB80" t="e">
        <f>'SurveyRpt_20150223 (1)'!O497+"h_l!%Yl"</f>
        <v>#VALUE!</v>
      </c>
      <c r="EC80" t="e">
        <f>'SurveyRpt_20150223 (1)'!P497+"h_l!%Ym"</f>
        <v>#VALUE!</v>
      </c>
      <c r="ED80" t="e">
        <f>'SurveyRpt_20150223 (1)'!Q497+"h_l!%Yn"</f>
        <v>#VALUE!</v>
      </c>
      <c r="EE80" t="e">
        <f>'SurveyRpt_20150223 (1)'!R497+"h_l!%Yo"</f>
        <v>#VALUE!</v>
      </c>
      <c r="EF80" t="e">
        <f>'SurveyRpt_20150223 (1)'!S497+"h_l!%Yp"</f>
        <v>#VALUE!</v>
      </c>
      <c r="EG80" t="e">
        <f>'SurveyRpt_20150223 (1)'!T497+"h_l!%Yq"</f>
        <v>#VALUE!</v>
      </c>
      <c r="EH80" t="e">
        <f>'SurveyRpt_20150223 (1)'!U497+"h_l!%Yr"</f>
        <v>#VALUE!</v>
      </c>
      <c r="EI80" t="e">
        <f>'SurveyRpt_20150223 (1)'!V497+"h_l!%Ys"</f>
        <v>#VALUE!</v>
      </c>
      <c r="EJ80" t="e">
        <f>'SurveyRpt_20150223 (1)'!W497+"h_l!%Yt"</f>
        <v>#VALUE!</v>
      </c>
      <c r="EK80" t="e">
        <f>'SurveyRpt_20150223 (1)'!X497+"h_l!%Yu"</f>
        <v>#VALUE!</v>
      </c>
      <c r="EL80" t="e">
        <f>'SurveyRpt_20150223 (1)'!Y497+"h_l!%Yv"</f>
        <v>#VALUE!</v>
      </c>
      <c r="EM80" t="e">
        <f>'SurveyRpt_20150223 (1)'!Z497+"h_l!%Yw"</f>
        <v>#VALUE!</v>
      </c>
      <c r="EN80" t="e">
        <f>'SurveyRpt_20150223 (1)'!AA497+"h_l!%Yx"</f>
        <v>#VALUE!</v>
      </c>
      <c r="EO80" t="e">
        <f>'SurveyRpt_20150223 (1)'!AB497+"h_l!%Yy"</f>
        <v>#VALUE!</v>
      </c>
      <c r="EP80" t="e">
        <f>'SurveyRpt_20150223 (1)'!AC497+"h_l!%Yz"</f>
        <v>#VALUE!</v>
      </c>
      <c r="EQ80" t="e">
        <f>'SurveyRpt_20150223 (1)'!AD497+"h_l!%Y{"</f>
        <v>#VALUE!</v>
      </c>
      <c r="ER80" t="e">
        <f>'SurveyRpt_20150223 (1)'!AE497+"h_l!%Y|"</f>
        <v>#VALUE!</v>
      </c>
      <c r="ES80" t="e">
        <f>'SurveyRpt_20150223 (1)'!AF497+"h_l!%Y}"</f>
        <v>#VALUE!</v>
      </c>
      <c r="ET80" t="e">
        <f>'SurveyRpt_20150223 (1)'!AG497+"h_l!%Y~"</f>
        <v>#VALUE!</v>
      </c>
      <c r="EU80" t="e">
        <f>'SurveyRpt_20150223 (1)'!AH497+"h_l!%Z#"</f>
        <v>#VALUE!</v>
      </c>
      <c r="EV80" t="e">
        <f>'SurveyRpt_20150223 (1)'!AI497+"h_l!%Z$"</f>
        <v>#VALUE!</v>
      </c>
      <c r="EW80" t="e">
        <f>'SurveyRpt_20150223 (1)'!AJ497+"h_l!%Z%"</f>
        <v>#VALUE!</v>
      </c>
      <c r="EX80" t="e">
        <f>'SurveyRpt_20150223 (1)'!AK497+"h_l!%Z&amp;"</f>
        <v>#VALUE!</v>
      </c>
      <c r="EY80" t="e">
        <f>'SurveyRpt_20150223 (1)'!AL497+"h_l!%Z'"</f>
        <v>#VALUE!</v>
      </c>
      <c r="EZ80" t="e">
        <f>'SurveyRpt_20150223 (1)'!AM497+"h_l!%Z("</f>
        <v>#VALUE!</v>
      </c>
      <c r="FA80" t="e">
        <f>'SurveyRpt_20150223 (1)'!AN497+"h_l!%Z)"</f>
        <v>#VALUE!</v>
      </c>
      <c r="FB80" t="e">
        <f>'SurveyRpt_20150223 (1)'!A498+"h_l!%Z."</f>
        <v>#VALUE!</v>
      </c>
      <c r="FC80" s="25" t="e">
        <f>'SurveyRpt_20150223 (1)'!B498+"h_l!%Z/"</f>
        <v>#VALUE!</v>
      </c>
      <c r="FD80" t="e">
        <f>'SurveyRpt_20150223 (1)'!C498+"h_l!%Z0"</f>
        <v>#VALUE!</v>
      </c>
      <c r="FE80" s="25" t="e">
        <f>'SurveyRpt_20150223 (1)'!D498+"h_l!%Z1"</f>
        <v>#VALUE!</v>
      </c>
      <c r="FF80" t="e">
        <f>'SurveyRpt_20150223 (1)'!E498+"h_l!%Z2"</f>
        <v>#VALUE!</v>
      </c>
      <c r="FG80" t="e">
        <f>'SurveyRpt_20150223 (1)'!F498+"h_l!%Z3"</f>
        <v>#VALUE!</v>
      </c>
      <c r="FH80" t="e">
        <f>'SurveyRpt_20150223 (1)'!G498+"h_l!%Z4"</f>
        <v>#VALUE!</v>
      </c>
      <c r="FI80" t="e">
        <f>'SurveyRpt_20150223 (1)'!H498+"h_l!%Z5"</f>
        <v>#VALUE!</v>
      </c>
      <c r="FJ80" t="e">
        <f>'SurveyRpt_20150223 (1)'!I498+"h_l!%Z6"</f>
        <v>#VALUE!</v>
      </c>
      <c r="FK80" t="e">
        <f>'SurveyRpt_20150223 (1)'!J498+"h_l!%Z7"</f>
        <v>#VALUE!</v>
      </c>
      <c r="FL80" t="e">
        <f>'SurveyRpt_20150223 (1)'!K498+"h_l!%Z8"</f>
        <v>#VALUE!</v>
      </c>
      <c r="FM80" t="e">
        <f>'SurveyRpt_20150223 (1)'!L498+"h_l!%Z9"</f>
        <v>#VALUE!</v>
      </c>
      <c r="FN80" t="e">
        <f>'SurveyRpt_20150223 (1)'!M498+"h_l!%Z:"</f>
        <v>#VALUE!</v>
      </c>
      <c r="FO80" t="e">
        <f>'SurveyRpt_20150223 (1)'!N498+"h_l!%Z;"</f>
        <v>#VALUE!</v>
      </c>
      <c r="FP80" t="e">
        <f>'SurveyRpt_20150223 (1)'!O498+"h_l!%Z&lt;"</f>
        <v>#VALUE!</v>
      </c>
      <c r="FQ80" t="e">
        <f>'SurveyRpt_20150223 (1)'!P498+"h_l!%Z="</f>
        <v>#VALUE!</v>
      </c>
      <c r="FR80" t="e">
        <f>'SurveyRpt_20150223 (1)'!Q498+"h_l!%Z&gt;"</f>
        <v>#VALUE!</v>
      </c>
      <c r="FS80" t="e">
        <f>'SurveyRpt_20150223 (1)'!R498+"h_l!%Z?"</f>
        <v>#VALUE!</v>
      </c>
      <c r="FT80" t="e">
        <f>'SurveyRpt_20150223 (1)'!S498+"h_l!%Z@"</f>
        <v>#VALUE!</v>
      </c>
      <c r="FU80" t="e">
        <f>'SurveyRpt_20150223 (1)'!T498+"h_l!%ZA"</f>
        <v>#VALUE!</v>
      </c>
      <c r="FV80" t="e">
        <f>'SurveyRpt_20150223 (1)'!U498+"h_l!%ZB"</f>
        <v>#VALUE!</v>
      </c>
      <c r="FW80" t="e">
        <f>'SurveyRpt_20150223 (1)'!V498+"h_l!%ZC"</f>
        <v>#VALUE!</v>
      </c>
      <c r="FX80" t="e">
        <f>'SurveyRpt_20150223 (1)'!W498+"h_l!%ZD"</f>
        <v>#VALUE!</v>
      </c>
      <c r="FY80" t="e">
        <f>'SurveyRpt_20150223 (1)'!X498+"h_l!%ZE"</f>
        <v>#VALUE!</v>
      </c>
      <c r="FZ80" t="e">
        <f>'SurveyRpt_20150223 (1)'!Y498+"h_l!%ZF"</f>
        <v>#VALUE!</v>
      </c>
      <c r="GA80" t="e">
        <f>'SurveyRpt_20150223 (1)'!Z498+"h_l!%ZG"</f>
        <v>#VALUE!</v>
      </c>
      <c r="GB80" t="e">
        <f>'SurveyRpt_20150223 (1)'!AA498+"h_l!%ZH"</f>
        <v>#VALUE!</v>
      </c>
      <c r="GC80" t="e">
        <f>'SurveyRpt_20150223 (1)'!AB498+"h_l!%ZI"</f>
        <v>#VALUE!</v>
      </c>
      <c r="GD80" t="e">
        <f>'SurveyRpt_20150223 (1)'!AC498+"h_l!%ZJ"</f>
        <v>#VALUE!</v>
      </c>
      <c r="GE80" t="e">
        <f>'SurveyRpt_20150223 (1)'!AD498+"h_l!%ZK"</f>
        <v>#VALUE!</v>
      </c>
      <c r="GF80" t="e">
        <f>'SurveyRpt_20150223 (1)'!AE498+"h_l!%ZL"</f>
        <v>#VALUE!</v>
      </c>
      <c r="GG80" t="e">
        <f>'SurveyRpt_20150223 (1)'!AF498+"h_l!%ZM"</f>
        <v>#VALUE!</v>
      </c>
      <c r="GH80" t="e">
        <f>'SurveyRpt_20150223 (1)'!AG498+"h_l!%ZN"</f>
        <v>#VALUE!</v>
      </c>
      <c r="GI80" t="e">
        <f>'SurveyRpt_20150223 (1)'!AH498+"h_l!%ZO"</f>
        <v>#VALUE!</v>
      </c>
      <c r="GJ80" t="e">
        <f>'SurveyRpt_20150223 (1)'!AI498+"h_l!%ZP"</f>
        <v>#VALUE!</v>
      </c>
      <c r="GK80" t="e">
        <f>'SurveyRpt_20150223 (1)'!AJ498+"h_l!%ZQ"</f>
        <v>#VALUE!</v>
      </c>
      <c r="GL80" t="e">
        <f>'SurveyRpt_20150223 (1)'!AK498+"h_l!%ZR"</f>
        <v>#VALUE!</v>
      </c>
      <c r="GM80" t="e">
        <f>'SurveyRpt_20150223 (1)'!AL498+"h_l!%ZS"</f>
        <v>#VALUE!</v>
      </c>
      <c r="GN80" t="e">
        <f>'SurveyRpt_20150223 (1)'!AM498+"h_l!%ZT"</f>
        <v>#VALUE!</v>
      </c>
      <c r="GO80" t="e">
        <f>'SurveyRpt_20150223 (1)'!AN498+"h_l!%ZU"</f>
        <v>#VALUE!</v>
      </c>
      <c r="GP80" t="e">
        <f>'SurveyRpt_20150223 (1)'!A499+"h_l!%ZV"</f>
        <v>#VALUE!</v>
      </c>
      <c r="GQ80" s="25" t="e">
        <f>'SurveyRpt_20150223 (1)'!B499+"h_l!%ZW"</f>
        <v>#VALUE!</v>
      </c>
      <c r="GR80" t="e">
        <f>'SurveyRpt_20150223 (1)'!C499+"h_l!%ZX"</f>
        <v>#VALUE!</v>
      </c>
      <c r="GS80" s="25" t="e">
        <f>'SurveyRpt_20150223 (1)'!D499+"h_l!%ZY"</f>
        <v>#VALUE!</v>
      </c>
      <c r="GT80" t="e">
        <f>'SurveyRpt_20150223 (1)'!E499+"h_l!%ZZ"</f>
        <v>#VALUE!</v>
      </c>
      <c r="GU80" t="e">
        <f>'SurveyRpt_20150223 (1)'!F499+"h_l!%Z["</f>
        <v>#VALUE!</v>
      </c>
      <c r="GV80" t="e">
        <f>'SurveyRpt_20150223 (1)'!G499+"h_l!%Z\"</f>
        <v>#VALUE!</v>
      </c>
      <c r="GW80" t="e">
        <f>'SurveyRpt_20150223 (1)'!H499+"h_l!%Z]"</f>
        <v>#VALUE!</v>
      </c>
      <c r="GX80" t="e">
        <f>'SurveyRpt_20150223 (1)'!I499+"h_l!%Z^"</f>
        <v>#VALUE!</v>
      </c>
      <c r="GY80" t="e">
        <f>'SurveyRpt_20150223 (1)'!J499+"h_l!%Z_"</f>
        <v>#VALUE!</v>
      </c>
      <c r="GZ80" t="e">
        <f>'SurveyRpt_20150223 (1)'!K499+"h_l!%Z`"</f>
        <v>#VALUE!</v>
      </c>
      <c r="HA80" t="e">
        <f>'SurveyRpt_20150223 (1)'!L499+"h_l!%Za"</f>
        <v>#VALUE!</v>
      </c>
      <c r="HB80" t="e">
        <f>'SurveyRpt_20150223 (1)'!M499+"h_l!%Zb"</f>
        <v>#VALUE!</v>
      </c>
      <c r="HC80" t="e">
        <f>'SurveyRpt_20150223 (1)'!N499+"h_l!%Zc"</f>
        <v>#VALUE!</v>
      </c>
      <c r="HD80" t="e">
        <f>'SurveyRpt_20150223 (1)'!O499+"h_l!%Zd"</f>
        <v>#VALUE!</v>
      </c>
      <c r="HE80" t="e">
        <f>'SurveyRpt_20150223 (1)'!P499+"h_l!%Ze"</f>
        <v>#VALUE!</v>
      </c>
      <c r="HF80" t="e">
        <f>'SurveyRpt_20150223 (1)'!Q499+"h_l!%Zf"</f>
        <v>#VALUE!</v>
      </c>
      <c r="HG80" t="e">
        <f>'SurveyRpt_20150223 (1)'!R499+"h_l!%Zg"</f>
        <v>#VALUE!</v>
      </c>
      <c r="HH80" t="e">
        <f>'SurveyRpt_20150223 (1)'!S499+"h_l!%Zh"</f>
        <v>#VALUE!</v>
      </c>
      <c r="HI80" t="e">
        <f>'SurveyRpt_20150223 (1)'!T499+"h_l!%Zi"</f>
        <v>#VALUE!</v>
      </c>
      <c r="HJ80" t="e">
        <f>'SurveyRpt_20150223 (1)'!U499+"h_l!%Zj"</f>
        <v>#VALUE!</v>
      </c>
      <c r="HK80" t="e">
        <f>'SurveyRpt_20150223 (1)'!V499+"h_l!%Zk"</f>
        <v>#VALUE!</v>
      </c>
      <c r="HL80" t="e">
        <f>'SurveyRpt_20150223 (1)'!W499+"h_l!%Zl"</f>
        <v>#VALUE!</v>
      </c>
      <c r="HM80" t="e">
        <f>'SurveyRpt_20150223 (1)'!X499+"h_l!%Zm"</f>
        <v>#VALUE!</v>
      </c>
      <c r="HN80" t="e">
        <f>'SurveyRpt_20150223 (1)'!Y499+"h_l!%Zn"</f>
        <v>#VALUE!</v>
      </c>
      <c r="HO80" t="e">
        <f>'SurveyRpt_20150223 (1)'!Z499+"h_l!%Zo"</f>
        <v>#VALUE!</v>
      </c>
      <c r="HP80" t="e">
        <f>'SurveyRpt_20150223 (1)'!AA499+"h_l!%Zp"</f>
        <v>#VALUE!</v>
      </c>
      <c r="HQ80" t="e">
        <f>'SurveyRpt_20150223 (1)'!AB499+"h_l!%Zq"</f>
        <v>#VALUE!</v>
      </c>
      <c r="HR80" t="e">
        <f>'SurveyRpt_20150223 (1)'!AC499+"h_l!%Zr"</f>
        <v>#VALUE!</v>
      </c>
      <c r="HS80" t="e">
        <f>'SurveyRpt_20150223 (1)'!AD499+"h_l!%Zs"</f>
        <v>#VALUE!</v>
      </c>
      <c r="HT80" t="e">
        <f>'SurveyRpt_20150223 (1)'!AE499+"h_l!%Zt"</f>
        <v>#VALUE!</v>
      </c>
      <c r="HU80" t="e">
        <f>'SurveyRpt_20150223 (1)'!AF499+"h_l!%Zu"</f>
        <v>#VALUE!</v>
      </c>
      <c r="HV80" t="e">
        <f>'SurveyRpt_20150223 (1)'!AG499+"h_l!%Zv"</f>
        <v>#VALUE!</v>
      </c>
      <c r="HW80" t="e">
        <f>'SurveyRpt_20150223 (1)'!AH499+"h_l!%Zw"</f>
        <v>#VALUE!</v>
      </c>
      <c r="HX80" t="e">
        <f>'SurveyRpt_20150223 (1)'!AI499+"h_l!%Zx"</f>
        <v>#VALUE!</v>
      </c>
      <c r="HY80" t="e">
        <f>'SurveyRpt_20150223 (1)'!AJ499+"h_l!%Zy"</f>
        <v>#VALUE!</v>
      </c>
      <c r="HZ80" t="e">
        <f>'SurveyRpt_20150223 (1)'!AK499+"h_l!%Zz"</f>
        <v>#VALUE!</v>
      </c>
      <c r="IA80" t="e">
        <f>'SurveyRpt_20150223 (1)'!AL499+"h_l!%Z{"</f>
        <v>#VALUE!</v>
      </c>
      <c r="IB80" t="e">
        <f>'SurveyRpt_20150223 (1)'!AM499+"h_l!%Z|"</f>
        <v>#VALUE!</v>
      </c>
      <c r="IC80" t="e">
        <f>'SurveyRpt_20150223 (1)'!AN499+"h_l!%Z}"</f>
        <v>#VALUE!</v>
      </c>
      <c r="ID80" t="e">
        <f>'SurveyRpt_20150223 (1)'!A500+"h_l!%Z~"</f>
        <v>#VALUE!</v>
      </c>
      <c r="IE80" s="25" t="e">
        <f>'SurveyRpt_20150223 (1)'!B500+"h_l!%[#"</f>
        <v>#VALUE!</v>
      </c>
      <c r="IF80" t="e">
        <f>'SurveyRpt_20150223 (1)'!C500+"h_l!%[$"</f>
        <v>#VALUE!</v>
      </c>
      <c r="IG80" s="25" t="e">
        <f>'SurveyRpt_20150223 (1)'!D500+"h_l!%[%"</f>
        <v>#VALUE!</v>
      </c>
      <c r="IH80" t="e">
        <f>'SurveyRpt_20150223 (1)'!E500+"h_l!%[&amp;"</f>
        <v>#VALUE!</v>
      </c>
      <c r="II80" t="e">
        <f>'SurveyRpt_20150223 (1)'!F500+"h_l!%['"</f>
        <v>#VALUE!</v>
      </c>
      <c r="IJ80" t="e">
        <f>'SurveyRpt_20150223 (1)'!G500+"h_l!%[("</f>
        <v>#VALUE!</v>
      </c>
      <c r="IK80" t="e">
        <f>'SurveyRpt_20150223 (1)'!H500+"h_l!%[)"</f>
        <v>#VALUE!</v>
      </c>
      <c r="IL80" t="e">
        <f>'SurveyRpt_20150223 (1)'!I500+"h_l!%[."</f>
        <v>#VALUE!</v>
      </c>
      <c r="IM80" t="e">
        <f>'SurveyRpt_20150223 (1)'!J500+"h_l!%[/"</f>
        <v>#VALUE!</v>
      </c>
      <c r="IN80" t="e">
        <f>'SurveyRpt_20150223 (1)'!K500+"h_l!%[0"</f>
        <v>#VALUE!</v>
      </c>
      <c r="IO80" t="e">
        <f>'SurveyRpt_20150223 (1)'!L500+"h_l!%[1"</f>
        <v>#VALUE!</v>
      </c>
      <c r="IP80" t="e">
        <f>'SurveyRpt_20150223 (1)'!M500+"h_l!%[2"</f>
        <v>#VALUE!</v>
      </c>
      <c r="IQ80" t="e">
        <f>'SurveyRpt_20150223 (1)'!N500+"h_l!%[3"</f>
        <v>#VALUE!</v>
      </c>
      <c r="IR80" t="e">
        <f>'SurveyRpt_20150223 (1)'!O500+"h_l!%[4"</f>
        <v>#VALUE!</v>
      </c>
      <c r="IS80" t="e">
        <f>'SurveyRpt_20150223 (1)'!P500+"h_l!%[5"</f>
        <v>#VALUE!</v>
      </c>
      <c r="IT80" t="e">
        <f>'SurveyRpt_20150223 (1)'!Q500+"h_l!%[6"</f>
        <v>#VALUE!</v>
      </c>
      <c r="IU80" t="e">
        <f>'SurveyRpt_20150223 (1)'!R500+"h_l!%[7"</f>
        <v>#VALUE!</v>
      </c>
      <c r="IV80" t="e">
        <f>'SurveyRpt_20150223 (1)'!S500+"h_l!%[8"</f>
        <v>#VALUE!</v>
      </c>
    </row>
    <row r="81" spans="6:256" x14ac:dyDescent="0.25">
      <c r="F81" t="e">
        <f>'SurveyRpt_20150223 (1)'!T500+"h_l!%[9"</f>
        <v>#VALUE!</v>
      </c>
      <c r="G81" t="e">
        <f>'SurveyRpt_20150223 (1)'!U500+"h_l!%[:"</f>
        <v>#VALUE!</v>
      </c>
      <c r="H81" t="e">
        <f>'SurveyRpt_20150223 (1)'!V500+"h_l!%[;"</f>
        <v>#VALUE!</v>
      </c>
      <c r="I81" t="e">
        <f>'SurveyRpt_20150223 (1)'!W500+"h_l!%[&lt;"</f>
        <v>#VALUE!</v>
      </c>
      <c r="J81" t="e">
        <f>'SurveyRpt_20150223 (1)'!X500+"h_l!%[="</f>
        <v>#VALUE!</v>
      </c>
      <c r="K81" t="e">
        <f>'SurveyRpt_20150223 (1)'!Y500+"h_l!%[&gt;"</f>
        <v>#VALUE!</v>
      </c>
      <c r="L81" t="e">
        <f>'SurveyRpt_20150223 (1)'!Z500+"h_l!%[?"</f>
        <v>#VALUE!</v>
      </c>
      <c r="M81" t="e">
        <f>'SurveyRpt_20150223 (1)'!AA500+"h_l!%[@"</f>
        <v>#VALUE!</v>
      </c>
      <c r="N81" t="e">
        <f>'SurveyRpt_20150223 (1)'!AB500+"h_l!%[A"</f>
        <v>#VALUE!</v>
      </c>
      <c r="O81" t="e">
        <f>'SurveyRpt_20150223 (1)'!AC500+"h_l!%[B"</f>
        <v>#VALUE!</v>
      </c>
      <c r="P81" t="e">
        <f>'SurveyRpt_20150223 (1)'!AD500+"h_l!%[C"</f>
        <v>#VALUE!</v>
      </c>
      <c r="Q81" t="e">
        <f>'SurveyRpt_20150223 (1)'!AE500+"h_l!%[D"</f>
        <v>#VALUE!</v>
      </c>
      <c r="R81" t="e">
        <f>'SurveyRpt_20150223 (1)'!AF500+"h_l!%[E"</f>
        <v>#VALUE!</v>
      </c>
      <c r="S81" t="e">
        <f>'SurveyRpt_20150223 (1)'!AG500+"h_l!%[F"</f>
        <v>#VALUE!</v>
      </c>
      <c r="T81" t="e">
        <f>'SurveyRpt_20150223 (1)'!AH500+"h_l!%[G"</f>
        <v>#VALUE!</v>
      </c>
      <c r="U81" t="e">
        <f>'SurveyRpt_20150223 (1)'!AI500+"h_l!%[H"</f>
        <v>#VALUE!</v>
      </c>
      <c r="V81" t="e">
        <f>'SurveyRpt_20150223 (1)'!AJ500+"h_l!%[I"</f>
        <v>#VALUE!</v>
      </c>
      <c r="W81" t="e">
        <f>'SurveyRpt_20150223 (1)'!AK500+"h_l!%[J"</f>
        <v>#VALUE!</v>
      </c>
      <c r="X81" t="e">
        <f>'SurveyRpt_20150223 (1)'!AL500+"h_l!%[K"</f>
        <v>#VALUE!</v>
      </c>
      <c r="Y81" t="e">
        <f>'SurveyRpt_20150223 (1)'!AM500+"h_l!%[L"</f>
        <v>#VALUE!</v>
      </c>
      <c r="Z81" t="e">
        <f>'SurveyRpt_20150223 (1)'!AN500+"h_l!%[M"</f>
        <v>#VALUE!</v>
      </c>
      <c r="AA81" t="e">
        <f>'SurveyRpt_20150223 (1)'!A501+"h_l!%[N"</f>
        <v>#VALUE!</v>
      </c>
      <c r="AB81" s="25" t="e">
        <f>'SurveyRpt_20150223 (1)'!B501+"h_l!%[O"</f>
        <v>#VALUE!</v>
      </c>
      <c r="AC81" t="e">
        <f>'SurveyRpt_20150223 (1)'!C501+"h_l!%[P"</f>
        <v>#VALUE!</v>
      </c>
      <c r="AD81" s="25" t="e">
        <f>'SurveyRpt_20150223 (1)'!D501+"h_l!%[Q"</f>
        <v>#VALUE!</v>
      </c>
      <c r="AE81" t="e">
        <f>'SurveyRpt_20150223 (1)'!E501+"h_l!%[R"</f>
        <v>#VALUE!</v>
      </c>
      <c r="AF81" t="e">
        <f>'SurveyRpt_20150223 (1)'!F501+"h_l!%[S"</f>
        <v>#VALUE!</v>
      </c>
      <c r="AG81" t="e">
        <f>'SurveyRpt_20150223 (1)'!G501+"h_l!%[T"</f>
        <v>#VALUE!</v>
      </c>
      <c r="AH81" t="e">
        <f>'SurveyRpt_20150223 (1)'!H501+"h_l!%[U"</f>
        <v>#VALUE!</v>
      </c>
      <c r="AI81" t="e">
        <f>'SurveyRpt_20150223 (1)'!I501+"h_l!%[V"</f>
        <v>#VALUE!</v>
      </c>
      <c r="AJ81" t="e">
        <f>'SurveyRpt_20150223 (1)'!J501+"h_l!%[W"</f>
        <v>#VALUE!</v>
      </c>
      <c r="AK81" t="e">
        <f>'SurveyRpt_20150223 (1)'!K501+"h_l!%[X"</f>
        <v>#VALUE!</v>
      </c>
      <c r="AL81" t="e">
        <f>'SurveyRpt_20150223 (1)'!L501+"h_l!%[Y"</f>
        <v>#VALUE!</v>
      </c>
      <c r="AM81" t="e">
        <f>'SurveyRpt_20150223 (1)'!M501+"h_l!%[Z"</f>
        <v>#VALUE!</v>
      </c>
      <c r="AN81" t="e">
        <f>'SurveyRpt_20150223 (1)'!N501+"h_l!%[["</f>
        <v>#VALUE!</v>
      </c>
      <c r="AO81" t="e">
        <f>'SurveyRpt_20150223 (1)'!O501+"h_l!%[\"</f>
        <v>#VALUE!</v>
      </c>
      <c r="AP81" t="e">
        <f>'SurveyRpt_20150223 (1)'!P501+"h_l!%[]"</f>
        <v>#VALUE!</v>
      </c>
      <c r="AQ81" t="e">
        <f>'SurveyRpt_20150223 (1)'!Q501+"h_l!%[^"</f>
        <v>#VALUE!</v>
      </c>
      <c r="AR81" t="e">
        <f>'SurveyRpt_20150223 (1)'!R501+"h_l!%[_"</f>
        <v>#VALUE!</v>
      </c>
      <c r="AS81" t="e">
        <f>'SurveyRpt_20150223 (1)'!S501+"h_l!%[`"</f>
        <v>#VALUE!</v>
      </c>
      <c r="AT81" t="e">
        <f>'SurveyRpt_20150223 (1)'!T501+"h_l!%[a"</f>
        <v>#VALUE!</v>
      </c>
      <c r="AU81" t="e">
        <f>'SurveyRpt_20150223 (1)'!U501+"h_l!%[b"</f>
        <v>#VALUE!</v>
      </c>
      <c r="AV81" t="e">
        <f>'SurveyRpt_20150223 (1)'!V501+"h_l!%[c"</f>
        <v>#VALUE!</v>
      </c>
      <c r="AW81" t="e">
        <f>'SurveyRpt_20150223 (1)'!W501+"h_l!%[d"</f>
        <v>#VALUE!</v>
      </c>
      <c r="AX81" t="e">
        <f>'SurveyRpt_20150223 (1)'!X501+"h_l!%[e"</f>
        <v>#VALUE!</v>
      </c>
      <c r="AY81" t="e">
        <f>'SurveyRpt_20150223 (1)'!Y501+"h_l!%[f"</f>
        <v>#VALUE!</v>
      </c>
      <c r="AZ81" t="e">
        <f>'SurveyRpt_20150223 (1)'!Z501+"h_l!%[g"</f>
        <v>#VALUE!</v>
      </c>
      <c r="BA81" t="e">
        <f>'SurveyRpt_20150223 (1)'!AA501+"h_l!%[h"</f>
        <v>#VALUE!</v>
      </c>
      <c r="BB81" t="e">
        <f>'SurveyRpt_20150223 (1)'!AB501+"h_l!%[i"</f>
        <v>#VALUE!</v>
      </c>
      <c r="BC81" t="e">
        <f>'SurveyRpt_20150223 (1)'!AC501+"h_l!%[j"</f>
        <v>#VALUE!</v>
      </c>
      <c r="BD81" t="e">
        <f>'SurveyRpt_20150223 (1)'!AD501+"h_l!%[k"</f>
        <v>#VALUE!</v>
      </c>
      <c r="BE81" t="e">
        <f>'SurveyRpt_20150223 (1)'!AE501+"h_l!%[l"</f>
        <v>#VALUE!</v>
      </c>
      <c r="BF81" t="e">
        <f>'SurveyRpt_20150223 (1)'!AF501+"h_l!%[m"</f>
        <v>#VALUE!</v>
      </c>
      <c r="BG81" t="e">
        <f>'SurveyRpt_20150223 (1)'!AG501+"h_l!%[n"</f>
        <v>#VALUE!</v>
      </c>
      <c r="BH81" t="e">
        <f>'SurveyRpt_20150223 (1)'!AH501+"h_l!%[o"</f>
        <v>#VALUE!</v>
      </c>
      <c r="BI81" t="e">
        <f>'SurveyRpt_20150223 (1)'!AI501+"h_l!%[p"</f>
        <v>#VALUE!</v>
      </c>
      <c r="BJ81" t="e">
        <f>'SurveyRpt_20150223 (1)'!AJ501+"h_l!%[q"</f>
        <v>#VALUE!</v>
      </c>
      <c r="BK81" t="e">
        <f>'SurveyRpt_20150223 (1)'!AK501+"h_l!%[r"</f>
        <v>#VALUE!</v>
      </c>
      <c r="BL81" t="e">
        <f>'SurveyRpt_20150223 (1)'!AL501+"h_l!%[s"</f>
        <v>#VALUE!</v>
      </c>
      <c r="BM81" t="e">
        <f>'SurveyRpt_20150223 (1)'!AM501+"h_l!%[t"</f>
        <v>#VALUE!</v>
      </c>
      <c r="BN81" t="e">
        <f>'SurveyRpt_20150223 (1)'!AN501+"h_l!%[u"</f>
        <v>#VALUE!</v>
      </c>
      <c r="BO81" t="e">
        <f>'SurveyRpt_20150223 (1)'!A502+"h_l!%[v"</f>
        <v>#VALUE!</v>
      </c>
      <c r="BP81" s="25" t="e">
        <f>'SurveyRpt_20150223 (1)'!B502+"h_l!%[w"</f>
        <v>#VALUE!</v>
      </c>
      <c r="BQ81" t="e">
        <f>'SurveyRpt_20150223 (1)'!C502+"h_l!%[x"</f>
        <v>#VALUE!</v>
      </c>
      <c r="BR81" s="25" t="e">
        <f>'SurveyRpt_20150223 (1)'!D502+"h_l!%[y"</f>
        <v>#VALUE!</v>
      </c>
      <c r="BS81" t="e">
        <f>'SurveyRpt_20150223 (1)'!E502+"h_l!%[z"</f>
        <v>#VALUE!</v>
      </c>
      <c r="BT81" t="e">
        <f>'SurveyRpt_20150223 (1)'!F502+"h_l!%[{"</f>
        <v>#VALUE!</v>
      </c>
      <c r="BU81" t="e">
        <f>'SurveyRpt_20150223 (1)'!G502+"h_l!%[|"</f>
        <v>#VALUE!</v>
      </c>
      <c r="BV81" t="e">
        <f>'SurveyRpt_20150223 (1)'!H502+"h_l!%[}"</f>
        <v>#VALUE!</v>
      </c>
      <c r="BW81" t="e">
        <f>'SurveyRpt_20150223 (1)'!I502+"h_l!%[~"</f>
        <v>#VALUE!</v>
      </c>
      <c r="BX81" t="e">
        <f>'SurveyRpt_20150223 (1)'!J502+"h_l!%\#"</f>
        <v>#VALUE!</v>
      </c>
      <c r="BY81" t="e">
        <f>'SurveyRpt_20150223 (1)'!K502+"h_l!%\$"</f>
        <v>#VALUE!</v>
      </c>
      <c r="BZ81" t="e">
        <f>'SurveyRpt_20150223 (1)'!L502+"h_l!%\%"</f>
        <v>#VALUE!</v>
      </c>
      <c r="CA81" t="e">
        <f>'SurveyRpt_20150223 (1)'!M502+"h_l!%\&amp;"</f>
        <v>#VALUE!</v>
      </c>
      <c r="CB81" t="e">
        <f>'SurveyRpt_20150223 (1)'!N502+"h_l!%\'"</f>
        <v>#VALUE!</v>
      </c>
      <c r="CC81" t="e">
        <f>'SurveyRpt_20150223 (1)'!O502+"h_l!%\("</f>
        <v>#VALUE!</v>
      </c>
      <c r="CD81" t="e">
        <f>'SurveyRpt_20150223 (1)'!P502+"h_l!%\)"</f>
        <v>#VALUE!</v>
      </c>
      <c r="CE81" t="e">
        <f>'SurveyRpt_20150223 (1)'!Q502+"h_l!%\."</f>
        <v>#VALUE!</v>
      </c>
      <c r="CF81" t="e">
        <f>'SurveyRpt_20150223 (1)'!R502+"h_l!%\/"</f>
        <v>#VALUE!</v>
      </c>
      <c r="CG81" t="e">
        <f>'SurveyRpt_20150223 (1)'!S502+"h_l!%\0"</f>
        <v>#VALUE!</v>
      </c>
      <c r="CH81" t="e">
        <f>'SurveyRpt_20150223 (1)'!T502+"h_l!%\1"</f>
        <v>#VALUE!</v>
      </c>
      <c r="CI81" t="e">
        <f>'SurveyRpt_20150223 (1)'!U502+"h_l!%\2"</f>
        <v>#VALUE!</v>
      </c>
      <c r="CJ81" t="e">
        <f>'SurveyRpt_20150223 (1)'!V502+"h_l!%\3"</f>
        <v>#VALUE!</v>
      </c>
      <c r="CK81" t="e">
        <f>'SurveyRpt_20150223 (1)'!W502+"h_l!%\4"</f>
        <v>#VALUE!</v>
      </c>
      <c r="CL81" t="e">
        <f>'SurveyRpt_20150223 (1)'!X502+"h_l!%\5"</f>
        <v>#VALUE!</v>
      </c>
      <c r="CM81" t="e">
        <f>'SurveyRpt_20150223 (1)'!Y502+"h_l!%\6"</f>
        <v>#VALUE!</v>
      </c>
      <c r="CN81" t="e">
        <f>'SurveyRpt_20150223 (1)'!Z502+"h_l!%\7"</f>
        <v>#VALUE!</v>
      </c>
      <c r="CO81" t="e">
        <f>'SurveyRpt_20150223 (1)'!AA502+"h_l!%\8"</f>
        <v>#VALUE!</v>
      </c>
      <c r="CP81" t="e">
        <f>'SurveyRpt_20150223 (1)'!AB502+"h_l!%\9"</f>
        <v>#VALUE!</v>
      </c>
      <c r="CQ81" t="e">
        <f>'SurveyRpt_20150223 (1)'!AC502+"h_l!%\:"</f>
        <v>#VALUE!</v>
      </c>
      <c r="CR81" t="e">
        <f>'SurveyRpt_20150223 (1)'!AD502+"h_l!%\;"</f>
        <v>#VALUE!</v>
      </c>
      <c r="CS81" t="e">
        <f>'SurveyRpt_20150223 (1)'!AE502+"h_l!%\&lt;"</f>
        <v>#VALUE!</v>
      </c>
      <c r="CT81" t="e">
        <f>'SurveyRpt_20150223 (1)'!AF502+"h_l!%\="</f>
        <v>#VALUE!</v>
      </c>
      <c r="CU81" t="e">
        <f>'SurveyRpt_20150223 (1)'!AG502+"h_l!%\&gt;"</f>
        <v>#VALUE!</v>
      </c>
      <c r="CV81" t="e">
        <f>'SurveyRpt_20150223 (1)'!AH502+"h_l!%\?"</f>
        <v>#VALUE!</v>
      </c>
      <c r="CW81" t="e">
        <f>'SurveyRpt_20150223 (1)'!AI502+"h_l!%\@"</f>
        <v>#VALUE!</v>
      </c>
      <c r="CX81" t="e">
        <f>'SurveyRpt_20150223 (1)'!AJ502+"h_l!%\A"</f>
        <v>#VALUE!</v>
      </c>
      <c r="CY81" t="e">
        <f>'SurveyRpt_20150223 (1)'!AK502+"h_l!%\B"</f>
        <v>#VALUE!</v>
      </c>
      <c r="CZ81" t="e">
        <f>'SurveyRpt_20150223 (1)'!AL502+"h_l!%\C"</f>
        <v>#VALUE!</v>
      </c>
      <c r="DA81" t="e">
        <f>'SurveyRpt_20150223 (1)'!AM502+"h_l!%\D"</f>
        <v>#VALUE!</v>
      </c>
      <c r="DB81" t="e">
        <f>'SurveyRpt_20150223 (1)'!AN502+"h_l!%\E"</f>
        <v>#VALUE!</v>
      </c>
      <c r="DC81" t="e">
        <f>'SurveyRpt_20150223 (1)'!A503+"h_l!%\F"</f>
        <v>#VALUE!</v>
      </c>
      <c r="DD81" s="25" t="e">
        <f>'SurveyRpt_20150223 (1)'!B503+"h_l!%\G"</f>
        <v>#VALUE!</v>
      </c>
      <c r="DE81" t="e">
        <f>'SurveyRpt_20150223 (1)'!C503+"h_l!%\H"</f>
        <v>#VALUE!</v>
      </c>
      <c r="DF81" s="25" t="e">
        <f>'SurveyRpt_20150223 (1)'!D503+"h_l!%\I"</f>
        <v>#VALUE!</v>
      </c>
      <c r="DG81" t="e">
        <f>'SurveyRpt_20150223 (1)'!E503+"h_l!%\J"</f>
        <v>#VALUE!</v>
      </c>
      <c r="DH81" t="e">
        <f>'SurveyRpt_20150223 (1)'!F503+"h_l!%\K"</f>
        <v>#VALUE!</v>
      </c>
      <c r="DI81" t="e">
        <f>'SurveyRpt_20150223 (1)'!G503+"h_l!%\L"</f>
        <v>#VALUE!</v>
      </c>
      <c r="DJ81" t="e">
        <f>'SurveyRpt_20150223 (1)'!H503+"h_l!%\M"</f>
        <v>#VALUE!</v>
      </c>
      <c r="DK81" t="e">
        <f>'SurveyRpt_20150223 (1)'!I503+"h_l!%\N"</f>
        <v>#VALUE!</v>
      </c>
      <c r="DL81" t="e">
        <f>'SurveyRpt_20150223 (1)'!J503+"h_l!%\O"</f>
        <v>#VALUE!</v>
      </c>
      <c r="DM81" t="e">
        <f>'SurveyRpt_20150223 (1)'!K503+"h_l!%\P"</f>
        <v>#VALUE!</v>
      </c>
      <c r="DN81" t="e">
        <f>'SurveyRpt_20150223 (1)'!L503+"h_l!%\Q"</f>
        <v>#VALUE!</v>
      </c>
      <c r="DO81" t="e">
        <f>'SurveyRpt_20150223 (1)'!M503+"h_l!%\R"</f>
        <v>#VALUE!</v>
      </c>
      <c r="DP81" t="e">
        <f>'SurveyRpt_20150223 (1)'!N503+"h_l!%\S"</f>
        <v>#VALUE!</v>
      </c>
      <c r="DQ81" t="e">
        <f>'SurveyRpt_20150223 (1)'!O503+"h_l!%\T"</f>
        <v>#VALUE!</v>
      </c>
      <c r="DR81" t="e">
        <f>'SurveyRpt_20150223 (1)'!P503+"h_l!%\U"</f>
        <v>#VALUE!</v>
      </c>
      <c r="DS81" t="e">
        <f>'SurveyRpt_20150223 (1)'!Q503+"h_l!%\V"</f>
        <v>#VALUE!</v>
      </c>
      <c r="DT81" t="e">
        <f>'SurveyRpt_20150223 (1)'!R503+"h_l!%\W"</f>
        <v>#VALUE!</v>
      </c>
      <c r="DU81" t="e">
        <f>'SurveyRpt_20150223 (1)'!S503+"h_l!%\X"</f>
        <v>#VALUE!</v>
      </c>
      <c r="DV81" t="e">
        <f>'SurveyRpt_20150223 (1)'!T503+"h_l!%\Y"</f>
        <v>#VALUE!</v>
      </c>
      <c r="DW81" t="e">
        <f>'SurveyRpt_20150223 (1)'!U503+"h_l!%\Z"</f>
        <v>#VALUE!</v>
      </c>
      <c r="DX81" t="e">
        <f>'SurveyRpt_20150223 (1)'!V503+"h_l!%\["</f>
        <v>#VALUE!</v>
      </c>
      <c r="DY81" t="e">
        <f>'SurveyRpt_20150223 (1)'!W503+"h_l!%\\"</f>
        <v>#VALUE!</v>
      </c>
      <c r="DZ81" t="e">
        <f>'SurveyRpt_20150223 (1)'!X503+"h_l!%\]"</f>
        <v>#VALUE!</v>
      </c>
      <c r="EA81" t="e">
        <f>'SurveyRpt_20150223 (1)'!Y503+"h_l!%\^"</f>
        <v>#VALUE!</v>
      </c>
      <c r="EB81" t="e">
        <f>'SurveyRpt_20150223 (1)'!Z503+"h_l!%\_"</f>
        <v>#VALUE!</v>
      </c>
      <c r="EC81" t="e">
        <f>'SurveyRpt_20150223 (1)'!AA503+"h_l!%\`"</f>
        <v>#VALUE!</v>
      </c>
      <c r="ED81" t="e">
        <f>'SurveyRpt_20150223 (1)'!AB503+"h_l!%\a"</f>
        <v>#VALUE!</v>
      </c>
      <c r="EE81" t="e">
        <f>'SurveyRpt_20150223 (1)'!AC503+"h_l!%\b"</f>
        <v>#VALUE!</v>
      </c>
      <c r="EF81" t="e">
        <f>'SurveyRpt_20150223 (1)'!AD503+"h_l!%\c"</f>
        <v>#VALUE!</v>
      </c>
      <c r="EG81" t="e">
        <f>'SurveyRpt_20150223 (1)'!AE503+"h_l!%\d"</f>
        <v>#VALUE!</v>
      </c>
      <c r="EH81" t="e">
        <f>'SurveyRpt_20150223 (1)'!AF503+"h_l!%\e"</f>
        <v>#VALUE!</v>
      </c>
      <c r="EI81" t="e">
        <f>'SurveyRpt_20150223 (1)'!AG503+"h_l!%\f"</f>
        <v>#VALUE!</v>
      </c>
      <c r="EJ81" t="e">
        <f>'SurveyRpt_20150223 (1)'!AH503+"h_l!%\g"</f>
        <v>#VALUE!</v>
      </c>
      <c r="EK81" t="e">
        <f>'SurveyRpt_20150223 (1)'!AI503+"h_l!%\h"</f>
        <v>#VALUE!</v>
      </c>
      <c r="EL81" t="e">
        <f>'SurveyRpt_20150223 (1)'!AJ503+"h_l!%\i"</f>
        <v>#VALUE!</v>
      </c>
      <c r="EM81" t="e">
        <f>'SurveyRpt_20150223 (1)'!AK503+"h_l!%\j"</f>
        <v>#VALUE!</v>
      </c>
      <c r="EN81" t="e">
        <f>'SurveyRpt_20150223 (1)'!AL503+"h_l!%\k"</f>
        <v>#VALUE!</v>
      </c>
      <c r="EO81" t="e">
        <f>'SurveyRpt_20150223 (1)'!AM503+"h_l!%\l"</f>
        <v>#VALUE!</v>
      </c>
      <c r="EP81" t="e">
        <f>'SurveyRpt_20150223 (1)'!AN503+"h_l!%\m"</f>
        <v>#VALUE!</v>
      </c>
      <c r="EQ81" t="e">
        <f>'SurveyRpt_20150223 (1)'!A504+"h_l!%\n"</f>
        <v>#VALUE!</v>
      </c>
      <c r="ER81" s="25" t="e">
        <f>'SurveyRpt_20150223 (1)'!B504+"h_l!%\o"</f>
        <v>#VALUE!</v>
      </c>
      <c r="ES81" t="e">
        <f>'SurveyRpt_20150223 (1)'!C504+"h_l!%\p"</f>
        <v>#VALUE!</v>
      </c>
      <c r="ET81" s="25" t="e">
        <f>'SurveyRpt_20150223 (1)'!D504+"h_l!%\q"</f>
        <v>#VALUE!</v>
      </c>
      <c r="EU81" t="e">
        <f>'SurveyRpt_20150223 (1)'!E504+"h_l!%\r"</f>
        <v>#VALUE!</v>
      </c>
      <c r="EV81" t="e">
        <f>'SurveyRpt_20150223 (1)'!F504+"h_l!%\s"</f>
        <v>#VALUE!</v>
      </c>
      <c r="EW81" t="e">
        <f>'SurveyRpt_20150223 (1)'!G504+"h_l!%\t"</f>
        <v>#VALUE!</v>
      </c>
      <c r="EX81" t="e">
        <f>'SurveyRpt_20150223 (1)'!H504+"h_l!%\u"</f>
        <v>#VALUE!</v>
      </c>
      <c r="EY81" t="e">
        <f>'SurveyRpt_20150223 (1)'!I504+"h_l!%\v"</f>
        <v>#VALUE!</v>
      </c>
      <c r="EZ81" t="e">
        <f>'SurveyRpt_20150223 (1)'!J504+"h_l!%\w"</f>
        <v>#VALUE!</v>
      </c>
      <c r="FA81" t="e">
        <f>'SurveyRpt_20150223 (1)'!K504+"h_l!%\x"</f>
        <v>#VALUE!</v>
      </c>
      <c r="FB81" t="e">
        <f>'SurveyRpt_20150223 (1)'!L504+"h_l!%\y"</f>
        <v>#VALUE!</v>
      </c>
      <c r="FC81" t="e">
        <f>'SurveyRpt_20150223 (1)'!M504+"h_l!%\z"</f>
        <v>#VALUE!</v>
      </c>
      <c r="FD81" t="e">
        <f>'SurveyRpt_20150223 (1)'!N504+"h_l!%\{"</f>
        <v>#VALUE!</v>
      </c>
      <c r="FE81" t="e">
        <f>'SurveyRpt_20150223 (1)'!O504+"h_l!%\|"</f>
        <v>#VALUE!</v>
      </c>
      <c r="FF81" t="e">
        <f>'SurveyRpt_20150223 (1)'!P504+"h_l!%\}"</f>
        <v>#VALUE!</v>
      </c>
      <c r="FG81" t="e">
        <f>'SurveyRpt_20150223 (1)'!Q504+"h_l!%\~"</f>
        <v>#VALUE!</v>
      </c>
      <c r="FH81" t="e">
        <f>'SurveyRpt_20150223 (1)'!R504+"h_l!%]#"</f>
        <v>#VALUE!</v>
      </c>
      <c r="FI81" t="e">
        <f>'SurveyRpt_20150223 (1)'!S504+"h_l!%]$"</f>
        <v>#VALUE!</v>
      </c>
      <c r="FJ81" t="e">
        <f>'SurveyRpt_20150223 (1)'!T504+"h_l!%]%"</f>
        <v>#VALUE!</v>
      </c>
      <c r="FK81" t="e">
        <f>'SurveyRpt_20150223 (1)'!U504+"h_l!%]&amp;"</f>
        <v>#VALUE!</v>
      </c>
      <c r="FL81" t="e">
        <f>'SurveyRpt_20150223 (1)'!V504+"h_l!%]'"</f>
        <v>#VALUE!</v>
      </c>
      <c r="FM81" t="e">
        <f>'SurveyRpt_20150223 (1)'!W504+"h_l!%]("</f>
        <v>#VALUE!</v>
      </c>
      <c r="FN81" t="e">
        <f>'SurveyRpt_20150223 (1)'!X504+"h_l!%])"</f>
        <v>#VALUE!</v>
      </c>
      <c r="FO81" t="e">
        <f>'SurveyRpt_20150223 (1)'!Y504+"h_l!%]."</f>
        <v>#VALUE!</v>
      </c>
      <c r="FP81" t="e">
        <f>'SurveyRpt_20150223 (1)'!Z504+"h_l!%]/"</f>
        <v>#VALUE!</v>
      </c>
      <c r="FQ81" t="e">
        <f>'SurveyRpt_20150223 (1)'!AA504+"h_l!%]0"</f>
        <v>#VALUE!</v>
      </c>
      <c r="FR81" t="e">
        <f>'SurveyRpt_20150223 (1)'!AB504+"h_l!%]1"</f>
        <v>#VALUE!</v>
      </c>
      <c r="FS81" t="e">
        <f>'SurveyRpt_20150223 (1)'!AC504+"h_l!%]2"</f>
        <v>#VALUE!</v>
      </c>
      <c r="FT81" t="e">
        <f>'SurveyRpt_20150223 (1)'!AD504+"h_l!%]3"</f>
        <v>#VALUE!</v>
      </c>
      <c r="FU81" t="e">
        <f>'SurveyRpt_20150223 (1)'!AE504+"h_l!%]4"</f>
        <v>#VALUE!</v>
      </c>
      <c r="FV81" t="e">
        <f>'SurveyRpt_20150223 (1)'!AF504+"h_l!%]5"</f>
        <v>#VALUE!</v>
      </c>
      <c r="FW81" t="e">
        <f>'SurveyRpt_20150223 (1)'!AG504+"h_l!%]6"</f>
        <v>#VALUE!</v>
      </c>
      <c r="FX81" t="e">
        <f>'SurveyRpt_20150223 (1)'!AH504+"h_l!%]7"</f>
        <v>#VALUE!</v>
      </c>
      <c r="FY81" t="e">
        <f>'SurveyRpt_20150223 (1)'!AI504+"h_l!%]8"</f>
        <v>#VALUE!</v>
      </c>
      <c r="FZ81" t="e">
        <f>'SurveyRpt_20150223 (1)'!AJ504+"h_l!%]9"</f>
        <v>#VALUE!</v>
      </c>
      <c r="GA81" t="e">
        <f>'SurveyRpt_20150223 (1)'!AK504+"h_l!%]:"</f>
        <v>#VALUE!</v>
      </c>
      <c r="GB81" t="e">
        <f>'SurveyRpt_20150223 (1)'!AL504+"h_l!%];"</f>
        <v>#VALUE!</v>
      </c>
      <c r="GC81" t="e">
        <f>'SurveyRpt_20150223 (1)'!AM504+"h_l!%]&lt;"</f>
        <v>#VALUE!</v>
      </c>
      <c r="GD81" t="e">
        <f>'SurveyRpt_20150223 (1)'!AN504+"h_l!%]="</f>
        <v>#VALUE!</v>
      </c>
      <c r="GE81" t="e">
        <f>'SurveyRpt_20150223 (1)'!A505+"h_l!%]&gt;"</f>
        <v>#VALUE!</v>
      </c>
      <c r="GF81" s="25" t="e">
        <f>'SurveyRpt_20150223 (1)'!B505+"h_l!%]?"</f>
        <v>#VALUE!</v>
      </c>
      <c r="GG81" t="e">
        <f>'SurveyRpt_20150223 (1)'!C505+"h_l!%]@"</f>
        <v>#VALUE!</v>
      </c>
      <c r="GH81" s="25" t="e">
        <f>'SurveyRpt_20150223 (1)'!D505+"h_l!%]A"</f>
        <v>#VALUE!</v>
      </c>
      <c r="GI81" t="e">
        <f>'SurveyRpt_20150223 (1)'!E505+"h_l!%]B"</f>
        <v>#VALUE!</v>
      </c>
      <c r="GJ81" t="e">
        <f>'SurveyRpt_20150223 (1)'!F505+"h_l!%]C"</f>
        <v>#VALUE!</v>
      </c>
      <c r="GK81" t="e">
        <f>'SurveyRpt_20150223 (1)'!G505+"h_l!%]D"</f>
        <v>#VALUE!</v>
      </c>
      <c r="GL81" t="e">
        <f>'SurveyRpt_20150223 (1)'!H505+"h_l!%]E"</f>
        <v>#VALUE!</v>
      </c>
      <c r="GM81" t="e">
        <f>'SurveyRpt_20150223 (1)'!I505+"h_l!%]F"</f>
        <v>#VALUE!</v>
      </c>
      <c r="GN81" t="e">
        <f>'SurveyRpt_20150223 (1)'!J505+"h_l!%]G"</f>
        <v>#VALUE!</v>
      </c>
      <c r="GO81" t="e">
        <f>'SurveyRpt_20150223 (1)'!K505+"h_l!%]H"</f>
        <v>#VALUE!</v>
      </c>
      <c r="GP81" t="e">
        <f>'SurveyRpt_20150223 (1)'!L505+"h_l!%]I"</f>
        <v>#VALUE!</v>
      </c>
      <c r="GQ81" t="e">
        <f>'SurveyRpt_20150223 (1)'!M505+"h_l!%]J"</f>
        <v>#VALUE!</v>
      </c>
      <c r="GR81" t="e">
        <f>'SurveyRpt_20150223 (1)'!N505+"h_l!%]K"</f>
        <v>#VALUE!</v>
      </c>
      <c r="GS81" t="e">
        <f>'SurveyRpt_20150223 (1)'!O505+"h_l!%]L"</f>
        <v>#VALUE!</v>
      </c>
      <c r="GT81" t="e">
        <f>'SurveyRpt_20150223 (1)'!P505+"h_l!%]M"</f>
        <v>#VALUE!</v>
      </c>
      <c r="GU81" t="e">
        <f>'SurveyRpt_20150223 (1)'!Q505+"h_l!%]N"</f>
        <v>#VALUE!</v>
      </c>
      <c r="GV81" t="e">
        <f>'SurveyRpt_20150223 (1)'!R505+"h_l!%]O"</f>
        <v>#VALUE!</v>
      </c>
      <c r="GW81" t="e">
        <f>'SurveyRpt_20150223 (1)'!S505+"h_l!%]P"</f>
        <v>#VALUE!</v>
      </c>
      <c r="GX81" t="e">
        <f>'SurveyRpt_20150223 (1)'!T505+"h_l!%]Q"</f>
        <v>#VALUE!</v>
      </c>
      <c r="GY81" t="e">
        <f>'SurveyRpt_20150223 (1)'!U505+"h_l!%]R"</f>
        <v>#VALUE!</v>
      </c>
      <c r="GZ81" t="e">
        <f>'SurveyRpt_20150223 (1)'!V505+"h_l!%]S"</f>
        <v>#VALUE!</v>
      </c>
      <c r="HA81" t="e">
        <f>'SurveyRpt_20150223 (1)'!W505+"h_l!%]T"</f>
        <v>#VALUE!</v>
      </c>
      <c r="HB81" t="e">
        <f>'SurveyRpt_20150223 (1)'!X505+"h_l!%]U"</f>
        <v>#VALUE!</v>
      </c>
      <c r="HC81" t="e">
        <f>'SurveyRpt_20150223 (1)'!Y505+"h_l!%]V"</f>
        <v>#VALUE!</v>
      </c>
      <c r="HD81" t="e">
        <f>'SurveyRpt_20150223 (1)'!Z505+"h_l!%]W"</f>
        <v>#VALUE!</v>
      </c>
      <c r="HE81" t="e">
        <f>'SurveyRpt_20150223 (1)'!AA505+"h_l!%]X"</f>
        <v>#VALUE!</v>
      </c>
      <c r="HF81" t="e">
        <f>'SurveyRpt_20150223 (1)'!AB505+"h_l!%]Y"</f>
        <v>#VALUE!</v>
      </c>
      <c r="HG81" t="e">
        <f>'SurveyRpt_20150223 (1)'!AC505+"h_l!%]Z"</f>
        <v>#VALUE!</v>
      </c>
      <c r="HH81" t="e">
        <f>'SurveyRpt_20150223 (1)'!AD505+"h_l!%]["</f>
        <v>#VALUE!</v>
      </c>
      <c r="HI81" t="e">
        <f>'SurveyRpt_20150223 (1)'!AE505+"h_l!%]\"</f>
        <v>#VALUE!</v>
      </c>
      <c r="HJ81" t="e">
        <f>'SurveyRpt_20150223 (1)'!AF505+"h_l!%]]"</f>
        <v>#VALUE!</v>
      </c>
      <c r="HK81" t="e">
        <f>'SurveyRpt_20150223 (1)'!AG505+"h_l!%]^"</f>
        <v>#VALUE!</v>
      </c>
      <c r="HL81" t="e">
        <f>'SurveyRpt_20150223 (1)'!AH505+"h_l!%]_"</f>
        <v>#VALUE!</v>
      </c>
      <c r="HM81" t="e">
        <f>'SurveyRpt_20150223 (1)'!AI505+"h_l!%]`"</f>
        <v>#VALUE!</v>
      </c>
      <c r="HN81" t="e">
        <f>'SurveyRpt_20150223 (1)'!AJ505+"h_l!%]a"</f>
        <v>#VALUE!</v>
      </c>
      <c r="HO81" t="e">
        <f>'SurveyRpt_20150223 (1)'!AK505+"h_l!%]b"</f>
        <v>#VALUE!</v>
      </c>
      <c r="HP81" t="e">
        <f>'SurveyRpt_20150223 (1)'!AL505+"h_l!%]c"</f>
        <v>#VALUE!</v>
      </c>
      <c r="HQ81" t="e">
        <f>'SurveyRpt_20150223 (1)'!AM505+"h_l!%]d"</f>
        <v>#VALUE!</v>
      </c>
      <c r="HR81" t="e">
        <f>'SurveyRpt_20150223 (1)'!AN505+"h_l!%]e"</f>
        <v>#VALUE!</v>
      </c>
      <c r="HS81" t="e">
        <f>'SurveyRpt_20150223 (1)'!A506+"h_l!%]f"</f>
        <v>#VALUE!</v>
      </c>
      <c r="HT81" s="25" t="e">
        <f>'SurveyRpt_20150223 (1)'!B506+"h_l!%]g"</f>
        <v>#VALUE!</v>
      </c>
      <c r="HU81" t="e">
        <f>'SurveyRpt_20150223 (1)'!C506+"h_l!%]h"</f>
        <v>#VALUE!</v>
      </c>
      <c r="HV81" s="25" t="e">
        <f>'SurveyRpt_20150223 (1)'!D506+"h_l!%]i"</f>
        <v>#VALUE!</v>
      </c>
      <c r="HW81" t="e">
        <f>'SurveyRpt_20150223 (1)'!E506+"h_l!%]j"</f>
        <v>#VALUE!</v>
      </c>
      <c r="HX81" t="e">
        <f>'SurveyRpt_20150223 (1)'!F506+"h_l!%]k"</f>
        <v>#VALUE!</v>
      </c>
      <c r="HY81" t="e">
        <f>'SurveyRpt_20150223 (1)'!G506+"h_l!%]l"</f>
        <v>#VALUE!</v>
      </c>
      <c r="HZ81" t="e">
        <f>'SurveyRpt_20150223 (1)'!H506+"h_l!%]m"</f>
        <v>#VALUE!</v>
      </c>
      <c r="IA81" t="e">
        <f>'SurveyRpt_20150223 (1)'!I506+"h_l!%]n"</f>
        <v>#VALUE!</v>
      </c>
      <c r="IB81" t="e">
        <f>'SurveyRpt_20150223 (1)'!J506+"h_l!%]o"</f>
        <v>#VALUE!</v>
      </c>
      <c r="IC81" t="e">
        <f>'SurveyRpt_20150223 (1)'!K506+"h_l!%]p"</f>
        <v>#VALUE!</v>
      </c>
      <c r="ID81" t="e">
        <f>'SurveyRpt_20150223 (1)'!L506+"h_l!%]q"</f>
        <v>#VALUE!</v>
      </c>
      <c r="IE81" t="e">
        <f>'SurveyRpt_20150223 (1)'!M506+"h_l!%]r"</f>
        <v>#VALUE!</v>
      </c>
      <c r="IF81" t="e">
        <f>'SurveyRpt_20150223 (1)'!N506+"h_l!%]s"</f>
        <v>#VALUE!</v>
      </c>
      <c r="IG81" t="e">
        <f>'SurveyRpt_20150223 (1)'!O506+"h_l!%]t"</f>
        <v>#VALUE!</v>
      </c>
      <c r="IH81" t="e">
        <f>'SurveyRpt_20150223 (1)'!P506+"h_l!%]u"</f>
        <v>#VALUE!</v>
      </c>
      <c r="II81" t="e">
        <f>'SurveyRpt_20150223 (1)'!Q506+"h_l!%]v"</f>
        <v>#VALUE!</v>
      </c>
      <c r="IJ81" t="e">
        <f>'SurveyRpt_20150223 (1)'!R506+"h_l!%]w"</f>
        <v>#VALUE!</v>
      </c>
      <c r="IK81" t="e">
        <f>'SurveyRpt_20150223 (1)'!S506+"h_l!%]x"</f>
        <v>#VALUE!</v>
      </c>
      <c r="IL81" t="e">
        <f>'SurveyRpt_20150223 (1)'!T506+"h_l!%]y"</f>
        <v>#VALUE!</v>
      </c>
      <c r="IM81" t="e">
        <f>'SurveyRpt_20150223 (1)'!U506+"h_l!%]z"</f>
        <v>#VALUE!</v>
      </c>
      <c r="IN81" t="e">
        <f>'SurveyRpt_20150223 (1)'!V506+"h_l!%]{"</f>
        <v>#VALUE!</v>
      </c>
      <c r="IO81" t="e">
        <f>'SurveyRpt_20150223 (1)'!W506+"h_l!%]|"</f>
        <v>#VALUE!</v>
      </c>
      <c r="IP81" t="e">
        <f>'SurveyRpt_20150223 (1)'!X506+"h_l!%]}"</f>
        <v>#VALUE!</v>
      </c>
      <c r="IQ81" t="e">
        <f>'SurveyRpt_20150223 (1)'!Y506+"h_l!%]~"</f>
        <v>#VALUE!</v>
      </c>
      <c r="IR81" t="e">
        <f>'SurveyRpt_20150223 (1)'!Z506+"h_l!%^#"</f>
        <v>#VALUE!</v>
      </c>
      <c r="IS81" t="e">
        <f>'SurveyRpt_20150223 (1)'!AA506+"h_l!%^$"</f>
        <v>#VALUE!</v>
      </c>
      <c r="IT81" t="e">
        <f>'SurveyRpt_20150223 (1)'!AB506+"h_l!%^%"</f>
        <v>#VALUE!</v>
      </c>
      <c r="IU81" t="e">
        <f>'SurveyRpt_20150223 (1)'!AC506+"h_l!%^&amp;"</f>
        <v>#VALUE!</v>
      </c>
      <c r="IV81" t="e">
        <f>'SurveyRpt_20150223 (1)'!AD506+"h_l!%^'"</f>
        <v>#VALUE!</v>
      </c>
    </row>
    <row r="82" spans="6:256" x14ac:dyDescent="0.25">
      <c r="F82" t="e">
        <f>'SurveyRpt_20150223 (1)'!AE506+"h_l!%^("</f>
        <v>#VALUE!</v>
      </c>
      <c r="G82" t="e">
        <f>'SurveyRpt_20150223 (1)'!AF506+"h_l!%^)"</f>
        <v>#VALUE!</v>
      </c>
      <c r="H82" t="e">
        <f>'SurveyRpt_20150223 (1)'!AG506+"h_l!%^."</f>
        <v>#VALUE!</v>
      </c>
      <c r="I82" t="e">
        <f>'SurveyRpt_20150223 (1)'!AH506+"h_l!%^/"</f>
        <v>#VALUE!</v>
      </c>
      <c r="J82" t="e">
        <f>'SurveyRpt_20150223 (1)'!AI506+"h_l!%^0"</f>
        <v>#VALUE!</v>
      </c>
      <c r="K82" t="e">
        <f>'SurveyRpt_20150223 (1)'!AJ506+"h_l!%^1"</f>
        <v>#VALUE!</v>
      </c>
      <c r="L82" t="e">
        <f>'SurveyRpt_20150223 (1)'!AK506+"h_l!%^2"</f>
        <v>#VALUE!</v>
      </c>
      <c r="M82" t="e">
        <f>'SurveyRpt_20150223 (1)'!AL506+"h_l!%^3"</f>
        <v>#VALUE!</v>
      </c>
      <c r="N82" t="e">
        <f>'SurveyRpt_20150223 (1)'!AM506+"h_l!%^4"</f>
        <v>#VALUE!</v>
      </c>
      <c r="O82" t="e">
        <f>'SurveyRpt_20150223 (1)'!AN506+"h_l!%^5"</f>
        <v>#VALUE!</v>
      </c>
      <c r="P82" t="e">
        <f>'SurveyRpt_20150223 (1)'!A507+"h_l!%^6"</f>
        <v>#VALUE!</v>
      </c>
      <c r="Q82" s="25" t="e">
        <f>'SurveyRpt_20150223 (1)'!B507+"h_l!%^7"</f>
        <v>#VALUE!</v>
      </c>
      <c r="R82" t="e">
        <f>'SurveyRpt_20150223 (1)'!C507+"h_l!%^8"</f>
        <v>#VALUE!</v>
      </c>
      <c r="S82" s="25" t="e">
        <f>'SurveyRpt_20150223 (1)'!D507+"h_l!%^9"</f>
        <v>#VALUE!</v>
      </c>
      <c r="T82" t="e">
        <f>'SurveyRpt_20150223 (1)'!E507+"h_l!%^:"</f>
        <v>#VALUE!</v>
      </c>
      <c r="U82" t="e">
        <f>'SurveyRpt_20150223 (1)'!F507+"h_l!%^;"</f>
        <v>#VALUE!</v>
      </c>
      <c r="V82" t="e">
        <f>'SurveyRpt_20150223 (1)'!G507+"h_l!%^&lt;"</f>
        <v>#VALUE!</v>
      </c>
      <c r="W82" t="e">
        <f>'SurveyRpt_20150223 (1)'!H507+"h_l!%^="</f>
        <v>#VALUE!</v>
      </c>
      <c r="X82" t="e">
        <f>'SurveyRpt_20150223 (1)'!I507+"h_l!%^&gt;"</f>
        <v>#VALUE!</v>
      </c>
      <c r="Y82" t="e">
        <f>'SurveyRpt_20150223 (1)'!J507+"h_l!%^?"</f>
        <v>#VALUE!</v>
      </c>
      <c r="Z82" t="e">
        <f>'SurveyRpt_20150223 (1)'!K507+"h_l!%^@"</f>
        <v>#VALUE!</v>
      </c>
      <c r="AA82" t="e">
        <f>'SurveyRpt_20150223 (1)'!L507+"h_l!%^A"</f>
        <v>#VALUE!</v>
      </c>
      <c r="AB82" t="e">
        <f>'SurveyRpt_20150223 (1)'!M507+"h_l!%^B"</f>
        <v>#VALUE!</v>
      </c>
      <c r="AC82" t="e">
        <f>'SurveyRpt_20150223 (1)'!N507+"h_l!%^C"</f>
        <v>#VALUE!</v>
      </c>
      <c r="AD82" t="e">
        <f>'SurveyRpt_20150223 (1)'!O507+"h_l!%^D"</f>
        <v>#VALUE!</v>
      </c>
      <c r="AE82" t="e">
        <f>'SurveyRpt_20150223 (1)'!P507+"h_l!%^E"</f>
        <v>#VALUE!</v>
      </c>
      <c r="AF82" t="e">
        <f>'SurveyRpt_20150223 (1)'!Q507+"h_l!%^F"</f>
        <v>#VALUE!</v>
      </c>
      <c r="AG82" t="e">
        <f>'SurveyRpt_20150223 (1)'!R507+"h_l!%^G"</f>
        <v>#VALUE!</v>
      </c>
      <c r="AH82" t="e">
        <f>'SurveyRpt_20150223 (1)'!S507+"h_l!%^H"</f>
        <v>#VALUE!</v>
      </c>
      <c r="AI82" t="e">
        <f>'SurveyRpt_20150223 (1)'!T507+"h_l!%^I"</f>
        <v>#VALUE!</v>
      </c>
      <c r="AJ82" t="e">
        <f>'SurveyRpt_20150223 (1)'!U507+"h_l!%^J"</f>
        <v>#VALUE!</v>
      </c>
      <c r="AK82" t="e">
        <f>'SurveyRpt_20150223 (1)'!V507+"h_l!%^K"</f>
        <v>#VALUE!</v>
      </c>
      <c r="AL82" t="e">
        <f>'SurveyRpt_20150223 (1)'!W507+"h_l!%^L"</f>
        <v>#VALUE!</v>
      </c>
      <c r="AM82" t="e">
        <f>'SurveyRpt_20150223 (1)'!X507+"h_l!%^M"</f>
        <v>#VALUE!</v>
      </c>
      <c r="AN82" t="e">
        <f>'SurveyRpt_20150223 (1)'!Y507+"h_l!%^N"</f>
        <v>#VALUE!</v>
      </c>
      <c r="AO82" t="e">
        <f>'SurveyRpt_20150223 (1)'!Z507+"h_l!%^O"</f>
        <v>#VALUE!</v>
      </c>
      <c r="AP82" t="e">
        <f>'SurveyRpt_20150223 (1)'!AA507+"h_l!%^P"</f>
        <v>#VALUE!</v>
      </c>
      <c r="AQ82" t="e">
        <f>'SurveyRpt_20150223 (1)'!AB507+"h_l!%^Q"</f>
        <v>#VALUE!</v>
      </c>
      <c r="AR82" t="e">
        <f>'SurveyRpt_20150223 (1)'!AC507+"h_l!%^R"</f>
        <v>#VALUE!</v>
      </c>
      <c r="AS82" t="e">
        <f>'SurveyRpt_20150223 (1)'!AD507+"h_l!%^S"</f>
        <v>#VALUE!</v>
      </c>
      <c r="AT82" t="e">
        <f>'SurveyRpt_20150223 (1)'!AE507+"h_l!%^T"</f>
        <v>#VALUE!</v>
      </c>
      <c r="AU82" t="e">
        <f>'SurveyRpt_20150223 (1)'!AF507+"h_l!%^U"</f>
        <v>#VALUE!</v>
      </c>
      <c r="AV82" t="e">
        <f>'SurveyRpt_20150223 (1)'!AG507+"h_l!%^V"</f>
        <v>#VALUE!</v>
      </c>
      <c r="AW82" t="e">
        <f>'SurveyRpt_20150223 (1)'!AH507+"h_l!%^W"</f>
        <v>#VALUE!</v>
      </c>
      <c r="AX82" t="e">
        <f>'SurveyRpt_20150223 (1)'!AI507+"h_l!%^X"</f>
        <v>#VALUE!</v>
      </c>
      <c r="AY82" t="e">
        <f>'SurveyRpt_20150223 (1)'!AJ507+"h_l!%^Y"</f>
        <v>#VALUE!</v>
      </c>
      <c r="AZ82" t="e">
        <f>'SurveyRpt_20150223 (1)'!AK507+"h_l!%^Z"</f>
        <v>#VALUE!</v>
      </c>
      <c r="BA82" t="e">
        <f>'SurveyRpt_20150223 (1)'!AL507+"h_l!%^["</f>
        <v>#VALUE!</v>
      </c>
      <c r="BB82" t="e">
        <f>'SurveyRpt_20150223 (1)'!AM507+"h_l!%^\"</f>
        <v>#VALUE!</v>
      </c>
      <c r="BC82" t="e">
        <f>'SurveyRpt_20150223 (1)'!AN507+"h_l!%^]"</f>
        <v>#VALUE!</v>
      </c>
      <c r="BD82" t="e">
        <f>'SurveyRpt_20150223 (1)'!A508+"h_l!%^^"</f>
        <v>#VALUE!</v>
      </c>
      <c r="BE82" s="25" t="e">
        <f>'SurveyRpt_20150223 (1)'!B508+"h_l!%^_"</f>
        <v>#VALUE!</v>
      </c>
      <c r="BF82" t="e">
        <f>'SurveyRpt_20150223 (1)'!C508+"h_l!%^`"</f>
        <v>#VALUE!</v>
      </c>
      <c r="BG82" s="25" t="e">
        <f>'SurveyRpt_20150223 (1)'!D508+"h_l!%^a"</f>
        <v>#VALUE!</v>
      </c>
      <c r="BH82" t="e">
        <f>'SurveyRpt_20150223 (1)'!E508+"h_l!%^b"</f>
        <v>#VALUE!</v>
      </c>
      <c r="BI82" t="e">
        <f>'SurveyRpt_20150223 (1)'!F508+"h_l!%^c"</f>
        <v>#VALUE!</v>
      </c>
      <c r="BJ82" t="e">
        <f>'SurveyRpt_20150223 (1)'!G508+"h_l!%^d"</f>
        <v>#VALUE!</v>
      </c>
      <c r="BK82" t="e">
        <f>'SurveyRpt_20150223 (1)'!H508+"h_l!%^e"</f>
        <v>#VALUE!</v>
      </c>
      <c r="BL82" t="e">
        <f>'SurveyRpt_20150223 (1)'!I508+"h_l!%^f"</f>
        <v>#VALUE!</v>
      </c>
      <c r="BM82" t="e">
        <f>'SurveyRpt_20150223 (1)'!J508+"h_l!%^g"</f>
        <v>#VALUE!</v>
      </c>
      <c r="BN82" t="e">
        <f>'SurveyRpt_20150223 (1)'!K508+"h_l!%^h"</f>
        <v>#VALUE!</v>
      </c>
      <c r="BO82" t="e">
        <f>'SurveyRpt_20150223 (1)'!L508+"h_l!%^i"</f>
        <v>#VALUE!</v>
      </c>
      <c r="BP82" t="e">
        <f>'SurveyRpt_20150223 (1)'!M508+"h_l!%^j"</f>
        <v>#VALUE!</v>
      </c>
      <c r="BQ82" t="e">
        <f>'SurveyRpt_20150223 (1)'!N508+"h_l!%^k"</f>
        <v>#VALUE!</v>
      </c>
      <c r="BR82" t="e">
        <f>'SurveyRpt_20150223 (1)'!O508+"h_l!%^l"</f>
        <v>#VALUE!</v>
      </c>
      <c r="BS82" t="e">
        <f>'SurveyRpt_20150223 (1)'!P508+"h_l!%^m"</f>
        <v>#VALUE!</v>
      </c>
      <c r="BT82" t="e">
        <f>'SurveyRpt_20150223 (1)'!Q508+"h_l!%^n"</f>
        <v>#VALUE!</v>
      </c>
      <c r="BU82" t="e">
        <f>'SurveyRpt_20150223 (1)'!R508+"h_l!%^o"</f>
        <v>#VALUE!</v>
      </c>
      <c r="BV82" t="e">
        <f>'SurveyRpt_20150223 (1)'!S508+"h_l!%^p"</f>
        <v>#VALUE!</v>
      </c>
      <c r="BW82" t="e">
        <f>'SurveyRpt_20150223 (1)'!T508+"h_l!%^q"</f>
        <v>#VALUE!</v>
      </c>
      <c r="BX82" t="e">
        <f>'SurveyRpt_20150223 (1)'!U508+"h_l!%^r"</f>
        <v>#VALUE!</v>
      </c>
      <c r="BY82" t="e">
        <f>'SurveyRpt_20150223 (1)'!V508+"h_l!%^s"</f>
        <v>#VALUE!</v>
      </c>
      <c r="BZ82" t="e">
        <f>'SurveyRpt_20150223 (1)'!W508+"h_l!%^t"</f>
        <v>#VALUE!</v>
      </c>
      <c r="CA82" t="e">
        <f>'SurveyRpt_20150223 (1)'!X508+"h_l!%^u"</f>
        <v>#VALUE!</v>
      </c>
      <c r="CB82" t="e">
        <f>'SurveyRpt_20150223 (1)'!Y508+"h_l!%^v"</f>
        <v>#VALUE!</v>
      </c>
      <c r="CC82" t="e">
        <f>'SurveyRpt_20150223 (1)'!Z508+"h_l!%^w"</f>
        <v>#VALUE!</v>
      </c>
      <c r="CD82" t="e">
        <f>'SurveyRpt_20150223 (1)'!AA508+"h_l!%^x"</f>
        <v>#VALUE!</v>
      </c>
      <c r="CE82" t="e">
        <f>'SurveyRpt_20150223 (1)'!AB508+"h_l!%^y"</f>
        <v>#VALUE!</v>
      </c>
      <c r="CF82" t="e">
        <f>'SurveyRpt_20150223 (1)'!AC508+"h_l!%^z"</f>
        <v>#VALUE!</v>
      </c>
      <c r="CG82" t="e">
        <f>'SurveyRpt_20150223 (1)'!AD508+"h_l!%^{"</f>
        <v>#VALUE!</v>
      </c>
      <c r="CH82" t="e">
        <f>'SurveyRpt_20150223 (1)'!AE508+"h_l!%^|"</f>
        <v>#VALUE!</v>
      </c>
      <c r="CI82" t="e">
        <f>'SurveyRpt_20150223 (1)'!AF508+"h_l!%^}"</f>
        <v>#VALUE!</v>
      </c>
      <c r="CJ82" t="e">
        <f>'SurveyRpt_20150223 (1)'!AG508+"h_l!%^~"</f>
        <v>#VALUE!</v>
      </c>
      <c r="CK82" t="e">
        <f>'SurveyRpt_20150223 (1)'!AH508+"h_l!%_#"</f>
        <v>#VALUE!</v>
      </c>
      <c r="CL82" t="e">
        <f>'SurveyRpt_20150223 (1)'!AI508+"h_l!%_$"</f>
        <v>#VALUE!</v>
      </c>
      <c r="CM82" t="e">
        <f>'SurveyRpt_20150223 (1)'!AJ508+"h_l!%_%"</f>
        <v>#VALUE!</v>
      </c>
      <c r="CN82" t="e">
        <f>'SurveyRpt_20150223 (1)'!AK508+"h_l!%_&amp;"</f>
        <v>#VALUE!</v>
      </c>
      <c r="CO82" t="e">
        <f>'SurveyRpt_20150223 (1)'!AL508+"h_l!%_'"</f>
        <v>#VALUE!</v>
      </c>
      <c r="CP82" t="e">
        <f>'SurveyRpt_20150223 (1)'!AM508+"h_l!%_("</f>
        <v>#VALUE!</v>
      </c>
      <c r="CQ82" t="e">
        <f>'SurveyRpt_20150223 (1)'!AN508+"h_l!%_)"</f>
        <v>#VALUE!</v>
      </c>
      <c r="CR82" t="e">
        <f>'SurveyRpt_20150223 (1)'!A509+"h_l!%_."</f>
        <v>#VALUE!</v>
      </c>
      <c r="CS82" s="25" t="e">
        <f>'SurveyRpt_20150223 (1)'!B509+"h_l!%_/"</f>
        <v>#VALUE!</v>
      </c>
      <c r="CT82" t="e">
        <f>'SurveyRpt_20150223 (1)'!C509+"h_l!%_0"</f>
        <v>#VALUE!</v>
      </c>
      <c r="CU82" s="25" t="e">
        <f>'SurveyRpt_20150223 (1)'!D509+"h_l!%_1"</f>
        <v>#VALUE!</v>
      </c>
      <c r="CV82" t="e">
        <f>'SurveyRpt_20150223 (1)'!E509+"h_l!%_2"</f>
        <v>#VALUE!</v>
      </c>
      <c r="CW82" t="e">
        <f>'SurveyRpt_20150223 (1)'!F509+"h_l!%_3"</f>
        <v>#VALUE!</v>
      </c>
      <c r="CX82" t="e">
        <f>'SurveyRpt_20150223 (1)'!G509+"h_l!%_4"</f>
        <v>#VALUE!</v>
      </c>
      <c r="CY82" t="e">
        <f>'SurveyRpt_20150223 (1)'!H509+"h_l!%_5"</f>
        <v>#VALUE!</v>
      </c>
      <c r="CZ82" t="e">
        <f>'SurveyRpt_20150223 (1)'!I509+"h_l!%_6"</f>
        <v>#VALUE!</v>
      </c>
      <c r="DA82" t="e">
        <f>'SurveyRpt_20150223 (1)'!J509+"h_l!%_7"</f>
        <v>#VALUE!</v>
      </c>
      <c r="DB82" t="e">
        <f>'SurveyRpt_20150223 (1)'!K509+"h_l!%_8"</f>
        <v>#VALUE!</v>
      </c>
      <c r="DC82" t="e">
        <f>'SurveyRpt_20150223 (1)'!L509+"h_l!%_9"</f>
        <v>#VALUE!</v>
      </c>
      <c r="DD82" t="e">
        <f>'SurveyRpt_20150223 (1)'!M509+"h_l!%_:"</f>
        <v>#VALUE!</v>
      </c>
      <c r="DE82" t="e">
        <f>'SurveyRpt_20150223 (1)'!N509+"h_l!%_;"</f>
        <v>#VALUE!</v>
      </c>
      <c r="DF82" t="e">
        <f>'SurveyRpt_20150223 (1)'!O509+"h_l!%_&lt;"</f>
        <v>#VALUE!</v>
      </c>
      <c r="DG82" t="e">
        <f>'SurveyRpt_20150223 (1)'!P509+"h_l!%_="</f>
        <v>#VALUE!</v>
      </c>
      <c r="DH82" t="e">
        <f>'SurveyRpt_20150223 (1)'!Q509+"h_l!%_&gt;"</f>
        <v>#VALUE!</v>
      </c>
      <c r="DI82" t="e">
        <f>'SurveyRpt_20150223 (1)'!R509+"h_l!%_?"</f>
        <v>#VALUE!</v>
      </c>
      <c r="DJ82" t="e">
        <f>'SurveyRpt_20150223 (1)'!S509+"h_l!%_@"</f>
        <v>#VALUE!</v>
      </c>
      <c r="DK82" t="e">
        <f>'SurveyRpt_20150223 (1)'!T509+"h_l!%_A"</f>
        <v>#VALUE!</v>
      </c>
      <c r="DL82" t="e">
        <f>'SurveyRpt_20150223 (1)'!U509+"h_l!%_B"</f>
        <v>#VALUE!</v>
      </c>
      <c r="DM82" t="e">
        <f>'SurveyRpt_20150223 (1)'!V509+"h_l!%_C"</f>
        <v>#VALUE!</v>
      </c>
      <c r="DN82" t="e">
        <f>'SurveyRpt_20150223 (1)'!W509+"h_l!%_D"</f>
        <v>#VALUE!</v>
      </c>
      <c r="DO82" t="e">
        <f>'SurveyRpt_20150223 (1)'!X509+"h_l!%_E"</f>
        <v>#VALUE!</v>
      </c>
      <c r="DP82" t="e">
        <f>'SurveyRpt_20150223 (1)'!Y509+"h_l!%_F"</f>
        <v>#VALUE!</v>
      </c>
      <c r="DQ82" t="e">
        <f>'SurveyRpt_20150223 (1)'!Z509+"h_l!%_G"</f>
        <v>#VALUE!</v>
      </c>
      <c r="DR82" t="e">
        <f>'SurveyRpt_20150223 (1)'!AA509+"h_l!%_H"</f>
        <v>#VALUE!</v>
      </c>
      <c r="DS82" t="e">
        <f>'SurveyRpt_20150223 (1)'!AB509+"h_l!%_I"</f>
        <v>#VALUE!</v>
      </c>
      <c r="DT82" t="e">
        <f>'SurveyRpt_20150223 (1)'!AC509+"h_l!%_J"</f>
        <v>#VALUE!</v>
      </c>
      <c r="DU82" t="e">
        <f>'SurveyRpt_20150223 (1)'!AD509+"h_l!%_K"</f>
        <v>#VALUE!</v>
      </c>
      <c r="DV82" t="e">
        <f>'SurveyRpt_20150223 (1)'!AE509+"h_l!%_L"</f>
        <v>#VALUE!</v>
      </c>
      <c r="DW82" t="e">
        <f>'SurveyRpt_20150223 (1)'!AF509+"h_l!%_M"</f>
        <v>#VALUE!</v>
      </c>
      <c r="DX82" t="e">
        <f>'SurveyRpt_20150223 (1)'!AG509+"h_l!%_N"</f>
        <v>#VALUE!</v>
      </c>
      <c r="DY82" t="e">
        <f>'SurveyRpt_20150223 (1)'!AH509+"h_l!%_O"</f>
        <v>#VALUE!</v>
      </c>
      <c r="DZ82" t="e">
        <f>'SurveyRpt_20150223 (1)'!AI509+"h_l!%_P"</f>
        <v>#VALUE!</v>
      </c>
      <c r="EA82" t="e">
        <f>'SurveyRpt_20150223 (1)'!AJ509+"h_l!%_Q"</f>
        <v>#VALUE!</v>
      </c>
      <c r="EB82" t="e">
        <f>'SurveyRpt_20150223 (1)'!AK509+"h_l!%_R"</f>
        <v>#VALUE!</v>
      </c>
      <c r="EC82" t="e">
        <f>'SurveyRpt_20150223 (1)'!AL509+"h_l!%_S"</f>
        <v>#VALUE!</v>
      </c>
      <c r="ED82" t="e">
        <f>'SurveyRpt_20150223 (1)'!AM509+"h_l!%_T"</f>
        <v>#VALUE!</v>
      </c>
      <c r="EE82" t="e">
        <f>'SurveyRpt_20150223 (1)'!AN509+"h_l!%_U"</f>
        <v>#VALUE!</v>
      </c>
      <c r="EF82" t="e">
        <f>'SurveyRpt_20150223 (1)'!A510+"h_l!%_V"</f>
        <v>#VALUE!</v>
      </c>
      <c r="EG82" s="25" t="e">
        <f>'SurveyRpt_20150223 (1)'!B510+"h_l!%_W"</f>
        <v>#VALUE!</v>
      </c>
      <c r="EH82" t="e">
        <f>'SurveyRpt_20150223 (1)'!C510+"h_l!%_X"</f>
        <v>#VALUE!</v>
      </c>
      <c r="EI82" s="25" t="e">
        <f>'SurveyRpt_20150223 (1)'!D510+"h_l!%_Y"</f>
        <v>#VALUE!</v>
      </c>
      <c r="EJ82" t="e">
        <f>'SurveyRpt_20150223 (1)'!E510+"h_l!%_Z"</f>
        <v>#VALUE!</v>
      </c>
      <c r="EK82" t="e">
        <f>'SurveyRpt_20150223 (1)'!F510+"h_l!%_["</f>
        <v>#VALUE!</v>
      </c>
      <c r="EL82" t="e">
        <f>'SurveyRpt_20150223 (1)'!G510+"h_l!%_\"</f>
        <v>#VALUE!</v>
      </c>
      <c r="EM82" t="e">
        <f>'SurveyRpt_20150223 (1)'!H510+"h_l!%_]"</f>
        <v>#VALUE!</v>
      </c>
      <c r="EN82" t="e">
        <f>'SurveyRpt_20150223 (1)'!I510+"h_l!%_^"</f>
        <v>#VALUE!</v>
      </c>
      <c r="EO82" t="e">
        <f>'SurveyRpt_20150223 (1)'!J510+"h_l!%__"</f>
        <v>#VALUE!</v>
      </c>
      <c r="EP82" t="e">
        <f>'SurveyRpt_20150223 (1)'!K510+"h_l!%_`"</f>
        <v>#VALUE!</v>
      </c>
      <c r="EQ82" t="e">
        <f>'SurveyRpt_20150223 (1)'!L510+"h_l!%_a"</f>
        <v>#VALUE!</v>
      </c>
      <c r="ER82" t="e">
        <f>'SurveyRpt_20150223 (1)'!M510+"h_l!%_b"</f>
        <v>#VALUE!</v>
      </c>
      <c r="ES82" t="e">
        <f>'SurveyRpt_20150223 (1)'!N510+"h_l!%_c"</f>
        <v>#VALUE!</v>
      </c>
      <c r="ET82" t="e">
        <f>'SurveyRpt_20150223 (1)'!O510+"h_l!%_d"</f>
        <v>#VALUE!</v>
      </c>
      <c r="EU82" t="e">
        <f>'SurveyRpt_20150223 (1)'!P510+"h_l!%_e"</f>
        <v>#VALUE!</v>
      </c>
      <c r="EV82" t="e">
        <f>'SurveyRpt_20150223 (1)'!Q510+"h_l!%_f"</f>
        <v>#VALUE!</v>
      </c>
      <c r="EW82" t="e">
        <f>'SurveyRpt_20150223 (1)'!R510+"h_l!%_g"</f>
        <v>#VALUE!</v>
      </c>
      <c r="EX82" t="e">
        <f>'SurveyRpt_20150223 (1)'!S510+"h_l!%_h"</f>
        <v>#VALUE!</v>
      </c>
      <c r="EY82" t="e">
        <f>'SurveyRpt_20150223 (1)'!T510+"h_l!%_i"</f>
        <v>#VALUE!</v>
      </c>
      <c r="EZ82" t="e">
        <f>'SurveyRpt_20150223 (1)'!U510+"h_l!%_j"</f>
        <v>#VALUE!</v>
      </c>
      <c r="FA82" t="e">
        <f>'SurveyRpt_20150223 (1)'!V510+"h_l!%_k"</f>
        <v>#VALUE!</v>
      </c>
      <c r="FB82" t="e">
        <f>'SurveyRpt_20150223 (1)'!W510+"h_l!%_l"</f>
        <v>#VALUE!</v>
      </c>
      <c r="FC82" t="e">
        <f>'SurveyRpt_20150223 (1)'!X510+"h_l!%_m"</f>
        <v>#VALUE!</v>
      </c>
      <c r="FD82" t="e">
        <f>'SurveyRpt_20150223 (1)'!Y510+"h_l!%_n"</f>
        <v>#VALUE!</v>
      </c>
      <c r="FE82" t="e">
        <f>'SurveyRpt_20150223 (1)'!Z510+"h_l!%_o"</f>
        <v>#VALUE!</v>
      </c>
      <c r="FF82" t="e">
        <f>'SurveyRpt_20150223 (1)'!AA510+"h_l!%_p"</f>
        <v>#VALUE!</v>
      </c>
      <c r="FG82" t="e">
        <f>'SurveyRpt_20150223 (1)'!AB510+"h_l!%_q"</f>
        <v>#VALUE!</v>
      </c>
      <c r="FH82" t="e">
        <f>'SurveyRpt_20150223 (1)'!AC510+"h_l!%_r"</f>
        <v>#VALUE!</v>
      </c>
      <c r="FI82" t="e">
        <f>'SurveyRpt_20150223 (1)'!AD510+"h_l!%_s"</f>
        <v>#VALUE!</v>
      </c>
      <c r="FJ82" t="e">
        <f>'SurveyRpt_20150223 (1)'!AE510+"h_l!%_t"</f>
        <v>#VALUE!</v>
      </c>
      <c r="FK82" t="e">
        <f>'SurveyRpt_20150223 (1)'!AF510+"h_l!%_u"</f>
        <v>#VALUE!</v>
      </c>
      <c r="FL82" t="e">
        <f>'SurveyRpt_20150223 (1)'!AG510+"h_l!%_v"</f>
        <v>#VALUE!</v>
      </c>
      <c r="FM82" t="e">
        <f>'SurveyRpt_20150223 (1)'!AH510+"h_l!%_w"</f>
        <v>#VALUE!</v>
      </c>
      <c r="FN82" t="e">
        <f>'SurveyRpt_20150223 (1)'!AI510+"h_l!%_x"</f>
        <v>#VALUE!</v>
      </c>
      <c r="FO82" t="e">
        <f>'SurveyRpt_20150223 (1)'!AJ510+"h_l!%_y"</f>
        <v>#VALUE!</v>
      </c>
      <c r="FP82" t="e">
        <f>'SurveyRpt_20150223 (1)'!AK510+"h_l!%_z"</f>
        <v>#VALUE!</v>
      </c>
      <c r="FQ82" t="e">
        <f>'SurveyRpt_20150223 (1)'!AL510+"h_l!%_{"</f>
        <v>#VALUE!</v>
      </c>
      <c r="FR82" t="e">
        <f>'SurveyRpt_20150223 (1)'!AM510+"h_l!%_|"</f>
        <v>#VALUE!</v>
      </c>
      <c r="FS82" t="e">
        <f>'SurveyRpt_20150223 (1)'!AN510+"h_l!%_}"</f>
        <v>#VALUE!</v>
      </c>
      <c r="FT82" t="e">
        <f>'SurveyRpt_20150223 (1)'!A511+"h_l!%_~"</f>
        <v>#VALUE!</v>
      </c>
      <c r="FU82" s="25" t="e">
        <f>'SurveyRpt_20150223 (1)'!B511+"h_l!%`#"</f>
        <v>#VALUE!</v>
      </c>
      <c r="FV82" t="e">
        <f>'SurveyRpt_20150223 (1)'!C511+"h_l!%`$"</f>
        <v>#VALUE!</v>
      </c>
      <c r="FW82" s="25" t="e">
        <f>'SurveyRpt_20150223 (1)'!D511+"h_l!%`%"</f>
        <v>#VALUE!</v>
      </c>
      <c r="FX82" t="e">
        <f>'SurveyRpt_20150223 (1)'!E511+"h_l!%`&amp;"</f>
        <v>#VALUE!</v>
      </c>
      <c r="FY82" t="e">
        <f>'SurveyRpt_20150223 (1)'!F511+"h_l!%`'"</f>
        <v>#VALUE!</v>
      </c>
      <c r="FZ82" t="e">
        <f>'SurveyRpt_20150223 (1)'!G511+"h_l!%`("</f>
        <v>#VALUE!</v>
      </c>
      <c r="GA82" t="e">
        <f>'SurveyRpt_20150223 (1)'!H511+"h_l!%`)"</f>
        <v>#VALUE!</v>
      </c>
      <c r="GB82" t="e">
        <f>'SurveyRpt_20150223 (1)'!I511+"h_l!%`."</f>
        <v>#VALUE!</v>
      </c>
      <c r="GC82" t="e">
        <f>'SurveyRpt_20150223 (1)'!J511+"h_l!%`/"</f>
        <v>#VALUE!</v>
      </c>
      <c r="GD82" t="e">
        <f>'SurveyRpt_20150223 (1)'!K511+"h_l!%`0"</f>
        <v>#VALUE!</v>
      </c>
      <c r="GE82" t="e">
        <f>'SurveyRpt_20150223 (1)'!L511+"h_l!%`1"</f>
        <v>#VALUE!</v>
      </c>
      <c r="GF82" t="e">
        <f>'SurveyRpt_20150223 (1)'!M511+"h_l!%`2"</f>
        <v>#VALUE!</v>
      </c>
      <c r="GG82" t="e">
        <f>'SurveyRpt_20150223 (1)'!N511+"h_l!%`3"</f>
        <v>#VALUE!</v>
      </c>
      <c r="GH82" t="e">
        <f>'SurveyRpt_20150223 (1)'!O511+"h_l!%`4"</f>
        <v>#VALUE!</v>
      </c>
      <c r="GI82" t="e">
        <f>'SurveyRpt_20150223 (1)'!P511+"h_l!%`5"</f>
        <v>#VALUE!</v>
      </c>
      <c r="GJ82" t="e">
        <f>'SurveyRpt_20150223 (1)'!Q511+"h_l!%`6"</f>
        <v>#VALUE!</v>
      </c>
      <c r="GK82" t="e">
        <f>'SurveyRpt_20150223 (1)'!R511+"h_l!%`7"</f>
        <v>#VALUE!</v>
      </c>
      <c r="GL82" t="e">
        <f>'SurveyRpt_20150223 (1)'!S511+"h_l!%`8"</f>
        <v>#VALUE!</v>
      </c>
      <c r="GM82" t="e">
        <f>'SurveyRpt_20150223 (1)'!T511+"h_l!%`9"</f>
        <v>#VALUE!</v>
      </c>
      <c r="GN82" t="e">
        <f>'SurveyRpt_20150223 (1)'!U511+"h_l!%`:"</f>
        <v>#VALUE!</v>
      </c>
      <c r="GO82" t="e">
        <f>'SurveyRpt_20150223 (1)'!V511+"h_l!%`;"</f>
        <v>#VALUE!</v>
      </c>
      <c r="GP82" t="e">
        <f>'SurveyRpt_20150223 (1)'!W511+"h_l!%`&lt;"</f>
        <v>#VALUE!</v>
      </c>
      <c r="GQ82" t="e">
        <f>'SurveyRpt_20150223 (1)'!X511+"h_l!%`="</f>
        <v>#VALUE!</v>
      </c>
      <c r="GR82" t="e">
        <f>'SurveyRpt_20150223 (1)'!Y511+"h_l!%`&gt;"</f>
        <v>#VALUE!</v>
      </c>
      <c r="GS82" t="e">
        <f>'SurveyRpt_20150223 (1)'!Z511+"h_l!%`?"</f>
        <v>#VALUE!</v>
      </c>
      <c r="GT82" t="e">
        <f>'SurveyRpt_20150223 (1)'!AA511+"h_l!%`@"</f>
        <v>#VALUE!</v>
      </c>
      <c r="GU82" t="e">
        <f>'SurveyRpt_20150223 (1)'!AB511+"h_l!%`A"</f>
        <v>#VALUE!</v>
      </c>
      <c r="GV82" t="e">
        <f>'SurveyRpt_20150223 (1)'!AC511+"h_l!%`B"</f>
        <v>#VALUE!</v>
      </c>
      <c r="GW82" t="e">
        <f>'SurveyRpt_20150223 (1)'!AD511+"h_l!%`C"</f>
        <v>#VALUE!</v>
      </c>
      <c r="GX82" t="e">
        <f>'SurveyRpt_20150223 (1)'!AE511+"h_l!%`D"</f>
        <v>#VALUE!</v>
      </c>
      <c r="GY82" t="e">
        <f>'SurveyRpt_20150223 (1)'!AF511+"h_l!%`E"</f>
        <v>#VALUE!</v>
      </c>
      <c r="GZ82" t="e">
        <f>'SurveyRpt_20150223 (1)'!AG511+"h_l!%`F"</f>
        <v>#VALUE!</v>
      </c>
      <c r="HA82" t="e">
        <f>'SurveyRpt_20150223 (1)'!AH511+"h_l!%`G"</f>
        <v>#VALUE!</v>
      </c>
      <c r="HB82" t="e">
        <f>'SurveyRpt_20150223 (1)'!AI511+"h_l!%`H"</f>
        <v>#VALUE!</v>
      </c>
      <c r="HC82" t="e">
        <f>'SurveyRpt_20150223 (1)'!AJ511+"h_l!%`I"</f>
        <v>#VALUE!</v>
      </c>
      <c r="HD82" t="e">
        <f>'SurveyRpt_20150223 (1)'!AK511+"h_l!%`J"</f>
        <v>#VALUE!</v>
      </c>
      <c r="HE82" t="e">
        <f>'SurveyRpt_20150223 (1)'!AL511+"h_l!%`K"</f>
        <v>#VALUE!</v>
      </c>
      <c r="HF82" t="e">
        <f>'SurveyRpt_20150223 (1)'!AM511+"h_l!%`L"</f>
        <v>#VALUE!</v>
      </c>
      <c r="HG82" t="e">
        <f>'SurveyRpt_20150223 (1)'!AN511+"h_l!%`M"</f>
        <v>#VALUE!</v>
      </c>
      <c r="HH82" t="e">
        <f>'SurveyRpt_20150223 (1)'!A512+"h_l!%`N"</f>
        <v>#VALUE!</v>
      </c>
      <c r="HI82" s="25" t="e">
        <f>'SurveyRpt_20150223 (1)'!B512+"h_l!%`O"</f>
        <v>#VALUE!</v>
      </c>
      <c r="HJ82" t="e">
        <f>'SurveyRpt_20150223 (1)'!C512+"h_l!%`P"</f>
        <v>#VALUE!</v>
      </c>
      <c r="HK82" s="25" t="e">
        <f>'SurveyRpt_20150223 (1)'!D512+"h_l!%`Q"</f>
        <v>#VALUE!</v>
      </c>
      <c r="HL82" t="e">
        <f>'SurveyRpt_20150223 (1)'!E512+"h_l!%`R"</f>
        <v>#VALUE!</v>
      </c>
      <c r="HM82" t="e">
        <f>'SurveyRpt_20150223 (1)'!F512+"h_l!%`S"</f>
        <v>#VALUE!</v>
      </c>
      <c r="HN82" t="e">
        <f>'SurveyRpt_20150223 (1)'!G512+"h_l!%`T"</f>
        <v>#VALUE!</v>
      </c>
      <c r="HO82" t="e">
        <f>'SurveyRpt_20150223 (1)'!H512+"h_l!%`U"</f>
        <v>#VALUE!</v>
      </c>
      <c r="HP82" t="e">
        <f>'SurveyRpt_20150223 (1)'!I512+"h_l!%`V"</f>
        <v>#VALUE!</v>
      </c>
      <c r="HQ82" t="e">
        <f>'SurveyRpt_20150223 (1)'!J512+"h_l!%`W"</f>
        <v>#VALUE!</v>
      </c>
      <c r="HR82" t="e">
        <f>'SurveyRpt_20150223 (1)'!K512+"h_l!%`X"</f>
        <v>#VALUE!</v>
      </c>
      <c r="HS82" t="e">
        <f>'SurveyRpt_20150223 (1)'!L512+"h_l!%`Y"</f>
        <v>#VALUE!</v>
      </c>
      <c r="HT82" t="e">
        <f>'SurveyRpt_20150223 (1)'!M512+"h_l!%`Z"</f>
        <v>#VALUE!</v>
      </c>
      <c r="HU82" t="e">
        <f>'SurveyRpt_20150223 (1)'!N512+"h_l!%`["</f>
        <v>#VALUE!</v>
      </c>
      <c r="HV82" t="e">
        <f>'SurveyRpt_20150223 (1)'!O512+"h_l!%`\"</f>
        <v>#VALUE!</v>
      </c>
      <c r="HW82" t="e">
        <f>'SurveyRpt_20150223 (1)'!P512+"h_l!%`]"</f>
        <v>#VALUE!</v>
      </c>
      <c r="HX82" t="e">
        <f>'SurveyRpt_20150223 (1)'!Q512+"h_l!%`^"</f>
        <v>#VALUE!</v>
      </c>
      <c r="HY82" t="e">
        <f>'SurveyRpt_20150223 (1)'!R512+"h_l!%`_"</f>
        <v>#VALUE!</v>
      </c>
      <c r="HZ82" t="e">
        <f>'SurveyRpt_20150223 (1)'!S512+"h_l!%``"</f>
        <v>#VALUE!</v>
      </c>
      <c r="IA82" t="e">
        <f>'SurveyRpt_20150223 (1)'!T512+"h_l!%`a"</f>
        <v>#VALUE!</v>
      </c>
      <c r="IB82" t="e">
        <f>'SurveyRpt_20150223 (1)'!U512+"h_l!%`b"</f>
        <v>#VALUE!</v>
      </c>
      <c r="IC82" t="e">
        <f>'SurveyRpt_20150223 (1)'!V512+"h_l!%`c"</f>
        <v>#VALUE!</v>
      </c>
      <c r="ID82" t="e">
        <f>'SurveyRpt_20150223 (1)'!W512+"h_l!%`d"</f>
        <v>#VALUE!</v>
      </c>
      <c r="IE82" t="e">
        <f>'SurveyRpt_20150223 (1)'!X512+"h_l!%`e"</f>
        <v>#VALUE!</v>
      </c>
      <c r="IF82" t="e">
        <f>'SurveyRpt_20150223 (1)'!Y512+"h_l!%`f"</f>
        <v>#VALUE!</v>
      </c>
      <c r="IG82" t="e">
        <f>'SurveyRpt_20150223 (1)'!Z512+"h_l!%`g"</f>
        <v>#VALUE!</v>
      </c>
      <c r="IH82" t="e">
        <f>'SurveyRpt_20150223 (1)'!AA512+"h_l!%`h"</f>
        <v>#VALUE!</v>
      </c>
      <c r="II82" t="e">
        <f>'SurveyRpt_20150223 (1)'!AB512+"h_l!%`i"</f>
        <v>#VALUE!</v>
      </c>
      <c r="IJ82" t="e">
        <f>'SurveyRpt_20150223 (1)'!AC512+"h_l!%`j"</f>
        <v>#VALUE!</v>
      </c>
      <c r="IK82" t="e">
        <f>'SurveyRpt_20150223 (1)'!AD512+"h_l!%`k"</f>
        <v>#VALUE!</v>
      </c>
      <c r="IL82" t="e">
        <f>'SurveyRpt_20150223 (1)'!AE512+"h_l!%`l"</f>
        <v>#VALUE!</v>
      </c>
      <c r="IM82" t="e">
        <f>'SurveyRpt_20150223 (1)'!AF512+"h_l!%`m"</f>
        <v>#VALUE!</v>
      </c>
      <c r="IN82" t="e">
        <f>'SurveyRpt_20150223 (1)'!AG512+"h_l!%`n"</f>
        <v>#VALUE!</v>
      </c>
      <c r="IO82" t="e">
        <f>'SurveyRpt_20150223 (1)'!AH512+"h_l!%`o"</f>
        <v>#VALUE!</v>
      </c>
      <c r="IP82" t="e">
        <f>'SurveyRpt_20150223 (1)'!AI512+"h_l!%`p"</f>
        <v>#VALUE!</v>
      </c>
      <c r="IQ82" t="e">
        <f>'SurveyRpt_20150223 (1)'!AJ512+"h_l!%`q"</f>
        <v>#VALUE!</v>
      </c>
      <c r="IR82" t="e">
        <f>'SurveyRpt_20150223 (1)'!AK512+"h_l!%`r"</f>
        <v>#VALUE!</v>
      </c>
      <c r="IS82" t="e">
        <f>'SurveyRpt_20150223 (1)'!AL512+"h_l!%`s"</f>
        <v>#VALUE!</v>
      </c>
      <c r="IT82" t="e">
        <f>'SurveyRpt_20150223 (1)'!AM512+"h_l!%`t"</f>
        <v>#VALUE!</v>
      </c>
      <c r="IU82" t="e">
        <f>'SurveyRpt_20150223 (1)'!AN512+"h_l!%`u"</f>
        <v>#VALUE!</v>
      </c>
      <c r="IV82" t="e">
        <f>'SurveyRpt_20150223 (1)'!A513+"h_l!%`v"</f>
        <v>#VALUE!</v>
      </c>
    </row>
    <row r="83" spans="6:256" x14ac:dyDescent="0.25">
      <c r="F83" s="25" t="e">
        <f>'SurveyRpt_20150223 (1)'!B513+"h_l!%`w"</f>
        <v>#VALUE!</v>
      </c>
      <c r="G83" t="e">
        <f>'SurveyRpt_20150223 (1)'!C513+"h_l!%`x"</f>
        <v>#VALUE!</v>
      </c>
      <c r="H83" s="25" t="e">
        <f>'SurveyRpt_20150223 (1)'!D513+"h_l!%`y"</f>
        <v>#VALUE!</v>
      </c>
      <c r="I83" t="e">
        <f>'SurveyRpt_20150223 (1)'!E513+"h_l!%`z"</f>
        <v>#VALUE!</v>
      </c>
      <c r="J83" t="e">
        <f>'SurveyRpt_20150223 (1)'!F513+"h_l!%`{"</f>
        <v>#VALUE!</v>
      </c>
      <c r="K83" t="e">
        <f>'SurveyRpt_20150223 (1)'!G513+"h_l!%`|"</f>
        <v>#VALUE!</v>
      </c>
      <c r="L83" t="e">
        <f>'SurveyRpt_20150223 (1)'!H513+"h_l!%`}"</f>
        <v>#VALUE!</v>
      </c>
      <c r="M83" t="e">
        <f>'SurveyRpt_20150223 (1)'!I513+"h_l!%`~"</f>
        <v>#VALUE!</v>
      </c>
      <c r="N83" t="e">
        <f>'SurveyRpt_20150223 (1)'!J513+"h_l!%a#"</f>
        <v>#VALUE!</v>
      </c>
      <c r="O83" t="e">
        <f>'SurveyRpt_20150223 (1)'!K513+"h_l!%a$"</f>
        <v>#VALUE!</v>
      </c>
      <c r="P83" t="e">
        <f>'SurveyRpt_20150223 (1)'!L513+"h_l!%a%"</f>
        <v>#VALUE!</v>
      </c>
      <c r="Q83" t="e">
        <f>'SurveyRpt_20150223 (1)'!M513+"h_l!%a&amp;"</f>
        <v>#VALUE!</v>
      </c>
      <c r="R83" t="e">
        <f>'SurveyRpt_20150223 (1)'!N513+"h_l!%a'"</f>
        <v>#VALUE!</v>
      </c>
      <c r="S83" t="e">
        <f>'SurveyRpt_20150223 (1)'!O513+"h_l!%a("</f>
        <v>#VALUE!</v>
      </c>
      <c r="T83" t="e">
        <f>'SurveyRpt_20150223 (1)'!P513+"h_l!%a)"</f>
        <v>#VALUE!</v>
      </c>
      <c r="U83" t="e">
        <f>'SurveyRpt_20150223 (1)'!Q513+"h_l!%a."</f>
        <v>#VALUE!</v>
      </c>
      <c r="V83" t="e">
        <f>'SurveyRpt_20150223 (1)'!R513+"h_l!%a/"</f>
        <v>#VALUE!</v>
      </c>
      <c r="W83" t="e">
        <f>'SurveyRpt_20150223 (1)'!S513+"h_l!%a0"</f>
        <v>#VALUE!</v>
      </c>
      <c r="X83" t="e">
        <f>'SurveyRpt_20150223 (1)'!T513+"h_l!%a1"</f>
        <v>#VALUE!</v>
      </c>
      <c r="Y83" t="e">
        <f>'SurveyRpt_20150223 (1)'!U513+"h_l!%a2"</f>
        <v>#VALUE!</v>
      </c>
      <c r="Z83" t="e">
        <f>'SurveyRpt_20150223 (1)'!V513+"h_l!%a3"</f>
        <v>#VALUE!</v>
      </c>
      <c r="AA83" t="e">
        <f>'SurveyRpt_20150223 (1)'!W513+"h_l!%a4"</f>
        <v>#VALUE!</v>
      </c>
      <c r="AB83" t="e">
        <f>'SurveyRpt_20150223 (1)'!X513+"h_l!%a5"</f>
        <v>#VALUE!</v>
      </c>
      <c r="AC83" t="e">
        <f>'SurveyRpt_20150223 (1)'!Y513+"h_l!%a6"</f>
        <v>#VALUE!</v>
      </c>
      <c r="AD83" t="e">
        <f>'SurveyRpt_20150223 (1)'!Z513+"h_l!%a7"</f>
        <v>#VALUE!</v>
      </c>
      <c r="AE83" t="e">
        <f>'SurveyRpt_20150223 (1)'!AA513+"h_l!%a8"</f>
        <v>#VALUE!</v>
      </c>
      <c r="AF83" t="e">
        <f>'SurveyRpt_20150223 (1)'!AB513+"h_l!%a9"</f>
        <v>#VALUE!</v>
      </c>
      <c r="AG83" t="e">
        <f>'SurveyRpt_20150223 (1)'!AC513+"h_l!%a:"</f>
        <v>#VALUE!</v>
      </c>
      <c r="AH83" t="e">
        <f>'SurveyRpt_20150223 (1)'!AD513+"h_l!%a;"</f>
        <v>#VALUE!</v>
      </c>
      <c r="AI83" t="e">
        <f>'SurveyRpt_20150223 (1)'!AE513+"h_l!%a&lt;"</f>
        <v>#VALUE!</v>
      </c>
      <c r="AJ83" t="e">
        <f>'SurveyRpt_20150223 (1)'!AF513+"h_l!%a="</f>
        <v>#VALUE!</v>
      </c>
      <c r="AK83" t="e">
        <f>'SurveyRpt_20150223 (1)'!AG513+"h_l!%a&gt;"</f>
        <v>#VALUE!</v>
      </c>
      <c r="AL83" t="e">
        <f>'SurveyRpt_20150223 (1)'!AH513+"h_l!%a?"</f>
        <v>#VALUE!</v>
      </c>
      <c r="AM83" t="e">
        <f>'SurveyRpt_20150223 (1)'!AI513+"h_l!%a@"</f>
        <v>#VALUE!</v>
      </c>
      <c r="AN83" t="e">
        <f>'SurveyRpt_20150223 (1)'!AJ513+"h_l!%aA"</f>
        <v>#VALUE!</v>
      </c>
      <c r="AO83" t="e">
        <f>'SurveyRpt_20150223 (1)'!AK513+"h_l!%aB"</f>
        <v>#VALUE!</v>
      </c>
      <c r="AP83" t="e">
        <f>'SurveyRpt_20150223 (1)'!AL513+"h_l!%aC"</f>
        <v>#VALUE!</v>
      </c>
      <c r="AQ83" t="e">
        <f>'SurveyRpt_20150223 (1)'!AM513+"h_l!%aD"</f>
        <v>#VALUE!</v>
      </c>
      <c r="AR83" t="e">
        <f>'SurveyRpt_20150223 (1)'!AN513+"h_l!%aE"</f>
        <v>#VALUE!</v>
      </c>
      <c r="AS83" t="e">
        <f>'SurveyRpt_20150223 (1)'!A514+"h_l!%aF"</f>
        <v>#VALUE!</v>
      </c>
      <c r="AT83" s="25" t="e">
        <f>'SurveyRpt_20150223 (1)'!B514+"h_l!%aG"</f>
        <v>#VALUE!</v>
      </c>
      <c r="AU83" t="e">
        <f>'SurveyRpt_20150223 (1)'!C514+"h_l!%aH"</f>
        <v>#VALUE!</v>
      </c>
      <c r="AV83" s="25" t="e">
        <f>'SurveyRpt_20150223 (1)'!D514+"h_l!%aI"</f>
        <v>#VALUE!</v>
      </c>
      <c r="AW83" t="e">
        <f>'SurveyRpt_20150223 (1)'!E514+"h_l!%aJ"</f>
        <v>#VALUE!</v>
      </c>
      <c r="AX83" t="e">
        <f>'SurveyRpt_20150223 (1)'!F514+"h_l!%aK"</f>
        <v>#VALUE!</v>
      </c>
      <c r="AY83" t="e">
        <f>'SurveyRpt_20150223 (1)'!G514+"h_l!%aL"</f>
        <v>#VALUE!</v>
      </c>
      <c r="AZ83" t="e">
        <f>'SurveyRpt_20150223 (1)'!H514+"h_l!%aM"</f>
        <v>#VALUE!</v>
      </c>
      <c r="BA83" t="e">
        <f>'SurveyRpt_20150223 (1)'!I514+"h_l!%aN"</f>
        <v>#VALUE!</v>
      </c>
      <c r="BB83" t="e">
        <f>'SurveyRpt_20150223 (1)'!J514+"h_l!%aO"</f>
        <v>#VALUE!</v>
      </c>
      <c r="BC83" t="e">
        <f>'SurveyRpt_20150223 (1)'!K514+"h_l!%aP"</f>
        <v>#VALUE!</v>
      </c>
      <c r="BD83" t="e">
        <f>'SurveyRpt_20150223 (1)'!L514+"h_l!%aQ"</f>
        <v>#VALUE!</v>
      </c>
      <c r="BE83" t="e">
        <f>'SurveyRpt_20150223 (1)'!M514+"h_l!%aR"</f>
        <v>#VALUE!</v>
      </c>
      <c r="BF83" t="e">
        <f>'SurveyRpt_20150223 (1)'!N514+"h_l!%aS"</f>
        <v>#VALUE!</v>
      </c>
      <c r="BG83" t="e">
        <f>'SurveyRpt_20150223 (1)'!O514+"h_l!%aT"</f>
        <v>#VALUE!</v>
      </c>
      <c r="BH83" t="e">
        <f>'SurveyRpt_20150223 (1)'!P514+"h_l!%aU"</f>
        <v>#VALUE!</v>
      </c>
      <c r="BI83" t="e">
        <f>'SurveyRpt_20150223 (1)'!Q514+"h_l!%aV"</f>
        <v>#VALUE!</v>
      </c>
      <c r="BJ83" t="e">
        <f>'SurveyRpt_20150223 (1)'!R514+"h_l!%aW"</f>
        <v>#VALUE!</v>
      </c>
      <c r="BK83" t="e">
        <f>'SurveyRpt_20150223 (1)'!S514+"h_l!%aX"</f>
        <v>#VALUE!</v>
      </c>
      <c r="BL83" t="e">
        <f>'SurveyRpt_20150223 (1)'!T514+"h_l!%aY"</f>
        <v>#VALUE!</v>
      </c>
      <c r="BM83" t="e">
        <f>'SurveyRpt_20150223 (1)'!U514+"h_l!%aZ"</f>
        <v>#VALUE!</v>
      </c>
      <c r="BN83" t="e">
        <f>'SurveyRpt_20150223 (1)'!V514+"h_l!%a["</f>
        <v>#VALUE!</v>
      </c>
      <c r="BO83" t="e">
        <f>'SurveyRpt_20150223 (1)'!W514+"h_l!%a\"</f>
        <v>#VALUE!</v>
      </c>
      <c r="BP83" t="e">
        <f>'SurveyRpt_20150223 (1)'!X514+"h_l!%a]"</f>
        <v>#VALUE!</v>
      </c>
      <c r="BQ83" t="e">
        <f>'SurveyRpt_20150223 (1)'!Y514+"h_l!%a^"</f>
        <v>#VALUE!</v>
      </c>
      <c r="BR83" t="e">
        <f>'SurveyRpt_20150223 (1)'!Z514+"h_l!%a_"</f>
        <v>#VALUE!</v>
      </c>
      <c r="BS83" t="e">
        <f>'SurveyRpt_20150223 (1)'!AA514+"h_l!%a`"</f>
        <v>#VALUE!</v>
      </c>
      <c r="BT83" t="e">
        <f>'SurveyRpt_20150223 (1)'!AB514+"h_l!%aa"</f>
        <v>#VALUE!</v>
      </c>
      <c r="BU83" t="e">
        <f>'SurveyRpt_20150223 (1)'!AC514+"h_l!%ab"</f>
        <v>#VALUE!</v>
      </c>
      <c r="BV83" t="e">
        <f>'SurveyRpt_20150223 (1)'!AD514+"h_l!%ac"</f>
        <v>#VALUE!</v>
      </c>
      <c r="BW83" t="e">
        <f>'SurveyRpt_20150223 (1)'!AE514+"h_l!%ad"</f>
        <v>#VALUE!</v>
      </c>
      <c r="BX83" t="e">
        <f>'SurveyRpt_20150223 (1)'!AF514+"h_l!%ae"</f>
        <v>#VALUE!</v>
      </c>
      <c r="BY83" t="e">
        <f>'SurveyRpt_20150223 (1)'!AG514+"h_l!%af"</f>
        <v>#VALUE!</v>
      </c>
      <c r="BZ83" t="e">
        <f>'SurveyRpt_20150223 (1)'!AH514+"h_l!%ag"</f>
        <v>#VALUE!</v>
      </c>
      <c r="CA83" t="e">
        <f>'SurveyRpt_20150223 (1)'!AI514+"h_l!%ah"</f>
        <v>#VALUE!</v>
      </c>
      <c r="CB83" t="e">
        <f>'SurveyRpt_20150223 (1)'!AJ514+"h_l!%ai"</f>
        <v>#VALUE!</v>
      </c>
      <c r="CC83" t="e">
        <f>'SurveyRpt_20150223 (1)'!AK514+"h_l!%aj"</f>
        <v>#VALUE!</v>
      </c>
      <c r="CD83" t="e">
        <f>'SurveyRpt_20150223 (1)'!AL514+"h_l!%ak"</f>
        <v>#VALUE!</v>
      </c>
      <c r="CE83" t="e">
        <f>'SurveyRpt_20150223 (1)'!AM514+"h_l!%al"</f>
        <v>#VALUE!</v>
      </c>
      <c r="CF83" t="e">
        <f>'SurveyRpt_20150223 (1)'!AN514+"h_l!%am"</f>
        <v>#VALUE!</v>
      </c>
      <c r="CG83" t="e">
        <f>'SurveyRpt_20150223 (1)'!A515+"h_l!%an"</f>
        <v>#VALUE!</v>
      </c>
      <c r="CH83" s="25" t="e">
        <f>'SurveyRpt_20150223 (1)'!B515+"h_l!%ao"</f>
        <v>#VALUE!</v>
      </c>
      <c r="CI83" t="e">
        <f>'SurveyRpt_20150223 (1)'!C515+"h_l!%ap"</f>
        <v>#VALUE!</v>
      </c>
      <c r="CJ83" s="25" t="e">
        <f>'SurveyRpt_20150223 (1)'!D515+"h_l!%aq"</f>
        <v>#VALUE!</v>
      </c>
      <c r="CK83" t="e">
        <f>'SurveyRpt_20150223 (1)'!E515+"h_l!%ar"</f>
        <v>#VALUE!</v>
      </c>
      <c r="CL83" t="e">
        <f>'SurveyRpt_20150223 (1)'!F515+"h_l!%as"</f>
        <v>#VALUE!</v>
      </c>
      <c r="CM83" t="e">
        <f>'SurveyRpt_20150223 (1)'!G515+"h_l!%at"</f>
        <v>#VALUE!</v>
      </c>
      <c r="CN83" t="e">
        <f>'SurveyRpt_20150223 (1)'!H515+"h_l!%au"</f>
        <v>#VALUE!</v>
      </c>
      <c r="CO83" t="e">
        <f>'SurveyRpt_20150223 (1)'!I515+"h_l!%av"</f>
        <v>#VALUE!</v>
      </c>
      <c r="CP83" t="e">
        <f>'SurveyRpt_20150223 (1)'!J515+"h_l!%aw"</f>
        <v>#VALUE!</v>
      </c>
      <c r="CQ83" t="e">
        <f>'SurveyRpt_20150223 (1)'!K515+"h_l!%ax"</f>
        <v>#VALUE!</v>
      </c>
      <c r="CR83" t="e">
        <f>'SurveyRpt_20150223 (1)'!L515+"h_l!%ay"</f>
        <v>#VALUE!</v>
      </c>
      <c r="CS83" t="e">
        <f>'SurveyRpt_20150223 (1)'!M515+"h_l!%az"</f>
        <v>#VALUE!</v>
      </c>
      <c r="CT83" t="e">
        <f>'SurveyRpt_20150223 (1)'!N515+"h_l!%a{"</f>
        <v>#VALUE!</v>
      </c>
      <c r="CU83" t="e">
        <f>'SurveyRpt_20150223 (1)'!O515+"h_l!%a|"</f>
        <v>#VALUE!</v>
      </c>
      <c r="CV83" t="e">
        <f>'SurveyRpt_20150223 (1)'!P515+"h_l!%a}"</f>
        <v>#VALUE!</v>
      </c>
      <c r="CW83" t="e">
        <f>'SurveyRpt_20150223 (1)'!Q515+"h_l!%a~"</f>
        <v>#VALUE!</v>
      </c>
      <c r="CX83" t="e">
        <f>'SurveyRpt_20150223 (1)'!R515+"h_l!%b#"</f>
        <v>#VALUE!</v>
      </c>
      <c r="CY83" t="e">
        <f>'SurveyRpt_20150223 (1)'!S515+"h_l!%b$"</f>
        <v>#VALUE!</v>
      </c>
      <c r="CZ83" t="e">
        <f>'SurveyRpt_20150223 (1)'!T515+"h_l!%b%"</f>
        <v>#VALUE!</v>
      </c>
      <c r="DA83" t="e">
        <f>'SurveyRpt_20150223 (1)'!U515+"h_l!%b&amp;"</f>
        <v>#VALUE!</v>
      </c>
      <c r="DB83" t="e">
        <f>'SurveyRpt_20150223 (1)'!V515+"h_l!%b'"</f>
        <v>#VALUE!</v>
      </c>
      <c r="DC83" t="e">
        <f>'SurveyRpt_20150223 (1)'!W515+"h_l!%b("</f>
        <v>#VALUE!</v>
      </c>
      <c r="DD83" t="e">
        <f>'SurveyRpt_20150223 (1)'!X515+"h_l!%b)"</f>
        <v>#VALUE!</v>
      </c>
      <c r="DE83" t="e">
        <f>'SurveyRpt_20150223 (1)'!Y515+"h_l!%b."</f>
        <v>#VALUE!</v>
      </c>
      <c r="DF83" t="e">
        <f>'SurveyRpt_20150223 (1)'!Z515+"h_l!%b/"</f>
        <v>#VALUE!</v>
      </c>
      <c r="DG83" t="e">
        <f>'SurveyRpt_20150223 (1)'!AA515+"h_l!%b0"</f>
        <v>#VALUE!</v>
      </c>
      <c r="DH83" t="e">
        <f>'SurveyRpt_20150223 (1)'!AB515+"h_l!%b1"</f>
        <v>#VALUE!</v>
      </c>
      <c r="DI83" t="e">
        <f>'SurveyRpt_20150223 (1)'!AC515+"h_l!%b2"</f>
        <v>#VALUE!</v>
      </c>
      <c r="DJ83" t="e">
        <f>'SurveyRpt_20150223 (1)'!AD515+"h_l!%b3"</f>
        <v>#VALUE!</v>
      </c>
      <c r="DK83" t="e">
        <f>'SurveyRpt_20150223 (1)'!AE515+"h_l!%b4"</f>
        <v>#VALUE!</v>
      </c>
      <c r="DL83" t="e">
        <f>'SurveyRpt_20150223 (1)'!AF515+"h_l!%b5"</f>
        <v>#VALUE!</v>
      </c>
      <c r="DM83" t="e">
        <f>'SurveyRpt_20150223 (1)'!AG515+"h_l!%b6"</f>
        <v>#VALUE!</v>
      </c>
      <c r="DN83" t="e">
        <f>'SurveyRpt_20150223 (1)'!AH515+"h_l!%b7"</f>
        <v>#VALUE!</v>
      </c>
      <c r="DO83" t="e">
        <f>'SurveyRpt_20150223 (1)'!AI515+"h_l!%b8"</f>
        <v>#VALUE!</v>
      </c>
      <c r="DP83" t="e">
        <f>'SurveyRpt_20150223 (1)'!AJ515+"h_l!%b9"</f>
        <v>#VALUE!</v>
      </c>
      <c r="DQ83" t="e">
        <f>'SurveyRpt_20150223 (1)'!AK515+"h_l!%b:"</f>
        <v>#VALUE!</v>
      </c>
      <c r="DR83" t="e">
        <f>'SurveyRpt_20150223 (1)'!AL515+"h_l!%b;"</f>
        <v>#VALUE!</v>
      </c>
      <c r="DS83" t="e">
        <f>'SurveyRpt_20150223 (1)'!AM515+"h_l!%b&lt;"</f>
        <v>#VALUE!</v>
      </c>
      <c r="DT83" t="e">
        <f>'SurveyRpt_20150223 (1)'!AN515+"h_l!%b="</f>
        <v>#VALUE!</v>
      </c>
      <c r="DU83" t="e">
        <f>'SurveyRpt_20150223 (1)'!A516+"h_l!%b&gt;"</f>
        <v>#VALUE!</v>
      </c>
      <c r="DV83" s="25" t="e">
        <f>'SurveyRpt_20150223 (1)'!B516+"h_l!%b?"</f>
        <v>#VALUE!</v>
      </c>
      <c r="DW83" t="e">
        <f>'SurveyRpt_20150223 (1)'!C516+"h_l!%b@"</f>
        <v>#VALUE!</v>
      </c>
      <c r="DX83" s="25" t="e">
        <f>'SurveyRpt_20150223 (1)'!D516+"h_l!%bA"</f>
        <v>#VALUE!</v>
      </c>
      <c r="DY83" t="e">
        <f>'SurveyRpt_20150223 (1)'!E516+"h_l!%bB"</f>
        <v>#VALUE!</v>
      </c>
      <c r="DZ83" t="e">
        <f>'SurveyRpt_20150223 (1)'!F516+"h_l!%bC"</f>
        <v>#VALUE!</v>
      </c>
      <c r="EA83" t="e">
        <f>'SurveyRpt_20150223 (1)'!G516+"h_l!%bD"</f>
        <v>#VALUE!</v>
      </c>
      <c r="EB83" t="e">
        <f>'SurveyRpt_20150223 (1)'!H516+"h_l!%bE"</f>
        <v>#VALUE!</v>
      </c>
      <c r="EC83" t="e">
        <f>'SurveyRpt_20150223 (1)'!I516+"h_l!%bF"</f>
        <v>#VALUE!</v>
      </c>
      <c r="ED83" t="e">
        <f>'SurveyRpt_20150223 (1)'!J516+"h_l!%bG"</f>
        <v>#VALUE!</v>
      </c>
      <c r="EE83" t="e">
        <f>'SurveyRpt_20150223 (1)'!K516+"h_l!%bH"</f>
        <v>#VALUE!</v>
      </c>
      <c r="EF83" t="e">
        <f>'SurveyRpt_20150223 (1)'!L516+"h_l!%bI"</f>
        <v>#VALUE!</v>
      </c>
      <c r="EG83" t="e">
        <f>'SurveyRpt_20150223 (1)'!M516+"h_l!%bJ"</f>
        <v>#VALUE!</v>
      </c>
      <c r="EH83" t="e">
        <f>'SurveyRpt_20150223 (1)'!N516+"h_l!%bK"</f>
        <v>#VALUE!</v>
      </c>
      <c r="EI83" t="e">
        <f>'SurveyRpt_20150223 (1)'!O516+"h_l!%bL"</f>
        <v>#VALUE!</v>
      </c>
      <c r="EJ83" t="e">
        <f>'SurveyRpt_20150223 (1)'!P516+"h_l!%bM"</f>
        <v>#VALUE!</v>
      </c>
      <c r="EK83" t="e">
        <f>'SurveyRpt_20150223 (1)'!Q516+"h_l!%bN"</f>
        <v>#VALUE!</v>
      </c>
      <c r="EL83" t="e">
        <f>'SurveyRpt_20150223 (1)'!R516+"h_l!%bO"</f>
        <v>#VALUE!</v>
      </c>
      <c r="EM83" t="e">
        <f>'SurveyRpt_20150223 (1)'!S516+"h_l!%bP"</f>
        <v>#VALUE!</v>
      </c>
      <c r="EN83" t="e">
        <f>'SurveyRpt_20150223 (1)'!T516+"h_l!%bQ"</f>
        <v>#VALUE!</v>
      </c>
      <c r="EO83" t="e">
        <f>'SurveyRpt_20150223 (1)'!U516+"h_l!%bR"</f>
        <v>#VALUE!</v>
      </c>
      <c r="EP83" t="e">
        <f>'SurveyRpt_20150223 (1)'!V516+"h_l!%bS"</f>
        <v>#VALUE!</v>
      </c>
      <c r="EQ83" t="e">
        <f>'SurveyRpt_20150223 (1)'!W516+"h_l!%bT"</f>
        <v>#VALUE!</v>
      </c>
      <c r="ER83" t="e">
        <f>'SurveyRpt_20150223 (1)'!X516+"h_l!%bU"</f>
        <v>#VALUE!</v>
      </c>
      <c r="ES83" t="e">
        <f>'SurveyRpt_20150223 (1)'!Y516+"h_l!%bV"</f>
        <v>#VALUE!</v>
      </c>
      <c r="ET83" t="e">
        <f>'SurveyRpt_20150223 (1)'!Z516+"h_l!%bW"</f>
        <v>#VALUE!</v>
      </c>
      <c r="EU83" t="e">
        <f>'SurveyRpt_20150223 (1)'!AA516+"h_l!%bX"</f>
        <v>#VALUE!</v>
      </c>
      <c r="EV83" t="e">
        <f>'SurveyRpt_20150223 (1)'!AB516+"h_l!%bY"</f>
        <v>#VALUE!</v>
      </c>
      <c r="EW83" t="e">
        <f>'SurveyRpt_20150223 (1)'!AC516+"h_l!%bZ"</f>
        <v>#VALUE!</v>
      </c>
      <c r="EX83" t="e">
        <f>'SurveyRpt_20150223 (1)'!AD516+"h_l!%b["</f>
        <v>#VALUE!</v>
      </c>
      <c r="EY83" t="e">
        <f>'SurveyRpt_20150223 (1)'!AE516+"h_l!%b\"</f>
        <v>#VALUE!</v>
      </c>
      <c r="EZ83" t="e">
        <f>'SurveyRpt_20150223 (1)'!AF516+"h_l!%b]"</f>
        <v>#VALUE!</v>
      </c>
      <c r="FA83" t="e">
        <f>'SurveyRpt_20150223 (1)'!AG516+"h_l!%b^"</f>
        <v>#VALUE!</v>
      </c>
      <c r="FB83" t="e">
        <f>'SurveyRpt_20150223 (1)'!AH516+"h_l!%b_"</f>
        <v>#VALUE!</v>
      </c>
      <c r="FC83" t="e">
        <f>'SurveyRpt_20150223 (1)'!AI516+"h_l!%b`"</f>
        <v>#VALUE!</v>
      </c>
      <c r="FD83" t="e">
        <f>'SurveyRpt_20150223 (1)'!AJ516+"h_l!%ba"</f>
        <v>#VALUE!</v>
      </c>
      <c r="FE83" t="e">
        <f>'SurveyRpt_20150223 (1)'!AK516+"h_l!%bb"</f>
        <v>#VALUE!</v>
      </c>
      <c r="FF83" t="e">
        <f>'SurveyRpt_20150223 (1)'!AL516+"h_l!%bc"</f>
        <v>#VALUE!</v>
      </c>
      <c r="FG83" t="e">
        <f>'SurveyRpt_20150223 (1)'!AM516+"h_l!%bd"</f>
        <v>#VALUE!</v>
      </c>
      <c r="FH83" t="e">
        <f>'SurveyRpt_20150223 (1)'!AN516+"h_l!%be"</f>
        <v>#VALUE!</v>
      </c>
      <c r="FI83" t="e">
        <f>'SurveyRpt_20150223 (1)'!A517+"h_l!%bf"</f>
        <v>#VALUE!</v>
      </c>
      <c r="FJ83" s="25" t="e">
        <f>'SurveyRpt_20150223 (1)'!B517+"h_l!%bg"</f>
        <v>#VALUE!</v>
      </c>
      <c r="FK83" t="e">
        <f>'SurveyRpt_20150223 (1)'!C517+"h_l!%bh"</f>
        <v>#VALUE!</v>
      </c>
      <c r="FL83" s="25" t="e">
        <f>'SurveyRpt_20150223 (1)'!D517+"h_l!%bi"</f>
        <v>#VALUE!</v>
      </c>
      <c r="FM83" t="e">
        <f>'SurveyRpt_20150223 (1)'!E517+"h_l!%bj"</f>
        <v>#VALUE!</v>
      </c>
      <c r="FN83" t="e">
        <f>'SurveyRpt_20150223 (1)'!F517+"h_l!%bk"</f>
        <v>#VALUE!</v>
      </c>
      <c r="FO83" t="e">
        <f>'SurveyRpt_20150223 (1)'!G517+"h_l!%bl"</f>
        <v>#VALUE!</v>
      </c>
      <c r="FP83" t="e">
        <f>'SurveyRpt_20150223 (1)'!H517+"h_l!%bm"</f>
        <v>#VALUE!</v>
      </c>
      <c r="FQ83" t="e">
        <f>'SurveyRpt_20150223 (1)'!I517+"h_l!%bn"</f>
        <v>#VALUE!</v>
      </c>
      <c r="FR83" t="e">
        <f>'SurveyRpt_20150223 (1)'!J517+"h_l!%bo"</f>
        <v>#VALUE!</v>
      </c>
      <c r="FS83" t="e">
        <f>'SurveyRpt_20150223 (1)'!K517+"h_l!%bp"</f>
        <v>#VALUE!</v>
      </c>
      <c r="FT83" t="e">
        <f>'SurveyRpt_20150223 (1)'!L517+"h_l!%bq"</f>
        <v>#VALUE!</v>
      </c>
      <c r="FU83" t="e">
        <f>'SurveyRpt_20150223 (1)'!M517+"h_l!%br"</f>
        <v>#VALUE!</v>
      </c>
      <c r="FV83" t="e">
        <f>'SurveyRpt_20150223 (1)'!N517+"h_l!%bs"</f>
        <v>#VALUE!</v>
      </c>
      <c r="FW83" t="e">
        <f>'SurveyRpt_20150223 (1)'!O517+"h_l!%bt"</f>
        <v>#VALUE!</v>
      </c>
      <c r="FX83" t="e">
        <f>'SurveyRpt_20150223 (1)'!P517+"h_l!%bu"</f>
        <v>#VALUE!</v>
      </c>
      <c r="FY83" t="e">
        <f>'SurveyRpt_20150223 (1)'!Q517+"h_l!%bv"</f>
        <v>#VALUE!</v>
      </c>
      <c r="FZ83" t="e">
        <f>'SurveyRpt_20150223 (1)'!R517+"h_l!%bw"</f>
        <v>#VALUE!</v>
      </c>
      <c r="GA83" t="e">
        <f>'SurveyRpt_20150223 (1)'!S517+"h_l!%bx"</f>
        <v>#VALUE!</v>
      </c>
      <c r="GB83" t="e">
        <f>'SurveyRpt_20150223 (1)'!T517+"h_l!%by"</f>
        <v>#VALUE!</v>
      </c>
      <c r="GC83" t="e">
        <f>'SurveyRpt_20150223 (1)'!U517+"h_l!%bz"</f>
        <v>#VALUE!</v>
      </c>
      <c r="GD83" t="e">
        <f>'SurveyRpt_20150223 (1)'!V517+"h_l!%b{"</f>
        <v>#VALUE!</v>
      </c>
      <c r="GE83" t="e">
        <f>'SurveyRpt_20150223 (1)'!W517+"h_l!%b|"</f>
        <v>#VALUE!</v>
      </c>
      <c r="GF83" t="e">
        <f>'SurveyRpt_20150223 (1)'!X517+"h_l!%b}"</f>
        <v>#VALUE!</v>
      </c>
      <c r="GG83" t="e">
        <f>'SurveyRpt_20150223 (1)'!Y517+"h_l!%b~"</f>
        <v>#VALUE!</v>
      </c>
      <c r="GH83" t="e">
        <f>'SurveyRpt_20150223 (1)'!Z517+"h_l!%c#"</f>
        <v>#VALUE!</v>
      </c>
      <c r="GI83" t="e">
        <f>'SurveyRpt_20150223 (1)'!AA517+"h_l!%c$"</f>
        <v>#VALUE!</v>
      </c>
      <c r="GJ83" t="e">
        <f>'SurveyRpt_20150223 (1)'!AB517+"h_l!%c%"</f>
        <v>#VALUE!</v>
      </c>
      <c r="GK83" t="e">
        <f>'SurveyRpt_20150223 (1)'!AC517+"h_l!%c&amp;"</f>
        <v>#VALUE!</v>
      </c>
      <c r="GL83" t="e">
        <f>'SurveyRpt_20150223 (1)'!AD517+"h_l!%c'"</f>
        <v>#VALUE!</v>
      </c>
      <c r="GM83" t="e">
        <f>'SurveyRpt_20150223 (1)'!AE517+"h_l!%c("</f>
        <v>#VALUE!</v>
      </c>
      <c r="GN83" t="e">
        <f>'SurveyRpt_20150223 (1)'!AF517+"h_l!%c)"</f>
        <v>#VALUE!</v>
      </c>
      <c r="GO83" t="e">
        <f>'SurveyRpt_20150223 (1)'!AG517+"h_l!%c."</f>
        <v>#VALUE!</v>
      </c>
      <c r="GP83" t="e">
        <f>'SurveyRpt_20150223 (1)'!AH517+"h_l!%c/"</f>
        <v>#VALUE!</v>
      </c>
      <c r="GQ83" t="e">
        <f>'SurveyRpt_20150223 (1)'!AI517+"h_l!%c0"</f>
        <v>#VALUE!</v>
      </c>
      <c r="GR83" t="e">
        <f>'SurveyRpt_20150223 (1)'!AJ517+"h_l!%c1"</f>
        <v>#VALUE!</v>
      </c>
      <c r="GS83" t="e">
        <f>'SurveyRpt_20150223 (1)'!AK517+"h_l!%c2"</f>
        <v>#VALUE!</v>
      </c>
      <c r="GT83" t="e">
        <f>'SurveyRpt_20150223 (1)'!AL517+"h_l!%c3"</f>
        <v>#VALUE!</v>
      </c>
      <c r="GU83" t="e">
        <f>'SurveyRpt_20150223 (1)'!AM517+"h_l!%c4"</f>
        <v>#VALUE!</v>
      </c>
      <c r="GV83" t="e">
        <f>'SurveyRpt_20150223 (1)'!AN517+"h_l!%c5"</f>
        <v>#VALUE!</v>
      </c>
      <c r="GW83" t="e">
        <f>'SurveyRpt_20150223 (1)'!A518+"h_l!%c6"</f>
        <v>#VALUE!</v>
      </c>
      <c r="GX83" s="25" t="e">
        <f>'SurveyRpt_20150223 (1)'!B518+"h_l!%c7"</f>
        <v>#VALUE!</v>
      </c>
      <c r="GY83" t="e">
        <f>'SurveyRpt_20150223 (1)'!C518+"h_l!%c8"</f>
        <v>#VALUE!</v>
      </c>
      <c r="GZ83" s="25" t="e">
        <f>'SurveyRpt_20150223 (1)'!D518+"h_l!%c9"</f>
        <v>#VALUE!</v>
      </c>
      <c r="HA83" t="e">
        <f>'SurveyRpt_20150223 (1)'!E518+"h_l!%c:"</f>
        <v>#VALUE!</v>
      </c>
      <c r="HB83" t="e">
        <f>'SurveyRpt_20150223 (1)'!F518+"h_l!%c;"</f>
        <v>#VALUE!</v>
      </c>
      <c r="HC83" t="e">
        <f>'SurveyRpt_20150223 (1)'!G518+"h_l!%c&lt;"</f>
        <v>#VALUE!</v>
      </c>
      <c r="HD83" t="e">
        <f>'SurveyRpt_20150223 (1)'!H518+"h_l!%c="</f>
        <v>#VALUE!</v>
      </c>
      <c r="HE83" t="e">
        <f>'SurveyRpt_20150223 (1)'!I518+"h_l!%c&gt;"</f>
        <v>#VALUE!</v>
      </c>
      <c r="HF83" t="e">
        <f>'SurveyRpt_20150223 (1)'!J518+"h_l!%c?"</f>
        <v>#VALUE!</v>
      </c>
      <c r="HG83" t="e">
        <f>'SurveyRpt_20150223 (1)'!K518+"h_l!%c@"</f>
        <v>#VALUE!</v>
      </c>
      <c r="HH83" t="e">
        <f>'SurveyRpt_20150223 (1)'!L518+"h_l!%cA"</f>
        <v>#VALUE!</v>
      </c>
      <c r="HI83" t="e">
        <f>'SurveyRpt_20150223 (1)'!M518+"h_l!%cB"</f>
        <v>#VALUE!</v>
      </c>
      <c r="HJ83" t="e">
        <f>'SurveyRpt_20150223 (1)'!N518+"h_l!%cC"</f>
        <v>#VALUE!</v>
      </c>
      <c r="HK83" t="e">
        <f>'SurveyRpt_20150223 (1)'!O518+"h_l!%cD"</f>
        <v>#VALUE!</v>
      </c>
      <c r="HL83" t="e">
        <f>'SurveyRpt_20150223 (1)'!P518+"h_l!%cE"</f>
        <v>#VALUE!</v>
      </c>
      <c r="HM83" t="e">
        <f>'SurveyRpt_20150223 (1)'!Q518+"h_l!%cF"</f>
        <v>#VALUE!</v>
      </c>
      <c r="HN83" t="e">
        <f>'SurveyRpt_20150223 (1)'!R518+"h_l!%cG"</f>
        <v>#VALUE!</v>
      </c>
      <c r="HO83" t="e">
        <f>'SurveyRpt_20150223 (1)'!S518+"h_l!%cH"</f>
        <v>#VALUE!</v>
      </c>
      <c r="HP83" t="e">
        <f>'SurveyRpt_20150223 (1)'!T518+"h_l!%cI"</f>
        <v>#VALUE!</v>
      </c>
      <c r="HQ83" t="e">
        <f>'SurveyRpt_20150223 (1)'!U518+"h_l!%cJ"</f>
        <v>#VALUE!</v>
      </c>
      <c r="HR83" t="e">
        <f>'SurveyRpt_20150223 (1)'!V518+"h_l!%cK"</f>
        <v>#VALUE!</v>
      </c>
      <c r="HS83" t="e">
        <f>'SurveyRpt_20150223 (1)'!W518+"h_l!%cL"</f>
        <v>#VALUE!</v>
      </c>
      <c r="HT83" t="e">
        <f>'SurveyRpt_20150223 (1)'!X518+"h_l!%cM"</f>
        <v>#VALUE!</v>
      </c>
      <c r="HU83" t="e">
        <f>'SurveyRpt_20150223 (1)'!Y518+"h_l!%cN"</f>
        <v>#VALUE!</v>
      </c>
      <c r="HV83" t="e">
        <f>'SurveyRpt_20150223 (1)'!Z518+"h_l!%cO"</f>
        <v>#VALUE!</v>
      </c>
      <c r="HW83" t="e">
        <f>'SurveyRpt_20150223 (1)'!AA518+"h_l!%cP"</f>
        <v>#VALUE!</v>
      </c>
      <c r="HX83" t="e">
        <f>'SurveyRpt_20150223 (1)'!AB518+"h_l!%cQ"</f>
        <v>#VALUE!</v>
      </c>
      <c r="HY83" t="e">
        <f>'SurveyRpt_20150223 (1)'!AC518+"h_l!%cR"</f>
        <v>#VALUE!</v>
      </c>
      <c r="HZ83" t="e">
        <f>'SurveyRpt_20150223 (1)'!AD518+"h_l!%cS"</f>
        <v>#VALUE!</v>
      </c>
      <c r="IA83" t="e">
        <f>'SurveyRpt_20150223 (1)'!AE518+"h_l!%cT"</f>
        <v>#VALUE!</v>
      </c>
      <c r="IB83" t="e">
        <f>'SurveyRpt_20150223 (1)'!AF518+"h_l!%cU"</f>
        <v>#VALUE!</v>
      </c>
      <c r="IC83" t="e">
        <f>'SurveyRpt_20150223 (1)'!AG518+"h_l!%cV"</f>
        <v>#VALUE!</v>
      </c>
      <c r="ID83" t="e">
        <f>'SurveyRpt_20150223 (1)'!AH518+"h_l!%cW"</f>
        <v>#VALUE!</v>
      </c>
      <c r="IE83" t="e">
        <f>'SurveyRpt_20150223 (1)'!AI518+"h_l!%cX"</f>
        <v>#VALUE!</v>
      </c>
      <c r="IF83" t="e">
        <f>'SurveyRpt_20150223 (1)'!AJ518+"h_l!%cY"</f>
        <v>#VALUE!</v>
      </c>
      <c r="IG83" t="e">
        <f>'SurveyRpt_20150223 (1)'!AK518+"h_l!%cZ"</f>
        <v>#VALUE!</v>
      </c>
      <c r="IH83" t="e">
        <f>'SurveyRpt_20150223 (1)'!AL518+"h_l!%c["</f>
        <v>#VALUE!</v>
      </c>
      <c r="II83" t="e">
        <f>'SurveyRpt_20150223 (1)'!AM518+"h_l!%c\"</f>
        <v>#VALUE!</v>
      </c>
      <c r="IJ83" t="e">
        <f>'SurveyRpt_20150223 (1)'!AN518+"h_l!%c]"</f>
        <v>#VALUE!</v>
      </c>
      <c r="IK83" t="e">
        <f>'SurveyRpt_20150223 (1)'!A519+"h_l!%c^"</f>
        <v>#VALUE!</v>
      </c>
      <c r="IL83" s="25" t="e">
        <f>'SurveyRpt_20150223 (1)'!B519+"h_l!%c_"</f>
        <v>#VALUE!</v>
      </c>
      <c r="IM83" t="e">
        <f>'SurveyRpt_20150223 (1)'!C519+"h_l!%c`"</f>
        <v>#VALUE!</v>
      </c>
      <c r="IN83" s="25" t="e">
        <f>'SurveyRpt_20150223 (1)'!D519+"h_l!%ca"</f>
        <v>#VALUE!</v>
      </c>
      <c r="IO83" t="e">
        <f>'SurveyRpt_20150223 (1)'!E519+"h_l!%cb"</f>
        <v>#VALUE!</v>
      </c>
      <c r="IP83" t="e">
        <f>'SurveyRpt_20150223 (1)'!F519+"h_l!%cc"</f>
        <v>#VALUE!</v>
      </c>
      <c r="IQ83" t="e">
        <f>'SurveyRpt_20150223 (1)'!G519+"h_l!%cd"</f>
        <v>#VALUE!</v>
      </c>
      <c r="IR83" t="e">
        <f>'SurveyRpt_20150223 (1)'!H519+"h_l!%ce"</f>
        <v>#VALUE!</v>
      </c>
      <c r="IS83" t="e">
        <f>'SurveyRpt_20150223 (1)'!I519+"h_l!%cf"</f>
        <v>#VALUE!</v>
      </c>
      <c r="IT83" t="e">
        <f>'SurveyRpt_20150223 (1)'!J519+"h_l!%cg"</f>
        <v>#VALUE!</v>
      </c>
      <c r="IU83" t="e">
        <f>'SurveyRpt_20150223 (1)'!K519+"h_l!%ch"</f>
        <v>#VALUE!</v>
      </c>
      <c r="IV83" t="e">
        <f>'SurveyRpt_20150223 (1)'!L519+"h_l!%ci"</f>
        <v>#VALUE!</v>
      </c>
    </row>
    <row r="84" spans="6:256" x14ac:dyDescent="0.25">
      <c r="F84" t="e">
        <f>'SurveyRpt_20150223 (1)'!M519+"h_l!%cj"</f>
        <v>#VALUE!</v>
      </c>
      <c r="G84" t="e">
        <f>'SurveyRpt_20150223 (1)'!N519+"h_l!%ck"</f>
        <v>#VALUE!</v>
      </c>
      <c r="H84" t="e">
        <f>'SurveyRpt_20150223 (1)'!O519+"h_l!%cl"</f>
        <v>#VALUE!</v>
      </c>
      <c r="I84" t="e">
        <f>'SurveyRpt_20150223 (1)'!P519+"h_l!%cm"</f>
        <v>#VALUE!</v>
      </c>
      <c r="J84" t="e">
        <f>'SurveyRpt_20150223 (1)'!Q519+"h_l!%cn"</f>
        <v>#VALUE!</v>
      </c>
      <c r="K84" t="e">
        <f>'SurveyRpt_20150223 (1)'!R519+"h_l!%co"</f>
        <v>#VALUE!</v>
      </c>
      <c r="L84" t="e">
        <f>'SurveyRpt_20150223 (1)'!S519+"h_l!%cp"</f>
        <v>#VALUE!</v>
      </c>
      <c r="M84" t="e">
        <f>'SurveyRpt_20150223 (1)'!T519+"h_l!%cq"</f>
        <v>#VALUE!</v>
      </c>
      <c r="N84" t="e">
        <f>'SurveyRpt_20150223 (1)'!U519+"h_l!%cr"</f>
        <v>#VALUE!</v>
      </c>
      <c r="O84" t="e">
        <f>'SurveyRpt_20150223 (1)'!V519+"h_l!%cs"</f>
        <v>#VALUE!</v>
      </c>
      <c r="P84" t="e">
        <f>'SurveyRpt_20150223 (1)'!W519+"h_l!%ct"</f>
        <v>#VALUE!</v>
      </c>
      <c r="Q84" t="e">
        <f>'SurveyRpt_20150223 (1)'!X519+"h_l!%cu"</f>
        <v>#VALUE!</v>
      </c>
      <c r="R84" t="e">
        <f>'SurveyRpt_20150223 (1)'!Y519+"h_l!%cv"</f>
        <v>#VALUE!</v>
      </c>
      <c r="S84" t="e">
        <f>'SurveyRpt_20150223 (1)'!Z519+"h_l!%cw"</f>
        <v>#VALUE!</v>
      </c>
      <c r="T84" t="e">
        <f>'SurveyRpt_20150223 (1)'!AA519+"h_l!%cx"</f>
        <v>#VALUE!</v>
      </c>
      <c r="U84" t="e">
        <f>'SurveyRpt_20150223 (1)'!AB519+"h_l!%cy"</f>
        <v>#VALUE!</v>
      </c>
      <c r="V84" t="e">
        <f>'SurveyRpt_20150223 (1)'!AC519+"h_l!%cz"</f>
        <v>#VALUE!</v>
      </c>
      <c r="W84" t="e">
        <f>'SurveyRpt_20150223 (1)'!AD519+"h_l!%c{"</f>
        <v>#VALUE!</v>
      </c>
      <c r="X84" t="e">
        <f>'SurveyRpt_20150223 (1)'!AE519+"h_l!%c|"</f>
        <v>#VALUE!</v>
      </c>
      <c r="Y84" t="e">
        <f>'SurveyRpt_20150223 (1)'!AF519+"h_l!%c}"</f>
        <v>#VALUE!</v>
      </c>
      <c r="Z84" t="e">
        <f>'SurveyRpt_20150223 (1)'!AG519+"h_l!%c~"</f>
        <v>#VALUE!</v>
      </c>
      <c r="AA84" t="e">
        <f>'SurveyRpt_20150223 (1)'!AH519+"h_l!%d#"</f>
        <v>#VALUE!</v>
      </c>
      <c r="AB84" t="e">
        <f>'SurveyRpt_20150223 (1)'!AI519+"h_l!%d$"</f>
        <v>#VALUE!</v>
      </c>
      <c r="AC84" t="e">
        <f>'SurveyRpt_20150223 (1)'!AJ519+"h_l!%d%"</f>
        <v>#VALUE!</v>
      </c>
      <c r="AD84" t="e">
        <f>'SurveyRpt_20150223 (1)'!AK519+"h_l!%d&amp;"</f>
        <v>#VALUE!</v>
      </c>
      <c r="AE84" t="e">
        <f>'SurveyRpt_20150223 (1)'!AL519+"h_l!%d'"</f>
        <v>#VALUE!</v>
      </c>
      <c r="AF84" t="e">
        <f>'SurveyRpt_20150223 (1)'!AM519+"h_l!%d("</f>
        <v>#VALUE!</v>
      </c>
      <c r="AG84" t="e">
        <f>'SurveyRpt_20150223 (1)'!AN519+"h_l!%d)"</f>
        <v>#VALUE!</v>
      </c>
      <c r="AH84" t="e">
        <f>'SurveyRpt_20150223 (1)'!A520+"h_l!%d."</f>
        <v>#VALUE!</v>
      </c>
      <c r="AI84" s="25" t="e">
        <f>'SurveyRpt_20150223 (1)'!B520+"h_l!%d/"</f>
        <v>#VALUE!</v>
      </c>
      <c r="AJ84" t="e">
        <f>'SurveyRpt_20150223 (1)'!C520+"h_l!%d0"</f>
        <v>#VALUE!</v>
      </c>
      <c r="AK84" s="25" t="e">
        <f>'SurveyRpt_20150223 (1)'!D520+"h_l!%d1"</f>
        <v>#VALUE!</v>
      </c>
      <c r="AL84" t="e">
        <f>'SurveyRpt_20150223 (1)'!E520+"h_l!%d2"</f>
        <v>#VALUE!</v>
      </c>
      <c r="AM84" t="e">
        <f>'SurveyRpt_20150223 (1)'!F520+"h_l!%d3"</f>
        <v>#VALUE!</v>
      </c>
      <c r="AN84" t="e">
        <f>'SurveyRpt_20150223 (1)'!G520+"h_l!%d4"</f>
        <v>#VALUE!</v>
      </c>
      <c r="AO84" t="e">
        <f>'SurveyRpt_20150223 (1)'!H520+"h_l!%d5"</f>
        <v>#VALUE!</v>
      </c>
      <c r="AP84" t="e">
        <f>'SurveyRpt_20150223 (1)'!I520+"h_l!%d6"</f>
        <v>#VALUE!</v>
      </c>
      <c r="AQ84" t="e">
        <f>'SurveyRpt_20150223 (1)'!J520+"h_l!%d7"</f>
        <v>#VALUE!</v>
      </c>
      <c r="AR84" t="e">
        <f>'SurveyRpt_20150223 (1)'!K520+"h_l!%d8"</f>
        <v>#VALUE!</v>
      </c>
      <c r="AS84" t="e">
        <f>'SurveyRpt_20150223 (1)'!L520+"h_l!%d9"</f>
        <v>#VALUE!</v>
      </c>
      <c r="AT84" t="e">
        <f>'SurveyRpt_20150223 (1)'!M520+"h_l!%d:"</f>
        <v>#VALUE!</v>
      </c>
      <c r="AU84" t="e">
        <f>'SurveyRpt_20150223 (1)'!N520+"h_l!%d;"</f>
        <v>#VALUE!</v>
      </c>
      <c r="AV84" t="e">
        <f>'SurveyRpt_20150223 (1)'!O520+"h_l!%d&lt;"</f>
        <v>#VALUE!</v>
      </c>
      <c r="AW84" t="e">
        <f>'SurveyRpt_20150223 (1)'!P520+"h_l!%d="</f>
        <v>#VALUE!</v>
      </c>
      <c r="AX84" t="e">
        <f>'SurveyRpt_20150223 (1)'!Q520+"h_l!%d&gt;"</f>
        <v>#VALUE!</v>
      </c>
      <c r="AY84" t="e">
        <f>'SurveyRpt_20150223 (1)'!R520+"h_l!%d?"</f>
        <v>#VALUE!</v>
      </c>
      <c r="AZ84" t="e">
        <f>'SurveyRpt_20150223 (1)'!S520+"h_l!%d@"</f>
        <v>#VALUE!</v>
      </c>
      <c r="BA84" t="e">
        <f>'SurveyRpt_20150223 (1)'!T520+"h_l!%dA"</f>
        <v>#VALUE!</v>
      </c>
      <c r="BB84" t="e">
        <f>'SurveyRpt_20150223 (1)'!U520+"h_l!%dB"</f>
        <v>#VALUE!</v>
      </c>
      <c r="BC84" t="e">
        <f>'SurveyRpt_20150223 (1)'!V520+"h_l!%dC"</f>
        <v>#VALUE!</v>
      </c>
      <c r="BD84" t="e">
        <f>'SurveyRpt_20150223 (1)'!W520+"h_l!%dD"</f>
        <v>#VALUE!</v>
      </c>
      <c r="BE84" t="e">
        <f>'SurveyRpt_20150223 (1)'!X520+"h_l!%dE"</f>
        <v>#VALUE!</v>
      </c>
      <c r="BF84" t="e">
        <f>'SurveyRpt_20150223 (1)'!Y520+"h_l!%dF"</f>
        <v>#VALUE!</v>
      </c>
      <c r="BG84" t="e">
        <f>'SurveyRpt_20150223 (1)'!Z520+"h_l!%dG"</f>
        <v>#VALUE!</v>
      </c>
      <c r="BH84" t="e">
        <f>'SurveyRpt_20150223 (1)'!AA520+"h_l!%dH"</f>
        <v>#VALUE!</v>
      </c>
      <c r="BI84" t="e">
        <f>'SurveyRpt_20150223 (1)'!AB520+"h_l!%dI"</f>
        <v>#VALUE!</v>
      </c>
      <c r="BJ84" t="e">
        <f>'SurveyRpt_20150223 (1)'!AC520+"h_l!%dJ"</f>
        <v>#VALUE!</v>
      </c>
      <c r="BK84" t="e">
        <f>'SurveyRpt_20150223 (1)'!AD520+"h_l!%dK"</f>
        <v>#VALUE!</v>
      </c>
      <c r="BL84" t="e">
        <f>'SurveyRpt_20150223 (1)'!AE520+"h_l!%dL"</f>
        <v>#VALUE!</v>
      </c>
      <c r="BM84" t="e">
        <f>'SurveyRpt_20150223 (1)'!AF520+"h_l!%dM"</f>
        <v>#VALUE!</v>
      </c>
      <c r="BN84" t="e">
        <f>'SurveyRpt_20150223 (1)'!AG520+"h_l!%dN"</f>
        <v>#VALUE!</v>
      </c>
      <c r="BO84" t="e">
        <f>'SurveyRpt_20150223 (1)'!AH520+"h_l!%dO"</f>
        <v>#VALUE!</v>
      </c>
      <c r="BP84" t="e">
        <f>'SurveyRpt_20150223 (1)'!AI520+"h_l!%dP"</f>
        <v>#VALUE!</v>
      </c>
      <c r="BQ84" t="e">
        <f>'SurveyRpt_20150223 (1)'!AJ520+"h_l!%dQ"</f>
        <v>#VALUE!</v>
      </c>
      <c r="BR84" t="e">
        <f>'SurveyRpt_20150223 (1)'!AK520+"h_l!%dR"</f>
        <v>#VALUE!</v>
      </c>
      <c r="BS84" t="e">
        <f>'SurveyRpt_20150223 (1)'!AL520+"h_l!%dS"</f>
        <v>#VALUE!</v>
      </c>
      <c r="BT84" t="e">
        <f>'SurveyRpt_20150223 (1)'!AM520+"h_l!%dT"</f>
        <v>#VALUE!</v>
      </c>
      <c r="BU84" t="e">
        <f>'SurveyRpt_20150223 (1)'!AN520+"h_l!%dU"</f>
        <v>#VALUE!</v>
      </c>
      <c r="BV84" t="e">
        <f>'SurveyRpt_20150223 (1)'!A521+"h_l!%dV"</f>
        <v>#VALUE!</v>
      </c>
      <c r="BW84" s="25" t="e">
        <f>'SurveyRpt_20150223 (1)'!B521+"h_l!%dW"</f>
        <v>#VALUE!</v>
      </c>
      <c r="BX84" t="e">
        <f>'SurveyRpt_20150223 (1)'!C521+"h_l!%dX"</f>
        <v>#VALUE!</v>
      </c>
      <c r="BY84" s="25" t="e">
        <f>'SurveyRpt_20150223 (1)'!D521+"h_l!%dY"</f>
        <v>#VALUE!</v>
      </c>
      <c r="BZ84" t="e">
        <f>'SurveyRpt_20150223 (1)'!E521+"h_l!%dZ"</f>
        <v>#VALUE!</v>
      </c>
      <c r="CA84" t="e">
        <f>'SurveyRpt_20150223 (1)'!F521+"h_l!%d["</f>
        <v>#VALUE!</v>
      </c>
      <c r="CB84" t="e">
        <f>'SurveyRpt_20150223 (1)'!G521+"h_l!%d\"</f>
        <v>#VALUE!</v>
      </c>
      <c r="CC84" t="e">
        <f>'SurveyRpt_20150223 (1)'!H521+"h_l!%d]"</f>
        <v>#VALUE!</v>
      </c>
      <c r="CD84" t="e">
        <f>'SurveyRpt_20150223 (1)'!I521+"h_l!%d^"</f>
        <v>#VALUE!</v>
      </c>
      <c r="CE84" t="e">
        <f>'SurveyRpt_20150223 (1)'!J521+"h_l!%d_"</f>
        <v>#VALUE!</v>
      </c>
      <c r="CF84" t="e">
        <f>'SurveyRpt_20150223 (1)'!K521+"h_l!%d`"</f>
        <v>#VALUE!</v>
      </c>
      <c r="CG84" t="e">
        <f>'SurveyRpt_20150223 (1)'!L521+"h_l!%da"</f>
        <v>#VALUE!</v>
      </c>
      <c r="CH84" t="e">
        <f>'SurveyRpt_20150223 (1)'!M521+"h_l!%db"</f>
        <v>#VALUE!</v>
      </c>
      <c r="CI84" t="e">
        <f>'SurveyRpt_20150223 (1)'!N521+"h_l!%dc"</f>
        <v>#VALUE!</v>
      </c>
      <c r="CJ84" t="e">
        <f>'SurveyRpt_20150223 (1)'!O521+"h_l!%dd"</f>
        <v>#VALUE!</v>
      </c>
      <c r="CK84" t="e">
        <f>'SurveyRpt_20150223 (1)'!P521+"h_l!%de"</f>
        <v>#VALUE!</v>
      </c>
      <c r="CL84" t="e">
        <f>'SurveyRpt_20150223 (1)'!Q521+"h_l!%df"</f>
        <v>#VALUE!</v>
      </c>
      <c r="CM84" t="e">
        <f>'SurveyRpt_20150223 (1)'!R521+"h_l!%dg"</f>
        <v>#VALUE!</v>
      </c>
      <c r="CN84" t="e">
        <f>'SurveyRpt_20150223 (1)'!S521+"h_l!%dh"</f>
        <v>#VALUE!</v>
      </c>
      <c r="CO84" t="e">
        <f>'SurveyRpt_20150223 (1)'!T521+"h_l!%di"</f>
        <v>#VALUE!</v>
      </c>
      <c r="CP84" t="e">
        <f>'SurveyRpt_20150223 (1)'!U521+"h_l!%dj"</f>
        <v>#VALUE!</v>
      </c>
      <c r="CQ84" t="e">
        <f>'SurveyRpt_20150223 (1)'!V521+"h_l!%dk"</f>
        <v>#VALUE!</v>
      </c>
      <c r="CR84" t="e">
        <f>'SurveyRpt_20150223 (1)'!W521+"h_l!%dl"</f>
        <v>#VALUE!</v>
      </c>
      <c r="CS84" t="e">
        <f>'SurveyRpt_20150223 (1)'!X521+"h_l!%dm"</f>
        <v>#VALUE!</v>
      </c>
      <c r="CT84" t="e">
        <f>'SurveyRpt_20150223 (1)'!Y521+"h_l!%dn"</f>
        <v>#VALUE!</v>
      </c>
      <c r="CU84" t="e">
        <f>'SurveyRpt_20150223 (1)'!Z521+"h_l!%do"</f>
        <v>#VALUE!</v>
      </c>
      <c r="CV84" t="e">
        <f>'SurveyRpt_20150223 (1)'!AA521+"h_l!%dp"</f>
        <v>#VALUE!</v>
      </c>
      <c r="CW84" t="e">
        <f>'SurveyRpt_20150223 (1)'!AB521+"h_l!%dq"</f>
        <v>#VALUE!</v>
      </c>
      <c r="CX84" t="e">
        <f>'SurveyRpt_20150223 (1)'!AC521+"h_l!%dr"</f>
        <v>#VALUE!</v>
      </c>
      <c r="CY84" t="e">
        <f>'SurveyRpt_20150223 (1)'!AD521+"h_l!%ds"</f>
        <v>#VALUE!</v>
      </c>
      <c r="CZ84" t="e">
        <f>'SurveyRpt_20150223 (1)'!AE521+"h_l!%dt"</f>
        <v>#VALUE!</v>
      </c>
      <c r="DA84" t="e">
        <f>'SurveyRpt_20150223 (1)'!AF521+"h_l!%du"</f>
        <v>#VALUE!</v>
      </c>
      <c r="DB84" t="e">
        <f>'SurveyRpt_20150223 (1)'!AG521+"h_l!%dv"</f>
        <v>#VALUE!</v>
      </c>
      <c r="DC84" t="e">
        <f>'SurveyRpt_20150223 (1)'!AH521+"h_l!%dw"</f>
        <v>#VALUE!</v>
      </c>
      <c r="DD84" t="e">
        <f>'SurveyRpt_20150223 (1)'!AI521+"h_l!%dx"</f>
        <v>#VALUE!</v>
      </c>
      <c r="DE84" t="e">
        <f>'SurveyRpt_20150223 (1)'!AJ521+"h_l!%dy"</f>
        <v>#VALUE!</v>
      </c>
      <c r="DF84" t="e">
        <f>'SurveyRpt_20150223 (1)'!AK521+"h_l!%dz"</f>
        <v>#VALUE!</v>
      </c>
      <c r="DG84" t="e">
        <f>'SurveyRpt_20150223 (1)'!AL521+"h_l!%d{"</f>
        <v>#VALUE!</v>
      </c>
      <c r="DH84" t="e">
        <f>'SurveyRpt_20150223 (1)'!AM521+"h_l!%d|"</f>
        <v>#VALUE!</v>
      </c>
      <c r="DI84" t="e">
        <f>'SurveyRpt_20150223 (1)'!AN521+"h_l!%d}"</f>
        <v>#VALUE!</v>
      </c>
      <c r="DJ84" t="e">
        <f>'SurveyRpt_20150223 (1)'!A522+"h_l!%d~"</f>
        <v>#VALUE!</v>
      </c>
      <c r="DK84" s="25" t="e">
        <f>'SurveyRpt_20150223 (1)'!B522+"h_l!%e#"</f>
        <v>#VALUE!</v>
      </c>
      <c r="DL84" t="e">
        <f>'SurveyRpt_20150223 (1)'!C522+"h_l!%e$"</f>
        <v>#VALUE!</v>
      </c>
      <c r="DM84" s="25" t="e">
        <f>'SurveyRpt_20150223 (1)'!D522+"h_l!%e%"</f>
        <v>#VALUE!</v>
      </c>
      <c r="DN84" t="e">
        <f>'SurveyRpt_20150223 (1)'!E522+"h_l!%e&amp;"</f>
        <v>#VALUE!</v>
      </c>
      <c r="DO84" t="e">
        <f>'SurveyRpt_20150223 (1)'!F522+"h_l!%e'"</f>
        <v>#VALUE!</v>
      </c>
      <c r="DP84" t="e">
        <f>'SurveyRpt_20150223 (1)'!G522+"h_l!%e("</f>
        <v>#VALUE!</v>
      </c>
      <c r="DQ84" t="e">
        <f>'SurveyRpt_20150223 (1)'!H522+"h_l!%e)"</f>
        <v>#VALUE!</v>
      </c>
      <c r="DR84" t="e">
        <f>'SurveyRpt_20150223 (1)'!I522+"h_l!%e."</f>
        <v>#VALUE!</v>
      </c>
      <c r="DS84" t="e">
        <f>'SurveyRpt_20150223 (1)'!J522+"h_l!%e/"</f>
        <v>#VALUE!</v>
      </c>
      <c r="DT84" t="e">
        <f>'SurveyRpt_20150223 (1)'!K522+"h_l!%e0"</f>
        <v>#VALUE!</v>
      </c>
      <c r="DU84" t="e">
        <f>'SurveyRpt_20150223 (1)'!L522+"h_l!%e1"</f>
        <v>#VALUE!</v>
      </c>
      <c r="DV84" t="e">
        <f>'SurveyRpt_20150223 (1)'!M522+"h_l!%e2"</f>
        <v>#VALUE!</v>
      </c>
      <c r="DW84" t="e">
        <f>'SurveyRpt_20150223 (1)'!N522+"h_l!%e3"</f>
        <v>#VALUE!</v>
      </c>
      <c r="DX84" t="e">
        <f>'SurveyRpt_20150223 (1)'!O522+"h_l!%e4"</f>
        <v>#VALUE!</v>
      </c>
      <c r="DY84" t="e">
        <f>'SurveyRpt_20150223 (1)'!P522+"h_l!%e5"</f>
        <v>#VALUE!</v>
      </c>
      <c r="DZ84" t="e">
        <f>'SurveyRpt_20150223 (1)'!Q522+"h_l!%e6"</f>
        <v>#VALUE!</v>
      </c>
      <c r="EA84" t="e">
        <f>'SurveyRpt_20150223 (1)'!R522+"h_l!%e7"</f>
        <v>#VALUE!</v>
      </c>
      <c r="EB84" t="e">
        <f>'SurveyRpt_20150223 (1)'!S522+"h_l!%e8"</f>
        <v>#VALUE!</v>
      </c>
      <c r="EC84" t="e">
        <f>'SurveyRpt_20150223 (1)'!T522+"h_l!%e9"</f>
        <v>#VALUE!</v>
      </c>
      <c r="ED84" t="e">
        <f>'SurveyRpt_20150223 (1)'!U522+"h_l!%e:"</f>
        <v>#VALUE!</v>
      </c>
      <c r="EE84" t="e">
        <f>'SurveyRpt_20150223 (1)'!V522+"h_l!%e;"</f>
        <v>#VALUE!</v>
      </c>
      <c r="EF84" t="e">
        <f>'SurveyRpt_20150223 (1)'!W522+"h_l!%e&lt;"</f>
        <v>#VALUE!</v>
      </c>
      <c r="EG84" t="e">
        <f>'SurveyRpt_20150223 (1)'!X522+"h_l!%e="</f>
        <v>#VALUE!</v>
      </c>
      <c r="EH84" t="e">
        <f>'SurveyRpt_20150223 (1)'!Y522+"h_l!%e&gt;"</f>
        <v>#VALUE!</v>
      </c>
      <c r="EI84" t="e">
        <f>'SurveyRpt_20150223 (1)'!Z522+"h_l!%e?"</f>
        <v>#VALUE!</v>
      </c>
      <c r="EJ84" t="e">
        <f>'SurveyRpt_20150223 (1)'!AA522+"h_l!%e@"</f>
        <v>#VALUE!</v>
      </c>
      <c r="EK84" t="e">
        <f>'SurveyRpt_20150223 (1)'!AB522+"h_l!%eA"</f>
        <v>#VALUE!</v>
      </c>
      <c r="EL84" t="e">
        <f>'SurveyRpt_20150223 (1)'!AC522+"h_l!%eB"</f>
        <v>#VALUE!</v>
      </c>
      <c r="EM84" t="e">
        <f>'SurveyRpt_20150223 (1)'!AD522+"h_l!%eC"</f>
        <v>#VALUE!</v>
      </c>
      <c r="EN84" t="e">
        <f>'SurveyRpt_20150223 (1)'!AE522+"h_l!%eD"</f>
        <v>#VALUE!</v>
      </c>
      <c r="EO84" t="e">
        <f>'SurveyRpt_20150223 (1)'!AF522+"h_l!%eE"</f>
        <v>#VALUE!</v>
      </c>
      <c r="EP84" t="e">
        <f>'SurveyRpt_20150223 (1)'!AG522+"h_l!%eF"</f>
        <v>#VALUE!</v>
      </c>
      <c r="EQ84" t="e">
        <f>'SurveyRpt_20150223 (1)'!AH522+"h_l!%eG"</f>
        <v>#VALUE!</v>
      </c>
      <c r="ER84" t="e">
        <f>'SurveyRpt_20150223 (1)'!AI522+"h_l!%eH"</f>
        <v>#VALUE!</v>
      </c>
      <c r="ES84" t="e">
        <f>'SurveyRpt_20150223 (1)'!AJ522+"h_l!%eI"</f>
        <v>#VALUE!</v>
      </c>
      <c r="ET84" t="e">
        <f>'SurveyRpt_20150223 (1)'!AK522+"h_l!%eJ"</f>
        <v>#VALUE!</v>
      </c>
      <c r="EU84" t="e">
        <f>'SurveyRpt_20150223 (1)'!AL522+"h_l!%eK"</f>
        <v>#VALUE!</v>
      </c>
      <c r="EV84" t="e">
        <f>'SurveyRpt_20150223 (1)'!AM522+"h_l!%eL"</f>
        <v>#VALUE!</v>
      </c>
      <c r="EW84" t="e">
        <f>'SurveyRpt_20150223 (1)'!AN522+"h_l!%eM"</f>
        <v>#VALUE!</v>
      </c>
      <c r="EX84" t="e">
        <f>'SurveyRpt_20150223 (1)'!A523+"h_l!%eN"</f>
        <v>#VALUE!</v>
      </c>
      <c r="EY84" s="25" t="e">
        <f>'SurveyRpt_20150223 (1)'!B523+"h_l!%eO"</f>
        <v>#VALUE!</v>
      </c>
      <c r="EZ84" t="e">
        <f>'SurveyRpt_20150223 (1)'!C523+"h_l!%eP"</f>
        <v>#VALUE!</v>
      </c>
      <c r="FA84" s="25" t="e">
        <f>'SurveyRpt_20150223 (1)'!D523+"h_l!%eQ"</f>
        <v>#VALUE!</v>
      </c>
      <c r="FB84" t="e">
        <f>'SurveyRpt_20150223 (1)'!E523+"h_l!%eR"</f>
        <v>#VALUE!</v>
      </c>
      <c r="FC84" t="e">
        <f>'SurveyRpt_20150223 (1)'!F523+"h_l!%eS"</f>
        <v>#VALUE!</v>
      </c>
      <c r="FD84" t="e">
        <f>'SurveyRpt_20150223 (1)'!G523+"h_l!%eT"</f>
        <v>#VALUE!</v>
      </c>
      <c r="FE84" t="e">
        <f>'SurveyRpt_20150223 (1)'!H523+"h_l!%eU"</f>
        <v>#VALUE!</v>
      </c>
      <c r="FF84" t="e">
        <f>'SurveyRpt_20150223 (1)'!I523+"h_l!%eV"</f>
        <v>#VALUE!</v>
      </c>
      <c r="FG84" t="e">
        <f>'SurveyRpt_20150223 (1)'!J523+"h_l!%eW"</f>
        <v>#VALUE!</v>
      </c>
      <c r="FH84" t="e">
        <f>'SurveyRpt_20150223 (1)'!K523+"h_l!%eX"</f>
        <v>#VALUE!</v>
      </c>
      <c r="FI84" t="e">
        <f>'SurveyRpt_20150223 (1)'!L523+"h_l!%eY"</f>
        <v>#VALUE!</v>
      </c>
      <c r="FJ84" t="e">
        <f>'SurveyRpt_20150223 (1)'!M523+"h_l!%eZ"</f>
        <v>#VALUE!</v>
      </c>
      <c r="FK84" t="e">
        <f>'SurveyRpt_20150223 (1)'!N523+"h_l!%e["</f>
        <v>#VALUE!</v>
      </c>
      <c r="FL84" t="e">
        <f>'SurveyRpt_20150223 (1)'!O523+"h_l!%e\"</f>
        <v>#VALUE!</v>
      </c>
      <c r="FM84" t="e">
        <f>'SurveyRpt_20150223 (1)'!P523+"h_l!%e]"</f>
        <v>#VALUE!</v>
      </c>
      <c r="FN84" t="e">
        <f>'SurveyRpt_20150223 (1)'!Q523+"h_l!%e^"</f>
        <v>#VALUE!</v>
      </c>
      <c r="FO84" t="e">
        <f>'SurveyRpt_20150223 (1)'!R523+"h_l!%e_"</f>
        <v>#VALUE!</v>
      </c>
      <c r="FP84" t="e">
        <f>'SurveyRpt_20150223 (1)'!S523+"h_l!%e`"</f>
        <v>#VALUE!</v>
      </c>
      <c r="FQ84" t="e">
        <f>'SurveyRpt_20150223 (1)'!T523+"h_l!%ea"</f>
        <v>#VALUE!</v>
      </c>
      <c r="FR84" t="e">
        <f>'SurveyRpt_20150223 (1)'!U523+"h_l!%eb"</f>
        <v>#VALUE!</v>
      </c>
      <c r="FS84" t="e">
        <f>'SurveyRpt_20150223 (1)'!V523+"h_l!%ec"</f>
        <v>#VALUE!</v>
      </c>
      <c r="FT84" t="e">
        <f>'SurveyRpt_20150223 (1)'!W523+"h_l!%ed"</f>
        <v>#VALUE!</v>
      </c>
      <c r="FU84" t="e">
        <f>'SurveyRpt_20150223 (1)'!X523+"h_l!%ee"</f>
        <v>#VALUE!</v>
      </c>
      <c r="FV84" t="e">
        <f>'SurveyRpt_20150223 (1)'!Y523+"h_l!%ef"</f>
        <v>#VALUE!</v>
      </c>
      <c r="FW84" t="e">
        <f>'SurveyRpt_20150223 (1)'!Z523+"h_l!%eg"</f>
        <v>#VALUE!</v>
      </c>
      <c r="FX84" t="e">
        <f>'SurveyRpt_20150223 (1)'!AA523+"h_l!%eh"</f>
        <v>#VALUE!</v>
      </c>
      <c r="FY84" t="e">
        <f>'SurveyRpt_20150223 (1)'!AB523+"h_l!%ei"</f>
        <v>#VALUE!</v>
      </c>
      <c r="FZ84" t="e">
        <f>'SurveyRpt_20150223 (1)'!AC523+"h_l!%ej"</f>
        <v>#VALUE!</v>
      </c>
      <c r="GA84" t="e">
        <f>'SurveyRpt_20150223 (1)'!AD523+"h_l!%ek"</f>
        <v>#VALUE!</v>
      </c>
      <c r="GB84" t="e">
        <f>'SurveyRpt_20150223 (1)'!AE523+"h_l!%el"</f>
        <v>#VALUE!</v>
      </c>
      <c r="GC84" t="e">
        <f>'SurveyRpt_20150223 (1)'!AF523+"h_l!%em"</f>
        <v>#VALUE!</v>
      </c>
      <c r="GD84" t="e">
        <f>'SurveyRpt_20150223 (1)'!AG523+"h_l!%en"</f>
        <v>#VALUE!</v>
      </c>
      <c r="GE84" t="e">
        <f>'SurveyRpt_20150223 (1)'!AH523+"h_l!%eo"</f>
        <v>#VALUE!</v>
      </c>
      <c r="GF84" t="e">
        <f>'SurveyRpt_20150223 (1)'!AI523+"h_l!%ep"</f>
        <v>#VALUE!</v>
      </c>
      <c r="GG84" t="e">
        <f>'SurveyRpt_20150223 (1)'!AJ523+"h_l!%eq"</f>
        <v>#VALUE!</v>
      </c>
      <c r="GH84" t="e">
        <f>'SurveyRpt_20150223 (1)'!AK523+"h_l!%er"</f>
        <v>#VALUE!</v>
      </c>
      <c r="GI84" t="e">
        <f>'SurveyRpt_20150223 (1)'!AL523+"h_l!%es"</f>
        <v>#VALUE!</v>
      </c>
      <c r="GJ84" t="e">
        <f>'SurveyRpt_20150223 (1)'!AM523+"h_l!%et"</f>
        <v>#VALUE!</v>
      </c>
      <c r="GK84" t="e">
        <f>'SurveyRpt_20150223 (1)'!AN523+"h_l!%eu"</f>
        <v>#VALUE!</v>
      </c>
      <c r="GL84" t="e">
        <f>'SurveyRpt_20150223 (1)'!A524+"h_l!%ev"</f>
        <v>#VALUE!</v>
      </c>
      <c r="GM84" s="25" t="e">
        <f>'SurveyRpt_20150223 (1)'!B524+"h_l!%ew"</f>
        <v>#VALUE!</v>
      </c>
      <c r="GN84" t="e">
        <f>'SurveyRpt_20150223 (1)'!C524+"h_l!%ex"</f>
        <v>#VALUE!</v>
      </c>
      <c r="GO84" s="25" t="e">
        <f>'SurveyRpt_20150223 (1)'!D524+"h_l!%ey"</f>
        <v>#VALUE!</v>
      </c>
      <c r="GP84" t="e">
        <f>'SurveyRpt_20150223 (1)'!E524+"h_l!%ez"</f>
        <v>#VALUE!</v>
      </c>
      <c r="GQ84" t="e">
        <f>'SurveyRpt_20150223 (1)'!F524+"h_l!%e{"</f>
        <v>#VALUE!</v>
      </c>
      <c r="GR84" t="e">
        <f>'SurveyRpt_20150223 (1)'!G524+"h_l!%e|"</f>
        <v>#VALUE!</v>
      </c>
      <c r="GS84" t="e">
        <f>'SurveyRpt_20150223 (1)'!H524+"h_l!%e}"</f>
        <v>#VALUE!</v>
      </c>
      <c r="GT84" t="e">
        <f>'SurveyRpt_20150223 (1)'!I524+"h_l!%e~"</f>
        <v>#VALUE!</v>
      </c>
      <c r="GU84" t="e">
        <f>'SurveyRpt_20150223 (1)'!J524+"h_l!%f#"</f>
        <v>#VALUE!</v>
      </c>
      <c r="GV84" t="e">
        <f>'SurveyRpt_20150223 (1)'!K524+"h_l!%f$"</f>
        <v>#VALUE!</v>
      </c>
      <c r="GW84" t="e">
        <f>'SurveyRpt_20150223 (1)'!L524+"h_l!%f%"</f>
        <v>#VALUE!</v>
      </c>
      <c r="GX84" t="e">
        <f>'SurveyRpt_20150223 (1)'!M524+"h_l!%f&amp;"</f>
        <v>#VALUE!</v>
      </c>
      <c r="GY84" t="e">
        <f>'SurveyRpt_20150223 (1)'!N524+"h_l!%f'"</f>
        <v>#VALUE!</v>
      </c>
      <c r="GZ84" t="e">
        <f>'SurveyRpt_20150223 (1)'!O524+"h_l!%f("</f>
        <v>#VALUE!</v>
      </c>
      <c r="HA84" t="e">
        <f>'SurveyRpt_20150223 (1)'!P524+"h_l!%f)"</f>
        <v>#VALUE!</v>
      </c>
      <c r="HB84" t="e">
        <f>'SurveyRpt_20150223 (1)'!Q524+"h_l!%f."</f>
        <v>#VALUE!</v>
      </c>
      <c r="HC84" t="e">
        <f>'SurveyRpt_20150223 (1)'!R524+"h_l!%f/"</f>
        <v>#VALUE!</v>
      </c>
      <c r="HD84" t="e">
        <f>'SurveyRpt_20150223 (1)'!S524+"h_l!%f0"</f>
        <v>#VALUE!</v>
      </c>
      <c r="HE84" t="e">
        <f>'SurveyRpt_20150223 (1)'!T524+"h_l!%f1"</f>
        <v>#VALUE!</v>
      </c>
      <c r="HF84" t="e">
        <f>'SurveyRpt_20150223 (1)'!U524+"h_l!%f2"</f>
        <v>#VALUE!</v>
      </c>
      <c r="HG84" t="e">
        <f>'SurveyRpt_20150223 (1)'!V524+"h_l!%f3"</f>
        <v>#VALUE!</v>
      </c>
      <c r="HH84" t="e">
        <f>'SurveyRpt_20150223 (1)'!W524+"h_l!%f4"</f>
        <v>#VALUE!</v>
      </c>
      <c r="HI84" t="e">
        <f>'SurveyRpt_20150223 (1)'!X524+"h_l!%f5"</f>
        <v>#VALUE!</v>
      </c>
      <c r="HJ84" t="e">
        <f>'SurveyRpt_20150223 (1)'!Y524+"h_l!%f6"</f>
        <v>#VALUE!</v>
      </c>
      <c r="HK84" t="e">
        <f>'SurveyRpt_20150223 (1)'!Z524+"h_l!%f7"</f>
        <v>#VALUE!</v>
      </c>
      <c r="HL84" t="e">
        <f>'SurveyRpt_20150223 (1)'!AA524+"h_l!%f8"</f>
        <v>#VALUE!</v>
      </c>
      <c r="HM84" t="e">
        <f>'SurveyRpt_20150223 (1)'!AB524+"h_l!%f9"</f>
        <v>#VALUE!</v>
      </c>
      <c r="HN84" t="e">
        <f>'SurveyRpt_20150223 (1)'!AC524+"h_l!%f:"</f>
        <v>#VALUE!</v>
      </c>
      <c r="HO84" t="e">
        <f>'SurveyRpt_20150223 (1)'!AD524+"h_l!%f;"</f>
        <v>#VALUE!</v>
      </c>
      <c r="HP84" t="e">
        <f>'SurveyRpt_20150223 (1)'!AE524+"h_l!%f&lt;"</f>
        <v>#VALUE!</v>
      </c>
      <c r="HQ84" t="e">
        <f>'SurveyRpt_20150223 (1)'!AF524+"h_l!%f="</f>
        <v>#VALUE!</v>
      </c>
      <c r="HR84" t="e">
        <f>'SurveyRpt_20150223 (1)'!AG524+"h_l!%f&gt;"</f>
        <v>#VALUE!</v>
      </c>
      <c r="HS84" t="e">
        <f>'SurveyRpt_20150223 (1)'!AH524+"h_l!%f?"</f>
        <v>#VALUE!</v>
      </c>
      <c r="HT84" t="e">
        <f>'SurveyRpt_20150223 (1)'!AI524+"h_l!%f@"</f>
        <v>#VALUE!</v>
      </c>
      <c r="HU84" t="e">
        <f>'SurveyRpt_20150223 (1)'!AJ524+"h_l!%fA"</f>
        <v>#VALUE!</v>
      </c>
      <c r="HV84" t="e">
        <f>'SurveyRpt_20150223 (1)'!AK524+"h_l!%fB"</f>
        <v>#VALUE!</v>
      </c>
      <c r="HW84" t="e">
        <f>'SurveyRpt_20150223 (1)'!AL524+"h_l!%fC"</f>
        <v>#VALUE!</v>
      </c>
      <c r="HX84" t="e">
        <f>'SurveyRpt_20150223 (1)'!AM524+"h_l!%fD"</f>
        <v>#VALUE!</v>
      </c>
      <c r="HY84" t="e">
        <f>'SurveyRpt_20150223 (1)'!AN524+"h_l!%fE"</f>
        <v>#VALUE!</v>
      </c>
      <c r="HZ84" t="e">
        <f>'SurveyRpt_20150223 (1)'!A525+"h_l!%fF"</f>
        <v>#VALUE!</v>
      </c>
      <c r="IA84" s="25" t="e">
        <f>'SurveyRpt_20150223 (1)'!B525+"h_l!%fG"</f>
        <v>#VALUE!</v>
      </c>
      <c r="IB84" t="e">
        <f>'SurveyRpt_20150223 (1)'!C525+"h_l!%fH"</f>
        <v>#VALUE!</v>
      </c>
      <c r="IC84" s="25" t="e">
        <f>'SurveyRpt_20150223 (1)'!D525+"h_l!%fI"</f>
        <v>#VALUE!</v>
      </c>
      <c r="ID84" t="e">
        <f>'SurveyRpt_20150223 (1)'!E525+"h_l!%fJ"</f>
        <v>#VALUE!</v>
      </c>
      <c r="IE84" t="e">
        <f>'SurveyRpt_20150223 (1)'!F525+"h_l!%fK"</f>
        <v>#VALUE!</v>
      </c>
      <c r="IF84" t="e">
        <f>'SurveyRpt_20150223 (1)'!G525+"h_l!%fL"</f>
        <v>#VALUE!</v>
      </c>
      <c r="IG84" t="e">
        <f>'SurveyRpt_20150223 (1)'!H525+"h_l!%fM"</f>
        <v>#VALUE!</v>
      </c>
      <c r="IH84" t="e">
        <f>'SurveyRpt_20150223 (1)'!I525+"h_l!%fN"</f>
        <v>#VALUE!</v>
      </c>
      <c r="II84" t="e">
        <f>'SurveyRpt_20150223 (1)'!J525+"h_l!%fO"</f>
        <v>#VALUE!</v>
      </c>
      <c r="IJ84" t="e">
        <f>'SurveyRpt_20150223 (1)'!K525+"h_l!%fP"</f>
        <v>#VALUE!</v>
      </c>
      <c r="IK84" t="e">
        <f>'SurveyRpt_20150223 (1)'!L525+"h_l!%fQ"</f>
        <v>#VALUE!</v>
      </c>
      <c r="IL84" t="e">
        <f>'SurveyRpt_20150223 (1)'!M525+"h_l!%fR"</f>
        <v>#VALUE!</v>
      </c>
      <c r="IM84" t="e">
        <f>'SurveyRpt_20150223 (1)'!N525+"h_l!%fS"</f>
        <v>#VALUE!</v>
      </c>
      <c r="IN84" t="e">
        <f>'SurveyRpt_20150223 (1)'!O525+"h_l!%fT"</f>
        <v>#VALUE!</v>
      </c>
      <c r="IO84" t="e">
        <f>'SurveyRpt_20150223 (1)'!P525+"h_l!%fU"</f>
        <v>#VALUE!</v>
      </c>
      <c r="IP84" t="e">
        <f>'SurveyRpt_20150223 (1)'!Q525+"h_l!%fV"</f>
        <v>#VALUE!</v>
      </c>
      <c r="IQ84" t="e">
        <f>'SurveyRpt_20150223 (1)'!R525+"h_l!%fW"</f>
        <v>#VALUE!</v>
      </c>
      <c r="IR84" t="e">
        <f>'SurveyRpt_20150223 (1)'!S525+"h_l!%fX"</f>
        <v>#VALUE!</v>
      </c>
      <c r="IS84" t="e">
        <f>'SurveyRpt_20150223 (1)'!T525+"h_l!%fY"</f>
        <v>#VALUE!</v>
      </c>
      <c r="IT84" t="e">
        <f>'SurveyRpt_20150223 (1)'!U525+"h_l!%fZ"</f>
        <v>#VALUE!</v>
      </c>
      <c r="IU84" t="e">
        <f>'SurveyRpt_20150223 (1)'!V525+"h_l!%f["</f>
        <v>#VALUE!</v>
      </c>
      <c r="IV84" t="e">
        <f>'SurveyRpt_20150223 (1)'!W525+"h_l!%f\"</f>
        <v>#VALUE!</v>
      </c>
    </row>
    <row r="85" spans="6:256" x14ac:dyDescent="0.25">
      <c r="F85" t="e">
        <f>'SurveyRpt_20150223 (1)'!X525+"h_l!%f]"</f>
        <v>#VALUE!</v>
      </c>
      <c r="G85" t="e">
        <f>'SurveyRpt_20150223 (1)'!Y525+"h_l!%f^"</f>
        <v>#VALUE!</v>
      </c>
      <c r="H85" t="e">
        <f>'SurveyRpt_20150223 (1)'!Z525+"h_l!%f_"</f>
        <v>#VALUE!</v>
      </c>
      <c r="I85" t="e">
        <f>'SurveyRpt_20150223 (1)'!AA525+"h_l!%f`"</f>
        <v>#VALUE!</v>
      </c>
      <c r="J85" t="e">
        <f>'SurveyRpt_20150223 (1)'!AB525+"h_l!%fa"</f>
        <v>#VALUE!</v>
      </c>
      <c r="K85" t="e">
        <f>'SurveyRpt_20150223 (1)'!AC525+"h_l!%fb"</f>
        <v>#VALUE!</v>
      </c>
      <c r="L85" t="e">
        <f>'SurveyRpt_20150223 (1)'!AD525+"h_l!%fc"</f>
        <v>#VALUE!</v>
      </c>
      <c r="M85" t="e">
        <f>'SurveyRpt_20150223 (1)'!AE525+"h_l!%fd"</f>
        <v>#VALUE!</v>
      </c>
      <c r="N85" t="e">
        <f>'SurveyRpt_20150223 (1)'!AF525+"h_l!%fe"</f>
        <v>#VALUE!</v>
      </c>
      <c r="O85" t="e">
        <f>'SurveyRpt_20150223 (1)'!AG525+"h_l!%ff"</f>
        <v>#VALUE!</v>
      </c>
      <c r="P85" t="e">
        <f>'SurveyRpt_20150223 (1)'!AH525+"h_l!%fg"</f>
        <v>#VALUE!</v>
      </c>
      <c r="Q85" t="e">
        <f>'SurveyRpt_20150223 (1)'!AI525+"h_l!%fh"</f>
        <v>#VALUE!</v>
      </c>
      <c r="R85" t="e">
        <f>'SurveyRpt_20150223 (1)'!AJ525+"h_l!%fi"</f>
        <v>#VALUE!</v>
      </c>
      <c r="S85" t="e">
        <f>'SurveyRpt_20150223 (1)'!AK525+"h_l!%fj"</f>
        <v>#VALUE!</v>
      </c>
      <c r="T85" t="e">
        <f>'SurveyRpt_20150223 (1)'!AL525+"h_l!%fk"</f>
        <v>#VALUE!</v>
      </c>
      <c r="U85" t="e">
        <f>'SurveyRpt_20150223 (1)'!AM525+"h_l!%fl"</f>
        <v>#VALUE!</v>
      </c>
      <c r="V85" t="e">
        <f>'SurveyRpt_20150223 (1)'!AN525+"h_l!%fm"</f>
        <v>#VALUE!</v>
      </c>
      <c r="W85" t="e">
        <f>'SurveyRpt_20150223 (1)'!A526+"h_l!%fn"</f>
        <v>#VALUE!</v>
      </c>
      <c r="X85" s="25" t="e">
        <f>'SurveyRpt_20150223 (1)'!B526+"h_l!%fo"</f>
        <v>#VALUE!</v>
      </c>
      <c r="Y85" t="e">
        <f>'SurveyRpt_20150223 (1)'!C526+"h_l!%fp"</f>
        <v>#VALUE!</v>
      </c>
      <c r="Z85" s="25" t="e">
        <f>'SurveyRpt_20150223 (1)'!D526+"h_l!%fq"</f>
        <v>#VALUE!</v>
      </c>
      <c r="AA85" t="e">
        <f>'SurveyRpt_20150223 (1)'!E526+"h_l!%fr"</f>
        <v>#VALUE!</v>
      </c>
      <c r="AB85" t="e">
        <f>'SurveyRpt_20150223 (1)'!F526+"h_l!%fs"</f>
        <v>#VALUE!</v>
      </c>
      <c r="AC85" t="e">
        <f>'SurveyRpt_20150223 (1)'!G526+"h_l!%ft"</f>
        <v>#VALUE!</v>
      </c>
      <c r="AD85" t="e">
        <f>'SurveyRpt_20150223 (1)'!H526+"h_l!%fu"</f>
        <v>#VALUE!</v>
      </c>
      <c r="AE85" t="e">
        <f>'SurveyRpt_20150223 (1)'!I526+"h_l!%fv"</f>
        <v>#VALUE!</v>
      </c>
      <c r="AF85" t="e">
        <f>'SurveyRpt_20150223 (1)'!J526+"h_l!%fw"</f>
        <v>#VALUE!</v>
      </c>
      <c r="AG85" t="e">
        <f>'SurveyRpt_20150223 (1)'!K526+"h_l!%fx"</f>
        <v>#VALUE!</v>
      </c>
      <c r="AH85" t="e">
        <f>'SurveyRpt_20150223 (1)'!L526+"h_l!%fy"</f>
        <v>#VALUE!</v>
      </c>
      <c r="AI85" t="e">
        <f>'SurveyRpt_20150223 (1)'!M526+"h_l!%fz"</f>
        <v>#VALUE!</v>
      </c>
      <c r="AJ85" t="e">
        <f>'SurveyRpt_20150223 (1)'!N526+"h_l!%f{"</f>
        <v>#VALUE!</v>
      </c>
      <c r="AK85" t="e">
        <f>'SurveyRpt_20150223 (1)'!O526+"h_l!%f|"</f>
        <v>#VALUE!</v>
      </c>
      <c r="AL85" t="e">
        <f>'SurveyRpt_20150223 (1)'!P526+"h_l!%f}"</f>
        <v>#VALUE!</v>
      </c>
      <c r="AM85" t="e">
        <f>'SurveyRpt_20150223 (1)'!Q526+"h_l!%f~"</f>
        <v>#VALUE!</v>
      </c>
      <c r="AN85" t="e">
        <f>'SurveyRpt_20150223 (1)'!R526+"h_l!%g#"</f>
        <v>#VALUE!</v>
      </c>
      <c r="AO85" t="e">
        <f>'SurveyRpt_20150223 (1)'!S526+"h_l!%g$"</f>
        <v>#VALUE!</v>
      </c>
      <c r="AP85" t="e">
        <f>'SurveyRpt_20150223 (1)'!T526+"h_l!%g%"</f>
        <v>#VALUE!</v>
      </c>
      <c r="AQ85" t="e">
        <f>'SurveyRpt_20150223 (1)'!U526+"h_l!%g&amp;"</f>
        <v>#VALUE!</v>
      </c>
      <c r="AR85" t="e">
        <f>'SurveyRpt_20150223 (1)'!V526+"h_l!%g'"</f>
        <v>#VALUE!</v>
      </c>
      <c r="AS85" t="e">
        <f>'SurveyRpt_20150223 (1)'!W526+"h_l!%g("</f>
        <v>#VALUE!</v>
      </c>
      <c r="AT85" t="e">
        <f>'SurveyRpt_20150223 (1)'!X526+"h_l!%g)"</f>
        <v>#VALUE!</v>
      </c>
      <c r="AU85" t="e">
        <f>'SurveyRpt_20150223 (1)'!Y526+"h_l!%g."</f>
        <v>#VALUE!</v>
      </c>
      <c r="AV85" t="e">
        <f>'SurveyRpt_20150223 (1)'!Z526+"h_l!%g/"</f>
        <v>#VALUE!</v>
      </c>
      <c r="AW85" t="e">
        <f>'SurveyRpt_20150223 (1)'!AA526+"h_l!%g0"</f>
        <v>#VALUE!</v>
      </c>
      <c r="AX85" t="e">
        <f>'SurveyRpt_20150223 (1)'!AB526+"h_l!%g1"</f>
        <v>#VALUE!</v>
      </c>
      <c r="AY85" t="e">
        <f>'SurveyRpt_20150223 (1)'!AC526+"h_l!%g2"</f>
        <v>#VALUE!</v>
      </c>
      <c r="AZ85" t="e">
        <f>'SurveyRpt_20150223 (1)'!AD526+"h_l!%g3"</f>
        <v>#VALUE!</v>
      </c>
      <c r="BA85" t="e">
        <f>'SurveyRpt_20150223 (1)'!AE526+"h_l!%g4"</f>
        <v>#VALUE!</v>
      </c>
      <c r="BB85" t="e">
        <f>'SurveyRpt_20150223 (1)'!AF526+"h_l!%g5"</f>
        <v>#VALUE!</v>
      </c>
      <c r="BC85" t="e">
        <f>'SurveyRpt_20150223 (1)'!AG526+"h_l!%g6"</f>
        <v>#VALUE!</v>
      </c>
      <c r="BD85" t="e">
        <f>'SurveyRpt_20150223 (1)'!AH526+"h_l!%g7"</f>
        <v>#VALUE!</v>
      </c>
      <c r="BE85" t="e">
        <f>'SurveyRpt_20150223 (1)'!AI526+"h_l!%g8"</f>
        <v>#VALUE!</v>
      </c>
      <c r="BF85" t="e">
        <f>'SurveyRpt_20150223 (1)'!AJ526+"h_l!%g9"</f>
        <v>#VALUE!</v>
      </c>
      <c r="BG85" t="e">
        <f>'SurveyRpt_20150223 (1)'!AK526+"h_l!%g:"</f>
        <v>#VALUE!</v>
      </c>
      <c r="BH85" t="e">
        <f>'SurveyRpt_20150223 (1)'!AL526+"h_l!%g;"</f>
        <v>#VALUE!</v>
      </c>
      <c r="BI85" t="e">
        <f>'SurveyRpt_20150223 (1)'!AM526+"h_l!%g&lt;"</f>
        <v>#VALUE!</v>
      </c>
      <c r="BJ85" t="e">
        <f>'SurveyRpt_20150223 (1)'!AN526+"h_l!%g="</f>
        <v>#VALUE!</v>
      </c>
      <c r="BK85" t="e">
        <f>'SurveyRpt_20150223 (1)'!A527+"h_l!%g&gt;"</f>
        <v>#VALUE!</v>
      </c>
      <c r="BL85" s="25" t="e">
        <f>'SurveyRpt_20150223 (1)'!B527+"h_l!%g?"</f>
        <v>#VALUE!</v>
      </c>
      <c r="BM85" t="e">
        <f>'SurveyRpt_20150223 (1)'!C527+"h_l!%g@"</f>
        <v>#VALUE!</v>
      </c>
      <c r="BN85" s="25" t="e">
        <f>'SurveyRpt_20150223 (1)'!D527+"h_l!%gA"</f>
        <v>#VALUE!</v>
      </c>
      <c r="BO85" t="e">
        <f>'SurveyRpt_20150223 (1)'!E527+"h_l!%gB"</f>
        <v>#VALUE!</v>
      </c>
      <c r="BP85" t="e">
        <f>'SurveyRpt_20150223 (1)'!F527+"h_l!%gC"</f>
        <v>#VALUE!</v>
      </c>
      <c r="BQ85" t="e">
        <f>'SurveyRpt_20150223 (1)'!G527+"h_l!%gD"</f>
        <v>#VALUE!</v>
      </c>
      <c r="BR85" t="e">
        <f>'SurveyRpt_20150223 (1)'!H527+"h_l!%gE"</f>
        <v>#VALUE!</v>
      </c>
      <c r="BS85" t="e">
        <f>'SurveyRpt_20150223 (1)'!I527+"h_l!%gF"</f>
        <v>#VALUE!</v>
      </c>
      <c r="BT85" t="e">
        <f>'SurveyRpt_20150223 (1)'!J527+"h_l!%gG"</f>
        <v>#VALUE!</v>
      </c>
      <c r="BU85" t="e">
        <f>'SurveyRpt_20150223 (1)'!K527+"h_l!%gH"</f>
        <v>#VALUE!</v>
      </c>
      <c r="BV85" t="e">
        <f>'SurveyRpt_20150223 (1)'!L527+"h_l!%gI"</f>
        <v>#VALUE!</v>
      </c>
      <c r="BW85" t="e">
        <f>'SurveyRpt_20150223 (1)'!M527+"h_l!%gJ"</f>
        <v>#VALUE!</v>
      </c>
      <c r="BX85" t="e">
        <f>'SurveyRpt_20150223 (1)'!N527+"h_l!%gK"</f>
        <v>#VALUE!</v>
      </c>
      <c r="BY85" t="e">
        <f>'SurveyRpt_20150223 (1)'!O527+"h_l!%gL"</f>
        <v>#VALUE!</v>
      </c>
      <c r="BZ85" t="e">
        <f>'SurveyRpt_20150223 (1)'!P527+"h_l!%gM"</f>
        <v>#VALUE!</v>
      </c>
      <c r="CA85" t="e">
        <f>'SurveyRpt_20150223 (1)'!Q527+"h_l!%gN"</f>
        <v>#VALUE!</v>
      </c>
      <c r="CB85" t="e">
        <f>'SurveyRpt_20150223 (1)'!R527+"h_l!%gO"</f>
        <v>#VALUE!</v>
      </c>
      <c r="CC85" t="e">
        <f>'SurveyRpt_20150223 (1)'!S527+"h_l!%gP"</f>
        <v>#VALUE!</v>
      </c>
      <c r="CD85" t="e">
        <f>'SurveyRpt_20150223 (1)'!T527+"h_l!%gQ"</f>
        <v>#VALUE!</v>
      </c>
      <c r="CE85" t="e">
        <f>'SurveyRpt_20150223 (1)'!U527+"h_l!%gR"</f>
        <v>#VALUE!</v>
      </c>
      <c r="CF85" t="e">
        <f>'SurveyRpt_20150223 (1)'!V527+"h_l!%gS"</f>
        <v>#VALUE!</v>
      </c>
      <c r="CG85" t="e">
        <f>'SurveyRpt_20150223 (1)'!W527+"h_l!%gT"</f>
        <v>#VALUE!</v>
      </c>
      <c r="CH85" t="e">
        <f>'SurveyRpt_20150223 (1)'!X527+"h_l!%gU"</f>
        <v>#VALUE!</v>
      </c>
      <c r="CI85" t="e">
        <f>'SurveyRpt_20150223 (1)'!Y527+"h_l!%gV"</f>
        <v>#VALUE!</v>
      </c>
      <c r="CJ85" t="e">
        <f>'SurveyRpt_20150223 (1)'!Z527+"h_l!%gW"</f>
        <v>#VALUE!</v>
      </c>
      <c r="CK85" t="e">
        <f>'SurveyRpt_20150223 (1)'!AA527+"h_l!%gX"</f>
        <v>#VALUE!</v>
      </c>
      <c r="CL85" t="e">
        <f>'SurveyRpt_20150223 (1)'!AB527+"h_l!%gY"</f>
        <v>#VALUE!</v>
      </c>
      <c r="CM85" t="e">
        <f>'SurveyRpt_20150223 (1)'!AC527+"h_l!%gZ"</f>
        <v>#VALUE!</v>
      </c>
      <c r="CN85" t="e">
        <f>'SurveyRpt_20150223 (1)'!AD527+"h_l!%g["</f>
        <v>#VALUE!</v>
      </c>
      <c r="CO85" t="e">
        <f>'SurveyRpt_20150223 (1)'!AE527+"h_l!%g\"</f>
        <v>#VALUE!</v>
      </c>
      <c r="CP85" t="e">
        <f>'SurveyRpt_20150223 (1)'!AF527+"h_l!%g]"</f>
        <v>#VALUE!</v>
      </c>
      <c r="CQ85" t="e">
        <f>'SurveyRpt_20150223 (1)'!AG527+"h_l!%g^"</f>
        <v>#VALUE!</v>
      </c>
      <c r="CR85" t="e">
        <f>'SurveyRpt_20150223 (1)'!AH527+"h_l!%g_"</f>
        <v>#VALUE!</v>
      </c>
      <c r="CS85" t="e">
        <f>'SurveyRpt_20150223 (1)'!AI527+"h_l!%g`"</f>
        <v>#VALUE!</v>
      </c>
      <c r="CT85" t="e">
        <f>'SurveyRpt_20150223 (1)'!AJ527+"h_l!%ga"</f>
        <v>#VALUE!</v>
      </c>
      <c r="CU85" t="e">
        <f>'SurveyRpt_20150223 (1)'!AK527+"h_l!%gb"</f>
        <v>#VALUE!</v>
      </c>
      <c r="CV85" t="e">
        <f>'SurveyRpt_20150223 (1)'!AL527+"h_l!%gc"</f>
        <v>#VALUE!</v>
      </c>
      <c r="CW85" t="e">
        <f>'SurveyRpt_20150223 (1)'!AM527+"h_l!%gd"</f>
        <v>#VALUE!</v>
      </c>
      <c r="CX85" t="e">
        <f>'SurveyRpt_20150223 (1)'!AN527+"h_l!%ge"</f>
        <v>#VALUE!</v>
      </c>
      <c r="CY85" t="e">
        <f>'SurveyRpt_20150223 (1)'!A528+"h_l!%gf"</f>
        <v>#VALUE!</v>
      </c>
      <c r="CZ85" s="25" t="e">
        <f>'SurveyRpt_20150223 (1)'!B528+"h_l!%gg"</f>
        <v>#VALUE!</v>
      </c>
      <c r="DA85" t="e">
        <f>'SurveyRpt_20150223 (1)'!C528+"h_l!%gh"</f>
        <v>#VALUE!</v>
      </c>
      <c r="DB85" s="25" t="e">
        <f>'SurveyRpt_20150223 (1)'!D528+"h_l!%gi"</f>
        <v>#VALUE!</v>
      </c>
      <c r="DC85" t="e">
        <f>'SurveyRpt_20150223 (1)'!E528+"h_l!%gj"</f>
        <v>#VALUE!</v>
      </c>
      <c r="DD85" t="e">
        <f>'SurveyRpt_20150223 (1)'!F528+"h_l!%gk"</f>
        <v>#VALUE!</v>
      </c>
      <c r="DE85" t="e">
        <f>'SurveyRpt_20150223 (1)'!G528+"h_l!%gl"</f>
        <v>#VALUE!</v>
      </c>
      <c r="DF85" t="e">
        <f>'SurveyRpt_20150223 (1)'!H528+"h_l!%gm"</f>
        <v>#VALUE!</v>
      </c>
      <c r="DG85" t="e">
        <f>'SurveyRpt_20150223 (1)'!I528+"h_l!%gn"</f>
        <v>#VALUE!</v>
      </c>
      <c r="DH85" t="e">
        <f>'SurveyRpt_20150223 (1)'!J528+"h_l!%go"</f>
        <v>#VALUE!</v>
      </c>
      <c r="DI85" t="e">
        <f>'SurveyRpt_20150223 (1)'!K528+"h_l!%gp"</f>
        <v>#VALUE!</v>
      </c>
      <c r="DJ85" t="e">
        <f>'SurveyRpt_20150223 (1)'!L528+"h_l!%gq"</f>
        <v>#VALUE!</v>
      </c>
      <c r="DK85" t="e">
        <f>'SurveyRpt_20150223 (1)'!M528+"h_l!%gr"</f>
        <v>#VALUE!</v>
      </c>
      <c r="DL85" t="e">
        <f>'SurveyRpt_20150223 (1)'!N528+"h_l!%gs"</f>
        <v>#VALUE!</v>
      </c>
      <c r="DM85" t="e">
        <f>'SurveyRpt_20150223 (1)'!O528+"h_l!%gt"</f>
        <v>#VALUE!</v>
      </c>
      <c r="DN85" t="e">
        <f>'SurveyRpt_20150223 (1)'!P528+"h_l!%gu"</f>
        <v>#VALUE!</v>
      </c>
      <c r="DO85" t="e">
        <f>'SurveyRpt_20150223 (1)'!Q528+"h_l!%gv"</f>
        <v>#VALUE!</v>
      </c>
      <c r="DP85" t="e">
        <f>'SurveyRpt_20150223 (1)'!R528+"h_l!%gw"</f>
        <v>#VALUE!</v>
      </c>
      <c r="DQ85" t="e">
        <f>'SurveyRpt_20150223 (1)'!S528+"h_l!%gx"</f>
        <v>#VALUE!</v>
      </c>
      <c r="DR85" t="e">
        <f>'SurveyRpt_20150223 (1)'!T528+"h_l!%gy"</f>
        <v>#VALUE!</v>
      </c>
      <c r="DS85" t="e">
        <f>'SurveyRpt_20150223 (1)'!U528+"h_l!%gz"</f>
        <v>#VALUE!</v>
      </c>
      <c r="DT85" t="e">
        <f>'SurveyRpt_20150223 (1)'!V528+"h_l!%g{"</f>
        <v>#VALUE!</v>
      </c>
      <c r="DU85" t="e">
        <f>'SurveyRpt_20150223 (1)'!W528+"h_l!%g|"</f>
        <v>#VALUE!</v>
      </c>
      <c r="DV85" t="e">
        <f>'SurveyRpt_20150223 (1)'!X528+"h_l!%g}"</f>
        <v>#VALUE!</v>
      </c>
      <c r="DW85" t="e">
        <f>'SurveyRpt_20150223 (1)'!Y528+"h_l!%g~"</f>
        <v>#VALUE!</v>
      </c>
      <c r="DX85" t="e">
        <f>'SurveyRpt_20150223 (1)'!Z528+"h_l!%h#"</f>
        <v>#VALUE!</v>
      </c>
      <c r="DY85" t="e">
        <f>'SurveyRpt_20150223 (1)'!AA528+"h_l!%h$"</f>
        <v>#VALUE!</v>
      </c>
      <c r="DZ85" t="e">
        <f>'SurveyRpt_20150223 (1)'!AB528+"h_l!%h%"</f>
        <v>#VALUE!</v>
      </c>
      <c r="EA85" t="e">
        <f>'SurveyRpt_20150223 (1)'!AC528+"h_l!%h&amp;"</f>
        <v>#VALUE!</v>
      </c>
      <c r="EB85" t="e">
        <f>'SurveyRpt_20150223 (1)'!AD528+"h_l!%h'"</f>
        <v>#VALUE!</v>
      </c>
      <c r="EC85" t="e">
        <f>'SurveyRpt_20150223 (1)'!AE528+"h_l!%h("</f>
        <v>#VALUE!</v>
      </c>
      <c r="ED85" t="e">
        <f>'SurveyRpt_20150223 (1)'!AF528+"h_l!%h)"</f>
        <v>#VALUE!</v>
      </c>
      <c r="EE85" t="e">
        <f>'SurveyRpt_20150223 (1)'!AG528+"h_l!%h."</f>
        <v>#VALUE!</v>
      </c>
      <c r="EF85" t="e">
        <f>'SurveyRpt_20150223 (1)'!AH528+"h_l!%h/"</f>
        <v>#VALUE!</v>
      </c>
      <c r="EG85" t="e">
        <f>'SurveyRpt_20150223 (1)'!AI528+"h_l!%h0"</f>
        <v>#VALUE!</v>
      </c>
      <c r="EH85" t="e">
        <f>'SurveyRpt_20150223 (1)'!AJ528+"h_l!%h1"</f>
        <v>#VALUE!</v>
      </c>
      <c r="EI85" t="e">
        <f>'SurveyRpt_20150223 (1)'!AK528+"h_l!%h2"</f>
        <v>#VALUE!</v>
      </c>
      <c r="EJ85" t="e">
        <f>'SurveyRpt_20150223 (1)'!AL528+"h_l!%h3"</f>
        <v>#VALUE!</v>
      </c>
      <c r="EK85" t="e">
        <f>'SurveyRpt_20150223 (1)'!AM528+"h_l!%h4"</f>
        <v>#VALUE!</v>
      </c>
      <c r="EL85" t="e">
        <f>'SurveyRpt_20150223 (1)'!AN528+"h_l!%h5"</f>
        <v>#VALUE!</v>
      </c>
      <c r="EM85" t="e">
        <f>'SurveyRpt_20150223 (1)'!A529+"h_l!%h6"</f>
        <v>#VALUE!</v>
      </c>
      <c r="EN85" s="25" t="e">
        <f>'SurveyRpt_20150223 (1)'!B529+"h_l!%h7"</f>
        <v>#VALUE!</v>
      </c>
      <c r="EO85" t="e">
        <f>'SurveyRpt_20150223 (1)'!C529+"h_l!%h8"</f>
        <v>#VALUE!</v>
      </c>
      <c r="EP85" s="25" t="e">
        <f>'SurveyRpt_20150223 (1)'!D529+"h_l!%h9"</f>
        <v>#VALUE!</v>
      </c>
      <c r="EQ85" t="e">
        <f>'SurveyRpt_20150223 (1)'!E529+"h_l!%h:"</f>
        <v>#VALUE!</v>
      </c>
      <c r="ER85" t="e">
        <f>'SurveyRpt_20150223 (1)'!F529+"h_l!%h;"</f>
        <v>#VALUE!</v>
      </c>
      <c r="ES85" t="e">
        <f>'SurveyRpt_20150223 (1)'!G529+"h_l!%h&lt;"</f>
        <v>#VALUE!</v>
      </c>
      <c r="ET85" t="e">
        <f>'SurveyRpt_20150223 (1)'!H529+"h_l!%h="</f>
        <v>#VALUE!</v>
      </c>
      <c r="EU85" t="e">
        <f>'SurveyRpt_20150223 (1)'!I529+"h_l!%h&gt;"</f>
        <v>#VALUE!</v>
      </c>
      <c r="EV85" t="e">
        <f>'SurveyRpt_20150223 (1)'!J529+"h_l!%h?"</f>
        <v>#VALUE!</v>
      </c>
      <c r="EW85" t="e">
        <f>'SurveyRpt_20150223 (1)'!K529+"h_l!%h@"</f>
        <v>#VALUE!</v>
      </c>
      <c r="EX85" t="e">
        <f>'SurveyRpt_20150223 (1)'!L529+"h_l!%hA"</f>
        <v>#VALUE!</v>
      </c>
      <c r="EY85" t="e">
        <f>'SurveyRpt_20150223 (1)'!M529+"h_l!%hB"</f>
        <v>#VALUE!</v>
      </c>
      <c r="EZ85" t="e">
        <f>'SurveyRpt_20150223 (1)'!N529+"h_l!%hC"</f>
        <v>#VALUE!</v>
      </c>
      <c r="FA85" t="e">
        <f>'SurveyRpt_20150223 (1)'!O529+"h_l!%hD"</f>
        <v>#VALUE!</v>
      </c>
      <c r="FB85" t="e">
        <f>'SurveyRpt_20150223 (1)'!P529+"h_l!%hE"</f>
        <v>#VALUE!</v>
      </c>
      <c r="FC85" t="e">
        <f>'SurveyRpt_20150223 (1)'!Q529+"h_l!%hF"</f>
        <v>#VALUE!</v>
      </c>
      <c r="FD85" t="e">
        <f>'SurveyRpt_20150223 (1)'!R529+"h_l!%hG"</f>
        <v>#VALUE!</v>
      </c>
      <c r="FE85" t="e">
        <f>'SurveyRpt_20150223 (1)'!S529+"h_l!%hH"</f>
        <v>#VALUE!</v>
      </c>
      <c r="FF85" t="e">
        <f>'SurveyRpt_20150223 (1)'!T529+"h_l!%hI"</f>
        <v>#VALUE!</v>
      </c>
      <c r="FG85" t="e">
        <f>'SurveyRpt_20150223 (1)'!U529+"h_l!%hJ"</f>
        <v>#VALUE!</v>
      </c>
      <c r="FH85" t="e">
        <f>'SurveyRpt_20150223 (1)'!V529+"h_l!%hK"</f>
        <v>#VALUE!</v>
      </c>
      <c r="FI85" t="e">
        <f>'SurveyRpt_20150223 (1)'!W529+"h_l!%hL"</f>
        <v>#VALUE!</v>
      </c>
      <c r="FJ85" t="e">
        <f>'SurveyRpt_20150223 (1)'!X529+"h_l!%hM"</f>
        <v>#VALUE!</v>
      </c>
      <c r="FK85" t="e">
        <f>'SurveyRpt_20150223 (1)'!Y529+"h_l!%hN"</f>
        <v>#VALUE!</v>
      </c>
      <c r="FL85" t="e">
        <f>'SurveyRpt_20150223 (1)'!Z529+"h_l!%hO"</f>
        <v>#VALUE!</v>
      </c>
      <c r="FM85" t="e">
        <f>'SurveyRpt_20150223 (1)'!AA529+"h_l!%hP"</f>
        <v>#VALUE!</v>
      </c>
      <c r="FN85" t="e">
        <f>'SurveyRpt_20150223 (1)'!AB529+"h_l!%hQ"</f>
        <v>#VALUE!</v>
      </c>
      <c r="FO85" t="e">
        <f>'SurveyRpt_20150223 (1)'!AC529+"h_l!%hR"</f>
        <v>#VALUE!</v>
      </c>
      <c r="FP85" t="e">
        <f>'SurveyRpt_20150223 (1)'!AD529+"h_l!%hS"</f>
        <v>#VALUE!</v>
      </c>
      <c r="FQ85" t="e">
        <f>'SurveyRpt_20150223 (1)'!AE529+"h_l!%hT"</f>
        <v>#VALUE!</v>
      </c>
      <c r="FR85" t="e">
        <f>'SurveyRpt_20150223 (1)'!AF529+"h_l!%hU"</f>
        <v>#VALUE!</v>
      </c>
      <c r="FS85" t="e">
        <f>'SurveyRpt_20150223 (1)'!AG529+"h_l!%hV"</f>
        <v>#VALUE!</v>
      </c>
      <c r="FT85" t="e">
        <f>'SurveyRpt_20150223 (1)'!AH529+"h_l!%hW"</f>
        <v>#VALUE!</v>
      </c>
      <c r="FU85" t="e">
        <f>'SurveyRpt_20150223 (1)'!AI529+"h_l!%hX"</f>
        <v>#VALUE!</v>
      </c>
      <c r="FV85" t="e">
        <f>'SurveyRpt_20150223 (1)'!AJ529+"h_l!%hY"</f>
        <v>#VALUE!</v>
      </c>
      <c r="FW85" t="e">
        <f>'SurveyRpt_20150223 (1)'!AK529+"h_l!%hZ"</f>
        <v>#VALUE!</v>
      </c>
      <c r="FX85" t="e">
        <f>'SurveyRpt_20150223 (1)'!AL529+"h_l!%h["</f>
        <v>#VALUE!</v>
      </c>
      <c r="FY85" t="e">
        <f>'SurveyRpt_20150223 (1)'!AM529+"h_l!%h\"</f>
        <v>#VALUE!</v>
      </c>
      <c r="FZ85" t="e">
        <f>'SurveyRpt_20150223 (1)'!AN529+"h_l!%h]"</f>
        <v>#VALUE!</v>
      </c>
      <c r="GA85" t="e">
        <f>'SurveyRpt_20150223 (1)'!A530+"h_l!%h^"</f>
        <v>#VALUE!</v>
      </c>
      <c r="GB85" s="25" t="e">
        <f>'SurveyRpt_20150223 (1)'!B530+"h_l!%h_"</f>
        <v>#VALUE!</v>
      </c>
      <c r="GC85" t="e">
        <f>'SurveyRpt_20150223 (1)'!C530+"h_l!%h`"</f>
        <v>#VALUE!</v>
      </c>
      <c r="GD85" s="25" t="e">
        <f>'SurveyRpt_20150223 (1)'!D530+"h_l!%ha"</f>
        <v>#VALUE!</v>
      </c>
      <c r="GE85" t="e">
        <f>'SurveyRpt_20150223 (1)'!E530+"h_l!%hb"</f>
        <v>#VALUE!</v>
      </c>
      <c r="GF85" t="e">
        <f>'SurveyRpt_20150223 (1)'!F530+"h_l!%hc"</f>
        <v>#VALUE!</v>
      </c>
      <c r="GG85" t="e">
        <f>'SurveyRpt_20150223 (1)'!G530+"h_l!%hd"</f>
        <v>#VALUE!</v>
      </c>
      <c r="GH85" t="e">
        <f>'SurveyRpt_20150223 (1)'!H530+"h_l!%he"</f>
        <v>#VALUE!</v>
      </c>
      <c r="GI85" t="e">
        <f>'SurveyRpt_20150223 (1)'!I530+"h_l!%hf"</f>
        <v>#VALUE!</v>
      </c>
      <c r="GJ85" t="e">
        <f>'SurveyRpt_20150223 (1)'!J530+"h_l!%hg"</f>
        <v>#VALUE!</v>
      </c>
      <c r="GK85" t="e">
        <f>'SurveyRpt_20150223 (1)'!K530+"h_l!%hh"</f>
        <v>#VALUE!</v>
      </c>
      <c r="GL85" t="e">
        <f>'SurveyRpt_20150223 (1)'!L530+"h_l!%hi"</f>
        <v>#VALUE!</v>
      </c>
      <c r="GM85" t="e">
        <f>'SurveyRpt_20150223 (1)'!M530+"h_l!%hj"</f>
        <v>#VALUE!</v>
      </c>
      <c r="GN85" t="e">
        <f>'SurveyRpt_20150223 (1)'!N530+"h_l!%hk"</f>
        <v>#VALUE!</v>
      </c>
      <c r="GO85" t="e">
        <f>'SurveyRpt_20150223 (1)'!O530+"h_l!%hl"</f>
        <v>#VALUE!</v>
      </c>
      <c r="GP85" t="e">
        <f>'SurveyRpt_20150223 (1)'!P530+"h_l!%hm"</f>
        <v>#VALUE!</v>
      </c>
      <c r="GQ85" t="e">
        <f>'SurveyRpt_20150223 (1)'!Q530+"h_l!%hn"</f>
        <v>#VALUE!</v>
      </c>
      <c r="GR85" t="e">
        <f>'SurveyRpt_20150223 (1)'!R530+"h_l!%ho"</f>
        <v>#VALUE!</v>
      </c>
      <c r="GS85" t="e">
        <f>'SurveyRpt_20150223 (1)'!S530+"h_l!%hp"</f>
        <v>#VALUE!</v>
      </c>
      <c r="GT85" t="e">
        <f>'SurveyRpt_20150223 (1)'!T530+"h_l!%hq"</f>
        <v>#VALUE!</v>
      </c>
      <c r="GU85" t="e">
        <f>'SurveyRpt_20150223 (1)'!U530+"h_l!%hr"</f>
        <v>#VALUE!</v>
      </c>
      <c r="GV85" t="e">
        <f>'SurveyRpt_20150223 (1)'!V530+"h_l!%hs"</f>
        <v>#VALUE!</v>
      </c>
      <c r="GW85" t="e">
        <f>'SurveyRpt_20150223 (1)'!W530+"h_l!%ht"</f>
        <v>#VALUE!</v>
      </c>
      <c r="GX85" t="e">
        <f>'SurveyRpt_20150223 (1)'!X530+"h_l!%hu"</f>
        <v>#VALUE!</v>
      </c>
      <c r="GY85" t="e">
        <f>'SurveyRpt_20150223 (1)'!Y530+"h_l!%hv"</f>
        <v>#VALUE!</v>
      </c>
      <c r="GZ85" t="e">
        <f>'SurveyRpt_20150223 (1)'!Z530+"h_l!%hw"</f>
        <v>#VALUE!</v>
      </c>
      <c r="HA85" t="e">
        <f>'SurveyRpt_20150223 (1)'!AA530+"h_l!%hx"</f>
        <v>#VALUE!</v>
      </c>
      <c r="HB85" t="e">
        <f>'SurveyRpt_20150223 (1)'!AB530+"h_l!%hy"</f>
        <v>#VALUE!</v>
      </c>
      <c r="HC85" t="e">
        <f>'SurveyRpt_20150223 (1)'!AC530+"h_l!%hz"</f>
        <v>#VALUE!</v>
      </c>
      <c r="HD85" t="e">
        <f>'SurveyRpt_20150223 (1)'!AD530+"h_l!%h{"</f>
        <v>#VALUE!</v>
      </c>
      <c r="HE85" t="e">
        <f>'SurveyRpt_20150223 (1)'!AE530+"h_l!%h|"</f>
        <v>#VALUE!</v>
      </c>
      <c r="HF85" t="e">
        <f>'SurveyRpt_20150223 (1)'!AF530+"h_l!%h}"</f>
        <v>#VALUE!</v>
      </c>
      <c r="HG85" t="e">
        <f>'SurveyRpt_20150223 (1)'!AG530+"h_l!%h~"</f>
        <v>#VALUE!</v>
      </c>
      <c r="HH85" t="e">
        <f>'SurveyRpt_20150223 (1)'!AH530+"h_l!%i#"</f>
        <v>#VALUE!</v>
      </c>
      <c r="HI85" t="e">
        <f>'SurveyRpt_20150223 (1)'!AI530+"h_l!%i$"</f>
        <v>#VALUE!</v>
      </c>
      <c r="HJ85" t="e">
        <f>'SurveyRpt_20150223 (1)'!AJ530+"h_l!%i%"</f>
        <v>#VALUE!</v>
      </c>
      <c r="HK85" t="e">
        <f>'SurveyRpt_20150223 (1)'!AK530+"h_l!%i&amp;"</f>
        <v>#VALUE!</v>
      </c>
      <c r="HL85" t="e">
        <f>'SurveyRpt_20150223 (1)'!AL530+"h_l!%i'"</f>
        <v>#VALUE!</v>
      </c>
      <c r="HM85" t="e">
        <f>'SurveyRpt_20150223 (1)'!AM530+"h_l!%i("</f>
        <v>#VALUE!</v>
      </c>
      <c r="HN85" t="e">
        <f>'SurveyRpt_20150223 (1)'!AN530+"h_l!%i)"</f>
        <v>#VALUE!</v>
      </c>
      <c r="HO85" t="e">
        <f>'SurveyRpt_20150223 (1)'!A531+"h_l!%i."</f>
        <v>#VALUE!</v>
      </c>
      <c r="HP85" s="25" t="e">
        <f>'SurveyRpt_20150223 (1)'!B531+"h_l!%i/"</f>
        <v>#VALUE!</v>
      </c>
      <c r="HQ85" t="e">
        <f>'SurveyRpt_20150223 (1)'!C531+"h_l!%i0"</f>
        <v>#VALUE!</v>
      </c>
      <c r="HR85" s="25" t="e">
        <f>'SurveyRpt_20150223 (1)'!D531+"h_l!%i1"</f>
        <v>#VALUE!</v>
      </c>
      <c r="HS85" t="e">
        <f>'SurveyRpt_20150223 (1)'!E531+"h_l!%i2"</f>
        <v>#VALUE!</v>
      </c>
      <c r="HT85" t="e">
        <f>'SurveyRpt_20150223 (1)'!F531+"h_l!%i3"</f>
        <v>#VALUE!</v>
      </c>
      <c r="HU85" t="e">
        <f>'SurveyRpt_20150223 (1)'!G531+"h_l!%i4"</f>
        <v>#VALUE!</v>
      </c>
      <c r="HV85" t="e">
        <f>'SurveyRpt_20150223 (1)'!H531+"h_l!%i5"</f>
        <v>#VALUE!</v>
      </c>
      <c r="HW85" t="e">
        <f>'SurveyRpt_20150223 (1)'!I531+"h_l!%i6"</f>
        <v>#VALUE!</v>
      </c>
      <c r="HX85" t="e">
        <f>'SurveyRpt_20150223 (1)'!J531+"h_l!%i7"</f>
        <v>#VALUE!</v>
      </c>
      <c r="HY85" t="e">
        <f>'SurveyRpt_20150223 (1)'!K531+"h_l!%i8"</f>
        <v>#VALUE!</v>
      </c>
      <c r="HZ85" t="e">
        <f>'SurveyRpt_20150223 (1)'!L531+"h_l!%i9"</f>
        <v>#VALUE!</v>
      </c>
      <c r="IA85" t="e">
        <f>'SurveyRpt_20150223 (1)'!M531+"h_l!%i:"</f>
        <v>#VALUE!</v>
      </c>
      <c r="IB85" t="e">
        <f>'SurveyRpt_20150223 (1)'!N531+"h_l!%i;"</f>
        <v>#VALUE!</v>
      </c>
      <c r="IC85" t="e">
        <f>'SurveyRpt_20150223 (1)'!O531+"h_l!%i&lt;"</f>
        <v>#VALUE!</v>
      </c>
      <c r="ID85" t="e">
        <f>'SurveyRpt_20150223 (1)'!P531+"h_l!%i="</f>
        <v>#VALUE!</v>
      </c>
      <c r="IE85" t="e">
        <f>'SurveyRpt_20150223 (1)'!Q531+"h_l!%i&gt;"</f>
        <v>#VALUE!</v>
      </c>
      <c r="IF85" t="e">
        <f>'SurveyRpt_20150223 (1)'!R531+"h_l!%i?"</f>
        <v>#VALUE!</v>
      </c>
      <c r="IG85" t="e">
        <f>'SurveyRpt_20150223 (1)'!S531+"h_l!%i@"</f>
        <v>#VALUE!</v>
      </c>
      <c r="IH85" t="e">
        <f>'SurveyRpt_20150223 (1)'!T531+"h_l!%iA"</f>
        <v>#VALUE!</v>
      </c>
      <c r="II85" t="e">
        <f>'SurveyRpt_20150223 (1)'!U531+"h_l!%iB"</f>
        <v>#VALUE!</v>
      </c>
      <c r="IJ85" t="e">
        <f>'SurveyRpt_20150223 (1)'!V531+"h_l!%iC"</f>
        <v>#VALUE!</v>
      </c>
      <c r="IK85" t="e">
        <f>'SurveyRpt_20150223 (1)'!W531+"h_l!%iD"</f>
        <v>#VALUE!</v>
      </c>
      <c r="IL85" t="e">
        <f>'SurveyRpt_20150223 (1)'!X531+"h_l!%iE"</f>
        <v>#VALUE!</v>
      </c>
      <c r="IM85" t="e">
        <f>'SurveyRpt_20150223 (1)'!Y531+"h_l!%iF"</f>
        <v>#VALUE!</v>
      </c>
      <c r="IN85" t="e">
        <f>'SurveyRpt_20150223 (1)'!Z531+"h_l!%iG"</f>
        <v>#VALUE!</v>
      </c>
      <c r="IO85" t="e">
        <f>'SurveyRpt_20150223 (1)'!AA531+"h_l!%iH"</f>
        <v>#VALUE!</v>
      </c>
      <c r="IP85" t="e">
        <f>'SurveyRpt_20150223 (1)'!AB531+"h_l!%iI"</f>
        <v>#VALUE!</v>
      </c>
      <c r="IQ85" t="e">
        <f>'SurveyRpt_20150223 (1)'!AC531+"h_l!%iJ"</f>
        <v>#VALUE!</v>
      </c>
      <c r="IR85" t="e">
        <f>'SurveyRpt_20150223 (1)'!AD531+"h_l!%iK"</f>
        <v>#VALUE!</v>
      </c>
      <c r="IS85" t="e">
        <f>'SurveyRpt_20150223 (1)'!AE531+"h_l!%iL"</f>
        <v>#VALUE!</v>
      </c>
      <c r="IT85" t="e">
        <f>'SurveyRpt_20150223 (1)'!AF531+"h_l!%iM"</f>
        <v>#VALUE!</v>
      </c>
      <c r="IU85" t="e">
        <f>'SurveyRpt_20150223 (1)'!AG531+"h_l!%iN"</f>
        <v>#VALUE!</v>
      </c>
      <c r="IV85" t="e">
        <f>'SurveyRpt_20150223 (1)'!AH531+"h_l!%iO"</f>
        <v>#VALUE!</v>
      </c>
    </row>
    <row r="86" spans="6:256" x14ac:dyDescent="0.25">
      <c r="F86" t="e">
        <f>'SurveyRpt_20150223 (1)'!AI531+"h_l!%iP"</f>
        <v>#VALUE!</v>
      </c>
      <c r="G86" t="e">
        <f>'SurveyRpt_20150223 (1)'!AJ531+"h_l!%iQ"</f>
        <v>#VALUE!</v>
      </c>
      <c r="H86" t="e">
        <f>'SurveyRpt_20150223 (1)'!AK531+"h_l!%iR"</f>
        <v>#VALUE!</v>
      </c>
      <c r="I86" t="e">
        <f>'SurveyRpt_20150223 (1)'!AL531+"h_l!%iS"</f>
        <v>#VALUE!</v>
      </c>
      <c r="J86" t="e">
        <f>'SurveyRpt_20150223 (1)'!AM531+"h_l!%iT"</f>
        <v>#VALUE!</v>
      </c>
      <c r="K86" t="e">
        <f>'SurveyRpt_20150223 (1)'!AN531+"h_l!%iU"</f>
        <v>#VALUE!</v>
      </c>
      <c r="L86" t="e">
        <f>'SurveyRpt_20150223 (1)'!A532+"h_l!%iV"</f>
        <v>#VALUE!</v>
      </c>
      <c r="M86" s="25" t="e">
        <f>'SurveyRpt_20150223 (1)'!B532+"h_l!%iW"</f>
        <v>#VALUE!</v>
      </c>
      <c r="N86" t="e">
        <f>'SurveyRpt_20150223 (1)'!C532+"h_l!%iX"</f>
        <v>#VALUE!</v>
      </c>
      <c r="O86" s="25" t="e">
        <f>'SurveyRpt_20150223 (1)'!D532+"h_l!%iY"</f>
        <v>#VALUE!</v>
      </c>
      <c r="P86" t="e">
        <f>'SurveyRpt_20150223 (1)'!E532+"h_l!%iZ"</f>
        <v>#VALUE!</v>
      </c>
      <c r="Q86" t="e">
        <f>'SurveyRpt_20150223 (1)'!F532+"h_l!%i["</f>
        <v>#VALUE!</v>
      </c>
      <c r="R86" t="e">
        <f>'SurveyRpt_20150223 (1)'!G532+"h_l!%i\"</f>
        <v>#VALUE!</v>
      </c>
      <c r="S86" t="e">
        <f>'SurveyRpt_20150223 (1)'!H532+"h_l!%i]"</f>
        <v>#VALUE!</v>
      </c>
      <c r="T86" t="e">
        <f>'SurveyRpt_20150223 (1)'!I532+"h_l!%i^"</f>
        <v>#VALUE!</v>
      </c>
      <c r="U86" t="e">
        <f>'SurveyRpt_20150223 (1)'!J532+"h_l!%i_"</f>
        <v>#VALUE!</v>
      </c>
      <c r="V86" t="e">
        <f>'SurveyRpt_20150223 (1)'!K532+"h_l!%i`"</f>
        <v>#VALUE!</v>
      </c>
      <c r="W86" t="e">
        <f>'SurveyRpt_20150223 (1)'!L532+"h_l!%ia"</f>
        <v>#VALUE!</v>
      </c>
      <c r="X86" t="e">
        <f>'SurveyRpt_20150223 (1)'!M532+"h_l!%ib"</f>
        <v>#VALUE!</v>
      </c>
      <c r="Y86" t="e">
        <f>'SurveyRpt_20150223 (1)'!N532+"h_l!%ic"</f>
        <v>#VALUE!</v>
      </c>
      <c r="Z86" t="e">
        <f>'SurveyRpt_20150223 (1)'!O532+"h_l!%id"</f>
        <v>#VALUE!</v>
      </c>
      <c r="AA86" t="e">
        <f>'SurveyRpt_20150223 (1)'!P532+"h_l!%ie"</f>
        <v>#VALUE!</v>
      </c>
      <c r="AB86" t="e">
        <f>'SurveyRpt_20150223 (1)'!Q532+"h_l!%if"</f>
        <v>#VALUE!</v>
      </c>
      <c r="AC86" t="e">
        <f>'SurveyRpt_20150223 (1)'!R532+"h_l!%ig"</f>
        <v>#VALUE!</v>
      </c>
      <c r="AD86" t="e">
        <f>'SurveyRpt_20150223 (1)'!S532+"h_l!%ih"</f>
        <v>#VALUE!</v>
      </c>
      <c r="AE86" t="e">
        <f>'SurveyRpt_20150223 (1)'!T532+"h_l!%ii"</f>
        <v>#VALUE!</v>
      </c>
      <c r="AF86" t="e">
        <f>'SurveyRpt_20150223 (1)'!U532+"h_l!%ij"</f>
        <v>#VALUE!</v>
      </c>
      <c r="AG86" t="e">
        <f>'SurveyRpt_20150223 (1)'!V532+"h_l!%ik"</f>
        <v>#VALUE!</v>
      </c>
      <c r="AH86" t="e">
        <f>'SurveyRpt_20150223 (1)'!W532+"h_l!%il"</f>
        <v>#VALUE!</v>
      </c>
      <c r="AI86" t="e">
        <f>'SurveyRpt_20150223 (1)'!X532+"h_l!%im"</f>
        <v>#VALUE!</v>
      </c>
      <c r="AJ86" t="e">
        <f>'SurveyRpt_20150223 (1)'!Y532+"h_l!%in"</f>
        <v>#VALUE!</v>
      </c>
      <c r="AK86" t="e">
        <f>'SurveyRpt_20150223 (1)'!Z532+"h_l!%io"</f>
        <v>#VALUE!</v>
      </c>
      <c r="AL86" t="e">
        <f>'SurveyRpt_20150223 (1)'!AA532+"h_l!%ip"</f>
        <v>#VALUE!</v>
      </c>
      <c r="AM86" t="e">
        <f>'SurveyRpt_20150223 (1)'!AB532+"h_l!%iq"</f>
        <v>#VALUE!</v>
      </c>
      <c r="AN86" t="e">
        <f>'SurveyRpt_20150223 (1)'!AC532+"h_l!%ir"</f>
        <v>#VALUE!</v>
      </c>
      <c r="AO86" t="e">
        <f>'SurveyRpt_20150223 (1)'!AD532+"h_l!%is"</f>
        <v>#VALUE!</v>
      </c>
      <c r="AP86" t="e">
        <f>'SurveyRpt_20150223 (1)'!AE532+"h_l!%it"</f>
        <v>#VALUE!</v>
      </c>
      <c r="AQ86" t="e">
        <f>'SurveyRpt_20150223 (1)'!AF532+"h_l!%iu"</f>
        <v>#VALUE!</v>
      </c>
      <c r="AR86" t="e">
        <f>'SurveyRpt_20150223 (1)'!AG532+"h_l!%iv"</f>
        <v>#VALUE!</v>
      </c>
      <c r="AS86" t="e">
        <f>'SurveyRpt_20150223 (1)'!AH532+"h_l!%iw"</f>
        <v>#VALUE!</v>
      </c>
      <c r="AT86" t="e">
        <f>'SurveyRpt_20150223 (1)'!AI532+"h_l!%ix"</f>
        <v>#VALUE!</v>
      </c>
      <c r="AU86" t="e">
        <f>'SurveyRpt_20150223 (1)'!AJ532+"h_l!%iy"</f>
        <v>#VALUE!</v>
      </c>
      <c r="AV86" t="e">
        <f>'SurveyRpt_20150223 (1)'!AK532+"h_l!%iz"</f>
        <v>#VALUE!</v>
      </c>
      <c r="AW86" t="e">
        <f>'SurveyRpt_20150223 (1)'!AL532+"h_l!%i{"</f>
        <v>#VALUE!</v>
      </c>
      <c r="AX86" t="e">
        <f>'SurveyRpt_20150223 (1)'!AM532+"h_l!%i|"</f>
        <v>#VALUE!</v>
      </c>
      <c r="AY86" t="e">
        <f>'SurveyRpt_20150223 (1)'!AN532+"h_l!%i}"</f>
        <v>#VALUE!</v>
      </c>
      <c r="AZ86" t="e">
        <f>'SurveyRpt_20150223 (1)'!A533+"h_l!%i~"</f>
        <v>#VALUE!</v>
      </c>
      <c r="BA86" s="25" t="e">
        <f>'SurveyRpt_20150223 (1)'!B533+"h_l!%j#"</f>
        <v>#VALUE!</v>
      </c>
      <c r="BB86" t="e">
        <f>'SurveyRpt_20150223 (1)'!C533+"h_l!%j$"</f>
        <v>#VALUE!</v>
      </c>
      <c r="BC86" s="25" t="e">
        <f>'SurveyRpt_20150223 (1)'!D533+"h_l!%j%"</f>
        <v>#VALUE!</v>
      </c>
      <c r="BD86" t="e">
        <f>'SurveyRpt_20150223 (1)'!E533+"h_l!%j&amp;"</f>
        <v>#VALUE!</v>
      </c>
      <c r="BE86" t="e">
        <f>'SurveyRpt_20150223 (1)'!F533+"h_l!%j'"</f>
        <v>#VALUE!</v>
      </c>
      <c r="BF86" t="e">
        <f>'SurveyRpt_20150223 (1)'!G533+"h_l!%j("</f>
        <v>#VALUE!</v>
      </c>
      <c r="BG86" t="e">
        <f>'SurveyRpt_20150223 (1)'!H533+"h_l!%j)"</f>
        <v>#VALUE!</v>
      </c>
      <c r="BH86" t="e">
        <f>'SurveyRpt_20150223 (1)'!I533+"h_l!%j."</f>
        <v>#VALUE!</v>
      </c>
      <c r="BI86" t="e">
        <f>'SurveyRpt_20150223 (1)'!J533+"h_l!%j/"</f>
        <v>#VALUE!</v>
      </c>
      <c r="BJ86" t="e">
        <f>'SurveyRpt_20150223 (1)'!K533+"h_l!%j0"</f>
        <v>#VALUE!</v>
      </c>
      <c r="BK86" t="e">
        <f>'SurveyRpt_20150223 (1)'!L533+"h_l!%j1"</f>
        <v>#VALUE!</v>
      </c>
      <c r="BL86" t="e">
        <f>'SurveyRpt_20150223 (1)'!M533+"h_l!%j2"</f>
        <v>#VALUE!</v>
      </c>
      <c r="BM86" t="e">
        <f>'SurveyRpt_20150223 (1)'!N533+"h_l!%j3"</f>
        <v>#VALUE!</v>
      </c>
      <c r="BN86" t="e">
        <f>'SurveyRpt_20150223 (1)'!O533+"h_l!%j4"</f>
        <v>#VALUE!</v>
      </c>
      <c r="BO86" t="e">
        <f>'SurveyRpt_20150223 (1)'!P533+"h_l!%j5"</f>
        <v>#VALUE!</v>
      </c>
      <c r="BP86" t="e">
        <f>'SurveyRpt_20150223 (1)'!Q533+"h_l!%j6"</f>
        <v>#VALUE!</v>
      </c>
      <c r="BQ86" t="e">
        <f>'SurveyRpt_20150223 (1)'!R533+"h_l!%j7"</f>
        <v>#VALUE!</v>
      </c>
      <c r="BR86" t="e">
        <f>'SurveyRpt_20150223 (1)'!S533+"h_l!%j8"</f>
        <v>#VALUE!</v>
      </c>
      <c r="BS86" t="e">
        <f>'SurveyRpt_20150223 (1)'!T533+"h_l!%j9"</f>
        <v>#VALUE!</v>
      </c>
      <c r="BT86" t="e">
        <f>'SurveyRpt_20150223 (1)'!U533+"h_l!%j:"</f>
        <v>#VALUE!</v>
      </c>
      <c r="BU86" t="e">
        <f>'SurveyRpt_20150223 (1)'!V533+"h_l!%j;"</f>
        <v>#VALUE!</v>
      </c>
      <c r="BV86" t="e">
        <f>'SurveyRpt_20150223 (1)'!W533+"h_l!%j&lt;"</f>
        <v>#VALUE!</v>
      </c>
      <c r="BW86" t="e">
        <f>'SurveyRpt_20150223 (1)'!X533+"h_l!%j="</f>
        <v>#VALUE!</v>
      </c>
      <c r="BX86" t="e">
        <f>'SurveyRpt_20150223 (1)'!Y533+"h_l!%j&gt;"</f>
        <v>#VALUE!</v>
      </c>
      <c r="BY86" t="e">
        <f>'SurveyRpt_20150223 (1)'!Z533+"h_l!%j?"</f>
        <v>#VALUE!</v>
      </c>
      <c r="BZ86" t="e">
        <f>'SurveyRpt_20150223 (1)'!AA533+"h_l!%j@"</f>
        <v>#VALUE!</v>
      </c>
      <c r="CA86" t="e">
        <f>'SurveyRpt_20150223 (1)'!AB533+"h_l!%jA"</f>
        <v>#VALUE!</v>
      </c>
      <c r="CB86" t="e">
        <f>'SurveyRpt_20150223 (1)'!AC533+"h_l!%jB"</f>
        <v>#VALUE!</v>
      </c>
      <c r="CC86" t="e">
        <f>'SurveyRpt_20150223 (1)'!AD533+"h_l!%jC"</f>
        <v>#VALUE!</v>
      </c>
      <c r="CD86" t="e">
        <f>'SurveyRpt_20150223 (1)'!AE533+"h_l!%jD"</f>
        <v>#VALUE!</v>
      </c>
      <c r="CE86" t="e">
        <f>'SurveyRpt_20150223 (1)'!AF533+"h_l!%jE"</f>
        <v>#VALUE!</v>
      </c>
      <c r="CF86" t="e">
        <f>'SurveyRpt_20150223 (1)'!AG533+"h_l!%jF"</f>
        <v>#VALUE!</v>
      </c>
      <c r="CG86" t="e">
        <f>'SurveyRpt_20150223 (1)'!AH533+"h_l!%jG"</f>
        <v>#VALUE!</v>
      </c>
      <c r="CH86" t="e">
        <f>'SurveyRpt_20150223 (1)'!AI533+"h_l!%jH"</f>
        <v>#VALUE!</v>
      </c>
      <c r="CI86" t="e">
        <f>'SurveyRpt_20150223 (1)'!AJ533+"h_l!%jI"</f>
        <v>#VALUE!</v>
      </c>
      <c r="CJ86" t="e">
        <f>'SurveyRpt_20150223 (1)'!AK533+"h_l!%jJ"</f>
        <v>#VALUE!</v>
      </c>
      <c r="CK86" t="e">
        <f>'SurveyRpt_20150223 (1)'!AL533+"h_l!%jK"</f>
        <v>#VALUE!</v>
      </c>
      <c r="CL86" t="e">
        <f>'SurveyRpt_20150223 (1)'!AM533+"h_l!%jL"</f>
        <v>#VALUE!</v>
      </c>
      <c r="CM86" t="e">
        <f>'SurveyRpt_20150223 (1)'!AN533+"h_l!%jM"</f>
        <v>#VALUE!</v>
      </c>
      <c r="CN86" t="e">
        <f>'SurveyRpt_20150223 (1)'!A534+"h_l!%jN"</f>
        <v>#VALUE!</v>
      </c>
      <c r="CO86" s="25" t="e">
        <f>'SurveyRpt_20150223 (1)'!B534+"h_l!%jO"</f>
        <v>#VALUE!</v>
      </c>
      <c r="CP86" t="e">
        <f>'SurveyRpt_20150223 (1)'!C534+"h_l!%jP"</f>
        <v>#VALUE!</v>
      </c>
      <c r="CQ86" s="25" t="e">
        <f>'SurveyRpt_20150223 (1)'!D534+"h_l!%jQ"</f>
        <v>#VALUE!</v>
      </c>
      <c r="CR86" t="e">
        <f>'SurveyRpt_20150223 (1)'!E534+"h_l!%jR"</f>
        <v>#VALUE!</v>
      </c>
      <c r="CS86" t="e">
        <f>'SurveyRpt_20150223 (1)'!F534+"h_l!%jS"</f>
        <v>#VALUE!</v>
      </c>
      <c r="CT86" t="e">
        <f>'SurveyRpt_20150223 (1)'!G534+"h_l!%jT"</f>
        <v>#VALUE!</v>
      </c>
      <c r="CU86" t="e">
        <f>'SurveyRpt_20150223 (1)'!H534+"h_l!%jU"</f>
        <v>#VALUE!</v>
      </c>
      <c r="CV86" t="e">
        <f>'SurveyRpt_20150223 (1)'!I534+"h_l!%jV"</f>
        <v>#VALUE!</v>
      </c>
      <c r="CW86" t="e">
        <f>'SurveyRpt_20150223 (1)'!J534+"h_l!%jW"</f>
        <v>#VALUE!</v>
      </c>
      <c r="CX86" t="e">
        <f>'SurveyRpt_20150223 (1)'!K534+"h_l!%jX"</f>
        <v>#VALUE!</v>
      </c>
      <c r="CY86" t="e">
        <f>'SurveyRpt_20150223 (1)'!L534+"h_l!%jY"</f>
        <v>#VALUE!</v>
      </c>
      <c r="CZ86" t="e">
        <f>'SurveyRpt_20150223 (1)'!M534+"h_l!%jZ"</f>
        <v>#VALUE!</v>
      </c>
      <c r="DA86" t="e">
        <f>'SurveyRpt_20150223 (1)'!N534+"h_l!%j["</f>
        <v>#VALUE!</v>
      </c>
      <c r="DB86" t="e">
        <f>'SurveyRpt_20150223 (1)'!O534+"h_l!%j\"</f>
        <v>#VALUE!</v>
      </c>
      <c r="DC86" t="e">
        <f>'SurveyRpt_20150223 (1)'!P534+"h_l!%j]"</f>
        <v>#VALUE!</v>
      </c>
      <c r="DD86" t="e">
        <f>'SurveyRpt_20150223 (1)'!Q534+"h_l!%j^"</f>
        <v>#VALUE!</v>
      </c>
      <c r="DE86" t="e">
        <f>'SurveyRpt_20150223 (1)'!R534+"h_l!%j_"</f>
        <v>#VALUE!</v>
      </c>
      <c r="DF86" t="e">
        <f>'SurveyRpt_20150223 (1)'!S534+"h_l!%j`"</f>
        <v>#VALUE!</v>
      </c>
      <c r="DG86" t="e">
        <f>'SurveyRpt_20150223 (1)'!T534+"h_l!%ja"</f>
        <v>#VALUE!</v>
      </c>
      <c r="DH86" t="e">
        <f>'SurveyRpt_20150223 (1)'!U534+"h_l!%jb"</f>
        <v>#VALUE!</v>
      </c>
      <c r="DI86" t="e">
        <f>'SurveyRpt_20150223 (1)'!V534+"h_l!%jc"</f>
        <v>#VALUE!</v>
      </c>
      <c r="DJ86" t="e">
        <f>'SurveyRpt_20150223 (1)'!W534+"h_l!%jd"</f>
        <v>#VALUE!</v>
      </c>
      <c r="DK86" t="e">
        <f>'SurveyRpt_20150223 (1)'!X534+"h_l!%je"</f>
        <v>#VALUE!</v>
      </c>
      <c r="DL86" t="e">
        <f>'SurveyRpt_20150223 (1)'!Y534+"h_l!%jf"</f>
        <v>#VALUE!</v>
      </c>
      <c r="DM86" t="e">
        <f>'SurveyRpt_20150223 (1)'!Z534+"h_l!%jg"</f>
        <v>#VALUE!</v>
      </c>
      <c r="DN86" t="e">
        <f>'SurveyRpt_20150223 (1)'!AA534+"h_l!%jh"</f>
        <v>#VALUE!</v>
      </c>
      <c r="DO86" t="e">
        <f>'SurveyRpt_20150223 (1)'!AB534+"h_l!%ji"</f>
        <v>#VALUE!</v>
      </c>
      <c r="DP86" t="e">
        <f>'SurveyRpt_20150223 (1)'!AC534+"h_l!%jj"</f>
        <v>#VALUE!</v>
      </c>
      <c r="DQ86" t="e">
        <f>'SurveyRpt_20150223 (1)'!AD534+"h_l!%jk"</f>
        <v>#VALUE!</v>
      </c>
      <c r="DR86" t="e">
        <f>'SurveyRpt_20150223 (1)'!AE534+"h_l!%jl"</f>
        <v>#VALUE!</v>
      </c>
      <c r="DS86" t="e">
        <f>'SurveyRpt_20150223 (1)'!AF534+"h_l!%jm"</f>
        <v>#VALUE!</v>
      </c>
      <c r="DT86" t="e">
        <f>'SurveyRpt_20150223 (1)'!AG534+"h_l!%jn"</f>
        <v>#VALUE!</v>
      </c>
      <c r="DU86" t="e">
        <f>'SurveyRpt_20150223 (1)'!AH534+"h_l!%jo"</f>
        <v>#VALUE!</v>
      </c>
      <c r="DV86" t="e">
        <f>'SurveyRpt_20150223 (1)'!AI534+"h_l!%jp"</f>
        <v>#VALUE!</v>
      </c>
      <c r="DW86" t="e">
        <f>'SurveyRpt_20150223 (1)'!AJ534+"h_l!%jq"</f>
        <v>#VALUE!</v>
      </c>
      <c r="DX86" t="e">
        <f>'SurveyRpt_20150223 (1)'!AK534+"h_l!%jr"</f>
        <v>#VALUE!</v>
      </c>
      <c r="DY86" t="e">
        <f>'SurveyRpt_20150223 (1)'!AL534+"h_l!%js"</f>
        <v>#VALUE!</v>
      </c>
      <c r="DZ86" t="e">
        <f>'SurveyRpt_20150223 (1)'!AM534+"h_l!%jt"</f>
        <v>#VALUE!</v>
      </c>
      <c r="EA86" t="e">
        <f>'SurveyRpt_20150223 (1)'!AN534+"h_l!%ju"</f>
        <v>#VALUE!</v>
      </c>
      <c r="EB86" t="e">
        <f>'SurveyRpt_20150223 (1)'!A535+"h_l!%jv"</f>
        <v>#VALUE!</v>
      </c>
      <c r="EC86" s="25" t="e">
        <f>'SurveyRpt_20150223 (1)'!B535+"h_l!%jw"</f>
        <v>#VALUE!</v>
      </c>
      <c r="ED86" t="e">
        <f>'SurveyRpt_20150223 (1)'!C535+"h_l!%jx"</f>
        <v>#VALUE!</v>
      </c>
      <c r="EE86" s="25" t="e">
        <f>'SurveyRpt_20150223 (1)'!D535+"h_l!%jy"</f>
        <v>#VALUE!</v>
      </c>
      <c r="EF86" t="e">
        <f>'SurveyRpt_20150223 (1)'!E535+"h_l!%jz"</f>
        <v>#VALUE!</v>
      </c>
      <c r="EG86" t="e">
        <f>'SurveyRpt_20150223 (1)'!F535+"h_l!%j{"</f>
        <v>#VALUE!</v>
      </c>
      <c r="EH86" t="e">
        <f>'SurveyRpt_20150223 (1)'!G535+"h_l!%j|"</f>
        <v>#VALUE!</v>
      </c>
      <c r="EI86" t="e">
        <f>'SurveyRpt_20150223 (1)'!H535+"h_l!%j}"</f>
        <v>#VALUE!</v>
      </c>
      <c r="EJ86" t="e">
        <f>'SurveyRpt_20150223 (1)'!I535+"h_l!%j~"</f>
        <v>#VALUE!</v>
      </c>
      <c r="EK86" t="e">
        <f>'SurveyRpt_20150223 (1)'!J535+"h_l!%k#"</f>
        <v>#VALUE!</v>
      </c>
      <c r="EL86" t="e">
        <f>'SurveyRpt_20150223 (1)'!K535+"h_l!%k$"</f>
        <v>#VALUE!</v>
      </c>
      <c r="EM86" t="e">
        <f>'SurveyRpt_20150223 (1)'!L535+"h_l!%k%"</f>
        <v>#VALUE!</v>
      </c>
      <c r="EN86" t="e">
        <f>'SurveyRpt_20150223 (1)'!M535+"h_l!%k&amp;"</f>
        <v>#VALUE!</v>
      </c>
      <c r="EO86" t="e">
        <f>'SurveyRpt_20150223 (1)'!N535+"h_l!%k'"</f>
        <v>#VALUE!</v>
      </c>
      <c r="EP86" t="e">
        <f>'SurveyRpt_20150223 (1)'!O535+"h_l!%k("</f>
        <v>#VALUE!</v>
      </c>
      <c r="EQ86" t="e">
        <f>'SurveyRpt_20150223 (1)'!P535+"h_l!%k)"</f>
        <v>#VALUE!</v>
      </c>
      <c r="ER86" t="e">
        <f>'SurveyRpt_20150223 (1)'!Q535+"h_l!%k."</f>
        <v>#VALUE!</v>
      </c>
      <c r="ES86" t="e">
        <f>'SurveyRpt_20150223 (1)'!R535+"h_l!%k/"</f>
        <v>#VALUE!</v>
      </c>
      <c r="ET86" t="e">
        <f>'SurveyRpt_20150223 (1)'!S535+"h_l!%k0"</f>
        <v>#VALUE!</v>
      </c>
      <c r="EU86" t="e">
        <f>'SurveyRpt_20150223 (1)'!T535+"h_l!%k1"</f>
        <v>#VALUE!</v>
      </c>
      <c r="EV86" t="e">
        <f>'SurveyRpt_20150223 (1)'!U535+"h_l!%k2"</f>
        <v>#VALUE!</v>
      </c>
      <c r="EW86" t="e">
        <f>'SurveyRpt_20150223 (1)'!V535+"h_l!%k3"</f>
        <v>#VALUE!</v>
      </c>
      <c r="EX86" t="e">
        <f>'SurveyRpt_20150223 (1)'!W535+"h_l!%k4"</f>
        <v>#VALUE!</v>
      </c>
      <c r="EY86" t="e">
        <f>'SurveyRpt_20150223 (1)'!X535+"h_l!%k5"</f>
        <v>#VALUE!</v>
      </c>
      <c r="EZ86" t="e">
        <f>'SurveyRpt_20150223 (1)'!Y535+"h_l!%k6"</f>
        <v>#VALUE!</v>
      </c>
      <c r="FA86" t="e">
        <f>'SurveyRpt_20150223 (1)'!Z535+"h_l!%k7"</f>
        <v>#VALUE!</v>
      </c>
      <c r="FB86" t="e">
        <f>'SurveyRpt_20150223 (1)'!AA535+"h_l!%k8"</f>
        <v>#VALUE!</v>
      </c>
      <c r="FC86" t="e">
        <f>'SurveyRpt_20150223 (1)'!AB535+"h_l!%k9"</f>
        <v>#VALUE!</v>
      </c>
      <c r="FD86" t="e">
        <f>'SurveyRpt_20150223 (1)'!AC535+"h_l!%k:"</f>
        <v>#VALUE!</v>
      </c>
      <c r="FE86" t="e">
        <f>'SurveyRpt_20150223 (1)'!AD535+"h_l!%k;"</f>
        <v>#VALUE!</v>
      </c>
      <c r="FF86" t="e">
        <f>'SurveyRpt_20150223 (1)'!AE535+"h_l!%k&lt;"</f>
        <v>#VALUE!</v>
      </c>
      <c r="FG86" t="e">
        <f>'SurveyRpt_20150223 (1)'!AF535+"h_l!%k="</f>
        <v>#VALUE!</v>
      </c>
      <c r="FH86" t="e">
        <f>'SurveyRpt_20150223 (1)'!AG535+"h_l!%k&gt;"</f>
        <v>#VALUE!</v>
      </c>
      <c r="FI86" t="e">
        <f>'SurveyRpt_20150223 (1)'!AH535+"h_l!%k?"</f>
        <v>#VALUE!</v>
      </c>
      <c r="FJ86" t="e">
        <f>'SurveyRpt_20150223 (1)'!AI535+"h_l!%k@"</f>
        <v>#VALUE!</v>
      </c>
      <c r="FK86" t="e">
        <f>'SurveyRpt_20150223 (1)'!AJ535+"h_l!%kA"</f>
        <v>#VALUE!</v>
      </c>
      <c r="FL86" t="e">
        <f>'SurveyRpt_20150223 (1)'!AK535+"h_l!%kB"</f>
        <v>#VALUE!</v>
      </c>
      <c r="FM86" t="e">
        <f>'SurveyRpt_20150223 (1)'!AL535+"h_l!%kC"</f>
        <v>#VALUE!</v>
      </c>
      <c r="FN86" t="e">
        <f>'SurveyRpt_20150223 (1)'!AM535+"h_l!%kD"</f>
        <v>#VALUE!</v>
      </c>
      <c r="FO86" t="e">
        <f>'SurveyRpt_20150223 (1)'!AN535+"h_l!%kE"</f>
        <v>#VALUE!</v>
      </c>
      <c r="FP86" t="e">
        <f>'SurveyRpt_20150223 (1)'!A536+"h_l!%kF"</f>
        <v>#VALUE!</v>
      </c>
      <c r="FQ86" s="25" t="e">
        <f>'SurveyRpt_20150223 (1)'!B536+"h_l!%kG"</f>
        <v>#VALUE!</v>
      </c>
      <c r="FR86" t="e">
        <f>'SurveyRpt_20150223 (1)'!C536+"h_l!%kH"</f>
        <v>#VALUE!</v>
      </c>
      <c r="FS86" s="25" t="e">
        <f>'SurveyRpt_20150223 (1)'!D536+"h_l!%kI"</f>
        <v>#VALUE!</v>
      </c>
      <c r="FT86" t="e">
        <f>'SurveyRpt_20150223 (1)'!E536+"h_l!%kJ"</f>
        <v>#VALUE!</v>
      </c>
      <c r="FU86" t="e">
        <f>'SurveyRpt_20150223 (1)'!F536+"h_l!%kK"</f>
        <v>#VALUE!</v>
      </c>
      <c r="FV86" t="e">
        <f>'SurveyRpt_20150223 (1)'!G536+"h_l!%kL"</f>
        <v>#VALUE!</v>
      </c>
      <c r="FW86" t="e">
        <f>'SurveyRpt_20150223 (1)'!H536+"h_l!%kM"</f>
        <v>#VALUE!</v>
      </c>
      <c r="FX86" t="e">
        <f>'SurveyRpt_20150223 (1)'!I536+"h_l!%kN"</f>
        <v>#VALUE!</v>
      </c>
      <c r="FY86" t="e">
        <f>'SurveyRpt_20150223 (1)'!J536+"h_l!%kO"</f>
        <v>#VALUE!</v>
      </c>
      <c r="FZ86" t="e">
        <f>'SurveyRpt_20150223 (1)'!K536+"h_l!%kP"</f>
        <v>#VALUE!</v>
      </c>
      <c r="GA86" t="e">
        <f>'SurveyRpt_20150223 (1)'!L536+"h_l!%kQ"</f>
        <v>#VALUE!</v>
      </c>
      <c r="GB86" t="e">
        <f>'SurveyRpt_20150223 (1)'!M536+"h_l!%kR"</f>
        <v>#VALUE!</v>
      </c>
      <c r="GC86" t="e">
        <f>'SurveyRpt_20150223 (1)'!N536+"h_l!%kS"</f>
        <v>#VALUE!</v>
      </c>
      <c r="GD86" t="e">
        <f>'SurveyRpt_20150223 (1)'!O536+"h_l!%kT"</f>
        <v>#VALUE!</v>
      </c>
      <c r="GE86" t="e">
        <f>'SurveyRpt_20150223 (1)'!P536+"h_l!%kU"</f>
        <v>#VALUE!</v>
      </c>
      <c r="GF86" t="e">
        <f>'SurveyRpt_20150223 (1)'!Q536+"h_l!%kV"</f>
        <v>#VALUE!</v>
      </c>
      <c r="GG86" t="e">
        <f>'SurveyRpt_20150223 (1)'!R536+"h_l!%kW"</f>
        <v>#VALUE!</v>
      </c>
      <c r="GH86" t="e">
        <f>'SurveyRpt_20150223 (1)'!S536+"h_l!%kX"</f>
        <v>#VALUE!</v>
      </c>
      <c r="GI86" t="e">
        <f>'SurveyRpt_20150223 (1)'!T536+"h_l!%kY"</f>
        <v>#VALUE!</v>
      </c>
      <c r="GJ86" t="e">
        <f>'SurveyRpt_20150223 (1)'!U536+"h_l!%kZ"</f>
        <v>#VALUE!</v>
      </c>
      <c r="GK86" t="e">
        <f>'SurveyRpt_20150223 (1)'!V536+"h_l!%k["</f>
        <v>#VALUE!</v>
      </c>
      <c r="GL86" t="e">
        <f>'SurveyRpt_20150223 (1)'!W536+"h_l!%k\"</f>
        <v>#VALUE!</v>
      </c>
      <c r="GM86" t="e">
        <f>'SurveyRpt_20150223 (1)'!X536+"h_l!%k]"</f>
        <v>#VALUE!</v>
      </c>
      <c r="GN86" t="e">
        <f>'SurveyRpt_20150223 (1)'!Y536+"h_l!%k^"</f>
        <v>#VALUE!</v>
      </c>
      <c r="GO86" t="e">
        <f>'SurveyRpt_20150223 (1)'!Z536+"h_l!%k_"</f>
        <v>#VALUE!</v>
      </c>
      <c r="GP86" t="e">
        <f>'SurveyRpt_20150223 (1)'!AA536+"h_l!%k`"</f>
        <v>#VALUE!</v>
      </c>
      <c r="GQ86" t="e">
        <f>'SurveyRpt_20150223 (1)'!AB536+"h_l!%ka"</f>
        <v>#VALUE!</v>
      </c>
      <c r="GR86" t="e">
        <f>'SurveyRpt_20150223 (1)'!AC536+"h_l!%kb"</f>
        <v>#VALUE!</v>
      </c>
      <c r="GS86" t="e">
        <f>'SurveyRpt_20150223 (1)'!AD536+"h_l!%kc"</f>
        <v>#VALUE!</v>
      </c>
      <c r="GT86" t="e">
        <f>'SurveyRpt_20150223 (1)'!AE536+"h_l!%kd"</f>
        <v>#VALUE!</v>
      </c>
      <c r="GU86" t="e">
        <f>'SurveyRpt_20150223 (1)'!AF536+"h_l!%ke"</f>
        <v>#VALUE!</v>
      </c>
      <c r="GV86" t="e">
        <f>'SurveyRpt_20150223 (1)'!AG536+"h_l!%kf"</f>
        <v>#VALUE!</v>
      </c>
      <c r="GW86" t="e">
        <f>'SurveyRpt_20150223 (1)'!AH536+"h_l!%kg"</f>
        <v>#VALUE!</v>
      </c>
      <c r="GX86" t="e">
        <f>'SurveyRpt_20150223 (1)'!AI536+"h_l!%kh"</f>
        <v>#VALUE!</v>
      </c>
      <c r="GY86" t="e">
        <f>'SurveyRpt_20150223 (1)'!AJ536+"h_l!%ki"</f>
        <v>#VALUE!</v>
      </c>
      <c r="GZ86" t="e">
        <f>'SurveyRpt_20150223 (1)'!AK536+"h_l!%kj"</f>
        <v>#VALUE!</v>
      </c>
      <c r="HA86" t="e">
        <f>'SurveyRpt_20150223 (1)'!AL536+"h_l!%kk"</f>
        <v>#VALUE!</v>
      </c>
      <c r="HB86" t="e">
        <f>'SurveyRpt_20150223 (1)'!AM536+"h_l!%kl"</f>
        <v>#VALUE!</v>
      </c>
      <c r="HC86" t="e">
        <f>'SurveyRpt_20150223 (1)'!AN536+"h_l!%km"</f>
        <v>#VALUE!</v>
      </c>
      <c r="HD86" t="e">
        <f>'SurveyRpt_20150223 (1)'!A537+"h_l!%kn"</f>
        <v>#VALUE!</v>
      </c>
      <c r="HE86" s="25" t="e">
        <f>'SurveyRpt_20150223 (1)'!B537+"h_l!%ko"</f>
        <v>#VALUE!</v>
      </c>
      <c r="HF86" t="e">
        <f>'SurveyRpt_20150223 (1)'!C537+"h_l!%kp"</f>
        <v>#VALUE!</v>
      </c>
      <c r="HG86" s="25" t="e">
        <f>'SurveyRpt_20150223 (1)'!D537+"h_l!%kq"</f>
        <v>#VALUE!</v>
      </c>
      <c r="HH86" t="e">
        <f>'SurveyRpt_20150223 (1)'!E537+"h_l!%kr"</f>
        <v>#VALUE!</v>
      </c>
      <c r="HI86" t="e">
        <f>'SurveyRpt_20150223 (1)'!F537+"h_l!%ks"</f>
        <v>#VALUE!</v>
      </c>
      <c r="HJ86" t="e">
        <f>'SurveyRpt_20150223 (1)'!G537+"h_l!%kt"</f>
        <v>#VALUE!</v>
      </c>
      <c r="HK86" t="e">
        <f>'SurveyRpt_20150223 (1)'!H537+"h_l!%ku"</f>
        <v>#VALUE!</v>
      </c>
      <c r="HL86" t="e">
        <f>'SurveyRpt_20150223 (1)'!I537+"h_l!%kv"</f>
        <v>#VALUE!</v>
      </c>
      <c r="HM86" t="e">
        <f>'SurveyRpt_20150223 (1)'!J537+"h_l!%kw"</f>
        <v>#VALUE!</v>
      </c>
      <c r="HN86" t="e">
        <f>'SurveyRpt_20150223 (1)'!K537+"h_l!%kx"</f>
        <v>#VALUE!</v>
      </c>
      <c r="HO86" t="e">
        <f>'SurveyRpt_20150223 (1)'!L537+"h_l!%ky"</f>
        <v>#VALUE!</v>
      </c>
      <c r="HP86" t="e">
        <f>'SurveyRpt_20150223 (1)'!M537+"h_l!%kz"</f>
        <v>#VALUE!</v>
      </c>
      <c r="HQ86" t="e">
        <f>'SurveyRpt_20150223 (1)'!N537+"h_l!%k{"</f>
        <v>#VALUE!</v>
      </c>
      <c r="HR86" t="e">
        <f>'SurveyRpt_20150223 (1)'!O537+"h_l!%k|"</f>
        <v>#VALUE!</v>
      </c>
      <c r="HS86" t="e">
        <f>'SurveyRpt_20150223 (1)'!P537+"h_l!%k}"</f>
        <v>#VALUE!</v>
      </c>
      <c r="HT86" t="e">
        <f>'SurveyRpt_20150223 (1)'!Q537+"h_l!%k~"</f>
        <v>#VALUE!</v>
      </c>
      <c r="HU86" t="e">
        <f>'SurveyRpt_20150223 (1)'!R537+"h_l!%l#"</f>
        <v>#VALUE!</v>
      </c>
      <c r="HV86" t="e">
        <f>'SurveyRpt_20150223 (1)'!S537+"h_l!%l$"</f>
        <v>#VALUE!</v>
      </c>
      <c r="HW86" t="e">
        <f>'SurveyRpt_20150223 (1)'!T537+"h_l!%l%"</f>
        <v>#VALUE!</v>
      </c>
      <c r="HX86" t="e">
        <f>'SurveyRpt_20150223 (1)'!U537+"h_l!%l&amp;"</f>
        <v>#VALUE!</v>
      </c>
      <c r="HY86" t="e">
        <f>'SurveyRpt_20150223 (1)'!V537+"h_l!%l'"</f>
        <v>#VALUE!</v>
      </c>
      <c r="HZ86" t="e">
        <f>'SurveyRpt_20150223 (1)'!W537+"h_l!%l("</f>
        <v>#VALUE!</v>
      </c>
      <c r="IA86" t="e">
        <f>'SurveyRpt_20150223 (1)'!X537+"h_l!%l)"</f>
        <v>#VALUE!</v>
      </c>
      <c r="IB86" t="e">
        <f>'SurveyRpt_20150223 (1)'!Y537+"h_l!%l."</f>
        <v>#VALUE!</v>
      </c>
      <c r="IC86" t="e">
        <f>'SurveyRpt_20150223 (1)'!Z537+"h_l!%l/"</f>
        <v>#VALUE!</v>
      </c>
      <c r="ID86" t="e">
        <f>'SurveyRpt_20150223 (1)'!AA537+"h_l!%l0"</f>
        <v>#VALUE!</v>
      </c>
      <c r="IE86" t="e">
        <f>'SurveyRpt_20150223 (1)'!AB537+"h_l!%l1"</f>
        <v>#VALUE!</v>
      </c>
      <c r="IF86" t="e">
        <f>'SurveyRpt_20150223 (1)'!AC537+"h_l!%l2"</f>
        <v>#VALUE!</v>
      </c>
      <c r="IG86" t="e">
        <f>'SurveyRpt_20150223 (1)'!AD537+"h_l!%l3"</f>
        <v>#VALUE!</v>
      </c>
      <c r="IH86" t="e">
        <f>'SurveyRpt_20150223 (1)'!AE537+"h_l!%l4"</f>
        <v>#VALUE!</v>
      </c>
      <c r="II86" t="e">
        <f>'SurveyRpt_20150223 (1)'!AF537+"h_l!%l5"</f>
        <v>#VALUE!</v>
      </c>
      <c r="IJ86" t="e">
        <f>'SurveyRpt_20150223 (1)'!AG537+"h_l!%l6"</f>
        <v>#VALUE!</v>
      </c>
      <c r="IK86" t="e">
        <f>'SurveyRpt_20150223 (1)'!AH537+"h_l!%l7"</f>
        <v>#VALUE!</v>
      </c>
      <c r="IL86" t="e">
        <f>'SurveyRpt_20150223 (1)'!AI537+"h_l!%l8"</f>
        <v>#VALUE!</v>
      </c>
      <c r="IM86" t="e">
        <f>'SurveyRpt_20150223 (1)'!AJ537+"h_l!%l9"</f>
        <v>#VALUE!</v>
      </c>
      <c r="IN86" t="e">
        <f>'SurveyRpt_20150223 (1)'!AK537+"h_l!%l:"</f>
        <v>#VALUE!</v>
      </c>
      <c r="IO86" t="e">
        <f>'SurveyRpt_20150223 (1)'!AL537+"h_l!%l;"</f>
        <v>#VALUE!</v>
      </c>
      <c r="IP86" t="e">
        <f>'SurveyRpt_20150223 (1)'!AM537+"h_l!%l&lt;"</f>
        <v>#VALUE!</v>
      </c>
      <c r="IQ86" t="e">
        <f>'SurveyRpt_20150223 (1)'!AN537+"h_l!%l="</f>
        <v>#VALUE!</v>
      </c>
      <c r="IR86" t="e">
        <f>'SurveyRpt_20150223 (1)'!A538+"h_l!%l&gt;"</f>
        <v>#VALUE!</v>
      </c>
      <c r="IS86" s="25" t="e">
        <f>'SurveyRpt_20150223 (1)'!B538+"h_l!%l?"</f>
        <v>#VALUE!</v>
      </c>
      <c r="IT86" t="e">
        <f>'SurveyRpt_20150223 (1)'!C538+"h_l!%l@"</f>
        <v>#VALUE!</v>
      </c>
      <c r="IU86" s="25" t="e">
        <f>'SurveyRpt_20150223 (1)'!D538+"h_l!%lA"</f>
        <v>#VALUE!</v>
      </c>
      <c r="IV86" t="e">
        <f>'SurveyRpt_20150223 (1)'!E538+"h_l!%lB"</f>
        <v>#VALUE!</v>
      </c>
    </row>
    <row r="87" spans="6:256" x14ac:dyDescent="0.25">
      <c r="F87" t="e">
        <f>'SurveyRpt_20150223 (1)'!F538+"h_l!%lC"</f>
        <v>#VALUE!</v>
      </c>
      <c r="G87" t="e">
        <f>'SurveyRpt_20150223 (1)'!G538+"h_l!%lD"</f>
        <v>#VALUE!</v>
      </c>
      <c r="H87" t="e">
        <f>'SurveyRpt_20150223 (1)'!H538+"h_l!%lE"</f>
        <v>#VALUE!</v>
      </c>
      <c r="I87" t="e">
        <f>'SurveyRpt_20150223 (1)'!I538+"h_l!%lF"</f>
        <v>#VALUE!</v>
      </c>
      <c r="J87" t="e">
        <f>'SurveyRpt_20150223 (1)'!J538+"h_l!%lG"</f>
        <v>#VALUE!</v>
      </c>
      <c r="K87" t="e">
        <f>'SurveyRpt_20150223 (1)'!K538+"h_l!%lH"</f>
        <v>#VALUE!</v>
      </c>
      <c r="L87" t="e">
        <f>'SurveyRpt_20150223 (1)'!L538+"h_l!%lI"</f>
        <v>#VALUE!</v>
      </c>
      <c r="M87" t="e">
        <f>'SurveyRpt_20150223 (1)'!M538+"h_l!%lJ"</f>
        <v>#VALUE!</v>
      </c>
      <c r="N87" t="e">
        <f>'SurveyRpt_20150223 (1)'!N538+"h_l!%lK"</f>
        <v>#VALUE!</v>
      </c>
      <c r="O87" t="e">
        <f>'SurveyRpt_20150223 (1)'!O538+"h_l!%lL"</f>
        <v>#VALUE!</v>
      </c>
      <c r="P87" t="e">
        <f>'SurveyRpt_20150223 (1)'!P538+"h_l!%lM"</f>
        <v>#VALUE!</v>
      </c>
      <c r="Q87" t="e">
        <f>'SurveyRpt_20150223 (1)'!Q538+"h_l!%lN"</f>
        <v>#VALUE!</v>
      </c>
      <c r="R87" t="e">
        <f>'SurveyRpt_20150223 (1)'!R538+"h_l!%lO"</f>
        <v>#VALUE!</v>
      </c>
      <c r="S87" t="e">
        <f>'SurveyRpt_20150223 (1)'!S538+"h_l!%lP"</f>
        <v>#VALUE!</v>
      </c>
      <c r="T87" t="e">
        <f>'SurveyRpt_20150223 (1)'!T538+"h_l!%lQ"</f>
        <v>#VALUE!</v>
      </c>
      <c r="U87" t="e">
        <f>'SurveyRpt_20150223 (1)'!U538+"h_l!%lR"</f>
        <v>#VALUE!</v>
      </c>
      <c r="V87" t="e">
        <f>'SurveyRpt_20150223 (1)'!V538+"h_l!%lS"</f>
        <v>#VALUE!</v>
      </c>
      <c r="W87" t="e">
        <f>'SurveyRpt_20150223 (1)'!W538+"h_l!%lT"</f>
        <v>#VALUE!</v>
      </c>
      <c r="X87" t="e">
        <f>'SurveyRpt_20150223 (1)'!X538+"h_l!%lU"</f>
        <v>#VALUE!</v>
      </c>
      <c r="Y87" t="e">
        <f>'SurveyRpt_20150223 (1)'!Y538+"h_l!%lV"</f>
        <v>#VALUE!</v>
      </c>
      <c r="Z87" t="e">
        <f>'SurveyRpt_20150223 (1)'!Z538+"h_l!%lW"</f>
        <v>#VALUE!</v>
      </c>
      <c r="AA87" t="e">
        <f>'SurveyRpt_20150223 (1)'!AA538+"h_l!%lX"</f>
        <v>#VALUE!</v>
      </c>
      <c r="AB87" t="e">
        <f>'SurveyRpt_20150223 (1)'!AB538+"h_l!%lY"</f>
        <v>#VALUE!</v>
      </c>
      <c r="AC87" t="e">
        <f>'SurveyRpt_20150223 (1)'!AC538+"h_l!%lZ"</f>
        <v>#VALUE!</v>
      </c>
      <c r="AD87" t="e">
        <f>'SurveyRpt_20150223 (1)'!AD538+"h_l!%l["</f>
        <v>#VALUE!</v>
      </c>
      <c r="AE87" t="e">
        <f>'SurveyRpt_20150223 (1)'!AE538+"h_l!%l\"</f>
        <v>#VALUE!</v>
      </c>
      <c r="AF87" t="e">
        <f>'SurveyRpt_20150223 (1)'!AF538+"h_l!%l]"</f>
        <v>#VALUE!</v>
      </c>
      <c r="AG87" t="e">
        <f>'SurveyRpt_20150223 (1)'!AG538+"h_l!%l^"</f>
        <v>#VALUE!</v>
      </c>
      <c r="AH87" t="e">
        <f>'SurveyRpt_20150223 (1)'!AH538+"h_l!%l_"</f>
        <v>#VALUE!</v>
      </c>
      <c r="AI87" t="e">
        <f>'SurveyRpt_20150223 (1)'!AI538+"h_l!%l`"</f>
        <v>#VALUE!</v>
      </c>
      <c r="AJ87" t="e">
        <f>'SurveyRpt_20150223 (1)'!AJ538+"h_l!%la"</f>
        <v>#VALUE!</v>
      </c>
      <c r="AK87" t="e">
        <f>'SurveyRpt_20150223 (1)'!AK538+"h_l!%lb"</f>
        <v>#VALUE!</v>
      </c>
      <c r="AL87" t="e">
        <f>'SurveyRpt_20150223 (1)'!AL538+"h_l!%lc"</f>
        <v>#VALUE!</v>
      </c>
      <c r="AM87" t="e">
        <f>'SurveyRpt_20150223 (1)'!AM538+"h_l!%ld"</f>
        <v>#VALUE!</v>
      </c>
      <c r="AN87" t="e">
        <f>'SurveyRpt_20150223 (1)'!AN538+"h_l!%le"</f>
        <v>#VALUE!</v>
      </c>
      <c r="AO87" t="e">
        <f>'SurveyRpt_20150223 (1)'!A539+"h_l!%lf"</f>
        <v>#VALUE!</v>
      </c>
      <c r="AP87" s="25" t="e">
        <f>'SurveyRpt_20150223 (1)'!B539+"h_l!%lg"</f>
        <v>#VALUE!</v>
      </c>
      <c r="AQ87" t="e">
        <f>'SurveyRpt_20150223 (1)'!C539+"h_l!%lh"</f>
        <v>#VALUE!</v>
      </c>
      <c r="AR87" s="25" t="e">
        <f>'SurveyRpt_20150223 (1)'!D539+"h_l!%li"</f>
        <v>#VALUE!</v>
      </c>
      <c r="AS87" t="e">
        <f>'SurveyRpt_20150223 (1)'!E539+"h_l!%lj"</f>
        <v>#VALUE!</v>
      </c>
      <c r="AT87" t="e">
        <f>'SurveyRpt_20150223 (1)'!F539+"h_l!%lk"</f>
        <v>#VALUE!</v>
      </c>
      <c r="AU87" t="e">
        <f>'SurveyRpt_20150223 (1)'!G539+"h_l!%ll"</f>
        <v>#VALUE!</v>
      </c>
      <c r="AV87" t="e">
        <f>'SurveyRpt_20150223 (1)'!H539+"h_l!%lm"</f>
        <v>#VALUE!</v>
      </c>
      <c r="AW87" t="e">
        <f>'SurveyRpt_20150223 (1)'!I539+"h_l!%ln"</f>
        <v>#VALUE!</v>
      </c>
      <c r="AX87" t="e">
        <f>'SurveyRpt_20150223 (1)'!J539+"h_l!%lo"</f>
        <v>#VALUE!</v>
      </c>
      <c r="AY87" t="e">
        <f>'SurveyRpt_20150223 (1)'!K539+"h_l!%lp"</f>
        <v>#VALUE!</v>
      </c>
      <c r="AZ87" t="e">
        <f>'SurveyRpt_20150223 (1)'!L539+"h_l!%lq"</f>
        <v>#VALUE!</v>
      </c>
      <c r="BA87" t="e">
        <f>'SurveyRpt_20150223 (1)'!M539+"h_l!%lr"</f>
        <v>#VALUE!</v>
      </c>
      <c r="BB87" t="e">
        <f>'SurveyRpt_20150223 (1)'!N539+"h_l!%ls"</f>
        <v>#VALUE!</v>
      </c>
      <c r="BC87" t="e">
        <f>'SurveyRpt_20150223 (1)'!O539+"h_l!%lt"</f>
        <v>#VALUE!</v>
      </c>
      <c r="BD87" t="e">
        <f>'SurveyRpt_20150223 (1)'!P539+"h_l!%lu"</f>
        <v>#VALUE!</v>
      </c>
      <c r="BE87" t="e">
        <f>'SurveyRpt_20150223 (1)'!Q539+"h_l!%lv"</f>
        <v>#VALUE!</v>
      </c>
      <c r="BF87" t="e">
        <f>'SurveyRpt_20150223 (1)'!R539+"h_l!%lw"</f>
        <v>#VALUE!</v>
      </c>
      <c r="BG87" t="e">
        <f>'SurveyRpt_20150223 (1)'!S539+"h_l!%lx"</f>
        <v>#VALUE!</v>
      </c>
      <c r="BH87" t="e">
        <f>'SurveyRpt_20150223 (1)'!T539+"h_l!%ly"</f>
        <v>#VALUE!</v>
      </c>
      <c r="BI87" t="e">
        <f>'SurveyRpt_20150223 (1)'!U539+"h_l!%lz"</f>
        <v>#VALUE!</v>
      </c>
      <c r="BJ87" t="e">
        <f>'SurveyRpt_20150223 (1)'!V539+"h_l!%l{"</f>
        <v>#VALUE!</v>
      </c>
      <c r="BK87" t="e">
        <f>'SurveyRpt_20150223 (1)'!W539+"h_l!%l|"</f>
        <v>#VALUE!</v>
      </c>
      <c r="BL87" t="e">
        <f>'SurveyRpt_20150223 (1)'!X539+"h_l!%l}"</f>
        <v>#VALUE!</v>
      </c>
      <c r="BM87" t="e">
        <f>'SurveyRpt_20150223 (1)'!Y539+"h_l!%l~"</f>
        <v>#VALUE!</v>
      </c>
      <c r="BN87" t="e">
        <f>'SurveyRpt_20150223 (1)'!Z539+"h_l!%m#"</f>
        <v>#VALUE!</v>
      </c>
      <c r="BO87" t="e">
        <f>'SurveyRpt_20150223 (1)'!AA539+"h_l!%m$"</f>
        <v>#VALUE!</v>
      </c>
      <c r="BP87" t="e">
        <f>'SurveyRpt_20150223 (1)'!AB539+"h_l!%m%"</f>
        <v>#VALUE!</v>
      </c>
      <c r="BQ87" t="e">
        <f>'SurveyRpt_20150223 (1)'!AC539+"h_l!%m&amp;"</f>
        <v>#VALUE!</v>
      </c>
      <c r="BR87" t="e">
        <f>'SurveyRpt_20150223 (1)'!AD539+"h_l!%m'"</f>
        <v>#VALUE!</v>
      </c>
      <c r="BS87" t="e">
        <f>'SurveyRpt_20150223 (1)'!AE539+"h_l!%m("</f>
        <v>#VALUE!</v>
      </c>
      <c r="BT87" t="e">
        <f>'SurveyRpt_20150223 (1)'!AF539+"h_l!%m)"</f>
        <v>#VALUE!</v>
      </c>
      <c r="BU87" t="e">
        <f>'SurveyRpt_20150223 (1)'!AG539+"h_l!%m."</f>
        <v>#VALUE!</v>
      </c>
      <c r="BV87" t="e">
        <f>'SurveyRpt_20150223 (1)'!AH539+"h_l!%m/"</f>
        <v>#VALUE!</v>
      </c>
      <c r="BW87" t="e">
        <f>'SurveyRpt_20150223 (1)'!AI539+"h_l!%m0"</f>
        <v>#VALUE!</v>
      </c>
      <c r="BX87" t="e">
        <f>'SurveyRpt_20150223 (1)'!AJ539+"h_l!%m1"</f>
        <v>#VALUE!</v>
      </c>
      <c r="BY87" t="e">
        <f>'SurveyRpt_20150223 (1)'!AK539+"h_l!%m2"</f>
        <v>#VALUE!</v>
      </c>
      <c r="BZ87" t="e">
        <f>'SurveyRpt_20150223 (1)'!AL539+"h_l!%m3"</f>
        <v>#VALUE!</v>
      </c>
      <c r="CA87" t="e">
        <f>'SurveyRpt_20150223 (1)'!AM539+"h_l!%m4"</f>
        <v>#VALUE!</v>
      </c>
      <c r="CB87" t="e">
        <f>'SurveyRpt_20150223 (1)'!AN539+"h_l!%m5"</f>
        <v>#VALUE!</v>
      </c>
      <c r="CC87" t="e">
        <f>'SurveyRpt_20150223 (1)'!A540+"h_l!%m6"</f>
        <v>#VALUE!</v>
      </c>
      <c r="CD87" s="25" t="e">
        <f>'SurveyRpt_20150223 (1)'!B540+"h_l!%m7"</f>
        <v>#VALUE!</v>
      </c>
      <c r="CE87" t="e">
        <f>'SurveyRpt_20150223 (1)'!C540+"h_l!%m8"</f>
        <v>#VALUE!</v>
      </c>
      <c r="CF87" s="25" t="e">
        <f>'SurveyRpt_20150223 (1)'!D540+"h_l!%m9"</f>
        <v>#VALUE!</v>
      </c>
      <c r="CG87" t="e">
        <f>'SurveyRpt_20150223 (1)'!E540+"h_l!%m:"</f>
        <v>#VALUE!</v>
      </c>
      <c r="CH87" t="e">
        <f>'SurveyRpt_20150223 (1)'!F540+"h_l!%m;"</f>
        <v>#VALUE!</v>
      </c>
      <c r="CI87" t="e">
        <f>'SurveyRpt_20150223 (1)'!G540+"h_l!%m&lt;"</f>
        <v>#VALUE!</v>
      </c>
      <c r="CJ87" t="e">
        <f>'SurveyRpt_20150223 (1)'!H540+"h_l!%m="</f>
        <v>#VALUE!</v>
      </c>
      <c r="CK87" t="e">
        <f>'SurveyRpt_20150223 (1)'!I540+"h_l!%m&gt;"</f>
        <v>#VALUE!</v>
      </c>
      <c r="CL87" t="e">
        <f>'SurveyRpt_20150223 (1)'!J540+"h_l!%m?"</f>
        <v>#VALUE!</v>
      </c>
      <c r="CM87" t="e">
        <f>'SurveyRpt_20150223 (1)'!K540+"h_l!%m@"</f>
        <v>#VALUE!</v>
      </c>
      <c r="CN87" t="e">
        <f>'SurveyRpt_20150223 (1)'!L540+"h_l!%mA"</f>
        <v>#VALUE!</v>
      </c>
      <c r="CO87" t="e">
        <f>'SurveyRpt_20150223 (1)'!M540+"h_l!%mB"</f>
        <v>#VALUE!</v>
      </c>
      <c r="CP87" t="e">
        <f>'SurveyRpt_20150223 (1)'!N540+"h_l!%mC"</f>
        <v>#VALUE!</v>
      </c>
      <c r="CQ87" t="e">
        <f>'SurveyRpt_20150223 (1)'!O540+"h_l!%mD"</f>
        <v>#VALUE!</v>
      </c>
      <c r="CR87" t="e">
        <f>'SurveyRpt_20150223 (1)'!P540+"h_l!%mE"</f>
        <v>#VALUE!</v>
      </c>
      <c r="CS87" t="e">
        <f>'SurveyRpt_20150223 (1)'!Q540+"h_l!%mF"</f>
        <v>#VALUE!</v>
      </c>
      <c r="CT87" t="e">
        <f>'SurveyRpt_20150223 (1)'!R540+"h_l!%mG"</f>
        <v>#VALUE!</v>
      </c>
      <c r="CU87" t="e">
        <f>'SurveyRpt_20150223 (1)'!S540+"h_l!%mH"</f>
        <v>#VALUE!</v>
      </c>
      <c r="CV87" t="e">
        <f>'SurveyRpt_20150223 (1)'!T540+"h_l!%mI"</f>
        <v>#VALUE!</v>
      </c>
      <c r="CW87" t="e">
        <f>'SurveyRpt_20150223 (1)'!U540+"h_l!%mJ"</f>
        <v>#VALUE!</v>
      </c>
      <c r="CX87" t="e">
        <f>'SurveyRpt_20150223 (1)'!V540+"h_l!%mK"</f>
        <v>#VALUE!</v>
      </c>
      <c r="CY87" t="e">
        <f>'SurveyRpt_20150223 (1)'!W540+"h_l!%mL"</f>
        <v>#VALUE!</v>
      </c>
      <c r="CZ87" t="e">
        <f>'SurveyRpt_20150223 (1)'!X540+"h_l!%mM"</f>
        <v>#VALUE!</v>
      </c>
      <c r="DA87" t="e">
        <f>'SurveyRpt_20150223 (1)'!Y540+"h_l!%mN"</f>
        <v>#VALUE!</v>
      </c>
      <c r="DB87" t="e">
        <f>'SurveyRpt_20150223 (1)'!Z540+"h_l!%mO"</f>
        <v>#VALUE!</v>
      </c>
      <c r="DC87" t="e">
        <f>'SurveyRpt_20150223 (1)'!AA540+"h_l!%mP"</f>
        <v>#VALUE!</v>
      </c>
      <c r="DD87" t="e">
        <f>'SurveyRpt_20150223 (1)'!AB540+"h_l!%mQ"</f>
        <v>#VALUE!</v>
      </c>
      <c r="DE87" t="e">
        <f>'SurveyRpt_20150223 (1)'!AC540+"h_l!%mR"</f>
        <v>#VALUE!</v>
      </c>
      <c r="DF87" t="e">
        <f>'SurveyRpt_20150223 (1)'!AD540+"h_l!%mS"</f>
        <v>#VALUE!</v>
      </c>
      <c r="DG87" t="e">
        <f>'SurveyRpt_20150223 (1)'!AE540+"h_l!%mT"</f>
        <v>#VALUE!</v>
      </c>
      <c r="DH87" t="e">
        <f>'SurveyRpt_20150223 (1)'!AF540+"h_l!%mU"</f>
        <v>#VALUE!</v>
      </c>
      <c r="DI87" t="e">
        <f>'SurveyRpt_20150223 (1)'!AG540+"h_l!%mV"</f>
        <v>#VALUE!</v>
      </c>
      <c r="DJ87" t="e">
        <f>'SurveyRpt_20150223 (1)'!AH540+"h_l!%mW"</f>
        <v>#VALUE!</v>
      </c>
      <c r="DK87" t="e">
        <f>'SurveyRpt_20150223 (1)'!AI540+"h_l!%mX"</f>
        <v>#VALUE!</v>
      </c>
      <c r="DL87" t="e">
        <f>'SurveyRpt_20150223 (1)'!AJ540+"h_l!%mY"</f>
        <v>#VALUE!</v>
      </c>
      <c r="DM87" t="e">
        <f>'SurveyRpt_20150223 (1)'!AK540+"h_l!%mZ"</f>
        <v>#VALUE!</v>
      </c>
      <c r="DN87" t="e">
        <f>'SurveyRpt_20150223 (1)'!AL540+"h_l!%m["</f>
        <v>#VALUE!</v>
      </c>
      <c r="DO87" t="e">
        <f>'SurveyRpt_20150223 (1)'!AM540+"h_l!%m\"</f>
        <v>#VALUE!</v>
      </c>
      <c r="DP87" t="e">
        <f>'SurveyRpt_20150223 (1)'!AN540+"h_l!%m]"</f>
        <v>#VALUE!</v>
      </c>
      <c r="DQ87" t="e">
        <f>'SurveyRpt_20150223 (1)'!A541+"h_l!%m^"</f>
        <v>#VALUE!</v>
      </c>
      <c r="DR87" s="25" t="e">
        <f>'SurveyRpt_20150223 (1)'!B541+"h_l!%m_"</f>
        <v>#VALUE!</v>
      </c>
      <c r="DS87" t="e">
        <f>'SurveyRpt_20150223 (1)'!C541+"h_l!%m`"</f>
        <v>#VALUE!</v>
      </c>
      <c r="DT87" s="25" t="e">
        <f>'SurveyRpt_20150223 (1)'!D541+"h_l!%ma"</f>
        <v>#VALUE!</v>
      </c>
      <c r="DU87" t="e">
        <f>'SurveyRpt_20150223 (1)'!E541+"h_l!%mb"</f>
        <v>#VALUE!</v>
      </c>
      <c r="DV87" t="e">
        <f>'SurveyRpt_20150223 (1)'!F541+"h_l!%mc"</f>
        <v>#VALUE!</v>
      </c>
      <c r="DW87" t="e">
        <f>'SurveyRpt_20150223 (1)'!G541+"h_l!%md"</f>
        <v>#VALUE!</v>
      </c>
      <c r="DX87" t="e">
        <f>'SurveyRpt_20150223 (1)'!H541+"h_l!%me"</f>
        <v>#VALUE!</v>
      </c>
      <c r="DY87" t="e">
        <f>'SurveyRpt_20150223 (1)'!I541+"h_l!%mf"</f>
        <v>#VALUE!</v>
      </c>
      <c r="DZ87" t="e">
        <f>'SurveyRpt_20150223 (1)'!J541+"h_l!%mg"</f>
        <v>#VALUE!</v>
      </c>
      <c r="EA87" t="e">
        <f>'SurveyRpt_20150223 (1)'!K541+"h_l!%mh"</f>
        <v>#VALUE!</v>
      </c>
      <c r="EB87" t="e">
        <f>'SurveyRpt_20150223 (1)'!L541+"h_l!%mi"</f>
        <v>#VALUE!</v>
      </c>
      <c r="EC87" t="e">
        <f>'SurveyRpt_20150223 (1)'!M541+"h_l!%mj"</f>
        <v>#VALUE!</v>
      </c>
      <c r="ED87" t="e">
        <f>'SurveyRpt_20150223 (1)'!N541+"h_l!%mk"</f>
        <v>#VALUE!</v>
      </c>
      <c r="EE87" t="e">
        <f>'SurveyRpt_20150223 (1)'!O541+"h_l!%ml"</f>
        <v>#VALUE!</v>
      </c>
      <c r="EF87" t="e">
        <f>'SurveyRpt_20150223 (1)'!P541+"h_l!%mm"</f>
        <v>#VALUE!</v>
      </c>
      <c r="EG87" t="e">
        <f>'SurveyRpt_20150223 (1)'!Q541+"h_l!%mn"</f>
        <v>#VALUE!</v>
      </c>
      <c r="EH87" t="e">
        <f>'SurveyRpt_20150223 (1)'!R541+"h_l!%mo"</f>
        <v>#VALUE!</v>
      </c>
      <c r="EI87" t="e">
        <f>'SurveyRpt_20150223 (1)'!S541+"h_l!%mp"</f>
        <v>#VALUE!</v>
      </c>
      <c r="EJ87" t="e">
        <f>'SurveyRpt_20150223 (1)'!T541+"h_l!%mq"</f>
        <v>#VALUE!</v>
      </c>
      <c r="EK87" t="e">
        <f>'SurveyRpt_20150223 (1)'!U541+"h_l!%mr"</f>
        <v>#VALUE!</v>
      </c>
      <c r="EL87" t="e">
        <f>'SurveyRpt_20150223 (1)'!V541+"h_l!%ms"</f>
        <v>#VALUE!</v>
      </c>
      <c r="EM87" t="e">
        <f>'SurveyRpt_20150223 (1)'!W541+"h_l!%mt"</f>
        <v>#VALUE!</v>
      </c>
      <c r="EN87" t="e">
        <f>'SurveyRpt_20150223 (1)'!X541+"h_l!%mu"</f>
        <v>#VALUE!</v>
      </c>
      <c r="EO87" t="e">
        <f>'SurveyRpt_20150223 (1)'!Y541+"h_l!%mv"</f>
        <v>#VALUE!</v>
      </c>
      <c r="EP87" t="e">
        <f>'SurveyRpt_20150223 (1)'!Z541+"h_l!%mw"</f>
        <v>#VALUE!</v>
      </c>
      <c r="EQ87" t="e">
        <f>'SurveyRpt_20150223 (1)'!AA541+"h_l!%mx"</f>
        <v>#VALUE!</v>
      </c>
      <c r="ER87" t="e">
        <f>'SurveyRpt_20150223 (1)'!AB541+"h_l!%my"</f>
        <v>#VALUE!</v>
      </c>
      <c r="ES87" t="e">
        <f>'SurveyRpt_20150223 (1)'!AC541+"h_l!%mz"</f>
        <v>#VALUE!</v>
      </c>
      <c r="ET87" t="e">
        <f>'SurveyRpt_20150223 (1)'!AD541+"h_l!%m{"</f>
        <v>#VALUE!</v>
      </c>
      <c r="EU87" t="e">
        <f>'SurveyRpt_20150223 (1)'!AE541+"h_l!%m|"</f>
        <v>#VALUE!</v>
      </c>
      <c r="EV87" t="e">
        <f>'SurveyRpt_20150223 (1)'!AF541+"h_l!%m}"</f>
        <v>#VALUE!</v>
      </c>
      <c r="EW87" t="e">
        <f>'SurveyRpt_20150223 (1)'!AG541+"h_l!%m~"</f>
        <v>#VALUE!</v>
      </c>
      <c r="EX87" t="e">
        <f>'SurveyRpt_20150223 (1)'!AH541+"h_l!%n#"</f>
        <v>#VALUE!</v>
      </c>
      <c r="EY87" t="e">
        <f>'SurveyRpt_20150223 (1)'!AI541+"h_l!%n$"</f>
        <v>#VALUE!</v>
      </c>
      <c r="EZ87" t="e">
        <f>'SurveyRpt_20150223 (1)'!AJ541+"h_l!%n%"</f>
        <v>#VALUE!</v>
      </c>
      <c r="FA87" t="e">
        <f>'SurveyRpt_20150223 (1)'!AK541+"h_l!%n&amp;"</f>
        <v>#VALUE!</v>
      </c>
      <c r="FB87" t="e">
        <f>'SurveyRpt_20150223 (1)'!AL541+"h_l!%n'"</f>
        <v>#VALUE!</v>
      </c>
      <c r="FC87" t="e">
        <f>'SurveyRpt_20150223 (1)'!AM541+"h_l!%n("</f>
        <v>#VALUE!</v>
      </c>
      <c r="FD87" t="e">
        <f>'SurveyRpt_20150223 (1)'!AN541+"h_l!%n)"</f>
        <v>#VALUE!</v>
      </c>
      <c r="FE87" t="e">
        <f>'SurveyRpt_20150223 (1)'!A542+"h_l!%n."</f>
        <v>#VALUE!</v>
      </c>
      <c r="FF87" s="25" t="e">
        <f>'SurveyRpt_20150223 (1)'!B542+"h_l!%n/"</f>
        <v>#VALUE!</v>
      </c>
      <c r="FG87" t="e">
        <f>'SurveyRpt_20150223 (1)'!C542+"h_l!%n0"</f>
        <v>#VALUE!</v>
      </c>
      <c r="FH87" s="25" t="e">
        <f>'SurveyRpt_20150223 (1)'!D542+"h_l!%n1"</f>
        <v>#VALUE!</v>
      </c>
      <c r="FI87" t="e">
        <f>'SurveyRpt_20150223 (1)'!E542+"h_l!%n2"</f>
        <v>#VALUE!</v>
      </c>
      <c r="FJ87" t="e">
        <f>'SurveyRpt_20150223 (1)'!F542+"h_l!%n3"</f>
        <v>#VALUE!</v>
      </c>
      <c r="FK87" t="e">
        <f>'SurveyRpt_20150223 (1)'!G542+"h_l!%n4"</f>
        <v>#VALUE!</v>
      </c>
      <c r="FL87" t="e">
        <f>'SurveyRpt_20150223 (1)'!H542+"h_l!%n5"</f>
        <v>#VALUE!</v>
      </c>
      <c r="FM87" t="e">
        <f>'SurveyRpt_20150223 (1)'!I542+"h_l!%n6"</f>
        <v>#VALUE!</v>
      </c>
      <c r="FN87" t="e">
        <f>'SurveyRpt_20150223 (1)'!J542+"h_l!%n7"</f>
        <v>#VALUE!</v>
      </c>
      <c r="FO87" t="e">
        <f>'SurveyRpt_20150223 (1)'!K542+"h_l!%n8"</f>
        <v>#VALUE!</v>
      </c>
      <c r="FP87" t="e">
        <f>'SurveyRpt_20150223 (1)'!L542+"h_l!%n9"</f>
        <v>#VALUE!</v>
      </c>
      <c r="FQ87" t="e">
        <f>'SurveyRpt_20150223 (1)'!M542+"h_l!%n:"</f>
        <v>#VALUE!</v>
      </c>
      <c r="FR87" t="e">
        <f>'SurveyRpt_20150223 (1)'!N542+"h_l!%n;"</f>
        <v>#VALUE!</v>
      </c>
      <c r="FS87" t="e">
        <f>'SurveyRpt_20150223 (1)'!O542+"h_l!%n&lt;"</f>
        <v>#VALUE!</v>
      </c>
      <c r="FT87" t="e">
        <f>'SurveyRpt_20150223 (1)'!P542+"h_l!%n="</f>
        <v>#VALUE!</v>
      </c>
      <c r="FU87" t="e">
        <f>'SurveyRpt_20150223 (1)'!Q542+"h_l!%n&gt;"</f>
        <v>#VALUE!</v>
      </c>
      <c r="FV87" t="e">
        <f>'SurveyRpt_20150223 (1)'!R542+"h_l!%n?"</f>
        <v>#VALUE!</v>
      </c>
      <c r="FW87" t="e">
        <f>'SurveyRpt_20150223 (1)'!S542+"h_l!%n@"</f>
        <v>#VALUE!</v>
      </c>
      <c r="FX87" t="e">
        <f>'SurveyRpt_20150223 (1)'!T542+"h_l!%nA"</f>
        <v>#VALUE!</v>
      </c>
      <c r="FY87" t="e">
        <f>'SurveyRpt_20150223 (1)'!U542+"h_l!%nB"</f>
        <v>#VALUE!</v>
      </c>
      <c r="FZ87" t="e">
        <f>'SurveyRpt_20150223 (1)'!V542+"h_l!%nC"</f>
        <v>#VALUE!</v>
      </c>
      <c r="GA87" t="e">
        <f>'SurveyRpt_20150223 (1)'!W542+"h_l!%nD"</f>
        <v>#VALUE!</v>
      </c>
      <c r="GB87" t="e">
        <f>'SurveyRpt_20150223 (1)'!X542+"h_l!%nE"</f>
        <v>#VALUE!</v>
      </c>
      <c r="GC87" t="e">
        <f>'SurveyRpt_20150223 (1)'!Y542+"h_l!%nF"</f>
        <v>#VALUE!</v>
      </c>
      <c r="GD87" t="e">
        <f>'SurveyRpt_20150223 (1)'!Z542+"h_l!%nG"</f>
        <v>#VALUE!</v>
      </c>
      <c r="GE87" t="e">
        <f>'SurveyRpt_20150223 (1)'!AA542+"h_l!%nH"</f>
        <v>#VALUE!</v>
      </c>
      <c r="GF87" t="e">
        <f>'SurveyRpt_20150223 (1)'!AB542+"h_l!%nI"</f>
        <v>#VALUE!</v>
      </c>
      <c r="GG87" t="e">
        <f>'SurveyRpt_20150223 (1)'!AC542+"h_l!%nJ"</f>
        <v>#VALUE!</v>
      </c>
      <c r="GH87" t="e">
        <f>'SurveyRpt_20150223 (1)'!AD542+"h_l!%nK"</f>
        <v>#VALUE!</v>
      </c>
      <c r="GI87" t="e">
        <f>'SurveyRpt_20150223 (1)'!AE542+"h_l!%nL"</f>
        <v>#VALUE!</v>
      </c>
      <c r="GJ87" t="e">
        <f>'SurveyRpt_20150223 (1)'!AF542+"h_l!%nM"</f>
        <v>#VALUE!</v>
      </c>
      <c r="GK87" t="e">
        <f>'SurveyRpt_20150223 (1)'!AG542+"h_l!%nN"</f>
        <v>#VALUE!</v>
      </c>
      <c r="GL87" t="e">
        <f>'SurveyRpt_20150223 (1)'!AH542+"h_l!%nO"</f>
        <v>#VALUE!</v>
      </c>
      <c r="GM87" t="e">
        <f>'SurveyRpt_20150223 (1)'!AI542+"h_l!%nP"</f>
        <v>#VALUE!</v>
      </c>
      <c r="GN87" t="e">
        <f>'SurveyRpt_20150223 (1)'!AJ542+"h_l!%nQ"</f>
        <v>#VALUE!</v>
      </c>
      <c r="GO87" t="e">
        <f>'SurveyRpt_20150223 (1)'!AK542+"h_l!%nR"</f>
        <v>#VALUE!</v>
      </c>
      <c r="GP87" t="e">
        <f>'SurveyRpt_20150223 (1)'!AL542+"h_l!%nS"</f>
        <v>#VALUE!</v>
      </c>
      <c r="GQ87" t="e">
        <f>'SurveyRpt_20150223 (1)'!AM542+"h_l!%nT"</f>
        <v>#VALUE!</v>
      </c>
      <c r="GR87" t="e">
        <f>'SurveyRpt_20150223 (1)'!AN542+"h_l!%nU"</f>
        <v>#VALUE!</v>
      </c>
      <c r="GS87" t="e">
        <f>'SurveyRpt_20150223 (1)'!A543+"h_l!%nV"</f>
        <v>#VALUE!</v>
      </c>
      <c r="GT87" s="25" t="e">
        <f>'SurveyRpt_20150223 (1)'!B543+"h_l!%nW"</f>
        <v>#VALUE!</v>
      </c>
      <c r="GU87" t="e">
        <f>'SurveyRpt_20150223 (1)'!C543+"h_l!%nX"</f>
        <v>#VALUE!</v>
      </c>
      <c r="GV87" s="25" t="e">
        <f>'SurveyRpt_20150223 (1)'!D543+"h_l!%nY"</f>
        <v>#VALUE!</v>
      </c>
      <c r="GW87" t="e">
        <f>'SurveyRpt_20150223 (1)'!E543+"h_l!%nZ"</f>
        <v>#VALUE!</v>
      </c>
      <c r="GX87" t="e">
        <f>'SurveyRpt_20150223 (1)'!F543+"h_l!%n["</f>
        <v>#VALUE!</v>
      </c>
      <c r="GY87" t="e">
        <f>'SurveyRpt_20150223 (1)'!G543+"h_l!%n\"</f>
        <v>#VALUE!</v>
      </c>
      <c r="GZ87" t="e">
        <f>'SurveyRpt_20150223 (1)'!H543+"h_l!%n]"</f>
        <v>#VALUE!</v>
      </c>
      <c r="HA87" t="e">
        <f>'SurveyRpt_20150223 (1)'!I543+"h_l!%n^"</f>
        <v>#VALUE!</v>
      </c>
      <c r="HB87" t="e">
        <f>'SurveyRpt_20150223 (1)'!J543+"h_l!%n_"</f>
        <v>#VALUE!</v>
      </c>
      <c r="HC87" t="e">
        <f>'SurveyRpt_20150223 (1)'!K543+"h_l!%n`"</f>
        <v>#VALUE!</v>
      </c>
      <c r="HD87" t="e">
        <f>'SurveyRpt_20150223 (1)'!L543+"h_l!%na"</f>
        <v>#VALUE!</v>
      </c>
      <c r="HE87" t="e">
        <f>'SurveyRpt_20150223 (1)'!M543+"h_l!%nb"</f>
        <v>#VALUE!</v>
      </c>
      <c r="HF87" t="e">
        <f>'SurveyRpt_20150223 (1)'!N543+"h_l!%nc"</f>
        <v>#VALUE!</v>
      </c>
      <c r="HG87" t="e">
        <f>'SurveyRpt_20150223 (1)'!O543+"h_l!%nd"</f>
        <v>#VALUE!</v>
      </c>
      <c r="HH87" t="e">
        <f>'SurveyRpt_20150223 (1)'!P543+"h_l!%ne"</f>
        <v>#VALUE!</v>
      </c>
      <c r="HI87" t="e">
        <f>'SurveyRpt_20150223 (1)'!Q543+"h_l!%nf"</f>
        <v>#VALUE!</v>
      </c>
      <c r="HJ87" t="e">
        <f>'SurveyRpt_20150223 (1)'!R543+"h_l!%ng"</f>
        <v>#VALUE!</v>
      </c>
      <c r="HK87" t="e">
        <f>'SurveyRpt_20150223 (1)'!S543+"h_l!%nh"</f>
        <v>#VALUE!</v>
      </c>
      <c r="HL87" t="e">
        <f>'SurveyRpt_20150223 (1)'!T543+"h_l!%ni"</f>
        <v>#VALUE!</v>
      </c>
      <c r="HM87" t="e">
        <f>'SurveyRpt_20150223 (1)'!U543+"h_l!%nj"</f>
        <v>#VALUE!</v>
      </c>
      <c r="HN87" t="e">
        <f>'SurveyRpt_20150223 (1)'!V543+"h_l!%nk"</f>
        <v>#VALUE!</v>
      </c>
      <c r="HO87" t="e">
        <f>'SurveyRpt_20150223 (1)'!W543+"h_l!%nl"</f>
        <v>#VALUE!</v>
      </c>
      <c r="HP87" t="e">
        <f>'SurveyRpt_20150223 (1)'!X543+"h_l!%nm"</f>
        <v>#VALUE!</v>
      </c>
      <c r="HQ87" t="e">
        <f>'SurveyRpt_20150223 (1)'!Y543+"h_l!%nn"</f>
        <v>#VALUE!</v>
      </c>
      <c r="HR87" t="e">
        <f>'SurveyRpt_20150223 (1)'!Z543+"h_l!%no"</f>
        <v>#VALUE!</v>
      </c>
      <c r="HS87" t="e">
        <f>'SurveyRpt_20150223 (1)'!AA543+"h_l!%np"</f>
        <v>#VALUE!</v>
      </c>
      <c r="HT87" t="e">
        <f>'SurveyRpt_20150223 (1)'!AB543+"h_l!%nq"</f>
        <v>#VALUE!</v>
      </c>
      <c r="HU87" t="e">
        <f>'SurveyRpt_20150223 (1)'!AC543+"h_l!%nr"</f>
        <v>#VALUE!</v>
      </c>
      <c r="HV87" t="e">
        <f>'SurveyRpt_20150223 (1)'!AD543+"h_l!%ns"</f>
        <v>#VALUE!</v>
      </c>
      <c r="HW87" t="e">
        <f>'SurveyRpt_20150223 (1)'!AE543+"h_l!%nt"</f>
        <v>#VALUE!</v>
      </c>
      <c r="HX87" t="e">
        <f>'SurveyRpt_20150223 (1)'!AF543+"h_l!%nu"</f>
        <v>#VALUE!</v>
      </c>
      <c r="HY87" t="e">
        <f>'SurveyRpt_20150223 (1)'!AG543+"h_l!%nv"</f>
        <v>#VALUE!</v>
      </c>
      <c r="HZ87" t="e">
        <f>'SurveyRpt_20150223 (1)'!AH543+"h_l!%nw"</f>
        <v>#VALUE!</v>
      </c>
      <c r="IA87" t="e">
        <f>'SurveyRpt_20150223 (1)'!AI543+"h_l!%nx"</f>
        <v>#VALUE!</v>
      </c>
      <c r="IB87" t="e">
        <f>'SurveyRpt_20150223 (1)'!AJ543+"h_l!%ny"</f>
        <v>#VALUE!</v>
      </c>
      <c r="IC87" t="e">
        <f>'SurveyRpt_20150223 (1)'!AK543+"h_l!%nz"</f>
        <v>#VALUE!</v>
      </c>
      <c r="ID87" t="e">
        <f>'SurveyRpt_20150223 (1)'!AL543+"h_l!%n{"</f>
        <v>#VALUE!</v>
      </c>
      <c r="IE87" t="e">
        <f>'SurveyRpt_20150223 (1)'!AM543+"h_l!%n|"</f>
        <v>#VALUE!</v>
      </c>
      <c r="IF87" t="e">
        <f>'SurveyRpt_20150223 (1)'!AN543+"h_l!%n}"</f>
        <v>#VALUE!</v>
      </c>
      <c r="IG87" t="e">
        <f>'SurveyRpt_20150223 (1)'!A544+"h_l!%n~"</f>
        <v>#VALUE!</v>
      </c>
      <c r="IH87" s="25" t="e">
        <f>'SurveyRpt_20150223 (1)'!B544+"h_l!%o#"</f>
        <v>#VALUE!</v>
      </c>
      <c r="II87" t="e">
        <f>'SurveyRpt_20150223 (1)'!C544+"h_l!%o$"</f>
        <v>#VALUE!</v>
      </c>
      <c r="IJ87" s="25" t="e">
        <f>'SurveyRpt_20150223 (1)'!D544+"h_l!%o%"</f>
        <v>#VALUE!</v>
      </c>
      <c r="IK87" t="e">
        <f>'SurveyRpt_20150223 (1)'!E544+"h_l!%o&amp;"</f>
        <v>#VALUE!</v>
      </c>
      <c r="IL87" t="e">
        <f>'SurveyRpt_20150223 (1)'!F544+"h_l!%o'"</f>
        <v>#VALUE!</v>
      </c>
      <c r="IM87" t="e">
        <f>'SurveyRpt_20150223 (1)'!G544+"h_l!%o("</f>
        <v>#VALUE!</v>
      </c>
      <c r="IN87" t="e">
        <f>'SurveyRpt_20150223 (1)'!H544+"h_l!%o)"</f>
        <v>#VALUE!</v>
      </c>
      <c r="IO87" t="e">
        <f>'SurveyRpt_20150223 (1)'!I544+"h_l!%o."</f>
        <v>#VALUE!</v>
      </c>
      <c r="IP87" t="e">
        <f>'SurveyRpt_20150223 (1)'!J544+"h_l!%o/"</f>
        <v>#VALUE!</v>
      </c>
      <c r="IQ87" t="e">
        <f>'SurveyRpt_20150223 (1)'!K544+"h_l!%o0"</f>
        <v>#VALUE!</v>
      </c>
      <c r="IR87" t="e">
        <f>'SurveyRpt_20150223 (1)'!L544+"h_l!%o1"</f>
        <v>#VALUE!</v>
      </c>
      <c r="IS87" t="e">
        <f>'SurveyRpt_20150223 (1)'!M544+"h_l!%o2"</f>
        <v>#VALUE!</v>
      </c>
      <c r="IT87" t="e">
        <f>'SurveyRpt_20150223 (1)'!N544+"h_l!%o3"</f>
        <v>#VALUE!</v>
      </c>
      <c r="IU87" t="e">
        <f>'SurveyRpt_20150223 (1)'!O544+"h_l!%o4"</f>
        <v>#VALUE!</v>
      </c>
      <c r="IV87" t="e">
        <f>'SurveyRpt_20150223 (1)'!P544+"h_l!%o5"</f>
        <v>#VALUE!</v>
      </c>
    </row>
    <row r="88" spans="6:256" x14ac:dyDescent="0.25">
      <c r="F88" t="e">
        <f>'SurveyRpt_20150223 (1)'!Q544+"h_l!%o6"</f>
        <v>#VALUE!</v>
      </c>
      <c r="G88" t="e">
        <f>'SurveyRpt_20150223 (1)'!R544+"h_l!%o7"</f>
        <v>#VALUE!</v>
      </c>
      <c r="H88" t="e">
        <f>'SurveyRpt_20150223 (1)'!S544+"h_l!%o8"</f>
        <v>#VALUE!</v>
      </c>
      <c r="I88" t="e">
        <f>'SurveyRpt_20150223 (1)'!T544+"h_l!%o9"</f>
        <v>#VALUE!</v>
      </c>
      <c r="J88" t="e">
        <f>'SurveyRpt_20150223 (1)'!U544+"h_l!%o:"</f>
        <v>#VALUE!</v>
      </c>
      <c r="K88" t="e">
        <f>'SurveyRpt_20150223 (1)'!V544+"h_l!%o;"</f>
        <v>#VALUE!</v>
      </c>
      <c r="L88" t="e">
        <f>'SurveyRpt_20150223 (1)'!W544+"h_l!%o&lt;"</f>
        <v>#VALUE!</v>
      </c>
      <c r="M88" t="e">
        <f>'SurveyRpt_20150223 (1)'!X544+"h_l!%o="</f>
        <v>#VALUE!</v>
      </c>
      <c r="N88" t="e">
        <f>'SurveyRpt_20150223 (1)'!Y544+"h_l!%o&gt;"</f>
        <v>#VALUE!</v>
      </c>
      <c r="O88" t="e">
        <f>'SurveyRpt_20150223 (1)'!Z544+"h_l!%o?"</f>
        <v>#VALUE!</v>
      </c>
      <c r="P88" t="e">
        <f>'SurveyRpt_20150223 (1)'!AA544+"h_l!%o@"</f>
        <v>#VALUE!</v>
      </c>
      <c r="Q88" t="e">
        <f>'SurveyRpt_20150223 (1)'!AB544+"h_l!%oA"</f>
        <v>#VALUE!</v>
      </c>
      <c r="R88" t="e">
        <f>'SurveyRpt_20150223 (1)'!AC544+"h_l!%oB"</f>
        <v>#VALUE!</v>
      </c>
      <c r="S88" t="e">
        <f>'SurveyRpt_20150223 (1)'!AD544+"h_l!%oC"</f>
        <v>#VALUE!</v>
      </c>
      <c r="T88" t="e">
        <f>'SurveyRpt_20150223 (1)'!AE544+"h_l!%oD"</f>
        <v>#VALUE!</v>
      </c>
      <c r="U88" t="e">
        <f>'SurveyRpt_20150223 (1)'!AF544+"h_l!%oE"</f>
        <v>#VALUE!</v>
      </c>
      <c r="V88" t="e">
        <f>'SurveyRpt_20150223 (1)'!AG544+"h_l!%oF"</f>
        <v>#VALUE!</v>
      </c>
      <c r="W88" t="e">
        <f>'SurveyRpt_20150223 (1)'!AH544+"h_l!%oG"</f>
        <v>#VALUE!</v>
      </c>
      <c r="X88" t="e">
        <f>'SurveyRpt_20150223 (1)'!AI544+"h_l!%oH"</f>
        <v>#VALUE!</v>
      </c>
      <c r="Y88" t="e">
        <f>'SurveyRpt_20150223 (1)'!AJ544+"h_l!%oI"</f>
        <v>#VALUE!</v>
      </c>
      <c r="Z88" t="e">
        <f>'SurveyRpt_20150223 (1)'!AK544+"h_l!%oJ"</f>
        <v>#VALUE!</v>
      </c>
      <c r="AA88" t="e">
        <f>'SurveyRpt_20150223 (1)'!AL544+"h_l!%oK"</f>
        <v>#VALUE!</v>
      </c>
      <c r="AB88" t="e">
        <f>'SurveyRpt_20150223 (1)'!AM544+"h_l!%oL"</f>
        <v>#VALUE!</v>
      </c>
      <c r="AC88" t="e">
        <f>'SurveyRpt_20150223 (1)'!AN544+"h_l!%oM"</f>
        <v>#VALUE!</v>
      </c>
      <c r="AD88" t="e">
        <f>'SurveyRpt_20150223 (1)'!A545+"h_l!%oN"</f>
        <v>#VALUE!</v>
      </c>
      <c r="AE88" s="25" t="e">
        <f>'SurveyRpt_20150223 (1)'!B545+"h_l!%oO"</f>
        <v>#VALUE!</v>
      </c>
      <c r="AF88" t="e">
        <f>'SurveyRpt_20150223 (1)'!C545+"h_l!%oP"</f>
        <v>#VALUE!</v>
      </c>
      <c r="AG88" s="25" t="e">
        <f>'SurveyRpt_20150223 (1)'!D545+"h_l!%oQ"</f>
        <v>#VALUE!</v>
      </c>
      <c r="AH88" t="e">
        <f>'SurveyRpt_20150223 (1)'!E545+"h_l!%oR"</f>
        <v>#VALUE!</v>
      </c>
      <c r="AI88" t="e">
        <f>'SurveyRpt_20150223 (1)'!F545+"h_l!%oS"</f>
        <v>#VALUE!</v>
      </c>
      <c r="AJ88" t="e">
        <f>'SurveyRpt_20150223 (1)'!G545+"h_l!%oT"</f>
        <v>#VALUE!</v>
      </c>
      <c r="AK88" t="e">
        <f>'SurveyRpt_20150223 (1)'!H545+"h_l!%oU"</f>
        <v>#VALUE!</v>
      </c>
      <c r="AL88" t="e">
        <f>'SurveyRpt_20150223 (1)'!I545+"h_l!%oV"</f>
        <v>#VALUE!</v>
      </c>
      <c r="AM88" t="e">
        <f>'SurveyRpt_20150223 (1)'!J545+"h_l!%oW"</f>
        <v>#VALUE!</v>
      </c>
      <c r="AN88" t="e">
        <f>'SurveyRpt_20150223 (1)'!K545+"h_l!%oX"</f>
        <v>#VALUE!</v>
      </c>
      <c r="AO88" t="e">
        <f>'SurveyRpt_20150223 (1)'!L545+"h_l!%oY"</f>
        <v>#VALUE!</v>
      </c>
      <c r="AP88" t="e">
        <f>'SurveyRpt_20150223 (1)'!M545+"h_l!%oZ"</f>
        <v>#VALUE!</v>
      </c>
      <c r="AQ88" t="e">
        <f>'SurveyRpt_20150223 (1)'!N545+"h_l!%o["</f>
        <v>#VALUE!</v>
      </c>
      <c r="AR88" t="e">
        <f>'SurveyRpt_20150223 (1)'!O545+"h_l!%o\"</f>
        <v>#VALUE!</v>
      </c>
      <c r="AS88" t="e">
        <f>'SurveyRpt_20150223 (1)'!P545+"h_l!%o]"</f>
        <v>#VALUE!</v>
      </c>
      <c r="AT88" t="e">
        <f>'SurveyRpt_20150223 (1)'!Q545+"h_l!%o^"</f>
        <v>#VALUE!</v>
      </c>
      <c r="AU88" t="e">
        <f>'SurveyRpt_20150223 (1)'!R545+"h_l!%o_"</f>
        <v>#VALUE!</v>
      </c>
      <c r="AV88" t="e">
        <f>'SurveyRpt_20150223 (1)'!S545+"h_l!%o`"</f>
        <v>#VALUE!</v>
      </c>
      <c r="AW88" t="e">
        <f>'SurveyRpt_20150223 (1)'!T545+"h_l!%oa"</f>
        <v>#VALUE!</v>
      </c>
      <c r="AX88" t="e">
        <f>'SurveyRpt_20150223 (1)'!U545+"h_l!%ob"</f>
        <v>#VALUE!</v>
      </c>
      <c r="AY88" t="e">
        <f>'SurveyRpt_20150223 (1)'!V545+"h_l!%oc"</f>
        <v>#VALUE!</v>
      </c>
      <c r="AZ88" t="e">
        <f>'SurveyRpt_20150223 (1)'!W545+"h_l!%od"</f>
        <v>#VALUE!</v>
      </c>
      <c r="BA88" t="e">
        <f>'SurveyRpt_20150223 (1)'!X545+"h_l!%oe"</f>
        <v>#VALUE!</v>
      </c>
      <c r="BB88" t="e">
        <f>'SurveyRpt_20150223 (1)'!Y545+"h_l!%of"</f>
        <v>#VALUE!</v>
      </c>
      <c r="BC88" t="e">
        <f>'SurveyRpt_20150223 (1)'!Z545+"h_l!%og"</f>
        <v>#VALUE!</v>
      </c>
      <c r="BD88" t="e">
        <f>'SurveyRpt_20150223 (1)'!AA545+"h_l!%oh"</f>
        <v>#VALUE!</v>
      </c>
      <c r="BE88" t="e">
        <f>'SurveyRpt_20150223 (1)'!AB545+"h_l!%oi"</f>
        <v>#VALUE!</v>
      </c>
      <c r="BF88" t="e">
        <f>'SurveyRpt_20150223 (1)'!AC545+"h_l!%oj"</f>
        <v>#VALUE!</v>
      </c>
      <c r="BG88" t="e">
        <f>'SurveyRpt_20150223 (1)'!AD545+"h_l!%ok"</f>
        <v>#VALUE!</v>
      </c>
      <c r="BH88" t="e">
        <f>'SurveyRpt_20150223 (1)'!AE545+"h_l!%ol"</f>
        <v>#VALUE!</v>
      </c>
      <c r="BI88" t="e">
        <f>'SurveyRpt_20150223 (1)'!AF545+"h_l!%om"</f>
        <v>#VALUE!</v>
      </c>
      <c r="BJ88" t="e">
        <f>'SurveyRpt_20150223 (1)'!AG545+"h_l!%on"</f>
        <v>#VALUE!</v>
      </c>
      <c r="BK88" t="e">
        <f>'SurveyRpt_20150223 (1)'!AH545+"h_l!%oo"</f>
        <v>#VALUE!</v>
      </c>
      <c r="BL88" t="e">
        <f>'SurveyRpt_20150223 (1)'!AI545+"h_l!%op"</f>
        <v>#VALUE!</v>
      </c>
      <c r="BM88" t="e">
        <f>'SurveyRpt_20150223 (1)'!AJ545+"h_l!%oq"</f>
        <v>#VALUE!</v>
      </c>
      <c r="BN88" t="e">
        <f>'SurveyRpt_20150223 (1)'!AK545+"h_l!%or"</f>
        <v>#VALUE!</v>
      </c>
      <c r="BO88" t="e">
        <f>'SurveyRpt_20150223 (1)'!AL545+"h_l!%os"</f>
        <v>#VALUE!</v>
      </c>
      <c r="BP88" t="e">
        <f>'SurveyRpt_20150223 (1)'!AM545+"h_l!%ot"</f>
        <v>#VALUE!</v>
      </c>
      <c r="BQ88" t="e">
        <f>'SurveyRpt_20150223 (1)'!AN545+"h_l!%ou"</f>
        <v>#VALUE!</v>
      </c>
      <c r="BR88" t="e">
        <f>'SurveyRpt_20150223 (1)'!A546+"h_l!%ov"</f>
        <v>#VALUE!</v>
      </c>
      <c r="BS88" s="25" t="e">
        <f>'SurveyRpt_20150223 (1)'!B546+"h_l!%ow"</f>
        <v>#VALUE!</v>
      </c>
      <c r="BT88" t="e">
        <f>'SurveyRpt_20150223 (1)'!C546+"h_l!%ox"</f>
        <v>#VALUE!</v>
      </c>
      <c r="BU88" s="25" t="e">
        <f>'SurveyRpt_20150223 (1)'!D546+"h_l!%oy"</f>
        <v>#VALUE!</v>
      </c>
      <c r="BV88" t="e">
        <f>'SurveyRpt_20150223 (1)'!E546+"h_l!%oz"</f>
        <v>#VALUE!</v>
      </c>
      <c r="BW88" t="e">
        <f>'SurveyRpt_20150223 (1)'!F546+"h_l!%o{"</f>
        <v>#VALUE!</v>
      </c>
      <c r="BX88" t="e">
        <f>'SurveyRpt_20150223 (1)'!G546+"h_l!%o|"</f>
        <v>#VALUE!</v>
      </c>
      <c r="BY88" t="e">
        <f>'SurveyRpt_20150223 (1)'!H546+"h_l!%o}"</f>
        <v>#VALUE!</v>
      </c>
      <c r="BZ88" t="e">
        <f>'SurveyRpt_20150223 (1)'!I546+"h_l!%o~"</f>
        <v>#VALUE!</v>
      </c>
      <c r="CA88" t="e">
        <f>'SurveyRpt_20150223 (1)'!J546+"h_l!%p#"</f>
        <v>#VALUE!</v>
      </c>
      <c r="CB88" t="e">
        <f>'SurveyRpt_20150223 (1)'!K546+"h_l!%p$"</f>
        <v>#VALUE!</v>
      </c>
      <c r="CC88" t="e">
        <f>'SurveyRpt_20150223 (1)'!L546+"h_l!%p%"</f>
        <v>#VALUE!</v>
      </c>
      <c r="CD88" t="e">
        <f>'SurveyRpt_20150223 (1)'!M546+"h_l!%p&amp;"</f>
        <v>#VALUE!</v>
      </c>
      <c r="CE88" t="e">
        <f>'SurveyRpt_20150223 (1)'!N546+"h_l!%p'"</f>
        <v>#VALUE!</v>
      </c>
      <c r="CF88" t="e">
        <f>'SurveyRpt_20150223 (1)'!O546+"h_l!%p("</f>
        <v>#VALUE!</v>
      </c>
      <c r="CG88" t="e">
        <f>'SurveyRpt_20150223 (1)'!P546+"h_l!%p)"</f>
        <v>#VALUE!</v>
      </c>
      <c r="CH88" t="e">
        <f>'SurveyRpt_20150223 (1)'!Q546+"h_l!%p."</f>
        <v>#VALUE!</v>
      </c>
      <c r="CI88" t="e">
        <f>'SurveyRpt_20150223 (1)'!R546+"h_l!%p/"</f>
        <v>#VALUE!</v>
      </c>
      <c r="CJ88" t="e">
        <f>'SurveyRpt_20150223 (1)'!S546+"h_l!%p0"</f>
        <v>#VALUE!</v>
      </c>
      <c r="CK88" t="e">
        <f>'SurveyRpt_20150223 (1)'!T546+"h_l!%p1"</f>
        <v>#VALUE!</v>
      </c>
      <c r="CL88" t="e">
        <f>'SurveyRpt_20150223 (1)'!U546+"h_l!%p2"</f>
        <v>#VALUE!</v>
      </c>
      <c r="CM88" t="e">
        <f>'SurveyRpt_20150223 (1)'!V546+"h_l!%p3"</f>
        <v>#VALUE!</v>
      </c>
      <c r="CN88" t="e">
        <f>'SurveyRpt_20150223 (1)'!W546+"h_l!%p4"</f>
        <v>#VALUE!</v>
      </c>
      <c r="CO88" t="e">
        <f>'SurveyRpt_20150223 (1)'!X546+"h_l!%p5"</f>
        <v>#VALUE!</v>
      </c>
      <c r="CP88" t="e">
        <f>'SurveyRpt_20150223 (1)'!Y546+"h_l!%p6"</f>
        <v>#VALUE!</v>
      </c>
      <c r="CQ88" t="e">
        <f>'SurveyRpt_20150223 (1)'!Z546+"h_l!%p7"</f>
        <v>#VALUE!</v>
      </c>
      <c r="CR88" t="e">
        <f>'SurveyRpt_20150223 (1)'!AA546+"h_l!%p8"</f>
        <v>#VALUE!</v>
      </c>
      <c r="CS88" t="e">
        <f>'SurveyRpt_20150223 (1)'!AB546+"h_l!%p9"</f>
        <v>#VALUE!</v>
      </c>
      <c r="CT88" t="e">
        <f>'SurveyRpt_20150223 (1)'!AC546+"h_l!%p:"</f>
        <v>#VALUE!</v>
      </c>
      <c r="CU88" t="e">
        <f>'SurveyRpt_20150223 (1)'!AD546+"h_l!%p;"</f>
        <v>#VALUE!</v>
      </c>
      <c r="CV88" t="e">
        <f>'SurveyRpt_20150223 (1)'!AE546+"h_l!%p&lt;"</f>
        <v>#VALUE!</v>
      </c>
      <c r="CW88" t="e">
        <f>'SurveyRpt_20150223 (1)'!AF546+"h_l!%p="</f>
        <v>#VALUE!</v>
      </c>
      <c r="CX88" t="e">
        <f>'SurveyRpt_20150223 (1)'!AG546+"h_l!%p&gt;"</f>
        <v>#VALUE!</v>
      </c>
      <c r="CY88" t="e">
        <f>'SurveyRpt_20150223 (1)'!AH546+"h_l!%p?"</f>
        <v>#VALUE!</v>
      </c>
      <c r="CZ88" t="e">
        <f>'SurveyRpt_20150223 (1)'!AI546+"h_l!%p@"</f>
        <v>#VALUE!</v>
      </c>
      <c r="DA88" t="e">
        <f>'SurveyRpt_20150223 (1)'!AJ546+"h_l!%pA"</f>
        <v>#VALUE!</v>
      </c>
      <c r="DB88" t="e">
        <f>'SurveyRpt_20150223 (1)'!AK546+"h_l!%pB"</f>
        <v>#VALUE!</v>
      </c>
      <c r="DC88" t="e">
        <f>'SurveyRpt_20150223 (1)'!AL546+"h_l!%pC"</f>
        <v>#VALUE!</v>
      </c>
      <c r="DD88" t="e">
        <f>'SurveyRpt_20150223 (1)'!AM546+"h_l!%pD"</f>
        <v>#VALUE!</v>
      </c>
      <c r="DE88" t="e">
        <f>'SurveyRpt_20150223 (1)'!AN546+"h_l!%pE"</f>
        <v>#VALUE!</v>
      </c>
      <c r="DF88" t="e">
        <f>'SurveyRpt_20150223 (1)'!A547+"h_l!%pF"</f>
        <v>#VALUE!</v>
      </c>
      <c r="DG88" s="25" t="e">
        <f>'SurveyRpt_20150223 (1)'!B547+"h_l!%pG"</f>
        <v>#VALUE!</v>
      </c>
      <c r="DH88" t="e">
        <f>'SurveyRpt_20150223 (1)'!C547+"h_l!%pH"</f>
        <v>#VALUE!</v>
      </c>
      <c r="DI88" s="25" t="e">
        <f>'SurveyRpt_20150223 (1)'!D547+"h_l!%pI"</f>
        <v>#VALUE!</v>
      </c>
      <c r="DJ88" t="e">
        <f>'SurveyRpt_20150223 (1)'!E547+"h_l!%pJ"</f>
        <v>#VALUE!</v>
      </c>
      <c r="DK88" t="e">
        <f>'SurveyRpt_20150223 (1)'!F547+"h_l!%pK"</f>
        <v>#VALUE!</v>
      </c>
      <c r="DL88" t="e">
        <f>'SurveyRpt_20150223 (1)'!G547+"h_l!%pL"</f>
        <v>#VALUE!</v>
      </c>
      <c r="DM88" t="e">
        <f>'SurveyRpt_20150223 (1)'!H547+"h_l!%pM"</f>
        <v>#VALUE!</v>
      </c>
      <c r="DN88" t="e">
        <f>'SurveyRpt_20150223 (1)'!I547+"h_l!%pN"</f>
        <v>#VALUE!</v>
      </c>
      <c r="DO88" t="e">
        <f>'SurveyRpt_20150223 (1)'!J547+"h_l!%pO"</f>
        <v>#VALUE!</v>
      </c>
      <c r="DP88" t="e">
        <f>'SurveyRpt_20150223 (1)'!K547+"h_l!%pP"</f>
        <v>#VALUE!</v>
      </c>
      <c r="DQ88" t="e">
        <f>'SurveyRpt_20150223 (1)'!L547+"h_l!%pQ"</f>
        <v>#VALUE!</v>
      </c>
      <c r="DR88" t="e">
        <f>'SurveyRpt_20150223 (1)'!M547+"h_l!%pR"</f>
        <v>#VALUE!</v>
      </c>
      <c r="DS88" t="e">
        <f>'SurveyRpt_20150223 (1)'!N547+"h_l!%pS"</f>
        <v>#VALUE!</v>
      </c>
      <c r="DT88" t="e">
        <f>'SurveyRpt_20150223 (1)'!O547+"h_l!%pT"</f>
        <v>#VALUE!</v>
      </c>
      <c r="DU88" t="e">
        <f>'SurveyRpt_20150223 (1)'!P547+"h_l!%pU"</f>
        <v>#VALUE!</v>
      </c>
      <c r="DV88" t="e">
        <f>'SurveyRpt_20150223 (1)'!Q547+"h_l!%pV"</f>
        <v>#VALUE!</v>
      </c>
      <c r="DW88" t="e">
        <f>'SurveyRpt_20150223 (1)'!R547+"h_l!%pW"</f>
        <v>#VALUE!</v>
      </c>
      <c r="DX88" t="e">
        <f>'SurveyRpt_20150223 (1)'!S547+"h_l!%pX"</f>
        <v>#VALUE!</v>
      </c>
      <c r="DY88" t="e">
        <f>'SurveyRpt_20150223 (1)'!T547+"h_l!%pY"</f>
        <v>#VALUE!</v>
      </c>
      <c r="DZ88" t="e">
        <f>'SurveyRpt_20150223 (1)'!U547+"h_l!%pZ"</f>
        <v>#VALUE!</v>
      </c>
      <c r="EA88" t="e">
        <f>'SurveyRpt_20150223 (1)'!V547+"h_l!%p["</f>
        <v>#VALUE!</v>
      </c>
      <c r="EB88" t="e">
        <f>'SurveyRpt_20150223 (1)'!W547+"h_l!%p\"</f>
        <v>#VALUE!</v>
      </c>
      <c r="EC88" t="e">
        <f>'SurveyRpt_20150223 (1)'!X547+"h_l!%p]"</f>
        <v>#VALUE!</v>
      </c>
      <c r="ED88" t="e">
        <f>'SurveyRpt_20150223 (1)'!Y547+"h_l!%p^"</f>
        <v>#VALUE!</v>
      </c>
      <c r="EE88" t="e">
        <f>'SurveyRpt_20150223 (1)'!Z547+"h_l!%p_"</f>
        <v>#VALUE!</v>
      </c>
      <c r="EF88" t="e">
        <f>'SurveyRpt_20150223 (1)'!AA547+"h_l!%p`"</f>
        <v>#VALUE!</v>
      </c>
      <c r="EG88" t="e">
        <f>'SurveyRpt_20150223 (1)'!AB547+"h_l!%pa"</f>
        <v>#VALUE!</v>
      </c>
      <c r="EH88" t="e">
        <f>'SurveyRpt_20150223 (1)'!AC547+"h_l!%pb"</f>
        <v>#VALUE!</v>
      </c>
      <c r="EI88" t="e">
        <f>'SurveyRpt_20150223 (1)'!AD547+"h_l!%pc"</f>
        <v>#VALUE!</v>
      </c>
      <c r="EJ88" t="e">
        <f>'SurveyRpt_20150223 (1)'!AE547+"h_l!%pd"</f>
        <v>#VALUE!</v>
      </c>
      <c r="EK88" t="e">
        <f>'SurveyRpt_20150223 (1)'!AF547+"h_l!%pe"</f>
        <v>#VALUE!</v>
      </c>
      <c r="EL88" t="e">
        <f>'SurveyRpt_20150223 (1)'!AG547+"h_l!%pf"</f>
        <v>#VALUE!</v>
      </c>
      <c r="EM88" t="e">
        <f>'SurveyRpt_20150223 (1)'!AH547+"h_l!%pg"</f>
        <v>#VALUE!</v>
      </c>
      <c r="EN88" t="e">
        <f>'SurveyRpt_20150223 (1)'!AI547+"h_l!%ph"</f>
        <v>#VALUE!</v>
      </c>
      <c r="EO88" t="e">
        <f>'SurveyRpt_20150223 (1)'!AJ547+"h_l!%pi"</f>
        <v>#VALUE!</v>
      </c>
      <c r="EP88" t="e">
        <f>'SurveyRpt_20150223 (1)'!AK547+"h_l!%pj"</f>
        <v>#VALUE!</v>
      </c>
      <c r="EQ88" t="e">
        <f>'SurveyRpt_20150223 (1)'!AL547+"h_l!%pk"</f>
        <v>#VALUE!</v>
      </c>
      <c r="ER88" t="e">
        <f>'SurveyRpt_20150223 (1)'!AM547+"h_l!%pl"</f>
        <v>#VALUE!</v>
      </c>
      <c r="ES88" t="e">
        <f>'SurveyRpt_20150223 (1)'!AN547+"h_l!%pm"</f>
        <v>#VALUE!</v>
      </c>
      <c r="ET88" t="e">
        <f>'SurveyRpt_20150223 (1)'!A548+"h_l!%pn"</f>
        <v>#VALUE!</v>
      </c>
      <c r="EU88" s="25" t="e">
        <f>'SurveyRpt_20150223 (1)'!B548+"h_l!%po"</f>
        <v>#VALUE!</v>
      </c>
      <c r="EV88" t="e">
        <f>'SurveyRpt_20150223 (1)'!C548+"h_l!%pp"</f>
        <v>#VALUE!</v>
      </c>
      <c r="EW88" s="25" t="e">
        <f>'SurveyRpt_20150223 (1)'!D548+"h_l!%pq"</f>
        <v>#VALUE!</v>
      </c>
      <c r="EX88" t="e">
        <f>'SurveyRpt_20150223 (1)'!E548+"h_l!%pr"</f>
        <v>#VALUE!</v>
      </c>
      <c r="EY88" t="e">
        <f>'SurveyRpt_20150223 (1)'!F548+"h_l!%ps"</f>
        <v>#VALUE!</v>
      </c>
      <c r="EZ88" t="e">
        <f>'SurveyRpt_20150223 (1)'!G548+"h_l!%pt"</f>
        <v>#VALUE!</v>
      </c>
      <c r="FA88" t="e">
        <f>'SurveyRpt_20150223 (1)'!H548+"h_l!%pu"</f>
        <v>#VALUE!</v>
      </c>
      <c r="FB88" t="e">
        <f>'SurveyRpt_20150223 (1)'!I548+"h_l!%pv"</f>
        <v>#VALUE!</v>
      </c>
      <c r="FC88" t="e">
        <f>'SurveyRpt_20150223 (1)'!J548+"h_l!%pw"</f>
        <v>#VALUE!</v>
      </c>
      <c r="FD88" t="e">
        <f>'SurveyRpt_20150223 (1)'!K548+"h_l!%px"</f>
        <v>#VALUE!</v>
      </c>
      <c r="FE88" t="e">
        <f>'SurveyRpt_20150223 (1)'!L548+"h_l!%py"</f>
        <v>#VALUE!</v>
      </c>
      <c r="FF88" t="e">
        <f>'SurveyRpt_20150223 (1)'!M548+"h_l!%pz"</f>
        <v>#VALUE!</v>
      </c>
      <c r="FG88" t="e">
        <f>'SurveyRpt_20150223 (1)'!N548+"h_l!%p{"</f>
        <v>#VALUE!</v>
      </c>
      <c r="FH88" t="e">
        <f>'SurveyRpt_20150223 (1)'!O548+"h_l!%p|"</f>
        <v>#VALUE!</v>
      </c>
      <c r="FI88" t="e">
        <f>'SurveyRpt_20150223 (1)'!P548+"h_l!%p}"</f>
        <v>#VALUE!</v>
      </c>
      <c r="FJ88" t="e">
        <f>'SurveyRpt_20150223 (1)'!Q548+"h_l!%p~"</f>
        <v>#VALUE!</v>
      </c>
      <c r="FK88" t="e">
        <f>'SurveyRpt_20150223 (1)'!R548+"h_l!%q#"</f>
        <v>#VALUE!</v>
      </c>
      <c r="FL88" t="e">
        <f>'SurveyRpt_20150223 (1)'!S548+"h_l!%q$"</f>
        <v>#VALUE!</v>
      </c>
      <c r="FM88" t="e">
        <f>'SurveyRpt_20150223 (1)'!T548+"h_l!%q%"</f>
        <v>#VALUE!</v>
      </c>
      <c r="FN88" t="e">
        <f>'SurveyRpt_20150223 (1)'!U548+"h_l!%q&amp;"</f>
        <v>#VALUE!</v>
      </c>
      <c r="FO88" t="e">
        <f>'SurveyRpt_20150223 (1)'!V548+"h_l!%q'"</f>
        <v>#VALUE!</v>
      </c>
      <c r="FP88" t="e">
        <f>'SurveyRpt_20150223 (1)'!W548+"h_l!%q("</f>
        <v>#VALUE!</v>
      </c>
      <c r="FQ88" t="e">
        <f>'SurveyRpt_20150223 (1)'!X548+"h_l!%q)"</f>
        <v>#VALUE!</v>
      </c>
      <c r="FR88" t="e">
        <f>'SurveyRpt_20150223 (1)'!Y548+"h_l!%q."</f>
        <v>#VALUE!</v>
      </c>
      <c r="FS88" t="e">
        <f>'SurveyRpt_20150223 (1)'!Z548+"h_l!%q/"</f>
        <v>#VALUE!</v>
      </c>
      <c r="FT88" t="e">
        <f>'SurveyRpt_20150223 (1)'!AA548+"h_l!%q0"</f>
        <v>#VALUE!</v>
      </c>
      <c r="FU88" t="e">
        <f>'SurveyRpt_20150223 (1)'!AB548+"h_l!%q1"</f>
        <v>#VALUE!</v>
      </c>
      <c r="FV88" t="e">
        <f>'SurveyRpt_20150223 (1)'!AC548+"h_l!%q2"</f>
        <v>#VALUE!</v>
      </c>
      <c r="FW88" t="e">
        <f>'SurveyRpt_20150223 (1)'!AD548+"h_l!%q3"</f>
        <v>#VALUE!</v>
      </c>
      <c r="FX88" t="e">
        <f>'SurveyRpt_20150223 (1)'!AE548+"h_l!%q4"</f>
        <v>#VALUE!</v>
      </c>
      <c r="FY88" t="e">
        <f>'SurveyRpt_20150223 (1)'!AF548+"h_l!%q5"</f>
        <v>#VALUE!</v>
      </c>
      <c r="FZ88" t="e">
        <f>'SurveyRpt_20150223 (1)'!AG548+"h_l!%q6"</f>
        <v>#VALUE!</v>
      </c>
      <c r="GA88" t="e">
        <f>'SurveyRpt_20150223 (1)'!AH548+"h_l!%q7"</f>
        <v>#VALUE!</v>
      </c>
      <c r="GB88" t="e">
        <f>'SurveyRpt_20150223 (1)'!AI548+"h_l!%q8"</f>
        <v>#VALUE!</v>
      </c>
      <c r="GC88" t="e">
        <f>'SurveyRpt_20150223 (1)'!AJ548+"h_l!%q9"</f>
        <v>#VALUE!</v>
      </c>
      <c r="GD88" t="e">
        <f>'SurveyRpt_20150223 (1)'!AK548+"h_l!%q:"</f>
        <v>#VALUE!</v>
      </c>
      <c r="GE88" t="e">
        <f>'SurveyRpt_20150223 (1)'!AL548+"h_l!%q;"</f>
        <v>#VALUE!</v>
      </c>
      <c r="GF88" t="e">
        <f>'SurveyRpt_20150223 (1)'!AM548+"h_l!%q&lt;"</f>
        <v>#VALUE!</v>
      </c>
      <c r="GG88" t="e">
        <f>'SurveyRpt_20150223 (1)'!AN548+"h_l!%q="</f>
        <v>#VALUE!</v>
      </c>
      <c r="GH88" t="e">
        <f>'SurveyRpt_20150223 (1)'!A549+"h_l!%q&gt;"</f>
        <v>#VALUE!</v>
      </c>
      <c r="GI88" s="25" t="e">
        <f>'SurveyRpt_20150223 (1)'!B549+"h_l!%q?"</f>
        <v>#VALUE!</v>
      </c>
      <c r="GJ88" t="e">
        <f>'SurveyRpt_20150223 (1)'!C549+"h_l!%q@"</f>
        <v>#VALUE!</v>
      </c>
      <c r="GK88" s="25" t="e">
        <f>'SurveyRpt_20150223 (1)'!D549+"h_l!%qA"</f>
        <v>#VALUE!</v>
      </c>
      <c r="GL88" t="e">
        <f>'SurveyRpt_20150223 (1)'!E549+"h_l!%qB"</f>
        <v>#VALUE!</v>
      </c>
      <c r="GM88" t="e">
        <f>'SurveyRpt_20150223 (1)'!F549+"h_l!%qC"</f>
        <v>#VALUE!</v>
      </c>
      <c r="GN88" t="e">
        <f>'SurveyRpt_20150223 (1)'!G549+"h_l!%qD"</f>
        <v>#VALUE!</v>
      </c>
      <c r="GO88" t="e">
        <f>'SurveyRpt_20150223 (1)'!H549+"h_l!%qE"</f>
        <v>#VALUE!</v>
      </c>
      <c r="GP88" t="e">
        <f>'SurveyRpt_20150223 (1)'!I549+"h_l!%qF"</f>
        <v>#VALUE!</v>
      </c>
      <c r="GQ88" t="e">
        <f>'SurveyRpt_20150223 (1)'!J549+"h_l!%qG"</f>
        <v>#VALUE!</v>
      </c>
      <c r="GR88" t="e">
        <f>'SurveyRpt_20150223 (1)'!K549+"h_l!%qH"</f>
        <v>#VALUE!</v>
      </c>
      <c r="GS88" t="e">
        <f>'SurveyRpt_20150223 (1)'!L549+"h_l!%qI"</f>
        <v>#VALUE!</v>
      </c>
      <c r="GT88" t="e">
        <f>'SurveyRpt_20150223 (1)'!M549+"h_l!%qJ"</f>
        <v>#VALUE!</v>
      </c>
      <c r="GU88" t="e">
        <f>'SurveyRpt_20150223 (1)'!N549+"h_l!%qK"</f>
        <v>#VALUE!</v>
      </c>
      <c r="GV88" t="e">
        <f>'SurveyRpt_20150223 (1)'!O549+"h_l!%qL"</f>
        <v>#VALUE!</v>
      </c>
      <c r="GW88" t="e">
        <f>'SurveyRpt_20150223 (1)'!P549+"h_l!%qM"</f>
        <v>#VALUE!</v>
      </c>
      <c r="GX88" t="e">
        <f>'SurveyRpt_20150223 (1)'!Q549+"h_l!%qN"</f>
        <v>#VALUE!</v>
      </c>
      <c r="GY88" t="e">
        <f>'SurveyRpt_20150223 (1)'!R549+"h_l!%qO"</f>
        <v>#VALUE!</v>
      </c>
      <c r="GZ88" t="e">
        <f>'SurveyRpt_20150223 (1)'!S549+"h_l!%qP"</f>
        <v>#VALUE!</v>
      </c>
      <c r="HA88" t="e">
        <f>'SurveyRpt_20150223 (1)'!T549+"h_l!%qQ"</f>
        <v>#VALUE!</v>
      </c>
      <c r="HB88" t="e">
        <f>'SurveyRpt_20150223 (1)'!U549+"h_l!%qR"</f>
        <v>#VALUE!</v>
      </c>
      <c r="HC88" t="e">
        <f>'SurveyRpt_20150223 (1)'!V549+"h_l!%qS"</f>
        <v>#VALUE!</v>
      </c>
      <c r="HD88" t="e">
        <f>'SurveyRpt_20150223 (1)'!W549+"h_l!%qT"</f>
        <v>#VALUE!</v>
      </c>
      <c r="HE88" t="e">
        <f>'SurveyRpt_20150223 (1)'!X549+"h_l!%qU"</f>
        <v>#VALUE!</v>
      </c>
      <c r="HF88" t="e">
        <f>'SurveyRpt_20150223 (1)'!Y549+"h_l!%qV"</f>
        <v>#VALUE!</v>
      </c>
      <c r="HG88" t="e">
        <f>'SurveyRpt_20150223 (1)'!Z549+"h_l!%qW"</f>
        <v>#VALUE!</v>
      </c>
      <c r="HH88" t="e">
        <f>'SurveyRpt_20150223 (1)'!AA549+"h_l!%qX"</f>
        <v>#VALUE!</v>
      </c>
      <c r="HI88" t="e">
        <f>'SurveyRpt_20150223 (1)'!AB549+"h_l!%qY"</f>
        <v>#VALUE!</v>
      </c>
      <c r="HJ88" t="e">
        <f>'SurveyRpt_20150223 (1)'!AC549+"h_l!%qZ"</f>
        <v>#VALUE!</v>
      </c>
      <c r="HK88" t="e">
        <f>'SurveyRpt_20150223 (1)'!AD549+"h_l!%q["</f>
        <v>#VALUE!</v>
      </c>
      <c r="HL88" t="e">
        <f>'SurveyRpt_20150223 (1)'!AE549+"h_l!%q\"</f>
        <v>#VALUE!</v>
      </c>
      <c r="HM88" t="e">
        <f>'SurveyRpt_20150223 (1)'!AF549+"h_l!%q]"</f>
        <v>#VALUE!</v>
      </c>
      <c r="HN88" t="e">
        <f>'SurveyRpt_20150223 (1)'!AG549+"h_l!%q^"</f>
        <v>#VALUE!</v>
      </c>
      <c r="HO88" t="e">
        <f>'SurveyRpt_20150223 (1)'!AH549+"h_l!%q_"</f>
        <v>#VALUE!</v>
      </c>
      <c r="HP88" t="e">
        <f>'SurveyRpt_20150223 (1)'!AI549+"h_l!%q`"</f>
        <v>#VALUE!</v>
      </c>
      <c r="HQ88" t="e">
        <f>'SurveyRpt_20150223 (1)'!AJ549+"h_l!%qa"</f>
        <v>#VALUE!</v>
      </c>
      <c r="HR88" t="e">
        <f>'SurveyRpt_20150223 (1)'!AK549+"h_l!%qb"</f>
        <v>#VALUE!</v>
      </c>
      <c r="HS88" t="e">
        <f>'SurveyRpt_20150223 (1)'!AL549+"h_l!%qc"</f>
        <v>#VALUE!</v>
      </c>
      <c r="HT88" t="e">
        <f>'SurveyRpt_20150223 (1)'!AM549+"h_l!%qd"</f>
        <v>#VALUE!</v>
      </c>
      <c r="HU88" t="e">
        <f>'SurveyRpt_20150223 (1)'!AN549+"h_l!%qe"</f>
        <v>#VALUE!</v>
      </c>
      <c r="HV88" t="e">
        <f>'SurveyRpt_20150223 (1)'!A550+"h_l!%qf"</f>
        <v>#VALUE!</v>
      </c>
      <c r="HW88" s="25" t="e">
        <f>'SurveyRpt_20150223 (1)'!B550+"h_l!%qg"</f>
        <v>#VALUE!</v>
      </c>
      <c r="HX88" t="e">
        <f>'SurveyRpt_20150223 (1)'!C550+"h_l!%qh"</f>
        <v>#VALUE!</v>
      </c>
      <c r="HY88" s="25" t="e">
        <f>'SurveyRpt_20150223 (1)'!D550+"h_l!%qi"</f>
        <v>#VALUE!</v>
      </c>
      <c r="HZ88" t="e">
        <f>'SurveyRpt_20150223 (1)'!E550+"h_l!%qj"</f>
        <v>#VALUE!</v>
      </c>
      <c r="IA88" t="e">
        <f>'SurveyRpt_20150223 (1)'!F550+"h_l!%qk"</f>
        <v>#VALUE!</v>
      </c>
      <c r="IB88" t="e">
        <f>'SurveyRpt_20150223 (1)'!G550+"h_l!%ql"</f>
        <v>#VALUE!</v>
      </c>
      <c r="IC88" t="e">
        <f>'SurveyRpt_20150223 (1)'!H550+"h_l!%qm"</f>
        <v>#VALUE!</v>
      </c>
      <c r="ID88" t="e">
        <f>'SurveyRpt_20150223 (1)'!I550+"h_l!%qn"</f>
        <v>#VALUE!</v>
      </c>
      <c r="IE88" t="e">
        <f>'SurveyRpt_20150223 (1)'!J550+"h_l!%qo"</f>
        <v>#VALUE!</v>
      </c>
      <c r="IF88" t="e">
        <f>'SurveyRpt_20150223 (1)'!K550+"h_l!%qp"</f>
        <v>#VALUE!</v>
      </c>
      <c r="IG88" t="e">
        <f>'SurveyRpt_20150223 (1)'!L550+"h_l!%qq"</f>
        <v>#VALUE!</v>
      </c>
      <c r="IH88" t="e">
        <f>'SurveyRpt_20150223 (1)'!M550+"h_l!%qr"</f>
        <v>#VALUE!</v>
      </c>
      <c r="II88" t="e">
        <f>'SurveyRpt_20150223 (1)'!N550+"h_l!%qs"</f>
        <v>#VALUE!</v>
      </c>
      <c r="IJ88" t="e">
        <f>'SurveyRpt_20150223 (1)'!O550+"h_l!%qt"</f>
        <v>#VALUE!</v>
      </c>
      <c r="IK88" t="e">
        <f>'SurveyRpt_20150223 (1)'!P550+"h_l!%qu"</f>
        <v>#VALUE!</v>
      </c>
      <c r="IL88" t="e">
        <f>'SurveyRpt_20150223 (1)'!Q550+"h_l!%qv"</f>
        <v>#VALUE!</v>
      </c>
      <c r="IM88" t="e">
        <f>'SurveyRpt_20150223 (1)'!R550+"h_l!%qw"</f>
        <v>#VALUE!</v>
      </c>
      <c r="IN88" t="e">
        <f>'SurveyRpt_20150223 (1)'!S550+"h_l!%qx"</f>
        <v>#VALUE!</v>
      </c>
      <c r="IO88" t="e">
        <f>'SurveyRpt_20150223 (1)'!T550+"h_l!%qy"</f>
        <v>#VALUE!</v>
      </c>
      <c r="IP88" t="e">
        <f>'SurveyRpt_20150223 (1)'!U550+"h_l!%qz"</f>
        <v>#VALUE!</v>
      </c>
      <c r="IQ88" t="e">
        <f>'SurveyRpt_20150223 (1)'!V550+"h_l!%q{"</f>
        <v>#VALUE!</v>
      </c>
      <c r="IR88" t="e">
        <f>'SurveyRpt_20150223 (1)'!W550+"h_l!%q|"</f>
        <v>#VALUE!</v>
      </c>
      <c r="IS88" t="e">
        <f>'SurveyRpt_20150223 (1)'!X550+"h_l!%q}"</f>
        <v>#VALUE!</v>
      </c>
      <c r="IT88" t="e">
        <f>'SurveyRpt_20150223 (1)'!Y550+"h_l!%q~"</f>
        <v>#VALUE!</v>
      </c>
      <c r="IU88" t="e">
        <f>'SurveyRpt_20150223 (1)'!Z550+"h_l!%r#"</f>
        <v>#VALUE!</v>
      </c>
      <c r="IV88" t="e">
        <f>'SurveyRpt_20150223 (1)'!AA550+"h_l!%r$"</f>
        <v>#VALUE!</v>
      </c>
    </row>
    <row r="89" spans="6:256" x14ac:dyDescent="0.25">
      <c r="F89" t="e">
        <f>'SurveyRpt_20150223 (1)'!AB550+"h_l!%r%"</f>
        <v>#VALUE!</v>
      </c>
      <c r="G89" t="e">
        <f>'SurveyRpt_20150223 (1)'!AC550+"h_l!%r&amp;"</f>
        <v>#VALUE!</v>
      </c>
      <c r="H89" t="e">
        <f>'SurveyRpt_20150223 (1)'!AD550+"h_l!%r'"</f>
        <v>#VALUE!</v>
      </c>
      <c r="I89" t="e">
        <f>'SurveyRpt_20150223 (1)'!AE550+"h_l!%r("</f>
        <v>#VALUE!</v>
      </c>
      <c r="J89" t="e">
        <f>'SurveyRpt_20150223 (1)'!AF550+"h_l!%r)"</f>
        <v>#VALUE!</v>
      </c>
      <c r="K89" t="e">
        <f>'SurveyRpt_20150223 (1)'!AG550+"h_l!%r."</f>
        <v>#VALUE!</v>
      </c>
      <c r="L89" t="e">
        <f>'SurveyRpt_20150223 (1)'!AH550+"h_l!%r/"</f>
        <v>#VALUE!</v>
      </c>
      <c r="M89" t="e">
        <f>'SurveyRpt_20150223 (1)'!AI550+"h_l!%r0"</f>
        <v>#VALUE!</v>
      </c>
      <c r="N89" t="e">
        <f>'SurveyRpt_20150223 (1)'!AJ550+"h_l!%r1"</f>
        <v>#VALUE!</v>
      </c>
      <c r="O89" t="e">
        <f>'SurveyRpt_20150223 (1)'!AK550+"h_l!%r2"</f>
        <v>#VALUE!</v>
      </c>
      <c r="P89" t="e">
        <f>'SurveyRpt_20150223 (1)'!AL550+"h_l!%r3"</f>
        <v>#VALUE!</v>
      </c>
      <c r="Q89" t="e">
        <f>'SurveyRpt_20150223 (1)'!AM550+"h_l!%r4"</f>
        <v>#VALUE!</v>
      </c>
      <c r="R89" t="e">
        <f>'SurveyRpt_20150223 (1)'!AN550+"h_l!%r5"</f>
        <v>#VALUE!</v>
      </c>
      <c r="S89" t="e">
        <f>'SurveyRpt_20150223 (1)'!A551+"h_l!%r6"</f>
        <v>#VALUE!</v>
      </c>
      <c r="T89" s="25" t="e">
        <f>'SurveyRpt_20150223 (1)'!B551+"h_l!%r7"</f>
        <v>#VALUE!</v>
      </c>
      <c r="U89" t="e">
        <f>'SurveyRpt_20150223 (1)'!C551+"h_l!%r8"</f>
        <v>#VALUE!</v>
      </c>
      <c r="V89" s="25" t="e">
        <f>'SurveyRpt_20150223 (1)'!D551+"h_l!%r9"</f>
        <v>#VALUE!</v>
      </c>
      <c r="W89" t="e">
        <f>'SurveyRpt_20150223 (1)'!E551+"h_l!%r:"</f>
        <v>#VALUE!</v>
      </c>
      <c r="X89" t="e">
        <f>'SurveyRpt_20150223 (1)'!F551+"h_l!%r;"</f>
        <v>#VALUE!</v>
      </c>
      <c r="Y89" t="e">
        <f>'SurveyRpt_20150223 (1)'!G551+"h_l!%r&lt;"</f>
        <v>#VALUE!</v>
      </c>
      <c r="Z89" t="e">
        <f>'SurveyRpt_20150223 (1)'!H551+"h_l!%r="</f>
        <v>#VALUE!</v>
      </c>
      <c r="AA89" t="e">
        <f>'SurveyRpt_20150223 (1)'!I551+"h_l!%r&gt;"</f>
        <v>#VALUE!</v>
      </c>
      <c r="AB89" t="e">
        <f>'SurveyRpt_20150223 (1)'!J551+"h_l!%r?"</f>
        <v>#VALUE!</v>
      </c>
      <c r="AC89" t="e">
        <f>'SurveyRpt_20150223 (1)'!K551+"h_l!%r@"</f>
        <v>#VALUE!</v>
      </c>
      <c r="AD89" t="e">
        <f>'SurveyRpt_20150223 (1)'!L551+"h_l!%rA"</f>
        <v>#VALUE!</v>
      </c>
      <c r="AE89" t="e">
        <f>'SurveyRpt_20150223 (1)'!M551+"h_l!%rB"</f>
        <v>#VALUE!</v>
      </c>
      <c r="AF89" t="e">
        <f>'SurveyRpt_20150223 (1)'!N551+"h_l!%rC"</f>
        <v>#VALUE!</v>
      </c>
      <c r="AG89" t="e">
        <f>'SurveyRpt_20150223 (1)'!O551+"h_l!%rD"</f>
        <v>#VALUE!</v>
      </c>
      <c r="AH89" t="e">
        <f>'SurveyRpt_20150223 (1)'!P551+"h_l!%rE"</f>
        <v>#VALUE!</v>
      </c>
      <c r="AI89" t="e">
        <f>'SurveyRpt_20150223 (1)'!Q551+"h_l!%rF"</f>
        <v>#VALUE!</v>
      </c>
      <c r="AJ89" t="e">
        <f>'SurveyRpt_20150223 (1)'!R551+"h_l!%rG"</f>
        <v>#VALUE!</v>
      </c>
      <c r="AK89" t="e">
        <f>'SurveyRpt_20150223 (1)'!S551+"h_l!%rH"</f>
        <v>#VALUE!</v>
      </c>
      <c r="AL89" t="e">
        <f>'SurveyRpt_20150223 (1)'!T551+"h_l!%rI"</f>
        <v>#VALUE!</v>
      </c>
      <c r="AM89" t="e">
        <f>'SurveyRpt_20150223 (1)'!U551+"h_l!%rJ"</f>
        <v>#VALUE!</v>
      </c>
      <c r="AN89" t="e">
        <f>'SurveyRpt_20150223 (1)'!V551+"h_l!%rK"</f>
        <v>#VALUE!</v>
      </c>
      <c r="AO89" t="e">
        <f>'SurveyRpt_20150223 (1)'!W551+"h_l!%rL"</f>
        <v>#VALUE!</v>
      </c>
      <c r="AP89" t="e">
        <f>'SurveyRpt_20150223 (1)'!X551+"h_l!%rM"</f>
        <v>#VALUE!</v>
      </c>
      <c r="AQ89" t="e">
        <f>'SurveyRpt_20150223 (1)'!Y551+"h_l!%rN"</f>
        <v>#VALUE!</v>
      </c>
      <c r="AR89" t="e">
        <f>'SurveyRpt_20150223 (1)'!Z551+"h_l!%rO"</f>
        <v>#VALUE!</v>
      </c>
      <c r="AS89" t="e">
        <f>'SurveyRpt_20150223 (1)'!AA551+"h_l!%rP"</f>
        <v>#VALUE!</v>
      </c>
      <c r="AT89" t="e">
        <f>'SurveyRpt_20150223 (1)'!AB551+"h_l!%rQ"</f>
        <v>#VALUE!</v>
      </c>
      <c r="AU89" t="e">
        <f>'SurveyRpt_20150223 (1)'!AC551+"h_l!%rR"</f>
        <v>#VALUE!</v>
      </c>
      <c r="AV89" t="e">
        <f>'SurveyRpt_20150223 (1)'!AD551+"h_l!%rS"</f>
        <v>#VALUE!</v>
      </c>
      <c r="AW89" t="e">
        <f>'SurveyRpt_20150223 (1)'!AE551+"h_l!%rT"</f>
        <v>#VALUE!</v>
      </c>
      <c r="AX89" t="e">
        <f>'SurveyRpt_20150223 (1)'!AF551+"h_l!%rU"</f>
        <v>#VALUE!</v>
      </c>
      <c r="AY89" t="e">
        <f>'SurveyRpt_20150223 (1)'!AG551+"h_l!%rV"</f>
        <v>#VALUE!</v>
      </c>
      <c r="AZ89" t="e">
        <f>'SurveyRpt_20150223 (1)'!AH551+"h_l!%rW"</f>
        <v>#VALUE!</v>
      </c>
      <c r="BA89" t="e">
        <f>'SurveyRpt_20150223 (1)'!AI551+"h_l!%rX"</f>
        <v>#VALUE!</v>
      </c>
      <c r="BB89" t="e">
        <f>'SurveyRpt_20150223 (1)'!AJ551+"h_l!%rY"</f>
        <v>#VALUE!</v>
      </c>
      <c r="BC89" t="e">
        <f>'SurveyRpt_20150223 (1)'!AK551+"h_l!%rZ"</f>
        <v>#VALUE!</v>
      </c>
      <c r="BD89" t="e">
        <f>'SurveyRpt_20150223 (1)'!AL551+"h_l!%r["</f>
        <v>#VALUE!</v>
      </c>
      <c r="BE89" t="e">
        <f>'SurveyRpt_20150223 (1)'!AM551+"h_l!%r\"</f>
        <v>#VALUE!</v>
      </c>
      <c r="BF89" t="e">
        <f>'SurveyRpt_20150223 (1)'!AN551+"h_l!%r]"</f>
        <v>#VALUE!</v>
      </c>
      <c r="BG89" t="e">
        <f>'SurveyRpt_20150223 (1)'!A552+"h_l!%r^"</f>
        <v>#VALUE!</v>
      </c>
      <c r="BH89" s="25" t="e">
        <f>'SurveyRpt_20150223 (1)'!B552+"h_l!%r_"</f>
        <v>#VALUE!</v>
      </c>
      <c r="BI89" t="e">
        <f>'SurveyRpt_20150223 (1)'!C552+"h_l!%r`"</f>
        <v>#VALUE!</v>
      </c>
      <c r="BJ89" s="25" t="e">
        <f>'SurveyRpt_20150223 (1)'!D552+"h_l!%ra"</f>
        <v>#VALUE!</v>
      </c>
      <c r="BK89" t="e">
        <f>'SurveyRpt_20150223 (1)'!E552+"h_l!%rb"</f>
        <v>#VALUE!</v>
      </c>
      <c r="BL89" t="e">
        <f>'SurveyRpt_20150223 (1)'!F552+"h_l!%rc"</f>
        <v>#VALUE!</v>
      </c>
      <c r="BM89" t="e">
        <f>'SurveyRpt_20150223 (1)'!G552+"h_l!%rd"</f>
        <v>#VALUE!</v>
      </c>
      <c r="BN89" t="e">
        <f>'SurveyRpt_20150223 (1)'!H552+"h_l!%re"</f>
        <v>#VALUE!</v>
      </c>
      <c r="BO89" t="e">
        <f>'SurveyRpt_20150223 (1)'!I552+"h_l!%rf"</f>
        <v>#VALUE!</v>
      </c>
      <c r="BP89" t="e">
        <f>'SurveyRpt_20150223 (1)'!J552+"h_l!%rg"</f>
        <v>#VALUE!</v>
      </c>
      <c r="BQ89" t="e">
        <f>'SurveyRpt_20150223 (1)'!K552+"h_l!%rh"</f>
        <v>#VALUE!</v>
      </c>
      <c r="BR89" t="e">
        <f>'SurveyRpt_20150223 (1)'!L552+"h_l!%ri"</f>
        <v>#VALUE!</v>
      </c>
      <c r="BS89" t="e">
        <f>'SurveyRpt_20150223 (1)'!M552+"h_l!%rj"</f>
        <v>#VALUE!</v>
      </c>
      <c r="BT89" t="e">
        <f>'SurveyRpt_20150223 (1)'!N552+"h_l!%rk"</f>
        <v>#VALUE!</v>
      </c>
      <c r="BU89" t="e">
        <f>'SurveyRpt_20150223 (1)'!O552+"h_l!%rl"</f>
        <v>#VALUE!</v>
      </c>
      <c r="BV89" t="e">
        <f>'SurveyRpt_20150223 (1)'!P552+"h_l!%rm"</f>
        <v>#VALUE!</v>
      </c>
      <c r="BW89" t="e">
        <f>'SurveyRpt_20150223 (1)'!Q552+"h_l!%rn"</f>
        <v>#VALUE!</v>
      </c>
      <c r="BX89" t="e">
        <f>'SurveyRpt_20150223 (1)'!R552+"h_l!%ro"</f>
        <v>#VALUE!</v>
      </c>
      <c r="BY89" t="e">
        <f>'SurveyRpt_20150223 (1)'!S552+"h_l!%rp"</f>
        <v>#VALUE!</v>
      </c>
      <c r="BZ89" t="e">
        <f>'SurveyRpt_20150223 (1)'!T552+"h_l!%rq"</f>
        <v>#VALUE!</v>
      </c>
      <c r="CA89" t="e">
        <f>'SurveyRpt_20150223 (1)'!U552+"h_l!%rr"</f>
        <v>#VALUE!</v>
      </c>
      <c r="CB89" t="e">
        <f>'SurveyRpt_20150223 (1)'!V552+"h_l!%rs"</f>
        <v>#VALUE!</v>
      </c>
      <c r="CC89" t="e">
        <f>'SurveyRpt_20150223 (1)'!W552+"h_l!%rt"</f>
        <v>#VALUE!</v>
      </c>
      <c r="CD89" t="e">
        <f>'SurveyRpt_20150223 (1)'!X552+"h_l!%ru"</f>
        <v>#VALUE!</v>
      </c>
      <c r="CE89" t="e">
        <f>'SurveyRpt_20150223 (1)'!Y552+"h_l!%rv"</f>
        <v>#VALUE!</v>
      </c>
      <c r="CF89" t="e">
        <f>'SurveyRpt_20150223 (1)'!Z552+"h_l!%rw"</f>
        <v>#VALUE!</v>
      </c>
      <c r="CG89" t="e">
        <f>'SurveyRpt_20150223 (1)'!AA552+"h_l!%rx"</f>
        <v>#VALUE!</v>
      </c>
      <c r="CH89" t="e">
        <f>'SurveyRpt_20150223 (1)'!AB552+"h_l!%ry"</f>
        <v>#VALUE!</v>
      </c>
      <c r="CI89" t="e">
        <f>'SurveyRpt_20150223 (1)'!AC552+"h_l!%rz"</f>
        <v>#VALUE!</v>
      </c>
      <c r="CJ89" t="e">
        <f>'SurveyRpt_20150223 (1)'!AD552+"h_l!%r{"</f>
        <v>#VALUE!</v>
      </c>
      <c r="CK89" t="e">
        <f>'SurveyRpt_20150223 (1)'!AE552+"h_l!%r|"</f>
        <v>#VALUE!</v>
      </c>
      <c r="CL89" t="e">
        <f>'SurveyRpt_20150223 (1)'!AF552+"h_l!%r}"</f>
        <v>#VALUE!</v>
      </c>
      <c r="CM89" t="e">
        <f>'SurveyRpt_20150223 (1)'!AG552+"h_l!%r~"</f>
        <v>#VALUE!</v>
      </c>
      <c r="CN89" t="e">
        <f>'SurveyRpt_20150223 (1)'!AH552+"h_l!%s#"</f>
        <v>#VALUE!</v>
      </c>
      <c r="CO89" t="e">
        <f>'SurveyRpt_20150223 (1)'!AI552+"h_l!%s$"</f>
        <v>#VALUE!</v>
      </c>
      <c r="CP89" t="e">
        <f>'SurveyRpt_20150223 (1)'!AJ552+"h_l!%s%"</f>
        <v>#VALUE!</v>
      </c>
      <c r="CQ89" t="e">
        <f>'SurveyRpt_20150223 (1)'!AK552+"h_l!%s&amp;"</f>
        <v>#VALUE!</v>
      </c>
      <c r="CR89" t="e">
        <f>'SurveyRpt_20150223 (1)'!AL552+"h_l!%s'"</f>
        <v>#VALUE!</v>
      </c>
      <c r="CS89" t="e">
        <f>'SurveyRpt_20150223 (1)'!AM552+"h_l!%s("</f>
        <v>#VALUE!</v>
      </c>
      <c r="CT89" t="e">
        <f>'SurveyRpt_20150223 (1)'!AN552+"h_l!%s)"</f>
        <v>#VALUE!</v>
      </c>
      <c r="CU89" t="e">
        <f>'SurveyRpt_20150223 (1)'!A553+"h_l!%s."</f>
        <v>#VALUE!</v>
      </c>
      <c r="CV89" s="25" t="e">
        <f>'SurveyRpt_20150223 (1)'!B553+"h_l!%s/"</f>
        <v>#VALUE!</v>
      </c>
      <c r="CW89" t="e">
        <f>'SurveyRpt_20150223 (1)'!C553+"h_l!%s0"</f>
        <v>#VALUE!</v>
      </c>
      <c r="CX89" s="25" t="e">
        <f>'SurveyRpt_20150223 (1)'!D553+"h_l!%s1"</f>
        <v>#VALUE!</v>
      </c>
      <c r="CY89" t="e">
        <f>'SurveyRpt_20150223 (1)'!E553+"h_l!%s2"</f>
        <v>#VALUE!</v>
      </c>
      <c r="CZ89" t="e">
        <f>'SurveyRpt_20150223 (1)'!F553+"h_l!%s3"</f>
        <v>#VALUE!</v>
      </c>
      <c r="DA89" t="e">
        <f>'SurveyRpt_20150223 (1)'!G553+"h_l!%s4"</f>
        <v>#VALUE!</v>
      </c>
      <c r="DB89" t="e">
        <f>'SurveyRpt_20150223 (1)'!H553+"h_l!%s5"</f>
        <v>#VALUE!</v>
      </c>
      <c r="DC89" t="e">
        <f>'SurveyRpt_20150223 (1)'!I553+"h_l!%s6"</f>
        <v>#VALUE!</v>
      </c>
      <c r="DD89" t="e">
        <f>'SurveyRpt_20150223 (1)'!J553+"h_l!%s7"</f>
        <v>#VALUE!</v>
      </c>
      <c r="DE89" t="e">
        <f>'SurveyRpt_20150223 (1)'!K553+"h_l!%s8"</f>
        <v>#VALUE!</v>
      </c>
      <c r="DF89" t="e">
        <f>'SurveyRpt_20150223 (1)'!L553+"h_l!%s9"</f>
        <v>#VALUE!</v>
      </c>
      <c r="DG89" t="e">
        <f>'SurveyRpt_20150223 (1)'!M553+"h_l!%s:"</f>
        <v>#VALUE!</v>
      </c>
      <c r="DH89" t="e">
        <f>'SurveyRpt_20150223 (1)'!N553+"h_l!%s;"</f>
        <v>#VALUE!</v>
      </c>
      <c r="DI89" t="e">
        <f>'SurveyRpt_20150223 (1)'!O553+"h_l!%s&lt;"</f>
        <v>#VALUE!</v>
      </c>
      <c r="DJ89" t="e">
        <f>'SurveyRpt_20150223 (1)'!P553+"h_l!%s="</f>
        <v>#VALUE!</v>
      </c>
      <c r="DK89" t="e">
        <f>'SurveyRpt_20150223 (1)'!Q553+"h_l!%s&gt;"</f>
        <v>#VALUE!</v>
      </c>
      <c r="DL89" t="e">
        <f>'SurveyRpt_20150223 (1)'!R553+"h_l!%s?"</f>
        <v>#VALUE!</v>
      </c>
      <c r="DM89" t="e">
        <f>'SurveyRpt_20150223 (1)'!S553+"h_l!%s@"</f>
        <v>#VALUE!</v>
      </c>
      <c r="DN89" t="e">
        <f>'SurveyRpt_20150223 (1)'!T553+"h_l!%sA"</f>
        <v>#VALUE!</v>
      </c>
      <c r="DO89" t="e">
        <f>'SurveyRpt_20150223 (1)'!U553+"h_l!%sB"</f>
        <v>#VALUE!</v>
      </c>
      <c r="DP89" t="e">
        <f>'SurveyRpt_20150223 (1)'!V553+"h_l!%sC"</f>
        <v>#VALUE!</v>
      </c>
      <c r="DQ89" t="e">
        <f>'SurveyRpt_20150223 (1)'!W553+"h_l!%sD"</f>
        <v>#VALUE!</v>
      </c>
      <c r="DR89" t="e">
        <f>'SurveyRpt_20150223 (1)'!X553+"h_l!%sE"</f>
        <v>#VALUE!</v>
      </c>
      <c r="DS89" t="e">
        <f>'SurveyRpt_20150223 (1)'!Y553+"h_l!%sF"</f>
        <v>#VALUE!</v>
      </c>
      <c r="DT89" t="e">
        <f>'SurveyRpt_20150223 (1)'!Z553+"h_l!%sG"</f>
        <v>#VALUE!</v>
      </c>
      <c r="DU89" t="e">
        <f>'SurveyRpt_20150223 (1)'!AA553+"h_l!%sH"</f>
        <v>#VALUE!</v>
      </c>
      <c r="DV89" t="e">
        <f>'SurveyRpt_20150223 (1)'!AB553+"h_l!%sI"</f>
        <v>#VALUE!</v>
      </c>
      <c r="DW89" t="e">
        <f>'SurveyRpt_20150223 (1)'!AC553+"h_l!%sJ"</f>
        <v>#VALUE!</v>
      </c>
      <c r="DX89" t="e">
        <f>'SurveyRpt_20150223 (1)'!AD553+"h_l!%sK"</f>
        <v>#VALUE!</v>
      </c>
      <c r="DY89" t="e">
        <f>'SurveyRpt_20150223 (1)'!AE553+"h_l!%sL"</f>
        <v>#VALUE!</v>
      </c>
      <c r="DZ89" t="e">
        <f>'SurveyRpt_20150223 (1)'!AF553+"h_l!%sM"</f>
        <v>#VALUE!</v>
      </c>
      <c r="EA89" t="e">
        <f>'SurveyRpt_20150223 (1)'!AG553+"h_l!%sN"</f>
        <v>#VALUE!</v>
      </c>
      <c r="EB89" t="e">
        <f>'SurveyRpt_20150223 (1)'!AH553+"h_l!%sO"</f>
        <v>#VALUE!</v>
      </c>
      <c r="EC89" t="e">
        <f>'SurveyRpt_20150223 (1)'!AI553+"h_l!%sP"</f>
        <v>#VALUE!</v>
      </c>
      <c r="ED89" t="e">
        <f>'SurveyRpt_20150223 (1)'!AJ553+"h_l!%sQ"</f>
        <v>#VALUE!</v>
      </c>
      <c r="EE89" t="e">
        <f>'SurveyRpt_20150223 (1)'!AK553+"h_l!%sR"</f>
        <v>#VALUE!</v>
      </c>
      <c r="EF89" t="e">
        <f>'SurveyRpt_20150223 (1)'!AL553+"h_l!%sS"</f>
        <v>#VALUE!</v>
      </c>
      <c r="EG89" t="e">
        <f>'SurveyRpt_20150223 (1)'!AM553+"h_l!%sT"</f>
        <v>#VALUE!</v>
      </c>
      <c r="EH89" t="e">
        <f>'SurveyRpt_20150223 (1)'!AN553+"h_l!%sU"</f>
        <v>#VALUE!</v>
      </c>
      <c r="EI89" t="e">
        <f>'SurveyRpt_20150223 (1)'!A554+"h_l!%sV"</f>
        <v>#VALUE!</v>
      </c>
      <c r="EJ89" s="25" t="e">
        <f>'SurveyRpt_20150223 (1)'!B554+"h_l!%sW"</f>
        <v>#VALUE!</v>
      </c>
      <c r="EK89" t="e">
        <f>'SurveyRpt_20150223 (1)'!C554+"h_l!%sX"</f>
        <v>#VALUE!</v>
      </c>
      <c r="EL89" s="25" t="e">
        <f>'SurveyRpt_20150223 (1)'!D554+"h_l!%sY"</f>
        <v>#VALUE!</v>
      </c>
      <c r="EM89" t="e">
        <f>'SurveyRpt_20150223 (1)'!E554+"h_l!%sZ"</f>
        <v>#VALUE!</v>
      </c>
      <c r="EN89" t="e">
        <f>'SurveyRpt_20150223 (1)'!F554+"h_l!%s["</f>
        <v>#VALUE!</v>
      </c>
      <c r="EO89" t="e">
        <f>'SurveyRpt_20150223 (1)'!G554+"h_l!%s\"</f>
        <v>#VALUE!</v>
      </c>
      <c r="EP89" t="e">
        <f>'SurveyRpt_20150223 (1)'!H554+"h_l!%s]"</f>
        <v>#VALUE!</v>
      </c>
      <c r="EQ89" t="e">
        <f>'SurveyRpt_20150223 (1)'!I554+"h_l!%s^"</f>
        <v>#VALUE!</v>
      </c>
      <c r="ER89" t="e">
        <f>'SurveyRpt_20150223 (1)'!J554+"h_l!%s_"</f>
        <v>#VALUE!</v>
      </c>
      <c r="ES89" t="e">
        <f>'SurveyRpt_20150223 (1)'!K554+"h_l!%s`"</f>
        <v>#VALUE!</v>
      </c>
      <c r="ET89" t="e">
        <f>'SurveyRpt_20150223 (1)'!L554+"h_l!%sa"</f>
        <v>#VALUE!</v>
      </c>
      <c r="EU89" t="e">
        <f>'SurveyRpt_20150223 (1)'!M554+"h_l!%sb"</f>
        <v>#VALUE!</v>
      </c>
      <c r="EV89" t="e">
        <f>'SurveyRpt_20150223 (1)'!N554+"h_l!%sc"</f>
        <v>#VALUE!</v>
      </c>
      <c r="EW89" t="e">
        <f>'SurveyRpt_20150223 (1)'!O554+"h_l!%sd"</f>
        <v>#VALUE!</v>
      </c>
      <c r="EX89" t="e">
        <f>'SurveyRpt_20150223 (1)'!P554+"h_l!%se"</f>
        <v>#VALUE!</v>
      </c>
      <c r="EY89" t="e">
        <f>'SurveyRpt_20150223 (1)'!Q554+"h_l!%sf"</f>
        <v>#VALUE!</v>
      </c>
      <c r="EZ89" t="e">
        <f>'SurveyRpt_20150223 (1)'!R554+"h_l!%sg"</f>
        <v>#VALUE!</v>
      </c>
      <c r="FA89" t="e">
        <f>'SurveyRpt_20150223 (1)'!S554+"h_l!%sh"</f>
        <v>#VALUE!</v>
      </c>
      <c r="FB89" t="e">
        <f>'SurveyRpt_20150223 (1)'!T554+"h_l!%si"</f>
        <v>#VALUE!</v>
      </c>
      <c r="FC89" t="e">
        <f>'SurveyRpt_20150223 (1)'!U554+"h_l!%sj"</f>
        <v>#VALUE!</v>
      </c>
      <c r="FD89" t="e">
        <f>'SurveyRpt_20150223 (1)'!V554+"h_l!%sk"</f>
        <v>#VALUE!</v>
      </c>
      <c r="FE89" t="e">
        <f>'SurveyRpt_20150223 (1)'!W554+"h_l!%sl"</f>
        <v>#VALUE!</v>
      </c>
      <c r="FF89" t="e">
        <f>'SurveyRpt_20150223 (1)'!X554+"h_l!%sm"</f>
        <v>#VALUE!</v>
      </c>
      <c r="FG89" t="e">
        <f>'SurveyRpt_20150223 (1)'!Y554+"h_l!%sn"</f>
        <v>#VALUE!</v>
      </c>
      <c r="FH89" t="e">
        <f>'SurveyRpt_20150223 (1)'!Z554+"h_l!%so"</f>
        <v>#VALUE!</v>
      </c>
      <c r="FI89" t="e">
        <f>'SurveyRpt_20150223 (1)'!AA554+"h_l!%sp"</f>
        <v>#VALUE!</v>
      </c>
      <c r="FJ89" t="e">
        <f>'SurveyRpt_20150223 (1)'!AB554+"h_l!%sq"</f>
        <v>#VALUE!</v>
      </c>
      <c r="FK89" t="e">
        <f>'SurveyRpt_20150223 (1)'!AC554+"h_l!%sr"</f>
        <v>#VALUE!</v>
      </c>
      <c r="FL89" t="e">
        <f>'SurveyRpt_20150223 (1)'!AD554+"h_l!%ss"</f>
        <v>#VALUE!</v>
      </c>
      <c r="FM89" t="e">
        <f>'SurveyRpt_20150223 (1)'!AE554+"h_l!%st"</f>
        <v>#VALUE!</v>
      </c>
      <c r="FN89" t="e">
        <f>'SurveyRpt_20150223 (1)'!AF554+"h_l!%su"</f>
        <v>#VALUE!</v>
      </c>
      <c r="FO89" t="e">
        <f>'SurveyRpt_20150223 (1)'!AG554+"h_l!%sv"</f>
        <v>#VALUE!</v>
      </c>
      <c r="FP89" t="e">
        <f>'SurveyRpt_20150223 (1)'!AH554+"h_l!%sw"</f>
        <v>#VALUE!</v>
      </c>
      <c r="FQ89" t="e">
        <f>'SurveyRpt_20150223 (1)'!AI554+"h_l!%sx"</f>
        <v>#VALUE!</v>
      </c>
      <c r="FR89" t="e">
        <f>'SurveyRpt_20150223 (1)'!AJ554+"h_l!%sy"</f>
        <v>#VALUE!</v>
      </c>
      <c r="FS89" t="e">
        <f>'SurveyRpt_20150223 (1)'!AK554+"h_l!%sz"</f>
        <v>#VALUE!</v>
      </c>
      <c r="FT89" t="e">
        <f>'SurveyRpt_20150223 (1)'!AL554+"h_l!%s{"</f>
        <v>#VALUE!</v>
      </c>
      <c r="FU89" t="e">
        <f>'SurveyRpt_20150223 (1)'!AM554+"h_l!%s|"</f>
        <v>#VALUE!</v>
      </c>
      <c r="FV89" t="e">
        <f>'SurveyRpt_20150223 (1)'!AN554+"h_l!%s}"</f>
        <v>#VALUE!</v>
      </c>
      <c r="FW89" t="e">
        <f>'SurveyRpt_20150223 (1)'!A555+"h_l!%s~"</f>
        <v>#VALUE!</v>
      </c>
      <c r="FX89" s="25" t="e">
        <f>'SurveyRpt_20150223 (1)'!B555+"h_l!%t#"</f>
        <v>#VALUE!</v>
      </c>
      <c r="FY89" t="e">
        <f>'SurveyRpt_20150223 (1)'!C555+"h_l!%t$"</f>
        <v>#VALUE!</v>
      </c>
      <c r="FZ89" s="25" t="e">
        <f>'SurveyRpt_20150223 (1)'!D555+"h_l!%t%"</f>
        <v>#VALUE!</v>
      </c>
      <c r="GA89" t="e">
        <f>'SurveyRpt_20150223 (1)'!E555+"h_l!%t&amp;"</f>
        <v>#VALUE!</v>
      </c>
      <c r="GB89" t="e">
        <f>'SurveyRpt_20150223 (1)'!F555+"h_l!%t'"</f>
        <v>#VALUE!</v>
      </c>
      <c r="GC89" t="e">
        <f>'SurveyRpt_20150223 (1)'!G555+"h_l!%t("</f>
        <v>#VALUE!</v>
      </c>
      <c r="GD89" t="e">
        <f>'SurveyRpt_20150223 (1)'!H555+"h_l!%t)"</f>
        <v>#VALUE!</v>
      </c>
      <c r="GE89" t="e">
        <f>'SurveyRpt_20150223 (1)'!I555+"h_l!%t."</f>
        <v>#VALUE!</v>
      </c>
      <c r="GF89" t="e">
        <f>'SurveyRpt_20150223 (1)'!J555+"h_l!%t/"</f>
        <v>#VALUE!</v>
      </c>
      <c r="GG89" t="e">
        <f>'SurveyRpt_20150223 (1)'!K555+"h_l!%t0"</f>
        <v>#VALUE!</v>
      </c>
      <c r="GH89" t="e">
        <f>'SurveyRpt_20150223 (1)'!L555+"h_l!%t1"</f>
        <v>#VALUE!</v>
      </c>
      <c r="GI89" t="e">
        <f>'SurveyRpt_20150223 (1)'!M555+"h_l!%t2"</f>
        <v>#VALUE!</v>
      </c>
      <c r="GJ89" t="e">
        <f>'SurveyRpt_20150223 (1)'!N555+"h_l!%t3"</f>
        <v>#VALUE!</v>
      </c>
      <c r="GK89" t="e">
        <f>'SurveyRpt_20150223 (1)'!O555+"h_l!%t4"</f>
        <v>#VALUE!</v>
      </c>
      <c r="GL89" t="e">
        <f>'SurveyRpt_20150223 (1)'!P555+"h_l!%t5"</f>
        <v>#VALUE!</v>
      </c>
      <c r="GM89" t="e">
        <f>'SurveyRpt_20150223 (1)'!Q555+"h_l!%t6"</f>
        <v>#VALUE!</v>
      </c>
      <c r="GN89" t="e">
        <f>'SurveyRpt_20150223 (1)'!R555+"h_l!%t7"</f>
        <v>#VALUE!</v>
      </c>
      <c r="GO89" t="e">
        <f>'SurveyRpt_20150223 (1)'!S555+"h_l!%t8"</f>
        <v>#VALUE!</v>
      </c>
      <c r="GP89" t="e">
        <f>'SurveyRpt_20150223 (1)'!T555+"h_l!%t9"</f>
        <v>#VALUE!</v>
      </c>
      <c r="GQ89" t="e">
        <f>'SurveyRpt_20150223 (1)'!U555+"h_l!%t:"</f>
        <v>#VALUE!</v>
      </c>
      <c r="GR89" t="e">
        <f>'SurveyRpt_20150223 (1)'!V555+"h_l!%t;"</f>
        <v>#VALUE!</v>
      </c>
      <c r="GS89" t="e">
        <f>'SurveyRpt_20150223 (1)'!W555+"h_l!%t&lt;"</f>
        <v>#VALUE!</v>
      </c>
      <c r="GT89" t="e">
        <f>'SurveyRpt_20150223 (1)'!X555+"h_l!%t="</f>
        <v>#VALUE!</v>
      </c>
      <c r="GU89" t="e">
        <f>'SurveyRpt_20150223 (1)'!Y555+"h_l!%t&gt;"</f>
        <v>#VALUE!</v>
      </c>
      <c r="GV89" t="e">
        <f>'SurveyRpt_20150223 (1)'!Z555+"h_l!%t?"</f>
        <v>#VALUE!</v>
      </c>
      <c r="GW89" t="e">
        <f>'SurveyRpt_20150223 (1)'!AA555+"h_l!%t@"</f>
        <v>#VALUE!</v>
      </c>
      <c r="GX89" t="e">
        <f>'SurveyRpt_20150223 (1)'!AB555+"h_l!%tA"</f>
        <v>#VALUE!</v>
      </c>
      <c r="GY89" t="e">
        <f>'SurveyRpt_20150223 (1)'!AC555+"h_l!%tB"</f>
        <v>#VALUE!</v>
      </c>
      <c r="GZ89" t="e">
        <f>'SurveyRpt_20150223 (1)'!AD555+"h_l!%tC"</f>
        <v>#VALUE!</v>
      </c>
      <c r="HA89" t="e">
        <f>'SurveyRpt_20150223 (1)'!AE555+"h_l!%tD"</f>
        <v>#VALUE!</v>
      </c>
      <c r="HB89" t="e">
        <f>'SurveyRpt_20150223 (1)'!AF555+"h_l!%tE"</f>
        <v>#VALUE!</v>
      </c>
      <c r="HC89" t="e">
        <f>'SurveyRpt_20150223 (1)'!AG555+"h_l!%tF"</f>
        <v>#VALUE!</v>
      </c>
      <c r="HD89" t="e">
        <f>'SurveyRpt_20150223 (1)'!AH555+"h_l!%tG"</f>
        <v>#VALUE!</v>
      </c>
      <c r="HE89" t="e">
        <f>'SurveyRpt_20150223 (1)'!AI555+"h_l!%tH"</f>
        <v>#VALUE!</v>
      </c>
      <c r="HF89" t="e">
        <f>'SurveyRpt_20150223 (1)'!AJ555+"h_l!%tI"</f>
        <v>#VALUE!</v>
      </c>
      <c r="HG89" t="e">
        <f>'SurveyRpt_20150223 (1)'!AK555+"h_l!%tJ"</f>
        <v>#VALUE!</v>
      </c>
      <c r="HH89" t="e">
        <f>'SurveyRpt_20150223 (1)'!AL555+"h_l!%tK"</f>
        <v>#VALUE!</v>
      </c>
      <c r="HI89" t="e">
        <f>'SurveyRpt_20150223 (1)'!AM555+"h_l!%tL"</f>
        <v>#VALUE!</v>
      </c>
      <c r="HJ89" t="e">
        <f>'SurveyRpt_20150223 (1)'!AN555+"h_l!%tM"</f>
        <v>#VALUE!</v>
      </c>
      <c r="HK89" t="e">
        <f>'SurveyRpt_20150223 (1)'!A556+"h_l!%tN"</f>
        <v>#VALUE!</v>
      </c>
      <c r="HL89" s="25" t="e">
        <f>'SurveyRpt_20150223 (1)'!B556+"h_l!%tO"</f>
        <v>#VALUE!</v>
      </c>
      <c r="HM89" t="e">
        <f>'SurveyRpt_20150223 (1)'!C556+"h_l!%tP"</f>
        <v>#VALUE!</v>
      </c>
      <c r="HN89" s="25" t="e">
        <f>'SurveyRpt_20150223 (1)'!D556+"h_l!%tQ"</f>
        <v>#VALUE!</v>
      </c>
      <c r="HO89" t="e">
        <f>'SurveyRpt_20150223 (1)'!E556+"h_l!%tR"</f>
        <v>#VALUE!</v>
      </c>
      <c r="HP89" t="e">
        <f>'SurveyRpt_20150223 (1)'!F556+"h_l!%tS"</f>
        <v>#VALUE!</v>
      </c>
      <c r="HQ89" t="e">
        <f>'SurveyRpt_20150223 (1)'!G556+"h_l!%tT"</f>
        <v>#VALUE!</v>
      </c>
      <c r="HR89" t="e">
        <f>'SurveyRpt_20150223 (1)'!H556+"h_l!%tU"</f>
        <v>#VALUE!</v>
      </c>
      <c r="HS89" t="e">
        <f>'SurveyRpt_20150223 (1)'!I556+"h_l!%tV"</f>
        <v>#VALUE!</v>
      </c>
      <c r="HT89" t="e">
        <f>'SurveyRpt_20150223 (1)'!J556+"h_l!%tW"</f>
        <v>#VALUE!</v>
      </c>
      <c r="HU89" t="e">
        <f>'SurveyRpt_20150223 (1)'!K556+"h_l!%tX"</f>
        <v>#VALUE!</v>
      </c>
      <c r="HV89" t="e">
        <f>'SurveyRpt_20150223 (1)'!L556+"h_l!%tY"</f>
        <v>#VALUE!</v>
      </c>
      <c r="HW89" t="e">
        <f>'SurveyRpt_20150223 (1)'!M556+"h_l!%tZ"</f>
        <v>#VALUE!</v>
      </c>
      <c r="HX89" t="e">
        <f>'SurveyRpt_20150223 (1)'!N556+"h_l!%t["</f>
        <v>#VALUE!</v>
      </c>
      <c r="HY89" t="e">
        <f>'SurveyRpt_20150223 (1)'!O556+"h_l!%t\"</f>
        <v>#VALUE!</v>
      </c>
      <c r="HZ89" t="e">
        <f>'SurveyRpt_20150223 (1)'!P556+"h_l!%t]"</f>
        <v>#VALUE!</v>
      </c>
      <c r="IA89" t="e">
        <f>'SurveyRpt_20150223 (1)'!Q556+"h_l!%t^"</f>
        <v>#VALUE!</v>
      </c>
      <c r="IB89" t="e">
        <f>'SurveyRpt_20150223 (1)'!R556+"h_l!%t_"</f>
        <v>#VALUE!</v>
      </c>
      <c r="IC89" t="e">
        <f>'SurveyRpt_20150223 (1)'!S556+"h_l!%t`"</f>
        <v>#VALUE!</v>
      </c>
      <c r="ID89" t="e">
        <f>'SurveyRpt_20150223 (1)'!T556+"h_l!%ta"</f>
        <v>#VALUE!</v>
      </c>
      <c r="IE89" t="e">
        <f>'SurveyRpt_20150223 (1)'!U556+"h_l!%tb"</f>
        <v>#VALUE!</v>
      </c>
      <c r="IF89" t="e">
        <f>'SurveyRpt_20150223 (1)'!V556+"h_l!%tc"</f>
        <v>#VALUE!</v>
      </c>
      <c r="IG89" t="e">
        <f>'SurveyRpt_20150223 (1)'!W556+"h_l!%td"</f>
        <v>#VALUE!</v>
      </c>
      <c r="IH89" t="e">
        <f>'SurveyRpt_20150223 (1)'!X556+"h_l!%te"</f>
        <v>#VALUE!</v>
      </c>
      <c r="II89" t="e">
        <f>'SurveyRpt_20150223 (1)'!Y556+"h_l!%tf"</f>
        <v>#VALUE!</v>
      </c>
      <c r="IJ89" t="e">
        <f>'SurveyRpt_20150223 (1)'!Z556+"h_l!%tg"</f>
        <v>#VALUE!</v>
      </c>
      <c r="IK89" t="e">
        <f>'SurveyRpt_20150223 (1)'!AA556+"h_l!%th"</f>
        <v>#VALUE!</v>
      </c>
      <c r="IL89" t="e">
        <f>'SurveyRpt_20150223 (1)'!AB556+"h_l!%ti"</f>
        <v>#VALUE!</v>
      </c>
      <c r="IM89" t="e">
        <f>'SurveyRpt_20150223 (1)'!AC556+"h_l!%tj"</f>
        <v>#VALUE!</v>
      </c>
      <c r="IN89" t="e">
        <f>'SurveyRpt_20150223 (1)'!AD556+"h_l!%tk"</f>
        <v>#VALUE!</v>
      </c>
      <c r="IO89" t="e">
        <f>'SurveyRpt_20150223 (1)'!AE556+"h_l!%tl"</f>
        <v>#VALUE!</v>
      </c>
      <c r="IP89" t="e">
        <f>'SurveyRpt_20150223 (1)'!AF556+"h_l!%tm"</f>
        <v>#VALUE!</v>
      </c>
      <c r="IQ89" t="e">
        <f>'SurveyRpt_20150223 (1)'!AG556+"h_l!%tn"</f>
        <v>#VALUE!</v>
      </c>
      <c r="IR89" t="e">
        <f>'SurveyRpt_20150223 (1)'!AH556+"h_l!%to"</f>
        <v>#VALUE!</v>
      </c>
      <c r="IS89" t="e">
        <f>'SurveyRpt_20150223 (1)'!AI556+"h_l!%tp"</f>
        <v>#VALUE!</v>
      </c>
      <c r="IT89" t="e">
        <f>'SurveyRpt_20150223 (1)'!AJ556+"h_l!%tq"</f>
        <v>#VALUE!</v>
      </c>
      <c r="IU89" t="e">
        <f>'SurveyRpt_20150223 (1)'!AK556+"h_l!%tr"</f>
        <v>#VALUE!</v>
      </c>
      <c r="IV89" t="e">
        <f>'SurveyRpt_20150223 (1)'!AL556+"h_l!%ts"</f>
        <v>#VALUE!</v>
      </c>
    </row>
    <row r="90" spans="6:256" x14ac:dyDescent="0.25">
      <c r="F90" t="e">
        <f>'SurveyRpt_20150223 (1)'!AM556+"h_l!%tt"</f>
        <v>#VALUE!</v>
      </c>
      <c r="G90" t="e">
        <f>'SurveyRpt_20150223 (1)'!AN556+"h_l!%tu"</f>
        <v>#VALUE!</v>
      </c>
      <c r="H90" t="e">
        <f>'SurveyRpt_20150223 (1)'!A557+"h_l!%tv"</f>
        <v>#VALUE!</v>
      </c>
      <c r="I90" s="25" t="e">
        <f>'SurveyRpt_20150223 (1)'!B557+"h_l!%tw"</f>
        <v>#VALUE!</v>
      </c>
      <c r="J90" t="e">
        <f>'SurveyRpt_20150223 (1)'!C557+"h_l!%tx"</f>
        <v>#VALUE!</v>
      </c>
      <c r="K90" s="25" t="e">
        <f>'SurveyRpt_20150223 (1)'!D557+"h_l!%ty"</f>
        <v>#VALUE!</v>
      </c>
      <c r="L90" t="e">
        <f>'SurveyRpt_20150223 (1)'!E557+"h_l!%tz"</f>
        <v>#VALUE!</v>
      </c>
      <c r="M90" t="e">
        <f>'SurveyRpt_20150223 (1)'!F557+"h_l!%t{"</f>
        <v>#VALUE!</v>
      </c>
      <c r="N90" t="e">
        <f>'SurveyRpt_20150223 (1)'!G557+"h_l!%t|"</f>
        <v>#VALUE!</v>
      </c>
      <c r="O90" t="e">
        <f>'SurveyRpt_20150223 (1)'!H557+"h_l!%t}"</f>
        <v>#VALUE!</v>
      </c>
      <c r="P90" t="e">
        <f>'SurveyRpt_20150223 (1)'!I557+"h_l!%t~"</f>
        <v>#VALUE!</v>
      </c>
      <c r="Q90" t="e">
        <f>'SurveyRpt_20150223 (1)'!J557+"h_l!%u#"</f>
        <v>#VALUE!</v>
      </c>
      <c r="R90" t="e">
        <f>'SurveyRpt_20150223 (1)'!K557+"h_l!%u$"</f>
        <v>#VALUE!</v>
      </c>
      <c r="S90" t="e">
        <f>'SurveyRpt_20150223 (1)'!L557+"h_l!%u%"</f>
        <v>#VALUE!</v>
      </c>
      <c r="T90" t="e">
        <f>'SurveyRpt_20150223 (1)'!M557+"h_l!%u&amp;"</f>
        <v>#VALUE!</v>
      </c>
      <c r="U90" t="e">
        <f>'SurveyRpt_20150223 (1)'!N557+"h_l!%u'"</f>
        <v>#VALUE!</v>
      </c>
      <c r="V90" t="e">
        <f>'SurveyRpt_20150223 (1)'!O557+"h_l!%u("</f>
        <v>#VALUE!</v>
      </c>
      <c r="W90" t="e">
        <f>'SurveyRpt_20150223 (1)'!P557+"h_l!%u)"</f>
        <v>#VALUE!</v>
      </c>
      <c r="X90" t="e">
        <f>'SurveyRpt_20150223 (1)'!Q557+"h_l!%u."</f>
        <v>#VALUE!</v>
      </c>
      <c r="Y90" t="e">
        <f>'SurveyRpt_20150223 (1)'!R557+"h_l!%u/"</f>
        <v>#VALUE!</v>
      </c>
      <c r="Z90" t="e">
        <f>'SurveyRpt_20150223 (1)'!S557+"h_l!%u0"</f>
        <v>#VALUE!</v>
      </c>
      <c r="AA90" t="e">
        <f>'SurveyRpt_20150223 (1)'!T557+"h_l!%u1"</f>
        <v>#VALUE!</v>
      </c>
      <c r="AB90" t="e">
        <f>'SurveyRpt_20150223 (1)'!U557+"h_l!%u2"</f>
        <v>#VALUE!</v>
      </c>
      <c r="AC90" t="e">
        <f>'SurveyRpt_20150223 (1)'!V557+"h_l!%u3"</f>
        <v>#VALUE!</v>
      </c>
      <c r="AD90" t="e">
        <f>'SurveyRpt_20150223 (1)'!W557+"h_l!%u4"</f>
        <v>#VALUE!</v>
      </c>
      <c r="AE90" t="e">
        <f>'SurveyRpt_20150223 (1)'!X557+"h_l!%u5"</f>
        <v>#VALUE!</v>
      </c>
      <c r="AF90" t="e">
        <f>'SurveyRpt_20150223 (1)'!Y557+"h_l!%u6"</f>
        <v>#VALUE!</v>
      </c>
      <c r="AG90" t="e">
        <f>'SurveyRpt_20150223 (1)'!Z557+"h_l!%u7"</f>
        <v>#VALUE!</v>
      </c>
      <c r="AH90" t="e">
        <f>'SurveyRpt_20150223 (1)'!AA557+"h_l!%u8"</f>
        <v>#VALUE!</v>
      </c>
      <c r="AI90" t="e">
        <f>'SurveyRpt_20150223 (1)'!AB557+"h_l!%u9"</f>
        <v>#VALUE!</v>
      </c>
      <c r="AJ90" t="e">
        <f>'SurveyRpt_20150223 (1)'!AC557+"h_l!%u:"</f>
        <v>#VALUE!</v>
      </c>
      <c r="AK90" t="e">
        <f>'SurveyRpt_20150223 (1)'!AD557+"h_l!%u;"</f>
        <v>#VALUE!</v>
      </c>
      <c r="AL90" t="e">
        <f>'SurveyRpt_20150223 (1)'!AE557+"h_l!%u&lt;"</f>
        <v>#VALUE!</v>
      </c>
      <c r="AM90" t="e">
        <f>'SurveyRpt_20150223 (1)'!AF557+"h_l!%u="</f>
        <v>#VALUE!</v>
      </c>
      <c r="AN90" t="e">
        <f>'SurveyRpt_20150223 (1)'!AG557+"h_l!%u&gt;"</f>
        <v>#VALUE!</v>
      </c>
      <c r="AO90" t="e">
        <f>'SurveyRpt_20150223 (1)'!AH557+"h_l!%u?"</f>
        <v>#VALUE!</v>
      </c>
      <c r="AP90" t="e">
        <f>'SurveyRpt_20150223 (1)'!AI557+"h_l!%u@"</f>
        <v>#VALUE!</v>
      </c>
      <c r="AQ90" t="e">
        <f>'SurveyRpt_20150223 (1)'!AJ557+"h_l!%uA"</f>
        <v>#VALUE!</v>
      </c>
      <c r="AR90" t="e">
        <f>'SurveyRpt_20150223 (1)'!AK557+"h_l!%uB"</f>
        <v>#VALUE!</v>
      </c>
      <c r="AS90" t="e">
        <f>'SurveyRpt_20150223 (1)'!AL557+"h_l!%uC"</f>
        <v>#VALUE!</v>
      </c>
      <c r="AT90" t="e">
        <f>'SurveyRpt_20150223 (1)'!AM557+"h_l!%uD"</f>
        <v>#VALUE!</v>
      </c>
      <c r="AU90" t="e">
        <f>'SurveyRpt_20150223 (1)'!AN557+"h_l!%uE"</f>
        <v>#VALUE!</v>
      </c>
      <c r="AV90" t="e">
        <f>'SurveyRpt_20150223 (1)'!A558+"h_l!%uF"</f>
        <v>#VALUE!</v>
      </c>
      <c r="AW90" s="25" t="e">
        <f>'SurveyRpt_20150223 (1)'!B558+"h_l!%uG"</f>
        <v>#VALUE!</v>
      </c>
      <c r="AX90" t="e">
        <f>'SurveyRpt_20150223 (1)'!C558+"h_l!%uH"</f>
        <v>#VALUE!</v>
      </c>
      <c r="AY90" s="25" t="e">
        <f>'SurveyRpt_20150223 (1)'!D558+"h_l!%uI"</f>
        <v>#VALUE!</v>
      </c>
      <c r="AZ90" t="e">
        <f>'SurveyRpt_20150223 (1)'!E558+"h_l!%uJ"</f>
        <v>#VALUE!</v>
      </c>
      <c r="BA90" t="e">
        <f>'SurveyRpt_20150223 (1)'!F558+"h_l!%uK"</f>
        <v>#VALUE!</v>
      </c>
      <c r="BB90" t="e">
        <f>'SurveyRpt_20150223 (1)'!G558+"h_l!%uL"</f>
        <v>#VALUE!</v>
      </c>
      <c r="BC90" t="e">
        <f>'SurveyRpt_20150223 (1)'!H558+"h_l!%uM"</f>
        <v>#VALUE!</v>
      </c>
      <c r="BD90" t="e">
        <f>'SurveyRpt_20150223 (1)'!I558+"h_l!%uN"</f>
        <v>#VALUE!</v>
      </c>
      <c r="BE90" t="e">
        <f>'SurveyRpt_20150223 (1)'!J558+"h_l!%uO"</f>
        <v>#VALUE!</v>
      </c>
      <c r="BF90" t="e">
        <f>'SurveyRpt_20150223 (1)'!K558+"h_l!%uP"</f>
        <v>#VALUE!</v>
      </c>
      <c r="BG90" t="e">
        <f>'SurveyRpt_20150223 (1)'!L558+"h_l!%uQ"</f>
        <v>#VALUE!</v>
      </c>
      <c r="BH90" t="e">
        <f>'SurveyRpt_20150223 (1)'!M558+"h_l!%uR"</f>
        <v>#VALUE!</v>
      </c>
      <c r="BI90" t="e">
        <f>'SurveyRpt_20150223 (1)'!N558+"h_l!%uS"</f>
        <v>#VALUE!</v>
      </c>
      <c r="BJ90" t="e">
        <f>'SurveyRpt_20150223 (1)'!O558+"h_l!%uT"</f>
        <v>#VALUE!</v>
      </c>
      <c r="BK90" t="e">
        <f>'SurveyRpt_20150223 (1)'!P558+"h_l!%uU"</f>
        <v>#VALUE!</v>
      </c>
      <c r="BL90" t="e">
        <f>'SurveyRpt_20150223 (1)'!Q558+"h_l!%uV"</f>
        <v>#VALUE!</v>
      </c>
      <c r="BM90" t="e">
        <f>'SurveyRpt_20150223 (1)'!R558+"h_l!%uW"</f>
        <v>#VALUE!</v>
      </c>
      <c r="BN90" t="e">
        <f>'SurveyRpt_20150223 (1)'!S558+"h_l!%uX"</f>
        <v>#VALUE!</v>
      </c>
      <c r="BO90" t="e">
        <f>'SurveyRpt_20150223 (1)'!T558+"h_l!%uY"</f>
        <v>#VALUE!</v>
      </c>
      <c r="BP90" t="e">
        <f>'SurveyRpt_20150223 (1)'!U558+"h_l!%uZ"</f>
        <v>#VALUE!</v>
      </c>
      <c r="BQ90" t="e">
        <f>'SurveyRpt_20150223 (1)'!V558+"h_l!%u["</f>
        <v>#VALUE!</v>
      </c>
      <c r="BR90" t="e">
        <f>'SurveyRpt_20150223 (1)'!W558+"h_l!%u\"</f>
        <v>#VALUE!</v>
      </c>
      <c r="BS90" t="e">
        <f>'SurveyRpt_20150223 (1)'!X558+"h_l!%u]"</f>
        <v>#VALUE!</v>
      </c>
      <c r="BT90" t="e">
        <f>'SurveyRpt_20150223 (1)'!Y558+"h_l!%u^"</f>
        <v>#VALUE!</v>
      </c>
      <c r="BU90" t="e">
        <f>'SurveyRpt_20150223 (1)'!Z558+"h_l!%u_"</f>
        <v>#VALUE!</v>
      </c>
      <c r="BV90" t="e">
        <f>'SurveyRpt_20150223 (1)'!AA558+"h_l!%u`"</f>
        <v>#VALUE!</v>
      </c>
      <c r="BW90" t="e">
        <f>'SurveyRpt_20150223 (1)'!AB558+"h_l!%ua"</f>
        <v>#VALUE!</v>
      </c>
      <c r="BX90" t="e">
        <f>'SurveyRpt_20150223 (1)'!AC558+"h_l!%ub"</f>
        <v>#VALUE!</v>
      </c>
      <c r="BY90" t="e">
        <f>'SurveyRpt_20150223 (1)'!AD558+"h_l!%uc"</f>
        <v>#VALUE!</v>
      </c>
      <c r="BZ90" t="e">
        <f>'SurveyRpt_20150223 (1)'!AE558+"h_l!%ud"</f>
        <v>#VALUE!</v>
      </c>
      <c r="CA90" t="e">
        <f>'SurveyRpt_20150223 (1)'!AF558+"h_l!%ue"</f>
        <v>#VALUE!</v>
      </c>
      <c r="CB90" t="e">
        <f>'SurveyRpt_20150223 (1)'!AG558+"h_l!%uf"</f>
        <v>#VALUE!</v>
      </c>
      <c r="CC90" t="e">
        <f>'SurveyRpt_20150223 (1)'!AH558+"h_l!%ug"</f>
        <v>#VALUE!</v>
      </c>
      <c r="CD90" t="e">
        <f>'SurveyRpt_20150223 (1)'!AI558+"h_l!%uh"</f>
        <v>#VALUE!</v>
      </c>
      <c r="CE90" t="e">
        <f>'SurveyRpt_20150223 (1)'!AJ558+"h_l!%ui"</f>
        <v>#VALUE!</v>
      </c>
      <c r="CF90" t="e">
        <f>'SurveyRpt_20150223 (1)'!AK558+"h_l!%uj"</f>
        <v>#VALUE!</v>
      </c>
      <c r="CG90" t="e">
        <f>'SurveyRpt_20150223 (1)'!AL558+"h_l!%uk"</f>
        <v>#VALUE!</v>
      </c>
      <c r="CH90" t="e">
        <f>'SurveyRpt_20150223 (1)'!AM558+"h_l!%ul"</f>
        <v>#VALUE!</v>
      </c>
      <c r="CI90" t="e">
        <f>'SurveyRpt_20150223 (1)'!AN558+"h_l!%um"</f>
        <v>#VALUE!</v>
      </c>
      <c r="CJ90" t="e">
        <f>'SurveyRpt_20150223 (1)'!A559+"h_l!%un"</f>
        <v>#VALUE!</v>
      </c>
      <c r="CK90" s="25" t="e">
        <f>'SurveyRpt_20150223 (1)'!B559+"h_l!%uo"</f>
        <v>#VALUE!</v>
      </c>
      <c r="CL90" t="e">
        <f>'SurveyRpt_20150223 (1)'!C559+"h_l!%up"</f>
        <v>#VALUE!</v>
      </c>
      <c r="CM90" s="25" t="e">
        <f>'SurveyRpt_20150223 (1)'!D559+"h_l!%uq"</f>
        <v>#VALUE!</v>
      </c>
      <c r="CN90" t="e">
        <f>'SurveyRpt_20150223 (1)'!E559+"h_l!%ur"</f>
        <v>#VALUE!</v>
      </c>
      <c r="CO90" t="e">
        <f>'SurveyRpt_20150223 (1)'!F559+"h_l!%us"</f>
        <v>#VALUE!</v>
      </c>
      <c r="CP90" t="e">
        <f>'SurveyRpt_20150223 (1)'!G559+"h_l!%ut"</f>
        <v>#VALUE!</v>
      </c>
      <c r="CQ90" t="e">
        <f>'SurveyRpt_20150223 (1)'!H559+"h_l!%uu"</f>
        <v>#VALUE!</v>
      </c>
      <c r="CR90" t="e">
        <f>'SurveyRpt_20150223 (1)'!I559+"h_l!%uv"</f>
        <v>#VALUE!</v>
      </c>
      <c r="CS90" t="e">
        <f>'SurveyRpt_20150223 (1)'!J559+"h_l!%uw"</f>
        <v>#VALUE!</v>
      </c>
      <c r="CT90" t="e">
        <f>'SurveyRpt_20150223 (1)'!K559+"h_l!%ux"</f>
        <v>#VALUE!</v>
      </c>
      <c r="CU90" t="e">
        <f>'SurveyRpt_20150223 (1)'!L559+"h_l!%uy"</f>
        <v>#VALUE!</v>
      </c>
      <c r="CV90" t="e">
        <f>'SurveyRpt_20150223 (1)'!M559+"h_l!%uz"</f>
        <v>#VALUE!</v>
      </c>
      <c r="CW90" t="e">
        <f>'SurveyRpt_20150223 (1)'!N559+"h_l!%u{"</f>
        <v>#VALUE!</v>
      </c>
      <c r="CX90" t="e">
        <f>'SurveyRpt_20150223 (1)'!O559+"h_l!%u|"</f>
        <v>#VALUE!</v>
      </c>
      <c r="CY90" t="e">
        <f>'SurveyRpt_20150223 (1)'!P559+"h_l!%u}"</f>
        <v>#VALUE!</v>
      </c>
      <c r="CZ90" t="e">
        <f>'SurveyRpt_20150223 (1)'!Q559+"h_l!%u~"</f>
        <v>#VALUE!</v>
      </c>
      <c r="DA90" t="e">
        <f>'SurveyRpt_20150223 (1)'!R559+"h_l!%v#"</f>
        <v>#VALUE!</v>
      </c>
      <c r="DB90" t="e">
        <f>'SurveyRpt_20150223 (1)'!S559+"h_l!%v$"</f>
        <v>#VALUE!</v>
      </c>
      <c r="DC90" t="e">
        <f>'SurveyRpt_20150223 (1)'!T559+"h_l!%v%"</f>
        <v>#VALUE!</v>
      </c>
      <c r="DD90" t="e">
        <f>'SurveyRpt_20150223 (1)'!U559+"h_l!%v&amp;"</f>
        <v>#VALUE!</v>
      </c>
      <c r="DE90" t="e">
        <f>'SurveyRpt_20150223 (1)'!V559+"h_l!%v'"</f>
        <v>#VALUE!</v>
      </c>
      <c r="DF90" t="e">
        <f>'SurveyRpt_20150223 (1)'!W559+"h_l!%v("</f>
        <v>#VALUE!</v>
      </c>
      <c r="DG90" t="e">
        <f>'SurveyRpt_20150223 (1)'!X559+"h_l!%v)"</f>
        <v>#VALUE!</v>
      </c>
      <c r="DH90" t="e">
        <f>'SurveyRpt_20150223 (1)'!Y559+"h_l!%v."</f>
        <v>#VALUE!</v>
      </c>
      <c r="DI90" t="e">
        <f>'SurveyRpt_20150223 (1)'!Z559+"h_l!%v/"</f>
        <v>#VALUE!</v>
      </c>
      <c r="DJ90" t="e">
        <f>'SurveyRpt_20150223 (1)'!AA559+"h_l!%v0"</f>
        <v>#VALUE!</v>
      </c>
      <c r="DK90" t="e">
        <f>'SurveyRpt_20150223 (1)'!AB559+"h_l!%v1"</f>
        <v>#VALUE!</v>
      </c>
      <c r="DL90" t="e">
        <f>'SurveyRpt_20150223 (1)'!AC559+"h_l!%v2"</f>
        <v>#VALUE!</v>
      </c>
      <c r="DM90" t="e">
        <f>'SurveyRpt_20150223 (1)'!AD559+"h_l!%v3"</f>
        <v>#VALUE!</v>
      </c>
      <c r="DN90" t="e">
        <f>'SurveyRpt_20150223 (1)'!AE559+"h_l!%v4"</f>
        <v>#VALUE!</v>
      </c>
      <c r="DO90" t="e">
        <f>'SurveyRpt_20150223 (1)'!AF559+"h_l!%v5"</f>
        <v>#VALUE!</v>
      </c>
      <c r="DP90" t="e">
        <f>'SurveyRpt_20150223 (1)'!AG559+"h_l!%v6"</f>
        <v>#VALUE!</v>
      </c>
      <c r="DQ90" t="e">
        <f>'SurveyRpt_20150223 (1)'!AH559+"h_l!%v7"</f>
        <v>#VALUE!</v>
      </c>
      <c r="DR90" t="e">
        <f>'SurveyRpt_20150223 (1)'!AI559+"h_l!%v8"</f>
        <v>#VALUE!</v>
      </c>
      <c r="DS90" t="e">
        <f>'SurveyRpt_20150223 (1)'!AJ559+"h_l!%v9"</f>
        <v>#VALUE!</v>
      </c>
      <c r="DT90" t="e">
        <f>'SurveyRpt_20150223 (1)'!AK559+"h_l!%v:"</f>
        <v>#VALUE!</v>
      </c>
      <c r="DU90" t="e">
        <f>'SurveyRpt_20150223 (1)'!AL559+"h_l!%v;"</f>
        <v>#VALUE!</v>
      </c>
      <c r="DV90" t="e">
        <f>'SurveyRpt_20150223 (1)'!AM559+"h_l!%v&lt;"</f>
        <v>#VALUE!</v>
      </c>
      <c r="DW90" t="e">
        <f>'SurveyRpt_20150223 (1)'!AN559+"h_l!%v="</f>
        <v>#VALUE!</v>
      </c>
      <c r="DX90" t="e">
        <f>'SurveyRpt_20150223 (1)'!A560+"h_l!%v&gt;"</f>
        <v>#VALUE!</v>
      </c>
      <c r="DY90" s="25" t="e">
        <f>'SurveyRpt_20150223 (1)'!B560+"h_l!%v?"</f>
        <v>#VALUE!</v>
      </c>
      <c r="DZ90" t="e">
        <f>'SurveyRpt_20150223 (1)'!C560+"h_l!%v@"</f>
        <v>#VALUE!</v>
      </c>
      <c r="EA90" s="25" t="e">
        <f>'SurveyRpt_20150223 (1)'!D560+"h_l!%vA"</f>
        <v>#VALUE!</v>
      </c>
      <c r="EB90" t="e">
        <f>'SurveyRpt_20150223 (1)'!E560+"h_l!%vB"</f>
        <v>#VALUE!</v>
      </c>
      <c r="EC90" t="e">
        <f>'SurveyRpt_20150223 (1)'!F560+"h_l!%vC"</f>
        <v>#VALUE!</v>
      </c>
      <c r="ED90" t="e">
        <f>'SurveyRpt_20150223 (1)'!G560+"h_l!%vD"</f>
        <v>#VALUE!</v>
      </c>
      <c r="EE90" t="e">
        <f>'SurveyRpt_20150223 (1)'!H560+"h_l!%vE"</f>
        <v>#VALUE!</v>
      </c>
      <c r="EF90" t="e">
        <f>'SurveyRpt_20150223 (1)'!I560+"h_l!%vF"</f>
        <v>#VALUE!</v>
      </c>
      <c r="EG90" t="e">
        <f>'SurveyRpt_20150223 (1)'!J560+"h_l!%vG"</f>
        <v>#VALUE!</v>
      </c>
      <c r="EH90" t="e">
        <f>'SurveyRpt_20150223 (1)'!K560+"h_l!%vH"</f>
        <v>#VALUE!</v>
      </c>
      <c r="EI90" t="e">
        <f>'SurveyRpt_20150223 (1)'!L560+"h_l!%vI"</f>
        <v>#VALUE!</v>
      </c>
      <c r="EJ90" t="e">
        <f>'SurveyRpt_20150223 (1)'!M560+"h_l!%vJ"</f>
        <v>#VALUE!</v>
      </c>
      <c r="EK90" t="e">
        <f>'SurveyRpt_20150223 (1)'!N560+"h_l!%vK"</f>
        <v>#VALUE!</v>
      </c>
      <c r="EL90" t="e">
        <f>'SurveyRpt_20150223 (1)'!O560+"h_l!%vL"</f>
        <v>#VALUE!</v>
      </c>
      <c r="EM90" t="e">
        <f>'SurveyRpt_20150223 (1)'!P560+"h_l!%vM"</f>
        <v>#VALUE!</v>
      </c>
      <c r="EN90" t="e">
        <f>'SurveyRpt_20150223 (1)'!Q560+"h_l!%vN"</f>
        <v>#VALUE!</v>
      </c>
      <c r="EO90" t="e">
        <f>'SurveyRpt_20150223 (1)'!R560+"h_l!%vO"</f>
        <v>#VALUE!</v>
      </c>
      <c r="EP90" t="e">
        <f>'SurveyRpt_20150223 (1)'!S560+"h_l!%vP"</f>
        <v>#VALUE!</v>
      </c>
      <c r="EQ90" t="e">
        <f>'SurveyRpt_20150223 (1)'!T560+"h_l!%vQ"</f>
        <v>#VALUE!</v>
      </c>
      <c r="ER90" t="e">
        <f>'SurveyRpt_20150223 (1)'!U560+"h_l!%vR"</f>
        <v>#VALUE!</v>
      </c>
      <c r="ES90" t="e">
        <f>'SurveyRpt_20150223 (1)'!V560+"h_l!%vS"</f>
        <v>#VALUE!</v>
      </c>
      <c r="ET90" t="e">
        <f>'SurveyRpt_20150223 (1)'!W560+"h_l!%vT"</f>
        <v>#VALUE!</v>
      </c>
      <c r="EU90" t="e">
        <f>'SurveyRpt_20150223 (1)'!X560+"h_l!%vU"</f>
        <v>#VALUE!</v>
      </c>
      <c r="EV90" t="e">
        <f>'SurveyRpt_20150223 (1)'!Y560+"h_l!%vV"</f>
        <v>#VALUE!</v>
      </c>
      <c r="EW90" t="e">
        <f>'SurveyRpt_20150223 (1)'!Z560+"h_l!%vW"</f>
        <v>#VALUE!</v>
      </c>
      <c r="EX90" t="e">
        <f>'SurveyRpt_20150223 (1)'!AA560+"h_l!%vX"</f>
        <v>#VALUE!</v>
      </c>
      <c r="EY90" t="e">
        <f>'SurveyRpt_20150223 (1)'!AB560+"h_l!%vY"</f>
        <v>#VALUE!</v>
      </c>
      <c r="EZ90" t="e">
        <f>'SurveyRpt_20150223 (1)'!AC560+"h_l!%vZ"</f>
        <v>#VALUE!</v>
      </c>
      <c r="FA90" t="e">
        <f>'SurveyRpt_20150223 (1)'!AD560+"h_l!%v["</f>
        <v>#VALUE!</v>
      </c>
      <c r="FB90" t="e">
        <f>'SurveyRpt_20150223 (1)'!AE560+"h_l!%v\"</f>
        <v>#VALUE!</v>
      </c>
      <c r="FC90" t="e">
        <f>'SurveyRpt_20150223 (1)'!AF560+"h_l!%v]"</f>
        <v>#VALUE!</v>
      </c>
      <c r="FD90" t="e">
        <f>'SurveyRpt_20150223 (1)'!AG560+"h_l!%v^"</f>
        <v>#VALUE!</v>
      </c>
      <c r="FE90" t="e">
        <f>'SurveyRpt_20150223 (1)'!AH560+"h_l!%v_"</f>
        <v>#VALUE!</v>
      </c>
      <c r="FF90" t="e">
        <f>'SurveyRpt_20150223 (1)'!AI560+"h_l!%v`"</f>
        <v>#VALUE!</v>
      </c>
      <c r="FG90" t="e">
        <f>'SurveyRpt_20150223 (1)'!AJ560+"h_l!%va"</f>
        <v>#VALUE!</v>
      </c>
      <c r="FH90" t="e">
        <f>'SurveyRpt_20150223 (1)'!AK560+"h_l!%vb"</f>
        <v>#VALUE!</v>
      </c>
      <c r="FI90" t="e">
        <f>'SurveyRpt_20150223 (1)'!AL560+"h_l!%vc"</f>
        <v>#VALUE!</v>
      </c>
      <c r="FJ90" t="e">
        <f>'SurveyRpt_20150223 (1)'!AM560+"h_l!%vd"</f>
        <v>#VALUE!</v>
      </c>
      <c r="FK90" t="e">
        <f>'SurveyRpt_20150223 (1)'!AN560+"h_l!%ve"</f>
        <v>#VALUE!</v>
      </c>
      <c r="FL90" t="e">
        <f>'SurveyRpt_20150223 (1)'!A561+"h_l!%vf"</f>
        <v>#VALUE!</v>
      </c>
      <c r="FM90" s="25" t="e">
        <f>'SurveyRpt_20150223 (1)'!B561+"h_l!%vg"</f>
        <v>#VALUE!</v>
      </c>
      <c r="FN90" t="e">
        <f>'SurveyRpt_20150223 (1)'!C561+"h_l!%vh"</f>
        <v>#VALUE!</v>
      </c>
      <c r="FO90" s="25" t="e">
        <f>'SurveyRpt_20150223 (1)'!D561+"h_l!%vi"</f>
        <v>#VALUE!</v>
      </c>
      <c r="FP90" t="e">
        <f>'SurveyRpt_20150223 (1)'!E561+"h_l!%vj"</f>
        <v>#VALUE!</v>
      </c>
      <c r="FQ90" t="e">
        <f>'SurveyRpt_20150223 (1)'!F561+"h_l!%vk"</f>
        <v>#VALUE!</v>
      </c>
      <c r="FR90" t="e">
        <f>'SurveyRpt_20150223 (1)'!G561+"h_l!%vl"</f>
        <v>#VALUE!</v>
      </c>
      <c r="FS90" t="e">
        <f>'SurveyRpt_20150223 (1)'!H561+"h_l!%vm"</f>
        <v>#VALUE!</v>
      </c>
      <c r="FT90" t="e">
        <f>'SurveyRpt_20150223 (1)'!I561+"h_l!%vn"</f>
        <v>#VALUE!</v>
      </c>
      <c r="FU90" t="e">
        <f>'SurveyRpt_20150223 (1)'!J561+"h_l!%vo"</f>
        <v>#VALUE!</v>
      </c>
      <c r="FV90" t="e">
        <f>'SurveyRpt_20150223 (1)'!K561+"h_l!%vp"</f>
        <v>#VALUE!</v>
      </c>
      <c r="FW90" t="e">
        <f>'SurveyRpt_20150223 (1)'!L561+"h_l!%vq"</f>
        <v>#VALUE!</v>
      </c>
      <c r="FX90" t="e">
        <f>'SurveyRpt_20150223 (1)'!M561+"h_l!%vr"</f>
        <v>#VALUE!</v>
      </c>
      <c r="FY90" t="e">
        <f>'SurveyRpt_20150223 (1)'!N561+"h_l!%vs"</f>
        <v>#VALUE!</v>
      </c>
      <c r="FZ90" t="e">
        <f>'SurveyRpt_20150223 (1)'!O561+"h_l!%vt"</f>
        <v>#VALUE!</v>
      </c>
      <c r="GA90" t="e">
        <f>'SurveyRpt_20150223 (1)'!P561+"h_l!%vu"</f>
        <v>#VALUE!</v>
      </c>
      <c r="GB90" t="e">
        <f>'SurveyRpt_20150223 (1)'!Q561+"h_l!%vv"</f>
        <v>#VALUE!</v>
      </c>
      <c r="GC90" t="e">
        <f>'SurveyRpt_20150223 (1)'!R561+"h_l!%vw"</f>
        <v>#VALUE!</v>
      </c>
      <c r="GD90" t="e">
        <f>'SurveyRpt_20150223 (1)'!S561+"h_l!%vx"</f>
        <v>#VALUE!</v>
      </c>
      <c r="GE90" t="e">
        <f>'SurveyRpt_20150223 (1)'!T561+"h_l!%vy"</f>
        <v>#VALUE!</v>
      </c>
      <c r="GF90" t="e">
        <f>'SurveyRpt_20150223 (1)'!U561+"h_l!%vz"</f>
        <v>#VALUE!</v>
      </c>
      <c r="GG90" t="e">
        <f>'SurveyRpt_20150223 (1)'!V561+"h_l!%v{"</f>
        <v>#VALUE!</v>
      </c>
      <c r="GH90" t="e">
        <f>'SurveyRpt_20150223 (1)'!W561+"h_l!%v|"</f>
        <v>#VALUE!</v>
      </c>
      <c r="GI90" t="e">
        <f>'SurveyRpt_20150223 (1)'!X561+"h_l!%v}"</f>
        <v>#VALUE!</v>
      </c>
      <c r="GJ90" t="e">
        <f>'SurveyRpt_20150223 (1)'!Y561+"h_l!%v~"</f>
        <v>#VALUE!</v>
      </c>
      <c r="GK90" t="e">
        <f>'SurveyRpt_20150223 (1)'!Z561+"h_l!%w#"</f>
        <v>#VALUE!</v>
      </c>
      <c r="GL90" t="e">
        <f>'SurveyRpt_20150223 (1)'!AA561+"h_l!%w$"</f>
        <v>#VALUE!</v>
      </c>
      <c r="GM90" t="e">
        <f>'SurveyRpt_20150223 (1)'!AB561+"h_l!%w%"</f>
        <v>#VALUE!</v>
      </c>
      <c r="GN90" t="e">
        <f>'SurveyRpt_20150223 (1)'!AC561+"h_l!%w&amp;"</f>
        <v>#VALUE!</v>
      </c>
      <c r="GO90" t="e">
        <f>'SurveyRpt_20150223 (1)'!AD561+"h_l!%w'"</f>
        <v>#VALUE!</v>
      </c>
      <c r="GP90" t="e">
        <f>'SurveyRpt_20150223 (1)'!AE561+"h_l!%w("</f>
        <v>#VALUE!</v>
      </c>
      <c r="GQ90" t="e">
        <f>'SurveyRpt_20150223 (1)'!AF561+"h_l!%w)"</f>
        <v>#VALUE!</v>
      </c>
      <c r="GR90" t="e">
        <f>'SurveyRpt_20150223 (1)'!AG561+"h_l!%w."</f>
        <v>#VALUE!</v>
      </c>
      <c r="GS90" t="e">
        <f>'SurveyRpt_20150223 (1)'!AH561+"h_l!%w/"</f>
        <v>#VALUE!</v>
      </c>
      <c r="GT90" t="e">
        <f>'SurveyRpt_20150223 (1)'!AI561+"h_l!%w0"</f>
        <v>#VALUE!</v>
      </c>
      <c r="GU90" t="e">
        <f>'SurveyRpt_20150223 (1)'!AJ561+"h_l!%w1"</f>
        <v>#VALUE!</v>
      </c>
      <c r="GV90" t="e">
        <f>'SurveyRpt_20150223 (1)'!AK561+"h_l!%w2"</f>
        <v>#VALUE!</v>
      </c>
      <c r="GW90" t="e">
        <f>'SurveyRpt_20150223 (1)'!AL561+"h_l!%w3"</f>
        <v>#VALUE!</v>
      </c>
      <c r="GX90" t="e">
        <f>'SurveyRpt_20150223 (1)'!AM561+"h_l!%w4"</f>
        <v>#VALUE!</v>
      </c>
      <c r="GY90" t="e">
        <f>'SurveyRpt_20150223 (1)'!AN561+"h_l!%w5"</f>
        <v>#VALUE!</v>
      </c>
      <c r="GZ90" t="e">
        <f>'SurveyRpt_20150223 (1)'!A562+"h_l!%w6"</f>
        <v>#VALUE!</v>
      </c>
      <c r="HA90" s="25" t="e">
        <f>'SurveyRpt_20150223 (1)'!B562+"h_l!%w7"</f>
        <v>#VALUE!</v>
      </c>
      <c r="HB90" t="e">
        <f>'SurveyRpt_20150223 (1)'!C562+"h_l!%w8"</f>
        <v>#VALUE!</v>
      </c>
      <c r="HC90" s="25" t="e">
        <f>'SurveyRpt_20150223 (1)'!D562+"h_l!%w9"</f>
        <v>#VALUE!</v>
      </c>
      <c r="HD90" t="e">
        <f>'SurveyRpt_20150223 (1)'!E562+"h_l!%w:"</f>
        <v>#VALUE!</v>
      </c>
      <c r="HE90" t="e">
        <f>'SurveyRpt_20150223 (1)'!F562+"h_l!%w;"</f>
        <v>#VALUE!</v>
      </c>
      <c r="HF90" t="e">
        <f>'SurveyRpt_20150223 (1)'!G562+"h_l!%w&lt;"</f>
        <v>#VALUE!</v>
      </c>
      <c r="HG90" t="e">
        <f>'SurveyRpt_20150223 (1)'!H562+"h_l!%w="</f>
        <v>#VALUE!</v>
      </c>
      <c r="HH90" t="e">
        <f>'SurveyRpt_20150223 (1)'!I562+"h_l!%w&gt;"</f>
        <v>#VALUE!</v>
      </c>
      <c r="HI90" t="e">
        <f>'SurveyRpt_20150223 (1)'!J562+"h_l!%w?"</f>
        <v>#VALUE!</v>
      </c>
      <c r="HJ90" t="e">
        <f>'SurveyRpt_20150223 (1)'!K562+"h_l!%w@"</f>
        <v>#VALUE!</v>
      </c>
      <c r="HK90" t="e">
        <f>'SurveyRpt_20150223 (1)'!L562+"h_l!%wA"</f>
        <v>#VALUE!</v>
      </c>
      <c r="HL90" t="e">
        <f>'SurveyRpt_20150223 (1)'!M562+"h_l!%wB"</f>
        <v>#VALUE!</v>
      </c>
      <c r="HM90" t="e">
        <f>'SurveyRpt_20150223 (1)'!N562+"h_l!%wC"</f>
        <v>#VALUE!</v>
      </c>
      <c r="HN90" t="e">
        <f>'SurveyRpt_20150223 (1)'!O562+"h_l!%wD"</f>
        <v>#VALUE!</v>
      </c>
      <c r="HO90" t="e">
        <f>'SurveyRpt_20150223 (1)'!P562+"h_l!%wE"</f>
        <v>#VALUE!</v>
      </c>
      <c r="HP90" t="e">
        <f>'SurveyRpt_20150223 (1)'!Q562+"h_l!%wF"</f>
        <v>#VALUE!</v>
      </c>
      <c r="HQ90" t="e">
        <f>'SurveyRpt_20150223 (1)'!R562+"h_l!%wG"</f>
        <v>#VALUE!</v>
      </c>
      <c r="HR90" t="e">
        <f>'SurveyRpt_20150223 (1)'!S562+"h_l!%wH"</f>
        <v>#VALUE!</v>
      </c>
      <c r="HS90" t="e">
        <f>'SurveyRpt_20150223 (1)'!T562+"h_l!%wI"</f>
        <v>#VALUE!</v>
      </c>
      <c r="HT90" t="e">
        <f>'SurveyRpt_20150223 (1)'!U562+"h_l!%wJ"</f>
        <v>#VALUE!</v>
      </c>
      <c r="HU90" t="e">
        <f>'SurveyRpt_20150223 (1)'!V562+"h_l!%wK"</f>
        <v>#VALUE!</v>
      </c>
      <c r="HV90" t="e">
        <f>'SurveyRpt_20150223 (1)'!W562+"h_l!%wL"</f>
        <v>#VALUE!</v>
      </c>
      <c r="HW90" t="e">
        <f>'SurveyRpt_20150223 (1)'!X562+"h_l!%wM"</f>
        <v>#VALUE!</v>
      </c>
      <c r="HX90" t="e">
        <f>'SurveyRpt_20150223 (1)'!Y562+"h_l!%wN"</f>
        <v>#VALUE!</v>
      </c>
      <c r="HY90" t="e">
        <f>'SurveyRpt_20150223 (1)'!Z562+"h_l!%wO"</f>
        <v>#VALUE!</v>
      </c>
      <c r="HZ90" t="e">
        <f>'SurveyRpt_20150223 (1)'!AA562+"h_l!%wP"</f>
        <v>#VALUE!</v>
      </c>
      <c r="IA90" t="e">
        <f>'SurveyRpt_20150223 (1)'!AB562+"h_l!%wQ"</f>
        <v>#VALUE!</v>
      </c>
      <c r="IB90" t="e">
        <f>'SurveyRpt_20150223 (1)'!AC562+"h_l!%wR"</f>
        <v>#VALUE!</v>
      </c>
      <c r="IC90" t="e">
        <f>'SurveyRpt_20150223 (1)'!AD562+"h_l!%wS"</f>
        <v>#VALUE!</v>
      </c>
      <c r="ID90" t="e">
        <f>'SurveyRpt_20150223 (1)'!AE562+"h_l!%wT"</f>
        <v>#VALUE!</v>
      </c>
      <c r="IE90" t="e">
        <f>'SurveyRpt_20150223 (1)'!AF562+"h_l!%wU"</f>
        <v>#VALUE!</v>
      </c>
      <c r="IF90" t="e">
        <f>'SurveyRpt_20150223 (1)'!AG562+"h_l!%wV"</f>
        <v>#VALUE!</v>
      </c>
      <c r="IG90" t="e">
        <f>'SurveyRpt_20150223 (1)'!AH562+"h_l!%wW"</f>
        <v>#VALUE!</v>
      </c>
      <c r="IH90" t="e">
        <f>'SurveyRpt_20150223 (1)'!AI562+"h_l!%wX"</f>
        <v>#VALUE!</v>
      </c>
      <c r="II90" t="e">
        <f>'SurveyRpt_20150223 (1)'!AJ562+"h_l!%wY"</f>
        <v>#VALUE!</v>
      </c>
      <c r="IJ90" t="e">
        <f>'SurveyRpt_20150223 (1)'!AK562+"h_l!%wZ"</f>
        <v>#VALUE!</v>
      </c>
      <c r="IK90" t="e">
        <f>'SurveyRpt_20150223 (1)'!AL562+"h_l!%w["</f>
        <v>#VALUE!</v>
      </c>
      <c r="IL90" t="e">
        <f>'SurveyRpt_20150223 (1)'!AM562+"h_l!%w\"</f>
        <v>#VALUE!</v>
      </c>
      <c r="IM90" t="e">
        <f>'SurveyRpt_20150223 (1)'!AN562+"h_l!%w]"</f>
        <v>#VALUE!</v>
      </c>
      <c r="IN90" t="e">
        <f>'SurveyRpt_20150223 (1)'!A563+"h_l!%w^"</f>
        <v>#VALUE!</v>
      </c>
      <c r="IO90" s="25" t="e">
        <f>'SurveyRpt_20150223 (1)'!B563+"h_l!%w_"</f>
        <v>#VALUE!</v>
      </c>
      <c r="IP90" t="e">
        <f>'SurveyRpt_20150223 (1)'!C563+"h_l!%w`"</f>
        <v>#VALUE!</v>
      </c>
      <c r="IQ90" s="25" t="e">
        <f>'SurveyRpt_20150223 (1)'!D563+"h_l!%wa"</f>
        <v>#VALUE!</v>
      </c>
      <c r="IR90" t="e">
        <f>'SurveyRpt_20150223 (1)'!E563+"h_l!%wb"</f>
        <v>#VALUE!</v>
      </c>
      <c r="IS90" t="e">
        <f>'SurveyRpt_20150223 (1)'!F563+"h_l!%wc"</f>
        <v>#VALUE!</v>
      </c>
      <c r="IT90" t="e">
        <f>'SurveyRpt_20150223 (1)'!G563+"h_l!%wd"</f>
        <v>#VALUE!</v>
      </c>
      <c r="IU90" t="e">
        <f>'SurveyRpt_20150223 (1)'!H563+"h_l!%we"</f>
        <v>#VALUE!</v>
      </c>
      <c r="IV90" t="e">
        <f>'SurveyRpt_20150223 (1)'!I563+"h_l!%wf"</f>
        <v>#VALUE!</v>
      </c>
    </row>
    <row r="91" spans="6:256" x14ac:dyDescent="0.25">
      <c r="F91" t="e">
        <f>'SurveyRpt_20150223 (1)'!J563+"h_l!%wg"</f>
        <v>#VALUE!</v>
      </c>
      <c r="G91" t="e">
        <f>'SurveyRpt_20150223 (1)'!K563+"h_l!%wh"</f>
        <v>#VALUE!</v>
      </c>
      <c r="H91" t="e">
        <f>'SurveyRpt_20150223 (1)'!L563+"h_l!%wi"</f>
        <v>#VALUE!</v>
      </c>
      <c r="I91" t="e">
        <f>'SurveyRpt_20150223 (1)'!M563+"h_l!%wj"</f>
        <v>#VALUE!</v>
      </c>
      <c r="J91" t="e">
        <f>'SurveyRpt_20150223 (1)'!N563+"h_l!%wk"</f>
        <v>#VALUE!</v>
      </c>
      <c r="K91" t="e">
        <f>'SurveyRpt_20150223 (1)'!O563+"h_l!%wl"</f>
        <v>#VALUE!</v>
      </c>
      <c r="L91" t="e">
        <f>'SurveyRpt_20150223 (1)'!P563+"h_l!%wm"</f>
        <v>#VALUE!</v>
      </c>
      <c r="M91" t="e">
        <f>'SurveyRpt_20150223 (1)'!Q563+"h_l!%wn"</f>
        <v>#VALUE!</v>
      </c>
      <c r="N91" t="e">
        <f>'SurveyRpt_20150223 (1)'!R563+"h_l!%wo"</f>
        <v>#VALUE!</v>
      </c>
      <c r="O91" t="e">
        <f>'SurveyRpt_20150223 (1)'!S563+"h_l!%wp"</f>
        <v>#VALUE!</v>
      </c>
      <c r="P91" t="e">
        <f>'SurveyRpt_20150223 (1)'!T563+"h_l!%wq"</f>
        <v>#VALUE!</v>
      </c>
      <c r="Q91" t="e">
        <f>'SurveyRpt_20150223 (1)'!U563+"h_l!%wr"</f>
        <v>#VALUE!</v>
      </c>
      <c r="R91" t="e">
        <f>'SurveyRpt_20150223 (1)'!V563+"h_l!%ws"</f>
        <v>#VALUE!</v>
      </c>
      <c r="S91" t="e">
        <f>'SurveyRpt_20150223 (1)'!W563+"h_l!%wt"</f>
        <v>#VALUE!</v>
      </c>
      <c r="T91" t="e">
        <f>'SurveyRpt_20150223 (1)'!X563+"h_l!%wu"</f>
        <v>#VALUE!</v>
      </c>
      <c r="U91" t="e">
        <f>'SurveyRpt_20150223 (1)'!Y563+"h_l!%wv"</f>
        <v>#VALUE!</v>
      </c>
      <c r="V91" t="e">
        <f>'SurveyRpt_20150223 (1)'!Z563+"h_l!%ww"</f>
        <v>#VALUE!</v>
      </c>
      <c r="W91" t="e">
        <f>'SurveyRpt_20150223 (1)'!AA563+"h_l!%wx"</f>
        <v>#VALUE!</v>
      </c>
      <c r="X91" t="e">
        <f>'SurveyRpt_20150223 (1)'!AB563+"h_l!%wy"</f>
        <v>#VALUE!</v>
      </c>
      <c r="Y91" t="e">
        <f>'SurveyRpt_20150223 (1)'!AC563+"h_l!%wz"</f>
        <v>#VALUE!</v>
      </c>
      <c r="Z91" t="e">
        <f>'SurveyRpt_20150223 (1)'!AD563+"h_l!%w{"</f>
        <v>#VALUE!</v>
      </c>
      <c r="AA91" t="e">
        <f>'SurveyRpt_20150223 (1)'!AE563+"h_l!%w|"</f>
        <v>#VALUE!</v>
      </c>
      <c r="AB91" t="e">
        <f>'SurveyRpt_20150223 (1)'!AF563+"h_l!%w}"</f>
        <v>#VALUE!</v>
      </c>
      <c r="AC91" t="e">
        <f>'SurveyRpt_20150223 (1)'!AG563+"h_l!%w~"</f>
        <v>#VALUE!</v>
      </c>
      <c r="AD91" t="e">
        <f>'SurveyRpt_20150223 (1)'!AH563+"h_l!%x#"</f>
        <v>#VALUE!</v>
      </c>
      <c r="AE91" t="e">
        <f>'SurveyRpt_20150223 (1)'!AI563+"h_l!%x$"</f>
        <v>#VALUE!</v>
      </c>
      <c r="AF91" t="e">
        <f>'SurveyRpt_20150223 (1)'!AJ563+"h_l!%x%"</f>
        <v>#VALUE!</v>
      </c>
      <c r="AG91" t="e">
        <f>'SurveyRpt_20150223 (1)'!AK563+"h_l!%x&amp;"</f>
        <v>#VALUE!</v>
      </c>
      <c r="AH91" t="e">
        <f>'SurveyRpt_20150223 (1)'!AL563+"h_l!%x'"</f>
        <v>#VALUE!</v>
      </c>
      <c r="AI91" t="e">
        <f>'SurveyRpt_20150223 (1)'!AM563+"h_l!%x("</f>
        <v>#VALUE!</v>
      </c>
      <c r="AJ91" t="e">
        <f>'SurveyRpt_20150223 (1)'!AN563+"h_l!%x)"</f>
        <v>#VALUE!</v>
      </c>
      <c r="AK91" t="e">
        <f>'SurveyRpt_20150223 (1)'!A564+"h_l!%x."</f>
        <v>#VALUE!</v>
      </c>
      <c r="AL91" s="25" t="e">
        <f>'SurveyRpt_20150223 (1)'!B564+"h_l!%x/"</f>
        <v>#VALUE!</v>
      </c>
      <c r="AM91" t="e">
        <f>'SurveyRpt_20150223 (1)'!C564+"h_l!%x0"</f>
        <v>#VALUE!</v>
      </c>
      <c r="AN91" s="25" t="e">
        <f>'SurveyRpt_20150223 (1)'!D564+"h_l!%x1"</f>
        <v>#VALUE!</v>
      </c>
      <c r="AO91" t="e">
        <f>'SurveyRpt_20150223 (1)'!E564+"h_l!%x2"</f>
        <v>#VALUE!</v>
      </c>
      <c r="AP91" t="e">
        <f>'SurveyRpt_20150223 (1)'!F564+"h_l!%x3"</f>
        <v>#VALUE!</v>
      </c>
      <c r="AQ91" t="e">
        <f>'SurveyRpt_20150223 (1)'!G564+"h_l!%x4"</f>
        <v>#VALUE!</v>
      </c>
      <c r="AR91" t="e">
        <f>'SurveyRpt_20150223 (1)'!H564+"h_l!%x5"</f>
        <v>#VALUE!</v>
      </c>
      <c r="AS91" t="e">
        <f>'SurveyRpt_20150223 (1)'!I564+"h_l!%x6"</f>
        <v>#VALUE!</v>
      </c>
      <c r="AT91" t="e">
        <f>'SurveyRpt_20150223 (1)'!J564+"h_l!%x7"</f>
        <v>#VALUE!</v>
      </c>
      <c r="AU91" t="e">
        <f>'SurveyRpt_20150223 (1)'!K564+"h_l!%x8"</f>
        <v>#VALUE!</v>
      </c>
      <c r="AV91" t="e">
        <f>'SurveyRpt_20150223 (1)'!L564+"h_l!%x9"</f>
        <v>#VALUE!</v>
      </c>
      <c r="AW91" t="e">
        <f>'SurveyRpt_20150223 (1)'!M564+"h_l!%x:"</f>
        <v>#VALUE!</v>
      </c>
      <c r="AX91" t="e">
        <f>'SurveyRpt_20150223 (1)'!N564+"h_l!%x;"</f>
        <v>#VALUE!</v>
      </c>
      <c r="AY91" t="e">
        <f>'SurveyRpt_20150223 (1)'!O564+"h_l!%x&lt;"</f>
        <v>#VALUE!</v>
      </c>
      <c r="AZ91" t="e">
        <f>'SurveyRpt_20150223 (1)'!P564+"h_l!%x="</f>
        <v>#VALUE!</v>
      </c>
      <c r="BA91" t="e">
        <f>'SurveyRpt_20150223 (1)'!Q564+"h_l!%x&gt;"</f>
        <v>#VALUE!</v>
      </c>
      <c r="BB91" t="e">
        <f>'SurveyRpt_20150223 (1)'!R564+"h_l!%x?"</f>
        <v>#VALUE!</v>
      </c>
      <c r="BC91" t="e">
        <f>'SurveyRpt_20150223 (1)'!S564+"h_l!%x@"</f>
        <v>#VALUE!</v>
      </c>
      <c r="BD91" t="e">
        <f>'SurveyRpt_20150223 (1)'!T564+"h_l!%xA"</f>
        <v>#VALUE!</v>
      </c>
      <c r="BE91" t="e">
        <f>'SurveyRpt_20150223 (1)'!U564+"h_l!%xB"</f>
        <v>#VALUE!</v>
      </c>
      <c r="BF91" t="e">
        <f>'SurveyRpt_20150223 (1)'!V564+"h_l!%xC"</f>
        <v>#VALUE!</v>
      </c>
      <c r="BG91" t="e">
        <f>'SurveyRpt_20150223 (1)'!W564+"h_l!%xD"</f>
        <v>#VALUE!</v>
      </c>
      <c r="BH91" t="e">
        <f>'SurveyRpt_20150223 (1)'!X564+"h_l!%xE"</f>
        <v>#VALUE!</v>
      </c>
      <c r="BI91" t="e">
        <f>'SurveyRpt_20150223 (1)'!Y564+"h_l!%xF"</f>
        <v>#VALUE!</v>
      </c>
      <c r="BJ91" t="e">
        <f>'SurveyRpt_20150223 (1)'!Z564+"h_l!%xG"</f>
        <v>#VALUE!</v>
      </c>
      <c r="BK91" t="e">
        <f>'SurveyRpt_20150223 (1)'!AA564+"h_l!%xH"</f>
        <v>#VALUE!</v>
      </c>
      <c r="BL91" t="e">
        <f>'SurveyRpt_20150223 (1)'!AB564+"h_l!%xI"</f>
        <v>#VALUE!</v>
      </c>
      <c r="BM91" t="e">
        <f>'SurveyRpt_20150223 (1)'!AC564+"h_l!%xJ"</f>
        <v>#VALUE!</v>
      </c>
      <c r="BN91" t="e">
        <f>'SurveyRpt_20150223 (1)'!AD564+"h_l!%xK"</f>
        <v>#VALUE!</v>
      </c>
      <c r="BO91" t="e">
        <f>'SurveyRpt_20150223 (1)'!AE564+"h_l!%xL"</f>
        <v>#VALUE!</v>
      </c>
      <c r="BP91" t="e">
        <f>'SurveyRpt_20150223 (1)'!AF564+"h_l!%xM"</f>
        <v>#VALUE!</v>
      </c>
      <c r="BQ91" t="e">
        <f>'SurveyRpt_20150223 (1)'!AG564+"h_l!%xN"</f>
        <v>#VALUE!</v>
      </c>
      <c r="BR91" t="e">
        <f>'SurveyRpt_20150223 (1)'!AH564+"h_l!%xO"</f>
        <v>#VALUE!</v>
      </c>
      <c r="BS91" t="e">
        <f>'SurveyRpt_20150223 (1)'!AI564+"h_l!%xP"</f>
        <v>#VALUE!</v>
      </c>
      <c r="BT91" t="e">
        <f>'SurveyRpt_20150223 (1)'!AJ564+"h_l!%xQ"</f>
        <v>#VALUE!</v>
      </c>
      <c r="BU91" t="e">
        <f>'SurveyRpt_20150223 (1)'!AK564+"h_l!%xR"</f>
        <v>#VALUE!</v>
      </c>
      <c r="BV91" t="e">
        <f>'SurveyRpt_20150223 (1)'!AL564+"h_l!%xS"</f>
        <v>#VALUE!</v>
      </c>
      <c r="BW91" t="e">
        <f>'SurveyRpt_20150223 (1)'!AM564+"h_l!%xT"</f>
        <v>#VALUE!</v>
      </c>
      <c r="BX91" t="e">
        <f>'SurveyRpt_20150223 (1)'!AN564+"h_l!%xU"</f>
        <v>#VALUE!</v>
      </c>
      <c r="BY91" t="e">
        <f>'SurveyRpt_20150223 (1)'!A565+"h_l!%xV"</f>
        <v>#VALUE!</v>
      </c>
      <c r="BZ91" s="25" t="e">
        <f>'SurveyRpt_20150223 (1)'!B565+"h_l!%xW"</f>
        <v>#VALUE!</v>
      </c>
      <c r="CA91" t="e">
        <f>'SurveyRpt_20150223 (1)'!C565+"h_l!%xX"</f>
        <v>#VALUE!</v>
      </c>
      <c r="CB91" s="25" t="e">
        <f>'SurveyRpt_20150223 (1)'!D565+"h_l!%xY"</f>
        <v>#VALUE!</v>
      </c>
      <c r="CC91" t="e">
        <f>'SurveyRpt_20150223 (1)'!E565+"h_l!%xZ"</f>
        <v>#VALUE!</v>
      </c>
      <c r="CD91" t="e">
        <f>'SurveyRpt_20150223 (1)'!F565+"h_l!%x["</f>
        <v>#VALUE!</v>
      </c>
      <c r="CE91" t="e">
        <f>'SurveyRpt_20150223 (1)'!G565+"h_l!%x\"</f>
        <v>#VALUE!</v>
      </c>
      <c r="CF91" t="e">
        <f>'SurveyRpt_20150223 (1)'!H565+"h_l!%x]"</f>
        <v>#VALUE!</v>
      </c>
      <c r="CG91" t="e">
        <f>'SurveyRpt_20150223 (1)'!I565+"h_l!%x^"</f>
        <v>#VALUE!</v>
      </c>
      <c r="CH91" t="e">
        <f>'SurveyRpt_20150223 (1)'!J565+"h_l!%x_"</f>
        <v>#VALUE!</v>
      </c>
      <c r="CI91" t="e">
        <f>'SurveyRpt_20150223 (1)'!K565+"h_l!%x`"</f>
        <v>#VALUE!</v>
      </c>
      <c r="CJ91" t="e">
        <f>'SurveyRpt_20150223 (1)'!L565+"h_l!%xa"</f>
        <v>#VALUE!</v>
      </c>
      <c r="CK91" t="e">
        <f>'SurveyRpt_20150223 (1)'!M565+"h_l!%xb"</f>
        <v>#VALUE!</v>
      </c>
      <c r="CL91" t="e">
        <f>'SurveyRpt_20150223 (1)'!N565+"h_l!%xc"</f>
        <v>#VALUE!</v>
      </c>
      <c r="CM91" t="e">
        <f>'SurveyRpt_20150223 (1)'!O565+"h_l!%xd"</f>
        <v>#VALUE!</v>
      </c>
      <c r="CN91" t="e">
        <f>'SurveyRpt_20150223 (1)'!P565+"h_l!%xe"</f>
        <v>#VALUE!</v>
      </c>
      <c r="CO91" t="e">
        <f>'SurveyRpt_20150223 (1)'!Q565+"h_l!%xf"</f>
        <v>#VALUE!</v>
      </c>
      <c r="CP91" t="e">
        <f>'SurveyRpt_20150223 (1)'!R565+"h_l!%xg"</f>
        <v>#VALUE!</v>
      </c>
      <c r="CQ91" t="e">
        <f>'SurveyRpt_20150223 (1)'!S565+"h_l!%xh"</f>
        <v>#VALUE!</v>
      </c>
      <c r="CR91" t="e">
        <f>'SurveyRpt_20150223 (1)'!T565+"h_l!%xi"</f>
        <v>#VALUE!</v>
      </c>
      <c r="CS91" t="e">
        <f>'SurveyRpt_20150223 (1)'!U565+"h_l!%xj"</f>
        <v>#VALUE!</v>
      </c>
      <c r="CT91" t="e">
        <f>'SurveyRpt_20150223 (1)'!V565+"h_l!%xk"</f>
        <v>#VALUE!</v>
      </c>
      <c r="CU91" t="e">
        <f>'SurveyRpt_20150223 (1)'!W565+"h_l!%xl"</f>
        <v>#VALUE!</v>
      </c>
      <c r="CV91" t="e">
        <f>'SurveyRpt_20150223 (1)'!X565+"h_l!%xm"</f>
        <v>#VALUE!</v>
      </c>
      <c r="CW91" t="e">
        <f>'SurveyRpt_20150223 (1)'!Y565+"h_l!%xn"</f>
        <v>#VALUE!</v>
      </c>
      <c r="CX91" t="e">
        <f>'SurveyRpt_20150223 (1)'!Z565+"h_l!%xo"</f>
        <v>#VALUE!</v>
      </c>
      <c r="CY91" t="e">
        <f>'SurveyRpt_20150223 (1)'!AA565+"h_l!%xp"</f>
        <v>#VALUE!</v>
      </c>
      <c r="CZ91" t="e">
        <f>'SurveyRpt_20150223 (1)'!AB565+"h_l!%xq"</f>
        <v>#VALUE!</v>
      </c>
      <c r="DA91" t="e">
        <f>'SurveyRpt_20150223 (1)'!AC565+"h_l!%xr"</f>
        <v>#VALUE!</v>
      </c>
      <c r="DB91" t="e">
        <f>'SurveyRpt_20150223 (1)'!AD565+"h_l!%xs"</f>
        <v>#VALUE!</v>
      </c>
      <c r="DC91" t="e">
        <f>'SurveyRpt_20150223 (1)'!AE565+"h_l!%xt"</f>
        <v>#VALUE!</v>
      </c>
      <c r="DD91" t="e">
        <f>'SurveyRpt_20150223 (1)'!AF565+"h_l!%xu"</f>
        <v>#VALUE!</v>
      </c>
      <c r="DE91" t="e">
        <f>'SurveyRpt_20150223 (1)'!AG565+"h_l!%xv"</f>
        <v>#VALUE!</v>
      </c>
      <c r="DF91" t="e">
        <f>'SurveyRpt_20150223 (1)'!AH565+"h_l!%xw"</f>
        <v>#VALUE!</v>
      </c>
      <c r="DG91" t="e">
        <f>'SurveyRpt_20150223 (1)'!AI565+"h_l!%xx"</f>
        <v>#VALUE!</v>
      </c>
      <c r="DH91" t="e">
        <f>'SurveyRpt_20150223 (1)'!AJ565+"h_l!%xy"</f>
        <v>#VALUE!</v>
      </c>
      <c r="DI91" t="e">
        <f>'SurveyRpt_20150223 (1)'!AK565+"h_l!%xz"</f>
        <v>#VALUE!</v>
      </c>
      <c r="DJ91" t="e">
        <f>'SurveyRpt_20150223 (1)'!AL565+"h_l!%x{"</f>
        <v>#VALUE!</v>
      </c>
      <c r="DK91" t="e">
        <f>'SurveyRpt_20150223 (1)'!AM565+"h_l!%x|"</f>
        <v>#VALUE!</v>
      </c>
      <c r="DL91" t="e">
        <f>'SurveyRpt_20150223 (1)'!AN565+"h_l!%x}"</f>
        <v>#VALUE!</v>
      </c>
      <c r="DM91" t="e">
        <f>'SurveyRpt_20150223 (1)'!A566+"h_l!%x~"</f>
        <v>#VALUE!</v>
      </c>
      <c r="DN91" s="25" t="e">
        <f>'SurveyRpt_20150223 (1)'!B566+"h_l!%y#"</f>
        <v>#VALUE!</v>
      </c>
      <c r="DO91" t="e">
        <f>'SurveyRpt_20150223 (1)'!C566+"h_l!%y$"</f>
        <v>#VALUE!</v>
      </c>
      <c r="DP91" s="25" t="e">
        <f>'SurveyRpt_20150223 (1)'!D566+"h_l!%y%"</f>
        <v>#VALUE!</v>
      </c>
      <c r="DQ91" t="e">
        <f>'SurveyRpt_20150223 (1)'!E566+"h_l!%y&amp;"</f>
        <v>#VALUE!</v>
      </c>
      <c r="DR91" t="e">
        <f>'SurveyRpt_20150223 (1)'!F566+"h_l!%y'"</f>
        <v>#VALUE!</v>
      </c>
      <c r="DS91" t="e">
        <f>'SurveyRpt_20150223 (1)'!G566+"h_l!%y("</f>
        <v>#VALUE!</v>
      </c>
      <c r="DT91" t="e">
        <f>'SurveyRpt_20150223 (1)'!H566+"h_l!%y)"</f>
        <v>#VALUE!</v>
      </c>
      <c r="DU91" t="e">
        <f>'SurveyRpt_20150223 (1)'!I566+"h_l!%y."</f>
        <v>#VALUE!</v>
      </c>
      <c r="DV91" t="e">
        <f>'SurveyRpt_20150223 (1)'!J566+"h_l!%y/"</f>
        <v>#VALUE!</v>
      </c>
      <c r="DW91" t="e">
        <f>'SurveyRpt_20150223 (1)'!K566+"h_l!%y0"</f>
        <v>#VALUE!</v>
      </c>
      <c r="DX91" t="e">
        <f>'SurveyRpt_20150223 (1)'!L566+"h_l!%y1"</f>
        <v>#VALUE!</v>
      </c>
      <c r="DY91" t="e">
        <f>'SurveyRpt_20150223 (1)'!M566+"h_l!%y2"</f>
        <v>#VALUE!</v>
      </c>
      <c r="DZ91" t="e">
        <f>'SurveyRpt_20150223 (1)'!N566+"h_l!%y3"</f>
        <v>#VALUE!</v>
      </c>
      <c r="EA91" t="e">
        <f>'SurveyRpt_20150223 (1)'!O566+"h_l!%y4"</f>
        <v>#VALUE!</v>
      </c>
      <c r="EB91" t="e">
        <f>'SurveyRpt_20150223 (1)'!P566+"h_l!%y5"</f>
        <v>#VALUE!</v>
      </c>
      <c r="EC91" t="e">
        <f>'SurveyRpt_20150223 (1)'!Q566+"h_l!%y6"</f>
        <v>#VALUE!</v>
      </c>
      <c r="ED91" t="e">
        <f>'SurveyRpt_20150223 (1)'!R566+"h_l!%y7"</f>
        <v>#VALUE!</v>
      </c>
      <c r="EE91" t="e">
        <f>'SurveyRpt_20150223 (1)'!S566+"h_l!%y8"</f>
        <v>#VALUE!</v>
      </c>
      <c r="EF91" t="e">
        <f>'SurveyRpt_20150223 (1)'!T566+"h_l!%y9"</f>
        <v>#VALUE!</v>
      </c>
      <c r="EG91" t="e">
        <f>'SurveyRpt_20150223 (1)'!U566+"h_l!%y:"</f>
        <v>#VALUE!</v>
      </c>
      <c r="EH91" t="e">
        <f>'SurveyRpt_20150223 (1)'!V566+"h_l!%y;"</f>
        <v>#VALUE!</v>
      </c>
      <c r="EI91" t="e">
        <f>'SurveyRpt_20150223 (1)'!W566+"h_l!%y&lt;"</f>
        <v>#VALUE!</v>
      </c>
      <c r="EJ91" t="e">
        <f>'SurveyRpt_20150223 (1)'!X566+"h_l!%y="</f>
        <v>#VALUE!</v>
      </c>
      <c r="EK91" t="e">
        <f>'SurveyRpt_20150223 (1)'!Y566+"h_l!%y&gt;"</f>
        <v>#VALUE!</v>
      </c>
      <c r="EL91" t="e">
        <f>'SurveyRpt_20150223 (1)'!Z566+"h_l!%y?"</f>
        <v>#VALUE!</v>
      </c>
      <c r="EM91" t="e">
        <f>'SurveyRpt_20150223 (1)'!AA566+"h_l!%y@"</f>
        <v>#VALUE!</v>
      </c>
      <c r="EN91" t="e">
        <f>'SurveyRpt_20150223 (1)'!AB566+"h_l!%yA"</f>
        <v>#VALUE!</v>
      </c>
      <c r="EO91" t="e">
        <f>'SurveyRpt_20150223 (1)'!AC566+"h_l!%yB"</f>
        <v>#VALUE!</v>
      </c>
      <c r="EP91" t="e">
        <f>'SurveyRpt_20150223 (1)'!AD566+"h_l!%yC"</f>
        <v>#VALUE!</v>
      </c>
      <c r="EQ91" t="e">
        <f>'SurveyRpt_20150223 (1)'!AE566+"h_l!%yD"</f>
        <v>#VALUE!</v>
      </c>
      <c r="ER91" t="e">
        <f>'SurveyRpt_20150223 (1)'!AF566+"h_l!%yE"</f>
        <v>#VALUE!</v>
      </c>
      <c r="ES91" t="e">
        <f>'SurveyRpt_20150223 (1)'!AG566+"h_l!%yF"</f>
        <v>#VALUE!</v>
      </c>
      <c r="ET91" t="e">
        <f>'SurveyRpt_20150223 (1)'!AH566+"h_l!%yG"</f>
        <v>#VALUE!</v>
      </c>
      <c r="EU91" t="e">
        <f>'SurveyRpt_20150223 (1)'!AI566+"h_l!%yH"</f>
        <v>#VALUE!</v>
      </c>
      <c r="EV91" t="e">
        <f>'SurveyRpt_20150223 (1)'!AJ566+"h_l!%yI"</f>
        <v>#VALUE!</v>
      </c>
      <c r="EW91" t="e">
        <f>'SurveyRpt_20150223 (1)'!AK566+"h_l!%yJ"</f>
        <v>#VALUE!</v>
      </c>
      <c r="EX91" t="e">
        <f>'SurveyRpt_20150223 (1)'!AL566+"h_l!%yK"</f>
        <v>#VALUE!</v>
      </c>
      <c r="EY91" t="e">
        <f>'SurveyRpt_20150223 (1)'!AM566+"h_l!%yL"</f>
        <v>#VALUE!</v>
      </c>
      <c r="EZ91" t="e">
        <f>'SurveyRpt_20150223 (1)'!AN566+"h_l!%yM"</f>
        <v>#VALUE!</v>
      </c>
      <c r="FA91" t="e">
        <f>'SurveyRpt_20150223 (1)'!A567+"h_l!%yN"</f>
        <v>#VALUE!</v>
      </c>
      <c r="FB91" s="25" t="e">
        <f>'SurveyRpt_20150223 (1)'!B567+"h_l!%yO"</f>
        <v>#VALUE!</v>
      </c>
      <c r="FC91" t="e">
        <f>'SurveyRpt_20150223 (1)'!C567+"h_l!%yP"</f>
        <v>#VALUE!</v>
      </c>
      <c r="FD91" s="25" t="e">
        <f>'SurveyRpt_20150223 (1)'!D567+"h_l!%yQ"</f>
        <v>#VALUE!</v>
      </c>
      <c r="FE91" t="e">
        <f>'SurveyRpt_20150223 (1)'!E567+"h_l!%yR"</f>
        <v>#VALUE!</v>
      </c>
      <c r="FF91" t="e">
        <f>'SurveyRpt_20150223 (1)'!F567+"h_l!%yS"</f>
        <v>#VALUE!</v>
      </c>
      <c r="FG91" t="e">
        <f>'SurveyRpt_20150223 (1)'!G567+"h_l!%yT"</f>
        <v>#VALUE!</v>
      </c>
      <c r="FH91" t="e">
        <f>'SurveyRpt_20150223 (1)'!H567+"h_l!%yU"</f>
        <v>#VALUE!</v>
      </c>
      <c r="FI91" t="e">
        <f>'SurveyRpt_20150223 (1)'!I567+"h_l!%yV"</f>
        <v>#VALUE!</v>
      </c>
      <c r="FJ91" t="e">
        <f>'SurveyRpt_20150223 (1)'!J567+"h_l!%yW"</f>
        <v>#VALUE!</v>
      </c>
      <c r="FK91" t="e">
        <f>'SurveyRpt_20150223 (1)'!K567+"h_l!%yX"</f>
        <v>#VALUE!</v>
      </c>
      <c r="FL91" t="e">
        <f>'SurveyRpt_20150223 (1)'!L567+"h_l!%yY"</f>
        <v>#VALUE!</v>
      </c>
      <c r="FM91" t="e">
        <f>'SurveyRpt_20150223 (1)'!M567+"h_l!%yZ"</f>
        <v>#VALUE!</v>
      </c>
      <c r="FN91" t="e">
        <f>'SurveyRpt_20150223 (1)'!N567+"h_l!%y["</f>
        <v>#VALUE!</v>
      </c>
      <c r="FO91" t="e">
        <f>'SurveyRpt_20150223 (1)'!O567+"h_l!%y\"</f>
        <v>#VALUE!</v>
      </c>
      <c r="FP91" t="e">
        <f>'SurveyRpt_20150223 (1)'!P567+"h_l!%y]"</f>
        <v>#VALUE!</v>
      </c>
      <c r="FQ91" t="e">
        <f>'SurveyRpt_20150223 (1)'!Q567+"h_l!%y^"</f>
        <v>#VALUE!</v>
      </c>
      <c r="FR91" t="e">
        <f>'SurveyRpt_20150223 (1)'!R567+"h_l!%y_"</f>
        <v>#VALUE!</v>
      </c>
      <c r="FS91" t="e">
        <f>'SurveyRpt_20150223 (1)'!S567+"h_l!%y`"</f>
        <v>#VALUE!</v>
      </c>
      <c r="FT91" t="e">
        <f>'SurveyRpt_20150223 (1)'!T567+"h_l!%ya"</f>
        <v>#VALUE!</v>
      </c>
      <c r="FU91" t="e">
        <f>'SurveyRpt_20150223 (1)'!U567+"h_l!%yb"</f>
        <v>#VALUE!</v>
      </c>
      <c r="FV91" t="e">
        <f>'SurveyRpt_20150223 (1)'!V567+"h_l!%yc"</f>
        <v>#VALUE!</v>
      </c>
      <c r="FW91" t="e">
        <f>'SurveyRpt_20150223 (1)'!W567+"h_l!%yd"</f>
        <v>#VALUE!</v>
      </c>
      <c r="FX91" t="e">
        <f>'SurveyRpt_20150223 (1)'!X567+"h_l!%ye"</f>
        <v>#VALUE!</v>
      </c>
      <c r="FY91" t="e">
        <f>'SurveyRpt_20150223 (1)'!Y567+"h_l!%yf"</f>
        <v>#VALUE!</v>
      </c>
      <c r="FZ91" t="e">
        <f>'SurveyRpt_20150223 (1)'!Z567+"h_l!%yg"</f>
        <v>#VALUE!</v>
      </c>
      <c r="GA91" t="e">
        <f>'SurveyRpt_20150223 (1)'!AA567+"h_l!%yh"</f>
        <v>#VALUE!</v>
      </c>
      <c r="GB91" t="e">
        <f>'SurveyRpt_20150223 (1)'!AB567+"h_l!%yi"</f>
        <v>#VALUE!</v>
      </c>
      <c r="GC91" t="e">
        <f>'SurveyRpt_20150223 (1)'!AC567+"h_l!%yj"</f>
        <v>#VALUE!</v>
      </c>
      <c r="GD91" t="e">
        <f>'SurveyRpt_20150223 (1)'!AD567+"h_l!%yk"</f>
        <v>#VALUE!</v>
      </c>
      <c r="GE91" t="e">
        <f>'SurveyRpt_20150223 (1)'!AE567+"h_l!%yl"</f>
        <v>#VALUE!</v>
      </c>
      <c r="GF91" t="e">
        <f>'SurveyRpt_20150223 (1)'!AF567+"h_l!%ym"</f>
        <v>#VALUE!</v>
      </c>
      <c r="GG91" t="e">
        <f>'SurveyRpt_20150223 (1)'!AG567+"h_l!%yn"</f>
        <v>#VALUE!</v>
      </c>
      <c r="GH91" t="e">
        <f>'SurveyRpt_20150223 (1)'!AH567+"h_l!%yo"</f>
        <v>#VALUE!</v>
      </c>
      <c r="GI91" t="e">
        <f>'SurveyRpt_20150223 (1)'!AI567+"h_l!%yp"</f>
        <v>#VALUE!</v>
      </c>
      <c r="GJ91" t="e">
        <f>'SurveyRpt_20150223 (1)'!AJ567+"h_l!%yq"</f>
        <v>#VALUE!</v>
      </c>
      <c r="GK91" t="e">
        <f>'SurveyRpt_20150223 (1)'!AK567+"h_l!%yr"</f>
        <v>#VALUE!</v>
      </c>
      <c r="GL91" t="e">
        <f>'SurveyRpt_20150223 (1)'!AL567+"h_l!%ys"</f>
        <v>#VALUE!</v>
      </c>
      <c r="GM91" t="e">
        <f>'SurveyRpt_20150223 (1)'!AM567+"h_l!%yt"</f>
        <v>#VALUE!</v>
      </c>
      <c r="GN91" t="e">
        <f>'SurveyRpt_20150223 (1)'!AN567+"h_l!%yu"</f>
        <v>#VALUE!</v>
      </c>
      <c r="GO91" t="e">
        <f>'SurveyRpt_20150223 (1)'!A568+"h_l!%yv"</f>
        <v>#VALUE!</v>
      </c>
      <c r="GP91" s="25" t="e">
        <f>'SurveyRpt_20150223 (1)'!B568+"h_l!%yw"</f>
        <v>#VALUE!</v>
      </c>
      <c r="GQ91" t="e">
        <f>'SurveyRpt_20150223 (1)'!C568+"h_l!%yx"</f>
        <v>#VALUE!</v>
      </c>
      <c r="GR91" s="25" t="e">
        <f>'SurveyRpt_20150223 (1)'!D568+"h_l!%yy"</f>
        <v>#VALUE!</v>
      </c>
      <c r="GS91" t="e">
        <f>'SurveyRpt_20150223 (1)'!E568+"h_l!%yz"</f>
        <v>#VALUE!</v>
      </c>
      <c r="GT91" t="e">
        <f>'SurveyRpt_20150223 (1)'!F568+"h_l!%y{"</f>
        <v>#VALUE!</v>
      </c>
      <c r="GU91" t="e">
        <f>'SurveyRpt_20150223 (1)'!G568+"h_l!%y|"</f>
        <v>#VALUE!</v>
      </c>
      <c r="GV91" t="e">
        <f>'SurveyRpt_20150223 (1)'!H568+"h_l!%y}"</f>
        <v>#VALUE!</v>
      </c>
      <c r="GW91" t="e">
        <f>'SurveyRpt_20150223 (1)'!I568+"h_l!%y~"</f>
        <v>#VALUE!</v>
      </c>
      <c r="GX91" t="e">
        <f>'SurveyRpt_20150223 (1)'!J568+"h_l!%z#"</f>
        <v>#VALUE!</v>
      </c>
      <c r="GY91" t="e">
        <f>'SurveyRpt_20150223 (1)'!K568+"h_l!%z$"</f>
        <v>#VALUE!</v>
      </c>
      <c r="GZ91" t="e">
        <f>'SurveyRpt_20150223 (1)'!L568+"h_l!%z%"</f>
        <v>#VALUE!</v>
      </c>
      <c r="HA91" t="e">
        <f>'SurveyRpt_20150223 (1)'!M568+"h_l!%z&amp;"</f>
        <v>#VALUE!</v>
      </c>
      <c r="HB91" t="e">
        <f>'SurveyRpt_20150223 (1)'!N568+"h_l!%z'"</f>
        <v>#VALUE!</v>
      </c>
      <c r="HC91" t="e">
        <f>'SurveyRpt_20150223 (1)'!O568+"h_l!%z("</f>
        <v>#VALUE!</v>
      </c>
      <c r="HD91" t="e">
        <f>'SurveyRpt_20150223 (1)'!P568+"h_l!%z)"</f>
        <v>#VALUE!</v>
      </c>
      <c r="HE91" t="e">
        <f>'SurveyRpt_20150223 (1)'!Q568+"h_l!%z."</f>
        <v>#VALUE!</v>
      </c>
      <c r="HF91" t="e">
        <f>'SurveyRpt_20150223 (1)'!R568+"h_l!%z/"</f>
        <v>#VALUE!</v>
      </c>
      <c r="HG91" t="e">
        <f>'SurveyRpt_20150223 (1)'!S568+"h_l!%z0"</f>
        <v>#VALUE!</v>
      </c>
      <c r="HH91" t="e">
        <f>'SurveyRpt_20150223 (1)'!T568+"h_l!%z1"</f>
        <v>#VALUE!</v>
      </c>
      <c r="HI91" t="e">
        <f>'SurveyRpt_20150223 (1)'!U568+"h_l!%z2"</f>
        <v>#VALUE!</v>
      </c>
      <c r="HJ91" t="e">
        <f>'SurveyRpt_20150223 (1)'!V568+"h_l!%z3"</f>
        <v>#VALUE!</v>
      </c>
      <c r="HK91" t="e">
        <f>'SurveyRpt_20150223 (1)'!W568+"h_l!%z4"</f>
        <v>#VALUE!</v>
      </c>
      <c r="HL91" t="e">
        <f>'SurveyRpt_20150223 (1)'!X568+"h_l!%z5"</f>
        <v>#VALUE!</v>
      </c>
      <c r="HM91" t="e">
        <f>'SurveyRpt_20150223 (1)'!Y568+"h_l!%z6"</f>
        <v>#VALUE!</v>
      </c>
      <c r="HN91" t="e">
        <f>'SurveyRpt_20150223 (1)'!Z568+"h_l!%z7"</f>
        <v>#VALUE!</v>
      </c>
      <c r="HO91" t="e">
        <f>'SurveyRpt_20150223 (1)'!AA568+"h_l!%z8"</f>
        <v>#VALUE!</v>
      </c>
      <c r="HP91" t="e">
        <f>'SurveyRpt_20150223 (1)'!AB568+"h_l!%z9"</f>
        <v>#VALUE!</v>
      </c>
      <c r="HQ91" t="e">
        <f>'SurveyRpt_20150223 (1)'!AC568+"h_l!%z:"</f>
        <v>#VALUE!</v>
      </c>
      <c r="HR91" t="e">
        <f>'SurveyRpt_20150223 (1)'!AD568+"h_l!%z;"</f>
        <v>#VALUE!</v>
      </c>
      <c r="HS91" t="e">
        <f>'SurveyRpt_20150223 (1)'!AE568+"h_l!%z&lt;"</f>
        <v>#VALUE!</v>
      </c>
      <c r="HT91" t="e">
        <f>'SurveyRpt_20150223 (1)'!AF568+"h_l!%z="</f>
        <v>#VALUE!</v>
      </c>
      <c r="HU91" t="e">
        <f>'SurveyRpt_20150223 (1)'!AG568+"h_l!%z&gt;"</f>
        <v>#VALUE!</v>
      </c>
      <c r="HV91" t="e">
        <f>'SurveyRpt_20150223 (1)'!AH568+"h_l!%z?"</f>
        <v>#VALUE!</v>
      </c>
      <c r="HW91" t="e">
        <f>'SurveyRpt_20150223 (1)'!AI568+"h_l!%z@"</f>
        <v>#VALUE!</v>
      </c>
      <c r="HX91" t="e">
        <f>'SurveyRpt_20150223 (1)'!AJ568+"h_l!%zA"</f>
        <v>#VALUE!</v>
      </c>
      <c r="HY91" t="e">
        <f>'SurveyRpt_20150223 (1)'!AK568+"h_l!%zB"</f>
        <v>#VALUE!</v>
      </c>
      <c r="HZ91" t="e">
        <f>'SurveyRpt_20150223 (1)'!AL568+"h_l!%zC"</f>
        <v>#VALUE!</v>
      </c>
      <c r="IA91" t="e">
        <f>'SurveyRpt_20150223 (1)'!AM568+"h_l!%zD"</f>
        <v>#VALUE!</v>
      </c>
      <c r="IB91" t="e">
        <f>'SurveyRpt_20150223 (1)'!AN568+"h_l!%zE"</f>
        <v>#VALUE!</v>
      </c>
      <c r="IC91" t="e">
        <f>'SurveyRpt_20150223 (1)'!A569+"h_l!%zF"</f>
        <v>#VALUE!</v>
      </c>
      <c r="ID91" s="25" t="e">
        <f>'SurveyRpt_20150223 (1)'!B569+"h_l!%zG"</f>
        <v>#VALUE!</v>
      </c>
      <c r="IE91" t="e">
        <f>'SurveyRpt_20150223 (1)'!C569+"h_l!%zH"</f>
        <v>#VALUE!</v>
      </c>
      <c r="IF91" s="25" t="e">
        <f>'SurveyRpt_20150223 (1)'!D569+"h_l!%zI"</f>
        <v>#VALUE!</v>
      </c>
      <c r="IG91" t="e">
        <f>'SurveyRpt_20150223 (1)'!E569+"h_l!%zJ"</f>
        <v>#VALUE!</v>
      </c>
      <c r="IH91" t="e">
        <f>'SurveyRpt_20150223 (1)'!F569+"h_l!%zK"</f>
        <v>#VALUE!</v>
      </c>
      <c r="II91" t="e">
        <f>'SurveyRpt_20150223 (1)'!G569+"h_l!%zL"</f>
        <v>#VALUE!</v>
      </c>
      <c r="IJ91" t="e">
        <f>'SurveyRpt_20150223 (1)'!H569+"h_l!%zM"</f>
        <v>#VALUE!</v>
      </c>
      <c r="IK91" t="e">
        <f>'SurveyRpt_20150223 (1)'!I569+"h_l!%zN"</f>
        <v>#VALUE!</v>
      </c>
      <c r="IL91" t="e">
        <f>'SurveyRpt_20150223 (1)'!J569+"h_l!%zO"</f>
        <v>#VALUE!</v>
      </c>
      <c r="IM91" t="e">
        <f>'SurveyRpt_20150223 (1)'!K569+"h_l!%zP"</f>
        <v>#VALUE!</v>
      </c>
      <c r="IN91" t="e">
        <f>'SurveyRpt_20150223 (1)'!L569+"h_l!%zQ"</f>
        <v>#VALUE!</v>
      </c>
      <c r="IO91" t="e">
        <f>'SurveyRpt_20150223 (1)'!M569+"h_l!%zR"</f>
        <v>#VALUE!</v>
      </c>
      <c r="IP91" t="e">
        <f>'SurveyRpt_20150223 (1)'!N569+"h_l!%zS"</f>
        <v>#VALUE!</v>
      </c>
      <c r="IQ91" t="e">
        <f>'SurveyRpt_20150223 (1)'!O569+"h_l!%zT"</f>
        <v>#VALUE!</v>
      </c>
      <c r="IR91" t="e">
        <f>'SurveyRpt_20150223 (1)'!P569+"h_l!%zU"</f>
        <v>#VALUE!</v>
      </c>
      <c r="IS91" t="e">
        <f>'SurveyRpt_20150223 (1)'!Q569+"h_l!%zV"</f>
        <v>#VALUE!</v>
      </c>
      <c r="IT91" t="e">
        <f>'SurveyRpt_20150223 (1)'!R569+"h_l!%zW"</f>
        <v>#VALUE!</v>
      </c>
      <c r="IU91" t="e">
        <f>'SurveyRpt_20150223 (1)'!S569+"h_l!%zX"</f>
        <v>#VALUE!</v>
      </c>
      <c r="IV91" t="e">
        <f>'SurveyRpt_20150223 (1)'!T569+"h_l!%zY"</f>
        <v>#VALUE!</v>
      </c>
    </row>
    <row r="92" spans="6:256" x14ac:dyDescent="0.25">
      <c r="F92" t="e">
        <f>'SurveyRpt_20150223 (1)'!U569+"h_l!%zZ"</f>
        <v>#VALUE!</v>
      </c>
      <c r="G92" t="e">
        <f>'SurveyRpt_20150223 (1)'!V569+"h_l!%z["</f>
        <v>#VALUE!</v>
      </c>
      <c r="H92" t="e">
        <f>'SurveyRpt_20150223 (1)'!W569+"h_l!%z\"</f>
        <v>#VALUE!</v>
      </c>
      <c r="I92" t="e">
        <f>'SurveyRpt_20150223 (1)'!X569+"h_l!%z]"</f>
        <v>#VALUE!</v>
      </c>
      <c r="J92" t="e">
        <f>'SurveyRpt_20150223 (1)'!Y569+"h_l!%z^"</f>
        <v>#VALUE!</v>
      </c>
      <c r="K92" t="e">
        <f>'SurveyRpt_20150223 (1)'!Z569+"h_l!%z_"</f>
        <v>#VALUE!</v>
      </c>
      <c r="L92" t="e">
        <f>'SurveyRpt_20150223 (1)'!AA569+"h_l!%z`"</f>
        <v>#VALUE!</v>
      </c>
      <c r="M92" t="e">
        <f>'SurveyRpt_20150223 (1)'!AB569+"h_l!%za"</f>
        <v>#VALUE!</v>
      </c>
      <c r="N92" t="e">
        <f>'SurveyRpt_20150223 (1)'!AC569+"h_l!%zb"</f>
        <v>#VALUE!</v>
      </c>
      <c r="O92" t="e">
        <f>'SurveyRpt_20150223 (1)'!AD569+"h_l!%zc"</f>
        <v>#VALUE!</v>
      </c>
      <c r="P92" t="e">
        <f>'SurveyRpt_20150223 (1)'!AE569+"h_l!%zd"</f>
        <v>#VALUE!</v>
      </c>
      <c r="Q92" t="e">
        <f>'SurveyRpt_20150223 (1)'!AF569+"h_l!%ze"</f>
        <v>#VALUE!</v>
      </c>
      <c r="R92" t="e">
        <f>'SurveyRpt_20150223 (1)'!AG569+"h_l!%zf"</f>
        <v>#VALUE!</v>
      </c>
      <c r="S92" t="e">
        <f>'SurveyRpt_20150223 (1)'!AH569+"h_l!%zg"</f>
        <v>#VALUE!</v>
      </c>
      <c r="T92" t="e">
        <f>'SurveyRpt_20150223 (1)'!AI569+"h_l!%zh"</f>
        <v>#VALUE!</v>
      </c>
      <c r="U92" t="e">
        <f>'SurveyRpt_20150223 (1)'!AJ569+"h_l!%zi"</f>
        <v>#VALUE!</v>
      </c>
      <c r="V92" t="e">
        <f>'SurveyRpt_20150223 (1)'!AK569+"h_l!%zj"</f>
        <v>#VALUE!</v>
      </c>
      <c r="W92" t="e">
        <f>'SurveyRpt_20150223 (1)'!AL569+"h_l!%zk"</f>
        <v>#VALUE!</v>
      </c>
      <c r="X92" t="e">
        <f>'SurveyRpt_20150223 (1)'!AM569+"h_l!%zl"</f>
        <v>#VALUE!</v>
      </c>
      <c r="Y92" t="e">
        <f>'SurveyRpt_20150223 (1)'!AN569+"h_l!%zm"</f>
        <v>#VALUE!</v>
      </c>
      <c r="Z92" t="e">
        <f>'SurveyRpt_20150223 (1)'!A570+"h_l!%zn"</f>
        <v>#VALUE!</v>
      </c>
      <c r="AA92" s="25" t="e">
        <f>'SurveyRpt_20150223 (1)'!B570+"h_l!%zo"</f>
        <v>#VALUE!</v>
      </c>
      <c r="AB92" t="e">
        <f>'SurveyRpt_20150223 (1)'!C570+"h_l!%zp"</f>
        <v>#VALUE!</v>
      </c>
      <c r="AC92" s="25" t="e">
        <f>'SurveyRpt_20150223 (1)'!D570+"h_l!%zq"</f>
        <v>#VALUE!</v>
      </c>
      <c r="AD92" t="e">
        <f>'SurveyRpt_20150223 (1)'!E570+"h_l!%zr"</f>
        <v>#VALUE!</v>
      </c>
      <c r="AE92" t="e">
        <f>'SurveyRpt_20150223 (1)'!F570+"h_l!%zs"</f>
        <v>#VALUE!</v>
      </c>
      <c r="AF92" t="e">
        <f>'SurveyRpt_20150223 (1)'!G570+"h_l!%zt"</f>
        <v>#VALUE!</v>
      </c>
      <c r="AG92" t="e">
        <f>'SurveyRpt_20150223 (1)'!H570+"h_l!%zu"</f>
        <v>#VALUE!</v>
      </c>
      <c r="AH92" t="e">
        <f>'SurveyRpt_20150223 (1)'!I570+"h_l!%zv"</f>
        <v>#VALUE!</v>
      </c>
      <c r="AI92" t="e">
        <f>'SurveyRpt_20150223 (1)'!J570+"h_l!%zw"</f>
        <v>#VALUE!</v>
      </c>
      <c r="AJ92" t="e">
        <f>'SurveyRpt_20150223 (1)'!K570+"h_l!%zx"</f>
        <v>#VALUE!</v>
      </c>
      <c r="AK92" t="e">
        <f>'SurveyRpt_20150223 (1)'!L570+"h_l!%zy"</f>
        <v>#VALUE!</v>
      </c>
      <c r="AL92" t="e">
        <f>'SurveyRpt_20150223 (1)'!M570+"h_l!%zz"</f>
        <v>#VALUE!</v>
      </c>
      <c r="AM92" t="e">
        <f>'SurveyRpt_20150223 (1)'!N570+"h_l!%z{"</f>
        <v>#VALUE!</v>
      </c>
      <c r="AN92" t="e">
        <f>'SurveyRpt_20150223 (1)'!O570+"h_l!%z|"</f>
        <v>#VALUE!</v>
      </c>
      <c r="AO92" t="e">
        <f>'SurveyRpt_20150223 (1)'!P570+"h_l!%z}"</f>
        <v>#VALUE!</v>
      </c>
      <c r="AP92" t="e">
        <f>'SurveyRpt_20150223 (1)'!Q570+"h_l!%z~"</f>
        <v>#VALUE!</v>
      </c>
      <c r="AQ92" t="e">
        <f>'SurveyRpt_20150223 (1)'!R570+"h_l!%{#"</f>
        <v>#VALUE!</v>
      </c>
      <c r="AR92" t="e">
        <f>'SurveyRpt_20150223 (1)'!S570+"h_l!%{$"</f>
        <v>#VALUE!</v>
      </c>
      <c r="AS92" t="e">
        <f>'SurveyRpt_20150223 (1)'!T570+"h_l!%{%"</f>
        <v>#VALUE!</v>
      </c>
      <c r="AT92" t="e">
        <f>'SurveyRpt_20150223 (1)'!U570+"h_l!%{&amp;"</f>
        <v>#VALUE!</v>
      </c>
      <c r="AU92" t="e">
        <f>'SurveyRpt_20150223 (1)'!V570+"h_l!%{'"</f>
        <v>#VALUE!</v>
      </c>
      <c r="AV92" t="e">
        <f>'SurveyRpt_20150223 (1)'!W570+"h_l!%{("</f>
        <v>#VALUE!</v>
      </c>
      <c r="AW92" t="e">
        <f>'SurveyRpt_20150223 (1)'!X570+"h_l!%{)"</f>
        <v>#VALUE!</v>
      </c>
      <c r="AX92" t="e">
        <f>'SurveyRpt_20150223 (1)'!Y570+"h_l!%{."</f>
        <v>#VALUE!</v>
      </c>
      <c r="AY92" t="e">
        <f>'SurveyRpt_20150223 (1)'!Z570+"h_l!%{/"</f>
        <v>#VALUE!</v>
      </c>
      <c r="AZ92" t="e">
        <f>'SurveyRpt_20150223 (1)'!AA570+"h_l!%{0"</f>
        <v>#VALUE!</v>
      </c>
      <c r="BA92" t="e">
        <f>'SurveyRpt_20150223 (1)'!AB570+"h_l!%{1"</f>
        <v>#VALUE!</v>
      </c>
      <c r="BB92" t="e">
        <f>'SurveyRpt_20150223 (1)'!AC570+"h_l!%{2"</f>
        <v>#VALUE!</v>
      </c>
      <c r="BC92" t="e">
        <f>'SurveyRpt_20150223 (1)'!AD570+"h_l!%{3"</f>
        <v>#VALUE!</v>
      </c>
      <c r="BD92" t="e">
        <f>'SurveyRpt_20150223 (1)'!AE570+"h_l!%{4"</f>
        <v>#VALUE!</v>
      </c>
      <c r="BE92" t="e">
        <f>'SurveyRpt_20150223 (1)'!AF570+"h_l!%{5"</f>
        <v>#VALUE!</v>
      </c>
      <c r="BF92" t="e">
        <f>'SurveyRpt_20150223 (1)'!AG570+"h_l!%{6"</f>
        <v>#VALUE!</v>
      </c>
      <c r="BG92" t="e">
        <f>'SurveyRpt_20150223 (1)'!AH570+"h_l!%{7"</f>
        <v>#VALUE!</v>
      </c>
      <c r="BH92" t="e">
        <f>'SurveyRpt_20150223 (1)'!AI570+"h_l!%{8"</f>
        <v>#VALUE!</v>
      </c>
      <c r="BI92" t="e">
        <f>'SurveyRpt_20150223 (1)'!AJ570+"h_l!%{9"</f>
        <v>#VALUE!</v>
      </c>
      <c r="BJ92" t="e">
        <f>'SurveyRpt_20150223 (1)'!AK570+"h_l!%{:"</f>
        <v>#VALUE!</v>
      </c>
      <c r="BK92" t="e">
        <f>'SurveyRpt_20150223 (1)'!AL570+"h_l!%{;"</f>
        <v>#VALUE!</v>
      </c>
      <c r="BL92" t="e">
        <f>'SurveyRpt_20150223 (1)'!AM570+"h_l!%{&lt;"</f>
        <v>#VALUE!</v>
      </c>
      <c r="BM92" t="e">
        <f>'SurveyRpt_20150223 (1)'!AN570+"h_l!%{="</f>
        <v>#VALUE!</v>
      </c>
      <c r="BN92" t="e">
        <f>'SurveyRpt_20150223 (1)'!A571+"h_l!%{&gt;"</f>
        <v>#VALUE!</v>
      </c>
      <c r="BO92" s="25" t="e">
        <f>'SurveyRpt_20150223 (1)'!B571+"h_l!%{?"</f>
        <v>#VALUE!</v>
      </c>
      <c r="BP92" t="e">
        <f>'SurveyRpt_20150223 (1)'!C571+"h_l!%{@"</f>
        <v>#VALUE!</v>
      </c>
      <c r="BQ92" s="25" t="e">
        <f>'SurveyRpt_20150223 (1)'!D571+"h_l!%{A"</f>
        <v>#VALUE!</v>
      </c>
      <c r="BR92" t="e">
        <f>'SurveyRpt_20150223 (1)'!E571+"h_l!%{B"</f>
        <v>#VALUE!</v>
      </c>
      <c r="BS92" t="e">
        <f>'SurveyRpt_20150223 (1)'!F571+"h_l!%{C"</f>
        <v>#VALUE!</v>
      </c>
      <c r="BT92" t="e">
        <f>'SurveyRpt_20150223 (1)'!G571+"h_l!%{D"</f>
        <v>#VALUE!</v>
      </c>
      <c r="BU92" t="e">
        <f>'SurveyRpt_20150223 (1)'!H571+"h_l!%{E"</f>
        <v>#VALUE!</v>
      </c>
      <c r="BV92" t="e">
        <f>'SurveyRpt_20150223 (1)'!I571+"h_l!%{F"</f>
        <v>#VALUE!</v>
      </c>
      <c r="BW92" t="e">
        <f>'SurveyRpt_20150223 (1)'!J571+"h_l!%{G"</f>
        <v>#VALUE!</v>
      </c>
      <c r="BX92" t="e">
        <f>'SurveyRpt_20150223 (1)'!K571+"h_l!%{H"</f>
        <v>#VALUE!</v>
      </c>
      <c r="BY92" t="e">
        <f>'SurveyRpt_20150223 (1)'!L571+"h_l!%{I"</f>
        <v>#VALUE!</v>
      </c>
      <c r="BZ92" t="e">
        <f>'SurveyRpt_20150223 (1)'!M571+"h_l!%{J"</f>
        <v>#VALUE!</v>
      </c>
      <c r="CA92" t="e">
        <f>'SurveyRpt_20150223 (1)'!N571+"h_l!%{K"</f>
        <v>#VALUE!</v>
      </c>
      <c r="CB92" t="e">
        <f>'SurveyRpt_20150223 (1)'!O571+"h_l!%{L"</f>
        <v>#VALUE!</v>
      </c>
      <c r="CC92" t="e">
        <f>'SurveyRpt_20150223 (1)'!P571+"h_l!%{M"</f>
        <v>#VALUE!</v>
      </c>
      <c r="CD92" t="e">
        <f>'SurveyRpt_20150223 (1)'!Q571+"h_l!%{N"</f>
        <v>#VALUE!</v>
      </c>
      <c r="CE92" t="e">
        <f>'SurveyRpt_20150223 (1)'!R571+"h_l!%{O"</f>
        <v>#VALUE!</v>
      </c>
      <c r="CF92" t="e">
        <f>'SurveyRpt_20150223 (1)'!S571+"h_l!%{P"</f>
        <v>#VALUE!</v>
      </c>
      <c r="CG92" t="e">
        <f>'SurveyRpt_20150223 (1)'!T571+"h_l!%{Q"</f>
        <v>#VALUE!</v>
      </c>
      <c r="CH92" t="e">
        <f>'SurveyRpt_20150223 (1)'!U571+"h_l!%{R"</f>
        <v>#VALUE!</v>
      </c>
      <c r="CI92" t="e">
        <f>'SurveyRpt_20150223 (1)'!V571+"h_l!%{S"</f>
        <v>#VALUE!</v>
      </c>
      <c r="CJ92" t="e">
        <f>'SurveyRpt_20150223 (1)'!W571+"h_l!%{T"</f>
        <v>#VALUE!</v>
      </c>
      <c r="CK92" t="e">
        <f>'SurveyRpt_20150223 (1)'!X571+"h_l!%{U"</f>
        <v>#VALUE!</v>
      </c>
      <c r="CL92" t="e">
        <f>'SurveyRpt_20150223 (1)'!Y571+"h_l!%{V"</f>
        <v>#VALUE!</v>
      </c>
      <c r="CM92" t="e">
        <f>'SurveyRpt_20150223 (1)'!Z571+"h_l!%{W"</f>
        <v>#VALUE!</v>
      </c>
      <c r="CN92" t="e">
        <f>'SurveyRpt_20150223 (1)'!AA571+"h_l!%{X"</f>
        <v>#VALUE!</v>
      </c>
      <c r="CO92" t="e">
        <f>'SurveyRpt_20150223 (1)'!AB571+"h_l!%{Y"</f>
        <v>#VALUE!</v>
      </c>
      <c r="CP92" t="e">
        <f>'SurveyRpt_20150223 (1)'!AC571+"h_l!%{Z"</f>
        <v>#VALUE!</v>
      </c>
      <c r="CQ92" t="e">
        <f>'SurveyRpt_20150223 (1)'!AD571+"h_l!%{["</f>
        <v>#VALUE!</v>
      </c>
      <c r="CR92" t="e">
        <f>'SurveyRpt_20150223 (1)'!AE571+"h_l!%{\"</f>
        <v>#VALUE!</v>
      </c>
      <c r="CS92" t="e">
        <f>'SurveyRpt_20150223 (1)'!AF571+"h_l!%{]"</f>
        <v>#VALUE!</v>
      </c>
      <c r="CT92" t="e">
        <f>'SurveyRpt_20150223 (1)'!AG571+"h_l!%{^"</f>
        <v>#VALUE!</v>
      </c>
      <c r="CU92" t="e">
        <f>'SurveyRpt_20150223 (1)'!AH571+"h_l!%{_"</f>
        <v>#VALUE!</v>
      </c>
      <c r="CV92" t="e">
        <f>'SurveyRpt_20150223 (1)'!AI571+"h_l!%{`"</f>
        <v>#VALUE!</v>
      </c>
      <c r="CW92" t="e">
        <f>'SurveyRpt_20150223 (1)'!AJ571+"h_l!%{a"</f>
        <v>#VALUE!</v>
      </c>
      <c r="CX92" t="e">
        <f>'SurveyRpt_20150223 (1)'!AK571+"h_l!%{b"</f>
        <v>#VALUE!</v>
      </c>
      <c r="CY92" t="e">
        <f>'SurveyRpt_20150223 (1)'!AL571+"h_l!%{c"</f>
        <v>#VALUE!</v>
      </c>
      <c r="CZ92" t="e">
        <f>'SurveyRpt_20150223 (1)'!AM571+"h_l!%{d"</f>
        <v>#VALUE!</v>
      </c>
      <c r="DA92" t="e">
        <f>'SurveyRpt_20150223 (1)'!AN571+"h_l!%{e"</f>
        <v>#VALUE!</v>
      </c>
      <c r="DB92" t="e">
        <f>'SurveyRpt_20150223 (1)'!A572+"h_l!%{f"</f>
        <v>#VALUE!</v>
      </c>
      <c r="DC92" s="25" t="e">
        <f>'SurveyRpt_20150223 (1)'!B572+"h_l!%{g"</f>
        <v>#VALUE!</v>
      </c>
      <c r="DD92" t="e">
        <f>'SurveyRpt_20150223 (1)'!C572+"h_l!%{h"</f>
        <v>#VALUE!</v>
      </c>
      <c r="DE92" s="25" t="e">
        <f>'SurveyRpt_20150223 (1)'!D572+"h_l!%{i"</f>
        <v>#VALUE!</v>
      </c>
      <c r="DF92" t="e">
        <f>'SurveyRpt_20150223 (1)'!E572+"h_l!%{j"</f>
        <v>#VALUE!</v>
      </c>
      <c r="DG92" t="e">
        <f>'SurveyRpt_20150223 (1)'!F572+"h_l!%{k"</f>
        <v>#VALUE!</v>
      </c>
      <c r="DH92" t="e">
        <f>'SurveyRpt_20150223 (1)'!G572+"h_l!%{l"</f>
        <v>#VALUE!</v>
      </c>
      <c r="DI92" t="e">
        <f>'SurveyRpt_20150223 (1)'!H572+"h_l!%{m"</f>
        <v>#VALUE!</v>
      </c>
      <c r="DJ92" t="e">
        <f>'SurveyRpt_20150223 (1)'!I572+"h_l!%{n"</f>
        <v>#VALUE!</v>
      </c>
      <c r="DK92" t="e">
        <f>'SurveyRpt_20150223 (1)'!J572+"h_l!%{o"</f>
        <v>#VALUE!</v>
      </c>
      <c r="DL92" t="e">
        <f>'SurveyRpt_20150223 (1)'!K572+"h_l!%{p"</f>
        <v>#VALUE!</v>
      </c>
      <c r="DM92" t="e">
        <f>'SurveyRpt_20150223 (1)'!L572+"h_l!%{q"</f>
        <v>#VALUE!</v>
      </c>
      <c r="DN92" t="e">
        <f>'SurveyRpt_20150223 (1)'!M572+"h_l!%{r"</f>
        <v>#VALUE!</v>
      </c>
      <c r="DO92" t="e">
        <f>'SurveyRpt_20150223 (1)'!N572+"h_l!%{s"</f>
        <v>#VALUE!</v>
      </c>
      <c r="DP92" t="e">
        <f>'SurveyRpt_20150223 (1)'!O572+"h_l!%{t"</f>
        <v>#VALUE!</v>
      </c>
      <c r="DQ92" t="e">
        <f>'SurveyRpt_20150223 (1)'!P572+"h_l!%{u"</f>
        <v>#VALUE!</v>
      </c>
      <c r="DR92" t="e">
        <f>'SurveyRpt_20150223 (1)'!Q572+"h_l!%{v"</f>
        <v>#VALUE!</v>
      </c>
      <c r="DS92" t="e">
        <f>'SurveyRpt_20150223 (1)'!R572+"h_l!%{w"</f>
        <v>#VALUE!</v>
      </c>
      <c r="DT92" t="e">
        <f>'SurveyRpt_20150223 (1)'!S572+"h_l!%{x"</f>
        <v>#VALUE!</v>
      </c>
      <c r="DU92" t="e">
        <f>'SurveyRpt_20150223 (1)'!T572+"h_l!%{y"</f>
        <v>#VALUE!</v>
      </c>
      <c r="DV92" t="e">
        <f>'SurveyRpt_20150223 (1)'!U572+"h_l!%{z"</f>
        <v>#VALUE!</v>
      </c>
      <c r="DW92" t="e">
        <f>'SurveyRpt_20150223 (1)'!V572+"h_l!%{{"</f>
        <v>#VALUE!</v>
      </c>
      <c r="DX92" t="e">
        <f>'SurveyRpt_20150223 (1)'!W572+"h_l!%{|"</f>
        <v>#VALUE!</v>
      </c>
      <c r="DY92" t="e">
        <f>'SurveyRpt_20150223 (1)'!X572+"h_l!%{}"</f>
        <v>#VALUE!</v>
      </c>
      <c r="DZ92" t="e">
        <f>'SurveyRpt_20150223 (1)'!Y572+"h_l!%{~"</f>
        <v>#VALUE!</v>
      </c>
      <c r="EA92" t="e">
        <f>'SurveyRpt_20150223 (1)'!Z572+"h_l!%|#"</f>
        <v>#VALUE!</v>
      </c>
      <c r="EB92" t="e">
        <f>'SurveyRpt_20150223 (1)'!AA572+"h_l!%|$"</f>
        <v>#VALUE!</v>
      </c>
      <c r="EC92" t="e">
        <f>'SurveyRpt_20150223 (1)'!AB572+"h_l!%|%"</f>
        <v>#VALUE!</v>
      </c>
      <c r="ED92" t="e">
        <f>'SurveyRpt_20150223 (1)'!AC572+"h_l!%|&amp;"</f>
        <v>#VALUE!</v>
      </c>
      <c r="EE92" t="e">
        <f>'SurveyRpt_20150223 (1)'!AD572+"h_l!%|'"</f>
        <v>#VALUE!</v>
      </c>
      <c r="EF92" t="e">
        <f>'SurveyRpt_20150223 (1)'!AE572+"h_l!%|("</f>
        <v>#VALUE!</v>
      </c>
      <c r="EG92" t="e">
        <f>'SurveyRpt_20150223 (1)'!AF572+"h_l!%|)"</f>
        <v>#VALUE!</v>
      </c>
      <c r="EH92" t="e">
        <f>'SurveyRpt_20150223 (1)'!AG572+"h_l!%|."</f>
        <v>#VALUE!</v>
      </c>
      <c r="EI92" t="e">
        <f>'SurveyRpt_20150223 (1)'!AH572+"h_l!%|/"</f>
        <v>#VALUE!</v>
      </c>
      <c r="EJ92" t="e">
        <f>'SurveyRpt_20150223 (1)'!AI572+"h_l!%|0"</f>
        <v>#VALUE!</v>
      </c>
      <c r="EK92" t="e">
        <f>'SurveyRpt_20150223 (1)'!AJ572+"h_l!%|1"</f>
        <v>#VALUE!</v>
      </c>
      <c r="EL92" t="e">
        <f>'SurveyRpt_20150223 (1)'!AK572+"h_l!%|2"</f>
        <v>#VALUE!</v>
      </c>
      <c r="EM92" t="e">
        <f>'SurveyRpt_20150223 (1)'!AL572+"h_l!%|3"</f>
        <v>#VALUE!</v>
      </c>
      <c r="EN92" t="e">
        <f>'SurveyRpt_20150223 (1)'!AM572+"h_l!%|4"</f>
        <v>#VALUE!</v>
      </c>
      <c r="EO92" t="e">
        <f>'SurveyRpt_20150223 (1)'!AN572+"h_l!%|5"</f>
        <v>#VALUE!</v>
      </c>
      <c r="EP92" t="e">
        <f>'SurveyRpt_20150223 (1)'!A573+"h_l!%|6"</f>
        <v>#VALUE!</v>
      </c>
      <c r="EQ92" s="25" t="e">
        <f>'SurveyRpt_20150223 (1)'!B573+"h_l!%|7"</f>
        <v>#VALUE!</v>
      </c>
      <c r="ER92" t="e">
        <f>'SurveyRpt_20150223 (1)'!C573+"h_l!%|8"</f>
        <v>#VALUE!</v>
      </c>
      <c r="ES92" s="25" t="e">
        <f>'SurveyRpt_20150223 (1)'!D573+"h_l!%|9"</f>
        <v>#VALUE!</v>
      </c>
      <c r="ET92" t="e">
        <f>'SurveyRpt_20150223 (1)'!E573+"h_l!%|:"</f>
        <v>#VALUE!</v>
      </c>
      <c r="EU92" t="e">
        <f>'SurveyRpt_20150223 (1)'!F573+"h_l!%|;"</f>
        <v>#VALUE!</v>
      </c>
      <c r="EV92" t="e">
        <f>'SurveyRpt_20150223 (1)'!G573+"h_l!%|&lt;"</f>
        <v>#VALUE!</v>
      </c>
      <c r="EW92" t="e">
        <f>'SurveyRpt_20150223 (1)'!H573+"h_l!%|="</f>
        <v>#VALUE!</v>
      </c>
      <c r="EX92" t="e">
        <f>'SurveyRpt_20150223 (1)'!I573+"h_l!%|&gt;"</f>
        <v>#VALUE!</v>
      </c>
      <c r="EY92" t="e">
        <f>'SurveyRpt_20150223 (1)'!J573+"h_l!%|?"</f>
        <v>#VALUE!</v>
      </c>
      <c r="EZ92" t="e">
        <f>'SurveyRpt_20150223 (1)'!K573+"h_l!%|@"</f>
        <v>#VALUE!</v>
      </c>
      <c r="FA92" t="e">
        <f>'SurveyRpt_20150223 (1)'!L573+"h_l!%|A"</f>
        <v>#VALUE!</v>
      </c>
      <c r="FB92" t="e">
        <f>'SurveyRpt_20150223 (1)'!M573+"h_l!%|B"</f>
        <v>#VALUE!</v>
      </c>
      <c r="FC92" t="e">
        <f>'SurveyRpt_20150223 (1)'!N573+"h_l!%|C"</f>
        <v>#VALUE!</v>
      </c>
      <c r="FD92" t="e">
        <f>'SurveyRpt_20150223 (1)'!O573+"h_l!%|D"</f>
        <v>#VALUE!</v>
      </c>
      <c r="FE92" t="e">
        <f>'SurveyRpt_20150223 (1)'!P573+"h_l!%|E"</f>
        <v>#VALUE!</v>
      </c>
      <c r="FF92" t="e">
        <f>'SurveyRpt_20150223 (1)'!Q573+"h_l!%|F"</f>
        <v>#VALUE!</v>
      </c>
      <c r="FG92" t="e">
        <f>'SurveyRpt_20150223 (1)'!R573+"h_l!%|G"</f>
        <v>#VALUE!</v>
      </c>
      <c r="FH92" t="e">
        <f>'SurveyRpt_20150223 (1)'!S573+"h_l!%|H"</f>
        <v>#VALUE!</v>
      </c>
      <c r="FI92" t="e">
        <f>'SurveyRpt_20150223 (1)'!T573+"h_l!%|I"</f>
        <v>#VALUE!</v>
      </c>
      <c r="FJ92" t="e">
        <f>'SurveyRpt_20150223 (1)'!U573+"h_l!%|J"</f>
        <v>#VALUE!</v>
      </c>
      <c r="FK92" t="e">
        <f>'SurveyRpt_20150223 (1)'!V573+"h_l!%|K"</f>
        <v>#VALUE!</v>
      </c>
      <c r="FL92" t="e">
        <f>'SurveyRpt_20150223 (1)'!W573+"h_l!%|L"</f>
        <v>#VALUE!</v>
      </c>
      <c r="FM92" t="e">
        <f>'SurveyRpt_20150223 (1)'!X573+"h_l!%|M"</f>
        <v>#VALUE!</v>
      </c>
      <c r="FN92" t="e">
        <f>'SurveyRpt_20150223 (1)'!Y573+"h_l!%|N"</f>
        <v>#VALUE!</v>
      </c>
      <c r="FO92" t="e">
        <f>'SurveyRpt_20150223 (1)'!Z573+"h_l!%|O"</f>
        <v>#VALUE!</v>
      </c>
      <c r="FP92" t="e">
        <f>'SurveyRpt_20150223 (1)'!AA573+"h_l!%|P"</f>
        <v>#VALUE!</v>
      </c>
      <c r="FQ92" t="e">
        <f>'SurveyRpt_20150223 (1)'!AB573+"h_l!%|Q"</f>
        <v>#VALUE!</v>
      </c>
      <c r="FR92" t="e">
        <f>'SurveyRpt_20150223 (1)'!AC573+"h_l!%|R"</f>
        <v>#VALUE!</v>
      </c>
      <c r="FS92" t="e">
        <f>'SurveyRpt_20150223 (1)'!AD573+"h_l!%|S"</f>
        <v>#VALUE!</v>
      </c>
      <c r="FT92" t="e">
        <f>'SurveyRpt_20150223 (1)'!AE573+"h_l!%|T"</f>
        <v>#VALUE!</v>
      </c>
      <c r="FU92" t="e">
        <f>'SurveyRpt_20150223 (1)'!AF573+"h_l!%|U"</f>
        <v>#VALUE!</v>
      </c>
      <c r="FV92" t="e">
        <f>'SurveyRpt_20150223 (1)'!AG573+"h_l!%|V"</f>
        <v>#VALUE!</v>
      </c>
      <c r="FW92" t="e">
        <f>'SurveyRpt_20150223 (1)'!AH573+"h_l!%|W"</f>
        <v>#VALUE!</v>
      </c>
      <c r="FX92" t="e">
        <f>'SurveyRpt_20150223 (1)'!AI573+"h_l!%|X"</f>
        <v>#VALUE!</v>
      </c>
      <c r="FY92" t="e">
        <f>'SurveyRpt_20150223 (1)'!AJ573+"h_l!%|Y"</f>
        <v>#VALUE!</v>
      </c>
      <c r="FZ92" t="e">
        <f>'SurveyRpt_20150223 (1)'!AK573+"h_l!%|Z"</f>
        <v>#VALUE!</v>
      </c>
      <c r="GA92" t="e">
        <f>'SurveyRpt_20150223 (1)'!AL573+"h_l!%|["</f>
        <v>#VALUE!</v>
      </c>
      <c r="GB92" t="e">
        <f>'SurveyRpt_20150223 (1)'!AM573+"h_l!%|\"</f>
        <v>#VALUE!</v>
      </c>
      <c r="GC92" t="e">
        <f>'SurveyRpt_20150223 (1)'!AN573+"h_l!%|]"</f>
        <v>#VALUE!</v>
      </c>
      <c r="GD92" t="e">
        <f>'SurveyRpt_20150223 (1)'!A574+"h_l!%|^"</f>
        <v>#VALUE!</v>
      </c>
      <c r="GE92" s="25" t="e">
        <f>'SurveyRpt_20150223 (1)'!B574+"h_l!%|_"</f>
        <v>#VALUE!</v>
      </c>
      <c r="GF92" t="e">
        <f>'SurveyRpt_20150223 (1)'!C574+"h_l!%|`"</f>
        <v>#VALUE!</v>
      </c>
      <c r="GG92" s="25" t="e">
        <f>'SurveyRpt_20150223 (1)'!D574+"h_l!%|a"</f>
        <v>#VALUE!</v>
      </c>
      <c r="GH92" t="e">
        <f>'SurveyRpt_20150223 (1)'!E574+"h_l!%|b"</f>
        <v>#VALUE!</v>
      </c>
      <c r="GI92" t="e">
        <f>'SurveyRpt_20150223 (1)'!F574+"h_l!%|c"</f>
        <v>#VALUE!</v>
      </c>
      <c r="GJ92" t="e">
        <f>'SurveyRpt_20150223 (1)'!G574+"h_l!%|d"</f>
        <v>#VALUE!</v>
      </c>
      <c r="GK92" t="e">
        <f>'SurveyRpt_20150223 (1)'!H574+"h_l!%|e"</f>
        <v>#VALUE!</v>
      </c>
      <c r="GL92" t="e">
        <f>'SurveyRpt_20150223 (1)'!I574+"h_l!%|f"</f>
        <v>#VALUE!</v>
      </c>
      <c r="GM92" t="e">
        <f>'SurveyRpt_20150223 (1)'!J574+"h_l!%|g"</f>
        <v>#VALUE!</v>
      </c>
      <c r="GN92" t="e">
        <f>'SurveyRpt_20150223 (1)'!K574+"h_l!%|h"</f>
        <v>#VALUE!</v>
      </c>
      <c r="GO92" t="e">
        <f>'SurveyRpt_20150223 (1)'!L574+"h_l!%|i"</f>
        <v>#VALUE!</v>
      </c>
      <c r="GP92" t="e">
        <f>'SurveyRpt_20150223 (1)'!M574+"h_l!%|j"</f>
        <v>#VALUE!</v>
      </c>
      <c r="GQ92" t="e">
        <f>'SurveyRpt_20150223 (1)'!N574+"h_l!%|k"</f>
        <v>#VALUE!</v>
      </c>
      <c r="GR92" t="e">
        <f>'SurveyRpt_20150223 (1)'!O574+"h_l!%|l"</f>
        <v>#VALUE!</v>
      </c>
      <c r="GS92" t="e">
        <f>'SurveyRpt_20150223 (1)'!P574+"h_l!%|m"</f>
        <v>#VALUE!</v>
      </c>
      <c r="GT92" t="e">
        <f>'SurveyRpt_20150223 (1)'!Q574+"h_l!%|n"</f>
        <v>#VALUE!</v>
      </c>
      <c r="GU92" t="e">
        <f>'SurveyRpt_20150223 (1)'!R574+"h_l!%|o"</f>
        <v>#VALUE!</v>
      </c>
      <c r="GV92" t="e">
        <f>'SurveyRpt_20150223 (1)'!S574+"h_l!%|p"</f>
        <v>#VALUE!</v>
      </c>
      <c r="GW92" t="e">
        <f>'SurveyRpt_20150223 (1)'!T574+"h_l!%|q"</f>
        <v>#VALUE!</v>
      </c>
      <c r="GX92" t="e">
        <f>'SurveyRpt_20150223 (1)'!U574+"h_l!%|r"</f>
        <v>#VALUE!</v>
      </c>
      <c r="GY92" t="e">
        <f>'SurveyRpt_20150223 (1)'!V574+"h_l!%|s"</f>
        <v>#VALUE!</v>
      </c>
      <c r="GZ92" t="e">
        <f>'SurveyRpt_20150223 (1)'!W574+"h_l!%|t"</f>
        <v>#VALUE!</v>
      </c>
      <c r="HA92" t="e">
        <f>'SurveyRpt_20150223 (1)'!X574+"h_l!%|u"</f>
        <v>#VALUE!</v>
      </c>
      <c r="HB92" t="e">
        <f>'SurveyRpt_20150223 (1)'!Y574+"h_l!%|v"</f>
        <v>#VALUE!</v>
      </c>
      <c r="HC92" t="e">
        <f>'SurveyRpt_20150223 (1)'!Z574+"h_l!%|w"</f>
        <v>#VALUE!</v>
      </c>
      <c r="HD92" t="e">
        <f>'SurveyRpt_20150223 (1)'!AA574+"h_l!%|x"</f>
        <v>#VALUE!</v>
      </c>
      <c r="HE92" t="e">
        <f>'SurveyRpt_20150223 (1)'!AB574+"h_l!%|y"</f>
        <v>#VALUE!</v>
      </c>
      <c r="HF92" t="e">
        <f>'SurveyRpt_20150223 (1)'!AC574+"h_l!%|z"</f>
        <v>#VALUE!</v>
      </c>
      <c r="HG92" t="e">
        <f>'SurveyRpt_20150223 (1)'!AD574+"h_l!%|{"</f>
        <v>#VALUE!</v>
      </c>
      <c r="HH92" t="e">
        <f>'SurveyRpt_20150223 (1)'!AE574+"h_l!%||"</f>
        <v>#VALUE!</v>
      </c>
      <c r="HI92" t="e">
        <f>'SurveyRpt_20150223 (1)'!AF574+"h_l!%|}"</f>
        <v>#VALUE!</v>
      </c>
      <c r="HJ92" t="e">
        <f>'SurveyRpt_20150223 (1)'!AG574+"h_l!%|~"</f>
        <v>#VALUE!</v>
      </c>
      <c r="HK92" t="e">
        <f>'SurveyRpt_20150223 (1)'!AH574+"h_l!%}#"</f>
        <v>#VALUE!</v>
      </c>
      <c r="HL92" t="e">
        <f>'SurveyRpt_20150223 (1)'!AI574+"h_l!%}$"</f>
        <v>#VALUE!</v>
      </c>
      <c r="HM92" t="e">
        <f>'SurveyRpt_20150223 (1)'!AJ574+"h_l!%}%"</f>
        <v>#VALUE!</v>
      </c>
      <c r="HN92" t="e">
        <f>'SurveyRpt_20150223 (1)'!AK574+"h_l!%}&amp;"</f>
        <v>#VALUE!</v>
      </c>
      <c r="HO92" t="e">
        <f>'SurveyRpt_20150223 (1)'!AL574+"h_l!%}'"</f>
        <v>#VALUE!</v>
      </c>
      <c r="HP92" t="e">
        <f>'SurveyRpt_20150223 (1)'!AM574+"h_l!%}("</f>
        <v>#VALUE!</v>
      </c>
      <c r="HQ92" t="e">
        <f>'SurveyRpt_20150223 (1)'!AN574+"h_l!%})"</f>
        <v>#VALUE!</v>
      </c>
      <c r="HR92" t="e">
        <f>'SurveyRpt_20150223 (1)'!A575+"h_l!%}."</f>
        <v>#VALUE!</v>
      </c>
      <c r="HS92" s="25" t="e">
        <f>'SurveyRpt_20150223 (1)'!B575+"h_l!%}/"</f>
        <v>#VALUE!</v>
      </c>
      <c r="HT92" t="e">
        <f>'SurveyRpt_20150223 (1)'!C575+"h_l!%}0"</f>
        <v>#VALUE!</v>
      </c>
      <c r="HU92" s="25" t="e">
        <f>'SurveyRpt_20150223 (1)'!D575+"h_l!%}1"</f>
        <v>#VALUE!</v>
      </c>
      <c r="HV92" t="e">
        <f>'SurveyRpt_20150223 (1)'!E575+"h_l!%}2"</f>
        <v>#VALUE!</v>
      </c>
      <c r="HW92" t="e">
        <f>'SurveyRpt_20150223 (1)'!F575+"h_l!%}3"</f>
        <v>#VALUE!</v>
      </c>
      <c r="HX92" t="e">
        <f>'SurveyRpt_20150223 (1)'!G575+"h_l!%}4"</f>
        <v>#VALUE!</v>
      </c>
      <c r="HY92" t="e">
        <f>'SurveyRpt_20150223 (1)'!H575+"h_l!%}5"</f>
        <v>#VALUE!</v>
      </c>
      <c r="HZ92" t="e">
        <f>'SurveyRpt_20150223 (1)'!I575+"h_l!%}6"</f>
        <v>#VALUE!</v>
      </c>
      <c r="IA92" t="e">
        <f>'SurveyRpt_20150223 (1)'!J575+"h_l!%}7"</f>
        <v>#VALUE!</v>
      </c>
      <c r="IB92" t="e">
        <f>'SurveyRpt_20150223 (1)'!K575+"h_l!%}8"</f>
        <v>#VALUE!</v>
      </c>
      <c r="IC92" t="e">
        <f>'SurveyRpt_20150223 (1)'!L575+"h_l!%}9"</f>
        <v>#VALUE!</v>
      </c>
      <c r="ID92" t="e">
        <f>'SurveyRpt_20150223 (1)'!M575+"h_l!%}:"</f>
        <v>#VALUE!</v>
      </c>
      <c r="IE92" t="e">
        <f>'SurveyRpt_20150223 (1)'!N575+"h_l!%};"</f>
        <v>#VALUE!</v>
      </c>
      <c r="IF92" t="e">
        <f>'SurveyRpt_20150223 (1)'!O575+"h_l!%}&lt;"</f>
        <v>#VALUE!</v>
      </c>
      <c r="IG92" t="e">
        <f>'SurveyRpt_20150223 (1)'!P575+"h_l!%}="</f>
        <v>#VALUE!</v>
      </c>
      <c r="IH92" t="e">
        <f>'SurveyRpt_20150223 (1)'!Q575+"h_l!%}&gt;"</f>
        <v>#VALUE!</v>
      </c>
      <c r="II92" t="e">
        <f>'SurveyRpt_20150223 (1)'!R575+"h_l!%}?"</f>
        <v>#VALUE!</v>
      </c>
      <c r="IJ92" t="e">
        <f>'SurveyRpt_20150223 (1)'!S575+"h_l!%}@"</f>
        <v>#VALUE!</v>
      </c>
      <c r="IK92" t="e">
        <f>'SurveyRpt_20150223 (1)'!T575+"h_l!%}A"</f>
        <v>#VALUE!</v>
      </c>
      <c r="IL92" t="e">
        <f>'SurveyRpt_20150223 (1)'!U575+"h_l!%}B"</f>
        <v>#VALUE!</v>
      </c>
      <c r="IM92" t="e">
        <f>'SurveyRpt_20150223 (1)'!V575+"h_l!%}C"</f>
        <v>#VALUE!</v>
      </c>
      <c r="IN92" t="e">
        <f>'SurveyRpt_20150223 (1)'!W575+"h_l!%}D"</f>
        <v>#VALUE!</v>
      </c>
      <c r="IO92" t="e">
        <f>'SurveyRpt_20150223 (1)'!X575+"h_l!%}E"</f>
        <v>#VALUE!</v>
      </c>
      <c r="IP92" t="e">
        <f>'SurveyRpt_20150223 (1)'!Y575+"h_l!%}F"</f>
        <v>#VALUE!</v>
      </c>
      <c r="IQ92" t="e">
        <f>'SurveyRpt_20150223 (1)'!Z575+"h_l!%}G"</f>
        <v>#VALUE!</v>
      </c>
      <c r="IR92" t="e">
        <f>'SurveyRpt_20150223 (1)'!AA575+"h_l!%}H"</f>
        <v>#VALUE!</v>
      </c>
      <c r="IS92" t="e">
        <f>'SurveyRpt_20150223 (1)'!AB575+"h_l!%}I"</f>
        <v>#VALUE!</v>
      </c>
      <c r="IT92" t="e">
        <f>'SurveyRpt_20150223 (1)'!AC575+"h_l!%}J"</f>
        <v>#VALUE!</v>
      </c>
      <c r="IU92" t="e">
        <f>'SurveyRpt_20150223 (1)'!AD575+"h_l!%}K"</f>
        <v>#VALUE!</v>
      </c>
      <c r="IV92" t="e">
        <f>'SurveyRpt_20150223 (1)'!AE575+"h_l!%}L"</f>
        <v>#VALUE!</v>
      </c>
    </row>
    <row r="93" spans="6:256" x14ac:dyDescent="0.25">
      <c r="F93" t="e">
        <f>'SurveyRpt_20150223 (1)'!AF575+"h_l!%}M"</f>
        <v>#VALUE!</v>
      </c>
      <c r="G93" t="e">
        <f>'SurveyRpt_20150223 (1)'!AG575+"h_l!%}N"</f>
        <v>#VALUE!</v>
      </c>
      <c r="H93" t="e">
        <f>'SurveyRpt_20150223 (1)'!AH575+"h_l!%}O"</f>
        <v>#VALUE!</v>
      </c>
      <c r="I93" t="e">
        <f>'SurveyRpt_20150223 (1)'!AI575+"h_l!%}P"</f>
        <v>#VALUE!</v>
      </c>
      <c r="J93" t="e">
        <f>'SurveyRpt_20150223 (1)'!AJ575+"h_l!%}Q"</f>
        <v>#VALUE!</v>
      </c>
      <c r="K93" t="e">
        <f>'SurveyRpt_20150223 (1)'!AK575+"h_l!%}R"</f>
        <v>#VALUE!</v>
      </c>
      <c r="L93" t="e">
        <f>'SurveyRpt_20150223 (1)'!AL575+"h_l!%}S"</f>
        <v>#VALUE!</v>
      </c>
      <c r="M93" t="e">
        <f>'SurveyRpt_20150223 (1)'!AM575+"h_l!%}T"</f>
        <v>#VALUE!</v>
      </c>
      <c r="N93" t="e">
        <f>'SurveyRpt_20150223 (1)'!AN575+"h_l!%}U"</f>
        <v>#VALUE!</v>
      </c>
      <c r="O93" t="e">
        <f>'SurveyRpt_20150223 (1)'!A576+"h_l!%}V"</f>
        <v>#VALUE!</v>
      </c>
      <c r="P93" s="25" t="e">
        <f>'SurveyRpt_20150223 (1)'!B576+"h_l!%}W"</f>
        <v>#VALUE!</v>
      </c>
      <c r="Q93" t="e">
        <f>'SurveyRpt_20150223 (1)'!C576+"h_l!%}X"</f>
        <v>#VALUE!</v>
      </c>
      <c r="R93" s="25" t="e">
        <f>'SurveyRpt_20150223 (1)'!D576+"h_l!%}Y"</f>
        <v>#VALUE!</v>
      </c>
      <c r="S93" t="e">
        <f>'SurveyRpt_20150223 (1)'!E576+"h_l!%}Z"</f>
        <v>#VALUE!</v>
      </c>
      <c r="T93" t="e">
        <f>'SurveyRpt_20150223 (1)'!F576+"h_l!%}["</f>
        <v>#VALUE!</v>
      </c>
      <c r="U93" t="e">
        <f>'SurveyRpt_20150223 (1)'!G576+"h_l!%}\"</f>
        <v>#VALUE!</v>
      </c>
      <c r="V93" t="e">
        <f>'SurveyRpt_20150223 (1)'!H576+"h_l!%}]"</f>
        <v>#VALUE!</v>
      </c>
      <c r="W93" t="e">
        <f>'SurveyRpt_20150223 (1)'!I576+"h_l!%}^"</f>
        <v>#VALUE!</v>
      </c>
      <c r="X93" t="e">
        <f>'SurveyRpt_20150223 (1)'!J576+"h_l!%}_"</f>
        <v>#VALUE!</v>
      </c>
      <c r="Y93" t="e">
        <f>'SurveyRpt_20150223 (1)'!K576+"h_l!%}`"</f>
        <v>#VALUE!</v>
      </c>
      <c r="Z93" t="e">
        <f>'SurveyRpt_20150223 (1)'!L576+"h_l!%}a"</f>
        <v>#VALUE!</v>
      </c>
      <c r="AA93" t="e">
        <f>'SurveyRpt_20150223 (1)'!M576+"h_l!%}b"</f>
        <v>#VALUE!</v>
      </c>
      <c r="AB93" t="e">
        <f>'SurveyRpt_20150223 (1)'!N576+"h_l!%}c"</f>
        <v>#VALUE!</v>
      </c>
      <c r="AC93" t="e">
        <f>'SurveyRpt_20150223 (1)'!O576+"h_l!%}d"</f>
        <v>#VALUE!</v>
      </c>
      <c r="AD93" t="e">
        <f>'SurveyRpt_20150223 (1)'!P576+"h_l!%}e"</f>
        <v>#VALUE!</v>
      </c>
      <c r="AE93" t="e">
        <f>'SurveyRpt_20150223 (1)'!Q576+"h_l!%}f"</f>
        <v>#VALUE!</v>
      </c>
      <c r="AF93" t="e">
        <f>'SurveyRpt_20150223 (1)'!R576+"h_l!%}g"</f>
        <v>#VALUE!</v>
      </c>
      <c r="AG93" t="e">
        <f>'SurveyRpt_20150223 (1)'!S576+"h_l!%}h"</f>
        <v>#VALUE!</v>
      </c>
      <c r="AH93" t="e">
        <f>'SurveyRpt_20150223 (1)'!T576+"h_l!%}i"</f>
        <v>#VALUE!</v>
      </c>
      <c r="AI93" t="e">
        <f>'SurveyRpt_20150223 (1)'!U576+"h_l!%}j"</f>
        <v>#VALUE!</v>
      </c>
      <c r="AJ93" t="e">
        <f>'SurveyRpt_20150223 (1)'!V576+"h_l!%}k"</f>
        <v>#VALUE!</v>
      </c>
      <c r="AK93" t="e">
        <f>'SurveyRpt_20150223 (1)'!W576+"h_l!%}l"</f>
        <v>#VALUE!</v>
      </c>
      <c r="AL93" t="e">
        <f>'SurveyRpt_20150223 (1)'!X576+"h_l!%}m"</f>
        <v>#VALUE!</v>
      </c>
      <c r="AM93" t="e">
        <f>'SurveyRpt_20150223 (1)'!Y576+"h_l!%}n"</f>
        <v>#VALUE!</v>
      </c>
      <c r="AN93" t="e">
        <f>'SurveyRpt_20150223 (1)'!Z576+"h_l!%}o"</f>
        <v>#VALUE!</v>
      </c>
      <c r="AO93" t="e">
        <f>'SurveyRpt_20150223 (1)'!AA576+"h_l!%}p"</f>
        <v>#VALUE!</v>
      </c>
      <c r="AP93" t="e">
        <f>'SurveyRpt_20150223 (1)'!AB576+"h_l!%}q"</f>
        <v>#VALUE!</v>
      </c>
      <c r="AQ93" t="e">
        <f>'SurveyRpt_20150223 (1)'!AC576+"h_l!%}r"</f>
        <v>#VALUE!</v>
      </c>
      <c r="AR93" t="e">
        <f>'SurveyRpt_20150223 (1)'!AD576+"h_l!%}s"</f>
        <v>#VALUE!</v>
      </c>
      <c r="AS93" t="e">
        <f>'SurveyRpt_20150223 (1)'!AE576+"h_l!%}t"</f>
        <v>#VALUE!</v>
      </c>
      <c r="AT93" t="e">
        <f>'SurveyRpt_20150223 (1)'!AF576+"h_l!%}u"</f>
        <v>#VALUE!</v>
      </c>
      <c r="AU93" t="e">
        <f>'SurveyRpt_20150223 (1)'!AG576+"h_l!%}v"</f>
        <v>#VALUE!</v>
      </c>
      <c r="AV93" t="e">
        <f>'SurveyRpt_20150223 (1)'!AH576+"h_l!%}w"</f>
        <v>#VALUE!</v>
      </c>
      <c r="AW93" t="e">
        <f>'SurveyRpt_20150223 (1)'!AI576+"h_l!%}x"</f>
        <v>#VALUE!</v>
      </c>
      <c r="AX93" t="e">
        <f>'SurveyRpt_20150223 (1)'!AJ576+"h_l!%}y"</f>
        <v>#VALUE!</v>
      </c>
      <c r="AY93" t="e">
        <f>'SurveyRpt_20150223 (1)'!AK576+"h_l!%}z"</f>
        <v>#VALUE!</v>
      </c>
      <c r="AZ93" t="e">
        <f>'SurveyRpt_20150223 (1)'!AL576+"h_l!%}{"</f>
        <v>#VALUE!</v>
      </c>
      <c r="BA93" t="e">
        <f>'SurveyRpt_20150223 (1)'!AM576+"h_l!%}|"</f>
        <v>#VALUE!</v>
      </c>
      <c r="BB93" t="e">
        <f>'SurveyRpt_20150223 (1)'!AN576+"h_l!%}}"</f>
        <v>#VALUE!</v>
      </c>
      <c r="BC93" t="e">
        <f>'SurveyRpt_20150223 (1)'!A577+"h_l!%}~"</f>
        <v>#VALUE!</v>
      </c>
      <c r="BD93" s="25" t="e">
        <f>'SurveyRpt_20150223 (1)'!B577+"h_l!%~#"</f>
        <v>#VALUE!</v>
      </c>
      <c r="BE93" t="e">
        <f>'SurveyRpt_20150223 (1)'!C577+"h_l!%~$"</f>
        <v>#VALUE!</v>
      </c>
      <c r="BF93" s="25" t="e">
        <f>'SurveyRpt_20150223 (1)'!D577+"h_l!%~%"</f>
        <v>#VALUE!</v>
      </c>
      <c r="BG93" t="e">
        <f>'SurveyRpt_20150223 (1)'!E577+"h_l!%~&amp;"</f>
        <v>#VALUE!</v>
      </c>
      <c r="BH93" t="e">
        <f>'SurveyRpt_20150223 (1)'!F577+"h_l!%~'"</f>
        <v>#VALUE!</v>
      </c>
      <c r="BI93" t="e">
        <f>'SurveyRpt_20150223 (1)'!G577+"h_l!%~("</f>
        <v>#VALUE!</v>
      </c>
      <c r="BJ93" t="e">
        <f>'SurveyRpt_20150223 (1)'!H577+"h_l!%~)"</f>
        <v>#VALUE!</v>
      </c>
      <c r="BK93" t="e">
        <f>'SurveyRpt_20150223 (1)'!I577+"h_l!%~."</f>
        <v>#VALUE!</v>
      </c>
      <c r="BL93" t="e">
        <f>'SurveyRpt_20150223 (1)'!J577+"h_l!%~/"</f>
        <v>#VALUE!</v>
      </c>
      <c r="BM93" t="e">
        <f>'SurveyRpt_20150223 (1)'!K577+"h_l!%~0"</f>
        <v>#VALUE!</v>
      </c>
      <c r="BN93" t="e">
        <f>'SurveyRpt_20150223 (1)'!L577+"h_l!%~1"</f>
        <v>#VALUE!</v>
      </c>
      <c r="BO93" t="e">
        <f>'SurveyRpt_20150223 (1)'!M577+"h_l!%~2"</f>
        <v>#VALUE!</v>
      </c>
      <c r="BP93" t="e">
        <f>'SurveyRpt_20150223 (1)'!N577+"h_l!%~3"</f>
        <v>#VALUE!</v>
      </c>
      <c r="BQ93" t="e">
        <f>'SurveyRpt_20150223 (1)'!O577+"h_l!%~4"</f>
        <v>#VALUE!</v>
      </c>
      <c r="BR93" t="e">
        <f>'SurveyRpt_20150223 (1)'!P577+"h_l!%~5"</f>
        <v>#VALUE!</v>
      </c>
      <c r="BS93" t="e">
        <f>'SurveyRpt_20150223 (1)'!Q577+"h_l!%~6"</f>
        <v>#VALUE!</v>
      </c>
      <c r="BT93" t="e">
        <f>'SurveyRpt_20150223 (1)'!R577+"h_l!%~7"</f>
        <v>#VALUE!</v>
      </c>
      <c r="BU93" t="e">
        <f>'SurveyRpt_20150223 (1)'!S577+"h_l!%~8"</f>
        <v>#VALUE!</v>
      </c>
      <c r="BV93" t="e">
        <f>'SurveyRpt_20150223 (1)'!T577+"h_l!%~9"</f>
        <v>#VALUE!</v>
      </c>
      <c r="BW93" t="e">
        <f>'SurveyRpt_20150223 (1)'!U577+"h_l!%~:"</f>
        <v>#VALUE!</v>
      </c>
      <c r="BX93" t="e">
        <f>'SurveyRpt_20150223 (1)'!V577+"h_l!%~;"</f>
        <v>#VALUE!</v>
      </c>
      <c r="BY93" t="e">
        <f>'SurveyRpt_20150223 (1)'!W577+"h_l!%~&lt;"</f>
        <v>#VALUE!</v>
      </c>
      <c r="BZ93" t="e">
        <f>'SurveyRpt_20150223 (1)'!X577+"h_l!%~="</f>
        <v>#VALUE!</v>
      </c>
      <c r="CA93" t="e">
        <f>'SurveyRpt_20150223 (1)'!Y577+"h_l!%~&gt;"</f>
        <v>#VALUE!</v>
      </c>
      <c r="CB93" t="e">
        <f>'SurveyRpt_20150223 (1)'!Z577+"h_l!%~?"</f>
        <v>#VALUE!</v>
      </c>
      <c r="CC93" t="e">
        <f>'SurveyRpt_20150223 (1)'!AA577+"h_l!%~@"</f>
        <v>#VALUE!</v>
      </c>
      <c r="CD93" t="e">
        <f>'SurveyRpt_20150223 (1)'!AB577+"h_l!%~A"</f>
        <v>#VALUE!</v>
      </c>
      <c r="CE93" t="e">
        <f>'SurveyRpt_20150223 (1)'!AC577+"h_l!%~B"</f>
        <v>#VALUE!</v>
      </c>
      <c r="CF93" t="e">
        <f>'SurveyRpt_20150223 (1)'!AD577+"h_l!%~C"</f>
        <v>#VALUE!</v>
      </c>
      <c r="CG93" t="e">
        <f>'SurveyRpt_20150223 (1)'!AE577+"h_l!%~D"</f>
        <v>#VALUE!</v>
      </c>
      <c r="CH93" t="e">
        <f>'SurveyRpt_20150223 (1)'!AF577+"h_l!%~E"</f>
        <v>#VALUE!</v>
      </c>
      <c r="CI93" t="e">
        <f>'SurveyRpt_20150223 (1)'!AG577+"h_l!%~F"</f>
        <v>#VALUE!</v>
      </c>
      <c r="CJ93" t="e">
        <f>'SurveyRpt_20150223 (1)'!AH577+"h_l!%~G"</f>
        <v>#VALUE!</v>
      </c>
      <c r="CK93" t="e">
        <f>'SurveyRpt_20150223 (1)'!AI577+"h_l!%~H"</f>
        <v>#VALUE!</v>
      </c>
      <c r="CL93" t="e">
        <f>'SurveyRpt_20150223 (1)'!AJ577+"h_l!%~I"</f>
        <v>#VALUE!</v>
      </c>
      <c r="CM93" t="e">
        <f>'SurveyRpt_20150223 (1)'!AK577+"h_l!%~J"</f>
        <v>#VALUE!</v>
      </c>
      <c r="CN93" t="e">
        <f>'SurveyRpt_20150223 (1)'!AL577+"h_l!%~K"</f>
        <v>#VALUE!</v>
      </c>
      <c r="CO93" t="e">
        <f>'SurveyRpt_20150223 (1)'!AM577+"h_l!%~L"</f>
        <v>#VALUE!</v>
      </c>
      <c r="CP93" t="e">
        <f>'SurveyRpt_20150223 (1)'!AN577+"h_l!%~M"</f>
        <v>#VALUE!</v>
      </c>
      <c r="CQ93" t="e">
        <f>'SurveyRpt_20150223 (1)'!A578+"h_l!%~N"</f>
        <v>#VALUE!</v>
      </c>
      <c r="CR93" s="25" t="e">
        <f>'SurveyRpt_20150223 (1)'!B578+"h_l!%~O"</f>
        <v>#VALUE!</v>
      </c>
      <c r="CS93" t="e">
        <f>'SurveyRpt_20150223 (1)'!C578+"h_l!%~P"</f>
        <v>#VALUE!</v>
      </c>
      <c r="CT93" s="25" t="e">
        <f>'SurveyRpt_20150223 (1)'!D578+"h_l!%~Q"</f>
        <v>#VALUE!</v>
      </c>
      <c r="CU93" t="e">
        <f>'SurveyRpt_20150223 (1)'!E578+"h_l!%~R"</f>
        <v>#VALUE!</v>
      </c>
      <c r="CV93" t="e">
        <f>'SurveyRpt_20150223 (1)'!F578+"h_l!%~S"</f>
        <v>#VALUE!</v>
      </c>
      <c r="CW93" t="e">
        <f>'SurveyRpt_20150223 (1)'!G578+"h_l!%~T"</f>
        <v>#VALUE!</v>
      </c>
      <c r="CX93" t="e">
        <f>'SurveyRpt_20150223 (1)'!H578+"h_l!%~U"</f>
        <v>#VALUE!</v>
      </c>
      <c r="CY93" t="e">
        <f>'SurveyRpt_20150223 (1)'!I578+"h_l!%~V"</f>
        <v>#VALUE!</v>
      </c>
      <c r="CZ93" t="e">
        <f>'SurveyRpt_20150223 (1)'!J578+"h_l!%~W"</f>
        <v>#VALUE!</v>
      </c>
      <c r="DA93" t="e">
        <f>'SurveyRpt_20150223 (1)'!K578+"h_l!%~X"</f>
        <v>#VALUE!</v>
      </c>
      <c r="DB93" t="e">
        <f>'SurveyRpt_20150223 (1)'!L578+"h_l!%~Y"</f>
        <v>#VALUE!</v>
      </c>
      <c r="DC93" t="e">
        <f>'SurveyRpt_20150223 (1)'!M578+"h_l!%~Z"</f>
        <v>#VALUE!</v>
      </c>
      <c r="DD93" t="e">
        <f>'SurveyRpt_20150223 (1)'!N578+"h_l!%~["</f>
        <v>#VALUE!</v>
      </c>
      <c r="DE93" t="e">
        <f>'SurveyRpt_20150223 (1)'!O578+"h_l!%~\"</f>
        <v>#VALUE!</v>
      </c>
      <c r="DF93" t="e">
        <f>'SurveyRpt_20150223 (1)'!P578+"h_l!%~]"</f>
        <v>#VALUE!</v>
      </c>
      <c r="DG93" t="e">
        <f>'SurveyRpt_20150223 (1)'!Q578+"h_l!%~^"</f>
        <v>#VALUE!</v>
      </c>
      <c r="DH93" t="e">
        <f>'SurveyRpt_20150223 (1)'!R578+"h_l!%~_"</f>
        <v>#VALUE!</v>
      </c>
      <c r="DI93" t="e">
        <f>'SurveyRpt_20150223 (1)'!S578+"h_l!%~`"</f>
        <v>#VALUE!</v>
      </c>
      <c r="DJ93" t="e">
        <f>'SurveyRpt_20150223 (1)'!T578+"h_l!%~a"</f>
        <v>#VALUE!</v>
      </c>
      <c r="DK93" t="e">
        <f>'SurveyRpt_20150223 (1)'!U578+"h_l!%~b"</f>
        <v>#VALUE!</v>
      </c>
      <c r="DL93" t="e">
        <f>'SurveyRpt_20150223 (1)'!V578+"h_l!%~c"</f>
        <v>#VALUE!</v>
      </c>
      <c r="DM93" t="e">
        <f>'SurveyRpt_20150223 (1)'!W578+"h_l!%~d"</f>
        <v>#VALUE!</v>
      </c>
      <c r="DN93" t="e">
        <f>'SurveyRpt_20150223 (1)'!X578+"h_l!%~e"</f>
        <v>#VALUE!</v>
      </c>
      <c r="DO93" t="e">
        <f>'SurveyRpt_20150223 (1)'!Y578+"h_l!%~f"</f>
        <v>#VALUE!</v>
      </c>
      <c r="DP93" t="e">
        <f>'SurveyRpt_20150223 (1)'!Z578+"h_l!%~g"</f>
        <v>#VALUE!</v>
      </c>
      <c r="DQ93" t="e">
        <f>'SurveyRpt_20150223 (1)'!AA578+"h_l!%~h"</f>
        <v>#VALUE!</v>
      </c>
      <c r="DR93" t="e">
        <f>'SurveyRpt_20150223 (1)'!AB578+"h_l!%~i"</f>
        <v>#VALUE!</v>
      </c>
      <c r="DS93" t="e">
        <f>'SurveyRpt_20150223 (1)'!AC578+"h_l!%~j"</f>
        <v>#VALUE!</v>
      </c>
      <c r="DT93" t="e">
        <f>'SurveyRpt_20150223 (1)'!AD578+"h_l!%~k"</f>
        <v>#VALUE!</v>
      </c>
      <c r="DU93" t="e">
        <f>'SurveyRpt_20150223 (1)'!AE578+"h_l!%~l"</f>
        <v>#VALUE!</v>
      </c>
      <c r="DV93" t="e">
        <f>'SurveyRpt_20150223 (1)'!AF578+"h_l!%~m"</f>
        <v>#VALUE!</v>
      </c>
      <c r="DW93" t="e">
        <f>'SurveyRpt_20150223 (1)'!AG578+"h_l!%~n"</f>
        <v>#VALUE!</v>
      </c>
      <c r="DX93" t="e">
        <f>'SurveyRpt_20150223 (1)'!AH578+"h_l!%~o"</f>
        <v>#VALUE!</v>
      </c>
      <c r="DY93" t="e">
        <f>'SurveyRpt_20150223 (1)'!AI578+"h_l!%~p"</f>
        <v>#VALUE!</v>
      </c>
      <c r="DZ93" t="e">
        <f>'SurveyRpt_20150223 (1)'!AJ578+"h_l!%~q"</f>
        <v>#VALUE!</v>
      </c>
      <c r="EA93" t="e">
        <f>'SurveyRpt_20150223 (1)'!AK578+"h_l!%~r"</f>
        <v>#VALUE!</v>
      </c>
      <c r="EB93" t="e">
        <f>'SurveyRpt_20150223 (1)'!AL578+"h_l!%~s"</f>
        <v>#VALUE!</v>
      </c>
      <c r="EC93" t="e">
        <f>'SurveyRpt_20150223 (1)'!AM578+"h_l!%~t"</f>
        <v>#VALUE!</v>
      </c>
      <c r="ED93" t="e">
        <f>'SurveyRpt_20150223 (1)'!AN578+"h_l!%~u"</f>
        <v>#VALUE!</v>
      </c>
      <c r="EE93" t="e">
        <f>'SurveyRpt_20150223 (1)'!A579+"h_l!%~v"</f>
        <v>#VALUE!</v>
      </c>
      <c r="EF93" s="25" t="e">
        <f>'SurveyRpt_20150223 (1)'!B579+"h_l!%~w"</f>
        <v>#VALUE!</v>
      </c>
      <c r="EG93" t="e">
        <f>'SurveyRpt_20150223 (1)'!C579+"h_l!%~x"</f>
        <v>#VALUE!</v>
      </c>
      <c r="EH93" s="25" t="e">
        <f>'SurveyRpt_20150223 (1)'!D579+"h_l!%~y"</f>
        <v>#VALUE!</v>
      </c>
      <c r="EI93" t="e">
        <f>'SurveyRpt_20150223 (1)'!E579+"h_l!%~z"</f>
        <v>#VALUE!</v>
      </c>
      <c r="EJ93" t="e">
        <f>'SurveyRpt_20150223 (1)'!F579+"h_l!%~{"</f>
        <v>#VALUE!</v>
      </c>
      <c r="EK93" t="e">
        <f>'SurveyRpt_20150223 (1)'!G579+"h_l!%~|"</f>
        <v>#VALUE!</v>
      </c>
      <c r="EL93" t="e">
        <f>'SurveyRpt_20150223 (1)'!H579+"h_l!%~}"</f>
        <v>#VALUE!</v>
      </c>
      <c r="EM93" t="e">
        <f>'SurveyRpt_20150223 (1)'!I579+"h_l!%~~"</f>
        <v>#VALUE!</v>
      </c>
      <c r="EN93" t="e">
        <f>'SurveyRpt_20150223 (1)'!J579+"h_l!&amp;##"</f>
        <v>#VALUE!</v>
      </c>
      <c r="EO93" t="e">
        <f>'SurveyRpt_20150223 (1)'!K579+"h_l!&amp;#$"</f>
        <v>#VALUE!</v>
      </c>
      <c r="EP93" t="e">
        <f>'SurveyRpt_20150223 (1)'!L579+"h_l!&amp;#%"</f>
        <v>#VALUE!</v>
      </c>
      <c r="EQ93" t="e">
        <f>'SurveyRpt_20150223 (1)'!M579+"h_l!&amp;#&amp;"</f>
        <v>#VALUE!</v>
      </c>
      <c r="ER93" t="e">
        <f>'SurveyRpt_20150223 (1)'!N579+"h_l!&amp;#'"</f>
        <v>#VALUE!</v>
      </c>
      <c r="ES93" t="e">
        <f>'SurveyRpt_20150223 (1)'!O579+"h_l!&amp;#("</f>
        <v>#VALUE!</v>
      </c>
      <c r="ET93" t="e">
        <f>'SurveyRpt_20150223 (1)'!P579+"h_l!&amp;#)"</f>
        <v>#VALUE!</v>
      </c>
      <c r="EU93" t="e">
        <f>'SurveyRpt_20150223 (1)'!Q579+"h_l!&amp;#."</f>
        <v>#VALUE!</v>
      </c>
      <c r="EV93" t="e">
        <f>'SurveyRpt_20150223 (1)'!R579+"h_l!&amp;#/"</f>
        <v>#VALUE!</v>
      </c>
      <c r="EW93" t="e">
        <f>'SurveyRpt_20150223 (1)'!S579+"h_l!&amp;#0"</f>
        <v>#VALUE!</v>
      </c>
      <c r="EX93" t="e">
        <f>'SurveyRpt_20150223 (1)'!T579+"h_l!&amp;#1"</f>
        <v>#VALUE!</v>
      </c>
      <c r="EY93" t="e">
        <f>'SurveyRpt_20150223 (1)'!U579+"h_l!&amp;#2"</f>
        <v>#VALUE!</v>
      </c>
      <c r="EZ93" t="e">
        <f>'SurveyRpt_20150223 (1)'!V579+"h_l!&amp;#3"</f>
        <v>#VALUE!</v>
      </c>
      <c r="FA93" t="e">
        <f>'SurveyRpt_20150223 (1)'!W579+"h_l!&amp;#4"</f>
        <v>#VALUE!</v>
      </c>
      <c r="FB93" t="e">
        <f>'SurveyRpt_20150223 (1)'!X579+"h_l!&amp;#5"</f>
        <v>#VALUE!</v>
      </c>
      <c r="FC93" t="e">
        <f>'SurveyRpt_20150223 (1)'!Y579+"h_l!&amp;#6"</f>
        <v>#VALUE!</v>
      </c>
      <c r="FD93" t="e">
        <f>'SurveyRpt_20150223 (1)'!Z579+"h_l!&amp;#7"</f>
        <v>#VALUE!</v>
      </c>
      <c r="FE93" t="e">
        <f>'SurveyRpt_20150223 (1)'!AA579+"h_l!&amp;#8"</f>
        <v>#VALUE!</v>
      </c>
      <c r="FF93" t="e">
        <f>'SurveyRpt_20150223 (1)'!AB579+"h_l!&amp;#9"</f>
        <v>#VALUE!</v>
      </c>
      <c r="FG93" t="e">
        <f>'SurveyRpt_20150223 (1)'!AC579+"h_l!&amp;#:"</f>
        <v>#VALUE!</v>
      </c>
      <c r="FH93" t="e">
        <f>'SurveyRpt_20150223 (1)'!AD579+"h_l!&amp;#;"</f>
        <v>#VALUE!</v>
      </c>
      <c r="FI93" t="e">
        <f>'SurveyRpt_20150223 (1)'!AE579+"h_l!&amp;#&lt;"</f>
        <v>#VALUE!</v>
      </c>
      <c r="FJ93" t="e">
        <f>'SurveyRpt_20150223 (1)'!AF579+"h_l!&amp;#="</f>
        <v>#VALUE!</v>
      </c>
      <c r="FK93" t="e">
        <f>'SurveyRpt_20150223 (1)'!AG579+"h_l!&amp;#&gt;"</f>
        <v>#VALUE!</v>
      </c>
      <c r="FL93" t="e">
        <f>'SurveyRpt_20150223 (1)'!AH579+"h_l!&amp;#?"</f>
        <v>#VALUE!</v>
      </c>
      <c r="FM93" t="e">
        <f>'SurveyRpt_20150223 (1)'!AI579+"h_l!&amp;#@"</f>
        <v>#VALUE!</v>
      </c>
      <c r="FN93" t="e">
        <f>'SurveyRpt_20150223 (1)'!AJ579+"h_l!&amp;#A"</f>
        <v>#VALUE!</v>
      </c>
      <c r="FO93" t="e">
        <f>'SurveyRpt_20150223 (1)'!AK579+"h_l!&amp;#B"</f>
        <v>#VALUE!</v>
      </c>
      <c r="FP93" t="e">
        <f>'SurveyRpt_20150223 (1)'!AL579+"h_l!&amp;#C"</f>
        <v>#VALUE!</v>
      </c>
      <c r="FQ93" t="e">
        <f>'SurveyRpt_20150223 (1)'!AM579+"h_l!&amp;#D"</f>
        <v>#VALUE!</v>
      </c>
      <c r="FR93" t="e">
        <f>'SurveyRpt_20150223 (1)'!AN579+"h_l!&amp;#E"</f>
        <v>#VALUE!</v>
      </c>
      <c r="FS93" t="e">
        <f>'SurveyRpt_20150223 (1)'!A580+"h_l!&amp;#F"</f>
        <v>#VALUE!</v>
      </c>
      <c r="FT93" s="25" t="e">
        <f>'SurveyRpt_20150223 (1)'!B580+"h_l!&amp;#G"</f>
        <v>#VALUE!</v>
      </c>
      <c r="FU93" t="e">
        <f>'SurveyRpt_20150223 (1)'!C580+"h_l!&amp;#H"</f>
        <v>#VALUE!</v>
      </c>
      <c r="FV93" s="25" t="e">
        <f>'SurveyRpt_20150223 (1)'!D580+"h_l!&amp;#I"</f>
        <v>#VALUE!</v>
      </c>
      <c r="FW93" t="e">
        <f>'SurveyRpt_20150223 (1)'!E580+"h_l!&amp;#J"</f>
        <v>#VALUE!</v>
      </c>
      <c r="FX93" t="e">
        <f>'SurveyRpt_20150223 (1)'!F580+"h_l!&amp;#K"</f>
        <v>#VALUE!</v>
      </c>
      <c r="FY93" t="e">
        <f>'SurveyRpt_20150223 (1)'!G580+"h_l!&amp;#L"</f>
        <v>#VALUE!</v>
      </c>
      <c r="FZ93" t="e">
        <f>'SurveyRpt_20150223 (1)'!H580+"h_l!&amp;#M"</f>
        <v>#VALUE!</v>
      </c>
      <c r="GA93" t="e">
        <f>'SurveyRpt_20150223 (1)'!I580+"h_l!&amp;#N"</f>
        <v>#VALUE!</v>
      </c>
      <c r="GB93" t="e">
        <f>'SurveyRpt_20150223 (1)'!J580+"h_l!&amp;#O"</f>
        <v>#VALUE!</v>
      </c>
      <c r="GC93" t="e">
        <f>'SurveyRpt_20150223 (1)'!K580+"h_l!&amp;#P"</f>
        <v>#VALUE!</v>
      </c>
      <c r="GD93" t="e">
        <f>'SurveyRpt_20150223 (1)'!L580+"h_l!&amp;#Q"</f>
        <v>#VALUE!</v>
      </c>
      <c r="GE93" t="e">
        <f>'SurveyRpt_20150223 (1)'!M580+"h_l!&amp;#R"</f>
        <v>#VALUE!</v>
      </c>
      <c r="GF93" t="e">
        <f>'SurveyRpt_20150223 (1)'!N580+"h_l!&amp;#S"</f>
        <v>#VALUE!</v>
      </c>
      <c r="GG93" t="e">
        <f>'SurveyRpt_20150223 (1)'!O580+"h_l!&amp;#T"</f>
        <v>#VALUE!</v>
      </c>
      <c r="GH93" t="e">
        <f>'SurveyRpt_20150223 (1)'!P580+"h_l!&amp;#U"</f>
        <v>#VALUE!</v>
      </c>
      <c r="GI93" t="e">
        <f>'SurveyRpt_20150223 (1)'!Q580+"h_l!&amp;#V"</f>
        <v>#VALUE!</v>
      </c>
      <c r="GJ93" t="e">
        <f>'SurveyRpt_20150223 (1)'!R580+"h_l!&amp;#W"</f>
        <v>#VALUE!</v>
      </c>
      <c r="GK93" t="e">
        <f>'SurveyRpt_20150223 (1)'!S580+"h_l!&amp;#X"</f>
        <v>#VALUE!</v>
      </c>
      <c r="GL93" t="e">
        <f>'SurveyRpt_20150223 (1)'!T580+"h_l!&amp;#Y"</f>
        <v>#VALUE!</v>
      </c>
      <c r="GM93" t="e">
        <f>'SurveyRpt_20150223 (1)'!U580+"h_l!&amp;#Z"</f>
        <v>#VALUE!</v>
      </c>
      <c r="GN93" t="e">
        <f>'SurveyRpt_20150223 (1)'!V580+"h_l!&amp;#["</f>
        <v>#VALUE!</v>
      </c>
      <c r="GO93" t="e">
        <f>'SurveyRpt_20150223 (1)'!W580+"h_l!&amp;#\"</f>
        <v>#VALUE!</v>
      </c>
      <c r="GP93" t="e">
        <f>'SurveyRpt_20150223 (1)'!X580+"h_l!&amp;#]"</f>
        <v>#VALUE!</v>
      </c>
      <c r="GQ93" t="e">
        <f>'SurveyRpt_20150223 (1)'!Y580+"h_l!&amp;#^"</f>
        <v>#VALUE!</v>
      </c>
      <c r="GR93" t="e">
        <f>'SurveyRpt_20150223 (1)'!Z580+"h_l!&amp;#_"</f>
        <v>#VALUE!</v>
      </c>
      <c r="GS93" t="e">
        <f>'SurveyRpt_20150223 (1)'!AA580+"h_l!&amp;#`"</f>
        <v>#VALUE!</v>
      </c>
      <c r="GT93" t="e">
        <f>'SurveyRpt_20150223 (1)'!AB580+"h_l!&amp;#a"</f>
        <v>#VALUE!</v>
      </c>
      <c r="GU93" t="e">
        <f>'SurveyRpt_20150223 (1)'!AC580+"h_l!&amp;#b"</f>
        <v>#VALUE!</v>
      </c>
      <c r="GV93" t="e">
        <f>'SurveyRpt_20150223 (1)'!AD580+"h_l!&amp;#c"</f>
        <v>#VALUE!</v>
      </c>
      <c r="GW93" t="e">
        <f>'SurveyRpt_20150223 (1)'!AE580+"h_l!&amp;#d"</f>
        <v>#VALUE!</v>
      </c>
      <c r="GX93" t="e">
        <f>'SurveyRpt_20150223 (1)'!AF580+"h_l!&amp;#e"</f>
        <v>#VALUE!</v>
      </c>
      <c r="GY93" t="e">
        <f>'SurveyRpt_20150223 (1)'!AG580+"h_l!&amp;#f"</f>
        <v>#VALUE!</v>
      </c>
      <c r="GZ93" t="e">
        <f>'SurveyRpt_20150223 (1)'!AH580+"h_l!&amp;#g"</f>
        <v>#VALUE!</v>
      </c>
      <c r="HA93" t="e">
        <f>'SurveyRpt_20150223 (1)'!AI580+"h_l!&amp;#h"</f>
        <v>#VALUE!</v>
      </c>
      <c r="HB93" t="e">
        <f>'SurveyRpt_20150223 (1)'!AJ580+"h_l!&amp;#i"</f>
        <v>#VALUE!</v>
      </c>
      <c r="HC93" t="e">
        <f>'SurveyRpt_20150223 (1)'!AK580+"h_l!&amp;#j"</f>
        <v>#VALUE!</v>
      </c>
      <c r="HD93" t="e">
        <f>'SurveyRpt_20150223 (1)'!AL580+"h_l!&amp;#k"</f>
        <v>#VALUE!</v>
      </c>
      <c r="HE93" t="e">
        <f>'SurveyRpt_20150223 (1)'!AM580+"h_l!&amp;#l"</f>
        <v>#VALUE!</v>
      </c>
      <c r="HF93" t="e">
        <f>'SurveyRpt_20150223 (1)'!AN580+"h_l!&amp;#m"</f>
        <v>#VALUE!</v>
      </c>
      <c r="HG93" t="e">
        <f>'SurveyRpt_20150223 (1)'!A581+"h_l!&amp;#n"</f>
        <v>#VALUE!</v>
      </c>
      <c r="HH93" s="25" t="e">
        <f>'SurveyRpt_20150223 (1)'!B581+"h_l!&amp;#o"</f>
        <v>#VALUE!</v>
      </c>
      <c r="HI93" t="e">
        <f>'SurveyRpt_20150223 (1)'!C581+"h_l!&amp;#p"</f>
        <v>#VALUE!</v>
      </c>
      <c r="HJ93" s="25" t="e">
        <f>'SurveyRpt_20150223 (1)'!D581+"h_l!&amp;#q"</f>
        <v>#VALUE!</v>
      </c>
      <c r="HK93" t="e">
        <f>'SurveyRpt_20150223 (1)'!E581+"h_l!&amp;#r"</f>
        <v>#VALUE!</v>
      </c>
      <c r="HL93" t="e">
        <f>'SurveyRpt_20150223 (1)'!F581+"h_l!&amp;#s"</f>
        <v>#VALUE!</v>
      </c>
      <c r="HM93" t="e">
        <f>'SurveyRpt_20150223 (1)'!G581+"h_l!&amp;#t"</f>
        <v>#VALUE!</v>
      </c>
      <c r="HN93" t="e">
        <f>'SurveyRpt_20150223 (1)'!H581+"h_l!&amp;#u"</f>
        <v>#VALUE!</v>
      </c>
      <c r="HO93" t="e">
        <f>'SurveyRpt_20150223 (1)'!I581+"h_l!&amp;#v"</f>
        <v>#VALUE!</v>
      </c>
      <c r="HP93" t="e">
        <f>'SurveyRpt_20150223 (1)'!J581+"h_l!&amp;#w"</f>
        <v>#VALUE!</v>
      </c>
      <c r="HQ93" t="e">
        <f>'SurveyRpt_20150223 (1)'!K581+"h_l!&amp;#x"</f>
        <v>#VALUE!</v>
      </c>
      <c r="HR93" t="e">
        <f>'SurveyRpt_20150223 (1)'!L581+"h_l!&amp;#y"</f>
        <v>#VALUE!</v>
      </c>
      <c r="HS93" t="e">
        <f>'SurveyRpt_20150223 (1)'!M581+"h_l!&amp;#z"</f>
        <v>#VALUE!</v>
      </c>
      <c r="HT93" t="e">
        <f>'SurveyRpt_20150223 (1)'!N581+"h_l!&amp;#{"</f>
        <v>#VALUE!</v>
      </c>
      <c r="HU93" t="e">
        <f>'SurveyRpt_20150223 (1)'!O581+"h_l!&amp;#|"</f>
        <v>#VALUE!</v>
      </c>
      <c r="HV93" t="e">
        <f>'SurveyRpt_20150223 (1)'!P581+"h_l!&amp;#}"</f>
        <v>#VALUE!</v>
      </c>
      <c r="HW93" t="e">
        <f>'SurveyRpt_20150223 (1)'!Q581+"h_l!&amp;#~"</f>
        <v>#VALUE!</v>
      </c>
      <c r="HX93" t="e">
        <f>'SurveyRpt_20150223 (1)'!R581+"h_l!&amp;$#"</f>
        <v>#VALUE!</v>
      </c>
      <c r="HY93" t="e">
        <f>'SurveyRpt_20150223 (1)'!S581+"h_l!&amp;$$"</f>
        <v>#VALUE!</v>
      </c>
      <c r="HZ93" t="e">
        <f>'SurveyRpt_20150223 (1)'!T581+"h_l!&amp;$%"</f>
        <v>#VALUE!</v>
      </c>
      <c r="IA93" t="e">
        <f>'SurveyRpt_20150223 (1)'!U581+"h_l!&amp;$&amp;"</f>
        <v>#VALUE!</v>
      </c>
      <c r="IB93" t="e">
        <f>'SurveyRpt_20150223 (1)'!V581+"h_l!&amp;$'"</f>
        <v>#VALUE!</v>
      </c>
      <c r="IC93" t="e">
        <f>'SurveyRpt_20150223 (1)'!W581+"h_l!&amp;$("</f>
        <v>#VALUE!</v>
      </c>
      <c r="ID93" t="e">
        <f>'SurveyRpt_20150223 (1)'!X581+"h_l!&amp;$)"</f>
        <v>#VALUE!</v>
      </c>
      <c r="IE93" t="e">
        <f>'SurveyRpt_20150223 (1)'!Y581+"h_l!&amp;$."</f>
        <v>#VALUE!</v>
      </c>
      <c r="IF93" t="e">
        <f>'SurveyRpt_20150223 (1)'!Z581+"h_l!&amp;$/"</f>
        <v>#VALUE!</v>
      </c>
      <c r="IG93" t="e">
        <f>'SurveyRpt_20150223 (1)'!AA581+"h_l!&amp;$0"</f>
        <v>#VALUE!</v>
      </c>
      <c r="IH93" t="e">
        <f>'SurveyRpt_20150223 (1)'!AB581+"h_l!&amp;$1"</f>
        <v>#VALUE!</v>
      </c>
      <c r="II93" t="e">
        <f>'SurveyRpt_20150223 (1)'!AC581+"h_l!&amp;$2"</f>
        <v>#VALUE!</v>
      </c>
      <c r="IJ93" t="e">
        <f>'SurveyRpt_20150223 (1)'!AD581+"h_l!&amp;$3"</f>
        <v>#VALUE!</v>
      </c>
      <c r="IK93" t="e">
        <f>'SurveyRpt_20150223 (1)'!AE581+"h_l!&amp;$4"</f>
        <v>#VALUE!</v>
      </c>
      <c r="IL93" t="e">
        <f>'SurveyRpt_20150223 (1)'!AF581+"h_l!&amp;$5"</f>
        <v>#VALUE!</v>
      </c>
      <c r="IM93" t="e">
        <f>'SurveyRpt_20150223 (1)'!AG581+"h_l!&amp;$6"</f>
        <v>#VALUE!</v>
      </c>
      <c r="IN93" t="e">
        <f>'SurveyRpt_20150223 (1)'!AH581+"h_l!&amp;$7"</f>
        <v>#VALUE!</v>
      </c>
      <c r="IO93" t="e">
        <f>'SurveyRpt_20150223 (1)'!AI581+"h_l!&amp;$8"</f>
        <v>#VALUE!</v>
      </c>
      <c r="IP93" t="e">
        <f>'SurveyRpt_20150223 (1)'!AJ581+"h_l!&amp;$9"</f>
        <v>#VALUE!</v>
      </c>
      <c r="IQ93" t="e">
        <f>'SurveyRpt_20150223 (1)'!AK581+"h_l!&amp;$:"</f>
        <v>#VALUE!</v>
      </c>
      <c r="IR93" t="e">
        <f>'SurveyRpt_20150223 (1)'!AL581+"h_l!&amp;$;"</f>
        <v>#VALUE!</v>
      </c>
      <c r="IS93" t="e">
        <f>'SurveyRpt_20150223 (1)'!AM581+"h_l!&amp;$&lt;"</f>
        <v>#VALUE!</v>
      </c>
      <c r="IT93" t="e">
        <f>'SurveyRpt_20150223 (1)'!AN581+"h_l!&amp;$="</f>
        <v>#VALUE!</v>
      </c>
      <c r="IU93" t="e">
        <f>'SurveyRpt_20150223 (1)'!A582+"h_l!&amp;$&gt;"</f>
        <v>#VALUE!</v>
      </c>
      <c r="IV93" s="25" t="e">
        <f>'SurveyRpt_20150223 (1)'!B582+"h_l!&amp;$?"</f>
        <v>#VALUE!</v>
      </c>
    </row>
    <row r="94" spans="6:256" x14ac:dyDescent="0.25">
      <c r="F94" t="e">
        <f>'SurveyRpt_20150223 (1)'!C582+"h_l!&amp;$@"</f>
        <v>#VALUE!</v>
      </c>
      <c r="G94" s="25" t="e">
        <f>'SurveyRpt_20150223 (1)'!D582+"h_l!&amp;$A"</f>
        <v>#VALUE!</v>
      </c>
      <c r="H94" t="e">
        <f>'SurveyRpt_20150223 (1)'!E582+"h_l!&amp;$B"</f>
        <v>#VALUE!</v>
      </c>
      <c r="I94" t="e">
        <f>'SurveyRpt_20150223 (1)'!F582+"h_l!&amp;$C"</f>
        <v>#VALUE!</v>
      </c>
      <c r="J94" t="e">
        <f>'SurveyRpt_20150223 (1)'!G582+"h_l!&amp;$D"</f>
        <v>#VALUE!</v>
      </c>
      <c r="K94" t="e">
        <f>'SurveyRpt_20150223 (1)'!H582+"h_l!&amp;$E"</f>
        <v>#VALUE!</v>
      </c>
      <c r="L94" t="e">
        <f>'SurveyRpt_20150223 (1)'!I582+"h_l!&amp;$F"</f>
        <v>#VALUE!</v>
      </c>
      <c r="M94" t="e">
        <f>'SurveyRpt_20150223 (1)'!J582+"h_l!&amp;$G"</f>
        <v>#VALUE!</v>
      </c>
      <c r="N94" t="e">
        <f>'SurveyRpt_20150223 (1)'!K582+"h_l!&amp;$H"</f>
        <v>#VALUE!</v>
      </c>
      <c r="O94" t="e">
        <f>'SurveyRpt_20150223 (1)'!L582+"h_l!&amp;$I"</f>
        <v>#VALUE!</v>
      </c>
      <c r="P94" t="e">
        <f>'SurveyRpt_20150223 (1)'!M582+"h_l!&amp;$J"</f>
        <v>#VALUE!</v>
      </c>
      <c r="Q94" t="e">
        <f>'SurveyRpt_20150223 (1)'!N582+"h_l!&amp;$K"</f>
        <v>#VALUE!</v>
      </c>
      <c r="R94" t="e">
        <f>'SurveyRpt_20150223 (1)'!O582+"h_l!&amp;$L"</f>
        <v>#VALUE!</v>
      </c>
      <c r="S94" t="e">
        <f>'SurveyRpt_20150223 (1)'!P582+"h_l!&amp;$M"</f>
        <v>#VALUE!</v>
      </c>
      <c r="T94" t="e">
        <f>'SurveyRpt_20150223 (1)'!Q582+"h_l!&amp;$N"</f>
        <v>#VALUE!</v>
      </c>
      <c r="U94" t="e">
        <f>'SurveyRpt_20150223 (1)'!R582+"h_l!&amp;$O"</f>
        <v>#VALUE!</v>
      </c>
      <c r="V94" t="e">
        <f>'SurveyRpt_20150223 (1)'!S582+"h_l!&amp;$P"</f>
        <v>#VALUE!</v>
      </c>
      <c r="W94" t="e">
        <f>'SurveyRpt_20150223 (1)'!T582+"h_l!&amp;$Q"</f>
        <v>#VALUE!</v>
      </c>
      <c r="X94" t="e">
        <f>'SurveyRpt_20150223 (1)'!U582+"h_l!&amp;$R"</f>
        <v>#VALUE!</v>
      </c>
      <c r="Y94" t="e">
        <f>'SurveyRpt_20150223 (1)'!V582+"h_l!&amp;$S"</f>
        <v>#VALUE!</v>
      </c>
      <c r="Z94" t="e">
        <f>'SurveyRpt_20150223 (1)'!W582+"h_l!&amp;$T"</f>
        <v>#VALUE!</v>
      </c>
      <c r="AA94" t="e">
        <f>'SurveyRpt_20150223 (1)'!X582+"h_l!&amp;$U"</f>
        <v>#VALUE!</v>
      </c>
      <c r="AB94" t="e">
        <f>'SurveyRpt_20150223 (1)'!Y582+"h_l!&amp;$V"</f>
        <v>#VALUE!</v>
      </c>
      <c r="AC94" t="e">
        <f>'SurveyRpt_20150223 (1)'!Z582+"h_l!&amp;$W"</f>
        <v>#VALUE!</v>
      </c>
      <c r="AD94" t="e">
        <f>'SurveyRpt_20150223 (1)'!AA582+"h_l!&amp;$X"</f>
        <v>#VALUE!</v>
      </c>
      <c r="AE94" t="e">
        <f>'SurveyRpt_20150223 (1)'!AB582+"h_l!&amp;$Y"</f>
        <v>#VALUE!</v>
      </c>
      <c r="AF94" t="e">
        <f>'SurveyRpt_20150223 (1)'!AC582+"h_l!&amp;$Z"</f>
        <v>#VALUE!</v>
      </c>
      <c r="AG94" t="e">
        <f>'SurveyRpt_20150223 (1)'!AD582+"h_l!&amp;$["</f>
        <v>#VALUE!</v>
      </c>
      <c r="AH94" t="e">
        <f>'SurveyRpt_20150223 (1)'!AE582+"h_l!&amp;$\"</f>
        <v>#VALUE!</v>
      </c>
      <c r="AI94" t="e">
        <f>'SurveyRpt_20150223 (1)'!AF582+"h_l!&amp;$]"</f>
        <v>#VALUE!</v>
      </c>
      <c r="AJ94" t="e">
        <f>'SurveyRpt_20150223 (1)'!AG582+"h_l!&amp;$^"</f>
        <v>#VALUE!</v>
      </c>
      <c r="AK94" t="e">
        <f>'SurveyRpt_20150223 (1)'!AH582+"h_l!&amp;$_"</f>
        <v>#VALUE!</v>
      </c>
      <c r="AL94" t="e">
        <f>'SurveyRpt_20150223 (1)'!AI582+"h_l!&amp;$`"</f>
        <v>#VALUE!</v>
      </c>
      <c r="AM94" t="e">
        <f>'SurveyRpt_20150223 (1)'!AJ582+"h_l!&amp;$a"</f>
        <v>#VALUE!</v>
      </c>
      <c r="AN94" t="e">
        <f>'SurveyRpt_20150223 (1)'!AK582+"h_l!&amp;$b"</f>
        <v>#VALUE!</v>
      </c>
      <c r="AO94" t="e">
        <f>'SurveyRpt_20150223 (1)'!AL582+"h_l!&amp;$c"</f>
        <v>#VALUE!</v>
      </c>
      <c r="AP94" t="e">
        <f>'SurveyRpt_20150223 (1)'!AM582+"h_l!&amp;$d"</f>
        <v>#VALUE!</v>
      </c>
      <c r="AQ94" t="e">
        <f>'SurveyRpt_20150223 (1)'!AN582+"h_l!&amp;$e"</f>
        <v>#VALUE!</v>
      </c>
      <c r="AR94" t="e">
        <f>'SurveyRpt_20150223 (1)'!A583+"h_l!&amp;$f"</f>
        <v>#VALUE!</v>
      </c>
      <c r="AS94" s="25" t="e">
        <f>'SurveyRpt_20150223 (1)'!B583+"h_l!&amp;$g"</f>
        <v>#VALUE!</v>
      </c>
      <c r="AT94" t="e">
        <f>'SurveyRpt_20150223 (1)'!C583+"h_l!&amp;$h"</f>
        <v>#VALUE!</v>
      </c>
      <c r="AU94" s="25" t="e">
        <f>'SurveyRpt_20150223 (1)'!D583+"h_l!&amp;$i"</f>
        <v>#VALUE!</v>
      </c>
      <c r="AV94" t="e">
        <f>'SurveyRpt_20150223 (1)'!E583+"h_l!&amp;$j"</f>
        <v>#VALUE!</v>
      </c>
      <c r="AW94" t="e">
        <f>'SurveyRpt_20150223 (1)'!F583+"h_l!&amp;$k"</f>
        <v>#VALUE!</v>
      </c>
      <c r="AX94" t="e">
        <f>'SurveyRpt_20150223 (1)'!G583+"h_l!&amp;$l"</f>
        <v>#VALUE!</v>
      </c>
      <c r="AY94" t="e">
        <f>'SurveyRpt_20150223 (1)'!H583+"h_l!&amp;$m"</f>
        <v>#VALUE!</v>
      </c>
      <c r="AZ94" t="e">
        <f>'SurveyRpt_20150223 (1)'!I583+"h_l!&amp;$n"</f>
        <v>#VALUE!</v>
      </c>
      <c r="BA94" t="e">
        <f>'SurveyRpt_20150223 (1)'!J583+"h_l!&amp;$o"</f>
        <v>#VALUE!</v>
      </c>
      <c r="BB94" t="e">
        <f>'SurveyRpt_20150223 (1)'!K583+"h_l!&amp;$p"</f>
        <v>#VALUE!</v>
      </c>
      <c r="BC94" t="e">
        <f>'SurveyRpt_20150223 (1)'!L583+"h_l!&amp;$q"</f>
        <v>#VALUE!</v>
      </c>
      <c r="BD94" t="e">
        <f>'SurveyRpt_20150223 (1)'!M583+"h_l!&amp;$r"</f>
        <v>#VALUE!</v>
      </c>
      <c r="BE94" t="e">
        <f>'SurveyRpt_20150223 (1)'!N583+"h_l!&amp;$s"</f>
        <v>#VALUE!</v>
      </c>
      <c r="BF94" t="e">
        <f>'SurveyRpt_20150223 (1)'!O583+"h_l!&amp;$t"</f>
        <v>#VALUE!</v>
      </c>
      <c r="BG94" t="e">
        <f>'SurveyRpt_20150223 (1)'!P583+"h_l!&amp;$u"</f>
        <v>#VALUE!</v>
      </c>
      <c r="BH94" t="e">
        <f>'SurveyRpt_20150223 (1)'!Q583+"h_l!&amp;$v"</f>
        <v>#VALUE!</v>
      </c>
      <c r="BI94" t="e">
        <f>'SurveyRpt_20150223 (1)'!R583+"h_l!&amp;$w"</f>
        <v>#VALUE!</v>
      </c>
      <c r="BJ94" t="e">
        <f>'SurveyRpt_20150223 (1)'!S583+"h_l!&amp;$x"</f>
        <v>#VALUE!</v>
      </c>
      <c r="BK94" t="e">
        <f>'SurveyRpt_20150223 (1)'!T583+"h_l!&amp;$y"</f>
        <v>#VALUE!</v>
      </c>
      <c r="BL94" t="e">
        <f>'SurveyRpt_20150223 (1)'!U583+"h_l!&amp;$z"</f>
        <v>#VALUE!</v>
      </c>
      <c r="BM94" t="e">
        <f>'SurveyRpt_20150223 (1)'!V583+"h_l!&amp;${"</f>
        <v>#VALUE!</v>
      </c>
      <c r="BN94" t="e">
        <f>'SurveyRpt_20150223 (1)'!W583+"h_l!&amp;$|"</f>
        <v>#VALUE!</v>
      </c>
      <c r="BO94" t="e">
        <f>'SurveyRpt_20150223 (1)'!X583+"h_l!&amp;$}"</f>
        <v>#VALUE!</v>
      </c>
      <c r="BP94" t="e">
        <f>'SurveyRpt_20150223 (1)'!Y583+"h_l!&amp;$~"</f>
        <v>#VALUE!</v>
      </c>
      <c r="BQ94" t="e">
        <f>'SurveyRpt_20150223 (1)'!Z583+"h_l!&amp;%#"</f>
        <v>#VALUE!</v>
      </c>
      <c r="BR94" t="e">
        <f>'SurveyRpt_20150223 (1)'!AA583+"h_l!&amp;%$"</f>
        <v>#VALUE!</v>
      </c>
      <c r="BS94" t="e">
        <f>'SurveyRpt_20150223 (1)'!AB583+"h_l!&amp;%%"</f>
        <v>#VALUE!</v>
      </c>
      <c r="BT94" t="e">
        <f>'SurveyRpt_20150223 (1)'!AC583+"h_l!&amp;%&amp;"</f>
        <v>#VALUE!</v>
      </c>
      <c r="BU94" t="e">
        <f>'SurveyRpt_20150223 (1)'!AD583+"h_l!&amp;%'"</f>
        <v>#VALUE!</v>
      </c>
      <c r="BV94" t="e">
        <f>'SurveyRpt_20150223 (1)'!AE583+"h_l!&amp;%("</f>
        <v>#VALUE!</v>
      </c>
      <c r="BW94" t="e">
        <f>'SurveyRpt_20150223 (1)'!AF583+"h_l!&amp;%)"</f>
        <v>#VALUE!</v>
      </c>
      <c r="BX94" t="e">
        <f>'SurveyRpt_20150223 (1)'!AG583+"h_l!&amp;%."</f>
        <v>#VALUE!</v>
      </c>
      <c r="BY94" t="e">
        <f>'SurveyRpt_20150223 (1)'!AH583+"h_l!&amp;%/"</f>
        <v>#VALUE!</v>
      </c>
      <c r="BZ94" t="e">
        <f>'SurveyRpt_20150223 (1)'!AI583+"h_l!&amp;%0"</f>
        <v>#VALUE!</v>
      </c>
      <c r="CA94" t="e">
        <f>'SurveyRpt_20150223 (1)'!AJ583+"h_l!&amp;%1"</f>
        <v>#VALUE!</v>
      </c>
      <c r="CB94" t="e">
        <f>'SurveyRpt_20150223 (1)'!AK583+"h_l!&amp;%2"</f>
        <v>#VALUE!</v>
      </c>
      <c r="CC94" t="e">
        <f>'SurveyRpt_20150223 (1)'!AL583+"h_l!&amp;%3"</f>
        <v>#VALUE!</v>
      </c>
      <c r="CD94" t="e">
        <f>'SurveyRpt_20150223 (1)'!AM583+"h_l!&amp;%4"</f>
        <v>#VALUE!</v>
      </c>
      <c r="CE94" t="e">
        <f>'SurveyRpt_20150223 (1)'!AN583+"h_l!&amp;%5"</f>
        <v>#VALUE!</v>
      </c>
      <c r="CF94" t="e">
        <f>'SurveyRpt_20150223 (1)'!A584+"h_l!&amp;%6"</f>
        <v>#VALUE!</v>
      </c>
      <c r="CG94" s="25" t="e">
        <f>'SurveyRpt_20150223 (1)'!B584+"h_l!&amp;%7"</f>
        <v>#VALUE!</v>
      </c>
      <c r="CH94" t="e">
        <f>'SurveyRpt_20150223 (1)'!C584+"h_l!&amp;%8"</f>
        <v>#VALUE!</v>
      </c>
      <c r="CI94" s="25" t="e">
        <f>'SurveyRpt_20150223 (1)'!D584+"h_l!&amp;%9"</f>
        <v>#VALUE!</v>
      </c>
      <c r="CJ94" t="e">
        <f>'SurveyRpt_20150223 (1)'!E584+"h_l!&amp;%:"</f>
        <v>#VALUE!</v>
      </c>
      <c r="CK94" t="e">
        <f>'SurveyRpt_20150223 (1)'!F584+"h_l!&amp;%;"</f>
        <v>#VALUE!</v>
      </c>
      <c r="CL94" t="e">
        <f>'SurveyRpt_20150223 (1)'!G584+"h_l!&amp;%&lt;"</f>
        <v>#VALUE!</v>
      </c>
      <c r="CM94" t="e">
        <f>'SurveyRpt_20150223 (1)'!H584+"h_l!&amp;%="</f>
        <v>#VALUE!</v>
      </c>
      <c r="CN94" t="e">
        <f>'SurveyRpt_20150223 (1)'!I584+"h_l!&amp;%&gt;"</f>
        <v>#VALUE!</v>
      </c>
      <c r="CO94" t="e">
        <f>'SurveyRpt_20150223 (1)'!J584+"h_l!&amp;%?"</f>
        <v>#VALUE!</v>
      </c>
      <c r="CP94" t="e">
        <f>'SurveyRpt_20150223 (1)'!K584+"h_l!&amp;%@"</f>
        <v>#VALUE!</v>
      </c>
      <c r="CQ94" t="e">
        <f>'SurveyRpt_20150223 (1)'!L584+"h_l!&amp;%A"</f>
        <v>#VALUE!</v>
      </c>
      <c r="CR94" t="e">
        <f>'SurveyRpt_20150223 (1)'!M584+"h_l!&amp;%B"</f>
        <v>#VALUE!</v>
      </c>
      <c r="CS94" t="e">
        <f>'SurveyRpt_20150223 (1)'!N584+"h_l!&amp;%C"</f>
        <v>#VALUE!</v>
      </c>
      <c r="CT94" t="e">
        <f>'SurveyRpt_20150223 (1)'!O584+"h_l!&amp;%D"</f>
        <v>#VALUE!</v>
      </c>
      <c r="CU94" t="e">
        <f>'SurveyRpt_20150223 (1)'!P584+"h_l!&amp;%E"</f>
        <v>#VALUE!</v>
      </c>
      <c r="CV94" t="e">
        <f>'SurveyRpt_20150223 (1)'!Q584+"h_l!&amp;%F"</f>
        <v>#VALUE!</v>
      </c>
      <c r="CW94" t="e">
        <f>'SurveyRpt_20150223 (1)'!R584+"h_l!&amp;%G"</f>
        <v>#VALUE!</v>
      </c>
      <c r="CX94" t="e">
        <f>'SurveyRpt_20150223 (1)'!S584+"h_l!&amp;%H"</f>
        <v>#VALUE!</v>
      </c>
      <c r="CY94" t="e">
        <f>'SurveyRpt_20150223 (1)'!T584+"h_l!&amp;%I"</f>
        <v>#VALUE!</v>
      </c>
      <c r="CZ94" t="e">
        <f>'SurveyRpt_20150223 (1)'!U584+"h_l!&amp;%J"</f>
        <v>#VALUE!</v>
      </c>
      <c r="DA94" t="e">
        <f>'SurveyRpt_20150223 (1)'!V584+"h_l!&amp;%K"</f>
        <v>#VALUE!</v>
      </c>
      <c r="DB94" t="e">
        <f>'SurveyRpt_20150223 (1)'!W584+"h_l!&amp;%L"</f>
        <v>#VALUE!</v>
      </c>
      <c r="DC94" t="e">
        <f>'SurveyRpt_20150223 (1)'!X584+"h_l!&amp;%M"</f>
        <v>#VALUE!</v>
      </c>
      <c r="DD94" t="e">
        <f>'SurveyRpt_20150223 (1)'!Y584+"h_l!&amp;%N"</f>
        <v>#VALUE!</v>
      </c>
      <c r="DE94" t="e">
        <f>'SurveyRpt_20150223 (1)'!Z584+"h_l!&amp;%O"</f>
        <v>#VALUE!</v>
      </c>
      <c r="DF94" t="e">
        <f>'SurveyRpt_20150223 (1)'!AA584+"h_l!&amp;%P"</f>
        <v>#VALUE!</v>
      </c>
      <c r="DG94" t="e">
        <f>'SurveyRpt_20150223 (1)'!AB584+"h_l!&amp;%Q"</f>
        <v>#VALUE!</v>
      </c>
      <c r="DH94" t="e">
        <f>'SurveyRpt_20150223 (1)'!AC584+"h_l!&amp;%R"</f>
        <v>#VALUE!</v>
      </c>
      <c r="DI94" t="e">
        <f>'SurveyRpt_20150223 (1)'!AD584+"h_l!&amp;%S"</f>
        <v>#VALUE!</v>
      </c>
      <c r="DJ94" t="e">
        <f>'SurveyRpt_20150223 (1)'!AE584+"h_l!&amp;%T"</f>
        <v>#VALUE!</v>
      </c>
      <c r="DK94" t="e">
        <f>'SurveyRpt_20150223 (1)'!AF584+"h_l!&amp;%U"</f>
        <v>#VALUE!</v>
      </c>
      <c r="DL94" t="e">
        <f>'SurveyRpt_20150223 (1)'!AG584+"h_l!&amp;%V"</f>
        <v>#VALUE!</v>
      </c>
      <c r="DM94" t="e">
        <f>'SurveyRpt_20150223 (1)'!AH584+"h_l!&amp;%W"</f>
        <v>#VALUE!</v>
      </c>
      <c r="DN94" t="e">
        <f>'SurveyRpt_20150223 (1)'!AI584+"h_l!&amp;%X"</f>
        <v>#VALUE!</v>
      </c>
      <c r="DO94" t="e">
        <f>'SurveyRpt_20150223 (1)'!AJ584+"h_l!&amp;%Y"</f>
        <v>#VALUE!</v>
      </c>
      <c r="DP94" t="e">
        <f>'SurveyRpt_20150223 (1)'!AK584+"h_l!&amp;%Z"</f>
        <v>#VALUE!</v>
      </c>
      <c r="DQ94" t="e">
        <f>'SurveyRpt_20150223 (1)'!AL584+"h_l!&amp;%["</f>
        <v>#VALUE!</v>
      </c>
      <c r="DR94" t="e">
        <f>'SurveyRpt_20150223 (1)'!AM584+"h_l!&amp;%\"</f>
        <v>#VALUE!</v>
      </c>
      <c r="DS94" t="e">
        <f>'SurveyRpt_20150223 (1)'!AN584+"h_l!&amp;%]"</f>
        <v>#VALUE!</v>
      </c>
      <c r="DT94" t="e">
        <f>'SurveyRpt_20150223 (1)'!A585+"h_l!&amp;%^"</f>
        <v>#VALUE!</v>
      </c>
      <c r="DU94" s="25" t="e">
        <f>'SurveyRpt_20150223 (1)'!B585+"h_l!&amp;%_"</f>
        <v>#VALUE!</v>
      </c>
      <c r="DV94" t="e">
        <f>'SurveyRpt_20150223 (1)'!C585+"h_l!&amp;%`"</f>
        <v>#VALUE!</v>
      </c>
      <c r="DW94" s="25" t="e">
        <f>'SurveyRpt_20150223 (1)'!D585+"h_l!&amp;%a"</f>
        <v>#VALUE!</v>
      </c>
      <c r="DX94" t="e">
        <f>'SurveyRpt_20150223 (1)'!E585+"h_l!&amp;%b"</f>
        <v>#VALUE!</v>
      </c>
      <c r="DY94" t="e">
        <f>'SurveyRpt_20150223 (1)'!F585+"h_l!&amp;%c"</f>
        <v>#VALUE!</v>
      </c>
      <c r="DZ94" t="e">
        <f>'SurveyRpt_20150223 (1)'!G585+"h_l!&amp;%d"</f>
        <v>#VALUE!</v>
      </c>
      <c r="EA94" t="e">
        <f>'SurveyRpt_20150223 (1)'!H585+"h_l!&amp;%e"</f>
        <v>#VALUE!</v>
      </c>
      <c r="EB94" t="e">
        <f>'SurveyRpt_20150223 (1)'!I585+"h_l!&amp;%f"</f>
        <v>#VALUE!</v>
      </c>
      <c r="EC94" t="e">
        <f>'SurveyRpt_20150223 (1)'!J585+"h_l!&amp;%g"</f>
        <v>#VALUE!</v>
      </c>
      <c r="ED94" t="e">
        <f>'SurveyRpt_20150223 (1)'!K585+"h_l!&amp;%h"</f>
        <v>#VALUE!</v>
      </c>
      <c r="EE94" t="e">
        <f>'SurveyRpt_20150223 (1)'!L585+"h_l!&amp;%i"</f>
        <v>#VALUE!</v>
      </c>
      <c r="EF94" t="e">
        <f>'SurveyRpt_20150223 (1)'!M585+"h_l!&amp;%j"</f>
        <v>#VALUE!</v>
      </c>
      <c r="EG94" t="e">
        <f>'SurveyRpt_20150223 (1)'!N585+"h_l!&amp;%k"</f>
        <v>#VALUE!</v>
      </c>
      <c r="EH94" t="e">
        <f>'SurveyRpt_20150223 (1)'!O585+"h_l!&amp;%l"</f>
        <v>#VALUE!</v>
      </c>
      <c r="EI94" t="e">
        <f>'SurveyRpt_20150223 (1)'!P585+"h_l!&amp;%m"</f>
        <v>#VALUE!</v>
      </c>
      <c r="EJ94" t="e">
        <f>'SurveyRpt_20150223 (1)'!Q585+"h_l!&amp;%n"</f>
        <v>#VALUE!</v>
      </c>
      <c r="EK94" t="e">
        <f>'SurveyRpt_20150223 (1)'!R585+"h_l!&amp;%o"</f>
        <v>#VALUE!</v>
      </c>
      <c r="EL94" t="e">
        <f>'SurveyRpt_20150223 (1)'!S585+"h_l!&amp;%p"</f>
        <v>#VALUE!</v>
      </c>
      <c r="EM94" t="e">
        <f>'SurveyRpt_20150223 (1)'!T585+"h_l!&amp;%q"</f>
        <v>#VALUE!</v>
      </c>
      <c r="EN94" t="e">
        <f>'SurveyRpt_20150223 (1)'!U585+"h_l!&amp;%r"</f>
        <v>#VALUE!</v>
      </c>
      <c r="EO94" t="e">
        <f>'SurveyRpt_20150223 (1)'!V585+"h_l!&amp;%s"</f>
        <v>#VALUE!</v>
      </c>
      <c r="EP94" t="e">
        <f>'SurveyRpt_20150223 (1)'!W585+"h_l!&amp;%t"</f>
        <v>#VALUE!</v>
      </c>
      <c r="EQ94" t="e">
        <f>'SurveyRpt_20150223 (1)'!X585+"h_l!&amp;%u"</f>
        <v>#VALUE!</v>
      </c>
      <c r="ER94" t="e">
        <f>'SurveyRpt_20150223 (1)'!Y585+"h_l!&amp;%v"</f>
        <v>#VALUE!</v>
      </c>
      <c r="ES94" t="e">
        <f>'SurveyRpt_20150223 (1)'!Z585+"h_l!&amp;%w"</f>
        <v>#VALUE!</v>
      </c>
      <c r="ET94" t="e">
        <f>'SurveyRpt_20150223 (1)'!AA585+"h_l!&amp;%x"</f>
        <v>#VALUE!</v>
      </c>
      <c r="EU94" t="e">
        <f>'SurveyRpt_20150223 (1)'!AB585+"h_l!&amp;%y"</f>
        <v>#VALUE!</v>
      </c>
      <c r="EV94" t="e">
        <f>'SurveyRpt_20150223 (1)'!AC585+"h_l!&amp;%z"</f>
        <v>#VALUE!</v>
      </c>
      <c r="EW94" t="e">
        <f>'SurveyRpt_20150223 (1)'!AD585+"h_l!&amp;%{"</f>
        <v>#VALUE!</v>
      </c>
      <c r="EX94" t="e">
        <f>'SurveyRpt_20150223 (1)'!AE585+"h_l!&amp;%|"</f>
        <v>#VALUE!</v>
      </c>
      <c r="EY94" t="e">
        <f>'SurveyRpt_20150223 (1)'!AF585+"h_l!&amp;%}"</f>
        <v>#VALUE!</v>
      </c>
      <c r="EZ94" t="e">
        <f>'SurveyRpt_20150223 (1)'!AG585+"h_l!&amp;%~"</f>
        <v>#VALUE!</v>
      </c>
      <c r="FA94" t="e">
        <f>'SurveyRpt_20150223 (1)'!AH585+"h_l!&amp;&amp;#"</f>
        <v>#VALUE!</v>
      </c>
      <c r="FB94" t="e">
        <f>'SurveyRpt_20150223 (1)'!AI585+"h_l!&amp;&amp;$"</f>
        <v>#VALUE!</v>
      </c>
      <c r="FC94" t="e">
        <f>'SurveyRpt_20150223 (1)'!AJ585+"h_l!&amp;&amp;%"</f>
        <v>#VALUE!</v>
      </c>
      <c r="FD94" t="e">
        <f>'SurveyRpt_20150223 (1)'!AK585+"h_l!&amp;&amp;&amp;"</f>
        <v>#VALUE!</v>
      </c>
      <c r="FE94" t="e">
        <f>'SurveyRpt_20150223 (1)'!AL585+"h_l!&amp;&amp;'"</f>
        <v>#VALUE!</v>
      </c>
      <c r="FF94" t="e">
        <f>'SurveyRpt_20150223 (1)'!AM585+"h_l!&amp;&amp;("</f>
        <v>#VALUE!</v>
      </c>
      <c r="FG94" t="e">
        <f>'SurveyRpt_20150223 (1)'!AN585+"h_l!&amp;&amp;)"</f>
        <v>#VALUE!</v>
      </c>
      <c r="FH94" t="e">
        <f>'SurveyRpt_20150223 (1)'!A586+"h_l!&amp;&amp;."</f>
        <v>#VALUE!</v>
      </c>
      <c r="FI94" s="25" t="e">
        <f>'SurveyRpt_20150223 (1)'!B586+"h_l!&amp;&amp;/"</f>
        <v>#VALUE!</v>
      </c>
      <c r="FJ94" t="e">
        <f>'SurveyRpt_20150223 (1)'!C586+"h_l!&amp;&amp;0"</f>
        <v>#VALUE!</v>
      </c>
      <c r="FK94" s="25" t="e">
        <f>'SurveyRpt_20150223 (1)'!D586+"h_l!&amp;&amp;1"</f>
        <v>#VALUE!</v>
      </c>
      <c r="FL94" t="e">
        <f>'SurveyRpt_20150223 (1)'!E586+"h_l!&amp;&amp;2"</f>
        <v>#VALUE!</v>
      </c>
      <c r="FM94" t="e">
        <f>'SurveyRpt_20150223 (1)'!F586+"h_l!&amp;&amp;3"</f>
        <v>#VALUE!</v>
      </c>
      <c r="FN94" t="e">
        <f>'SurveyRpt_20150223 (1)'!G586+"h_l!&amp;&amp;4"</f>
        <v>#VALUE!</v>
      </c>
      <c r="FO94" t="e">
        <f>'SurveyRpt_20150223 (1)'!H586+"h_l!&amp;&amp;5"</f>
        <v>#VALUE!</v>
      </c>
      <c r="FP94" t="e">
        <f>'SurveyRpt_20150223 (1)'!I586+"h_l!&amp;&amp;6"</f>
        <v>#VALUE!</v>
      </c>
      <c r="FQ94" t="e">
        <f>'SurveyRpt_20150223 (1)'!J586+"h_l!&amp;&amp;7"</f>
        <v>#VALUE!</v>
      </c>
      <c r="FR94" t="e">
        <f>'SurveyRpt_20150223 (1)'!K586+"h_l!&amp;&amp;8"</f>
        <v>#VALUE!</v>
      </c>
      <c r="FS94" t="e">
        <f>'SurveyRpt_20150223 (1)'!L586+"h_l!&amp;&amp;9"</f>
        <v>#VALUE!</v>
      </c>
      <c r="FT94" t="e">
        <f>'SurveyRpt_20150223 (1)'!M586+"h_l!&amp;&amp;:"</f>
        <v>#VALUE!</v>
      </c>
      <c r="FU94" t="e">
        <f>'SurveyRpt_20150223 (1)'!N586+"h_l!&amp;&amp;;"</f>
        <v>#VALUE!</v>
      </c>
      <c r="FV94" t="e">
        <f>'SurveyRpt_20150223 (1)'!O586+"h_l!&amp;&amp;&lt;"</f>
        <v>#VALUE!</v>
      </c>
      <c r="FW94" t="e">
        <f>'SurveyRpt_20150223 (1)'!P586+"h_l!&amp;&amp;="</f>
        <v>#VALUE!</v>
      </c>
      <c r="FX94" t="e">
        <f>'SurveyRpt_20150223 (1)'!Q586+"h_l!&amp;&amp;&gt;"</f>
        <v>#VALUE!</v>
      </c>
      <c r="FY94" t="e">
        <f>'SurveyRpt_20150223 (1)'!R586+"h_l!&amp;&amp;?"</f>
        <v>#VALUE!</v>
      </c>
      <c r="FZ94" t="e">
        <f>'SurveyRpt_20150223 (1)'!S586+"h_l!&amp;&amp;@"</f>
        <v>#VALUE!</v>
      </c>
      <c r="GA94" t="e">
        <f>'SurveyRpt_20150223 (1)'!T586+"h_l!&amp;&amp;A"</f>
        <v>#VALUE!</v>
      </c>
      <c r="GB94" t="e">
        <f>'SurveyRpt_20150223 (1)'!U586+"h_l!&amp;&amp;B"</f>
        <v>#VALUE!</v>
      </c>
      <c r="GC94" t="e">
        <f>'SurveyRpt_20150223 (1)'!V586+"h_l!&amp;&amp;C"</f>
        <v>#VALUE!</v>
      </c>
      <c r="GD94" t="e">
        <f>'SurveyRpt_20150223 (1)'!W586+"h_l!&amp;&amp;D"</f>
        <v>#VALUE!</v>
      </c>
      <c r="GE94" t="e">
        <f>'SurveyRpt_20150223 (1)'!X586+"h_l!&amp;&amp;E"</f>
        <v>#VALUE!</v>
      </c>
      <c r="GF94" t="e">
        <f>'SurveyRpt_20150223 (1)'!Y586+"h_l!&amp;&amp;F"</f>
        <v>#VALUE!</v>
      </c>
      <c r="GG94" t="e">
        <f>'SurveyRpt_20150223 (1)'!Z586+"h_l!&amp;&amp;G"</f>
        <v>#VALUE!</v>
      </c>
      <c r="GH94" t="e">
        <f>'SurveyRpt_20150223 (1)'!AA586+"h_l!&amp;&amp;H"</f>
        <v>#VALUE!</v>
      </c>
      <c r="GI94" t="e">
        <f>'SurveyRpt_20150223 (1)'!AB586+"h_l!&amp;&amp;I"</f>
        <v>#VALUE!</v>
      </c>
      <c r="GJ94" t="e">
        <f>'SurveyRpt_20150223 (1)'!AC586+"h_l!&amp;&amp;J"</f>
        <v>#VALUE!</v>
      </c>
      <c r="GK94" t="e">
        <f>'SurveyRpt_20150223 (1)'!AD586+"h_l!&amp;&amp;K"</f>
        <v>#VALUE!</v>
      </c>
      <c r="GL94" t="e">
        <f>'SurveyRpt_20150223 (1)'!AE586+"h_l!&amp;&amp;L"</f>
        <v>#VALUE!</v>
      </c>
      <c r="GM94" t="e">
        <f>'SurveyRpt_20150223 (1)'!AF586+"h_l!&amp;&amp;M"</f>
        <v>#VALUE!</v>
      </c>
      <c r="GN94" t="e">
        <f>'SurveyRpt_20150223 (1)'!AG586+"h_l!&amp;&amp;N"</f>
        <v>#VALUE!</v>
      </c>
      <c r="GO94" t="e">
        <f>'SurveyRpt_20150223 (1)'!AH586+"h_l!&amp;&amp;O"</f>
        <v>#VALUE!</v>
      </c>
      <c r="GP94" t="e">
        <f>'SurveyRpt_20150223 (1)'!AI586+"h_l!&amp;&amp;P"</f>
        <v>#VALUE!</v>
      </c>
      <c r="GQ94" t="e">
        <f>'SurveyRpt_20150223 (1)'!AJ586+"h_l!&amp;&amp;Q"</f>
        <v>#VALUE!</v>
      </c>
      <c r="GR94" t="e">
        <f>'SurveyRpt_20150223 (1)'!AK586+"h_l!&amp;&amp;R"</f>
        <v>#VALUE!</v>
      </c>
      <c r="GS94" t="e">
        <f>'SurveyRpt_20150223 (1)'!AL586+"h_l!&amp;&amp;S"</f>
        <v>#VALUE!</v>
      </c>
      <c r="GT94" t="e">
        <f>'SurveyRpt_20150223 (1)'!AM586+"h_l!&amp;&amp;T"</f>
        <v>#VALUE!</v>
      </c>
      <c r="GU94" t="e">
        <f>'SurveyRpt_20150223 (1)'!AN586+"h_l!&amp;&amp;U"</f>
        <v>#VALUE!</v>
      </c>
      <c r="GV94" t="e">
        <f>'SurveyRpt_20150223 (1)'!A587+"h_l!&amp;&amp;V"</f>
        <v>#VALUE!</v>
      </c>
      <c r="GW94" s="25" t="e">
        <f>'SurveyRpt_20150223 (1)'!B587+"h_l!&amp;&amp;W"</f>
        <v>#VALUE!</v>
      </c>
      <c r="GX94" t="e">
        <f>'SurveyRpt_20150223 (1)'!C587+"h_l!&amp;&amp;X"</f>
        <v>#VALUE!</v>
      </c>
      <c r="GY94" s="25" t="e">
        <f>'SurveyRpt_20150223 (1)'!D587+"h_l!&amp;&amp;Y"</f>
        <v>#VALUE!</v>
      </c>
      <c r="GZ94" t="e">
        <f>'SurveyRpt_20150223 (1)'!E587+"h_l!&amp;&amp;Z"</f>
        <v>#VALUE!</v>
      </c>
      <c r="HA94" t="e">
        <f>'SurveyRpt_20150223 (1)'!F587+"h_l!&amp;&amp;["</f>
        <v>#VALUE!</v>
      </c>
      <c r="HB94" t="e">
        <f>'SurveyRpt_20150223 (1)'!G587+"h_l!&amp;&amp;\"</f>
        <v>#VALUE!</v>
      </c>
      <c r="HC94" t="e">
        <f>'SurveyRpt_20150223 (1)'!H587+"h_l!&amp;&amp;]"</f>
        <v>#VALUE!</v>
      </c>
      <c r="HD94" t="e">
        <f>'SurveyRpt_20150223 (1)'!I587+"h_l!&amp;&amp;^"</f>
        <v>#VALUE!</v>
      </c>
      <c r="HE94" t="e">
        <f>'SurveyRpt_20150223 (1)'!J587+"h_l!&amp;&amp;_"</f>
        <v>#VALUE!</v>
      </c>
      <c r="HF94" t="e">
        <f>'SurveyRpt_20150223 (1)'!K587+"h_l!&amp;&amp;`"</f>
        <v>#VALUE!</v>
      </c>
      <c r="HG94" t="e">
        <f>'SurveyRpt_20150223 (1)'!L587+"h_l!&amp;&amp;a"</f>
        <v>#VALUE!</v>
      </c>
      <c r="HH94" t="e">
        <f>'SurveyRpt_20150223 (1)'!M587+"h_l!&amp;&amp;b"</f>
        <v>#VALUE!</v>
      </c>
      <c r="HI94" t="e">
        <f>'SurveyRpt_20150223 (1)'!N587+"h_l!&amp;&amp;c"</f>
        <v>#VALUE!</v>
      </c>
      <c r="HJ94" t="e">
        <f>'SurveyRpt_20150223 (1)'!O587+"h_l!&amp;&amp;d"</f>
        <v>#VALUE!</v>
      </c>
      <c r="HK94" t="e">
        <f>'SurveyRpt_20150223 (1)'!P587+"h_l!&amp;&amp;e"</f>
        <v>#VALUE!</v>
      </c>
      <c r="HL94" t="e">
        <f>'SurveyRpt_20150223 (1)'!Q587+"h_l!&amp;&amp;f"</f>
        <v>#VALUE!</v>
      </c>
      <c r="HM94" t="e">
        <f>'SurveyRpt_20150223 (1)'!R587+"h_l!&amp;&amp;g"</f>
        <v>#VALUE!</v>
      </c>
      <c r="HN94" t="e">
        <f>'SurveyRpt_20150223 (1)'!S587+"h_l!&amp;&amp;h"</f>
        <v>#VALUE!</v>
      </c>
      <c r="HO94" t="e">
        <f>'SurveyRpt_20150223 (1)'!T587+"h_l!&amp;&amp;i"</f>
        <v>#VALUE!</v>
      </c>
      <c r="HP94" t="e">
        <f>'SurveyRpt_20150223 (1)'!U587+"h_l!&amp;&amp;j"</f>
        <v>#VALUE!</v>
      </c>
      <c r="HQ94" t="e">
        <f>'SurveyRpt_20150223 (1)'!V587+"h_l!&amp;&amp;k"</f>
        <v>#VALUE!</v>
      </c>
      <c r="HR94" t="e">
        <f>'SurveyRpt_20150223 (1)'!W587+"h_l!&amp;&amp;l"</f>
        <v>#VALUE!</v>
      </c>
      <c r="HS94" t="e">
        <f>'SurveyRpt_20150223 (1)'!X587+"h_l!&amp;&amp;m"</f>
        <v>#VALUE!</v>
      </c>
      <c r="HT94" t="e">
        <f>'SurveyRpt_20150223 (1)'!Y587+"h_l!&amp;&amp;n"</f>
        <v>#VALUE!</v>
      </c>
      <c r="HU94" t="e">
        <f>'SurveyRpt_20150223 (1)'!Z587+"h_l!&amp;&amp;o"</f>
        <v>#VALUE!</v>
      </c>
      <c r="HV94" t="e">
        <f>'SurveyRpt_20150223 (1)'!AA587+"h_l!&amp;&amp;p"</f>
        <v>#VALUE!</v>
      </c>
      <c r="HW94" t="e">
        <f>'SurveyRpt_20150223 (1)'!AB587+"h_l!&amp;&amp;q"</f>
        <v>#VALUE!</v>
      </c>
      <c r="HX94" t="e">
        <f>'SurveyRpt_20150223 (1)'!AC587+"h_l!&amp;&amp;r"</f>
        <v>#VALUE!</v>
      </c>
      <c r="HY94" t="e">
        <f>'SurveyRpt_20150223 (1)'!AD587+"h_l!&amp;&amp;s"</f>
        <v>#VALUE!</v>
      </c>
      <c r="HZ94" t="e">
        <f>'SurveyRpt_20150223 (1)'!AE587+"h_l!&amp;&amp;t"</f>
        <v>#VALUE!</v>
      </c>
      <c r="IA94" t="e">
        <f>'SurveyRpt_20150223 (1)'!AF587+"h_l!&amp;&amp;u"</f>
        <v>#VALUE!</v>
      </c>
      <c r="IB94" t="e">
        <f>'SurveyRpt_20150223 (1)'!AG587+"h_l!&amp;&amp;v"</f>
        <v>#VALUE!</v>
      </c>
      <c r="IC94" t="e">
        <f>'SurveyRpt_20150223 (1)'!AH587+"h_l!&amp;&amp;w"</f>
        <v>#VALUE!</v>
      </c>
      <c r="ID94" t="e">
        <f>'SurveyRpt_20150223 (1)'!AI587+"h_l!&amp;&amp;x"</f>
        <v>#VALUE!</v>
      </c>
      <c r="IE94" t="e">
        <f>'SurveyRpt_20150223 (1)'!AJ587+"h_l!&amp;&amp;y"</f>
        <v>#VALUE!</v>
      </c>
      <c r="IF94" t="e">
        <f>'SurveyRpt_20150223 (1)'!AK587+"h_l!&amp;&amp;z"</f>
        <v>#VALUE!</v>
      </c>
      <c r="IG94" t="e">
        <f>'SurveyRpt_20150223 (1)'!AL587+"h_l!&amp;&amp;{"</f>
        <v>#VALUE!</v>
      </c>
      <c r="IH94" t="e">
        <f>'SurveyRpt_20150223 (1)'!AM587+"h_l!&amp;&amp;|"</f>
        <v>#VALUE!</v>
      </c>
      <c r="II94" t="e">
        <f>'SurveyRpt_20150223 (1)'!AN587+"h_l!&amp;&amp;}"</f>
        <v>#VALUE!</v>
      </c>
      <c r="IJ94" t="e">
        <f>'SurveyRpt_20150223 (1)'!A588+"h_l!&amp;&amp;~"</f>
        <v>#VALUE!</v>
      </c>
      <c r="IK94" s="25" t="e">
        <f>'SurveyRpt_20150223 (1)'!B588+"h_l!&amp;'#"</f>
        <v>#VALUE!</v>
      </c>
      <c r="IL94" t="e">
        <f>'SurveyRpt_20150223 (1)'!C588+"h_l!&amp;'$"</f>
        <v>#VALUE!</v>
      </c>
      <c r="IM94" s="25" t="e">
        <f>'SurveyRpt_20150223 (1)'!D588+"h_l!&amp;'%"</f>
        <v>#VALUE!</v>
      </c>
      <c r="IN94" t="e">
        <f>'SurveyRpt_20150223 (1)'!E588+"h_l!&amp;'&amp;"</f>
        <v>#VALUE!</v>
      </c>
      <c r="IO94" t="e">
        <f>'SurveyRpt_20150223 (1)'!F588+"h_l!&amp;''"</f>
        <v>#VALUE!</v>
      </c>
      <c r="IP94" t="e">
        <f>'SurveyRpt_20150223 (1)'!G588+"h_l!&amp;'("</f>
        <v>#VALUE!</v>
      </c>
      <c r="IQ94" t="e">
        <f>'SurveyRpt_20150223 (1)'!H588+"h_l!&amp;')"</f>
        <v>#VALUE!</v>
      </c>
      <c r="IR94" t="e">
        <f>'SurveyRpt_20150223 (1)'!I588+"h_l!&amp;'."</f>
        <v>#VALUE!</v>
      </c>
      <c r="IS94" t="e">
        <f>'SurveyRpt_20150223 (1)'!J588+"h_l!&amp;'/"</f>
        <v>#VALUE!</v>
      </c>
      <c r="IT94" t="e">
        <f>'SurveyRpt_20150223 (1)'!K588+"h_l!&amp;'0"</f>
        <v>#VALUE!</v>
      </c>
      <c r="IU94" t="e">
        <f>'SurveyRpt_20150223 (1)'!L588+"h_l!&amp;'1"</f>
        <v>#VALUE!</v>
      </c>
      <c r="IV94" t="e">
        <f>'SurveyRpt_20150223 (1)'!M588+"h_l!&amp;'2"</f>
        <v>#VALUE!</v>
      </c>
    </row>
    <row r="95" spans="6:256" x14ac:dyDescent="0.25">
      <c r="F95" t="e">
        <f>'SurveyRpt_20150223 (1)'!N588+"h_l!&amp;'3"</f>
        <v>#VALUE!</v>
      </c>
      <c r="G95" t="e">
        <f>'SurveyRpt_20150223 (1)'!O588+"h_l!&amp;'4"</f>
        <v>#VALUE!</v>
      </c>
      <c r="H95" t="e">
        <f>'SurveyRpt_20150223 (1)'!P588+"h_l!&amp;'5"</f>
        <v>#VALUE!</v>
      </c>
      <c r="I95" t="e">
        <f>'SurveyRpt_20150223 (1)'!Q588+"h_l!&amp;'6"</f>
        <v>#VALUE!</v>
      </c>
      <c r="J95" t="e">
        <f>'SurveyRpt_20150223 (1)'!R588+"h_l!&amp;'7"</f>
        <v>#VALUE!</v>
      </c>
      <c r="K95" t="e">
        <f>'SurveyRpt_20150223 (1)'!S588+"h_l!&amp;'8"</f>
        <v>#VALUE!</v>
      </c>
      <c r="L95" t="e">
        <f>'SurveyRpt_20150223 (1)'!T588+"h_l!&amp;'9"</f>
        <v>#VALUE!</v>
      </c>
      <c r="M95" t="e">
        <f>'SurveyRpt_20150223 (1)'!U588+"h_l!&amp;':"</f>
        <v>#VALUE!</v>
      </c>
      <c r="N95" t="e">
        <f>'SurveyRpt_20150223 (1)'!V588+"h_l!&amp;';"</f>
        <v>#VALUE!</v>
      </c>
      <c r="O95" t="e">
        <f>'SurveyRpt_20150223 (1)'!W588+"h_l!&amp;'&lt;"</f>
        <v>#VALUE!</v>
      </c>
      <c r="P95" t="e">
        <f>'SurveyRpt_20150223 (1)'!X588+"h_l!&amp;'="</f>
        <v>#VALUE!</v>
      </c>
      <c r="Q95" t="e">
        <f>'SurveyRpt_20150223 (1)'!Y588+"h_l!&amp;'&gt;"</f>
        <v>#VALUE!</v>
      </c>
      <c r="R95" t="e">
        <f>'SurveyRpt_20150223 (1)'!Z588+"h_l!&amp;'?"</f>
        <v>#VALUE!</v>
      </c>
      <c r="S95" t="e">
        <f>'SurveyRpt_20150223 (1)'!AA588+"h_l!&amp;'@"</f>
        <v>#VALUE!</v>
      </c>
      <c r="T95" t="e">
        <f>'SurveyRpt_20150223 (1)'!AB588+"h_l!&amp;'A"</f>
        <v>#VALUE!</v>
      </c>
      <c r="U95" t="e">
        <f>'SurveyRpt_20150223 (1)'!AC588+"h_l!&amp;'B"</f>
        <v>#VALUE!</v>
      </c>
      <c r="V95" t="e">
        <f>'SurveyRpt_20150223 (1)'!AD588+"h_l!&amp;'C"</f>
        <v>#VALUE!</v>
      </c>
      <c r="W95" t="e">
        <f>'SurveyRpt_20150223 (1)'!AE588+"h_l!&amp;'D"</f>
        <v>#VALUE!</v>
      </c>
      <c r="X95" t="e">
        <f>'SurveyRpt_20150223 (1)'!AF588+"h_l!&amp;'E"</f>
        <v>#VALUE!</v>
      </c>
      <c r="Y95" t="e">
        <f>'SurveyRpt_20150223 (1)'!AG588+"h_l!&amp;'F"</f>
        <v>#VALUE!</v>
      </c>
      <c r="Z95" t="e">
        <f>'SurveyRpt_20150223 (1)'!AH588+"h_l!&amp;'G"</f>
        <v>#VALUE!</v>
      </c>
      <c r="AA95" t="e">
        <f>'SurveyRpt_20150223 (1)'!AI588+"h_l!&amp;'H"</f>
        <v>#VALUE!</v>
      </c>
      <c r="AB95" t="e">
        <f>'SurveyRpt_20150223 (1)'!AJ588+"h_l!&amp;'I"</f>
        <v>#VALUE!</v>
      </c>
      <c r="AC95" t="e">
        <f>'SurveyRpt_20150223 (1)'!AK588+"h_l!&amp;'J"</f>
        <v>#VALUE!</v>
      </c>
      <c r="AD95" t="e">
        <f>'SurveyRpt_20150223 (1)'!AL588+"h_l!&amp;'K"</f>
        <v>#VALUE!</v>
      </c>
      <c r="AE95" t="e">
        <f>'SurveyRpt_20150223 (1)'!AM588+"h_l!&amp;'L"</f>
        <v>#VALUE!</v>
      </c>
      <c r="AF95" t="e">
        <f>'SurveyRpt_20150223 (1)'!AN588+"h_l!&amp;'M"</f>
        <v>#VALUE!</v>
      </c>
      <c r="AG95" t="e">
        <f>'SurveyRpt_20150223 (1)'!A589+"h_l!&amp;'N"</f>
        <v>#VALUE!</v>
      </c>
      <c r="AH95" s="25" t="e">
        <f>'SurveyRpt_20150223 (1)'!B589+"h_l!&amp;'O"</f>
        <v>#VALUE!</v>
      </c>
      <c r="AI95" t="e">
        <f>'SurveyRpt_20150223 (1)'!C589+"h_l!&amp;'P"</f>
        <v>#VALUE!</v>
      </c>
      <c r="AJ95" s="25" t="e">
        <f>'SurveyRpt_20150223 (1)'!D589+"h_l!&amp;'Q"</f>
        <v>#VALUE!</v>
      </c>
      <c r="AK95" t="e">
        <f>'SurveyRpt_20150223 (1)'!E589+"h_l!&amp;'R"</f>
        <v>#VALUE!</v>
      </c>
      <c r="AL95" t="e">
        <f>'SurveyRpt_20150223 (1)'!F589+"h_l!&amp;'S"</f>
        <v>#VALUE!</v>
      </c>
      <c r="AM95" t="e">
        <f>'SurveyRpt_20150223 (1)'!G589+"h_l!&amp;'T"</f>
        <v>#VALUE!</v>
      </c>
      <c r="AN95" t="e">
        <f>'SurveyRpt_20150223 (1)'!H589+"h_l!&amp;'U"</f>
        <v>#VALUE!</v>
      </c>
      <c r="AO95" t="e">
        <f>'SurveyRpt_20150223 (1)'!I589+"h_l!&amp;'V"</f>
        <v>#VALUE!</v>
      </c>
      <c r="AP95" t="e">
        <f>'SurveyRpt_20150223 (1)'!J589+"h_l!&amp;'W"</f>
        <v>#VALUE!</v>
      </c>
      <c r="AQ95" t="e">
        <f>'SurveyRpt_20150223 (1)'!K589+"h_l!&amp;'X"</f>
        <v>#VALUE!</v>
      </c>
      <c r="AR95" t="e">
        <f>'SurveyRpt_20150223 (1)'!L589+"h_l!&amp;'Y"</f>
        <v>#VALUE!</v>
      </c>
      <c r="AS95" t="e">
        <f>'SurveyRpt_20150223 (1)'!M589+"h_l!&amp;'Z"</f>
        <v>#VALUE!</v>
      </c>
      <c r="AT95" t="e">
        <f>'SurveyRpt_20150223 (1)'!N589+"h_l!&amp;'["</f>
        <v>#VALUE!</v>
      </c>
      <c r="AU95" t="e">
        <f>'SurveyRpt_20150223 (1)'!O589+"h_l!&amp;'\"</f>
        <v>#VALUE!</v>
      </c>
      <c r="AV95" t="e">
        <f>'SurveyRpt_20150223 (1)'!P589+"h_l!&amp;']"</f>
        <v>#VALUE!</v>
      </c>
      <c r="AW95" t="e">
        <f>'SurveyRpt_20150223 (1)'!Q589+"h_l!&amp;'^"</f>
        <v>#VALUE!</v>
      </c>
      <c r="AX95" t="e">
        <f>'SurveyRpt_20150223 (1)'!R589+"h_l!&amp;'_"</f>
        <v>#VALUE!</v>
      </c>
      <c r="AY95" t="e">
        <f>'SurveyRpt_20150223 (1)'!S589+"h_l!&amp;'`"</f>
        <v>#VALUE!</v>
      </c>
      <c r="AZ95" t="e">
        <f>'SurveyRpt_20150223 (1)'!T589+"h_l!&amp;'a"</f>
        <v>#VALUE!</v>
      </c>
      <c r="BA95" t="e">
        <f>'SurveyRpt_20150223 (1)'!U589+"h_l!&amp;'b"</f>
        <v>#VALUE!</v>
      </c>
      <c r="BB95" t="e">
        <f>'SurveyRpt_20150223 (1)'!V589+"h_l!&amp;'c"</f>
        <v>#VALUE!</v>
      </c>
      <c r="BC95" t="e">
        <f>'SurveyRpt_20150223 (1)'!W589+"h_l!&amp;'d"</f>
        <v>#VALUE!</v>
      </c>
      <c r="BD95" t="e">
        <f>'SurveyRpt_20150223 (1)'!X589+"h_l!&amp;'e"</f>
        <v>#VALUE!</v>
      </c>
      <c r="BE95" t="e">
        <f>'SurveyRpt_20150223 (1)'!Y589+"h_l!&amp;'f"</f>
        <v>#VALUE!</v>
      </c>
      <c r="BF95" t="e">
        <f>'SurveyRpt_20150223 (1)'!Z589+"h_l!&amp;'g"</f>
        <v>#VALUE!</v>
      </c>
      <c r="BG95" t="e">
        <f>'SurveyRpt_20150223 (1)'!AA589+"h_l!&amp;'h"</f>
        <v>#VALUE!</v>
      </c>
      <c r="BH95" t="e">
        <f>'SurveyRpt_20150223 (1)'!AB589+"h_l!&amp;'i"</f>
        <v>#VALUE!</v>
      </c>
      <c r="BI95" t="e">
        <f>'SurveyRpt_20150223 (1)'!AC589+"h_l!&amp;'j"</f>
        <v>#VALUE!</v>
      </c>
      <c r="BJ95" t="e">
        <f>'SurveyRpt_20150223 (1)'!AD589+"h_l!&amp;'k"</f>
        <v>#VALUE!</v>
      </c>
      <c r="BK95" t="e">
        <f>'SurveyRpt_20150223 (1)'!AE589+"h_l!&amp;'l"</f>
        <v>#VALUE!</v>
      </c>
      <c r="BL95" t="e">
        <f>'SurveyRpt_20150223 (1)'!AF589+"h_l!&amp;'m"</f>
        <v>#VALUE!</v>
      </c>
      <c r="BM95" t="e">
        <f>'SurveyRpt_20150223 (1)'!AG589+"h_l!&amp;'n"</f>
        <v>#VALUE!</v>
      </c>
      <c r="BN95" t="e">
        <f>'SurveyRpt_20150223 (1)'!AH589+"h_l!&amp;'o"</f>
        <v>#VALUE!</v>
      </c>
      <c r="BO95" t="e">
        <f>'SurveyRpt_20150223 (1)'!AI589+"h_l!&amp;'p"</f>
        <v>#VALUE!</v>
      </c>
      <c r="BP95" t="e">
        <f>'SurveyRpt_20150223 (1)'!AJ589+"h_l!&amp;'q"</f>
        <v>#VALUE!</v>
      </c>
      <c r="BQ95" t="e">
        <f>'SurveyRpt_20150223 (1)'!AK589+"h_l!&amp;'r"</f>
        <v>#VALUE!</v>
      </c>
      <c r="BR95" t="e">
        <f>'SurveyRpt_20150223 (1)'!AL589+"h_l!&amp;'s"</f>
        <v>#VALUE!</v>
      </c>
      <c r="BS95" t="e">
        <f>'SurveyRpt_20150223 (1)'!AM589+"h_l!&amp;'t"</f>
        <v>#VALUE!</v>
      </c>
      <c r="BT95" t="e">
        <f>'SurveyRpt_20150223 (1)'!AN589+"h_l!&amp;'u"</f>
        <v>#VALUE!</v>
      </c>
      <c r="BU95" t="e">
        <f>'SurveyRpt_20150223 (1)'!A590+"h_l!&amp;'v"</f>
        <v>#VALUE!</v>
      </c>
      <c r="BV95" s="25" t="e">
        <f>'SurveyRpt_20150223 (1)'!B590+"h_l!&amp;'w"</f>
        <v>#VALUE!</v>
      </c>
      <c r="BW95" t="e">
        <f>'SurveyRpt_20150223 (1)'!C590+"h_l!&amp;'x"</f>
        <v>#VALUE!</v>
      </c>
      <c r="BX95" s="25" t="e">
        <f>'SurveyRpt_20150223 (1)'!D590+"h_l!&amp;'y"</f>
        <v>#VALUE!</v>
      </c>
      <c r="BY95" t="e">
        <f>'SurveyRpt_20150223 (1)'!E590+"h_l!&amp;'z"</f>
        <v>#VALUE!</v>
      </c>
      <c r="BZ95" t="e">
        <f>'SurveyRpt_20150223 (1)'!F590+"h_l!&amp;'{"</f>
        <v>#VALUE!</v>
      </c>
      <c r="CA95" t="e">
        <f>'SurveyRpt_20150223 (1)'!G590+"h_l!&amp;'|"</f>
        <v>#VALUE!</v>
      </c>
      <c r="CB95" t="e">
        <f>'SurveyRpt_20150223 (1)'!H590+"h_l!&amp;'}"</f>
        <v>#VALUE!</v>
      </c>
      <c r="CC95" t="e">
        <f>'SurveyRpt_20150223 (1)'!I590+"h_l!&amp;'~"</f>
        <v>#VALUE!</v>
      </c>
      <c r="CD95" t="e">
        <f>'SurveyRpt_20150223 (1)'!J590+"h_l!&amp;(#"</f>
        <v>#VALUE!</v>
      </c>
      <c r="CE95" t="e">
        <f>'SurveyRpt_20150223 (1)'!K590+"h_l!&amp;($"</f>
        <v>#VALUE!</v>
      </c>
      <c r="CF95" t="e">
        <f>'SurveyRpt_20150223 (1)'!L590+"h_l!&amp;(%"</f>
        <v>#VALUE!</v>
      </c>
      <c r="CG95" t="e">
        <f>'SurveyRpt_20150223 (1)'!M590+"h_l!&amp;(&amp;"</f>
        <v>#VALUE!</v>
      </c>
      <c r="CH95" t="e">
        <f>'SurveyRpt_20150223 (1)'!N590+"h_l!&amp;('"</f>
        <v>#VALUE!</v>
      </c>
      <c r="CI95" t="e">
        <f>'SurveyRpt_20150223 (1)'!O590+"h_l!&amp;(("</f>
        <v>#VALUE!</v>
      </c>
      <c r="CJ95" t="e">
        <f>'SurveyRpt_20150223 (1)'!P590+"h_l!&amp;()"</f>
        <v>#VALUE!</v>
      </c>
      <c r="CK95" t="e">
        <f>'SurveyRpt_20150223 (1)'!Q590+"h_l!&amp;(."</f>
        <v>#VALUE!</v>
      </c>
      <c r="CL95" t="e">
        <f>'SurveyRpt_20150223 (1)'!R590+"h_l!&amp;(/"</f>
        <v>#VALUE!</v>
      </c>
      <c r="CM95" t="e">
        <f>'SurveyRpt_20150223 (1)'!S590+"h_l!&amp;(0"</f>
        <v>#VALUE!</v>
      </c>
      <c r="CN95" t="e">
        <f>'SurveyRpt_20150223 (1)'!T590+"h_l!&amp;(1"</f>
        <v>#VALUE!</v>
      </c>
      <c r="CO95" t="e">
        <f>'SurveyRpt_20150223 (1)'!U590+"h_l!&amp;(2"</f>
        <v>#VALUE!</v>
      </c>
      <c r="CP95" t="e">
        <f>'SurveyRpt_20150223 (1)'!V590+"h_l!&amp;(3"</f>
        <v>#VALUE!</v>
      </c>
      <c r="CQ95" t="e">
        <f>'SurveyRpt_20150223 (1)'!W590+"h_l!&amp;(4"</f>
        <v>#VALUE!</v>
      </c>
      <c r="CR95" t="e">
        <f>'SurveyRpt_20150223 (1)'!X590+"h_l!&amp;(5"</f>
        <v>#VALUE!</v>
      </c>
      <c r="CS95" t="e">
        <f>'SurveyRpt_20150223 (1)'!Y590+"h_l!&amp;(6"</f>
        <v>#VALUE!</v>
      </c>
      <c r="CT95" t="e">
        <f>'SurveyRpt_20150223 (1)'!Z590+"h_l!&amp;(7"</f>
        <v>#VALUE!</v>
      </c>
      <c r="CU95" t="e">
        <f>'SurveyRpt_20150223 (1)'!AA590+"h_l!&amp;(8"</f>
        <v>#VALUE!</v>
      </c>
      <c r="CV95" t="e">
        <f>'SurveyRpt_20150223 (1)'!AB590+"h_l!&amp;(9"</f>
        <v>#VALUE!</v>
      </c>
      <c r="CW95" t="e">
        <f>'SurveyRpt_20150223 (1)'!AC590+"h_l!&amp;(:"</f>
        <v>#VALUE!</v>
      </c>
      <c r="CX95" t="e">
        <f>'SurveyRpt_20150223 (1)'!AD590+"h_l!&amp;(;"</f>
        <v>#VALUE!</v>
      </c>
      <c r="CY95" t="e">
        <f>'SurveyRpt_20150223 (1)'!AE590+"h_l!&amp;(&lt;"</f>
        <v>#VALUE!</v>
      </c>
      <c r="CZ95" t="e">
        <f>'SurveyRpt_20150223 (1)'!AF590+"h_l!&amp;(="</f>
        <v>#VALUE!</v>
      </c>
      <c r="DA95" t="e">
        <f>'SurveyRpt_20150223 (1)'!AG590+"h_l!&amp;(&gt;"</f>
        <v>#VALUE!</v>
      </c>
      <c r="DB95" t="e">
        <f>'SurveyRpt_20150223 (1)'!AH590+"h_l!&amp;(?"</f>
        <v>#VALUE!</v>
      </c>
      <c r="DC95" t="e">
        <f>'SurveyRpt_20150223 (1)'!AI590+"h_l!&amp;(@"</f>
        <v>#VALUE!</v>
      </c>
      <c r="DD95" t="e">
        <f>'SurveyRpt_20150223 (1)'!AJ590+"h_l!&amp;(A"</f>
        <v>#VALUE!</v>
      </c>
      <c r="DE95" t="e">
        <f>'SurveyRpt_20150223 (1)'!AK590+"h_l!&amp;(B"</f>
        <v>#VALUE!</v>
      </c>
      <c r="DF95" t="e">
        <f>'SurveyRpt_20150223 (1)'!AL590+"h_l!&amp;(C"</f>
        <v>#VALUE!</v>
      </c>
      <c r="DG95" t="e">
        <f>'SurveyRpt_20150223 (1)'!AM590+"h_l!&amp;(D"</f>
        <v>#VALUE!</v>
      </c>
      <c r="DH95" t="e">
        <f>'SurveyRpt_20150223 (1)'!AN590+"h_l!&amp;(E"</f>
        <v>#VALUE!</v>
      </c>
      <c r="DI95" t="e">
        <f>'SurveyRpt_20150223 (1)'!A591+"h_l!&amp;(F"</f>
        <v>#VALUE!</v>
      </c>
      <c r="DJ95" s="25" t="e">
        <f>'SurveyRpt_20150223 (1)'!B591+"h_l!&amp;(G"</f>
        <v>#VALUE!</v>
      </c>
      <c r="DK95" t="e">
        <f>'SurveyRpt_20150223 (1)'!C591+"h_l!&amp;(H"</f>
        <v>#VALUE!</v>
      </c>
      <c r="DL95" s="25" t="e">
        <f>'SurveyRpt_20150223 (1)'!D591+"h_l!&amp;(I"</f>
        <v>#VALUE!</v>
      </c>
      <c r="DM95" t="e">
        <f>'SurveyRpt_20150223 (1)'!E591+"h_l!&amp;(J"</f>
        <v>#VALUE!</v>
      </c>
      <c r="DN95" t="e">
        <f>'SurveyRpt_20150223 (1)'!F591+"h_l!&amp;(K"</f>
        <v>#VALUE!</v>
      </c>
      <c r="DO95" t="e">
        <f>'SurveyRpt_20150223 (1)'!G591+"h_l!&amp;(L"</f>
        <v>#VALUE!</v>
      </c>
      <c r="DP95" t="e">
        <f>'SurveyRpt_20150223 (1)'!H591+"h_l!&amp;(M"</f>
        <v>#VALUE!</v>
      </c>
      <c r="DQ95" t="e">
        <f>'SurveyRpt_20150223 (1)'!I591+"h_l!&amp;(N"</f>
        <v>#VALUE!</v>
      </c>
      <c r="DR95" t="e">
        <f>'SurveyRpt_20150223 (1)'!J591+"h_l!&amp;(O"</f>
        <v>#VALUE!</v>
      </c>
      <c r="DS95" t="e">
        <f>'SurveyRpt_20150223 (1)'!K591+"h_l!&amp;(P"</f>
        <v>#VALUE!</v>
      </c>
      <c r="DT95" t="e">
        <f>'SurveyRpt_20150223 (1)'!L591+"h_l!&amp;(Q"</f>
        <v>#VALUE!</v>
      </c>
      <c r="DU95" t="e">
        <f>'SurveyRpt_20150223 (1)'!M591+"h_l!&amp;(R"</f>
        <v>#VALUE!</v>
      </c>
      <c r="DV95" t="e">
        <f>'SurveyRpt_20150223 (1)'!N591+"h_l!&amp;(S"</f>
        <v>#VALUE!</v>
      </c>
      <c r="DW95" t="e">
        <f>'SurveyRpt_20150223 (1)'!O591+"h_l!&amp;(T"</f>
        <v>#VALUE!</v>
      </c>
      <c r="DX95" t="e">
        <f>'SurveyRpt_20150223 (1)'!P591+"h_l!&amp;(U"</f>
        <v>#VALUE!</v>
      </c>
      <c r="DY95" t="e">
        <f>'SurveyRpt_20150223 (1)'!Q591+"h_l!&amp;(V"</f>
        <v>#VALUE!</v>
      </c>
      <c r="DZ95" t="e">
        <f>'SurveyRpt_20150223 (1)'!R591+"h_l!&amp;(W"</f>
        <v>#VALUE!</v>
      </c>
      <c r="EA95" t="e">
        <f>'SurveyRpt_20150223 (1)'!S591+"h_l!&amp;(X"</f>
        <v>#VALUE!</v>
      </c>
      <c r="EB95" t="e">
        <f>'SurveyRpt_20150223 (1)'!T591+"h_l!&amp;(Y"</f>
        <v>#VALUE!</v>
      </c>
      <c r="EC95" t="e">
        <f>'SurveyRpt_20150223 (1)'!U591+"h_l!&amp;(Z"</f>
        <v>#VALUE!</v>
      </c>
      <c r="ED95" t="e">
        <f>'SurveyRpt_20150223 (1)'!V591+"h_l!&amp;(["</f>
        <v>#VALUE!</v>
      </c>
      <c r="EE95" t="e">
        <f>'SurveyRpt_20150223 (1)'!W591+"h_l!&amp;(\"</f>
        <v>#VALUE!</v>
      </c>
      <c r="EF95" t="e">
        <f>'SurveyRpt_20150223 (1)'!X591+"h_l!&amp;(]"</f>
        <v>#VALUE!</v>
      </c>
      <c r="EG95" t="e">
        <f>'SurveyRpt_20150223 (1)'!Y591+"h_l!&amp;(^"</f>
        <v>#VALUE!</v>
      </c>
      <c r="EH95" t="e">
        <f>'SurveyRpt_20150223 (1)'!Z591+"h_l!&amp;(_"</f>
        <v>#VALUE!</v>
      </c>
      <c r="EI95" t="e">
        <f>'SurveyRpt_20150223 (1)'!AA591+"h_l!&amp;(`"</f>
        <v>#VALUE!</v>
      </c>
      <c r="EJ95" t="e">
        <f>'SurveyRpt_20150223 (1)'!AB591+"h_l!&amp;(a"</f>
        <v>#VALUE!</v>
      </c>
      <c r="EK95" t="e">
        <f>'SurveyRpt_20150223 (1)'!AC591+"h_l!&amp;(b"</f>
        <v>#VALUE!</v>
      </c>
      <c r="EL95" t="e">
        <f>'SurveyRpt_20150223 (1)'!AD591+"h_l!&amp;(c"</f>
        <v>#VALUE!</v>
      </c>
      <c r="EM95" t="e">
        <f>'SurveyRpt_20150223 (1)'!AE591+"h_l!&amp;(d"</f>
        <v>#VALUE!</v>
      </c>
      <c r="EN95" t="e">
        <f>'SurveyRpt_20150223 (1)'!AF591+"h_l!&amp;(e"</f>
        <v>#VALUE!</v>
      </c>
      <c r="EO95" t="e">
        <f>'SurveyRpt_20150223 (1)'!AG591+"h_l!&amp;(f"</f>
        <v>#VALUE!</v>
      </c>
      <c r="EP95" t="e">
        <f>'SurveyRpt_20150223 (1)'!AH591+"h_l!&amp;(g"</f>
        <v>#VALUE!</v>
      </c>
      <c r="EQ95" t="e">
        <f>'SurveyRpt_20150223 (1)'!AI591+"h_l!&amp;(h"</f>
        <v>#VALUE!</v>
      </c>
      <c r="ER95" t="e">
        <f>'SurveyRpt_20150223 (1)'!AJ591+"h_l!&amp;(i"</f>
        <v>#VALUE!</v>
      </c>
      <c r="ES95" t="e">
        <f>'SurveyRpt_20150223 (1)'!AK591+"h_l!&amp;(j"</f>
        <v>#VALUE!</v>
      </c>
      <c r="ET95" t="e">
        <f>'SurveyRpt_20150223 (1)'!AL591+"h_l!&amp;(k"</f>
        <v>#VALUE!</v>
      </c>
      <c r="EU95" t="e">
        <f>'SurveyRpt_20150223 (1)'!AM591+"h_l!&amp;(l"</f>
        <v>#VALUE!</v>
      </c>
      <c r="EV95" t="e">
        <f>'SurveyRpt_20150223 (1)'!AN591+"h_l!&amp;(m"</f>
        <v>#VALUE!</v>
      </c>
      <c r="EW95" t="e">
        <f>'SurveyRpt_20150223 (1)'!A592+"h_l!&amp;(n"</f>
        <v>#VALUE!</v>
      </c>
      <c r="EX95" s="25" t="e">
        <f>'SurveyRpt_20150223 (1)'!B592+"h_l!&amp;(o"</f>
        <v>#VALUE!</v>
      </c>
      <c r="EY95" t="e">
        <f>'SurveyRpt_20150223 (1)'!C592+"h_l!&amp;(p"</f>
        <v>#VALUE!</v>
      </c>
      <c r="EZ95" s="25" t="e">
        <f>'SurveyRpt_20150223 (1)'!D592+"h_l!&amp;(q"</f>
        <v>#VALUE!</v>
      </c>
      <c r="FA95" t="e">
        <f>'SurveyRpt_20150223 (1)'!E592+"h_l!&amp;(r"</f>
        <v>#VALUE!</v>
      </c>
      <c r="FB95" t="e">
        <f>'SurveyRpt_20150223 (1)'!F592+"h_l!&amp;(s"</f>
        <v>#VALUE!</v>
      </c>
      <c r="FC95" t="e">
        <f>'SurveyRpt_20150223 (1)'!G592+"h_l!&amp;(t"</f>
        <v>#VALUE!</v>
      </c>
      <c r="FD95" t="e">
        <f>'SurveyRpt_20150223 (1)'!H592+"h_l!&amp;(u"</f>
        <v>#VALUE!</v>
      </c>
      <c r="FE95" t="e">
        <f>'SurveyRpt_20150223 (1)'!I592+"h_l!&amp;(v"</f>
        <v>#VALUE!</v>
      </c>
      <c r="FF95" t="e">
        <f>'SurveyRpt_20150223 (1)'!J592+"h_l!&amp;(w"</f>
        <v>#VALUE!</v>
      </c>
      <c r="FG95" t="e">
        <f>'SurveyRpt_20150223 (1)'!K592+"h_l!&amp;(x"</f>
        <v>#VALUE!</v>
      </c>
      <c r="FH95" t="e">
        <f>'SurveyRpt_20150223 (1)'!L592+"h_l!&amp;(y"</f>
        <v>#VALUE!</v>
      </c>
      <c r="FI95" t="e">
        <f>'SurveyRpt_20150223 (1)'!M592+"h_l!&amp;(z"</f>
        <v>#VALUE!</v>
      </c>
      <c r="FJ95" t="e">
        <f>'SurveyRpt_20150223 (1)'!N592+"h_l!&amp;({"</f>
        <v>#VALUE!</v>
      </c>
      <c r="FK95" t="e">
        <f>'SurveyRpt_20150223 (1)'!O592+"h_l!&amp;(|"</f>
        <v>#VALUE!</v>
      </c>
      <c r="FL95" t="e">
        <f>'SurveyRpt_20150223 (1)'!P592+"h_l!&amp;(}"</f>
        <v>#VALUE!</v>
      </c>
      <c r="FM95" t="e">
        <f>'SurveyRpt_20150223 (1)'!Q592+"h_l!&amp;(~"</f>
        <v>#VALUE!</v>
      </c>
      <c r="FN95" t="e">
        <f>'SurveyRpt_20150223 (1)'!R592+"h_l!&amp;)#"</f>
        <v>#VALUE!</v>
      </c>
      <c r="FO95" t="e">
        <f>'SurveyRpt_20150223 (1)'!S592+"h_l!&amp;)$"</f>
        <v>#VALUE!</v>
      </c>
      <c r="FP95" t="e">
        <f>'SurveyRpt_20150223 (1)'!T592+"h_l!&amp;)%"</f>
        <v>#VALUE!</v>
      </c>
      <c r="FQ95" t="e">
        <f>'SurveyRpt_20150223 (1)'!U592+"h_l!&amp;)&amp;"</f>
        <v>#VALUE!</v>
      </c>
      <c r="FR95" t="e">
        <f>'SurveyRpt_20150223 (1)'!V592+"h_l!&amp;)'"</f>
        <v>#VALUE!</v>
      </c>
      <c r="FS95" t="e">
        <f>'SurveyRpt_20150223 (1)'!W592+"h_l!&amp;)("</f>
        <v>#VALUE!</v>
      </c>
      <c r="FT95" t="e">
        <f>'SurveyRpt_20150223 (1)'!X592+"h_l!&amp;))"</f>
        <v>#VALUE!</v>
      </c>
      <c r="FU95" t="e">
        <f>'SurveyRpt_20150223 (1)'!Y592+"h_l!&amp;)."</f>
        <v>#VALUE!</v>
      </c>
      <c r="FV95" t="e">
        <f>'SurveyRpt_20150223 (1)'!Z592+"h_l!&amp;)/"</f>
        <v>#VALUE!</v>
      </c>
      <c r="FW95" t="e">
        <f>'SurveyRpt_20150223 (1)'!AA592+"h_l!&amp;)0"</f>
        <v>#VALUE!</v>
      </c>
      <c r="FX95" t="e">
        <f>'SurveyRpt_20150223 (1)'!AB592+"h_l!&amp;)1"</f>
        <v>#VALUE!</v>
      </c>
      <c r="FY95" t="e">
        <f>'SurveyRpt_20150223 (1)'!AC592+"h_l!&amp;)2"</f>
        <v>#VALUE!</v>
      </c>
      <c r="FZ95" t="e">
        <f>'SurveyRpt_20150223 (1)'!AD592+"h_l!&amp;)3"</f>
        <v>#VALUE!</v>
      </c>
      <c r="GA95" t="e">
        <f>'SurveyRpt_20150223 (1)'!AE592+"h_l!&amp;)4"</f>
        <v>#VALUE!</v>
      </c>
      <c r="GB95" t="e">
        <f>'SurveyRpt_20150223 (1)'!AF592+"h_l!&amp;)5"</f>
        <v>#VALUE!</v>
      </c>
      <c r="GC95" t="e">
        <f>'SurveyRpt_20150223 (1)'!AG592+"h_l!&amp;)6"</f>
        <v>#VALUE!</v>
      </c>
      <c r="GD95" t="e">
        <f>'SurveyRpt_20150223 (1)'!AH592+"h_l!&amp;)7"</f>
        <v>#VALUE!</v>
      </c>
      <c r="GE95" t="e">
        <f>'SurveyRpt_20150223 (1)'!AI592+"h_l!&amp;)8"</f>
        <v>#VALUE!</v>
      </c>
      <c r="GF95" t="e">
        <f>'SurveyRpt_20150223 (1)'!AJ592+"h_l!&amp;)9"</f>
        <v>#VALUE!</v>
      </c>
      <c r="GG95" t="e">
        <f>'SurveyRpt_20150223 (1)'!AK592+"h_l!&amp;):"</f>
        <v>#VALUE!</v>
      </c>
      <c r="GH95" t="e">
        <f>'SurveyRpt_20150223 (1)'!AL592+"h_l!&amp;);"</f>
        <v>#VALUE!</v>
      </c>
      <c r="GI95" t="e">
        <f>'SurveyRpt_20150223 (1)'!AM592+"h_l!&amp;)&lt;"</f>
        <v>#VALUE!</v>
      </c>
      <c r="GJ95" t="e">
        <f>'SurveyRpt_20150223 (1)'!AN592+"h_l!&amp;)="</f>
        <v>#VALUE!</v>
      </c>
      <c r="GK95" t="e">
        <f>'SurveyRpt_20150223 (1)'!A593+"h_l!&amp;)&gt;"</f>
        <v>#VALUE!</v>
      </c>
      <c r="GL95" s="25" t="e">
        <f>'SurveyRpt_20150223 (1)'!B593+"h_l!&amp;)?"</f>
        <v>#VALUE!</v>
      </c>
      <c r="GM95" t="e">
        <f>'SurveyRpt_20150223 (1)'!C593+"h_l!&amp;)@"</f>
        <v>#VALUE!</v>
      </c>
      <c r="GN95" s="25" t="e">
        <f>'SurveyRpt_20150223 (1)'!D593+"h_l!&amp;)A"</f>
        <v>#VALUE!</v>
      </c>
      <c r="GO95" t="e">
        <f>'SurveyRpt_20150223 (1)'!E593+"h_l!&amp;)B"</f>
        <v>#VALUE!</v>
      </c>
      <c r="GP95" t="e">
        <f>'SurveyRpt_20150223 (1)'!F593+"h_l!&amp;)C"</f>
        <v>#VALUE!</v>
      </c>
      <c r="GQ95" t="e">
        <f>'SurveyRpt_20150223 (1)'!G593+"h_l!&amp;)D"</f>
        <v>#VALUE!</v>
      </c>
      <c r="GR95" t="e">
        <f>'SurveyRpt_20150223 (1)'!H593+"h_l!&amp;)E"</f>
        <v>#VALUE!</v>
      </c>
      <c r="GS95" t="e">
        <f>'SurveyRpt_20150223 (1)'!I593+"h_l!&amp;)F"</f>
        <v>#VALUE!</v>
      </c>
      <c r="GT95" t="e">
        <f>'SurveyRpt_20150223 (1)'!J593+"h_l!&amp;)G"</f>
        <v>#VALUE!</v>
      </c>
      <c r="GU95" t="e">
        <f>'SurveyRpt_20150223 (1)'!K593+"h_l!&amp;)H"</f>
        <v>#VALUE!</v>
      </c>
      <c r="GV95" t="e">
        <f>'SurveyRpt_20150223 (1)'!L593+"h_l!&amp;)I"</f>
        <v>#VALUE!</v>
      </c>
      <c r="GW95" t="e">
        <f>'SurveyRpt_20150223 (1)'!M593+"h_l!&amp;)J"</f>
        <v>#VALUE!</v>
      </c>
      <c r="GX95" t="e">
        <f>'SurveyRpt_20150223 (1)'!N593+"h_l!&amp;)K"</f>
        <v>#VALUE!</v>
      </c>
      <c r="GY95" t="e">
        <f>'SurveyRpt_20150223 (1)'!O593+"h_l!&amp;)L"</f>
        <v>#VALUE!</v>
      </c>
      <c r="GZ95" t="e">
        <f>'SurveyRpt_20150223 (1)'!P593+"h_l!&amp;)M"</f>
        <v>#VALUE!</v>
      </c>
      <c r="HA95" t="e">
        <f>'SurveyRpt_20150223 (1)'!Q593+"h_l!&amp;)N"</f>
        <v>#VALUE!</v>
      </c>
      <c r="HB95" t="e">
        <f>'SurveyRpt_20150223 (1)'!R593+"h_l!&amp;)O"</f>
        <v>#VALUE!</v>
      </c>
      <c r="HC95" t="e">
        <f>'SurveyRpt_20150223 (1)'!S593+"h_l!&amp;)P"</f>
        <v>#VALUE!</v>
      </c>
      <c r="HD95" t="e">
        <f>'SurveyRpt_20150223 (1)'!T593+"h_l!&amp;)Q"</f>
        <v>#VALUE!</v>
      </c>
      <c r="HE95" t="e">
        <f>'SurveyRpt_20150223 (1)'!U593+"h_l!&amp;)R"</f>
        <v>#VALUE!</v>
      </c>
      <c r="HF95" t="e">
        <f>'SurveyRpt_20150223 (1)'!V593+"h_l!&amp;)S"</f>
        <v>#VALUE!</v>
      </c>
      <c r="HG95" t="e">
        <f>'SurveyRpt_20150223 (1)'!W593+"h_l!&amp;)T"</f>
        <v>#VALUE!</v>
      </c>
      <c r="HH95" t="e">
        <f>'SurveyRpt_20150223 (1)'!X593+"h_l!&amp;)U"</f>
        <v>#VALUE!</v>
      </c>
      <c r="HI95" t="e">
        <f>'SurveyRpt_20150223 (1)'!Y593+"h_l!&amp;)V"</f>
        <v>#VALUE!</v>
      </c>
      <c r="HJ95" t="e">
        <f>'SurveyRpt_20150223 (1)'!Z593+"h_l!&amp;)W"</f>
        <v>#VALUE!</v>
      </c>
      <c r="HK95" t="e">
        <f>'SurveyRpt_20150223 (1)'!AA593+"h_l!&amp;)X"</f>
        <v>#VALUE!</v>
      </c>
      <c r="HL95" t="e">
        <f>'SurveyRpt_20150223 (1)'!AB593+"h_l!&amp;)Y"</f>
        <v>#VALUE!</v>
      </c>
      <c r="HM95" t="e">
        <f>'SurveyRpt_20150223 (1)'!AC593+"h_l!&amp;)Z"</f>
        <v>#VALUE!</v>
      </c>
      <c r="HN95" t="e">
        <f>'SurveyRpt_20150223 (1)'!AD593+"h_l!&amp;)["</f>
        <v>#VALUE!</v>
      </c>
      <c r="HO95" t="e">
        <f>'SurveyRpt_20150223 (1)'!AE593+"h_l!&amp;)\"</f>
        <v>#VALUE!</v>
      </c>
      <c r="HP95" t="e">
        <f>'SurveyRpt_20150223 (1)'!AF593+"h_l!&amp;)]"</f>
        <v>#VALUE!</v>
      </c>
      <c r="HQ95" t="e">
        <f>'SurveyRpt_20150223 (1)'!AG593+"h_l!&amp;)^"</f>
        <v>#VALUE!</v>
      </c>
      <c r="HR95" t="e">
        <f>'SurveyRpt_20150223 (1)'!AH593+"h_l!&amp;)_"</f>
        <v>#VALUE!</v>
      </c>
      <c r="HS95" t="e">
        <f>'SurveyRpt_20150223 (1)'!AI593+"h_l!&amp;)`"</f>
        <v>#VALUE!</v>
      </c>
      <c r="HT95" t="e">
        <f>'SurveyRpt_20150223 (1)'!AJ593+"h_l!&amp;)a"</f>
        <v>#VALUE!</v>
      </c>
      <c r="HU95" t="e">
        <f>'SurveyRpt_20150223 (1)'!AK593+"h_l!&amp;)b"</f>
        <v>#VALUE!</v>
      </c>
      <c r="HV95" t="e">
        <f>'SurveyRpt_20150223 (1)'!AL593+"h_l!&amp;)c"</f>
        <v>#VALUE!</v>
      </c>
      <c r="HW95" t="e">
        <f>'SurveyRpt_20150223 (1)'!AM593+"h_l!&amp;)d"</f>
        <v>#VALUE!</v>
      </c>
      <c r="HX95" t="e">
        <f>'SurveyRpt_20150223 (1)'!AN593+"h_l!&amp;)e"</f>
        <v>#VALUE!</v>
      </c>
      <c r="HY95" t="e">
        <f>'SurveyRpt_20150223 (1)'!A594+"h_l!&amp;)f"</f>
        <v>#VALUE!</v>
      </c>
      <c r="HZ95" s="25" t="e">
        <f>'SurveyRpt_20150223 (1)'!B594+"h_l!&amp;)g"</f>
        <v>#VALUE!</v>
      </c>
      <c r="IA95" t="e">
        <f>'SurveyRpt_20150223 (1)'!C594+"h_l!&amp;)h"</f>
        <v>#VALUE!</v>
      </c>
      <c r="IB95" s="25" t="e">
        <f>'SurveyRpt_20150223 (1)'!D594+"h_l!&amp;)i"</f>
        <v>#VALUE!</v>
      </c>
      <c r="IC95" t="e">
        <f>'SurveyRpt_20150223 (1)'!E594+"h_l!&amp;)j"</f>
        <v>#VALUE!</v>
      </c>
      <c r="ID95" t="e">
        <f>'SurveyRpt_20150223 (1)'!F594+"h_l!&amp;)k"</f>
        <v>#VALUE!</v>
      </c>
      <c r="IE95" t="e">
        <f>'SurveyRpt_20150223 (1)'!G594+"h_l!&amp;)l"</f>
        <v>#VALUE!</v>
      </c>
      <c r="IF95" t="e">
        <f>'SurveyRpt_20150223 (1)'!H594+"h_l!&amp;)m"</f>
        <v>#VALUE!</v>
      </c>
      <c r="IG95" t="e">
        <f>'SurveyRpt_20150223 (1)'!I594+"h_l!&amp;)n"</f>
        <v>#VALUE!</v>
      </c>
      <c r="IH95" t="e">
        <f>'SurveyRpt_20150223 (1)'!J594+"h_l!&amp;)o"</f>
        <v>#VALUE!</v>
      </c>
      <c r="II95" t="e">
        <f>'SurveyRpt_20150223 (1)'!K594+"h_l!&amp;)p"</f>
        <v>#VALUE!</v>
      </c>
      <c r="IJ95" t="e">
        <f>'SurveyRpt_20150223 (1)'!L594+"h_l!&amp;)q"</f>
        <v>#VALUE!</v>
      </c>
      <c r="IK95" t="e">
        <f>'SurveyRpt_20150223 (1)'!M594+"h_l!&amp;)r"</f>
        <v>#VALUE!</v>
      </c>
      <c r="IL95" t="e">
        <f>'SurveyRpt_20150223 (1)'!N594+"h_l!&amp;)s"</f>
        <v>#VALUE!</v>
      </c>
      <c r="IM95" t="e">
        <f>'SurveyRpt_20150223 (1)'!O594+"h_l!&amp;)t"</f>
        <v>#VALUE!</v>
      </c>
      <c r="IN95" t="e">
        <f>'SurveyRpt_20150223 (1)'!P594+"h_l!&amp;)u"</f>
        <v>#VALUE!</v>
      </c>
      <c r="IO95" t="e">
        <f>'SurveyRpt_20150223 (1)'!Q594+"h_l!&amp;)v"</f>
        <v>#VALUE!</v>
      </c>
      <c r="IP95" t="e">
        <f>'SurveyRpt_20150223 (1)'!R594+"h_l!&amp;)w"</f>
        <v>#VALUE!</v>
      </c>
      <c r="IQ95" t="e">
        <f>'SurveyRpt_20150223 (1)'!S594+"h_l!&amp;)x"</f>
        <v>#VALUE!</v>
      </c>
      <c r="IR95" t="e">
        <f>'SurveyRpt_20150223 (1)'!T594+"h_l!&amp;)y"</f>
        <v>#VALUE!</v>
      </c>
      <c r="IS95" t="e">
        <f>'SurveyRpt_20150223 (1)'!U594+"h_l!&amp;)z"</f>
        <v>#VALUE!</v>
      </c>
      <c r="IT95" t="e">
        <f>'SurveyRpt_20150223 (1)'!V594+"h_l!&amp;){"</f>
        <v>#VALUE!</v>
      </c>
      <c r="IU95" t="e">
        <f>'SurveyRpt_20150223 (1)'!W594+"h_l!&amp;)|"</f>
        <v>#VALUE!</v>
      </c>
      <c r="IV95" t="e">
        <f>'SurveyRpt_20150223 (1)'!X594+"h_l!&amp;)}"</f>
        <v>#VALUE!</v>
      </c>
    </row>
    <row r="96" spans="6:256" x14ac:dyDescent="0.25">
      <c r="F96" t="e">
        <f>'SurveyRpt_20150223 (1)'!Y594+"h_l!&amp;)~"</f>
        <v>#VALUE!</v>
      </c>
      <c r="G96" t="e">
        <f>'SurveyRpt_20150223 (1)'!Z594+"h_l!&amp;.#"</f>
        <v>#VALUE!</v>
      </c>
      <c r="H96" t="e">
        <f>'SurveyRpt_20150223 (1)'!AA594+"h_l!&amp;.$"</f>
        <v>#VALUE!</v>
      </c>
      <c r="I96" t="e">
        <f>'SurveyRpt_20150223 (1)'!AB594+"h_l!&amp;.%"</f>
        <v>#VALUE!</v>
      </c>
      <c r="J96" t="e">
        <f>'SurveyRpt_20150223 (1)'!AC594+"h_l!&amp;.&amp;"</f>
        <v>#VALUE!</v>
      </c>
      <c r="K96" t="e">
        <f>'SurveyRpt_20150223 (1)'!AD594+"h_l!&amp;.'"</f>
        <v>#VALUE!</v>
      </c>
      <c r="L96" t="e">
        <f>'SurveyRpt_20150223 (1)'!AE594+"h_l!&amp;.("</f>
        <v>#VALUE!</v>
      </c>
      <c r="M96" t="e">
        <f>'SurveyRpt_20150223 (1)'!AF594+"h_l!&amp;.)"</f>
        <v>#VALUE!</v>
      </c>
      <c r="N96" t="e">
        <f>'SurveyRpt_20150223 (1)'!AG594+"h_l!&amp;.."</f>
        <v>#VALUE!</v>
      </c>
      <c r="O96" t="e">
        <f>'SurveyRpt_20150223 (1)'!AH594+"h_l!&amp;./"</f>
        <v>#VALUE!</v>
      </c>
      <c r="P96" t="e">
        <f>'SurveyRpt_20150223 (1)'!AI594+"h_l!&amp;.0"</f>
        <v>#VALUE!</v>
      </c>
      <c r="Q96" t="e">
        <f>'SurveyRpt_20150223 (1)'!AJ594+"h_l!&amp;.1"</f>
        <v>#VALUE!</v>
      </c>
      <c r="R96" t="e">
        <f>'SurveyRpt_20150223 (1)'!AK594+"h_l!&amp;.2"</f>
        <v>#VALUE!</v>
      </c>
      <c r="S96" t="e">
        <f>'SurveyRpt_20150223 (1)'!AL594+"h_l!&amp;.3"</f>
        <v>#VALUE!</v>
      </c>
      <c r="T96" t="e">
        <f>'SurveyRpt_20150223 (1)'!AM594+"h_l!&amp;.4"</f>
        <v>#VALUE!</v>
      </c>
      <c r="U96" t="e">
        <f>'SurveyRpt_20150223 (1)'!AN594+"h_l!&amp;.5"</f>
        <v>#VALUE!</v>
      </c>
      <c r="V96" t="e">
        <f>'SurveyRpt_20150223 (1)'!A595+"h_l!&amp;.6"</f>
        <v>#VALUE!</v>
      </c>
      <c r="W96" s="25" t="e">
        <f>'SurveyRpt_20150223 (1)'!B595+"h_l!&amp;.7"</f>
        <v>#VALUE!</v>
      </c>
      <c r="X96" t="e">
        <f>'SurveyRpt_20150223 (1)'!C595+"h_l!&amp;.8"</f>
        <v>#VALUE!</v>
      </c>
      <c r="Y96" s="25" t="e">
        <f>'SurveyRpt_20150223 (1)'!D595+"h_l!&amp;.9"</f>
        <v>#VALUE!</v>
      </c>
      <c r="Z96" t="e">
        <f>'SurveyRpt_20150223 (1)'!E595+"h_l!&amp;.:"</f>
        <v>#VALUE!</v>
      </c>
      <c r="AA96" t="e">
        <f>'SurveyRpt_20150223 (1)'!F595+"h_l!&amp;.;"</f>
        <v>#VALUE!</v>
      </c>
      <c r="AB96" t="e">
        <f>'SurveyRpt_20150223 (1)'!G595+"h_l!&amp;.&lt;"</f>
        <v>#VALUE!</v>
      </c>
      <c r="AC96" t="e">
        <f>'SurveyRpt_20150223 (1)'!H595+"h_l!&amp;.="</f>
        <v>#VALUE!</v>
      </c>
      <c r="AD96" t="e">
        <f>'SurveyRpt_20150223 (1)'!I595+"h_l!&amp;.&gt;"</f>
        <v>#VALUE!</v>
      </c>
      <c r="AE96" t="e">
        <f>'SurveyRpt_20150223 (1)'!J595+"h_l!&amp;.?"</f>
        <v>#VALUE!</v>
      </c>
      <c r="AF96" t="e">
        <f>'SurveyRpt_20150223 (1)'!K595+"h_l!&amp;.@"</f>
        <v>#VALUE!</v>
      </c>
      <c r="AG96" t="e">
        <f>'SurveyRpt_20150223 (1)'!L595+"h_l!&amp;.A"</f>
        <v>#VALUE!</v>
      </c>
      <c r="AH96" t="e">
        <f>'SurveyRpt_20150223 (1)'!M595+"h_l!&amp;.B"</f>
        <v>#VALUE!</v>
      </c>
      <c r="AI96" t="e">
        <f>'SurveyRpt_20150223 (1)'!N595+"h_l!&amp;.C"</f>
        <v>#VALUE!</v>
      </c>
      <c r="AJ96" t="e">
        <f>'SurveyRpt_20150223 (1)'!O595+"h_l!&amp;.D"</f>
        <v>#VALUE!</v>
      </c>
      <c r="AK96" t="e">
        <f>'SurveyRpt_20150223 (1)'!P595+"h_l!&amp;.E"</f>
        <v>#VALUE!</v>
      </c>
      <c r="AL96" t="e">
        <f>'SurveyRpt_20150223 (1)'!Q595+"h_l!&amp;.F"</f>
        <v>#VALUE!</v>
      </c>
      <c r="AM96" t="e">
        <f>'SurveyRpt_20150223 (1)'!R595+"h_l!&amp;.G"</f>
        <v>#VALUE!</v>
      </c>
      <c r="AN96" t="e">
        <f>'SurveyRpt_20150223 (1)'!S595+"h_l!&amp;.H"</f>
        <v>#VALUE!</v>
      </c>
      <c r="AO96" t="e">
        <f>'SurveyRpt_20150223 (1)'!T595+"h_l!&amp;.I"</f>
        <v>#VALUE!</v>
      </c>
      <c r="AP96" t="e">
        <f>'SurveyRpt_20150223 (1)'!U595+"h_l!&amp;.J"</f>
        <v>#VALUE!</v>
      </c>
      <c r="AQ96" t="e">
        <f>'SurveyRpt_20150223 (1)'!V595+"h_l!&amp;.K"</f>
        <v>#VALUE!</v>
      </c>
      <c r="AR96" t="e">
        <f>'SurveyRpt_20150223 (1)'!W595+"h_l!&amp;.L"</f>
        <v>#VALUE!</v>
      </c>
      <c r="AS96" t="e">
        <f>'SurveyRpt_20150223 (1)'!X595+"h_l!&amp;.M"</f>
        <v>#VALUE!</v>
      </c>
      <c r="AT96" t="e">
        <f>'SurveyRpt_20150223 (1)'!Y595+"h_l!&amp;.N"</f>
        <v>#VALUE!</v>
      </c>
      <c r="AU96" t="e">
        <f>'SurveyRpt_20150223 (1)'!Z595+"h_l!&amp;.O"</f>
        <v>#VALUE!</v>
      </c>
      <c r="AV96" t="e">
        <f>'SurveyRpt_20150223 (1)'!AA595+"h_l!&amp;.P"</f>
        <v>#VALUE!</v>
      </c>
      <c r="AW96" t="e">
        <f>'SurveyRpt_20150223 (1)'!AB595+"h_l!&amp;.Q"</f>
        <v>#VALUE!</v>
      </c>
      <c r="AX96" t="e">
        <f>'SurveyRpt_20150223 (1)'!AC595+"h_l!&amp;.R"</f>
        <v>#VALUE!</v>
      </c>
      <c r="AY96" t="e">
        <f>'SurveyRpt_20150223 (1)'!AD595+"h_l!&amp;.S"</f>
        <v>#VALUE!</v>
      </c>
      <c r="AZ96" t="e">
        <f>'SurveyRpt_20150223 (1)'!AE595+"h_l!&amp;.T"</f>
        <v>#VALUE!</v>
      </c>
      <c r="BA96" t="e">
        <f>'SurveyRpt_20150223 (1)'!AF595+"h_l!&amp;.U"</f>
        <v>#VALUE!</v>
      </c>
      <c r="BB96" t="e">
        <f>'SurveyRpt_20150223 (1)'!AG595+"h_l!&amp;.V"</f>
        <v>#VALUE!</v>
      </c>
      <c r="BC96" t="e">
        <f>'SurveyRpt_20150223 (1)'!AH595+"h_l!&amp;.W"</f>
        <v>#VALUE!</v>
      </c>
      <c r="BD96" t="e">
        <f>'SurveyRpt_20150223 (1)'!AI595+"h_l!&amp;.X"</f>
        <v>#VALUE!</v>
      </c>
      <c r="BE96" t="e">
        <f>'SurveyRpt_20150223 (1)'!AJ595+"h_l!&amp;.Y"</f>
        <v>#VALUE!</v>
      </c>
      <c r="BF96" t="e">
        <f>'SurveyRpt_20150223 (1)'!AK595+"h_l!&amp;.Z"</f>
        <v>#VALUE!</v>
      </c>
      <c r="BG96" t="e">
        <f>'SurveyRpt_20150223 (1)'!AL595+"h_l!&amp;.["</f>
        <v>#VALUE!</v>
      </c>
      <c r="BH96" t="e">
        <f>'SurveyRpt_20150223 (1)'!AM595+"h_l!&amp;.\"</f>
        <v>#VALUE!</v>
      </c>
      <c r="BI96" t="e">
        <f>'SurveyRpt_20150223 (1)'!AN595+"h_l!&amp;.]"</f>
        <v>#VALUE!</v>
      </c>
      <c r="BJ96" t="e">
        <f>'SurveyRpt_20150223 (1)'!A596+"h_l!&amp;.^"</f>
        <v>#VALUE!</v>
      </c>
      <c r="BK96" s="25" t="e">
        <f>'SurveyRpt_20150223 (1)'!B596+"h_l!&amp;._"</f>
        <v>#VALUE!</v>
      </c>
      <c r="BL96" t="e">
        <f>'SurveyRpt_20150223 (1)'!C596+"h_l!&amp;.`"</f>
        <v>#VALUE!</v>
      </c>
      <c r="BM96" s="25" t="e">
        <f>'SurveyRpt_20150223 (1)'!D596+"h_l!&amp;.a"</f>
        <v>#VALUE!</v>
      </c>
      <c r="BN96" t="e">
        <f>'SurveyRpt_20150223 (1)'!E596+"h_l!&amp;.b"</f>
        <v>#VALUE!</v>
      </c>
      <c r="BO96" t="e">
        <f>'SurveyRpt_20150223 (1)'!F596+"h_l!&amp;.c"</f>
        <v>#VALUE!</v>
      </c>
      <c r="BP96" t="e">
        <f>'SurveyRpt_20150223 (1)'!G596+"h_l!&amp;.d"</f>
        <v>#VALUE!</v>
      </c>
      <c r="BQ96" t="e">
        <f>'SurveyRpt_20150223 (1)'!H596+"h_l!&amp;.e"</f>
        <v>#VALUE!</v>
      </c>
      <c r="BR96" t="e">
        <f>'SurveyRpt_20150223 (1)'!I596+"h_l!&amp;.f"</f>
        <v>#VALUE!</v>
      </c>
      <c r="BS96" t="e">
        <f>'SurveyRpt_20150223 (1)'!J596+"h_l!&amp;.g"</f>
        <v>#VALUE!</v>
      </c>
      <c r="BT96" t="e">
        <f>'SurveyRpt_20150223 (1)'!K596+"h_l!&amp;.h"</f>
        <v>#VALUE!</v>
      </c>
      <c r="BU96" t="e">
        <f>'SurveyRpt_20150223 (1)'!L596+"h_l!&amp;.i"</f>
        <v>#VALUE!</v>
      </c>
      <c r="BV96" t="e">
        <f>'SurveyRpt_20150223 (1)'!M596+"h_l!&amp;.j"</f>
        <v>#VALUE!</v>
      </c>
      <c r="BW96" t="e">
        <f>'SurveyRpt_20150223 (1)'!N596+"h_l!&amp;.k"</f>
        <v>#VALUE!</v>
      </c>
      <c r="BX96" t="e">
        <f>'SurveyRpt_20150223 (1)'!O596+"h_l!&amp;.l"</f>
        <v>#VALUE!</v>
      </c>
      <c r="BY96" t="e">
        <f>'SurveyRpt_20150223 (1)'!P596+"h_l!&amp;.m"</f>
        <v>#VALUE!</v>
      </c>
      <c r="BZ96" t="e">
        <f>'SurveyRpt_20150223 (1)'!Q596+"h_l!&amp;.n"</f>
        <v>#VALUE!</v>
      </c>
      <c r="CA96" t="e">
        <f>'SurveyRpt_20150223 (1)'!R596+"h_l!&amp;.o"</f>
        <v>#VALUE!</v>
      </c>
      <c r="CB96" t="e">
        <f>'SurveyRpt_20150223 (1)'!S596+"h_l!&amp;.p"</f>
        <v>#VALUE!</v>
      </c>
      <c r="CC96" t="e">
        <f>'SurveyRpt_20150223 (1)'!T596+"h_l!&amp;.q"</f>
        <v>#VALUE!</v>
      </c>
      <c r="CD96" t="e">
        <f>'SurveyRpt_20150223 (1)'!U596+"h_l!&amp;.r"</f>
        <v>#VALUE!</v>
      </c>
      <c r="CE96" t="e">
        <f>'SurveyRpt_20150223 (1)'!V596+"h_l!&amp;.s"</f>
        <v>#VALUE!</v>
      </c>
      <c r="CF96" t="e">
        <f>'SurveyRpt_20150223 (1)'!W596+"h_l!&amp;.t"</f>
        <v>#VALUE!</v>
      </c>
      <c r="CG96" t="e">
        <f>'SurveyRpt_20150223 (1)'!X596+"h_l!&amp;.u"</f>
        <v>#VALUE!</v>
      </c>
      <c r="CH96" t="e">
        <f>'SurveyRpt_20150223 (1)'!Y596+"h_l!&amp;.v"</f>
        <v>#VALUE!</v>
      </c>
      <c r="CI96" t="e">
        <f>'SurveyRpt_20150223 (1)'!Z596+"h_l!&amp;.w"</f>
        <v>#VALUE!</v>
      </c>
      <c r="CJ96" t="e">
        <f>'SurveyRpt_20150223 (1)'!AA596+"h_l!&amp;.x"</f>
        <v>#VALUE!</v>
      </c>
      <c r="CK96" t="e">
        <f>'SurveyRpt_20150223 (1)'!AB596+"h_l!&amp;.y"</f>
        <v>#VALUE!</v>
      </c>
      <c r="CL96" t="e">
        <f>'SurveyRpt_20150223 (1)'!AC596+"h_l!&amp;.z"</f>
        <v>#VALUE!</v>
      </c>
      <c r="CM96" t="e">
        <f>'SurveyRpt_20150223 (1)'!AD596+"h_l!&amp;.{"</f>
        <v>#VALUE!</v>
      </c>
      <c r="CN96" t="e">
        <f>'SurveyRpt_20150223 (1)'!AE596+"h_l!&amp;.|"</f>
        <v>#VALUE!</v>
      </c>
      <c r="CO96" t="e">
        <f>'SurveyRpt_20150223 (1)'!AF596+"h_l!&amp;.}"</f>
        <v>#VALUE!</v>
      </c>
      <c r="CP96" t="e">
        <f>'SurveyRpt_20150223 (1)'!AG596+"h_l!&amp;.~"</f>
        <v>#VALUE!</v>
      </c>
      <c r="CQ96" t="e">
        <f>'SurveyRpt_20150223 (1)'!AH596+"h_l!&amp;/#"</f>
        <v>#VALUE!</v>
      </c>
      <c r="CR96" t="e">
        <f>'SurveyRpt_20150223 (1)'!AI596+"h_l!&amp;/$"</f>
        <v>#VALUE!</v>
      </c>
      <c r="CS96" t="e">
        <f>'SurveyRpt_20150223 (1)'!AJ596+"h_l!&amp;/%"</f>
        <v>#VALUE!</v>
      </c>
      <c r="CT96" t="e">
        <f>'SurveyRpt_20150223 (1)'!AK596+"h_l!&amp;/&amp;"</f>
        <v>#VALUE!</v>
      </c>
      <c r="CU96" t="e">
        <f>'SurveyRpt_20150223 (1)'!AL596+"h_l!&amp;/'"</f>
        <v>#VALUE!</v>
      </c>
      <c r="CV96" t="e">
        <f>'SurveyRpt_20150223 (1)'!AM596+"h_l!&amp;/("</f>
        <v>#VALUE!</v>
      </c>
      <c r="CW96" t="e">
        <f>'SurveyRpt_20150223 (1)'!AN596+"h_l!&amp;/)"</f>
        <v>#VALUE!</v>
      </c>
      <c r="CX96" t="e">
        <f>'SurveyRpt_20150223 (1)'!A597+"h_l!&amp;/."</f>
        <v>#VALUE!</v>
      </c>
      <c r="CY96" s="25" t="e">
        <f>'SurveyRpt_20150223 (1)'!B597+"h_l!&amp;//"</f>
        <v>#VALUE!</v>
      </c>
      <c r="CZ96" t="e">
        <f>'SurveyRpt_20150223 (1)'!C597+"h_l!&amp;/0"</f>
        <v>#VALUE!</v>
      </c>
      <c r="DA96" s="25" t="e">
        <f>'SurveyRpt_20150223 (1)'!D597+"h_l!&amp;/1"</f>
        <v>#VALUE!</v>
      </c>
      <c r="DB96" t="e">
        <f>'SurveyRpt_20150223 (1)'!E597+"h_l!&amp;/2"</f>
        <v>#VALUE!</v>
      </c>
      <c r="DC96" t="e">
        <f>'SurveyRpt_20150223 (1)'!F597+"h_l!&amp;/3"</f>
        <v>#VALUE!</v>
      </c>
      <c r="DD96" t="e">
        <f>'SurveyRpt_20150223 (1)'!G597+"h_l!&amp;/4"</f>
        <v>#VALUE!</v>
      </c>
      <c r="DE96" t="e">
        <f>'SurveyRpt_20150223 (1)'!H597+"h_l!&amp;/5"</f>
        <v>#VALUE!</v>
      </c>
      <c r="DF96" t="e">
        <f>'SurveyRpt_20150223 (1)'!I597+"h_l!&amp;/6"</f>
        <v>#VALUE!</v>
      </c>
      <c r="DG96" t="e">
        <f>'SurveyRpt_20150223 (1)'!J597+"h_l!&amp;/7"</f>
        <v>#VALUE!</v>
      </c>
      <c r="DH96" t="e">
        <f>'SurveyRpt_20150223 (1)'!K597+"h_l!&amp;/8"</f>
        <v>#VALUE!</v>
      </c>
      <c r="DI96" t="e">
        <f>'SurveyRpt_20150223 (1)'!L597+"h_l!&amp;/9"</f>
        <v>#VALUE!</v>
      </c>
      <c r="DJ96" t="e">
        <f>'SurveyRpt_20150223 (1)'!M597+"h_l!&amp;/:"</f>
        <v>#VALUE!</v>
      </c>
      <c r="DK96" t="e">
        <f>'SurveyRpt_20150223 (1)'!N597+"h_l!&amp;/;"</f>
        <v>#VALUE!</v>
      </c>
      <c r="DL96" t="e">
        <f>'SurveyRpt_20150223 (1)'!O597+"h_l!&amp;/&lt;"</f>
        <v>#VALUE!</v>
      </c>
      <c r="DM96" t="e">
        <f>'SurveyRpt_20150223 (1)'!P597+"h_l!&amp;/="</f>
        <v>#VALUE!</v>
      </c>
      <c r="DN96" t="e">
        <f>'SurveyRpt_20150223 (1)'!Q597+"h_l!&amp;/&gt;"</f>
        <v>#VALUE!</v>
      </c>
      <c r="DO96" t="e">
        <f>'SurveyRpt_20150223 (1)'!R597+"h_l!&amp;/?"</f>
        <v>#VALUE!</v>
      </c>
      <c r="DP96" t="e">
        <f>'SurveyRpt_20150223 (1)'!S597+"h_l!&amp;/@"</f>
        <v>#VALUE!</v>
      </c>
      <c r="DQ96" t="e">
        <f>'SurveyRpt_20150223 (1)'!T597+"h_l!&amp;/A"</f>
        <v>#VALUE!</v>
      </c>
      <c r="DR96" t="e">
        <f>'SurveyRpt_20150223 (1)'!U597+"h_l!&amp;/B"</f>
        <v>#VALUE!</v>
      </c>
      <c r="DS96" t="e">
        <f>'SurveyRpt_20150223 (1)'!V597+"h_l!&amp;/C"</f>
        <v>#VALUE!</v>
      </c>
      <c r="DT96" t="e">
        <f>'SurveyRpt_20150223 (1)'!W597+"h_l!&amp;/D"</f>
        <v>#VALUE!</v>
      </c>
      <c r="DU96" t="e">
        <f>'SurveyRpt_20150223 (1)'!X597+"h_l!&amp;/E"</f>
        <v>#VALUE!</v>
      </c>
      <c r="DV96" t="e">
        <f>'SurveyRpt_20150223 (1)'!Y597+"h_l!&amp;/F"</f>
        <v>#VALUE!</v>
      </c>
      <c r="DW96" t="e">
        <f>'SurveyRpt_20150223 (1)'!Z597+"h_l!&amp;/G"</f>
        <v>#VALUE!</v>
      </c>
      <c r="DX96" t="e">
        <f>'SurveyRpt_20150223 (1)'!AA597+"h_l!&amp;/H"</f>
        <v>#VALUE!</v>
      </c>
      <c r="DY96" t="e">
        <f>'SurveyRpt_20150223 (1)'!AB597+"h_l!&amp;/I"</f>
        <v>#VALUE!</v>
      </c>
      <c r="DZ96" t="e">
        <f>'SurveyRpt_20150223 (1)'!AC597+"h_l!&amp;/J"</f>
        <v>#VALUE!</v>
      </c>
      <c r="EA96" t="e">
        <f>'SurveyRpt_20150223 (1)'!AD597+"h_l!&amp;/K"</f>
        <v>#VALUE!</v>
      </c>
      <c r="EB96" t="e">
        <f>'SurveyRpt_20150223 (1)'!AE597+"h_l!&amp;/L"</f>
        <v>#VALUE!</v>
      </c>
      <c r="EC96" t="e">
        <f>'SurveyRpt_20150223 (1)'!AF597+"h_l!&amp;/M"</f>
        <v>#VALUE!</v>
      </c>
      <c r="ED96" t="e">
        <f>'SurveyRpt_20150223 (1)'!AG597+"h_l!&amp;/N"</f>
        <v>#VALUE!</v>
      </c>
      <c r="EE96" t="e">
        <f>'SurveyRpt_20150223 (1)'!AH597+"h_l!&amp;/O"</f>
        <v>#VALUE!</v>
      </c>
      <c r="EF96" t="e">
        <f>'SurveyRpt_20150223 (1)'!AI597+"h_l!&amp;/P"</f>
        <v>#VALUE!</v>
      </c>
      <c r="EG96" t="e">
        <f>'SurveyRpt_20150223 (1)'!AJ597+"h_l!&amp;/Q"</f>
        <v>#VALUE!</v>
      </c>
      <c r="EH96" t="e">
        <f>'SurveyRpt_20150223 (1)'!AK597+"h_l!&amp;/R"</f>
        <v>#VALUE!</v>
      </c>
      <c r="EI96" t="e">
        <f>'SurveyRpt_20150223 (1)'!AL597+"h_l!&amp;/S"</f>
        <v>#VALUE!</v>
      </c>
      <c r="EJ96" t="e">
        <f>'SurveyRpt_20150223 (1)'!AM597+"h_l!&amp;/T"</f>
        <v>#VALUE!</v>
      </c>
      <c r="EK96" t="e">
        <f>'SurveyRpt_20150223 (1)'!AN597+"h_l!&amp;/U"</f>
        <v>#VALUE!</v>
      </c>
      <c r="EL96" t="e">
        <f>'SurveyRpt_20150223 (1)'!A598+"h_l!&amp;/V"</f>
        <v>#VALUE!</v>
      </c>
      <c r="EM96" s="25" t="e">
        <f>'SurveyRpt_20150223 (1)'!B598+"h_l!&amp;/W"</f>
        <v>#VALUE!</v>
      </c>
      <c r="EN96" t="e">
        <f>'SurveyRpt_20150223 (1)'!C598+"h_l!&amp;/X"</f>
        <v>#VALUE!</v>
      </c>
      <c r="EO96" s="25" t="e">
        <f>'SurveyRpt_20150223 (1)'!D598+"h_l!&amp;/Y"</f>
        <v>#VALUE!</v>
      </c>
      <c r="EP96" t="e">
        <f>'SurveyRpt_20150223 (1)'!E598+"h_l!&amp;/Z"</f>
        <v>#VALUE!</v>
      </c>
      <c r="EQ96" t="e">
        <f>'SurveyRpt_20150223 (1)'!F598+"h_l!&amp;/["</f>
        <v>#VALUE!</v>
      </c>
      <c r="ER96" t="e">
        <f>'SurveyRpt_20150223 (1)'!G598+"h_l!&amp;/\"</f>
        <v>#VALUE!</v>
      </c>
      <c r="ES96" t="e">
        <f>'SurveyRpt_20150223 (1)'!H598+"h_l!&amp;/]"</f>
        <v>#VALUE!</v>
      </c>
      <c r="ET96" t="e">
        <f>'SurveyRpt_20150223 (1)'!I598+"h_l!&amp;/^"</f>
        <v>#VALUE!</v>
      </c>
      <c r="EU96" t="e">
        <f>'SurveyRpt_20150223 (1)'!J598+"h_l!&amp;/_"</f>
        <v>#VALUE!</v>
      </c>
      <c r="EV96" t="e">
        <f>'SurveyRpt_20150223 (1)'!K598+"h_l!&amp;/`"</f>
        <v>#VALUE!</v>
      </c>
      <c r="EW96" t="e">
        <f>'SurveyRpt_20150223 (1)'!L598+"h_l!&amp;/a"</f>
        <v>#VALUE!</v>
      </c>
      <c r="EX96" t="e">
        <f>'SurveyRpt_20150223 (1)'!M598+"h_l!&amp;/b"</f>
        <v>#VALUE!</v>
      </c>
      <c r="EY96" t="e">
        <f>'SurveyRpt_20150223 (1)'!N598+"h_l!&amp;/c"</f>
        <v>#VALUE!</v>
      </c>
      <c r="EZ96" t="e">
        <f>'SurveyRpt_20150223 (1)'!O598+"h_l!&amp;/d"</f>
        <v>#VALUE!</v>
      </c>
      <c r="FA96" t="e">
        <f>'SurveyRpt_20150223 (1)'!P598+"h_l!&amp;/e"</f>
        <v>#VALUE!</v>
      </c>
      <c r="FB96" t="e">
        <f>'SurveyRpt_20150223 (1)'!Q598+"h_l!&amp;/f"</f>
        <v>#VALUE!</v>
      </c>
      <c r="FC96" t="e">
        <f>'SurveyRpt_20150223 (1)'!R598+"h_l!&amp;/g"</f>
        <v>#VALUE!</v>
      </c>
      <c r="FD96" t="e">
        <f>'SurveyRpt_20150223 (1)'!S598+"h_l!&amp;/h"</f>
        <v>#VALUE!</v>
      </c>
      <c r="FE96" t="e">
        <f>'SurveyRpt_20150223 (1)'!T598+"h_l!&amp;/i"</f>
        <v>#VALUE!</v>
      </c>
      <c r="FF96" t="e">
        <f>'SurveyRpt_20150223 (1)'!U598+"h_l!&amp;/j"</f>
        <v>#VALUE!</v>
      </c>
      <c r="FG96" t="e">
        <f>'SurveyRpt_20150223 (1)'!V598+"h_l!&amp;/k"</f>
        <v>#VALUE!</v>
      </c>
      <c r="FH96" t="e">
        <f>'SurveyRpt_20150223 (1)'!W598+"h_l!&amp;/l"</f>
        <v>#VALUE!</v>
      </c>
      <c r="FI96" t="e">
        <f>'SurveyRpt_20150223 (1)'!X598+"h_l!&amp;/m"</f>
        <v>#VALUE!</v>
      </c>
      <c r="FJ96" t="e">
        <f>'SurveyRpt_20150223 (1)'!Y598+"h_l!&amp;/n"</f>
        <v>#VALUE!</v>
      </c>
      <c r="FK96" t="e">
        <f>'SurveyRpt_20150223 (1)'!Z598+"h_l!&amp;/o"</f>
        <v>#VALUE!</v>
      </c>
      <c r="FL96" t="e">
        <f>'SurveyRpt_20150223 (1)'!AA598+"h_l!&amp;/p"</f>
        <v>#VALUE!</v>
      </c>
      <c r="FM96" t="e">
        <f>'SurveyRpt_20150223 (1)'!AB598+"h_l!&amp;/q"</f>
        <v>#VALUE!</v>
      </c>
      <c r="FN96" t="e">
        <f>'SurveyRpt_20150223 (1)'!AC598+"h_l!&amp;/r"</f>
        <v>#VALUE!</v>
      </c>
      <c r="FO96" t="e">
        <f>'SurveyRpt_20150223 (1)'!AD598+"h_l!&amp;/s"</f>
        <v>#VALUE!</v>
      </c>
      <c r="FP96" t="e">
        <f>'SurveyRpt_20150223 (1)'!AE598+"h_l!&amp;/t"</f>
        <v>#VALUE!</v>
      </c>
      <c r="FQ96" t="e">
        <f>'SurveyRpt_20150223 (1)'!AF598+"h_l!&amp;/u"</f>
        <v>#VALUE!</v>
      </c>
      <c r="FR96" t="e">
        <f>'SurveyRpt_20150223 (1)'!AG598+"h_l!&amp;/v"</f>
        <v>#VALUE!</v>
      </c>
      <c r="FS96" t="e">
        <f>'SurveyRpt_20150223 (1)'!AH598+"h_l!&amp;/w"</f>
        <v>#VALUE!</v>
      </c>
      <c r="FT96" t="e">
        <f>'SurveyRpt_20150223 (1)'!AI598+"h_l!&amp;/x"</f>
        <v>#VALUE!</v>
      </c>
      <c r="FU96" t="e">
        <f>'SurveyRpt_20150223 (1)'!AJ598+"h_l!&amp;/y"</f>
        <v>#VALUE!</v>
      </c>
      <c r="FV96" t="e">
        <f>'SurveyRpt_20150223 (1)'!AK598+"h_l!&amp;/z"</f>
        <v>#VALUE!</v>
      </c>
      <c r="FW96" t="e">
        <f>'SurveyRpt_20150223 (1)'!AL598+"h_l!&amp;/{"</f>
        <v>#VALUE!</v>
      </c>
      <c r="FX96" t="e">
        <f>'SurveyRpt_20150223 (1)'!AM598+"h_l!&amp;/|"</f>
        <v>#VALUE!</v>
      </c>
      <c r="FY96" t="e">
        <f>'SurveyRpt_20150223 (1)'!AN598+"h_l!&amp;/}"</f>
        <v>#VALUE!</v>
      </c>
      <c r="FZ96" t="e">
        <f>'SurveyRpt_20150223 (1)'!A599+"h_l!&amp;/~"</f>
        <v>#VALUE!</v>
      </c>
      <c r="GA96" s="25" t="e">
        <f>'SurveyRpt_20150223 (1)'!B599+"h_l!&amp;0#"</f>
        <v>#VALUE!</v>
      </c>
      <c r="GB96" t="e">
        <f>'SurveyRpt_20150223 (1)'!C599+"h_l!&amp;0$"</f>
        <v>#VALUE!</v>
      </c>
      <c r="GC96" s="25" t="e">
        <f>'SurveyRpt_20150223 (1)'!D599+"h_l!&amp;0%"</f>
        <v>#VALUE!</v>
      </c>
      <c r="GD96" t="e">
        <f>'SurveyRpt_20150223 (1)'!E599+"h_l!&amp;0&amp;"</f>
        <v>#VALUE!</v>
      </c>
      <c r="GE96" t="e">
        <f>'SurveyRpt_20150223 (1)'!F599+"h_l!&amp;0'"</f>
        <v>#VALUE!</v>
      </c>
      <c r="GF96" t="e">
        <f>'SurveyRpt_20150223 (1)'!G599+"h_l!&amp;0("</f>
        <v>#VALUE!</v>
      </c>
      <c r="GG96" t="e">
        <f>'SurveyRpt_20150223 (1)'!H599+"h_l!&amp;0)"</f>
        <v>#VALUE!</v>
      </c>
      <c r="GH96" t="e">
        <f>'SurveyRpt_20150223 (1)'!I599+"h_l!&amp;0."</f>
        <v>#VALUE!</v>
      </c>
      <c r="GI96" t="e">
        <f>'SurveyRpt_20150223 (1)'!J599+"h_l!&amp;0/"</f>
        <v>#VALUE!</v>
      </c>
      <c r="GJ96" t="e">
        <f>'SurveyRpt_20150223 (1)'!K599+"h_l!&amp;00"</f>
        <v>#VALUE!</v>
      </c>
      <c r="GK96" t="e">
        <f>'SurveyRpt_20150223 (1)'!L599+"h_l!&amp;01"</f>
        <v>#VALUE!</v>
      </c>
      <c r="GL96" t="e">
        <f>'SurveyRpt_20150223 (1)'!M599+"h_l!&amp;02"</f>
        <v>#VALUE!</v>
      </c>
      <c r="GM96" t="e">
        <f>'SurveyRpt_20150223 (1)'!N599+"h_l!&amp;03"</f>
        <v>#VALUE!</v>
      </c>
      <c r="GN96" t="e">
        <f>'SurveyRpt_20150223 (1)'!O599+"h_l!&amp;04"</f>
        <v>#VALUE!</v>
      </c>
      <c r="GO96" t="e">
        <f>'SurveyRpt_20150223 (1)'!P599+"h_l!&amp;05"</f>
        <v>#VALUE!</v>
      </c>
      <c r="GP96" t="e">
        <f>'SurveyRpt_20150223 (1)'!Q599+"h_l!&amp;06"</f>
        <v>#VALUE!</v>
      </c>
      <c r="GQ96" t="e">
        <f>'SurveyRpt_20150223 (1)'!R599+"h_l!&amp;07"</f>
        <v>#VALUE!</v>
      </c>
      <c r="GR96" t="e">
        <f>'SurveyRpt_20150223 (1)'!S599+"h_l!&amp;08"</f>
        <v>#VALUE!</v>
      </c>
      <c r="GS96" t="e">
        <f>'SurveyRpt_20150223 (1)'!T599+"h_l!&amp;09"</f>
        <v>#VALUE!</v>
      </c>
      <c r="GT96" t="e">
        <f>'SurveyRpt_20150223 (1)'!U599+"h_l!&amp;0:"</f>
        <v>#VALUE!</v>
      </c>
      <c r="GU96" t="e">
        <f>'SurveyRpt_20150223 (1)'!V599+"h_l!&amp;0;"</f>
        <v>#VALUE!</v>
      </c>
      <c r="GV96" t="e">
        <f>'SurveyRpt_20150223 (1)'!W599+"h_l!&amp;0&lt;"</f>
        <v>#VALUE!</v>
      </c>
      <c r="GW96" t="e">
        <f>'SurveyRpt_20150223 (1)'!X599+"h_l!&amp;0="</f>
        <v>#VALUE!</v>
      </c>
      <c r="GX96" t="e">
        <f>'SurveyRpt_20150223 (1)'!Y599+"h_l!&amp;0&gt;"</f>
        <v>#VALUE!</v>
      </c>
      <c r="GY96" t="e">
        <f>'SurveyRpt_20150223 (1)'!Z599+"h_l!&amp;0?"</f>
        <v>#VALUE!</v>
      </c>
      <c r="GZ96" t="e">
        <f>'SurveyRpt_20150223 (1)'!AA599+"h_l!&amp;0@"</f>
        <v>#VALUE!</v>
      </c>
      <c r="HA96" t="e">
        <f>'SurveyRpt_20150223 (1)'!AB599+"h_l!&amp;0A"</f>
        <v>#VALUE!</v>
      </c>
      <c r="HB96" t="e">
        <f>'SurveyRpt_20150223 (1)'!AC599+"h_l!&amp;0B"</f>
        <v>#VALUE!</v>
      </c>
      <c r="HC96" t="e">
        <f>'SurveyRpt_20150223 (1)'!AD599+"h_l!&amp;0C"</f>
        <v>#VALUE!</v>
      </c>
      <c r="HD96" t="e">
        <f>'SurveyRpt_20150223 (1)'!AE599+"h_l!&amp;0D"</f>
        <v>#VALUE!</v>
      </c>
      <c r="HE96" t="e">
        <f>'SurveyRpt_20150223 (1)'!AF599+"h_l!&amp;0E"</f>
        <v>#VALUE!</v>
      </c>
      <c r="HF96" t="e">
        <f>'SurveyRpt_20150223 (1)'!AG599+"h_l!&amp;0F"</f>
        <v>#VALUE!</v>
      </c>
      <c r="HG96" t="e">
        <f>'SurveyRpt_20150223 (1)'!AH599+"h_l!&amp;0G"</f>
        <v>#VALUE!</v>
      </c>
      <c r="HH96" t="e">
        <f>'SurveyRpt_20150223 (1)'!AI599+"h_l!&amp;0H"</f>
        <v>#VALUE!</v>
      </c>
      <c r="HI96" t="e">
        <f>'SurveyRpt_20150223 (1)'!AJ599+"h_l!&amp;0I"</f>
        <v>#VALUE!</v>
      </c>
      <c r="HJ96" t="e">
        <f>'SurveyRpt_20150223 (1)'!AK599+"h_l!&amp;0J"</f>
        <v>#VALUE!</v>
      </c>
      <c r="HK96" t="e">
        <f>'SurveyRpt_20150223 (1)'!AL599+"h_l!&amp;0K"</f>
        <v>#VALUE!</v>
      </c>
      <c r="HL96" t="e">
        <f>'SurveyRpt_20150223 (1)'!AM599+"h_l!&amp;0L"</f>
        <v>#VALUE!</v>
      </c>
      <c r="HM96" t="e">
        <f>'SurveyRpt_20150223 (1)'!AN599+"h_l!&amp;0M"</f>
        <v>#VALUE!</v>
      </c>
      <c r="HN96" t="e">
        <f>'SurveyRpt_20150223 (1)'!A600+"h_l!&amp;0N"</f>
        <v>#VALUE!</v>
      </c>
      <c r="HO96" s="25" t="e">
        <f>'SurveyRpt_20150223 (1)'!B600+"h_l!&amp;0O"</f>
        <v>#VALUE!</v>
      </c>
      <c r="HP96" t="e">
        <f>'SurveyRpt_20150223 (1)'!C600+"h_l!&amp;0P"</f>
        <v>#VALUE!</v>
      </c>
      <c r="HQ96" s="25" t="e">
        <f>'SurveyRpt_20150223 (1)'!D600+"h_l!&amp;0Q"</f>
        <v>#VALUE!</v>
      </c>
      <c r="HR96" t="e">
        <f>'SurveyRpt_20150223 (1)'!E600+"h_l!&amp;0R"</f>
        <v>#VALUE!</v>
      </c>
      <c r="HS96" t="e">
        <f>'SurveyRpt_20150223 (1)'!F600+"h_l!&amp;0S"</f>
        <v>#VALUE!</v>
      </c>
      <c r="HT96" t="e">
        <f>'SurveyRpt_20150223 (1)'!G600+"h_l!&amp;0T"</f>
        <v>#VALUE!</v>
      </c>
      <c r="HU96" t="e">
        <f>'SurveyRpt_20150223 (1)'!H600+"h_l!&amp;0U"</f>
        <v>#VALUE!</v>
      </c>
      <c r="HV96" t="e">
        <f>'SurveyRpt_20150223 (1)'!I600+"h_l!&amp;0V"</f>
        <v>#VALUE!</v>
      </c>
      <c r="HW96" t="e">
        <f>'SurveyRpt_20150223 (1)'!J600+"h_l!&amp;0W"</f>
        <v>#VALUE!</v>
      </c>
      <c r="HX96" t="e">
        <f>'SurveyRpt_20150223 (1)'!K600+"h_l!&amp;0X"</f>
        <v>#VALUE!</v>
      </c>
      <c r="HY96" t="e">
        <f>'SurveyRpt_20150223 (1)'!L600+"h_l!&amp;0Y"</f>
        <v>#VALUE!</v>
      </c>
      <c r="HZ96" t="e">
        <f>'SurveyRpt_20150223 (1)'!M600+"h_l!&amp;0Z"</f>
        <v>#VALUE!</v>
      </c>
      <c r="IA96" t="e">
        <f>'SurveyRpt_20150223 (1)'!N600+"h_l!&amp;0["</f>
        <v>#VALUE!</v>
      </c>
      <c r="IB96" t="e">
        <f>'SurveyRpt_20150223 (1)'!O600+"h_l!&amp;0\"</f>
        <v>#VALUE!</v>
      </c>
      <c r="IC96" t="e">
        <f>'SurveyRpt_20150223 (1)'!P600+"h_l!&amp;0]"</f>
        <v>#VALUE!</v>
      </c>
      <c r="ID96" t="e">
        <f>'SurveyRpt_20150223 (1)'!Q600+"h_l!&amp;0^"</f>
        <v>#VALUE!</v>
      </c>
      <c r="IE96" t="e">
        <f>'SurveyRpt_20150223 (1)'!R600+"h_l!&amp;0_"</f>
        <v>#VALUE!</v>
      </c>
      <c r="IF96" t="e">
        <f>'SurveyRpt_20150223 (1)'!S600+"h_l!&amp;0`"</f>
        <v>#VALUE!</v>
      </c>
      <c r="IG96" t="e">
        <f>'SurveyRpt_20150223 (1)'!T600+"h_l!&amp;0a"</f>
        <v>#VALUE!</v>
      </c>
      <c r="IH96" t="e">
        <f>'SurveyRpt_20150223 (1)'!U600+"h_l!&amp;0b"</f>
        <v>#VALUE!</v>
      </c>
      <c r="II96" t="e">
        <f>'SurveyRpt_20150223 (1)'!V600+"h_l!&amp;0c"</f>
        <v>#VALUE!</v>
      </c>
      <c r="IJ96" t="e">
        <f>'SurveyRpt_20150223 (1)'!W600+"h_l!&amp;0d"</f>
        <v>#VALUE!</v>
      </c>
      <c r="IK96" t="e">
        <f>'SurveyRpt_20150223 (1)'!X600+"h_l!&amp;0e"</f>
        <v>#VALUE!</v>
      </c>
      <c r="IL96" t="e">
        <f>'SurveyRpt_20150223 (1)'!Y600+"h_l!&amp;0f"</f>
        <v>#VALUE!</v>
      </c>
      <c r="IM96" t="e">
        <f>'SurveyRpt_20150223 (1)'!Z600+"h_l!&amp;0g"</f>
        <v>#VALUE!</v>
      </c>
      <c r="IN96" t="e">
        <f>'SurveyRpt_20150223 (1)'!AA600+"h_l!&amp;0h"</f>
        <v>#VALUE!</v>
      </c>
      <c r="IO96" t="e">
        <f>'SurveyRpt_20150223 (1)'!AB600+"h_l!&amp;0i"</f>
        <v>#VALUE!</v>
      </c>
      <c r="IP96" t="e">
        <f>'SurveyRpt_20150223 (1)'!AC600+"h_l!&amp;0j"</f>
        <v>#VALUE!</v>
      </c>
      <c r="IQ96" t="e">
        <f>'SurveyRpt_20150223 (1)'!AD600+"h_l!&amp;0k"</f>
        <v>#VALUE!</v>
      </c>
      <c r="IR96" t="e">
        <f>'SurveyRpt_20150223 (1)'!AE600+"h_l!&amp;0l"</f>
        <v>#VALUE!</v>
      </c>
      <c r="IS96" t="e">
        <f>'SurveyRpt_20150223 (1)'!AF600+"h_l!&amp;0m"</f>
        <v>#VALUE!</v>
      </c>
      <c r="IT96" t="e">
        <f>'SurveyRpt_20150223 (1)'!AG600+"h_l!&amp;0n"</f>
        <v>#VALUE!</v>
      </c>
      <c r="IU96" t="e">
        <f>'SurveyRpt_20150223 (1)'!AH600+"h_l!&amp;0o"</f>
        <v>#VALUE!</v>
      </c>
      <c r="IV96" t="e">
        <f>'SurveyRpt_20150223 (1)'!AI600+"h_l!&amp;0p"</f>
        <v>#VALUE!</v>
      </c>
    </row>
    <row r="97" spans="6:256" x14ac:dyDescent="0.25">
      <c r="F97" t="e">
        <f>'SurveyRpt_20150223 (1)'!AJ600+"h_l!&amp;0q"</f>
        <v>#VALUE!</v>
      </c>
      <c r="G97" t="e">
        <f>'SurveyRpt_20150223 (1)'!AK600+"h_l!&amp;0r"</f>
        <v>#VALUE!</v>
      </c>
      <c r="H97" t="e">
        <f>'SurveyRpt_20150223 (1)'!AL600+"h_l!&amp;0s"</f>
        <v>#VALUE!</v>
      </c>
      <c r="I97" t="e">
        <f>'SurveyRpt_20150223 (1)'!AM600+"h_l!&amp;0t"</f>
        <v>#VALUE!</v>
      </c>
      <c r="J97" t="e">
        <f>'SurveyRpt_20150223 (1)'!AN600+"h_l!&amp;0u"</f>
        <v>#VALUE!</v>
      </c>
      <c r="K97" t="e">
        <f>'SurveyRpt_20150223 (1)'!A601+"h_l!&amp;0v"</f>
        <v>#VALUE!</v>
      </c>
      <c r="L97" s="25" t="e">
        <f>'SurveyRpt_20150223 (1)'!B601+"h_l!&amp;0w"</f>
        <v>#VALUE!</v>
      </c>
      <c r="M97" t="e">
        <f>'SurveyRpt_20150223 (1)'!C601+"h_l!&amp;0x"</f>
        <v>#VALUE!</v>
      </c>
      <c r="N97" s="25" t="e">
        <f>'SurveyRpt_20150223 (1)'!D601+"h_l!&amp;0y"</f>
        <v>#VALUE!</v>
      </c>
      <c r="O97" t="e">
        <f>'SurveyRpt_20150223 (1)'!E601+"h_l!&amp;0z"</f>
        <v>#VALUE!</v>
      </c>
      <c r="P97" t="e">
        <f>'SurveyRpt_20150223 (1)'!F601+"h_l!&amp;0{"</f>
        <v>#VALUE!</v>
      </c>
      <c r="Q97" t="e">
        <f>'SurveyRpt_20150223 (1)'!G601+"h_l!&amp;0|"</f>
        <v>#VALUE!</v>
      </c>
      <c r="R97" t="e">
        <f>'SurveyRpt_20150223 (1)'!H601+"h_l!&amp;0}"</f>
        <v>#VALUE!</v>
      </c>
      <c r="S97" t="e">
        <f>'SurveyRpt_20150223 (1)'!I601+"h_l!&amp;0~"</f>
        <v>#VALUE!</v>
      </c>
      <c r="T97" t="e">
        <f>'SurveyRpt_20150223 (1)'!J601+"h_l!&amp;1#"</f>
        <v>#VALUE!</v>
      </c>
      <c r="U97" t="e">
        <f>'SurveyRpt_20150223 (1)'!K601+"h_l!&amp;1$"</f>
        <v>#VALUE!</v>
      </c>
      <c r="V97" t="e">
        <f>'SurveyRpt_20150223 (1)'!L601+"h_l!&amp;1%"</f>
        <v>#VALUE!</v>
      </c>
      <c r="W97" t="e">
        <f>'SurveyRpt_20150223 (1)'!M601+"h_l!&amp;1&amp;"</f>
        <v>#VALUE!</v>
      </c>
      <c r="X97" t="e">
        <f>'SurveyRpt_20150223 (1)'!N601+"h_l!&amp;1'"</f>
        <v>#VALUE!</v>
      </c>
      <c r="Y97" t="e">
        <f>'SurveyRpt_20150223 (1)'!O601+"h_l!&amp;1("</f>
        <v>#VALUE!</v>
      </c>
      <c r="Z97" t="e">
        <f>'SurveyRpt_20150223 (1)'!P601+"h_l!&amp;1)"</f>
        <v>#VALUE!</v>
      </c>
      <c r="AA97" t="e">
        <f>'SurveyRpt_20150223 (1)'!Q601+"h_l!&amp;1."</f>
        <v>#VALUE!</v>
      </c>
      <c r="AB97" t="e">
        <f>'SurveyRpt_20150223 (1)'!R601+"h_l!&amp;1/"</f>
        <v>#VALUE!</v>
      </c>
      <c r="AC97" t="e">
        <f>'SurveyRpt_20150223 (1)'!S601+"h_l!&amp;10"</f>
        <v>#VALUE!</v>
      </c>
      <c r="AD97" t="e">
        <f>'SurveyRpt_20150223 (1)'!T601+"h_l!&amp;11"</f>
        <v>#VALUE!</v>
      </c>
      <c r="AE97" t="e">
        <f>'SurveyRpt_20150223 (1)'!U601+"h_l!&amp;12"</f>
        <v>#VALUE!</v>
      </c>
      <c r="AF97" t="e">
        <f>'SurveyRpt_20150223 (1)'!V601+"h_l!&amp;13"</f>
        <v>#VALUE!</v>
      </c>
      <c r="AG97" t="e">
        <f>'SurveyRpt_20150223 (1)'!W601+"h_l!&amp;14"</f>
        <v>#VALUE!</v>
      </c>
      <c r="AH97" t="e">
        <f>'SurveyRpt_20150223 (1)'!X601+"h_l!&amp;15"</f>
        <v>#VALUE!</v>
      </c>
      <c r="AI97" t="e">
        <f>'SurveyRpt_20150223 (1)'!Y601+"h_l!&amp;16"</f>
        <v>#VALUE!</v>
      </c>
      <c r="AJ97" t="e">
        <f>'SurveyRpt_20150223 (1)'!Z601+"h_l!&amp;17"</f>
        <v>#VALUE!</v>
      </c>
      <c r="AK97" t="e">
        <f>'SurveyRpt_20150223 (1)'!AA601+"h_l!&amp;18"</f>
        <v>#VALUE!</v>
      </c>
      <c r="AL97" t="e">
        <f>'SurveyRpt_20150223 (1)'!AB601+"h_l!&amp;19"</f>
        <v>#VALUE!</v>
      </c>
      <c r="AM97" t="e">
        <f>'SurveyRpt_20150223 (1)'!AC601+"h_l!&amp;1:"</f>
        <v>#VALUE!</v>
      </c>
      <c r="AN97" t="e">
        <f>'SurveyRpt_20150223 (1)'!AD601+"h_l!&amp;1;"</f>
        <v>#VALUE!</v>
      </c>
      <c r="AO97" t="e">
        <f>'SurveyRpt_20150223 (1)'!AE601+"h_l!&amp;1&lt;"</f>
        <v>#VALUE!</v>
      </c>
      <c r="AP97" t="e">
        <f>'SurveyRpt_20150223 (1)'!AF601+"h_l!&amp;1="</f>
        <v>#VALUE!</v>
      </c>
      <c r="AQ97" t="e">
        <f>'SurveyRpt_20150223 (1)'!AG601+"h_l!&amp;1&gt;"</f>
        <v>#VALUE!</v>
      </c>
      <c r="AR97" t="e">
        <f>'SurveyRpt_20150223 (1)'!AH601+"h_l!&amp;1?"</f>
        <v>#VALUE!</v>
      </c>
      <c r="AS97" t="e">
        <f>'SurveyRpt_20150223 (1)'!AI601+"h_l!&amp;1@"</f>
        <v>#VALUE!</v>
      </c>
      <c r="AT97" t="e">
        <f>'SurveyRpt_20150223 (1)'!AJ601+"h_l!&amp;1A"</f>
        <v>#VALUE!</v>
      </c>
      <c r="AU97" t="e">
        <f>'SurveyRpt_20150223 (1)'!AK601+"h_l!&amp;1B"</f>
        <v>#VALUE!</v>
      </c>
      <c r="AV97" t="e">
        <f>'SurveyRpt_20150223 (1)'!AL601+"h_l!&amp;1C"</f>
        <v>#VALUE!</v>
      </c>
      <c r="AW97" t="e">
        <f>'SurveyRpt_20150223 (1)'!AM601+"h_l!&amp;1D"</f>
        <v>#VALUE!</v>
      </c>
      <c r="AX97" t="e">
        <f>'SurveyRpt_20150223 (1)'!AN601+"h_l!&amp;1E"</f>
        <v>#VALUE!</v>
      </c>
      <c r="AY97" t="e">
        <f>'SurveyRpt_20150223 (1)'!A602+"h_l!&amp;1F"</f>
        <v>#VALUE!</v>
      </c>
      <c r="AZ97" s="25" t="e">
        <f>'SurveyRpt_20150223 (1)'!B602+"h_l!&amp;1G"</f>
        <v>#VALUE!</v>
      </c>
      <c r="BA97" t="e">
        <f>'SurveyRpt_20150223 (1)'!C602+"h_l!&amp;1H"</f>
        <v>#VALUE!</v>
      </c>
      <c r="BB97" s="25" t="e">
        <f>'SurveyRpt_20150223 (1)'!D602+"h_l!&amp;1I"</f>
        <v>#VALUE!</v>
      </c>
      <c r="BC97" t="e">
        <f>'SurveyRpt_20150223 (1)'!E602+"h_l!&amp;1J"</f>
        <v>#VALUE!</v>
      </c>
      <c r="BD97" t="e">
        <f>'SurveyRpt_20150223 (1)'!F602+"h_l!&amp;1K"</f>
        <v>#VALUE!</v>
      </c>
      <c r="BE97" t="e">
        <f>'SurveyRpt_20150223 (1)'!G602+"h_l!&amp;1L"</f>
        <v>#VALUE!</v>
      </c>
      <c r="BF97" t="e">
        <f>'SurveyRpt_20150223 (1)'!H602+"h_l!&amp;1M"</f>
        <v>#VALUE!</v>
      </c>
      <c r="BG97" t="e">
        <f>'SurveyRpt_20150223 (1)'!I602+"h_l!&amp;1N"</f>
        <v>#VALUE!</v>
      </c>
      <c r="BH97" t="e">
        <f>'SurveyRpt_20150223 (1)'!J602+"h_l!&amp;1O"</f>
        <v>#VALUE!</v>
      </c>
      <c r="BI97" t="e">
        <f>'SurveyRpt_20150223 (1)'!K602+"h_l!&amp;1P"</f>
        <v>#VALUE!</v>
      </c>
      <c r="BJ97" t="e">
        <f>'SurveyRpt_20150223 (1)'!L602+"h_l!&amp;1Q"</f>
        <v>#VALUE!</v>
      </c>
      <c r="BK97" t="e">
        <f>'SurveyRpt_20150223 (1)'!M602+"h_l!&amp;1R"</f>
        <v>#VALUE!</v>
      </c>
      <c r="BL97" t="e">
        <f>'SurveyRpt_20150223 (1)'!N602+"h_l!&amp;1S"</f>
        <v>#VALUE!</v>
      </c>
      <c r="BM97" t="e">
        <f>'SurveyRpt_20150223 (1)'!O602+"h_l!&amp;1T"</f>
        <v>#VALUE!</v>
      </c>
      <c r="BN97" t="e">
        <f>'SurveyRpt_20150223 (1)'!P602+"h_l!&amp;1U"</f>
        <v>#VALUE!</v>
      </c>
      <c r="BO97" t="e">
        <f>'SurveyRpt_20150223 (1)'!Q602+"h_l!&amp;1V"</f>
        <v>#VALUE!</v>
      </c>
      <c r="BP97" t="e">
        <f>'SurveyRpt_20150223 (1)'!R602+"h_l!&amp;1W"</f>
        <v>#VALUE!</v>
      </c>
      <c r="BQ97" t="e">
        <f>'SurveyRpt_20150223 (1)'!S602+"h_l!&amp;1X"</f>
        <v>#VALUE!</v>
      </c>
      <c r="BR97" t="e">
        <f>'SurveyRpt_20150223 (1)'!T602+"h_l!&amp;1Y"</f>
        <v>#VALUE!</v>
      </c>
      <c r="BS97" t="e">
        <f>'SurveyRpt_20150223 (1)'!U602+"h_l!&amp;1Z"</f>
        <v>#VALUE!</v>
      </c>
      <c r="BT97" t="e">
        <f>'SurveyRpt_20150223 (1)'!V602+"h_l!&amp;1["</f>
        <v>#VALUE!</v>
      </c>
      <c r="BU97" t="e">
        <f>'SurveyRpt_20150223 (1)'!W602+"h_l!&amp;1\"</f>
        <v>#VALUE!</v>
      </c>
      <c r="BV97" t="e">
        <f>'SurveyRpt_20150223 (1)'!X602+"h_l!&amp;1]"</f>
        <v>#VALUE!</v>
      </c>
      <c r="BW97" t="e">
        <f>'SurveyRpt_20150223 (1)'!Y602+"h_l!&amp;1^"</f>
        <v>#VALUE!</v>
      </c>
      <c r="BX97" t="e">
        <f>'SurveyRpt_20150223 (1)'!Z602+"h_l!&amp;1_"</f>
        <v>#VALUE!</v>
      </c>
      <c r="BY97" t="e">
        <f>'SurveyRpt_20150223 (1)'!AA602+"h_l!&amp;1`"</f>
        <v>#VALUE!</v>
      </c>
      <c r="BZ97" t="e">
        <f>'SurveyRpt_20150223 (1)'!AB602+"h_l!&amp;1a"</f>
        <v>#VALUE!</v>
      </c>
      <c r="CA97" t="e">
        <f>'SurveyRpt_20150223 (1)'!AC602+"h_l!&amp;1b"</f>
        <v>#VALUE!</v>
      </c>
      <c r="CB97" t="e">
        <f>'SurveyRpt_20150223 (1)'!AD602+"h_l!&amp;1c"</f>
        <v>#VALUE!</v>
      </c>
      <c r="CC97" t="e">
        <f>'SurveyRpt_20150223 (1)'!AE602+"h_l!&amp;1d"</f>
        <v>#VALUE!</v>
      </c>
      <c r="CD97" t="e">
        <f>'SurveyRpt_20150223 (1)'!AF602+"h_l!&amp;1e"</f>
        <v>#VALUE!</v>
      </c>
      <c r="CE97" t="e">
        <f>'SurveyRpt_20150223 (1)'!AG602+"h_l!&amp;1f"</f>
        <v>#VALUE!</v>
      </c>
      <c r="CF97" t="e">
        <f>'SurveyRpt_20150223 (1)'!AH602+"h_l!&amp;1g"</f>
        <v>#VALUE!</v>
      </c>
      <c r="CG97" t="e">
        <f>'SurveyRpt_20150223 (1)'!AI602+"h_l!&amp;1h"</f>
        <v>#VALUE!</v>
      </c>
      <c r="CH97" t="e">
        <f>'SurveyRpt_20150223 (1)'!AJ602+"h_l!&amp;1i"</f>
        <v>#VALUE!</v>
      </c>
      <c r="CI97" t="e">
        <f>'SurveyRpt_20150223 (1)'!AK602+"h_l!&amp;1j"</f>
        <v>#VALUE!</v>
      </c>
      <c r="CJ97" t="e">
        <f>'SurveyRpt_20150223 (1)'!AL602+"h_l!&amp;1k"</f>
        <v>#VALUE!</v>
      </c>
      <c r="CK97" t="e">
        <f>'SurveyRpt_20150223 (1)'!AM602+"h_l!&amp;1l"</f>
        <v>#VALUE!</v>
      </c>
      <c r="CL97" t="e">
        <f>'SurveyRpt_20150223 (1)'!AN602+"h_l!&amp;1m"</f>
        <v>#VALUE!</v>
      </c>
      <c r="CM97" t="e">
        <f>'SurveyRpt_20150223 (1)'!A603+"h_l!&amp;1n"</f>
        <v>#VALUE!</v>
      </c>
      <c r="CN97" s="25" t="e">
        <f>'SurveyRpt_20150223 (1)'!B603+"h_l!&amp;1o"</f>
        <v>#VALUE!</v>
      </c>
      <c r="CO97" t="e">
        <f>'SurveyRpt_20150223 (1)'!C603+"h_l!&amp;1p"</f>
        <v>#VALUE!</v>
      </c>
      <c r="CP97" s="25" t="e">
        <f>'SurveyRpt_20150223 (1)'!D603+"h_l!&amp;1q"</f>
        <v>#VALUE!</v>
      </c>
      <c r="CQ97" t="e">
        <f>'SurveyRpt_20150223 (1)'!E603+"h_l!&amp;1r"</f>
        <v>#VALUE!</v>
      </c>
      <c r="CR97" t="e">
        <f>'SurveyRpt_20150223 (1)'!F603+"h_l!&amp;1s"</f>
        <v>#VALUE!</v>
      </c>
      <c r="CS97" t="e">
        <f>'SurveyRpt_20150223 (1)'!G603+"h_l!&amp;1t"</f>
        <v>#VALUE!</v>
      </c>
      <c r="CT97" t="e">
        <f>'SurveyRpt_20150223 (1)'!H603+"h_l!&amp;1u"</f>
        <v>#VALUE!</v>
      </c>
      <c r="CU97" t="e">
        <f>'SurveyRpt_20150223 (1)'!I603+"h_l!&amp;1v"</f>
        <v>#VALUE!</v>
      </c>
      <c r="CV97" t="e">
        <f>'SurveyRpt_20150223 (1)'!J603+"h_l!&amp;1w"</f>
        <v>#VALUE!</v>
      </c>
      <c r="CW97" t="e">
        <f>'SurveyRpt_20150223 (1)'!K603+"h_l!&amp;1x"</f>
        <v>#VALUE!</v>
      </c>
      <c r="CX97" t="e">
        <f>'SurveyRpt_20150223 (1)'!L603+"h_l!&amp;1y"</f>
        <v>#VALUE!</v>
      </c>
      <c r="CY97" t="e">
        <f>'SurveyRpt_20150223 (1)'!M603+"h_l!&amp;1z"</f>
        <v>#VALUE!</v>
      </c>
      <c r="CZ97" t="e">
        <f>'SurveyRpt_20150223 (1)'!N603+"h_l!&amp;1{"</f>
        <v>#VALUE!</v>
      </c>
      <c r="DA97" t="e">
        <f>'SurveyRpt_20150223 (1)'!O603+"h_l!&amp;1|"</f>
        <v>#VALUE!</v>
      </c>
      <c r="DB97" t="e">
        <f>'SurveyRpt_20150223 (1)'!P603+"h_l!&amp;1}"</f>
        <v>#VALUE!</v>
      </c>
      <c r="DC97" t="e">
        <f>'SurveyRpt_20150223 (1)'!Q603+"h_l!&amp;1~"</f>
        <v>#VALUE!</v>
      </c>
      <c r="DD97" t="e">
        <f>'SurveyRpt_20150223 (1)'!R603+"h_l!&amp;2#"</f>
        <v>#VALUE!</v>
      </c>
      <c r="DE97" t="e">
        <f>'SurveyRpt_20150223 (1)'!S603+"h_l!&amp;2$"</f>
        <v>#VALUE!</v>
      </c>
      <c r="DF97" t="e">
        <f>'SurveyRpt_20150223 (1)'!T603+"h_l!&amp;2%"</f>
        <v>#VALUE!</v>
      </c>
      <c r="DG97" t="e">
        <f>'SurveyRpt_20150223 (1)'!U603+"h_l!&amp;2&amp;"</f>
        <v>#VALUE!</v>
      </c>
      <c r="DH97" t="e">
        <f>'SurveyRpt_20150223 (1)'!V603+"h_l!&amp;2'"</f>
        <v>#VALUE!</v>
      </c>
      <c r="DI97" t="e">
        <f>'SurveyRpt_20150223 (1)'!W603+"h_l!&amp;2("</f>
        <v>#VALUE!</v>
      </c>
      <c r="DJ97" t="e">
        <f>'SurveyRpt_20150223 (1)'!X603+"h_l!&amp;2)"</f>
        <v>#VALUE!</v>
      </c>
      <c r="DK97" t="e">
        <f>'SurveyRpt_20150223 (1)'!Y603+"h_l!&amp;2."</f>
        <v>#VALUE!</v>
      </c>
      <c r="DL97" t="e">
        <f>'SurveyRpt_20150223 (1)'!Z603+"h_l!&amp;2/"</f>
        <v>#VALUE!</v>
      </c>
      <c r="DM97" t="e">
        <f>'SurveyRpt_20150223 (1)'!AA603+"h_l!&amp;20"</f>
        <v>#VALUE!</v>
      </c>
      <c r="DN97" t="e">
        <f>'SurveyRpt_20150223 (1)'!AB603+"h_l!&amp;21"</f>
        <v>#VALUE!</v>
      </c>
      <c r="DO97" t="e">
        <f>'SurveyRpt_20150223 (1)'!AC603+"h_l!&amp;22"</f>
        <v>#VALUE!</v>
      </c>
      <c r="DP97" t="e">
        <f>'SurveyRpt_20150223 (1)'!AD603+"h_l!&amp;23"</f>
        <v>#VALUE!</v>
      </c>
      <c r="DQ97" t="e">
        <f>'SurveyRpt_20150223 (1)'!AE603+"h_l!&amp;24"</f>
        <v>#VALUE!</v>
      </c>
      <c r="DR97" t="e">
        <f>'SurveyRpt_20150223 (1)'!AF603+"h_l!&amp;25"</f>
        <v>#VALUE!</v>
      </c>
      <c r="DS97" t="e">
        <f>'SurveyRpt_20150223 (1)'!AG603+"h_l!&amp;26"</f>
        <v>#VALUE!</v>
      </c>
      <c r="DT97" t="e">
        <f>'SurveyRpt_20150223 (1)'!AH603+"h_l!&amp;27"</f>
        <v>#VALUE!</v>
      </c>
      <c r="DU97" t="e">
        <f>'SurveyRpt_20150223 (1)'!AI603+"h_l!&amp;28"</f>
        <v>#VALUE!</v>
      </c>
      <c r="DV97" t="e">
        <f>'SurveyRpt_20150223 (1)'!AJ603+"h_l!&amp;29"</f>
        <v>#VALUE!</v>
      </c>
      <c r="DW97" t="e">
        <f>'SurveyRpt_20150223 (1)'!AK603+"h_l!&amp;2:"</f>
        <v>#VALUE!</v>
      </c>
      <c r="DX97" t="e">
        <f>'SurveyRpt_20150223 (1)'!AL603+"h_l!&amp;2;"</f>
        <v>#VALUE!</v>
      </c>
      <c r="DY97" t="e">
        <f>'SurveyRpt_20150223 (1)'!AM603+"h_l!&amp;2&lt;"</f>
        <v>#VALUE!</v>
      </c>
      <c r="DZ97" t="e">
        <f>'SurveyRpt_20150223 (1)'!AN603+"h_l!&amp;2="</f>
        <v>#VALUE!</v>
      </c>
      <c r="EA97" t="e">
        <f>'SurveyRpt_20150223 (1)'!A604+"h_l!&amp;2&gt;"</f>
        <v>#VALUE!</v>
      </c>
      <c r="EB97" s="25" t="e">
        <f>'SurveyRpt_20150223 (1)'!B604+"h_l!&amp;2?"</f>
        <v>#VALUE!</v>
      </c>
      <c r="EC97" t="e">
        <f>'SurveyRpt_20150223 (1)'!C604+"h_l!&amp;2@"</f>
        <v>#VALUE!</v>
      </c>
      <c r="ED97" s="25" t="e">
        <f>'SurveyRpt_20150223 (1)'!D604+"h_l!&amp;2A"</f>
        <v>#VALUE!</v>
      </c>
      <c r="EE97" t="e">
        <f>'SurveyRpt_20150223 (1)'!E604+"h_l!&amp;2B"</f>
        <v>#VALUE!</v>
      </c>
      <c r="EF97" t="e">
        <f>'SurveyRpt_20150223 (1)'!F604+"h_l!&amp;2C"</f>
        <v>#VALUE!</v>
      </c>
      <c r="EG97" t="e">
        <f>'SurveyRpt_20150223 (1)'!G604+"h_l!&amp;2D"</f>
        <v>#VALUE!</v>
      </c>
      <c r="EH97" t="e">
        <f>'SurveyRpt_20150223 (1)'!H604+"h_l!&amp;2E"</f>
        <v>#VALUE!</v>
      </c>
      <c r="EI97" t="e">
        <f>'SurveyRpt_20150223 (1)'!I604+"h_l!&amp;2F"</f>
        <v>#VALUE!</v>
      </c>
      <c r="EJ97" t="e">
        <f>'SurveyRpt_20150223 (1)'!J604+"h_l!&amp;2G"</f>
        <v>#VALUE!</v>
      </c>
      <c r="EK97" t="e">
        <f>'SurveyRpt_20150223 (1)'!K604+"h_l!&amp;2H"</f>
        <v>#VALUE!</v>
      </c>
      <c r="EL97" t="e">
        <f>'SurveyRpt_20150223 (1)'!L604+"h_l!&amp;2I"</f>
        <v>#VALUE!</v>
      </c>
      <c r="EM97" t="e">
        <f>'SurveyRpt_20150223 (1)'!M604+"h_l!&amp;2J"</f>
        <v>#VALUE!</v>
      </c>
      <c r="EN97" t="e">
        <f>'SurveyRpt_20150223 (1)'!N604+"h_l!&amp;2K"</f>
        <v>#VALUE!</v>
      </c>
      <c r="EO97" t="e">
        <f>'SurveyRpt_20150223 (1)'!O604+"h_l!&amp;2L"</f>
        <v>#VALUE!</v>
      </c>
      <c r="EP97" t="e">
        <f>'SurveyRpt_20150223 (1)'!P604+"h_l!&amp;2M"</f>
        <v>#VALUE!</v>
      </c>
      <c r="EQ97" t="e">
        <f>'SurveyRpt_20150223 (1)'!Q604+"h_l!&amp;2N"</f>
        <v>#VALUE!</v>
      </c>
      <c r="ER97" t="e">
        <f>'SurveyRpt_20150223 (1)'!R604+"h_l!&amp;2O"</f>
        <v>#VALUE!</v>
      </c>
      <c r="ES97" t="e">
        <f>'SurveyRpt_20150223 (1)'!S604+"h_l!&amp;2P"</f>
        <v>#VALUE!</v>
      </c>
      <c r="ET97" t="e">
        <f>'SurveyRpt_20150223 (1)'!T604+"h_l!&amp;2Q"</f>
        <v>#VALUE!</v>
      </c>
      <c r="EU97" t="e">
        <f>'SurveyRpt_20150223 (1)'!U604+"h_l!&amp;2R"</f>
        <v>#VALUE!</v>
      </c>
      <c r="EV97" t="e">
        <f>'SurveyRpt_20150223 (1)'!V604+"h_l!&amp;2S"</f>
        <v>#VALUE!</v>
      </c>
      <c r="EW97" t="e">
        <f>'SurveyRpt_20150223 (1)'!W604+"h_l!&amp;2T"</f>
        <v>#VALUE!</v>
      </c>
      <c r="EX97" t="e">
        <f>'SurveyRpt_20150223 (1)'!X604+"h_l!&amp;2U"</f>
        <v>#VALUE!</v>
      </c>
      <c r="EY97" t="e">
        <f>'SurveyRpt_20150223 (1)'!Y604+"h_l!&amp;2V"</f>
        <v>#VALUE!</v>
      </c>
      <c r="EZ97" t="e">
        <f>'SurveyRpt_20150223 (1)'!Z604+"h_l!&amp;2W"</f>
        <v>#VALUE!</v>
      </c>
      <c r="FA97" t="e">
        <f>'SurveyRpt_20150223 (1)'!AA604+"h_l!&amp;2X"</f>
        <v>#VALUE!</v>
      </c>
      <c r="FB97" t="e">
        <f>'SurveyRpt_20150223 (1)'!AB604+"h_l!&amp;2Y"</f>
        <v>#VALUE!</v>
      </c>
      <c r="FC97" t="e">
        <f>'SurveyRpt_20150223 (1)'!AC604+"h_l!&amp;2Z"</f>
        <v>#VALUE!</v>
      </c>
      <c r="FD97" t="e">
        <f>'SurveyRpt_20150223 (1)'!AD604+"h_l!&amp;2["</f>
        <v>#VALUE!</v>
      </c>
      <c r="FE97" t="e">
        <f>'SurveyRpt_20150223 (1)'!AE604+"h_l!&amp;2\"</f>
        <v>#VALUE!</v>
      </c>
      <c r="FF97" t="e">
        <f>'SurveyRpt_20150223 (1)'!AF604+"h_l!&amp;2]"</f>
        <v>#VALUE!</v>
      </c>
      <c r="FG97" t="e">
        <f>'SurveyRpt_20150223 (1)'!AG604+"h_l!&amp;2^"</f>
        <v>#VALUE!</v>
      </c>
      <c r="FH97" t="e">
        <f>'SurveyRpt_20150223 (1)'!AH604+"h_l!&amp;2_"</f>
        <v>#VALUE!</v>
      </c>
      <c r="FI97" t="e">
        <f>'SurveyRpt_20150223 (1)'!AI604+"h_l!&amp;2`"</f>
        <v>#VALUE!</v>
      </c>
      <c r="FJ97" t="e">
        <f>'SurveyRpt_20150223 (1)'!AJ604+"h_l!&amp;2a"</f>
        <v>#VALUE!</v>
      </c>
      <c r="FK97" t="e">
        <f>'SurveyRpt_20150223 (1)'!AK604+"h_l!&amp;2b"</f>
        <v>#VALUE!</v>
      </c>
      <c r="FL97" t="e">
        <f>'SurveyRpt_20150223 (1)'!AL604+"h_l!&amp;2c"</f>
        <v>#VALUE!</v>
      </c>
      <c r="FM97" t="e">
        <f>'SurveyRpt_20150223 (1)'!AM604+"h_l!&amp;2d"</f>
        <v>#VALUE!</v>
      </c>
      <c r="FN97" t="e">
        <f>'SurveyRpt_20150223 (1)'!AN604+"h_l!&amp;2e"</f>
        <v>#VALUE!</v>
      </c>
      <c r="FO97" t="e">
        <f>'SurveyRpt_20150223 (1)'!A605+"h_l!&amp;2f"</f>
        <v>#VALUE!</v>
      </c>
      <c r="FP97" s="25" t="e">
        <f>'SurveyRpt_20150223 (1)'!B605+"h_l!&amp;2g"</f>
        <v>#VALUE!</v>
      </c>
      <c r="FQ97" t="e">
        <f>'SurveyRpt_20150223 (1)'!C605+"h_l!&amp;2h"</f>
        <v>#VALUE!</v>
      </c>
      <c r="FR97" s="25" t="e">
        <f>'SurveyRpt_20150223 (1)'!D605+"h_l!&amp;2i"</f>
        <v>#VALUE!</v>
      </c>
      <c r="FS97" t="e">
        <f>'SurveyRpt_20150223 (1)'!E605+"h_l!&amp;2j"</f>
        <v>#VALUE!</v>
      </c>
      <c r="FT97" t="e">
        <f>'SurveyRpt_20150223 (1)'!F605+"h_l!&amp;2k"</f>
        <v>#VALUE!</v>
      </c>
      <c r="FU97" t="e">
        <f>'SurveyRpt_20150223 (1)'!G605+"h_l!&amp;2l"</f>
        <v>#VALUE!</v>
      </c>
      <c r="FV97" t="e">
        <f>'SurveyRpt_20150223 (1)'!H605+"h_l!&amp;2m"</f>
        <v>#VALUE!</v>
      </c>
      <c r="FW97" t="e">
        <f>'SurveyRpt_20150223 (1)'!I605+"h_l!&amp;2n"</f>
        <v>#VALUE!</v>
      </c>
      <c r="FX97" t="e">
        <f>'SurveyRpt_20150223 (1)'!J605+"h_l!&amp;2o"</f>
        <v>#VALUE!</v>
      </c>
      <c r="FY97" t="e">
        <f>'SurveyRpt_20150223 (1)'!K605+"h_l!&amp;2p"</f>
        <v>#VALUE!</v>
      </c>
      <c r="FZ97" t="e">
        <f>'SurveyRpt_20150223 (1)'!L605+"h_l!&amp;2q"</f>
        <v>#VALUE!</v>
      </c>
      <c r="GA97" t="e">
        <f>'SurveyRpt_20150223 (1)'!M605+"h_l!&amp;2r"</f>
        <v>#VALUE!</v>
      </c>
      <c r="GB97" t="e">
        <f>'SurveyRpt_20150223 (1)'!N605+"h_l!&amp;2s"</f>
        <v>#VALUE!</v>
      </c>
      <c r="GC97" t="e">
        <f>'SurveyRpt_20150223 (1)'!O605+"h_l!&amp;2t"</f>
        <v>#VALUE!</v>
      </c>
      <c r="GD97" t="e">
        <f>'SurveyRpt_20150223 (1)'!P605+"h_l!&amp;2u"</f>
        <v>#VALUE!</v>
      </c>
      <c r="GE97" t="e">
        <f>'SurveyRpt_20150223 (1)'!Q605+"h_l!&amp;2v"</f>
        <v>#VALUE!</v>
      </c>
      <c r="GF97" t="e">
        <f>'SurveyRpt_20150223 (1)'!R605+"h_l!&amp;2w"</f>
        <v>#VALUE!</v>
      </c>
      <c r="GG97" t="e">
        <f>'SurveyRpt_20150223 (1)'!S605+"h_l!&amp;2x"</f>
        <v>#VALUE!</v>
      </c>
      <c r="GH97" t="e">
        <f>'SurveyRpt_20150223 (1)'!T605+"h_l!&amp;2y"</f>
        <v>#VALUE!</v>
      </c>
      <c r="GI97" t="e">
        <f>'SurveyRpt_20150223 (1)'!U605+"h_l!&amp;2z"</f>
        <v>#VALUE!</v>
      </c>
      <c r="GJ97" t="e">
        <f>'SurveyRpt_20150223 (1)'!V605+"h_l!&amp;2{"</f>
        <v>#VALUE!</v>
      </c>
      <c r="GK97" t="e">
        <f>'SurveyRpt_20150223 (1)'!W605+"h_l!&amp;2|"</f>
        <v>#VALUE!</v>
      </c>
      <c r="GL97" t="e">
        <f>'SurveyRpt_20150223 (1)'!X605+"h_l!&amp;2}"</f>
        <v>#VALUE!</v>
      </c>
      <c r="GM97" t="e">
        <f>'SurveyRpt_20150223 (1)'!Y605+"h_l!&amp;2~"</f>
        <v>#VALUE!</v>
      </c>
      <c r="GN97" t="e">
        <f>'SurveyRpt_20150223 (1)'!Z605+"h_l!&amp;3#"</f>
        <v>#VALUE!</v>
      </c>
      <c r="GO97" t="e">
        <f>'SurveyRpt_20150223 (1)'!AA605+"h_l!&amp;3$"</f>
        <v>#VALUE!</v>
      </c>
      <c r="GP97" t="e">
        <f>'SurveyRpt_20150223 (1)'!AB605+"h_l!&amp;3%"</f>
        <v>#VALUE!</v>
      </c>
      <c r="GQ97" t="e">
        <f>'SurveyRpt_20150223 (1)'!AC605+"h_l!&amp;3&amp;"</f>
        <v>#VALUE!</v>
      </c>
      <c r="GR97" t="e">
        <f>'SurveyRpt_20150223 (1)'!AD605+"h_l!&amp;3'"</f>
        <v>#VALUE!</v>
      </c>
      <c r="GS97" t="e">
        <f>'SurveyRpt_20150223 (1)'!AE605+"h_l!&amp;3("</f>
        <v>#VALUE!</v>
      </c>
      <c r="GT97" t="e">
        <f>'SurveyRpt_20150223 (1)'!AF605+"h_l!&amp;3)"</f>
        <v>#VALUE!</v>
      </c>
      <c r="GU97" t="e">
        <f>'SurveyRpt_20150223 (1)'!AG605+"h_l!&amp;3."</f>
        <v>#VALUE!</v>
      </c>
      <c r="GV97" t="e">
        <f>'SurveyRpt_20150223 (1)'!AH605+"h_l!&amp;3/"</f>
        <v>#VALUE!</v>
      </c>
      <c r="GW97" t="e">
        <f>'SurveyRpt_20150223 (1)'!AI605+"h_l!&amp;30"</f>
        <v>#VALUE!</v>
      </c>
      <c r="GX97" t="e">
        <f>'SurveyRpt_20150223 (1)'!AJ605+"h_l!&amp;31"</f>
        <v>#VALUE!</v>
      </c>
      <c r="GY97" t="e">
        <f>'SurveyRpt_20150223 (1)'!AK605+"h_l!&amp;32"</f>
        <v>#VALUE!</v>
      </c>
      <c r="GZ97" t="e">
        <f>'SurveyRpt_20150223 (1)'!AL605+"h_l!&amp;33"</f>
        <v>#VALUE!</v>
      </c>
      <c r="HA97" t="e">
        <f>'SurveyRpt_20150223 (1)'!AM605+"h_l!&amp;34"</f>
        <v>#VALUE!</v>
      </c>
      <c r="HB97" t="e">
        <f>'SurveyRpt_20150223 (1)'!AN605+"h_l!&amp;35"</f>
        <v>#VALUE!</v>
      </c>
      <c r="HC97" t="e">
        <f>'SurveyRpt_20150223 (1)'!A606+"h_l!&amp;36"</f>
        <v>#VALUE!</v>
      </c>
      <c r="HD97" s="25" t="e">
        <f>'SurveyRpt_20150223 (1)'!B606+"h_l!&amp;37"</f>
        <v>#VALUE!</v>
      </c>
      <c r="HE97" t="e">
        <f>'SurveyRpt_20150223 (1)'!C606+"h_l!&amp;38"</f>
        <v>#VALUE!</v>
      </c>
      <c r="HF97" s="25" t="e">
        <f>'SurveyRpt_20150223 (1)'!D606+"h_l!&amp;39"</f>
        <v>#VALUE!</v>
      </c>
      <c r="HG97" t="e">
        <f>'SurveyRpt_20150223 (1)'!E606+"h_l!&amp;3:"</f>
        <v>#VALUE!</v>
      </c>
      <c r="HH97" t="e">
        <f>'SurveyRpt_20150223 (1)'!F606+"h_l!&amp;3;"</f>
        <v>#VALUE!</v>
      </c>
      <c r="HI97" t="e">
        <f>'SurveyRpt_20150223 (1)'!G606+"h_l!&amp;3&lt;"</f>
        <v>#VALUE!</v>
      </c>
      <c r="HJ97" t="e">
        <f>'SurveyRpt_20150223 (1)'!H606+"h_l!&amp;3="</f>
        <v>#VALUE!</v>
      </c>
      <c r="HK97" t="e">
        <f>'SurveyRpt_20150223 (1)'!I606+"h_l!&amp;3&gt;"</f>
        <v>#VALUE!</v>
      </c>
      <c r="HL97" t="e">
        <f>'SurveyRpt_20150223 (1)'!J606+"h_l!&amp;3?"</f>
        <v>#VALUE!</v>
      </c>
      <c r="HM97" t="e">
        <f>'SurveyRpt_20150223 (1)'!K606+"h_l!&amp;3@"</f>
        <v>#VALUE!</v>
      </c>
      <c r="HN97" t="e">
        <f>'SurveyRpt_20150223 (1)'!L606+"h_l!&amp;3A"</f>
        <v>#VALUE!</v>
      </c>
      <c r="HO97" t="e">
        <f>'SurveyRpt_20150223 (1)'!M606+"h_l!&amp;3B"</f>
        <v>#VALUE!</v>
      </c>
      <c r="HP97" t="e">
        <f>'SurveyRpt_20150223 (1)'!N606+"h_l!&amp;3C"</f>
        <v>#VALUE!</v>
      </c>
      <c r="HQ97" t="e">
        <f>'SurveyRpt_20150223 (1)'!O606+"h_l!&amp;3D"</f>
        <v>#VALUE!</v>
      </c>
      <c r="HR97" t="e">
        <f>'SurveyRpt_20150223 (1)'!P606+"h_l!&amp;3E"</f>
        <v>#VALUE!</v>
      </c>
      <c r="HS97" t="e">
        <f>'SurveyRpt_20150223 (1)'!Q606+"h_l!&amp;3F"</f>
        <v>#VALUE!</v>
      </c>
      <c r="HT97" t="e">
        <f>'SurveyRpt_20150223 (1)'!R606+"h_l!&amp;3G"</f>
        <v>#VALUE!</v>
      </c>
      <c r="HU97" t="e">
        <f>'SurveyRpt_20150223 (1)'!S606+"h_l!&amp;3H"</f>
        <v>#VALUE!</v>
      </c>
      <c r="HV97" t="e">
        <f>'SurveyRpt_20150223 (1)'!T606+"h_l!&amp;3I"</f>
        <v>#VALUE!</v>
      </c>
      <c r="HW97" t="e">
        <f>'SurveyRpt_20150223 (1)'!U606+"h_l!&amp;3J"</f>
        <v>#VALUE!</v>
      </c>
      <c r="HX97" t="e">
        <f>'SurveyRpt_20150223 (1)'!V606+"h_l!&amp;3K"</f>
        <v>#VALUE!</v>
      </c>
      <c r="HY97" t="e">
        <f>'SurveyRpt_20150223 (1)'!W606+"h_l!&amp;3L"</f>
        <v>#VALUE!</v>
      </c>
      <c r="HZ97" t="e">
        <f>'SurveyRpt_20150223 (1)'!X606+"h_l!&amp;3M"</f>
        <v>#VALUE!</v>
      </c>
      <c r="IA97" t="e">
        <f>'SurveyRpt_20150223 (1)'!Y606+"h_l!&amp;3N"</f>
        <v>#VALUE!</v>
      </c>
      <c r="IB97" t="e">
        <f>'SurveyRpt_20150223 (1)'!Z606+"h_l!&amp;3O"</f>
        <v>#VALUE!</v>
      </c>
      <c r="IC97" t="e">
        <f>'SurveyRpt_20150223 (1)'!AA606+"h_l!&amp;3P"</f>
        <v>#VALUE!</v>
      </c>
      <c r="ID97" t="e">
        <f>'SurveyRpt_20150223 (1)'!AB606+"h_l!&amp;3Q"</f>
        <v>#VALUE!</v>
      </c>
      <c r="IE97" t="e">
        <f>'SurveyRpt_20150223 (1)'!AC606+"h_l!&amp;3R"</f>
        <v>#VALUE!</v>
      </c>
      <c r="IF97" t="e">
        <f>'SurveyRpt_20150223 (1)'!AD606+"h_l!&amp;3S"</f>
        <v>#VALUE!</v>
      </c>
      <c r="IG97" t="e">
        <f>'SurveyRpt_20150223 (1)'!AE606+"h_l!&amp;3T"</f>
        <v>#VALUE!</v>
      </c>
      <c r="IH97" t="e">
        <f>'SurveyRpt_20150223 (1)'!AF606+"h_l!&amp;3U"</f>
        <v>#VALUE!</v>
      </c>
      <c r="II97" t="e">
        <f>'SurveyRpt_20150223 (1)'!AG606+"h_l!&amp;3V"</f>
        <v>#VALUE!</v>
      </c>
      <c r="IJ97" t="e">
        <f>'SurveyRpt_20150223 (1)'!AH606+"h_l!&amp;3W"</f>
        <v>#VALUE!</v>
      </c>
      <c r="IK97" t="e">
        <f>'SurveyRpt_20150223 (1)'!AI606+"h_l!&amp;3X"</f>
        <v>#VALUE!</v>
      </c>
      <c r="IL97" t="e">
        <f>'SurveyRpt_20150223 (1)'!AJ606+"h_l!&amp;3Y"</f>
        <v>#VALUE!</v>
      </c>
      <c r="IM97" t="e">
        <f>'SurveyRpt_20150223 (1)'!AK606+"h_l!&amp;3Z"</f>
        <v>#VALUE!</v>
      </c>
      <c r="IN97" t="e">
        <f>'SurveyRpt_20150223 (1)'!AL606+"h_l!&amp;3["</f>
        <v>#VALUE!</v>
      </c>
      <c r="IO97" t="e">
        <f>'SurveyRpt_20150223 (1)'!AM606+"h_l!&amp;3\"</f>
        <v>#VALUE!</v>
      </c>
      <c r="IP97" t="e">
        <f>'SurveyRpt_20150223 (1)'!AN606+"h_l!&amp;3]"</f>
        <v>#VALUE!</v>
      </c>
      <c r="IQ97" t="e">
        <f>'SurveyRpt_20150223 (1)'!A607+"h_l!&amp;3^"</f>
        <v>#VALUE!</v>
      </c>
      <c r="IR97" s="25" t="e">
        <f>'SurveyRpt_20150223 (1)'!B607+"h_l!&amp;3_"</f>
        <v>#VALUE!</v>
      </c>
      <c r="IS97" t="e">
        <f>'SurveyRpt_20150223 (1)'!C607+"h_l!&amp;3`"</f>
        <v>#VALUE!</v>
      </c>
      <c r="IT97" s="25" t="e">
        <f>'SurveyRpt_20150223 (1)'!D607+"h_l!&amp;3a"</f>
        <v>#VALUE!</v>
      </c>
      <c r="IU97" t="e">
        <f>'SurveyRpt_20150223 (1)'!E607+"h_l!&amp;3b"</f>
        <v>#VALUE!</v>
      </c>
      <c r="IV97" t="e">
        <f>'SurveyRpt_20150223 (1)'!F607+"h_l!&amp;3c"</f>
        <v>#VALUE!</v>
      </c>
    </row>
    <row r="98" spans="6:256" x14ac:dyDescent="0.25">
      <c r="F98" t="e">
        <f>'SurveyRpt_20150223 (1)'!G607+"h_l!&amp;3d"</f>
        <v>#VALUE!</v>
      </c>
      <c r="G98" t="e">
        <f>'SurveyRpt_20150223 (1)'!H607+"h_l!&amp;3e"</f>
        <v>#VALUE!</v>
      </c>
      <c r="H98" t="e">
        <f>'SurveyRpt_20150223 (1)'!I607+"h_l!&amp;3f"</f>
        <v>#VALUE!</v>
      </c>
      <c r="I98" t="e">
        <f>'SurveyRpt_20150223 (1)'!J607+"h_l!&amp;3g"</f>
        <v>#VALUE!</v>
      </c>
      <c r="J98" t="e">
        <f>'SurveyRpt_20150223 (1)'!K607+"h_l!&amp;3h"</f>
        <v>#VALUE!</v>
      </c>
      <c r="K98" t="e">
        <f>'SurveyRpt_20150223 (1)'!L607+"h_l!&amp;3i"</f>
        <v>#VALUE!</v>
      </c>
      <c r="L98" t="e">
        <f>'SurveyRpt_20150223 (1)'!M607+"h_l!&amp;3j"</f>
        <v>#VALUE!</v>
      </c>
      <c r="M98" t="e">
        <f>'SurveyRpt_20150223 (1)'!N607+"h_l!&amp;3k"</f>
        <v>#VALUE!</v>
      </c>
      <c r="N98" t="e">
        <f>'SurveyRpt_20150223 (1)'!O607+"h_l!&amp;3l"</f>
        <v>#VALUE!</v>
      </c>
      <c r="O98" t="e">
        <f>'SurveyRpt_20150223 (1)'!P607+"h_l!&amp;3m"</f>
        <v>#VALUE!</v>
      </c>
      <c r="P98" t="e">
        <f>'SurveyRpt_20150223 (1)'!Q607+"h_l!&amp;3n"</f>
        <v>#VALUE!</v>
      </c>
      <c r="Q98" t="e">
        <f>'SurveyRpt_20150223 (1)'!R607+"h_l!&amp;3o"</f>
        <v>#VALUE!</v>
      </c>
      <c r="R98" t="e">
        <f>'SurveyRpt_20150223 (1)'!S607+"h_l!&amp;3p"</f>
        <v>#VALUE!</v>
      </c>
      <c r="S98" t="e">
        <f>'SurveyRpt_20150223 (1)'!T607+"h_l!&amp;3q"</f>
        <v>#VALUE!</v>
      </c>
      <c r="T98" t="e">
        <f>'SurveyRpt_20150223 (1)'!U607+"h_l!&amp;3r"</f>
        <v>#VALUE!</v>
      </c>
      <c r="U98" t="e">
        <f>'SurveyRpt_20150223 (1)'!V607+"h_l!&amp;3s"</f>
        <v>#VALUE!</v>
      </c>
      <c r="V98" t="e">
        <f>'SurveyRpt_20150223 (1)'!W607+"h_l!&amp;3t"</f>
        <v>#VALUE!</v>
      </c>
      <c r="W98" t="e">
        <f>'SurveyRpt_20150223 (1)'!X607+"h_l!&amp;3u"</f>
        <v>#VALUE!</v>
      </c>
      <c r="X98" t="e">
        <f>'SurveyRpt_20150223 (1)'!Y607+"h_l!&amp;3v"</f>
        <v>#VALUE!</v>
      </c>
      <c r="Y98" t="e">
        <f>'SurveyRpt_20150223 (1)'!Z607+"h_l!&amp;3w"</f>
        <v>#VALUE!</v>
      </c>
      <c r="Z98" t="e">
        <f>'SurveyRpt_20150223 (1)'!AA607+"h_l!&amp;3x"</f>
        <v>#VALUE!</v>
      </c>
      <c r="AA98" t="e">
        <f>'SurveyRpt_20150223 (1)'!AB607+"h_l!&amp;3y"</f>
        <v>#VALUE!</v>
      </c>
      <c r="AB98" t="e">
        <f>'SurveyRpt_20150223 (1)'!AC607+"h_l!&amp;3z"</f>
        <v>#VALUE!</v>
      </c>
      <c r="AC98" t="e">
        <f>'SurveyRpt_20150223 (1)'!AD607+"h_l!&amp;3{"</f>
        <v>#VALUE!</v>
      </c>
      <c r="AD98" t="e">
        <f>'SurveyRpt_20150223 (1)'!AE607+"h_l!&amp;3|"</f>
        <v>#VALUE!</v>
      </c>
      <c r="AE98" t="e">
        <f>'SurveyRpt_20150223 (1)'!AF607+"h_l!&amp;3}"</f>
        <v>#VALUE!</v>
      </c>
      <c r="AF98" t="e">
        <f>'SurveyRpt_20150223 (1)'!AG607+"h_l!&amp;3~"</f>
        <v>#VALUE!</v>
      </c>
      <c r="AG98" t="e">
        <f>'SurveyRpt_20150223 (1)'!AH607+"h_l!&amp;4#"</f>
        <v>#VALUE!</v>
      </c>
      <c r="AH98" t="e">
        <f>'SurveyRpt_20150223 (1)'!AI607+"h_l!&amp;4$"</f>
        <v>#VALUE!</v>
      </c>
      <c r="AI98" t="e">
        <f>'SurveyRpt_20150223 (1)'!AJ607+"h_l!&amp;4%"</f>
        <v>#VALUE!</v>
      </c>
      <c r="AJ98" t="e">
        <f>'SurveyRpt_20150223 (1)'!AK607+"h_l!&amp;4&amp;"</f>
        <v>#VALUE!</v>
      </c>
      <c r="AK98" t="e">
        <f>'SurveyRpt_20150223 (1)'!AL607+"h_l!&amp;4'"</f>
        <v>#VALUE!</v>
      </c>
      <c r="AL98" t="e">
        <f>'SurveyRpt_20150223 (1)'!AM607+"h_l!&amp;4("</f>
        <v>#VALUE!</v>
      </c>
      <c r="AM98" t="e">
        <f>'SurveyRpt_20150223 (1)'!AN607+"h_l!&amp;4)"</f>
        <v>#VALUE!</v>
      </c>
      <c r="AN98" t="e">
        <f>'SurveyRpt_20150223 (1)'!A608+"h_l!&amp;4."</f>
        <v>#VALUE!</v>
      </c>
      <c r="AO98" s="25" t="e">
        <f>'SurveyRpt_20150223 (1)'!B608+"h_l!&amp;4/"</f>
        <v>#VALUE!</v>
      </c>
      <c r="AP98" t="e">
        <f>'SurveyRpt_20150223 (1)'!C608+"h_l!&amp;40"</f>
        <v>#VALUE!</v>
      </c>
      <c r="AQ98" s="25" t="e">
        <f>'SurveyRpt_20150223 (1)'!D608+"h_l!&amp;41"</f>
        <v>#VALUE!</v>
      </c>
      <c r="AR98" t="e">
        <f>'SurveyRpt_20150223 (1)'!E608+"h_l!&amp;42"</f>
        <v>#VALUE!</v>
      </c>
      <c r="AS98" t="e">
        <f>'SurveyRpt_20150223 (1)'!F608+"h_l!&amp;43"</f>
        <v>#VALUE!</v>
      </c>
      <c r="AT98" t="e">
        <f>'SurveyRpt_20150223 (1)'!G608+"h_l!&amp;44"</f>
        <v>#VALUE!</v>
      </c>
      <c r="AU98" t="e">
        <f>'SurveyRpt_20150223 (1)'!H608+"h_l!&amp;45"</f>
        <v>#VALUE!</v>
      </c>
      <c r="AV98" t="e">
        <f>'SurveyRpt_20150223 (1)'!I608+"h_l!&amp;46"</f>
        <v>#VALUE!</v>
      </c>
      <c r="AW98" t="e">
        <f>'SurveyRpt_20150223 (1)'!J608+"h_l!&amp;47"</f>
        <v>#VALUE!</v>
      </c>
      <c r="AX98" t="e">
        <f>'SurveyRpt_20150223 (1)'!K608+"h_l!&amp;48"</f>
        <v>#VALUE!</v>
      </c>
      <c r="AY98" t="e">
        <f>'SurveyRpt_20150223 (1)'!L608+"h_l!&amp;49"</f>
        <v>#VALUE!</v>
      </c>
      <c r="AZ98" t="e">
        <f>'SurveyRpt_20150223 (1)'!M608+"h_l!&amp;4:"</f>
        <v>#VALUE!</v>
      </c>
      <c r="BA98" t="e">
        <f>'SurveyRpt_20150223 (1)'!N608+"h_l!&amp;4;"</f>
        <v>#VALUE!</v>
      </c>
      <c r="BB98" t="e">
        <f>'SurveyRpt_20150223 (1)'!O608+"h_l!&amp;4&lt;"</f>
        <v>#VALUE!</v>
      </c>
      <c r="BC98" t="e">
        <f>'SurveyRpt_20150223 (1)'!P608+"h_l!&amp;4="</f>
        <v>#VALUE!</v>
      </c>
      <c r="BD98" t="e">
        <f>'SurveyRpt_20150223 (1)'!Q608+"h_l!&amp;4&gt;"</f>
        <v>#VALUE!</v>
      </c>
      <c r="BE98" t="e">
        <f>'SurveyRpt_20150223 (1)'!R608+"h_l!&amp;4?"</f>
        <v>#VALUE!</v>
      </c>
      <c r="BF98" t="e">
        <f>'SurveyRpt_20150223 (1)'!S608+"h_l!&amp;4@"</f>
        <v>#VALUE!</v>
      </c>
      <c r="BG98" t="e">
        <f>'SurveyRpt_20150223 (1)'!T608+"h_l!&amp;4A"</f>
        <v>#VALUE!</v>
      </c>
      <c r="BH98" t="e">
        <f>'SurveyRpt_20150223 (1)'!U608+"h_l!&amp;4B"</f>
        <v>#VALUE!</v>
      </c>
      <c r="BI98" t="e">
        <f>'SurveyRpt_20150223 (1)'!V608+"h_l!&amp;4C"</f>
        <v>#VALUE!</v>
      </c>
      <c r="BJ98" t="e">
        <f>'SurveyRpt_20150223 (1)'!W608+"h_l!&amp;4D"</f>
        <v>#VALUE!</v>
      </c>
      <c r="BK98" t="e">
        <f>'SurveyRpt_20150223 (1)'!X608+"h_l!&amp;4E"</f>
        <v>#VALUE!</v>
      </c>
      <c r="BL98" t="e">
        <f>'SurveyRpt_20150223 (1)'!Y608+"h_l!&amp;4F"</f>
        <v>#VALUE!</v>
      </c>
      <c r="BM98" t="e">
        <f>'SurveyRpt_20150223 (1)'!Z608+"h_l!&amp;4G"</f>
        <v>#VALUE!</v>
      </c>
      <c r="BN98" t="e">
        <f>'SurveyRpt_20150223 (1)'!AA608+"h_l!&amp;4H"</f>
        <v>#VALUE!</v>
      </c>
      <c r="BO98" t="e">
        <f>'SurveyRpt_20150223 (1)'!AB608+"h_l!&amp;4I"</f>
        <v>#VALUE!</v>
      </c>
      <c r="BP98" t="e">
        <f>'SurveyRpt_20150223 (1)'!AC608+"h_l!&amp;4J"</f>
        <v>#VALUE!</v>
      </c>
      <c r="BQ98" t="e">
        <f>'SurveyRpt_20150223 (1)'!AD608+"h_l!&amp;4K"</f>
        <v>#VALUE!</v>
      </c>
      <c r="BR98" t="e">
        <f>'SurveyRpt_20150223 (1)'!AE608+"h_l!&amp;4L"</f>
        <v>#VALUE!</v>
      </c>
      <c r="BS98" t="e">
        <f>'SurveyRpt_20150223 (1)'!AF608+"h_l!&amp;4M"</f>
        <v>#VALUE!</v>
      </c>
      <c r="BT98" t="e">
        <f>'SurveyRpt_20150223 (1)'!AG608+"h_l!&amp;4N"</f>
        <v>#VALUE!</v>
      </c>
      <c r="BU98" t="e">
        <f>'SurveyRpt_20150223 (1)'!AH608+"h_l!&amp;4O"</f>
        <v>#VALUE!</v>
      </c>
      <c r="BV98" t="e">
        <f>'SurveyRpt_20150223 (1)'!AI608+"h_l!&amp;4P"</f>
        <v>#VALUE!</v>
      </c>
      <c r="BW98" t="e">
        <f>'SurveyRpt_20150223 (1)'!AJ608+"h_l!&amp;4Q"</f>
        <v>#VALUE!</v>
      </c>
      <c r="BX98" t="e">
        <f>'SurveyRpt_20150223 (1)'!AK608+"h_l!&amp;4R"</f>
        <v>#VALUE!</v>
      </c>
      <c r="BY98" t="e">
        <f>'SurveyRpt_20150223 (1)'!AL608+"h_l!&amp;4S"</f>
        <v>#VALUE!</v>
      </c>
      <c r="BZ98" t="e">
        <f>'SurveyRpt_20150223 (1)'!AM608+"h_l!&amp;4T"</f>
        <v>#VALUE!</v>
      </c>
      <c r="CA98" t="e">
        <f>'SurveyRpt_20150223 (1)'!AN608+"h_l!&amp;4U"</f>
        <v>#VALUE!</v>
      </c>
      <c r="CB98" t="e">
        <f>'SurveyRpt_20150223 (1)'!A609+"h_l!&amp;4V"</f>
        <v>#VALUE!</v>
      </c>
      <c r="CC98" s="25" t="e">
        <f>'SurveyRpt_20150223 (1)'!B609+"h_l!&amp;4W"</f>
        <v>#VALUE!</v>
      </c>
      <c r="CD98" t="e">
        <f>'SurveyRpt_20150223 (1)'!C609+"h_l!&amp;4X"</f>
        <v>#VALUE!</v>
      </c>
      <c r="CE98" s="25" t="e">
        <f>'SurveyRpt_20150223 (1)'!D609+"h_l!&amp;4Y"</f>
        <v>#VALUE!</v>
      </c>
      <c r="CF98" t="e">
        <f>'SurveyRpt_20150223 (1)'!E609+"h_l!&amp;4Z"</f>
        <v>#VALUE!</v>
      </c>
      <c r="CG98" t="e">
        <f>'SurveyRpt_20150223 (1)'!F609+"h_l!&amp;4["</f>
        <v>#VALUE!</v>
      </c>
      <c r="CH98" t="e">
        <f>'SurveyRpt_20150223 (1)'!G609+"h_l!&amp;4\"</f>
        <v>#VALUE!</v>
      </c>
      <c r="CI98" t="e">
        <f>'SurveyRpt_20150223 (1)'!H609+"h_l!&amp;4]"</f>
        <v>#VALUE!</v>
      </c>
      <c r="CJ98" t="e">
        <f>'SurveyRpt_20150223 (1)'!I609+"h_l!&amp;4^"</f>
        <v>#VALUE!</v>
      </c>
      <c r="CK98" t="e">
        <f>'SurveyRpt_20150223 (1)'!J609+"h_l!&amp;4_"</f>
        <v>#VALUE!</v>
      </c>
      <c r="CL98" t="e">
        <f>'SurveyRpt_20150223 (1)'!K609+"h_l!&amp;4`"</f>
        <v>#VALUE!</v>
      </c>
      <c r="CM98" t="e">
        <f>'SurveyRpt_20150223 (1)'!L609+"h_l!&amp;4a"</f>
        <v>#VALUE!</v>
      </c>
      <c r="CN98" t="e">
        <f>'SurveyRpt_20150223 (1)'!M609+"h_l!&amp;4b"</f>
        <v>#VALUE!</v>
      </c>
      <c r="CO98" t="e">
        <f>'SurveyRpt_20150223 (1)'!N609+"h_l!&amp;4c"</f>
        <v>#VALUE!</v>
      </c>
      <c r="CP98" t="e">
        <f>'SurveyRpt_20150223 (1)'!O609+"h_l!&amp;4d"</f>
        <v>#VALUE!</v>
      </c>
      <c r="CQ98" t="e">
        <f>'SurveyRpt_20150223 (1)'!P609+"h_l!&amp;4e"</f>
        <v>#VALUE!</v>
      </c>
      <c r="CR98" t="e">
        <f>'SurveyRpt_20150223 (1)'!Q609+"h_l!&amp;4f"</f>
        <v>#VALUE!</v>
      </c>
      <c r="CS98" t="e">
        <f>'SurveyRpt_20150223 (1)'!R609+"h_l!&amp;4g"</f>
        <v>#VALUE!</v>
      </c>
      <c r="CT98" t="e">
        <f>'SurveyRpt_20150223 (1)'!S609+"h_l!&amp;4h"</f>
        <v>#VALUE!</v>
      </c>
      <c r="CU98" t="e">
        <f>'SurveyRpt_20150223 (1)'!T609+"h_l!&amp;4i"</f>
        <v>#VALUE!</v>
      </c>
      <c r="CV98" t="e">
        <f>'SurveyRpt_20150223 (1)'!U609+"h_l!&amp;4j"</f>
        <v>#VALUE!</v>
      </c>
      <c r="CW98" t="e">
        <f>'SurveyRpt_20150223 (1)'!V609+"h_l!&amp;4k"</f>
        <v>#VALUE!</v>
      </c>
      <c r="CX98" t="e">
        <f>'SurveyRpt_20150223 (1)'!W609+"h_l!&amp;4l"</f>
        <v>#VALUE!</v>
      </c>
      <c r="CY98" t="e">
        <f>'SurveyRpt_20150223 (1)'!X609+"h_l!&amp;4m"</f>
        <v>#VALUE!</v>
      </c>
      <c r="CZ98" t="e">
        <f>'SurveyRpt_20150223 (1)'!Y609+"h_l!&amp;4n"</f>
        <v>#VALUE!</v>
      </c>
      <c r="DA98" t="e">
        <f>'SurveyRpt_20150223 (1)'!Z609+"h_l!&amp;4o"</f>
        <v>#VALUE!</v>
      </c>
      <c r="DB98" t="e">
        <f>'SurveyRpt_20150223 (1)'!AA609+"h_l!&amp;4p"</f>
        <v>#VALUE!</v>
      </c>
      <c r="DC98" t="e">
        <f>'SurveyRpt_20150223 (1)'!AB609+"h_l!&amp;4q"</f>
        <v>#VALUE!</v>
      </c>
      <c r="DD98" t="e">
        <f>'SurveyRpt_20150223 (1)'!AC609+"h_l!&amp;4r"</f>
        <v>#VALUE!</v>
      </c>
      <c r="DE98" t="e">
        <f>'SurveyRpt_20150223 (1)'!AD609+"h_l!&amp;4s"</f>
        <v>#VALUE!</v>
      </c>
      <c r="DF98" t="e">
        <f>'SurveyRpt_20150223 (1)'!AE609+"h_l!&amp;4t"</f>
        <v>#VALUE!</v>
      </c>
      <c r="DG98" t="e">
        <f>'SurveyRpt_20150223 (1)'!AF609+"h_l!&amp;4u"</f>
        <v>#VALUE!</v>
      </c>
      <c r="DH98" t="e">
        <f>'SurveyRpt_20150223 (1)'!AG609+"h_l!&amp;4v"</f>
        <v>#VALUE!</v>
      </c>
      <c r="DI98" t="e">
        <f>'SurveyRpt_20150223 (1)'!AH609+"h_l!&amp;4w"</f>
        <v>#VALUE!</v>
      </c>
      <c r="DJ98" t="e">
        <f>'SurveyRpt_20150223 (1)'!AI609+"h_l!&amp;4x"</f>
        <v>#VALUE!</v>
      </c>
      <c r="DK98" t="e">
        <f>'SurveyRpt_20150223 (1)'!AJ609+"h_l!&amp;4y"</f>
        <v>#VALUE!</v>
      </c>
      <c r="DL98" t="e">
        <f>'SurveyRpt_20150223 (1)'!AK609+"h_l!&amp;4z"</f>
        <v>#VALUE!</v>
      </c>
      <c r="DM98" t="e">
        <f>'SurveyRpt_20150223 (1)'!AL609+"h_l!&amp;4{"</f>
        <v>#VALUE!</v>
      </c>
      <c r="DN98" t="e">
        <f>'SurveyRpt_20150223 (1)'!AM609+"h_l!&amp;4|"</f>
        <v>#VALUE!</v>
      </c>
      <c r="DO98" t="e">
        <f>'SurveyRpt_20150223 (1)'!AN609+"h_l!&amp;4}"</f>
        <v>#VALUE!</v>
      </c>
      <c r="DP98" t="e">
        <f>'SurveyRpt_20150223 (1)'!A610+"h_l!&amp;4~"</f>
        <v>#VALUE!</v>
      </c>
      <c r="DQ98" s="25" t="e">
        <f>'SurveyRpt_20150223 (1)'!B610+"h_l!&amp;5#"</f>
        <v>#VALUE!</v>
      </c>
      <c r="DR98" t="e">
        <f>'SurveyRpt_20150223 (1)'!C610+"h_l!&amp;5$"</f>
        <v>#VALUE!</v>
      </c>
      <c r="DS98" s="25" t="e">
        <f>'SurveyRpt_20150223 (1)'!D610+"h_l!&amp;5%"</f>
        <v>#VALUE!</v>
      </c>
      <c r="DT98" t="e">
        <f>'SurveyRpt_20150223 (1)'!E610+"h_l!&amp;5&amp;"</f>
        <v>#VALUE!</v>
      </c>
      <c r="DU98" t="e">
        <f>'SurveyRpt_20150223 (1)'!F610+"h_l!&amp;5'"</f>
        <v>#VALUE!</v>
      </c>
      <c r="DV98" t="e">
        <f>'SurveyRpt_20150223 (1)'!G610+"h_l!&amp;5("</f>
        <v>#VALUE!</v>
      </c>
      <c r="DW98" t="e">
        <f>'SurveyRpt_20150223 (1)'!H610+"h_l!&amp;5)"</f>
        <v>#VALUE!</v>
      </c>
      <c r="DX98" t="e">
        <f>'SurveyRpt_20150223 (1)'!I610+"h_l!&amp;5."</f>
        <v>#VALUE!</v>
      </c>
      <c r="DY98" t="e">
        <f>'SurveyRpt_20150223 (1)'!J610+"h_l!&amp;5/"</f>
        <v>#VALUE!</v>
      </c>
      <c r="DZ98" t="e">
        <f>'SurveyRpt_20150223 (1)'!K610+"h_l!&amp;50"</f>
        <v>#VALUE!</v>
      </c>
      <c r="EA98" t="e">
        <f>'SurveyRpt_20150223 (1)'!L610+"h_l!&amp;51"</f>
        <v>#VALUE!</v>
      </c>
      <c r="EB98" t="e">
        <f>'SurveyRpt_20150223 (1)'!M610+"h_l!&amp;52"</f>
        <v>#VALUE!</v>
      </c>
      <c r="EC98" t="e">
        <f>'SurveyRpt_20150223 (1)'!N610+"h_l!&amp;53"</f>
        <v>#VALUE!</v>
      </c>
      <c r="ED98" t="e">
        <f>'SurveyRpt_20150223 (1)'!O610+"h_l!&amp;54"</f>
        <v>#VALUE!</v>
      </c>
      <c r="EE98" t="e">
        <f>'SurveyRpt_20150223 (1)'!P610+"h_l!&amp;55"</f>
        <v>#VALUE!</v>
      </c>
      <c r="EF98" t="e">
        <f>'SurveyRpt_20150223 (1)'!Q610+"h_l!&amp;56"</f>
        <v>#VALUE!</v>
      </c>
      <c r="EG98" t="e">
        <f>'SurveyRpt_20150223 (1)'!R610+"h_l!&amp;57"</f>
        <v>#VALUE!</v>
      </c>
      <c r="EH98" t="e">
        <f>'SurveyRpt_20150223 (1)'!S610+"h_l!&amp;58"</f>
        <v>#VALUE!</v>
      </c>
      <c r="EI98" t="e">
        <f>'SurveyRpt_20150223 (1)'!T610+"h_l!&amp;59"</f>
        <v>#VALUE!</v>
      </c>
      <c r="EJ98" t="e">
        <f>'SurveyRpt_20150223 (1)'!U610+"h_l!&amp;5:"</f>
        <v>#VALUE!</v>
      </c>
      <c r="EK98" t="e">
        <f>'SurveyRpt_20150223 (1)'!V610+"h_l!&amp;5;"</f>
        <v>#VALUE!</v>
      </c>
      <c r="EL98" t="e">
        <f>'SurveyRpt_20150223 (1)'!W610+"h_l!&amp;5&lt;"</f>
        <v>#VALUE!</v>
      </c>
      <c r="EM98" t="e">
        <f>'SurveyRpt_20150223 (1)'!X610+"h_l!&amp;5="</f>
        <v>#VALUE!</v>
      </c>
      <c r="EN98" t="e">
        <f>'SurveyRpt_20150223 (1)'!Y610+"h_l!&amp;5&gt;"</f>
        <v>#VALUE!</v>
      </c>
      <c r="EO98" t="e">
        <f>'SurveyRpt_20150223 (1)'!Z610+"h_l!&amp;5?"</f>
        <v>#VALUE!</v>
      </c>
      <c r="EP98" t="e">
        <f>'SurveyRpt_20150223 (1)'!AA610+"h_l!&amp;5@"</f>
        <v>#VALUE!</v>
      </c>
      <c r="EQ98" t="e">
        <f>'SurveyRpt_20150223 (1)'!AB610+"h_l!&amp;5A"</f>
        <v>#VALUE!</v>
      </c>
      <c r="ER98" t="e">
        <f>'SurveyRpt_20150223 (1)'!AC610+"h_l!&amp;5B"</f>
        <v>#VALUE!</v>
      </c>
      <c r="ES98" t="e">
        <f>'SurveyRpt_20150223 (1)'!AD610+"h_l!&amp;5C"</f>
        <v>#VALUE!</v>
      </c>
      <c r="ET98" t="e">
        <f>'SurveyRpt_20150223 (1)'!AE610+"h_l!&amp;5D"</f>
        <v>#VALUE!</v>
      </c>
      <c r="EU98" t="e">
        <f>'SurveyRpt_20150223 (1)'!AF610+"h_l!&amp;5E"</f>
        <v>#VALUE!</v>
      </c>
      <c r="EV98" t="e">
        <f>'SurveyRpt_20150223 (1)'!AG610+"h_l!&amp;5F"</f>
        <v>#VALUE!</v>
      </c>
      <c r="EW98" t="e">
        <f>'SurveyRpt_20150223 (1)'!AH610+"h_l!&amp;5G"</f>
        <v>#VALUE!</v>
      </c>
      <c r="EX98" t="e">
        <f>'SurveyRpt_20150223 (1)'!AI610+"h_l!&amp;5H"</f>
        <v>#VALUE!</v>
      </c>
      <c r="EY98" t="e">
        <f>'SurveyRpt_20150223 (1)'!AJ610+"h_l!&amp;5I"</f>
        <v>#VALUE!</v>
      </c>
      <c r="EZ98" t="e">
        <f>'SurveyRpt_20150223 (1)'!AK610+"h_l!&amp;5J"</f>
        <v>#VALUE!</v>
      </c>
      <c r="FA98" t="e">
        <f>'SurveyRpt_20150223 (1)'!AL610+"h_l!&amp;5K"</f>
        <v>#VALUE!</v>
      </c>
      <c r="FB98" t="e">
        <f>'SurveyRpt_20150223 (1)'!AM610+"h_l!&amp;5L"</f>
        <v>#VALUE!</v>
      </c>
      <c r="FC98" t="e">
        <f>'SurveyRpt_20150223 (1)'!AN610+"h_l!&amp;5M"</f>
        <v>#VALUE!</v>
      </c>
      <c r="FD98" t="e">
        <f>'SurveyRpt_20150223 (1)'!A611+"h_l!&amp;5N"</f>
        <v>#VALUE!</v>
      </c>
      <c r="FE98" s="25" t="e">
        <f>'SurveyRpt_20150223 (1)'!B611+"h_l!&amp;5O"</f>
        <v>#VALUE!</v>
      </c>
      <c r="FF98" t="e">
        <f>'SurveyRpt_20150223 (1)'!C611+"h_l!&amp;5P"</f>
        <v>#VALUE!</v>
      </c>
      <c r="FG98" s="25" t="e">
        <f>'SurveyRpt_20150223 (1)'!D611+"h_l!&amp;5Q"</f>
        <v>#VALUE!</v>
      </c>
      <c r="FH98" t="e">
        <f>'SurveyRpt_20150223 (1)'!E611+"h_l!&amp;5R"</f>
        <v>#VALUE!</v>
      </c>
      <c r="FI98" t="e">
        <f>'SurveyRpt_20150223 (1)'!F611+"h_l!&amp;5S"</f>
        <v>#VALUE!</v>
      </c>
      <c r="FJ98" t="e">
        <f>'SurveyRpt_20150223 (1)'!G611+"h_l!&amp;5T"</f>
        <v>#VALUE!</v>
      </c>
      <c r="FK98" t="e">
        <f>'SurveyRpt_20150223 (1)'!H611+"h_l!&amp;5U"</f>
        <v>#VALUE!</v>
      </c>
      <c r="FL98" t="e">
        <f>'SurveyRpt_20150223 (1)'!I611+"h_l!&amp;5V"</f>
        <v>#VALUE!</v>
      </c>
      <c r="FM98" t="e">
        <f>'SurveyRpt_20150223 (1)'!J611+"h_l!&amp;5W"</f>
        <v>#VALUE!</v>
      </c>
      <c r="FN98" t="e">
        <f>'SurveyRpt_20150223 (1)'!K611+"h_l!&amp;5X"</f>
        <v>#VALUE!</v>
      </c>
      <c r="FO98" t="e">
        <f>'SurveyRpt_20150223 (1)'!L611+"h_l!&amp;5Y"</f>
        <v>#VALUE!</v>
      </c>
      <c r="FP98" t="e">
        <f>'SurveyRpt_20150223 (1)'!M611+"h_l!&amp;5Z"</f>
        <v>#VALUE!</v>
      </c>
      <c r="FQ98" t="e">
        <f>'SurveyRpt_20150223 (1)'!N611+"h_l!&amp;5["</f>
        <v>#VALUE!</v>
      </c>
      <c r="FR98" t="e">
        <f>'SurveyRpt_20150223 (1)'!O611+"h_l!&amp;5\"</f>
        <v>#VALUE!</v>
      </c>
      <c r="FS98" t="e">
        <f>'SurveyRpt_20150223 (1)'!P611+"h_l!&amp;5]"</f>
        <v>#VALUE!</v>
      </c>
      <c r="FT98" t="e">
        <f>'SurveyRpt_20150223 (1)'!Q611+"h_l!&amp;5^"</f>
        <v>#VALUE!</v>
      </c>
      <c r="FU98" t="e">
        <f>'SurveyRpt_20150223 (1)'!R611+"h_l!&amp;5_"</f>
        <v>#VALUE!</v>
      </c>
      <c r="FV98" t="e">
        <f>'SurveyRpt_20150223 (1)'!S611+"h_l!&amp;5`"</f>
        <v>#VALUE!</v>
      </c>
      <c r="FW98" t="e">
        <f>'SurveyRpt_20150223 (1)'!T611+"h_l!&amp;5a"</f>
        <v>#VALUE!</v>
      </c>
      <c r="FX98" t="e">
        <f>'SurveyRpt_20150223 (1)'!U611+"h_l!&amp;5b"</f>
        <v>#VALUE!</v>
      </c>
      <c r="FY98" t="e">
        <f>'SurveyRpt_20150223 (1)'!V611+"h_l!&amp;5c"</f>
        <v>#VALUE!</v>
      </c>
      <c r="FZ98" t="e">
        <f>'SurveyRpt_20150223 (1)'!W611+"h_l!&amp;5d"</f>
        <v>#VALUE!</v>
      </c>
      <c r="GA98" t="e">
        <f>'SurveyRpt_20150223 (1)'!X611+"h_l!&amp;5e"</f>
        <v>#VALUE!</v>
      </c>
      <c r="GB98" t="e">
        <f>'SurveyRpt_20150223 (1)'!Y611+"h_l!&amp;5f"</f>
        <v>#VALUE!</v>
      </c>
      <c r="GC98" t="e">
        <f>'SurveyRpt_20150223 (1)'!Z611+"h_l!&amp;5g"</f>
        <v>#VALUE!</v>
      </c>
      <c r="GD98" t="e">
        <f>'SurveyRpt_20150223 (1)'!AA611+"h_l!&amp;5h"</f>
        <v>#VALUE!</v>
      </c>
      <c r="GE98" t="e">
        <f>'SurveyRpt_20150223 (1)'!AB611+"h_l!&amp;5i"</f>
        <v>#VALUE!</v>
      </c>
      <c r="GF98" t="e">
        <f>'SurveyRpt_20150223 (1)'!AC611+"h_l!&amp;5j"</f>
        <v>#VALUE!</v>
      </c>
      <c r="GG98" t="e">
        <f>'SurveyRpt_20150223 (1)'!AD611+"h_l!&amp;5k"</f>
        <v>#VALUE!</v>
      </c>
      <c r="GH98" t="e">
        <f>'SurveyRpt_20150223 (1)'!AE611+"h_l!&amp;5l"</f>
        <v>#VALUE!</v>
      </c>
      <c r="GI98" t="e">
        <f>'SurveyRpt_20150223 (1)'!AF611+"h_l!&amp;5m"</f>
        <v>#VALUE!</v>
      </c>
      <c r="GJ98" t="e">
        <f>'SurveyRpt_20150223 (1)'!AG611+"h_l!&amp;5n"</f>
        <v>#VALUE!</v>
      </c>
      <c r="GK98" t="e">
        <f>'SurveyRpt_20150223 (1)'!AH611+"h_l!&amp;5o"</f>
        <v>#VALUE!</v>
      </c>
      <c r="GL98" t="e">
        <f>'SurveyRpt_20150223 (1)'!AI611+"h_l!&amp;5p"</f>
        <v>#VALUE!</v>
      </c>
      <c r="GM98" t="e">
        <f>'SurveyRpt_20150223 (1)'!AJ611+"h_l!&amp;5q"</f>
        <v>#VALUE!</v>
      </c>
      <c r="GN98" t="e">
        <f>'SurveyRpt_20150223 (1)'!AK611+"h_l!&amp;5r"</f>
        <v>#VALUE!</v>
      </c>
      <c r="GO98" t="e">
        <f>'SurveyRpt_20150223 (1)'!AL611+"h_l!&amp;5s"</f>
        <v>#VALUE!</v>
      </c>
      <c r="GP98" t="e">
        <f>'SurveyRpt_20150223 (1)'!AM611+"h_l!&amp;5t"</f>
        <v>#VALUE!</v>
      </c>
      <c r="GQ98" t="e">
        <f>'SurveyRpt_20150223 (1)'!AN611+"h_l!&amp;5u"</f>
        <v>#VALUE!</v>
      </c>
      <c r="GR98" t="e">
        <f>'SurveyRpt_20150223 (1)'!A612+"h_l!&amp;5v"</f>
        <v>#VALUE!</v>
      </c>
      <c r="GS98" s="25" t="e">
        <f>'SurveyRpt_20150223 (1)'!B612+"h_l!&amp;5w"</f>
        <v>#VALUE!</v>
      </c>
      <c r="GT98" t="e">
        <f>'SurveyRpt_20150223 (1)'!C612+"h_l!&amp;5x"</f>
        <v>#VALUE!</v>
      </c>
      <c r="GU98" s="25" t="e">
        <f>'SurveyRpt_20150223 (1)'!D612+"h_l!&amp;5y"</f>
        <v>#VALUE!</v>
      </c>
      <c r="GV98" t="e">
        <f>'SurveyRpt_20150223 (1)'!E612+"h_l!&amp;5z"</f>
        <v>#VALUE!</v>
      </c>
      <c r="GW98" t="e">
        <f>'SurveyRpt_20150223 (1)'!F612+"h_l!&amp;5{"</f>
        <v>#VALUE!</v>
      </c>
      <c r="GX98" t="e">
        <f>'SurveyRpt_20150223 (1)'!G612+"h_l!&amp;5|"</f>
        <v>#VALUE!</v>
      </c>
      <c r="GY98" t="e">
        <f>'SurveyRpt_20150223 (1)'!H612+"h_l!&amp;5}"</f>
        <v>#VALUE!</v>
      </c>
      <c r="GZ98" t="e">
        <f>'SurveyRpt_20150223 (1)'!I612+"h_l!&amp;5~"</f>
        <v>#VALUE!</v>
      </c>
      <c r="HA98" t="e">
        <f>'SurveyRpt_20150223 (1)'!J612+"h_l!&amp;6#"</f>
        <v>#VALUE!</v>
      </c>
      <c r="HB98" t="e">
        <f>'SurveyRpt_20150223 (1)'!K612+"h_l!&amp;6$"</f>
        <v>#VALUE!</v>
      </c>
      <c r="HC98" t="e">
        <f>'SurveyRpt_20150223 (1)'!L612+"h_l!&amp;6%"</f>
        <v>#VALUE!</v>
      </c>
      <c r="HD98" t="e">
        <f>'SurveyRpt_20150223 (1)'!M612+"h_l!&amp;6&amp;"</f>
        <v>#VALUE!</v>
      </c>
      <c r="HE98" t="e">
        <f>'SurveyRpt_20150223 (1)'!N612+"h_l!&amp;6'"</f>
        <v>#VALUE!</v>
      </c>
      <c r="HF98" t="e">
        <f>'SurveyRpt_20150223 (1)'!O612+"h_l!&amp;6("</f>
        <v>#VALUE!</v>
      </c>
      <c r="HG98" t="e">
        <f>'SurveyRpt_20150223 (1)'!P612+"h_l!&amp;6)"</f>
        <v>#VALUE!</v>
      </c>
      <c r="HH98" t="e">
        <f>'SurveyRpt_20150223 (1)'!Q612+"h_l!&amp;6."</f>
        <v>#VALUE!</v>
      </c>
      <c r="HI98" t="e">
        <f>'SurveyRpt_20150223 (1)'!R612+"h_l!&amp;6/"</f>
        <v>#VALUE!</v>
      </c>
      <c r="HJ98" t="e">
        <f>'SurveyRpt_20150223 (1)'!S612+"h_l!&amp;60"</f>
        <v>#VALUE!</v>
      </c>
      <c r="HK98" t="e">
        <f>'SurveyRpt_20150223 (1)'!T612+"h_l!&amp;61"</f>
        <v>#VALUE!</v>
      </c>
      <c r="HL98" t="e">
        <f>'SurveyRpt_20150223 (1)'!U612+"h_l!&amp;62"</f>
        <v>#VALUE!</v>
      </c>
      <c r="HM98" t="e">
        <f>'SurveyRpt_20150223 (1)'!V612+"h_l!&amp;63"</f>
        <v>#VALUE!</v>
      </c>
      <c r="HN98" t="e">
        <f>'SurveyRpt_20150223 (1)'!W612+"h_l!&amp;64"</f>
        <v>#VALUE!</v>
      </c>
      <c r="HO98" t="e">
        <f>'SurveyRpt_20150223 (1)'!X612+"h_l!&amp;65"</f>
        <v>#VALUE!</v>
      </c>
      <c r="HP98" t="e">
        <f>'SurveyRpt_20150223 (1)'!Y612+"h_l!&amp;66"</f>
        <v>#VALUE!</v>
      </c>
      <c r="HQ98" t="e">
        <f>'SurveyRpt_20150223 (1)'!Z612+"h_l!&amp;67"</f>
        <v>#VALUE!</v>
      </c>
      <c r="HR98" t="e">
        <f>'SurveyRpt_20150223 (1)'!AA612+"h_l!&amp;68"</f>
        <v>#VALUE!</v>
      </c>
      <c r="HS98" t="e">
        <f>'SurveyRpt_20150223 (1)'!AB612+"h_l!&amp;69"</f>
        <v>#VALUE!</v>
      </c>
      <c r="HT98" t="e">
        <f>'SurveyRpt_20150223 (1)'!AC612+"h_l!&amp;6:"</f>
        <v>#VALUE!</v>
      </c>
      <c r="HU98" t="e">
        <f>'SurveyRpt_20150223 (1)'!AD612+"h_l!&amp;6;"</f>
        <v>#VALUE!</v>
      </c>
      <c r="HV98" t="e">
        <f>'SurveyRpt_20150223 (1)'!AE612+"h_l!&amp;6&lt;"</f>
        <v>#VALUE!</v>
      </c>
      <c r="HW98" t="e">
        <f>'SurveyRpt_20150223 (1)'!AF612+"h_l!&amp;6="</f>
        <v>#VALUE!</v>
      </c>
      <c r="HX98" t="e">
        <f>'SurveyRpt_20150223 (1)'!AG612+"h_l!&amp;6&gt;"</f>
        <v>#VALUE!</v>
      </c>
      <c r="HY98" t="e">
        <f>'SurveyRpt_20150223 (1)'!AH612+"h_l!&amp;6?"</f>
        <v>#VALUE!</v>
      </c>
      <c r="HZ98" t="e">
        <f>'SurveyRpt_20150223 (1)'!AI612+"h_l!&amp;6@"</f>
        <v>#VALUE!</v>
      </c>
      <c r="IA98" t="e">
        <f>'SurveyRpt_20150223 (1)'!AJ612+"h_l!&amp;6A"</f>
        <v>#VALUE!</v>
      </c>
      <c r="IB98" t="e">
        <f>'SurveyRpt_20150223 (1)'!AK612+"h_l!&amp;6B"</f>
        <v>#VALUE!</v>
      </c>
      <c r="IC98" t="e">
        <f>'SurveyRpt_20150223 (1)'!AL612+"h_l!&amp;6C"</f>
        <v>#VALUE!</v>
      </c>
      <c r="ID98" t="e">
        <f>'SurveyRpt_20150223 (1)'!AM612+"h_l!&amp;6D"</f>
        <v>#VALUE!</v>
      </c>
      <c r="IE98" t="e">
        <f>'SurveyRpt_20150223 (1)'!AN612+"h_l!&amp;6E"</f>
        <v>#VALUE!</v>
      </c>
      <c r="IF98" t="e">
        <f>'SurveyRpt_20150223 (1)'!A613+"h_l!&amp;6F"</f>
        <v>#VALUE!</v>
      </c>
      <c r="IG98" s="25" t="e">
        <f>'SurveyRpt_20150223 (1)'!B613+"h_l!&amp;6G"</f>
        <v>#VALUE!</v>
      </c>
      <c r="IH98" t="e">
        <f>'SurveyRpt_20150223 (1)'!C613+"h_l!&amp;6H"</f>
        <v>#VALUE!</v>
      </c>
      <c r="II98" s="25" t="e">
        <f>'SurveyRpt_20150223 (1)'!D613+"h_l!&amp;6I"</f>
        <v>#VALUE!</v>
      </c>
      <c r="IJ98" t="e">
        <f>'SurveyRpt_20150223 (1)'!E613+"h_l!&amp;6J"</f>
        <v>#VALUE!</v>
      </c>
      <c r="IK98" t="e">
        <f>'SurveyRpt_20150223 (1)'!F613+"h_l!&amp;6K"</f>
        <v>#VALUE!</v>
      </c>
      <c r="IL98" t="e">
        <f>'SurveyRpt_20150223 (1)'!G613+"h_l!&amp;6L"</f>
        <v>#VALUE!</v>
      </c>
      <c r="IM98" t="e">
        <f>'SurveyRpt_20150223 (1)'!H613+"h_l!&amp;6M"</f>
        <v>#VALUE!</v>
      </c>
      <c r="IN98" t="e">
        <f>'SurveyRpt_20150223 (1)'!I613+"h_l!&amp;6N"</f>
        <v>#VALUE!</v>
      </c>
      <c r="IO98" t="e">
        <f>'SurveyRpt_20150223 (1)'!J613+"h_l!&amp;6O"</f>
        <v>#VALUE!</v>
      </c>
      <c r="IP98" t="e">
        <f>'SurveyRpt_20150223 (1)'!K613+"h_l!&amp;6P"</f>
        <v>#VALUE!</v>
      </c>
      <c r="IQ98" t="e">
        <f>'SurveyRpt_20150223 (1)'!L613+"h_l!&amp;6Q"</f>
        <v>#VALUE!</v>
      </c>
      <c r="IR98" t="e">
        <f>'SurveyRpt_20150223 (1)'!M613+"h_l!&amp;6R"</f>
        <v>#VALUE!</v>
      </c>
      <c r="IS98" t="e">
        <f>'SurveyRpt_20150223 (1)'!N613+"h_l!&amp;6S"</f>
        <v>#VALUE!</v>
      </c>
      <c r="IT98" t="e">
        <f>'SurveyRpt_20150223 (1)'!O613+"h_l!&amp;6T"</f>
        <v>#VALUE!</v>
      </c>
      <c r="IU98" t="e">
        <f>'SurveyRpt_20150223 (1)'!P613+"h_l!&amp;6U"</f>
        <v>#VALUE!</v>
      </c>
      <c r="IV98" t="e">
        <f>'SurveyRpt_20150223 (1)'!Q613+"h_l!&amp;6V"</f>
        <v>#VALUE!</v>
      </c>
    </row>
    <row r="99" spans="6:256" x14ac:dyDescent="0.25">
      <c r="F99" t="e">
        <f>'SurveyRpt_20150223 (1)'!R613+"h_l!&amp;6W"</f>
        <v>#VALUE!</v>
      </c>
      <c r="G99" t="e">
        <f>'SurveyRpt_20150223 (1)'!S613+"h_l!&amp;6X"</f>
        <v>#VALUE!</v>
      </c>
      <c r="H99" t="e">
        <f>'SurveyRpt_20150223 (1)'!T613+"h_l!&amp;6Y"</f>
        <v>#VALUE!</v>
      </c>
      <c r="I99" t="e">
        <f>'SurveyRpt_20150223 (1)'!U613+"h_l!&amp;6Z"</f>
        <v>#VALUE!</v>
      </c>
      <c r="J99" t="e">
        <f>'SurveyRpt_20150223 (1)'!V613+"h_l!&amp;6["</f>
        <v>#VALUE!</v>
      </c>
      <c r="K99" t="e">
        <f>'SurveyRpt_20150223 (1)'!W613+"h_l!&amp;6\"</f>
        <v>#VALUE!</v>
      </c>
      <c r="L99" t="e">
        <f>'SurveyRpt_20150223 (1)'!X613+"h_l!&amp;6]"</f>
        <v>#VALUE!</v>
      </c>
      <c r="M99" t="e">
        <f>'SurveyRpt_20150223 (1)'!Y613+"h_l!&amp;6^"</f>
        <v>#VALUE!</v>
      </c>
      <c r="N99" t="e">
        <f>'SurveyRpt_20150223 (1)'!Z613+"h_l!&amp;6_"</f>
        <v>#VALUE!</v>
      </c>
      <c r="O99" t="e">
        <f>'SurveyRpt_20150223 (1)'!AA613+"h_l!&amp;6`"</f>
        <v>#VALUE!</v>
      </c>
      <c r="P99" t="e">
        <f>'SurveyRpt_20150223 (1)'!AB613+"h_l!&amp;6a"</f>
        <v>#VALUE!</v>
      </c>
      <c r="Q99" t="e">
        <f>'SurveyRpt_20150223 (1)'!AC613+"h_l!&amp;6b"</f>
        <v>#VALUE!</v>
      </c>
      <c r="R99" t="e">
        <f>'SurveyRpt_20150223 (1)'!AD613+"h_l!&amp;6c"</f>
        <v>#VALUE!</v>
      </c>
      <c r="S99" t="e">
        <f>'SurveyRpt_20150223 (1)'!AE613+"h_l!&amp;6d"</f>
        <v>#VALUE!</v>
      </c>
      <c r="T99" t="e">
        <f>'SurveyRpt_20150223 (1)'!AF613+"h_l!&amp;6e"</f>
        <v>#VALUE!</v>
      </c>
      <c r="U99" t="e">
        <f>'SurveyRpt_20150223 (1)'!AG613+"h_l!&amp;6f"</f>
        <v>#VALUE!</v>
      </c>
      <c r="V99" t="e">
        <f>'SurveyRpt_20150223 (1)'!AH613+"h_l!&amp;6g"</f>
        <v>#VALUE!</v>
      </c>
      <c r="W99" t="e">
        <f>'SurveyRpt_20150223 (1)'!AI613+"h_l!&amp;6h"</f>
        <v>#VALUE!</v>
      </c>
      <c r="X99" t="e">
        <f>'SurveyRpt_20150223 (1)'!AJ613+"h_l!&amp;6i"</f>
        <v>#VALUE!</v>
      </c>
      <c r="Y99" t="e">
        <f>'SurveyRpt_20150223 (1)'!AK613+"h_l!&amp;6j"</f>
        <v>#VALUE!</v>
      </c>
      <c r="Z99" t="e">
        <f>'SurveyRpt_20150223 (1)'!AL613+"h_l!&amp;6k"</f>
        <v>#VALUE!</v>
      </c>
      <c r="AA99" t="e">
        <f>'SurveyRpt_20150223 (1)'!AM613+"h_l!&amp;6l"</f>
        <v>#VALUE!</v>
      </c>
      <c r="AB99" t="e">
        <f>'SurveyRpt_20150223 (1)'!AN613+"h_l!&amp;6m"</f>
        <v>#VALUE!</v>
      </c>
      <c r="AC99" t="e">
        <f>'SurveyRpt_20150223 (1)'!A614+"h_l!&amp;6n"</f>
        <v>#VALUE!</v>
      </c>
      <c r="AD99" s="25" t="e">
        <f>'SurveyRpt_20150223 (1)'!B614+"h_l!&amp;6o"</f>
        <v>#VALUE!</v>
      </c>
      <c r="AE99" t="e">
        <f>'SurveyRpt_20150223 (1)'!C614+"h_l!&amp;6p"</f>
        <v>#VALUE!</v>
      </c>
      <c r="AF99" s="25" t="e">
        <f>'SurveyRpt_20150223 (1)'!D614+"h_l!&amp;6q"</f>
        <v>#VALUE!</v>
      </c>
      <c r="AG99" t="e">
        <f>'SurveyRpt_20150223 (1)'!E614+"h_l!&amp;6r"</f>
        <v>#VALUE!</v>
      </c>
      <c r="AH99" t="e">
        <f>'SurveyRpt_20150223 (1)'!F614+"h_l!&amp;6s"</f>
        <v>#VALUE!</v>
      </c>
      <c r="AI99" t="e">
        <f>'SurveyRpt_20150223 (1)'!G614+"h_l!&amp;6t"</f>
        <v>#VALUE!</v>
      </c>
      <c r="AJ99" t="e">
        <f>'SurveyRpt_20150223 (1)'!H614+"h_l!&amp;6u"</f>
        <v>#VALUE!</v>
      </c>
      <c r="AK99" t="e">
        <f>'SurveyRpt_20150223 (1)'!I614+"h_l!&amp;6v"</f>
        <v>#VALUE!</v>
      </c>
      <c r="AL99" t="e">
        <f>'SurveyRpt_20150223 (1)'!J614+"h_l!&amp;6w"</f>
        <v>#VALUE!</v>
      </c>
      <c r="AM99" t="e">
        <f>'SurveyRpt_20150223 (1)'!K614+"h_l!&amp;6x"</f>
        <v>#VALUE!</v>
      </c>
      <c r="AN99" t="e">
        <f>'SurveyRpt_20150223 (1)'!L614+"h_l!&amp;6y"</f>
        <v>#VALUE!</v>
      </c>
      <c r="AO99" t="e">
        <f>'SurveyRpt_20150223 (1)'!M614+"h_l!&amp;6z"</f>
        <v>#VALUE!</v>
      </c>
      <c r="AP99" t="e">
        <f>'SurveyRpt_20150223 (1)'!N614+"h_l!&amp;6{"</f>
        <v>#VALUE!</v>
      </c>
      <c r="AQ99" t="e">
        <f>'SurveyRpt_20150223 (1)'!O614+"h_l!&amp;6|"</f>
        <v>#VALUE!</v>
      </c>
      <c r="AR99" t="e">
        <f>'SurveyRpt_20150223 (1)'!P614+"h_l!&amp;6}"</f>
        <v>#VALUE!</v>
      </c>
      <c r="AS99" t="e">
        <f>'SurveyRpt_20150223 (1)'!Q614+"h_l!&amp;6~"</f>
        <v>#VALUE!</v>
      </c>
      <c r="AT99" t="e">
        <f>'SurveyRpt_20150223 (1)'!R614+"h_l!&amp;7#"</f>
        <v>#VALUE!</v>
      </c>
      <c r="AU99" t="e">
        <f>'SurveyRpt_20150223 (1)'!S614+"h_l!&amp;7$"</f>
        <v>#VALUE!</v>
      </c>
      <c r="AV99" t="e">
        <f>'SurveyRpt_20150223 (1)'!T614+"h_l!&amp;7%"</f>
        <v>#VALUE!</v>
      </c>
      <c r="AW99" t="e">
        <f>'SurveyRpt_20150223 (1)'!U614+"h_l!&amp;7&amp;"</f>
        <v>#VALUE!</v>
      </c>
      <c r="AX99" t="e">
        <f>'SurveyRpt_20150223 (1)'!V614+"h_l!&amp;7'"</f>
        <v>#VALUE!</v>
      </c>
      <c r="AY99" t="e">
        <f>'SurveyRpt_20150223 (1)'!W614+"h_l!&amp;7("</f>
        <v>#VALUE!</v>
      </c>
      <c r="AZ99" t="e">
        <f>'SurveyRpt_20150223 (1)'!X614+"h_l!&amp;7)"</f>
        <v>#VALUE!</v>
      </c>
      <c r="BA99" t="e">
        <f>'SurveyRpt_20150223 (1)'!Y614+"h_l!&amp;7."</f>
        <v>#VALUE!</v>
      </c>
      <c r="BB99" t="e">
        <f>'SurveyRpt_20150223 (1)'!Z614+"h_l!&amp;7/"</f>
        <v>#VALUE!</v>
      </c>
      <c r="BC99" t="e">
        <f>'SurveyRpt_20150223 (1)'!AA614+"h_l!&amp;70"</f>
        <v>#VALUE!</v>
      </c>
      <c r="BD99" t="e">
        <f>'SurveyRpt_20150223 (1)'!AB614+"h_l!&amp;71"</f>
        <v>#VALUE!</v>
      </c>
      <c r="BE99" t="e">
        <f>'SurveyRpt_20150223 (1)'!AC614+"h_l!&amp;72"</f>
        <v>#VALUE!</v>
      </c>
      <c r="BF99" t="e">
        <f>'SurveyRpt_20150223 (1)'!AD614+"h_l!&amp;73"</f>
        <v>#VALUE!</v>
      </c>
      <c r="BG99" t="e">
        <f>'SurveyRpt_20150223 (1)'!AE614+"h_l!&amp;74"</f>
        <v>#VALUE!</v>
      </c>
      <c r="BH99" t="e">
        <f>'SurveyRpt_20150223 (1)'!AF614+"h_l!&amp;75"</f>
        <v>#VALUE!</v>
      </c>
      <c r="BI99" t="e">
        <f>'SurveyRpt_20150223 (1)'!AG614+"h_l!&amp;76"</f>
        <v>#VALUE!</v>
      </c>
      <c r="BJ99" t="e">
        <f>'SurveyRpt_20150223 (1)'!AH614+"h_l!&amp;77"</f>
        <v>#VALUE!</v>
      </c>
      <c r="BK99" t="e">
        <f>'SurveyRpt_20150223 (1)'!AI614+"h_l!&amp;78"</f>
        <v>#VALUE!</v>
      </c>
      <c r="BL99" t="e">
        <f>'SurveyRpt_20150223 (1)'!AJ614+"h_l!&amp;79"</f>
        <v>#VALUE!</v>
      </c>
      <c r="BM99" t="e">
        <f>'SurveyRpt_20150223 (1)'!AK614+"h_l!&amp;7:"</f>
        <v>#VALUE!</v>
      </c>
      <c r="BN99" t="e">
        <f>'SurveyRpt_20150223 (1)'!AL614+"h_l!&amp;7;"</f>
        <v>#VALUE!</v>
      </c>
      <c r="BO99" t="e">
        <f>'SurveyRpt_20150223 (1)'!AM614+"h_l!&amp;7&lt;"</f>
        <v>#VALUE!</v>
      </c>
      <c r="BP99" t="e">
        <f>'SurveyRpt_20150223 (1)'!AN614+"h_l!&amp;7="</f>
        <v>#VALUE!</v>
      </c>
      <c r="BQ99" t="e">
        <f>'SurveyRpt_20150223 (1)'!A615+"h_l!&amp;7&gt;"</f>
        <v>#VALUE!</v>
      </c>
      <c r="BR99" s="25" t="e">
        <f>'SurveyRpt_20150223 (1)'!B615+"h_l!&amp;7?"</f>
        <v>#VALUE!</v>
      </c>
      <c r="BS99" t="e">
        <f>'SurveyRpt_20150223 (1)'!C615+"h_l!&amp;7@"</f>
        <v>#VALUE!</v>
      </c>
      <c r="BT99" s="25" t="e">
        <f>'SurveyRpt_20150223 (1)'!D615+"h_l!&amp;7A"</f>
        <v>#VALUE!</v>
      </c>
      <c r="BU99" t="e">
        <f>'SurveyRpt_20150223 (1)'!E615+"h_l!&amp;7B"</f>
        <v>#VALUE!</v>
      </c>
      <c r="BV99" t="e">
        <f>'SurveyRpt_20150223 (1)'!F615+"h_l!&amp;7C"</f>
        <v>#VALUE!</v>
      </c>
      <c r="BW99" t="e">
        <f>'SurveyRpt_20150223 (1)'!G615+"h_l!&amp;7D"</f>
        <v>#VALUE!</v>
      </c>
      <c r="BX99" t="e">
        <f>'SurveyRpt_20150223 (1)'!H615+"h_l!&amp;7E"</f>
        <v>#VALUE!</v>
      </c>
      <c r="BY99" t="e">
        <f>'SurveyRpt_20150223 (1)'!I615+"h_l!&amp;7F"</f>
        <v>#VALUE!</v>
      </c>
      <c r="BZ99" t="e">
        <f>'SurveyRpt_20150223 (1)'!J615+"h_l!&amp;7G"</f>
        <v>#VALUE!</v>
      </c>
      <c r="CA99" t="e">
        <f>'SurveyRpt_20150223 (1)'!K615+"h_l!&amp;7H"</f>
        <v>#VALUE!</v>
      </c>
      <c r="CB99" t="e">
        <f>'SurveyRpt_20150223 (1)'!L615+"h_l!&amp;7I"</f>
        <v>#VALUE!</v>
      </c>
      <c r="CC99" t="e">
        <f>'SurveyRpt_20150223 (1)'!M615+"h_l!&amp;7J"</f>
        <v>#VALUE!</v>
      </c>
      <c r="CD99" t="e">
        <f>'SurveyRpt_20150223 (1)'!N615+"h_l!&amp;7K"</f>
        <v>#VALUE!</v>
      </c>
      <c r="CE99" t="e">
        <f>'SurveyRpt_20150223 (1)'!O615+"h_l!&amp;7L"</f>
        <v>#VALUE!</v>
      </c>
      <c r="CF99" t="e">
        <f>'SurveyRpt_20150223 (1)'!P615+"h_l!&amp;7M"</f>
        <v>#VALUE!</v>
      </c>
      <c r="CG99" t="e">
        <f>'SurveyRpt_20150223 (1)'!Q615+"h_l!&amp;7N"</f>
        <v>#VALUE!</v>
      </c>
      <c r="CH99" t="e">
        <f>'SurveyRpt_20150223 (1)'!R615+"h_l!&amp;7O"</f>
        <v>#VALUE!</v>
      </c>
      <c r="CI99" t="e">
        <f>'SurveyRpt_20150223 (1)'!S615+"h_l!&amp;7P"</f>
        <v>#VALUE!</v>
      </c>
      <c r="CJ99" t="e">
        <f>'SurveyRpt_20150223 (1)'!T615+"h_l!&amp;7Q"</f>
        <v>#VALUE!</v>
      </c>
      <c r="CK99" t="e">
        <f>'SurveyRpt_20150223 (1)'!U615+"h_l!&amp;7R"</f>
        <v>#VALUE!</v>
      </c>
      <c r="CL99" t="e">
        <f>'SurveyRpt_20150223 (1)'!V615+"h_l!&amp;7S"</f>
        <v>#VALUE!</v>
      </c>
      <c r="CM99" t="e">
        <f>'SurveyRpt_20150223 (1)'!W615+"h_l!&amp;7T"</f>
        <v>#VALUE!</v>
      </c>
      <c r="CN99" t="e">
        <f>'SurveyRpt_20150223 (1)'!X615+"h_l!&amp;7U"</f>
        <v>#VALUE!</v>
      </c>
      <c r="CO99" t="e">
        <f>'SurveyRpt_20150223 (1)'!Y615+"h_l!&amp;7V"</f>
        <v>#VALUE!</v>
      </c>
      <c r="CP99" t="e">
        <f>'SurveyRpt_20150223 (1)'!Z615+"h_l!&amp;7W"</f>
        <v>#VALUE!</v>
      </c>
      <c r="CQ99" t="e">
        <f>'SurveyRpt_20150223 (1)'!AA615+"h_l!&amp;7X"</f>
        <v>#VALUE!</v>
      </c>
      <c r="CR99" t="e">
        <f>'SurveyRpt_20150223 (1)'!AB615+"h_l!&amp;7Y"</f>
        <v>#VALUE!</v>
      </c>
      <c r="CS99" t="e">
        <f>'SurveyRpt_20150223 (1)'!AC615+"h_l!&amp;7Z"</f>
        <v>#VALUE!</v>
      </c>
      <c r="CT99" t="e">
        <f>'SurveyRpt_20150223 (1)'!AD615+"h_l!&amp;7["</f>
        <v>#VALUE!</v>
      </c>
      <c r="CU99" t="e">
        <f>'SurveyRpt_20150223 (1)'!AE615+"h_l!&amp;7\"</f>
        <v>#VALUE!</v>
      </c>
      <c r="CV99" t="e">
        <f>'SurveyRpt_20150223 (1)'!AF615+"h_l!&amp;7]"</f>
        <v>#VALUE!</v>
      </c>
      <c r="CW99" t="e">
        <f>'SurveyRpt_20150223 (1)'!AG615+"h_l!&amp;7^"</f>
        <v>#VALUE!</v>
      </c>
      <c r="CX99" t="e">
        <f>'SurveyRpt_20150223 (1)'!AH615+"h_l!&amp;7_"</f>
        <v>#VALUE!</v>
      </c>
      <c r="CY99" t="e">
        <f>'SurveyRpt_20150223 (1)'!AI615+"h_l!&amp;7`"</f>
        <v>#VALUE!</v>
      </c>
      <c r="CZ99" t="e">
        <f>'SurveyRpt_20150223 (1)'!AJ615+"h_l!&amp;7a"</f>
        <v>#VALUE!</v>
      </c>
      <c r="DA99" t="e">
        <f>'SurveyRpt_20150223 (1)'!AK615+"h_l!&amp;7b"</f>
        <v>#VALUE!</v>
      </c>
      <c r="DB99" t="e">
        <f>'SurveyRpt_20150223 (1)'!AL615+"h_l!&amp;7c"</f>
        <v>#VALUE!</v>
      </c>
      <c r="DC99" t="e">
        <f>'SurveyRpt_20150223 (1)'!AM615+"h_l!&amp;7d"</f>
        <v>#VALUE!</v>
      </c>
      <c r="DD99" t="e">
        <f>'SurveyRpt_20150223 (1)'!AN615+"h_l!&amp;7e"</f>
        <v>#VALUE!</v>
      </c>
      <c r="DE99" t="e">
        <f>'SurveyRpt_20150223 (1)'!A616+"h_l!&amp;7f"</f>
        <v>#VALUE!</v>
      </c>
      <c r="DF99" s="25" t="e">
        <f>'SurveyRpt_20150223 (1)'!B616+"h_l!&amp;7g"</f>
        <v>#VALUE!</v>
      </c>
      <c r="DG99" t="e">
        <f>'SurveyRpt_20150223 (1)'!C616+"h_l!&amp;7h"</f>
        <v>#VALUE!</v>
      </c>
      <c r="DH99" s="25" t="e">
        <f>'SurveyRpt_20150223 (1)'!D616+"h_l!&amp;7i"</f>
        <v>#VALUE!</v>
      </c>
      <c r="DI99" t="e">
        <f>'SurveyRpt_20150223 (1)'!E616+"h_l!&amp;7j"</f>
        <v>#VALUE!</v>
      </c>
      <c r="DJ99" t="e">
        <f>'SurveyRpt_20150223 (1)'!F616+"h_l!&amp;7k"</f>
        <v>#VALUE!</v>
      </c>
      <c r="DK99" t="e">
        <f>'SurveyRpt_20150223 (1)'!G616+"h_l!&amp;7l"</f>
        <v>#VALUE!</v>
      </c>
      <c r="DL99" t="e">
        <f>'SurveyRpt_20150223 (1)'!H616+"h_l!&amp;7m"</f>
        <v>#VALUE!</v>
      </c>
      <c r="DM99" t="e">
        <f>'SurveyRpt_20150223 (1)'!I616+"h_l!&amp;7n"</f>
        <v>#VALUE!</v>
      </c>
      <c r="DN99" t="e">
        <f>'SurveyRpt_20150223 (1)'!J616+"h_l!&amp;7o"</f>
        <v>#VALUE!</v>
      </c>
      <c r="DO99" t="e">
        <f>'SurveyRpt_20150223 (1)'!K616+"h_l!&amp;7p"</f>
        <v>#VALUE!</v>
      </c>
      <c r="DP99" t="e">
        <f>'SurveyRpt_20150223 (1)'!L616+"h_l!&amp;7q"</f>
        <v>#VALUE!</v>
      </c>
      <c r="DQ99" t="e">
        <f>'SurveyRpt_20150223 (1)'!M616+"h_l!&amp;7r"</f>
        <v>#VALUE!</v>
      </c>
      <c r="DR99" t="e">
        <f>'SurveyRpt_20150223 (1)'!N616+"h_l!&amp;7s"</f>
        <v>#VALUE!</v>
      </c>
      <c r="DS99" t="e">
        <f>'SurveyRpt_20150223 (1)'!O616+"h_l!&amp;7t"</f>
        <v>#VALUE!</v>
      </c>
      <c r="DT99" t="e">
        <f>'SurveyRpt_20150223 (1)'!P616+"h_l!&amp;7u"</f>
        <v>#VALUE!</v>
      </c>
      <c r="DU99" t="e">
        <f>'SurveyRpt_20150223 (1)'!Q616+"h_l!&amp;7v"</f>
        <v>#VALUE!</v>
      </c>
      <c r="DV99" t="e">
        <f>'SurveyRpt_20150223 (1)'!R616+"h_l!&amp;7w"</f>
        <v>#VALUE!</v>
      </c>
      <c r="DW99" t="e">
        <f>'SurveyRpt_20150223 (1)'!S616+"h_l!&amp;7x"</f>
        <v>#VALUE!</v>
      </c>
      <c r="DX99" t="e">
        <f>'SurveyRpt_20150223 (1)'!T616+"h_l!&amp;7y"</f>
        <v>#VALUE!</v>
      </c>
      <c r="DY99" t="e">
        <f>'SurveyRpt_20150223 (1)'!U616+"h_l!&amp;7z"</f>
        <v>#VALUE!</v>
      </c>
      <c r="DZ99" t="e">
        <f>'SurveyRpt_20150223 (1)'!V616+"h_l!&amp;7{"</f>
        <v>#VALUE!</v>
      </c>
      <c r="EA99" t="e">
        <f>'SurveyRpt_20150223 (1)'!W616+"h_l!&amp;7|"</f>
        <v>#VALUE!</v>
      </c>
      <c r="EB99" t="e">
        <f>'SurveyRpt_20150223 (1)'!X616+"h_l!&amp;7}"</f>
        <v>#VALUE!</v>
      </c>
      <c r="EC99" t="e">
        <f>'SurveyRpt_20150223 (1)'!Y616+"h_l!&amp;7~"</f>
        <v>#VALUE!</v>
      </c>
      <c r="ED99" t="e">
        <f>'SurveyRpt_20150223 (1)'!Z616+"h_l!&amp;8#"</f>
        <v>#VALUE!</v>
      </c>
      <c r="EE99" t="e">
        <f>'SurveyRpt_20150223 (1)'!AA616+"h_l!&amp;8$"</f>
        <v>#VALUE!</v>
      </c>
      <c r="EF99" t="e">
        <f>'SurveyRpt_20150223 (1)'!AB616+"h_l!&amp;8%"</f>
        <v>#VALUE!</v>
      </c>
      <c r="EG99" t="e">
        <f>'SurveyRpt_20150223 (1)'!AC616+"h_l!&amp;8&amp;"</f>
        <v>#VALUE!</v>
      </c>
      <c r="EH99" t="e">
        <f>'SurveyRpt_20150223 (1)'!AD616+"h_l!&amp;8'"</f>
        <v>#VALUE!</v>
      </c>
      <c r="EI99" t="e">
        <f>'SurveyRpt_20150223 (1)'!AE616+"h_l!&amp;8("</f>
        <v>#VALUE!</v>
      </c>
      <c r="EJ99" t="e">
        <f>'SurveyRpt_20150223 (1)'!AF616+"h_l!&amp;8)"</f>
        <v>#VALUE!</v>
      </c>
      <c r="EK99" t="e">
        <f>'SurveyRpt_20150223 (1)'!AG616+"h_l!&amp;8."</f>
        <v>#VALUE!</v>
      </c>
      <c r="EL99" t="e">
        <f>'SurveyRpt_20150223 (1)'!AH616+"h_l!&amp;8/"</f>
        <v>#VALUE!</v>
      </c>
      <c r="EM99" t="e">
        <f>'SurveyRpt_20150223 (1)'!AI616+"h_l!&amp;80"</f>
        <v>#VALUE!</v>
      </c>
      <c r="EN99" t="e">
        <f>'SurveyRpt_20150223 (1)'!AJ616+"h_l!&amp;81"</f>
        <v>#VALUE!</v>
      </c>
      <c r="EO99" t="e">
        <f>'SurveyRpt_20150223 (1)'!AK616+"h_l!&amp;82"</f>
        <v>#VALUE!</v>
      </c>
      <c r="EP99" t="e">
        <f>'SurveyRpt_20150223 (1)'!AL616+"h_l!&amp;83"</f>
        <v>#VALUE!</v>
      </c>
      <c r="EQ99" t="e">
        <f>'SurveyRpt_20150223 (1)'!AM616+"h_l!&amp;84"</f>
        <v>#VALUE!</v>
      </c>
      <c r="ER99" t="e">
        <f>'SurveyRpt_20150223 (1)'!AN616+"h_l!&amp;85"</f>
        <v>#VALUE!</v>
      </c>
      <c r="ES99" t="e">
        <f>'SurveyRpt_20150223 (1)'!A617+"h_l!&amp;86"</f>
        <v>#VALUE!</v>
      </c>
      <c r="ET99" s="25" t="e">
        <f>'SurveyRpt_20150223 (1)'!B617+"h_l!&amp;87"</f>
        <v>#VALUE!</v>
      </c>
      <c r="EU99" t="e">
        <f>'SurveyRpt_20150223 (1)'!C617+"h_l!&amp;88"</f>
        <v>#VALUE!</v>
      </c>
      <c r="EV99" s="25" t="e">
        <f>'SurveyRpt_20150223 (1)'!D617+"h_l!&amp;89"</f>
        <v>#VALUE!</v>
      </c>
      <c r="EW99" t="e">
        <f>'SurveyRpt_20150223 (1)'!E617+"h_l!&amp;8:"</f>
        <v>#VALUE!</v>
      </c>
      <c r="EX99" t="e">
        <f>'SurveyRpt_20150223 (1)'!F617+"h_l!&amp;8;"</f>
        <v>#VALUE!</v>
      </c>
      <c r="EY99" t="e">
        <f>'SurveyRpt_20150223 (1)'!G617+"h_l!&amp;8&lt;"</f>
        <v>#VALUE!</v>
      </c>
      <c r="EZ99" t="e">
        <f>'SurveyRpt_20150223 (1)'!H617+"h_l!&amp;8="</f>
        <v>#VALUE!</v>
      </c>
      <c r="FA99" t="e">
        <f>'SurveyRpt_20150223 (1)'!I617+"h_l!&amp;8&gt;"</f>
        <v>#VALUE!</v>
      </c>
      <c r="FB99" t="e">
        <f>'SurveyRpt_20150223 (1)'!J617+"h_l!&amp;8?"</f>
        <v>#VALUE!</v>
      </c>
      <c r="FC99" t="e">
        <f>'SurveyRpt_20150223 (1)'!K617+"h_l!&amp;8@"</f>
        <v>#VALUE!</v>
      </c>
      <c r="FD99" t="e">
        <f>'SurveyRpt_20150223 (1)'!L617+"h_l!&amp;8A"</f>
        <v>#VALUE!</v>
      </c>
      <c r="FE99" t="e">
        <f>'SurveyRpt_20150223 (1)'!M617+"h_l!&amp;8B"</f>
        <v>#VALUE!</v>
      </c>
      <c r="FF99" t="e">
        <f>'SurveyRpt_20150223 (1)'!N617+"h_l!&amp;8C"</f>
        <v>#VALUE!</v>
      </c>
      <c r="FG99" t="e">
        <f>'SurveyRpt_20150223 (1)'!O617+"h_l!&amp;8D"</f>
        <v>#VALUE!</v>
      </c>
      <c r="FH99" t="e">
        <f>'SurveyRpt_20150223 (1)'!P617+"h_l!&amp;8E"</f>
        <v>#VALUE!</v>
      </c>
      <c r="FI99" t="e">
        <f>'SurveyRpt_20150223 (1)'!Q617+"h_l!&amp;8F"</f>
        <v>#VALUE!</v>
      </c>
      <c r="FJ99" t="e">
        <f>'SurveyRpt_20150223 (1)'!R617+"h_l!&amp;8G"</f>
        <v>#VALUE!</v>
      </c>
      <c r="FK99" t="e">
        <f>'SurveyRpt_20150223 (1)'!S617+"h_l!&amp;8H"</f>
        <v>#VALUE!</v>
      </c>
      <c r="FL99" t="e">
        <f>'SurveyRpt_20150223 (1)'!T617+"h_l!&amp;8I"</f>
        <v>#VALUE!</v>
      </c>
      <c r="FM99" t="e">
        <f>'SurveyRpt_20150223 (1)'!U617+"h_l!&amp;8J"</f>
        <v>#VALUE!</v>
      </c>
      <c r="FN99" t="e">
        <f>'SurveyRpt_20150223 (1)'!V617+"h_l!&amp;8K"</f>
        <v>#VALUE!</v>
      </c>
      <c r="FO99" t="e">
        <f>'SurveyRpt_20150223 (1)'!W617+"h_l!&amp;8L"</f>
        <v>#VALUE!</v>
      </c>
      <c r="FP99" t="e">
        <f>'SurveyRpt_20150223 (1)'!X617+"h_l!&amp;8M"</f>
        <v>#VALUE!</v>
      </c>
      <c r="FQ99" t="e">
        <f>'SurveyRpt_20150223 (1)'!Y617+"h_l!&amp;8N"</f>
        <v>#VALUE!</v>
      </c>
      <c r="FR99" t="e">
        <f>'SurveyRpt_20150223 (1)'!Z617+"h_l!&amp;8O"</f>
        <v>#VALUE!</v>
      </c>
      <c r="FS99" t="e">
        <f>'SurveyRpt_20150223 (1)'!AA617+"h_l!&amp;8P"</f>
        <v>#VALUE!</v>
      </c>
      <c r="FT99" t="e">
        <f>'SurveyRpt_20150223 (1)'!AB617+"h_l!&amp;8Q"</f>
        <v>#VALUE!</v>
      </c>
      <c r="FU99" t="e">
        <f>'SurveyRpt_20150223 (1)'!AC617+"h_l!&amp;8R"</f>
        <v>#VALUE!</v>
      </c>
      <c r="FV99" t="e">
        <f>'SurveyRpt_20150223 (1)'!AD617+"h_l!&amp;8S"</f>
        <v>#VALUE!</v>
      </c>
      <c r="FW99" t="e">
        <f>'SurveyRpt_20150223 (1)'!AE617+"h_l!&amp;8T"</f>
        <v>#VALUE!</v>
      </c>
      <c r="FX99" t="e">
        <f>'SurveyRpt_20150223 (1)'!AF617+"h_l!&amp;8U"</f>
        <v>#VALUE!</v>
      </c>
      <c r="FY99" t="e">
        <f>'SurveyRpt_20150223 (1)'!AG617+"h_l!&amp;8V"</f>
        <v>#VALUE!</v>
      </c>
      <c r="FZ99" t="e">
        <f>'SurveyRpt_20150223 (1)'!AH617+"h_l!&amp;8W"</f>
        <v>#VALUE!</v>
      </c>
      <c r="GA99" t="e">
        <f>'SurveyRpt_20150223 (1)'!AI617+"h_l!&amp;8X"</f>
        <v>#VALUE!</v>
      </c>
      <c r="GB99" t="e">
        <f>'SurveyRpt_20150223 (1)'!AJ617+"h_l!&amp;8Y"</f>
        <v>#VALUE!</v>
      </c>
      <c r="GC99" t="e">
        <f>'SurveyRpt_20150223 (1)'!AK617+"h_l!&amp;8Z"</f>
        <v>#VALUE!</v>
      </c>
      <c r="GD99" t="e">
        <f>'SurveyRpt_20150223 (1)'!AL617+"h_l!&amp;8["</f>
        <v>#VALUE!</v>
      </c>
      <c r="GE99" t="e">
        <f>'SurveyRpt_20150223 (1)'!AM617+"h_l!&amp;8\"</f>
        <v>#VALUE!</v>
      </c>
      <c r="GF99" t="e">
        <f>'SurveyRpt_20150223 (1)'!AN617+"h_l!&amp;8]"</f>
        <v>#VALUE!</v>
      </c>
      <c r="GG99" t="e">
        <f>'SurveyRpt_20150223 (1)'!A618+"h_l!&amp;8^"</f>
        <v>#VALUE!</v>
      </c>
      <c r="GH99" s="25" t="e">
        <f>'SurveyRpt_20150223 (1)'!B618+"h_l!&amp;8_"</f>
        <v>#VALUE!</v>
      </c>
      <c r="GI99" t="e">
        <f>'SurveyRpt_20150223 (1)'!C618+"h_l!&amp;8`"</f>
        <v>#VALUE!</v>
      </c>
      <c r="GJ99" s="25" t="e">
        <f>'SurveyRpt_20150223 (1)'!D618+"h_l!&amp;8a"</f>
        <v>#VALUE!</v>
      </c>
      <c r="GK99" t="e">
        <f>'SurveyRpt_20150223 (1)'!E618+"h_l!&amp;8b"</f>
        <v>#VALUE!</v>
      </c>
      <c r="GL99" t="e">
        <f>'SurveyRpt_20150223 (1)'!F618+"h_l!&amp;8c"</f>
        <v>#VALUE!</v>
      </c>
      <c r="GM99" t="e">
        <f>'SurveyRpt_20150223 (1)'!G618+"h_l!&amp;8d"</f>
        <v>#VALUE!</v>
      </c>
      <c r="GN99" t="e">
        <f>'SurveyRpt_20150223 (1)'!H618+"h_l!&amp;8e"</f>
        <v>#VALUE!</v>
      </c>
      <c r="GO99" t="e">
        <f>'SurveyRpt_20150223 (1)'!I618+"h_l!&amp;8f"</f>
        <v>#VALUE!</v>
      </c>
      <c r="GP99" t="e">
        <f>'SurveyRpt_20150223 (1)'!J618+"h_l!&amp;8g"</f>
        <v>#VALUE!</v>
      </c>
      <c r="GQ99" t="e">
        <f>'SurveyRpt_20150223 (1)'!K618+"h_l!&amp;8h"</f>
        <v>#VALUE!</v>
      </c>
      <c r="GR99" t="e">
        <f>'SurveyRpt_20150223 (1)'!L618+"h_l!&amp;8i"</f>
        <v>#VALUE!</v>
      </c>
      <c r="GS99" t="e">
        <f>'SurveyRpt_20150223 (1)'!M618+"h_l!&amp;8j"</f>
        <v>#VALUE!</v>
      </c>
      <c r="GT99" t="e">
        <f>'SurveyRpt_20150223 (1)'!N618+"h_l!&amp;8k"</f>
        <v>#VALUE!</v>
      </c>
      <c r="GU99" t="e">
        <f>'SurveyRpt_20150223 (1)'!O618+"h_l!&amp;8l"</f>
        <v>#VALUE!</v>
      </c>
      <c r="GV99" t="e">
        <f>'SurveyRpt_20150223 (1)'!P618+"h_l!&amp;8m"</f>
        <v>#VALUE!</v>
      </c>
      <c r="GW99" t="e">
        <f>'SurveyRpt_20150223 (1)'!Q618+"h_l!&amp;8n"</f>
        <v>#VALUE!</v>
      </c>
      <c r="GX99" t="e">
        <f>'SurveyRpt_20150223 (1)'!R618+"h_l!&amp;8o"</f>
        <v>#VALUE!</v>
      </c>
      <c r="GY99" t="e">
        <f>'SurveyRpt_20150223 (1)'!S618+"h_l!&amp;8p"</f>
        <v>#VALUE!</v>
      </c>
      <c r="GZ99" t="e">
        <f>'SurveyRpt_20150223 (1)'!T618+"h_l!&amp;8q"</f>
        <v>#VALUE!</v>
      </c>
      <c r="HA99" t="e">
        <f>'SurveyRpt_20150223 (1)'!U618+"h_l!&amp;8r"</f>
        <v>#VALUE!</v>
      </c>
      <c r="HB99" t="e">
        <f>'SurveyRpt_20150223 (1)'!V618+"h_l!&amp;8s"</f>
        <v>#VALUE!</v>
      </c>
      <c r="HC99" t="e">
        <f>'SurveyRpt_20150223 (1)'!W618+"h_l!&amp;8t"</f>
        <v>#VALUE!</v>
      </c>
      <c r="HD99" t="e">
        <f>'SurveyRpt_20150223 (1)'!X618+"h_l!&amp;8u"</f>
        <v>#VALUE!</v>
      </c>
      <c r="HE99" t="e">
        <f>'SurveyRpt_20150223 (1)'!Y618+"h_l!&amp;8v"</f>
        <v>#VALUE!</v>
      </c>
      <c r="HF99" t="e">
        <f>'SurveyRpt_20150223 (1)'!Z618+"h_l!&amp;8w"</f>
        <v>#VALUE!</v>
      </c>
      <c r="HG99" t="e">
        <f>'SurveyRpt_20150223 (1)'!AA618+"h_l!&amp;8x"</f>
        <v>#VALUE!</v>
      </c>
      <c r="HH99" t="e">
        <f>'SurveyRpt_20150223 (1)'!AB618+"h_l!&amp;8y"</f>
        <v>#VALUE!</v>
      </c>
      <c r="HI99" t="e">
        <f>'SurveyRpt_20150223 (1)'!AC618+"h_l!&amp;8z"</f>
        <v>#VALUE!</v>
      </c>
      <c r="HJ99" t="e">
        <f>'SurveyRpt_20150223 (1)'!AD618+"h_l!&amp;8{"</f>
        <v>#VALUE!</v>
      </c>
      <c r="HK99" t="e">
        <f>'SurveyRpt_20150223 (1)'!AE618+"h_l!&amp;8|"</f>
        <v>#VALUE!</v>
      </c>
      <c r="HL99" t="e">
        <f>'SurveyRpt_20150223 (1)'!AF618+"h_l!&amp;8}"</f>
        <v>#VALUE!</v>
      </c>
      <c r="HM99" t="e">
        <f>'SurveyRpt_20150223 (1)'!AG618+"h_l!&amp;8~"</f>
        <v>#VALUE!</v>
      </c>
      <c r="HN99" t="e">
        <f>'SurveyRpt_20150223 (1)'!AH618+"h_l!&amp;9#"</f>
        <v>#VALUE!</v>
      </c>
      <c r="HO99" t="e">
        <f>'SurveyRpt_20150223 (1)'!AI618+"h_l!&amp;9$"</f>
        <v>#VALUE!</v>
      </c>
      <c r="HP99" t="e">
        <f>'SurveyRpt_20150223 (1)'!AJ618+"h_l!&amp;9%"</f>
        <v>#VALUE!</v>
      </c>
      <c r="HQ99" t="e">
        <f>'SurveyRpt_20150223 (1)'!AK618+"h_l!&amp;9&amp;"</f>
        <v>#VALUE!</v>
      </c>
      <c r="HR99" t="e">
        <f>'SurveyRpt_20150223 (1)'!AL618+"h_l!&amp;9'"</f>
        <v>#VALUE!</v>
      </c>
      <c r="HS99" t="e">
        <f>'SurveyRpt_20150223 (1)'!AM618+"h_l!&amp;9("</f>
        <v>#VALUE!</v>
      </c>
      <c r="HT99" t="e">
        <f>'SurveyRpt_20150223 (1)'!AN618+"h_l!&amp;9)"</f>
        <v>#VALUE!</v>
      </c>
      <c r="HU99" t="e">
        <f>'SurveyRpt_20150223 (1)'!A619+"h_l!&amp;9."</f>
        <v>#VALUE!</v>
      </c>
      <c r="HV99" s="25" t="e">
        <f>'SurveyRpt_20150223 (1)'!B619+"h_l!&amp;9/"</f>
        <v>#VALUE!</v>
      </c>
      <c r="HW99" t="e">
        <f>'SurveyRpt_20150223 (1)'!C619+"h_l!&amp;90"</f>
        <v>#VALUE!</v>
      </c>
      <c r="HX99" s="25" t="e">
        <f>'SurveyRpt_20150223 (1)'!D619+"h_l!&amp;91"</f>
        <v>#VALUE!</v>
      </c>
      <c r="HY99" t="e">
        <f>'SurveyRpt_20150223 (1)'!E619+"h_l!&amp;92"</f>
        <v>#VALUE!</v>
      </c>
      <c r="HZ99" t="e">
        <f>'SurveyRpt_20150223 (1)'!F619+"h_l!&amp;93"</f>
        <v>#VALUE!</v>
      </c>
      <c r="IA99" t="e">
        <f>'SurveyRpt_20150223 (1)'!G619+"h_l!&amp;94"</f>
        <v>#VALUE!</v>
      </c>
      <c r="IB99" t="e">
        <f>'SurveyRpt_20150223 (1)'!H619+"h_l!&amp;95"</f>
        <v>#VALUE!</v>
      </c>
      <c r="IC99" t="e">
        <f>'SurveyRpt_20150223 (1)'!I619+"h_l!&amp;96"</f>
        <v>#VALUE!</v>
      </c>
      <c r="ID99" t="e">
        <f>'SurveyRpt_20150223 (1)'!J619+"h_l!&amp;97"</f>
        <v>#VALUE!</v>
      </c>
      <c r="IE99" t="e">
        <f>'SurveyRpt_20150223 (1)'!K619+"h_l!&amp;98"</f>
        <v>#VALUE!</v>
      </c>
      <c r="IF99" t="e">
        <f>'SurveyRpt_20150223 (1)'!L619+"h_l!&amp;99"</f>
        <v>#VALUE!</v>
      </c>
      <c r="IG99" t="e">
        <f>'SurveyRpt_20150223 (1)'!M619+"h_l!&amp;9:"</f>
        <v>#VALUE!</v>
      </c>
      <c r="IH99" t="e">
        <f>'SurveyRpt_20150223 (1)'!N619+"h_l!&amp;9;"</f>
        <v>#VALUE!</v>
      </c>
      <c r="II99" t="e">
        <f>'SurveyRpt_20150223 (1)'!O619+"h_l!&amp;9&lt;"</f>
        <v>#VALUE!</v>
      </c>
      <c r="IJ99" t="e">
        <f>'SurveyRpt_20150223 (1)'!P619+"h_l!&amp;9="</f>
        <v>#VALUE!</v>
      </c>
      <c r="IK99" t="e">
        <f>'SurveyRpt_20150223 (1)'!Q619+"h_l!&amp;9&gt;"</f>
        <v>#VALUE!</v>
      </c>
      <c r="IL99" t="e">
        <f>'SurveyRpt_20150223 (1)'!R619+"h_l!&amp;9?"</f>
        <v>#VALUE!</v>
      </c>
      <c r="IM99" t="e">
        <f>'SurveyRpt_20150223 (1)'!S619+"h_l!&amp;9@"</f>
        <v>#VALUE!</v>
      </c>
      <c r="IN99" t="e">
        <f>'SurveyRpt_20150223 (1)'!T619+"h_l!&amp;9A"</f>
        <v>#VALUE!</v>
      </c>
      <c r="IO99" t="e">
        <f>'SurveyRpt_20150223 (1)'!U619+"h_l!&amp;9B"</f>
        <v>#VALUE!</v>
      </c>
      <c r="IP99" t="e">
        <f>'SurveyRpt_20150223 (1)'!V619+"h_l!&amp;9C"</f>
        <v>#VALUE!</v>
      </c>
      <c r="IQ99" t="e">
        <f>'SurveyRpt_20150223 (1)'!W619+"h_l!&amp;9D"</f>
        <v>#VALUE!</v>
      </c>
      <c r="IR99" t="e">
        <f>'SurveyRpt_20150223 (1)'!X619+"h_l!&amp;9E"</f>
        <v>#VALUE!</v>
      </c>
      <c r="IS99" t="e">
        <f>'SurveyRpt_20150223 (1)'!Y619+"h_l!&amp;9F"</f>
        <v>#VALUE!</v>
      </c>
      <c r="IT99" t="e">
        <f>'SurveyRpt_20150223 (1)'!Z619+"h_l!&amp;9G"</f>
        <v>#VALUE!</v>
      </c>
      <c r="IU99" t="e">
        <f>'SurveyRpt_20150223 (1)'!AA619+"h_l!&amp;9H"</f>
        <v>#VALUE!</v>
      </c>
      <c r="IV99" t="e">
        <f>'SurveyRpt_20150223 (1)'!AB619+"h_l!&amp;9I"</f>
        <v>#VALUE!</v>
      </c>
    </row>
    <row r="100" spans="6:256" x14ac:dyDescent="0.25">
      <c r="F100" t="e">
        <f>'SurveyRpt_20150223 (1)'!AC619+"h_l!&amp;9J"</f>
        <v>#VALUE!</v>
      </c>
      <c r="G100" t="e">
        <f>'SurveyRpt_20150223 (1)'!AD619+"h_l!&amp;9K"</f>
        <v>#VALUE!</v>
      </c>
      <c r="H100" t="e">
        <f>'SurveyRpt_20150223 (1)'!AE619+"h_l!&amp;9L"</f>
        <v>#VALUE!</v>
      </c>
      <c r="I100" t="e">
        <f>'SurveyRpt_20150223 (1)'!AF619+"h_l!&amp;9M"</f>
        <v>#VALUE!</v>
      </c>
      <c r="J100" t="e">
        <f>'SurveyRpt_20150223 (1)'!AG619+"h_l!&amp;9N"</f>
        <v>#VALUE!</v>
      </c>
      <c r="K100" t="e">
        <f>'SurveyRpt_20150223 (1)'!AH619+"h_l!&amp;9O"</f>
        <v>#VALUE!</v>
      </c>
      <c r="L100" t="e">
        <f>'SurveyRpt_20150223 (1)'!AI619+"h_l!&amp;9P"</f>
        <v>#VALUE!</v>
      </c>
      <c r="M100" t="e">
        <f>'SurveyRpt_20150223 (1)'!AJ619+"h_l!&amp;9Q"</f>
        <v>#VALUE!</v>
      </c>
      <c r="N100" t="e">
        <f>'SurveyRpt_20150223 (1)'!AK619+"h_l!&amp;9R"</f>
        <v>#VALUE!</v>
      </c>
      <c r="O100" t="e">
        <f>'SurveyRpt_20150223 (1)'!AL619+"h_l!&amp;9S"</f>
        <v>#VALUE!</v>
      </c>
      <c r="P100" t="e">
        <f>'SurveyRpt_20150223 (1)'!AM619+"h_l!&amp;9T"</f>
        <v>#VALUE!</v>
      </c>
      <c r="Q100" t="e">
        <f>'SurveyRpt_20150223 (1)'!AN619+"h_l!&amp;9U"</f>
        <v>#VALUE!</v>
      </c>
      <c r="R100" t="e">
        <f>'SurveyRpt_20150223 (1)'!A620+"h_l!&amp;9V"</f>
        <v>#VALUE!</v>
      </c>
      <c r="S100" s="25" t="e">
        <f>'SurveyRpt_20150223 (1)'!B620+"h_l!&amp;9W"</f>
        <v>#VALUE!</v>
      </c>
      <c r="T100" t="e">
        <f>'SurveyRpt_20150223 (1)'!C620+"h_l!&amp;9X"</f>
        <v>#VALUE!</v>
      </c>
      <c r="U100" s="25" t="e">
        <f>'SurveyRpt_20150223 (1)'!D620+"h_l!&amp;9Y"</f>
        <v>#VALUE!</v>
      </c>
      <c r="V100" t="e">
        <f>'SurveyRpt_20150223 (1)'!E620+"h_l!&amp;9Z"</f>
        <v>#VALUE!</v>
      </c>
      <c r="W100" t="e">
        <f>'SurveyRpt_20150223 (1)'!F620+"h_l!&amp;9["</f>
        <v>#VALUE!</v>
      </c>
      <c r="X100" t="e">
        <f>'SurveyRpt_20150223 (1)'!G620+"h_l!&amp;9\"</f>
        <v>#VALUE!</v>
      </c>
      <c r="Y100" t="e">
        <f>'SurveyRpt_20150223 (1)'!H620+"h_l!&amp;9]"</f>
        <v>#VALUE!</v>
      </c>
      <c r="Z100" t="e">
        <f>'SurveyRpt_20150223 (1)'!I620+"h_l!&amp;9^"</f>
        <v>#VALUE!</v>
      </c>
      <c r="AA100" t="e">
        <f>'SurveyRpt_20150223 (1)'!J620+"h_l!&amp;9_"</f>
        <v>#VALUE!</v>
      </c>
      <c r="AB100" t="e">
        <f>'SurveyRpt_20150223 (1)'!K620+"h_l!&amp;9`"</f>
        <v>#VALUE!</v>
      </c>
      <c r="AC100" t="e">
        <f>'SurveyRpt_20150223 (1)'!L620+"h_l!&amp;9a"</f>
        <v>#VALUE!</v>
      </c>
      <c r="AD100" t="e">
        <f>'SurveyRpt_20150223 (1)'!M620+"h_l!&amp;9b"</f>
        <v>#VALUE!</v>
      </c>
      <c r="AE100" t="e">
        <f>'SurveyRpt_20150223 (1)'!N620+"h_l!&amp;9c"</f>
        <v>#VALUE!</v>
      </c>
      <c r="AF100" t="e">
        <f>'SurveyRpt_20150223 (1)'!O620+"h_l!&amp;9d"</f>
        <v>#VALUE!</v>
      </c>
      <c r="AG100" t="e">
        <f>'SurveyRpt_20150223 (1)'!P620+"h_l!&amp;9e"</f>
        <v>#VALUE!</v>
      </c>
      <c r="AH100" t="e">
        <f>'SurveyRpt_20150223 (1)'!Q620+"h_l!&amp;9f"</f>
        <v>#VALUE!</v>
      </c>
      <c r="AI100" t="e">
        <f>'SurveyRpt_20150223 (1)'!R620+"h_l!&amp;9g"</f>
        <v>#VALUE!</v>
      </c>
      <c r="AJ100" t="e">
        <f>'SurveyRpt_20150223 (1)'!S620+"h_l!&amp;9h"</f>
        <v>#VALUE!</v>
      </c>
      <c r="AK100" t="e">
        <f>'SurveyRpt_20150223 (1)'!T620+"h_l!&amp;9i"</f>
        <v>#VALUE!</v>
      </c>
      <c r="AL100" t="e">
        <f>'SurveyRpt_20150223 (1)'!U620+"h_l!&amp;9j"</f>
        <v>#VALUE!</v>
      </c>
      <c r="AM100" t="e">
        <f>'SurveyRpt_20150223 (1)'!V620+"h_l!&amp;9k"</f>
        <v>#VALUE!</v>
      </c>
      <c r="AN100" t="e">
        <f>'SurveyRpt_20150223 (1)'!W620+"h_l!&amp;9l"</f>
        <v>#VALUE!</v>
      </c>
      <c r="AO100" t="e">
        <f>'SurveyRpt_20150223 (1)'!X620+"h_l!&amp;9m"</f>
        <v>#VALUE!</v>
      </c>
      <c r="AP100" t="e">
        <f>'SurveyRpt_20150223 (1)'!Y620+"h_l!&amp;9n"</f>
        <v>#VALUE!</v>
      </c>
      <c r="AQ100" t="e">
        <f>'SurveyRpt_20150223 (1)'!Z620+"h_l!&amp;9o"</f>
        <v>#VALUE!</v>
      </c>
      <c r="AR100" t="e">
        <f>'SurveyRpt_20150223 (1)'!AA620+"h_l!&amp;9p"</f>
        <v>#VALUE!</v>
      </c>
      <c r="AS100" t="e">
        <f>'SurveyRpt_20150223 (1)'!AB620+"h_l!&amp;9q"</f>
        <v>#VALUE!</v>
      </c>
      <c r="AT100" t="e">
        <f>'SurveyRpt_20150223 (1)'!AC620+"h_l!&amp;9r"</f>
        <v>#VALUE!</v>
      </c>
      <c r="AU100" t="e">
        <f>'SurveyRpt_20150223 (1)'!AD620+"h_l!&amp;9s"</f>
        <v>#VALUE!</v>
      </c>
      <c r="AV100" t="e">
        <f>'SurveyRpt_20150223 (1)'!AE620+"h_l!&amp;9t"</f>
        <v>#VALUE!</v>
      </c>
      <c r="AW100" t="e">
        <f>'SurveyRpt_20150223 (1)'!AF620+"h_l!&amp;9u"</f>
        <v>#VALUE!</v>
      </c>
      <c r="AX100" t="e">
        <f>'SurveyRpt_20150223 (1)'!AG620+"h_l!&amp;9v"</f>
        <v>#VALUE!</v>
      </c>
      <c r="AY100" t="e">
        <f>'SurveyRpt_20150223 (1)'!AH620+"h_l!&amp;9w"</f>
        <v>#VALUE!</v>
      </c>
      <c r="AZ100" t="e">
        <f>'SurveyRpt_20150223 (1)'!AI620+"h_l!&amp;9x"</f>
        <v>#VALUE!</v>
      </c>
      <c r="BA100" t="e">
        <f>'SurveyRpt_20150223 (1)'!AJ620+"h_l!&amp;9y"</f>
        <v>#VALUE!</v>
      </c>
      <c r="BB100" t="e">
        <f>'SurveyRpt_20150223 (1)'!AK620+"h_l!&amp;9z"</f>
        <v>#VALUE!</v>
      </c>
      <c r="BC100" t="e">
        <f>'SurveyRpt_20150223 (1)'!AL620+"h_l!&amp;9{"</f>
        <v>#VALUE!</v>
      </c>
      <c r="BD100" t="e">
        <f>'SurveyRpt_20150223 (1)'!AM620+"h_l!&amp;9|"</f>
        <v>#VALUE!</v>
      </c>
      <c r="BE100" t="e">
        <f>'SurveyRpt_20150223 (1)'!AN620+"h_l!&amp;9}"</f>
        <v>#VALUE!</v>
      </c>
      <c r="BF100" t="e">
        <f>'SurveyRpt_20150223 (1)'!A621+"h_l!&amp;9~"</f>
        <v>#VALUE!</v>
      </c>
      <c r="BG100" s="25" t="e">
        <f>'SurveyRpt_20150223 (1)'!B621+"h_l!&amp;:#"</f>
        <v>#VALUE!</v>
      </c>
      <c r="BH100" t="e">
        <f>'SurveyRpt_20150223 (1)'!C621+"h_l!&amp;:$"</f>
        <v>#VALUE!</v>
      </c>
      <c r="BI100" s="25" t="e">
        <f>'SurveyRpt_20150223 (1)'!D621+"h_l!&amp;:%"</f>
        <v>#VALUE!</v>
      </c>
      <c r="BJ100" t="e">
        <f>'SurveyRpt_20150223 (1)'!E621+"h_l!&amp;:&amp;"</f>
        <v>#VALUE!</v>
      </c>
      <c r="BK100" t="e">
        <f>'SurveyRpt_20150223 (1)'!F621+"h_l!&amp;:'"</f>
        <v>#VALUE!</v>
      </c>
      <c r="BL100" t="e">
        <f>'SurveyRpt_20150223 (1)'!G621+"h_l!&amp;:("</f>
        <v>#VALUE!</v>
      </c>
      <c r="BM100" t="e">
        <f>'SurveyRpt_20150223 (1)'!H621+"h_l!&amp;:)"</f>
        <v>#VALUE!</v>
      </c>
      <c r="BN100" t="e">
        <f>'SurveyRpt_20150223 (1)'!I621+"h_l!&amp;:."</f>
        <v>#VALUE!</v>
      </c>
      <c r="BO100" t="e">
        <f>'SurveyRpt_20150223 (1)'!J621+"h_l!&amp;:/"</f>
        <v>#VALUE!</v>
      </c>
      <c r="BP100" t="e">
        <f>'SurveyRpt_20150223 (1)'!K621+"h_l!&amp;:0"</f>
        <v>#VALUE!</v>
      </c>
      <c r="BQ100" t="e">
        <f>'SurveyRpt_20150223 (1)'!L621+"h_l!&amp;:1"</f>
        <v>#VALUE!</v>
      </c>
      <c r="BR100" t="e">
        <f>'SurveyRpt_20150223 (1)'!M621+"h_l!&amp;:2"</f>
        <v>#VALUE!</v>
      </c>
      <c r="BS100" t="e">
        <f>'SurveyRpt_20150223 (1)'!N621+"h_l!&amp;:3"</f>
        <v>#VALUE!</v>
      </c>
      <c r="BT100" t="e">
        <f>'SurveyRpt_20150223 (1)'!O621+"h_l!&amp;:4"</f>
        <v>#VALUE!</v>
      </c>
      <c r="BU100" t="e">
        <f>'SurveyRpt_20150223 (1)'!P621+"h_l!&amp;:5"</f>
        <v>#VALUE!</v>
      </c>
      <c r="BV100" t="e">
        <f>'SurveyRpt_20150223 (1)'!Q621+"h_l!&amp;:6"</f>
        <v>#VALUE!</v>
      </c>
      <c r="BW100" t="e">
        <f>'SurveyRpt_20150223 (1)'!R621+"h_l!&amp;:7"</f>
        <v>#VALUE!</v>
      </c>
      <c r="BX100" t="e">
        <f>'SurveyRpt_20150223 (1)'!S621+"h_l!&amp;:8"</f>
        <v>#VALUE!</v>
      </c>
      <c r="BY100" t="e">
        <f>'SurveyRpt_20150223 (1)'!T621+"h_l!&amp;:9"</f>
        <v>#VALUE!</v>
      </c>
      <c r="BZ100" t="e">
        <f>'SurveyRpt_20150223 (1)'!U621+"h_l!&amp;::"</f>
        <v>#VALUE!</v>
      </c>
      <c r="CA100" t="e">
        <f>'SurveyRpt_20150223 (1)'!V621+"h_l!&amp;:;"</f>
        <v>#VALUE!</v>
      </c>
      <c r="CB100" t="e">
        <f>'SurveyRpt_20150223 (1)'!W621+"h_l!&amp;:&lt;"</f>
        <v>#VALUE!</v>
      </c>
      <c r="CC100" t="e">
        <f>'SurveyRpt_20150223 (1)'!X621+"h_l!&amp;:="</f>
        <v>#VALUE!</v>
      </c>
      <c r="CD100" t="e">
        <f>'SurveyRpt_20150223 (1)'!Y621+"h_l!&amp;:&gt;"</f>
        <v>#VALUE!</v>
      </c>
      <c r="CE100" t="e">
        <f>'SurveyRpt_20150223 (1)'!Z621+"h_l!&amp;:?"</f>
        <v>#VALUE!</v>
      </c>
      <c r="CF100" t="e">
        <f>'SurveyRpt_20150223 (1)'!AA621+"h_l!&amp;:@"</f>
        <v>#VALUE!</v>
      </c>
      <c r="CG100" t="e">
        <f>'SurveyRpt_20150223 (1)'!AB621+"h_l!&amp;:A"</f>
        <v>#VALUE!</v>
      </c>
      <c r="CH100" t="e">
        <f>'SurveyRpt_20150223 (1)'!AC621+"h_l!&amp;:B"</f>
        <v>#VALUE!</v>
      </c>
      <c r="CI100" t="e">
        <f>'SurveyRpt_20150223 (1)'!AD621+"h_l!&amp;:C"</f>
        <v>#VALUE!</v>
      </c>
      <c r="CJ100" t="e">
        <f>'SurveyRpt_20150223 (1)'!AE621+"h_l!&amp;:D"</f>
        <v>#VALUE!</v>
      </c>
      <c r="CK100" t="e">
        <f>'SurveyRpt_20150223 (1)'!AF621+"h_l!&amp;:E"</f>
        <v>#VALUE!</v>
      </c>
      <c r="CL100" t="e">
        <f>'SurveyRpt_20150223 (1)'!AG621+"h_l!&amp;:F"</f>
        <v>#VALUE!</v>
      </c>
      <c r="CM100" t="e">
        <f>'SurveyRpt_20150223 (1)'!AH621+"h_l!&amp;:G"</f>
        <v>#VALUE!</v>
      </c>
      <c r="CN100" t="e">
        <f>'SurveyRpt_20150223 (1)'!AI621+"h_l!&amp;:H"</f>
        <v>#VALUE!</v>
      </c>
      <c r="CO100" t="e">
        <f>'SurveyRpt_20150223 (1)'!AJ621+"h_l!&amp;:I"</f>
        <v>#VALUE!</v>
      </c>
      <c r="CP100" t="e">
        <f>'SurveyRpt_20150223 (1)'!AK621+"h_l!&amp;:J"</f>
        <v>#VALUE!</v>
      </c>
      <c r="CQ100" t="e">
        <f>'SurveyRpt_20150223 (1)'!AL621+"h_l!&amp;:K"</f>
        <v>#VALUE!</v>
      </c>
      <c r="CR100" t="e">
        <f>'SurveyRpt_20150223 (1)'!AM621+"h_l!&amp;:L"</f>
        <v>#VALUE!</v>
      </c>
      <c r="CS100" t="e">
        <f>'SurveyRpt_20150223 (1)'!AN621+"h_l!&amp;:M"</f>
        <v>#VALUE!</v>
      </c>
      <c r="CT100" t="e">
        <f>'SurveyRpt_20150223 (1)'!A622+"h_l!&amp;:N"</f>
        <v>#VALUE!</v>
      </c>
      <c r="CU100" s="25" t="e">
        <f>'SurveyRpt_20150223 (1)'!B622+"h_l!&amp;:O"</f>
        <v>#VALUE!</v>
      </c>
      <c r="CV100" t="e">
        <f>'SurveyRpt_20150223 (1)'!C622+"h_l!&amp;:P"</f>
        <v>#VALUE!</v>
      </c>
      <c r="CW100" s="25" t="e">
        <f>'SurveyRpt_20150223 (1)'!D622+"h_l!&amp;:Q"</f>
        <v>#VALUE!</v>
      </c>
      <c r="CX100" t="e">
        <f>'SurveyRpt_20150223 (1)'!E622+"h_l!&amp;:R"</f>
        <v>#VALUE!</v>
      </c>
      <c r="CY100" t="e">
        <f>'SurveyRpt_20150223 (1)'!F622+"h_l!&amp;:S"</f>
        <v>#VALUE!</v>
      </c>
      <c r="CZ100" t="e">
        <f>'SurveyRpt_20150223 (1)'!G622+"h_l!&amp;:T"</f>
        <v>#VALUE!</v>
      </c>
      <c r="DA100" t="e">
        <f>'SurveyRpt_20150223 (1)'!H622+"h_l!&amp;:U"</f>
        <v>#VALUE!</v>
      </c>
      <c r="DB100" t="e">
        <f>'SurveyRpt_20150223 (1)'!I622+"h_l!&amp;:V"</f>
        <v>#VALUE!</v>
      </c>
      <c r="DC100" t="e">
        <f>'SurveyRpt_20150223 (1)'!J622+"h_l!&amp;:W"</f>
        <v>#VALUE!</v>
      </c>
      <c r="DD100" t="e">
        <f>'SurveyRpt_20150223 (1)'!K622+"h_l!&amp;:X"</f>
        <v>#VALUE!</v>
      </c>
      <c r="DE100" t="e">
        <f>'SurveyRpt_20150223 (1)'!L622+"h_l!&amp;:Y"</f>
        <v>#VALUE!</v>
      </c>
      <c r="DF100" t="e">
        <f>'SurveyRpt_20150223 (1)'!M622+"h_l!&amp;:Z"</f>
        <v>#VALUE!</v>
      </c>
      <c r="DG100" t="e">
        <f>'SurveyRpt_20150223 (1)'!N622+"h_l!&amp;:["</f>
        <v>#VALUE!</v>
      </c>
      <c r="DH100" t="e">
        <f>'SurveyRpt_20150223 (1)'!O622+"h_l!&amp;:\"</f>
        <v>#VALUE!</v>
      </c>
      <c r="DI100" t="e">
        <f>'SurveyRpt_20150223 (1)'!P622+"h_l!&amp;:]"</f>
        <v>#VALUE!</v>
      </c>
      <c r="DJ100" t="e">
        <f>'SurveyRpt_20150223 (1)'!Q622+"h_l!&amp;:^"</f>
        <v>#VALUE!</v>
      </c>
      <c r="DK100" t="e">
        <f>'SurveyRpt_20150223 (1)'!R622+"h_l!&amp;:_"</f>
        <v>#VALUE!</v>
      </c>
      <c r="DL100" t="e">
        <f>'SurveyRpt_20150223 (1)'!S622+"h_l!&amp;:`"</f>
        <v>#VALUE!</v>
      </c>
      <c r="DM100" t="e">
        <f>'SurveyRpt_20150223 (1)'!T622+"h_l!&amp;:a"</f>
        <v>#VALUE!</v>
      </c>
      <c r="DN100" t="e">
        <f>'SurveyRpt_20150223 (1)'!U622+"h_l!&amp;:b"</f>
        <v>#VALUE!</v>
      </c>
      <c r="DO100" t="e">
        <f>'SurveyRpt_20150223 (1)'!V622+"h_l!&amp;:c"</f>
        <v>#VALUE!</v>
      </c>
      <c r="DP100" t="e">
        <f>'SurveyRpt_20150223 (1)'!W622+"h_l!&amp;:d"</f>
        <v>#VALUE!</v>
      </c>
      <c r="DQ100" t="e">
        <f>'SurveyRpt_20150223 (1)'!X622+"h_l!&amp;:e"</f>
        <v>#VALUE!</v>
      </c>
      <c r="DR100" t="e">
        <f>'SurveyRpt_20150223 (1)'!Y622+"h_l!&amp;:f"</f>
        <v>#VALUE!</v>
      </c>
      <c r="DS100" t="e">
        <f>'SurveyRpt_20150223 (1)'!Z622+"h_l!&amp;:g"</f>
        <v>#VALUE!</v>
      </c>
      <c r="DT100" t="e">
        <f>'SurveyRpt_20150223 (1)'!AA622+"h_l!&amp;:h"</f>
        <v>#VALUE!</v>
      </c>
      <c r="DU100" t="e">
        <f>'SurveyRpt_20150223 (1)'!AB622+"h_l!&amp;:i"</f>
        <v>#VALUE!</v>
      </c>
      <c r="DV100" t="e">
        <f>'SurveyRpt_20150223 (1)'!AC622+"h_l!&amp;:j"</f>
        <v>#VALUE!</v>
      </c>
      <c r="DW100" t="e">
        <f>'SurveyRpt_20150223 (1)'!AD622+"h_l!&amp;:k"</f>
        <v>#VALUE!</v>
      </c>
      <c r="DX100" t="e">
        <f>'SurveyRpt_20150223 (1)'!AE622+"h_l!&amp;:l"</f>
        <v>#VALUE!</v>
      </c>
      <c r="DY100" t="e">
        <f>'SurveyRpt_20150223 (1)'!AF622+"h_l!&amp;:m"</f>
        <v>#VALUE!</v>
      </c>
      <c r="DZ100" t="e">
        <f>'SurveyRpt_20150223 (1)'!AG622+"h_l!&amp;:n"</f>
        <v>#VALUE!</v>
      </c>
      <c r="EA100" t="e">
        <f>'SurveyRpt_20150223 (1)'!AH622+"h_l!&amp;:o"</f>
        <v>#VALUE!</v>
      </c>
      <c r="EB100" t="e">
        <f>'SurveyRpt_20150223 (1)'!AI622+"h_l!&amp;:p"</f>
        <v>#VALUE!</v>
      </c>
      <c r="EC100" t="e">
        <f>'SurveyRpt_20150223 (1)'!AJ622+"h_l!&amp;:q"</f>
        <v>#VALUE!</v>
      </c>
      <c r="ED100" t="e">
        <f>'SurveyRpt_20150223 (1)'!AK622+"h_l!&amp;:r"</f>
        <v>#VALUE!</v>
      </c>
      <c r="EE100" t="e">
        <f>'SurveyRpt_20150223 (1)'!AL622+"h_l!&amp;:s"</f>
        <v>#VALUE!</v>
      </c>
      <c r="EF100" t="e">
        <f>'SurveyRpt_20150223 (1)'!AM622+"h_l!&amp;:t"</f>
        <v>#VALUE!</v>
      </c>
      <c r="EG100" t="e">
        <f>'SurveyRpt_20150223 (1)'!AN622+"h_l!&amp;:u"</f>
        <v>#VALUE!</v>
      </c>
      <c r="EH100" t="e">
        <f>'SurveyRpt_20150223 (1)'!A623+"h_l!&amp;:v"</f>
        <v>#VALUE!</v>
      </c>
      <c r="EI100" s="25" t="e">
        <f>'SurveyRpt_20150223 (1)'!B623+"h_l!&amp;:w"</f>
        <v>#VALUE!</v>
      </c>
      <c r="EJ100" t="e">
        <f>'SurveyRpt_20150223 (1)'!C623+"h_l!&amp;:x"</f>
        <v>#VALUE!</v>
      </c>
      <c r="EK100" s="25" t="e">
        <f>'SurveyRpt_20150223 (1)'!D623+"h_l!&amp;:y"</f>
        <v>#VALUE!</v>
      </c>
      <c r="EL100" t="e">
        <f>'SurveyRpt_20150223 (1)'!E623+"h_l!&amp;:z"</f>
        <v>#VALUE!</v>
      </c>
      <c r="EM100" t="e">
        <f>'SurveyRpt_20150223 (1)'!F623+"h_l!&amp;:{"</f>
        <v>#VALUE!</v>
      </c>
      <c r="EN100" t="e">
        <f>'SurveyRpt_20150223 (1)'!G623+"h_l!&amp;:|"</f>
        <v>#VALUE!</v>
      </c>
      <c r="EO100" t="e">
        <f>'SurveyRpt_20150223 (1)'!H623+"h_l!&amp;:}"</f>
        <v>#VALUE!</v>
      </c>
      <c r="EP100" t="e">
        <f>'SurveyRpt_20150223 (1)'!I623+"h_l!&amp;:~"</f>
        <v>#VALUE!</v>
      </c>
      <c r="EQ100" t="e">
        <f>'SurveyRpt_20150223 (1)'!J623+"h_l!&amp;;#"</f>
        <v>#VALUE!</v>
      </c>
      <c r="ER100" t="e">
        <f>'SurveyRpt_20150223 (1)'!K623+"h_l!&amp;;$"</f>
        <v>#VALUE!</v>
      </c>
      <c r="ES100" t="e">
        <f>'SurveyRpt_20150223 (1)'!L623+"h_l!&amp;;%"</f>
        <v>#VALUE!</v>
      </c>
      <c r="ET100" t="e">
        <f>'SurveyRpt_20150223 (1)'!M623+"h_l!&amp;;&amp;"</f>
        <v>#VALUE!</v>
      </c>
      <c r="EU100" t="e">
        <f>'SurveyRpt_20150223 (1)'!N623+"h_l!&amp;;'"</f>
        <v>#VALUE!</v>
      </c>
      <c r="EV100" t="e">
        <f>'SurveyRpt_20150223 (1)'!O623+"h_l!&amp;;("</f>
        <v>#VALUE!</v>
      </c>
      <c r="EW100" t="e">
        <f>'SurveyRpt_20150223 (1)'!P623+"h_l!&amp;;)"</f>
        <v>#VALUE!</v>
      </c>
      <c r="EX100" t="e">
        <f>'SurveyRpt_20150223 (1)'!Q623+"h_l!&amp;;."</f>
        <v>#VALUE!</v>
      </c>
      <c r="EY100" t="e">
        <f>'SurveyRpt_20150223 (1)'!R623+"h_l!&amp;;/"</f>
        <v>#VALUE!</v>
      </c>
      <c r="EZ100" t="e">
        <f>'SurveyRpt_20150223 (1)'!S623+"h_l!&amp;;0"</f>
        <v>#VALUE!</v>
      </c>
      <c r="FA100" t="e">
        <f>'SurveyRpt_20150223 (1)'!T623+"h_l!&amp;;1"</f>
        <v>#VALUE!</v>
      </c>
      <c r="FB100" t="e">
        <f>'SurveyRpt_20150223 (1)'!U623+"h_l!&amp;;2"</f>
        <v>#VALUE!</v>
      </c>
      <c r="FC100" t="e">
        <f>'SurveyRpt_20150223 (1)'!V623+"h_l!&amp;;3"</f>
        <v>#VALUE!</v>
      </c>
      <c r="FD100" t="e">
        <f>'SurveyRpt_20150223 (1)'!W623+"h_l!&amp;;4"</f>
        <v>#VALUE!</v>
      </c>
      <c r="FE100" t="e">
        <f>'SurveyRpt_20150223 (1)'!X623+"h_l!&amp;;5"</f>
        <v>#VALUE!</v>
      </c>
      <c r="FF100" t="e">
        <f>'SurveyRpt_20150223 (1)'!Y623+"h_l!&amp;;6"</f>
        <v>#VALUE!</v>
      </c>
      <c r="FG100" t="e">
        <f>'SurveyRpt_20150223 (1)'!Z623+"h_l!&amp;;7"</f>
        <v>#VALUE!</v>
      </c>
      <c r="FH100" t="e">
        <f>'SurveyRpt_20150223 (1)'!AA623+"h_l!&amp;;8"</f>
        <v>#VALUE!</v>
      </c>
      <c r="FI100" t="e">
        <f>'SurveyRpt_20150223 (1)'!AB623+"h_l!&amp;;9"</f>
        <v>#VALUE!</v>
      </c>
      <c r="FJ100" t="e">
        <f>'SurveyRpt_20150223 (1)'!AC623+"h_l!&amp;;:"</f>
        <v>#VALUE!</v>
      </c>
      <c r="FK100" t="e">
        <f>'SurveyRpt_20150223 (1)'!AD623+"h_l!&amp;;;"</f>
        <v>#VALUE!</v>
      </c>
      <c r="FL100" t="e">
        <f>'SurveyRpt_20150223 (1)'!AE623+"h_l!&amp;;&lt;"</f>
        <v>#VALUE!</v>
      </c>
      <c r="FM100" t="e">
        <f>'SurveyRpt_20150223 (1)'!AF623+"h_l!&amp;;="</f>
        <v>#VALUE!</v>
      </c>
      <c r="FN100" t="e">
        <f>'SurveyRpt_20150223 (1)'!AG623+"h_l!&amp;;&gt;"</f>
        <v>#VALUE!</v>
      </c>
      <c r="FO100" t="e">
        <f>'SurveyRpt_20150223 (1)'!AH623+"h_l!&amp;;?"</f>
        <v>#VALUE!</v>
      </c>
      <c r="FP100" t="e">
        <f>'SurveyRpt_20150223 (1)'!AI623+"h_l!&amp;;@"</f>
        <v>#VALUE!</v>
      </c>
      <c r="FQ100" t="e">
        <f>'SurveyRpt_20150223 (1)'!AJ623+"h_l!&amp;;A"</f>
        <v>#VALUE!</v>
      </c>
      <c r="FR100" t="e">
        <f>'SurveyRpt_20150223 (1)'!AK623+"h_l!&amp;;B"</f>
        <v>#VALUE!</v>
      </c>
      <c r="FS100" t="e">
        <f>'SurveyRpt_20150223 (1)'!AL623+"h_l!&amp;;C"</f>
        <v>#VALUE!</v>
      </c>
      <c r="FT100" t="e">
        <f>'SurveyRpt_20150223 (1)'!AM623+"h_l!&amp;;D"</f>
        <v>#VALUE!</v>
      </c>
      <c r="FU100" t="e">
        <f>'SurveyRpt_20150223 (1)'!AN623+"h_l!&amp;;E"</f>
        <v>#VALUE!</v>
      </c>
      <c r="FV100" t="e">
        <f>'SurveyRpt_20150223 (1)'!A624+"h_l!&amp;;F"</f>
        <v>#VALUE!</v>
      </c>
      <c r="FW100" s="25" t="e">
        <f>'SurveyRpt_20150223 (1)'!B624+"h_l!&amp;;G"</f>
        <v>#VALUE!</v>
      </c>
      <c r="FX100" t="e">
        <f>'SurveyRpt_20150223 (1)'!C624+"h_l!&amp;;H"</f>
        <v>#VALUE!</v>
      </c>
      <c r="FY100" s="25" t="e">
        <f>'SurveyRpt_20150223 (1)'!D624+"h_l!&amp;;I"</f>
        <v>#VALUE!</v>
      </c>
      <c r="FZ100" t="e">
        <f>'SurveyRpt_20150223 (1)'!E624+"h_l!&amp;;J"</f>
        <v>#VALUE!</v>
      </c>
      <c r="GA100" t="e">
        <f>'SurveyRpt_20150223 (1)'!F624+"h_l!&amp;;K"</f>
        <v>#VALUE!</v>
      </c>
      <c r="GB100" t="e">
        <f>'SurveyRpt_20150223 (1)'!G624+"h_l!&amp;;L"</f>
        <v>#VALUE!</v>
      </c>
      <c r="GC100" t="e">
        <f>'SurveyRpt_20150223 (1)'!H624+"h_l!&amp;;M"</f>
        <v>#VALUE!</v>
      </c>
      <c r="GD100" t="e">
        <f>'SurveyRpt_20150223 (1)'!I624+"h_l!&amp;;N"</f>
        <v>#VALUE!</v>
      </c>
      <c r="GE100" t="e">
        <f>'SurveyRpt_20150223 (1)'!J624+"h_l!&amp;;O"</f>
        <v>#VALUE!</v>
      </c>
      <c r="GF100" t="e">
        <f>'SurveyRpt_20150223 (1)'!K624+"h_l!&amp;;P"</f>
        <v>#VALUE!</v>
      </c>
      <c r="GG100" t="e">
        <f>'SurveyRpt_20150223 (1)'!L624+"h_l!&amp;;Q"</f>
        <v>#VALUE!</v>
      </c>
      <c r="GH100" t="e">
        <f>'SurveyRpt_20150223 (1)'!M624+"h_l!&amp;;R"</f>
        <v>#VALUE!</v>
      </c>
      <c r="GI100" t="e">
        <f>'SurveyRpt_20150223 (1)'!N624+"h_l!&amp;;S"</f>
        <v>#VALUE!</v>
      </c>
      <c r="GJ100" t="e">
        <f>'SurveyRpt_20150223 (1)'!O624+"h_l!&amp;;T"</f>
        <v>#VALUE!</v>
      </c>
      <c r="GK100" t="e">
        <f>'SurveyRpt_20150223 (1)'!P624+"h_l!&amp;;U"</f>
        <v>#VALUE!</v>
      </c>
      <c r="GL100" t="e">
        <f>'SurveyRpt_20150223 (1)'!Q624+"h_l!&amp;;V"</f>
        <v>#VALUE!</v>
      </c>
      <c r="GM100" t="e">
        <f>'SurveyRpt_20150223 (1)'!R624+"h_l!&amp;;W"</f>
        <v>#VALUE!</v>
      </c>
      <c r="GN100" t="e">
        <f>'SurveyRpt_20150223 (1)'!S624+"h_l!&amp;;X"</f>
        <v>#VALUE!</v>
      </c>
      <c r="GO100" t="e">
        <f>'SurveyRpt_20150223 (1)'!T624+"h_l!&amp;;Y"</f>
        <v>#VALUE!</v>
      </c>
      <c r="GP100" t="e">
        <f>'SurveyRpt_20150223 (1)'!U624+"h_l!&amp;;Z"</f>
        <v>#VALUE!</v>
      </c>
      <c r="GQ100" t="e">
        <f>'SurveyRpt_20150223 (1)'!V624+"h_l!&amp;;["</f>
        <v>#VALUE!</v>
      </c>
      <c r="GR100" t="e">
        <f>'SurveyRpt_20150223 (1)'!W624+"h_l!&amp;;\"</f>
        <v>#VALUE!</v>
      </c>
      <c r="GS100" t="e">
        <f>'SurveyRpt_20150223 (1)'!X624+"h_l!&amp;;]"</f>
        <v>#VALUE!</v>
      </c>
      <c r="GT100" t="e">
        <f>'SurveyRpt_20150223 (1)'!Y624+"h_l!&amp;;^"</f>
        <v>#VALUE!</v>
      </c>
      <c r="GU100" t="e">
        <f>'SurveyRpt_20150223 (1)'!Z624+"h_l!&amp;;_"</f>
        <v>#VALUE!</v>
      </c>
      <c r="GV100" t="e">
        <f>'SurveyRpt_20150223 (1)'!AA624+"h_l!&amp;;`"</f>
        <v>#VALUE!</v>
      </c>
      <c r="GW100" t="e">
        <f>'SurveyRpt_20150223 (1)'!AB624+"h_l!&amp;;a"</f>
        <v>#VALUE!</v>
      </c>
      <c r="GX100" t="e">
        <f>'SurveyRpt_20150223 (1)'!AC624+"h_l!&amp;;b"</f>
        <v>#VALUE!</v>
      </c>
      <c r="GY100" t="e">
        <f>'SurveyRpt_20150223 (1)'!AD624+"h_l!&amp;;c"</f>
        <v>#VALUE!</v>
      </c>
      <c r="GZ100" t="e">
        <f>'SurveyRpt_20150223 (1)'!AE624+"h_l!&amp;;d"</f>
        <v>#VALUE!</v>
      </c>
      <c r="HA100" t="e">
        <f>'SurveyRpt_20150223 (1)'!AF624+"h_l!&amp;;e"</f>
        <v>#VALUE!</v>
      </c>
      <c r="HB100" t="e">
        <f>'SurveyRpt_20150223 (1)'!AG624+"h_l!&amp;;f"</f>
        <v>#VALUE!</v>
      </c>
      <c r="HC100" t="e">
        <f>'SurveyRpt_20150223 (1)'!AH624+"h_l!&amp;;g"</f>
        <v>#VALUE!</v>
      </c>
      <c r="HD100" t="e">
        <f>'SurveyRpt_20150223 (1)'!AI624+"h_l!&amp;;h"</f>
        <v>#VALUE!</v>
      </c>
      <c r="HE100" t="e">
        <f>'SurveyRpt_20150223 (1)'!AJ624+"h_l!&amp;;i"</f>
        <v>#VALUE!</v>
      </c>
      <c r="HF100" t="e">
        <f>'SurveyRpt_20150223 (1)'!AK624+"h_l!&amp;;j"</f>
        <v>#VALUE!</v>
      </c>
      <c r="HG100" t="e">
        <f>'SurveyRpt_20150223 (1)'!AL624+"h_l!&amp;;k"</f>
        <v>#VALUE!</v>
      </c>
      <c r="HH100" t="e">
        <f>'SurveyRpt_20150223 (1)'!AM624+"h_l!&amp;;l"</f>
        <v>#VALUE!</v>
      </c>
      <c r="HI100" t="e">
        <f>'SurveyRpt_20150223 (1)'!AN624+"h_l!&amp;;m"</f>
        <v>#VALUE!</v>
      </c>
      <c r="HJ100" t="e">
        <f>'SurveyRpt_20150223 (1)'!A625+"h_l!&amp;;n"</f>
        <v>#VALUE!</v>
      </c>
      <c r="HK100" s="25" t="e">
        <f>'SurveyRpt_20150223 (1)'!B625+"h_l!&amp;;o"</f>
        <v>#VALUE!</v>
      </c>
      <c r="HL100" t="e">
        <f>'SurveyRpt_20150223 (1)'!C625+"h_l!&amp;;p"</f>
        <v>#VALUE!</v>
      </c>
      <c r="HM100" s="25" t="e">
        <f>'SurveyRpt_20150223 (1)'!D625+"h_l!&amp;;q"</f>
        <v>#VALUE!</v>
      </c>
      <c r="HN100" t="e">
        <f>'SurveyRpt_20150223 (1)'!E625+"h_l!&amp;;r"</f>
        <v>#VALUE!</v>
      </c>
      <c r="HO100" t="e">
        <f>'SurveyRpt_20150223 (1)'!F625+"h_l!&amp;;s"</f>
        <v>#VALUE!</v>
      </c>
      <c r="HP100" t="e">
        <f>'SurveyRpt_20150223 (1)'!G625+"h_l!&amp;;t"</f>
        <v>#VALUE!</v>
      </c>
      <c r="HQ100" t="e">
        <f>'SurveyRpt_20150223 (1)'!H625+"h_l!&amp;;u"</f>
        <v>#VALUE!</v>
      </c>
      <c r="HR100" t="e">
        <f>'SurveyRpt_20150223 (1)'!I625+"h_l!&amp;;v"</f>
        <v>#VALUE!</v>
      </c>
      <c r="HS100" t="e">
        <f>'SurveyRpt_20150223 (1)'!J625+"h_l!&amp;;w"</f>
        <v>#VALUE!</v>
      </c>
      <c r="HT100" t="e">
        <f>'SurveyRpt_20150223 (1)'!K625+"h_l!&amp;;x"</f>
        <v>#VALUE!</v>
      </c>
      <c r="HU100" t="e">
        <f>'SurveyRpt_20150223 (1)'!L625+"h_l!&amp;;y"</f>
        <v>#VALUE!</v>
      </c>
      <c r="HV100" t="e">
        <f>'SurveyRpt_20150223 (1)'!M625+"h_l!&amp;;z"</f>
        <v>#VALUE!</v>
      </c>
      <c r="HW100" t="e">
        <f>'SurveyRpt_20150223 (1)'!N625+"h_l!&amp;;{"</f>
        <v>#VALUE!</v>
      </c>
      <c r="HX100" t="e">
        <f>'SurveyRpt_20150223 (1)'!O625+"h_l!&amp;;|"</f>
        <v>#VALUE!</v>
      </c>
      <c r="HY100" t="e">
        <f>'SurveyRpt_20150223 (1)'!P625+"h_l!&amp;;}"</f>
        <v>#VALUE!</v>
      </c>
      <c r="HZ100" t="e">
        <f>'SurveyRpt_20150223 (1)'!Q625+"h_l!&amp;;~"</f>
        <v>#VALUE!</v>
      </c>
      <c r="IA100" t="e">
        <f>'SurveyRpt_20150223 (1)'!R625+"h_l!&amp;&lt;#"</f>
        <v>#VALUE!</v>
      </c>
      <c r="IB100" t="e">
        <f>'SurveyRpt_20150223 (1)'!S625+"h_l!&amp;&lt;$"</f>
        <v>#VALUE!</v>
      </c>
      <c r="IC100" t="e">
        <f>'SurveyRpt_20150223 (1)'!T625+"h_l!&amp;&lt;%"</f>
        <v>#VALUE!</v>
      </c>
      <c r="ID100" t="e">
        <f>'SurveyRpt_20150223 (1)'!U625+"h_l!&amp;&lt;&amp;"</f>
        <v>#VALUE!</v>
      </c>
      <c r="IE100" t="e">
        <f>'SurveyRpt_20150223 (1)'!V625+"h_l!&amp;&lt;'"</f>
        <v>#VALUE!</v>
      </c>
      <c r="IF100" t="e">
        <f>'SurveyRpt_20150223 (1)'!W625+"h_l!&amp;&lt;("</f>
        <v>#VALUE!</v>
      </c>
      <c r="IG100" t="e">
        <f>'SurveyRpt_20150223 (1)'!X625+"h_l!&amp;&lt;)"</f>
        <v>#VALUE!</v>
      </c>
      <c r="IH100" t="e">
        <f>'SurveyRpt_20150223 (1)'!Y625+"h_l!&amp;&lt;."</f>
        <v>#VALUE!</v>
      </c>
      <c r="II100" t="e">
        <f>'SurveyRpt_20150223 (1)'!Z625+"h_l!&amp;&lt;/"</f>
        <v>#VALUE!</v>
      </c>
      <c r="IJ100" t="e">
        <f>'SurveyRpt_20150223 (1)'!AA625+"h_l!&amp;&lt;0"</f>
        <v>#VALUE!</v>
      </c>
      <c r="IK100" t="e">
        <f>'SurveyRpt_20150223 (1)'!AB625+"h_l!&amp;&lt;1"</f>
        <v>#VALUE!</v>
      </c>
      <c r="IL100" t="e">
        <f>'SurveyRpt_20150223 (1)'!AC625+"h_l!&amp;&lt;2"</f>
        <v>#VALUE!</v>
      </c>
      <c r="IM100" t="e">
        <f>'SurveyRpt_20150223 (1)'!AD625+"h_l!&amp;&lt;3"</f>
        <v>#VALUE!</v>
      </c>
      <c r="IN100" t="e">
        <f>'SurveyRpt_20150223 (1)'!AE625+"h_l!&amp;&lt;4"</f>
        <v>#VALUE!</v>
      </c>
      <c r="IO100" t="e">
        <f>'SurveyRpt_20150223 (1)'!AF625+"h_l!&amp;&lt;5"</f>
        <v>#VALUE!</v>
      </c>
      <c r="IP100" t="e">
        <f>'SurveyRpt_20150223 (1)'!AG625+"h_l!&amp;&lt;6"</f>
        <v>#VALUE!</v>
      </c>
      <c r="IQ100" t="e">
        <f>'SurveyRpt_20150223 (1)'!AH625+"h_l!&amp;&lt;7"</f>
        <v>#VALUE!</v>
      </c>
      <c r="IR100" t="e">
        <f>'SurveyRpt_20150223 (1)'!AI625+"h_l!&amp;&lt;8"</f>
        <v>#VALUE!</v>
      </c>
      <c r="IS100" t="e">
        <f>'SurveyRpt_20150223 (1)'!AJ625+"h_l!&amp;&lt;9"</f>
        <v>#VALUE!</v>
      </c>
      <c r="IT100" t="e">
        <f>'SurveyRpt_20150223 (1)'!AK625+"h_l!&amp;&lt;:"</f>
        <v>#VALUE!</v>
      </c>
      <c r="IU100" t="e">
        <f>'SurveyRpt_20150223 (1)'!AL625+"h_l!&amp;&lt;;"</f>
        <v>#VALUE!</v>
      </c>
      <c r="IV100" t="e">
        <f>'SurveyRpt_20150223 (1)'!AM625+"h_l!&amp;&lt;&lt;"</f>
        <v>#VALUE!</v>
      </c>
    </row>
    <row r="101" spans="6:256" x14ac:dyDescent="0.25">
      <c r="F101" t="e">
        <f>'SurveyRpt_20150223 (1)'!AN625+"h_l!&amp;&lt;="</f>
        <v>#VALUE!</v>
      </c>
      <c r="G101" t="e">
        <f>'SurveyRpt_20150223 (1)'!A626+"h_l!&amp;&lt;&gt;"</f>
        <v>#VALUE!</v>
      </c>
      <c r="H101" s="25" t="e">
        <f>'SurveyRpt_20150223 (1)'!B626+"h_l!&amp;&lt;?"</f>
        <v>#VALUE!</v>
      </c>
      <c r="I101" t="e">
        <f>'SurveyRpt_20150223 (1)'!C626+"h_l!&amp;&lt;@"</f>
        <v>#VALUE!</v>
      </c>
      <c r="J101" s="25" t="e">
        <f>'SurveyRpt_20150223 (1)'!D626+"h_l!&amp;&lt;A"</f>
        <v>#VALUE!</v>
      </c>
      <c r="K101" t="e">
        <f>'SurveyRpt_20150223 (1)'!E626+"h_l!&amp;&lt;B"</f>
        <v>#VALUE!</v>
      </c>
      <c r="L101" t="e">
        <f>'SurveyRpt_20150223 (1)'!F626+"h_l!&amp;&lt;C"</f>
        <v>#VALUE!</v>
      </c>
      <c r="M101" t="e">
        <f>'SurveyRpt_20150223 (1)'!G626+"h_l!&amp;&lt;D"</f>
        <v>#VALUE!</v>
      </c>
      <c r="N101" t="e">
        <f>'SurveyRpt_20150223 (1)'!H626+"h_l!&amp;&lt;E"</f>
        <v>#VALUE!</v>
      </c>
      <c r="O101" t="e">
        <f>'SurveyRpt_20150223 (1)'!I626+"h_l!&amp;&lt;F"</f>
        <v>#VALUE!</v>
      </c>
      <c r="P101" t="e">
        <f>'SurveyRpt_20150223 (1)'!J626+"h_l!&amp;&lt;G"</f>
        <v>#VALUE!</v>
      </c>
      <c r="Q101" t="e">
        <f>'SurveyRpt_20150223 (1)'!K626+"h_l!&amp;&lt;H"</f>
        <v>#VALUE!</v>
      </c>
      <c r="R101" t="e">
        <f>'SurveyRpt_20150223 (1)'!L626+"h_l!&amp;&lt;I"</f>
        <v>#VALUE!</v>
      </c>
      <c r="S101" t="e">
        <f>'SurveyRpt_20150223 (1)'!M626+"h_l!&amp;&lt;J"</f>
        <v>#VALUE!</v>
      </c>
      <c r="T101" t="e">
        <f>'SurveyRpt_20150223 (1)'!N626+"h_l!&amp;&lt;K"</f>
        <v>#VALUE!</v>
      </c>
      <c r="U101" t="e">
        <f>'SurveyRpt_20150223 (1)'!O626+"h_l!&amp;&lt;L"</f>
        <v>#VALUE!</v>
      </c>
      <c r="V101" t="e">
        <f>'SurveyRpt_20150223 (1)'!P626+"h_l!&amp;&lt;M"</f>
        <v>#VALUE!</v>
      </c>
      <c r="W101" t="e">
        <f>'SurveyRpt_20150223 (1)'!Q626+"h_l!&amp;&lt;N"</f>
        <v>#VALUE!</v>
      </c>
      <c r="X101" t="e">
        <f>'SurveyRpt_20150223 (1)'!R626+"h_l!&amp;&lt;O"</f>
        <v>#VALUE!</v>
      </c>
      <c r="Y101" t="e">
        <f>'SurveyRpt_20150223 (1)'!S626+"h_l!&amp;&lt;P"</f>
        <v>#VALUE!</v>
      </c>
      <c r="Z101" t="e">
        <f>'SurveyRpt_20150223 (1)'!T626+"h_l!&amp;&lt;Q"</f>
        <v>#VALUE!</v>
      </c>
      <c r="AA101" t="e">
        <f>'SurveyRpt_20150223 (1)'!U626+"h_l!&amp;&lt;R"</f>
        <v>#VALUE!</v>
      </c>
      <c r="AB101" t="e">
        <f>'SurveyRpt_20150223 (1)'!V626+"h_l!&amp;&lt;S"</f>
        <v>#VALUE!</v>
      </c>
      <c r="AC101" t="e">
        <f>'SurveyRpt_20150223 (1)'!W626+"h_l!&amp;&lt;T"</f>
        <v>#VALUE!</v>
      </c>
      <c r="AD101" t="e">
        <f>'SurveyRpt_20150223 (1)'!X626+"h_l!&amp;&lt;U"</f>
        <v>#VALUE!</v>
      </c>
      <c r="AE101" t="e">
        <f>'SurveyRpt_20150223 (1)'!Y626+"h_l!&amp;&lt;V"</f>
        <v>#VALUE!</v>
      </c>
      <c r="AF101" t="e">
        <f>'SurveyRpt_20150223 (1)'!Z626+"h_l!&amp;&lt;W"</f>
        <v>#VALUE!</v>
      </c>
      <c r="AG101" t="e">
        <f>'SurveyRpt_20150223 (1)'!AA626+"h_l!&amp;&lt;X"</f>
        <v>#VALUE!</v>
      </c>
      <c r="AH101" t="e">
        <f>'SurveyRpt_20150223 (1)'!AB626+"h_l!&amp;&lt;Y"</f>
        <v>#VALUE!</v>
      </c>
      <c r="AI101" t="e">
        <f>'SurveyRpt_20150223 (1)'!AC626+"h_l!&amp;&lt;Z"</f>
        <v>#VALUE!</v>
      </c>
      <c r="AJ101" t="e">
        <f>'SurveyRpt_20150223 (1)'!AD626+"h_l!&amp;&lt;["</f>
        <v>#VALUE!</v>
      </c>
      <c r="AK101" t="e">
        <f>'SurveyRpt_20150223 (1)'!AE626+"h_l!&amp;&lt;\"</f>
        <v>#VALUE!</v>
      </c>
      <c r="AL101" t="e">
        <f>'SurveyRpt_20150223 (1)'!AF626+"h_l!&amp;&lt;]"</f>
        <v>#VALUE!</v>
      </c>
      <c r="AM101" t="e">
        <f>'SurveyRpt_20150223 (1)'!AG626+"h_l!&amp;&lt;^"</f>
        <v>#VALUE!</v>
      </c>
      <c r="AN101" t="e">
        <f>'SurveyRpt_20150223 (1)'!AH626+"h_l!&amp;&lt;_"</f>
        <v>#VALUE!</v>
      </c>
      <c r="AO101" t="e">
        <f>'SurveyRpt_20150223 (1)'!AI626+"h_l!&amp;&lt;`"</f>
        <v>#VALUE!</v>
      </c>
      <c r="AP101" t="e">
        <f>'SurveyRpt_20150223 (1)'!AJ626+"h_l!&amp;&lt;a"</f>
        <v>#VALUE!</v>
      </c>
      <c r="AQ101" t="e">
        <f>'SurveyRpt_20150223 (1)'!AK626+"h_l!&amp;&lt;b"</f>
        <v>#VALUE!</v>
      </c>
      <c r="AR101" t="e">
        <f>'SurveyRpt_20150223 (1)'!AL626+"h_l!&amp;&lt;c"</f>
        <v>#VALUE!</v>
      </c>
      <c r="AS101" t="e">
        <f>'SurveyRpt_20150223 (1)'!AM626+"h_l!&amp;&lt;d"</f>
        <v>#VALUE!</v>
      </c>
      <c r="AT101" t="e">
        <f>'SurveyRpt_20150223 (1)'!AN626+"h_l!&amp;&lt;e"</f>
        <v>#VALUE!</v>
      </c>
      <c r="AU101" t="e">
        <f>'SurveyRpt_20150223 (1)'!A627+"h_l!&amp;&lt;f"</f>
        <v>#VALUE!</v>
      </c>
      <c r="AV101" s="25" t="e">
        <f>'SurveyRpt_20150223 (1)'!B627+"h_l!&amp;&lt;g"</f>
        <v>#VALUE!</v>
      </c>
      <c r="AW101" t="e">
        <f>'SurveyRpt_20150223 (1)'!C627+"h_l!&amp;&lt;h"</f>
        <v>#VALUE!</v>
      </c>
      <c r="AX101" s="25" t="e">
        <f>'SurveyRpt_20150223 (1)'!D627+"h_l!&amp;&lt;i"</f>
        <v>#VALUE!</v>
      </c>
      <c r="AY101" t="e">
        <f>'SurveyRpt_20150223 (1)'!E627+"h_l!&amp;&lt;j"</f>
        <v>#VALUE!</v>
      </c>
      <c r="AZ101" t="e">
        <f>'SurveyRpt_20150223 (1)'!F627+"h_l!&amp;&lt;k"</f>
        <v>#VALUE!</v>
      </c>
      <c r="BA101" t="e">
        <f>'SurveyRpt_20150223 (1)'!G627+"h_l!&amp;&lt;l"</f>
        <v>#VALUE!</v>
      </c>
      <c r="BB101" t="e">
        <f>'SurveyRpt_20150223 (1)'!H627+"h_l!&amp;&lt;m"</f>
        <v>#VALUE!</v>
      </c>
      <c r="BC101" t="e">
        <f>'SurveyRpt_20150223 (1)'!I627+"h_l!&amp;&lt;n"</f>
        <v>#VALUE!</v>
      </c>
      <c r="BD101" t="e">
        <f>'SurveyRpt_20150223 (1)'!J627+"h_l!&amp;&lt;o"</f>
        <v>#VALUE!</v>
      </c>
      <c r="BE101" t="e">
        <f>'SurveyRpt_20150223 (1)'!K627+"h_l!&amp;&lt;p"</f>
        <v>#VALUE!</v>
      </c>
      <c r="BF101" t="e">
        <f>'SurveyRpt_20150223 (1)'!L627+"h_l!&amp;&lt;q"</f>
        <v>#VALUE!</v>
      </c>
      <c r="BG101" t="e">
        <f>'SurveyRpt_20150223 (1)'!M627+"h_l!&amp;&lt;r"</f>
        <v>#VALUE!</v>
      </c>
      <c r="BH101" t="e">
        <f>'SurveyRpt_20150223 (1)'!N627+"h_l!&amp;&lt;s"</f>
        <v>#VALUE!</v>
      </c>
      <c r="BI101" t="e">
        <f>'SurveyRpt_20150223 (1)'!O627+"h_l!&amp;&lt;t"</f>
        <v>#VALUE!</v>
      </c>
      <c r="BJ101" t="e">
        <f>'SurveyRpt_20150223 (1)'!P627+"h_l!&amp;&lt;u"</f>
        <v>#VALUE!</v>
      </c>
      <c r="BK101" t="e">
        <f>'SurveyRpt_20150223 (1)'!Q627+"h_l!&amp;&lt;v"</f>
        <v>#VALUE!</v>
      </c>
      <c r="BL101" t="e">
        <f>'SurveyRpt_20150223 (1)'!R627+"h_l!&amp;&lt;w"</f>
        <v>#VALUE!</v>
      </c>
      <c r="BM101" t="e">
        <f>'SurveyRpt_20150223 (1)'!S627+"h_l!&amp;&lt;x"</f>
        <v>#VALUE!</v>
      </c>
      <c r="BN101" t="e">
        <f>'SurveyRpt_20150223 (1)'!T627+"h_l!&amp;&lt;y"</f>
        <v>#VALUE!</v>
      </c>
      <c r="BO101" t="e">
        <f>'SurveyRpt_20150223 (1)'!U627+"h_l!&amp;&lt;z"</f>
        <v>#VALUE!</v>
      </c>
      <c r="BP101" t="e">
        <f>'SurveyRpt_20150223 (1)'!V627+"h_l!&amp;&lt;{"</f>
        <v>#VALUE!</v>
      </c>
      <c r="BQ101" t="e">
        <f>'SurveyRpt_20150223 (1)'!W627+"h_l!&amp;&lt;|"</f>
        <v>#VALUE!</v>
      </c>
      <c r="BR101" t="e">
        <f>'SurveyRpt_20150223 (1)'!X627+"h_l!&amp;&lt;}"</f>
        <v>#VALUE!</v>
      </c>
      <c r="BS101" t="e">
        <f>'SurveyRpt_20150223 (1)'!Y627+"h_l!&amp;&lt;~"</f>
        <v>#VALUE!</v>
      </c>
      <c r="BT101" t="e">
        <f>'SurveyRpt_20150223 (1)'!Z627+"h_l!&amp;=#"</f>
        <v>#VALUE!</v>
      </c>
      <c r="BU101" t="e">
        <f>'SurveyRpt_20150223 (1)'!AA627+"h_l!&amp;=$"</f>
        <v>#VALUE!</v>
      </c>
      <c r="BV101" t="e">
        <f>'SurveyRpt_20150223 (1)'!AB627+"h_l!&amp;=%"</f>
        <v>#VALUE!</v>
      </c>
      <c r="BW101" t="e">
        <f>'SurveyRpt_20150223 (1)'!AC627+"h_l!&amp;=&amp;"</f>
        <v>#VALUE!</v>
      </c>
      <c r="BX101" t="e">
        <f>'SurveyRpt_20150223 (1)'!AD627+"h_l!&amp;='"</f>
        <v>#VALUE!</v>
      </c>
      <c r="BY101" t="e">
        <f>'SurveyRpt_20150223 (1)'!AE627+"h_l!&amp;=("</f>
        <v>#VALUE!</v>
      </c>
      <c r="BZ101" t="e">
        <f>'SurveyRpt_20150223 (1)'!AF627+"h_l!&amp;=)"</f>
        <v>#VALUE!</v>
      </c>
      <c r="CA101" t="e">
        <f>'SurveyRpt_20150223 (1)'!AG627+"h_l!&amp;=."</f>
        <v>#VALUE!</v>
      </c>
      <c r="CB101" t="e">
        <f>'SurveyRpt_20150223 (1)'!AH627+"h_l!&amp;=/"</f>
        <v>#VALUE!</v>
      </c>
      <c r="CC101" t="e">
        <f>'SurveyRpt_20150223 (1)'!AI627+"h_l!&amp;=0"</f>
        <v>#VALUE!</v>
      </c>
      <c r="CD101" t="e">
        <f>'SurveyRpt_20150223 (1)'!AJ627+"h_l!&amp;=1"</f>
        <v>#VALUE!</v>
      </c>
      <c r="CE101" t="e">
        <f>'SurveyRpt_20150223 (1)'!AK627+"h_l!&amp;=2"</f>
        <v>#VALUE!</v>
      </c>
      <c r="CF101" t="e">
        <f>'SurveyRpt_20150223 (1)'!AL627+"h_l!&amp;=3"</f>
        <v>#VALUE!</v>
      </c>
      <c r="CG101" t="e">
        <f>'SurveyRpt_20150223 (1)'!AM627+"h_l!&amp;=4"</f>
        <v>#VALUE!</v>
      </c>
      <c r="CH101" t="e">
        <f>'SurveyRpt_20150223 (1)'!AN627+"h_l!&amp;=5"</f>
        <v>#VALUE!</v>
      </c>
      <c r="CI101" t="e">
        <f>'SurveyRpt_20150223 (1)'!A628+"h_l!&amp;=6"</f>
        <v>#VALUE!</v>
      </c>
      <c r="CJ101" s="25" t="e">
        <f>'SurveyRpt_20150223 (1)'!B628+"h_l!&amp;=7"</f>
        <v>#VALUE!</v>
      </c>
      <c r="CK101" t="e">
        <f>'SurveyRpt_20150223 (1)'!C628+"h_l!&amp;=8"</f>
        <v>#VALUE!</v>
      </c>
      <c r="CL101" s="25" t="e">
        <f>'SurveyRpt_20150223 (1)'!D628+"h_l!&amp;=9"</f>
        <v>#VALUE!</v>
      </c>
      <c r="CM101" t="e">
        <f>'SurveyRpt_20150223 (1)'!E628+"h_l!&amp;=:"</f>
        <v>#VALUE!</v>
      </c>
      <c r="CN101" t="e">
        <f>'SurveyRpt_20150223 (1)'!F628+"h_l!&amp;=;"</f>
        <v>#VALUE!</v>
      </c>
      <c r="CO101" t="e">
        <f>'SurveyRpt_20150223 (1)'!G628+"h_l!&amp;=&lt;"</f>
        <v>#VALUE!</v>
      </c>
      <c r="CP101" t="e">
        <f>'SurveyRpt_20150223 (1)'!H628+"h_l!&amp;=="</f>
        <v>#VALUE!</v>
      </c>
      <c r="CQ101" t="e">
        <f>'SurveyRpt_20150223 (1)'!I628+"h_l!&amp;=&gt;"</f>
        <v>#VALUE!</v>
      </c>
      <c r="CR101" t="e">
        <f>'SurveyRpt_20150223 (1)'!J628+"h_l!&amp;=?"</f>
        <v>#VALUE!</v>
      </c>
      <c r="CS101" t="e">
        <f>'SurveyRpt_20150223 (1)'!K628+"h_l!&amp;=@"</f>
        <v>#VALUE!</v>
      </c>
      <c r="CT101" t="e">
        <f>'SurveyRpt_20150223 (1)'!L628+"h_l!&amp;=A"</f>
        <v>#VALUE!</v>
      </c>
      <c r="CU101" t="e">
        <f>'SurveyRpt_20150223 (1)'!M628+"h_l!&amp;=B"</f>
        <v>#VALUE!</v>
      </c>
      <c r="CV101" t="e">
        <f>'SurveyRpt_20150223 (1)'!N628+"h_l!&amp;=C"</f>
        <v>#VALUE!</v>
      </c>
      <c r="CW101" t="e">
        <f>'SurveyRpt_20150223 (1)'!O628+"h_l!&amp;=D"</f>
        <v>#VALUE!</v>
      </c>
      <c r="CX101" t="e">
        <f>'SurveyRpt_20150223 (1)'!P628+"h_l!&amp;=E"</f>
        <v>#VALUE!</v>
      </c>
      <c r="CY101" t="e">
        <f>'SurveyRpt_20150223 (1)'!Q628+"h_l!&amp;=F"</f>
        <v>#VALUE!</v>
      </c>
      <c r="CZ101" t="e">
        <f>'SurveyRpt_20150223 (1)'!R628+"h_l!&amp;=G"</f>
        <v>#VALUE!</v>
      </c>
      <c r="DA101" t="e">
        <f>'SurveyRpt_20150223 (1)'!S628+"h_l!&amp;=H"</f>
        <v>#VALUE!</v>
      </c>
      <c r="DB101" t="e">
        <f>'SurveyRpt_20150223 (1)'!T628+"h_l!&amp;=I"</f>
        <v>#VALUE!</v>
      </c>
      <c r="DC101" t="e">
        <f>'SurveyRpt_20150223 (1)'!U628+"h_l!&amp;=J"</f>
        <v>#VALUE!</v>
      </c>
      <c r="DD101" t="e">
        <f>'SurveyRpt_20150223 (1)'!V628+"h_l!&amp;=K"</f>
        <v>#VALUE!</v>
      </c>
      <c r="DE101" t="e">
        <f>'SurveyRpt_20150223 (1)'!W628+"h_l!&amp;=L"</f>
        <v>#VALUE!</v>
      </c>
      <c r="DF101" t="e">
        <f>'SurveyRpt_20150223 (1)'!X628+"h_l!&amp;=M"</f>
        <v>#VALUE!</v>
      </c>
      <c r="DG101" t="e">
        <f>'SurveyRpt_20150223 (1)'!Y628+"h_l!&amp;=N"</f>
        <v>#VALUE!</v>
      </c>
      <c r="DH101" t="e">
        <f>'SurveyRpt_20150223 (1)'!Z628+"h_l!&amp;=O"</f>
        <v>#VALUE!</v>
      </c>
      <c r="DI101" t="e">
        <f>'SurveyRpt_20150223 (1)'!AA628+"h_l!&amp;=P"</f>
        <v>#VALUE!</v>
      </c>
      <c r="DJ101" t="e">
        <f>'SurveyRpt_20150223 (1)'!AB628+"h_l!&amp;=Q"</f>
        <v>#VALUE!</v>
      </c>
      <c r="DK101" t="e">
        <f>'SurveyRpt_20150223 (1)'!AC628+"h_l!&amp;=R"</f>
        <v>#VALUE!</v>
      </c>
      <c r="DL101" t="e">
        <f>'SurveyRpt_20150223 (1)'!AD628+"h_l!&amp;=S"</f>
        <v>#VALUE!</v>
      </c>
      <c r="DM101" t="e">
        <f>'SurveyRpt_20150223 (1)'!AE628+"h_l!&amp;=T"</f>
        <v>#VALUE!</v>
      </c>
      <c r="DN101" t="e">
        <f>'SurveyRpt_20150223 (1)'!AF628+"h_l!&amp;=U"</f>
        <v>#VALUE!</v>
      </c>
      <c r="DO101" t="e">
        <f>'SurveyRpt_20150223 (1)'!AG628+"h_l!&amp;=V"</f>
        <v>#VALUE!</v>
      </c>
      <c r="DP101" t="e">
        <f>'SurveyRpt_20150223 (1)'!AH628+"h_l!&amp;=W"</f>
        <v>#VALUE!</v>
      </c>
      <c r="DQ101" t="e">
        <f>'SurveyRpt_20150223 (1)'!AI628+"h_l!&amp;=X"</f>
        <v>#VALUE!</v>
      </c>
      <c r="DR101" t="e">
        <f>'SurveyRpt_20150223 (1)'!AJ628+"h_l!&amp;=Y"</f>
        <v>#VALUE!</v>
      </c>
      <c r="DS101" t="e">
        <f>'SurveyRpt_20150223 (1)'!AK628+"h_l!&amp;=Z"</f>
        <v>#VALUE!</v>
      </c>
      <c r="DT101" t="e">
        <f>'SurveyRpt_20150223 (1)'!AL628+"h_l!&amp;=["</f>
        <v>#VALUE!</v>
      </c>
      <c r="DU101" t="e">
        <f>'SurveyRpt_20150223 (1)'!AM628+"h_l!&amp;=\"</f>
        <v>#VALUE!</v>
      </c>
      <c r="DV101" t="e">
        <f>'SurveyRpt_20150223 (1)'!AN628+"h_l!&amp;=]"</f>
        <v>#VALUE!</v>
      </c>
      <c r="DW101" t="e">
        <f>'SurveyRpt_20150223 (1)'!A629+"h_l!&amp;=^"</f>
        <v>#VALUE!</v>
      </c>
      <c r="DX101" s="25" t="e">
        <f>'SurveyRpt_20150223 (1)'!B629+"h_l!&amp;=_"</f>
        <v>#VALUE!</v>
      </c>
      <c r="DY101" t="e">
        <f>'SurveyRpt_20150223 (1)'!C629+"h_l!&amp;=`"</f>
        <v>#VALUE!</v>
      </c>
      <c r="DZ101" s="25" t="e">
        <f>'SurveyRpt_20150223 (1)'!D629+"h_l!&amp;=a"</f>
        <v>#VALUE!</v>
      </c>
      <c r="EA101" t="e">
        <f>'SurveyRpt_20150223 (1)'!E629+"h_l!&amp;=b"</f>
        <v>#VALUE!</v>
      </c>
      <c r="EB101" t="e">
        <f>'SurveyRpt_20150223 (1)'!F629+"h_l!&amp;=c"</f>
        <v>#VALUE!</v>
      </c>
      <c r="EC101" t="e">
        <f>'SurveyRpt_20150223 (1)'!G629+"h_l!&amp;=d"</f>
        <v>#VALUE!</v>
      </c>
      <c r="ED101" t="e">
        <f>'SurveyRpt_20150223 (1)'!H629+"h_l!&amp;=e"</f>
        <v>#VALUE!</v>
      </c>
      <c r="EE101" t="e">
        <f>'SurveyRpt_20150223 (1)'!I629+"h_l!&amp;=f"</f>
        <v>#VALUE!</v>
      </c>
      <c r="EF101" t="e">
        <f>'SurveyRpt_20150223 (1)'!J629+"h_l!&amp;=g"</f>
        <v>#VALUE!</v>
      </c>
      <c r="EG101" t="e">
        <f>'SurveyRpt_20150223 (1)'!K629+"h_l!&amp;=h"</f>
        <v>#VALUE!</v>
      </c>
      <c r="EH101" t="e">
        <f>'SurveyRpt_20150223 (1)'!L629+"h_l!&amp;=i"</f>
        <v>#VALUE!</v>
      </c>
      <c r="EI101" t="e">
        <f>'SurveyRpt_20150223 (1)'!M629+"h_l!&amp;=j"</f>
        <v>#VALUE!</v>
      </c>
      <c r="EJ101" t="e">
        <f>'SurveyRpt_20150223 (1)'!N629+"h_l!&amp;=k"</f>
        <v>#VALUE!</v>
      </c>
      <c r="EK101" t="e">
        <f>'SurveyRpt_20150223 (1)'!O629+"h_l!&amp;=l"</f>
        <v>#VALUE!</v>
      </c>
      <c r="EL101" t="e">
        <f>'SurveyRpt_20150223 (1)'!P629+"h_l!&amp;=m"</f>
        <v>#VALUE!</v>
      </c>
      <c r="EM101" t="e">
        <f>'SurveyRpt_20150223 (1)'!Q629+"h_l!&amp;=n"</f>
        <v>#VALUE!</v>
      </c>
      <c r="EN101" t="e">
        <f>'SurveyRpt_20150223 (1)'!R629+"h_l!&amp;=o"</f>
        <v>#VALUE!</v>
      </c>
      <c r="EO101" t="e">
        <f>'SurveyRpt_20150223 (1)'!S629+"h_l!&amp;=p"</f>
        <v>#VALUE!</v>
      </c>
      <c r="EP101" t="e">
        <f>'SurveyRpt_20150223 (1)'!T629+"h_l!&amp;=q"</f>
        <v>#VALUE!</v>
      </c>
      <c r="EQ101" t="e">
        <f>'SurveyRpt_20150223 (1)'!U629+"h_l!&amp;=r"</f>
        <v>#VALUE!</v>
      </c>
      <c r="ER101" t="e">
        <f>'SurveyRpt_20150223 (1)'!V629+"h_l!&amp;=s"</f>
        <v>#VALUE!</v>
      </c>
      <c r="ES101" t="e">
        <f>'SurveyRpt_20150223 (1)'!W629+"h_l!&amp;=t"</f>
        <v>#VALUE!</v>
      </c>
      <c r="ET101" t="e">
        <f>'SurveyRpt_20150223 (1)'!X629+"h_l!&amp;=u"</f>
        <v>#VALUE!</v>
      </c>
      <c r="EU101" t="e">
        <f>'SurveyRpt_20150223 (1)'!Y629+"h_l!&amp;=v"</f>
        <v>#VALUE!</v>
      </c>
      <c r="EV101" t="e">
        <f>'SurveyRpt_20150223 (1)'!Z629+"h_l!&amp;=w"</f>
        <v>#VALUE!</v>
      </c>
      <c r="EW101" t="e">
        <f>'SurveyRpt_20150223 (1)'!AA629+"h_l!&amp;=x"</f>
        <v>#VALUE!</v>
      </c>
      <c r="EX101" t="e">
        <f>'SurveyRpt_20150223 (1)'!AB629+"h_l!&amp;=y"</f>
        <v>#VALUE!</v>
      </c>
      <c r="EY101" t="e">
        <f>'SurveyRpt_20150223 (1)'!AC629+"h_l!&amp;=z"</f>
        <v>#VALUE!</v>
      </c>
      <c r="EZ101" t="e">
        <f>'SurveyRpt_20150223 (1)'!AD629+"h_l!&amp;={"</f>
        <v>#VALUE!</v>
      </c>
      <c r="FA101" t="e">
        <f>'SurveyRpt_20150223 (1)'!AE629+"h_l!&amp;=|"</f>
        <v>#VALUE!</v>
      </c>
      <c r="FB101" t="e">
        <f>'SurveyRpt_20150223 (1)'!AF629+"h_l!&amp;=}"</f>
        <v>#VALUE!</v>
      </c>
      <c r="FC101" t="e">
        <f>'SurveyRpt_20150223 (1)'!AG629+"h_l!&amp;=~"</f>
        <v>#VALUE!</v>
      </c>
      <c r="FD101" t="e">
        <f>'SurveyRpt_20150223 (1)'!AH629+"h_l!&amp;&gt;#"</f>
        <v>#VALUE!</v>
      </c>
      <c r="FE101" t="e">
        <f>'SurveyRpt_20150223 (1)'!AI629+"h_l!&amp;&gt;$"</f>
        <v>#VALUE!</v>
      </c>
      <c r="FF101" t="e">
        <f>'SurveyRpt_20150223 (1)'!AJ629+"h_l!&amp;&gt;%"</f>
        <v>#VALUE!</v>
      </c>
      <c r="FG101" t="e">
        <f>'SurveyRpt_20150223 (1)'!AK629+"h_l!&amp;&gt;&amp;"</f>
        <v>#VALUE!</v>
      </c>
      <c r="FH101" t="e">
        <f>'SurveyRpt_20150223 (1)'!AL629+"h_l!&amp;&gt;'"</f>
        <v>#VALUE!</v>
      </c>
      <c r="FI101" t="e">
        <f>'SurveyRpt_20150223 (1)'!AM629+"h_l!&amp;&gt;("</f>
        <v>#VALUE!</v>
      </c>
      <c r="FJ101" t="e">
        <f>'SurveyRpt_20150223 (1)'!AN629+"h_l!&amp;&gt;)"</f>
        <v>#VALUE!</v>
      </c>
      <c r="FK101" t="e">
        <f>'SurveyRpt_20150223 (1)'!A630+"h_l!&amp;&gt;."</f>
        <v>#VALUE!</v>
      </c>
      <c r="FL101" s="25" t="e">
        <f>'SurveyRpt_20150223 (1)'!B630+"h_l!&amp;&gt;/"</f>
        <v>#VALUE!</v>
      </c>
      <c r="FM101" t="e">
        <f>'SurveyRpt_20150223 (1)'!C630+"h_l!&amp;&gt;0"</f>
        <v>#VALUE!</v>
      </c>
      <c r="FN101" s="25" t="e">
        <f>'SurveyRpt_20150223 (1)'!D630+"h_l!&amp;&gt;1"</f>
        <v>#VALUE!</v>
      </c>
      <c r="FO101" t="e">
        <f>'SurveyRpt_20150223 (1)'!E630+"h_l!&amp;&gt;2"</f>
        <v>#VALUE!</v>
      </c>
      <c r="FP101" t="e">
        <f>'SurveyRpt_20150223 (1)'!F630+"h_l!&amp;&gt;3"</f>
        <v>#VALUE!</v>
      </c>
      <c r="FQ101" t="e">
        <f>'SurveyRpt_20150223 (1)'!G630+"h_l!&amp;&gt;4"</f>
        <v>#VALUE!</v>
      </c>
      <c r="FR101" t="e">
        <f>'SurveyRpt_20150223 (1)'!H630+"h_l!&amp;&gt;5"</f>
        <v>#VALUE!</v>
      </c>
      <c r="FS101" t="e">
        <f>'SurveyRpt_20150223 (1)'!I630+"h_l!&amp;&gt;6"</f>
        <v>#VALUE!</v>
      </c>
      <c r="FT101" t="e">
        <f>'SurveyRpt_20150223 (1)'!J630+"h_l!&amp;&gt;7"</f>
        <v>#VALUE!</v>
      </c>
      <c r="FU101" t="e">
        <f>'SurveyRpt_20150223 (1)'!K630+"h_l!&amp;&gt;8"</f>
        <v>#VALUE!</v>
      </c>
      <c r="FV101" t="e">
        <f>'SurveyRpt_20150223 (1)'!L630+"h_l!&amp;&gt;9"</f>
        <v>#VALUE!</v>
      </c>
      <c r="FW101" t="e">
        <f>'SurveyRpt_20150223 (1)'!M630+"h_l!&amp;&gt;:"</f>
        <v>#VALUE!</v>
      </c>
      <c r="FX101" t="e">
        <f>'SurveyRpt_20150223 (1)'!N630+"h_l!&amp;&gt;;"</f>
        <v>#VALUE!</v>
      </c>
      <c r="FY101" t="e">
        <f>'SurveyRpt_20150223 (1)'!O630+"h_l!&amp;&gt;&lt;"</f>
        <v>#VALUE!</v>
      </c>
      <c r="FZ101" t="e">
        <f>'SurveyRpt_20150223 (1)'!P630+"h_l!&amp;&gt;="</f>
        <v>#VALUE!</v>
      </c>
      <c r="GA101" t="e">
        <f>'SurveyRpt_20150223 (1)'!Q630+"h_l!&amp;&gt;&gt;"</f>
        <v>#VALUE!</v>
      </c>
      <c r="GB101" t="e">
        <f>'SurveyRpt_20150223 (1)'!R630+"h_l!&amp;&gt;?"</f>
        <v>#VALUE!</v>
      </c>
      <c r="GC101" t="e">
        <f>'SurveyRpt_20150223 (1)'!S630+"h_l!&amp;&gt;@"</f>
        <v>#VALUE!</v>
      </c>
      <c r="GD101" t="e">
        <f>'SurveyRpt_20150223 (1)'!T630+"h_l!&amp;&gt;A"</f>
        <v>#VALUE!</v>
      </c>
      <c r="GE101" t="e">
        <f>'SurveyRpt_20150223 (1)'!U630+"h_l!&amp;&gt;B"</f>
        <v>#VALUE!</v>
      </c>
      <c r="GF101" t="e">
        <f>'SurveyRpt_20150223 (1)'!V630+"h_l!&amp;&gt;C"</f>
        <v>#VALUE!</v>
      </c>
      <c r="GG101" t="e">
        <f>'SurveyRpt_20150223 (1)'!W630+"h_l!&amp;&gt;D"</f>
        <v>#VALUE!</v>
      </c>
      <c r="GH101" t="e">
        <f>'SurveyRpt_20150223 (1)'!X630+"h_l!&amp;&gt;E"</f>
        <v>#VALUE!</v>
      </c>
      <c r="GI101" t="e">
        <f>'SurveyRpt_20150223 (1)'!Y630+"h_l!&amp;&gt;F"</f>
        <v>#VALUE!</v>
      </c>
      <c r="GJ101" t="e">
        <f>'SurveyRpt_20150223 (1)'!Z630+"h_l!&amp;&gt;G"</f>
        <v>#VALUE!</v>
      </c>
      <c r="GK101" t="e">
        <f>'SurveyRpt_20150223 (1)'!AA630+"h_l!&amp;&gt;H"</f>
        <v>#VALUE!</v>
      </c>
      <c r="GL101" t="e">
        <f>'SurveyRpt_20150223 (1)'!AB630+"h_l!&amp;&gt;I"</f>
        <v>#VALUE!</v>
      </c>
      <c r="GM101" t="e">
        <f>'SurveyRpt_20150223 (1)'!AC630+"h_l!&amp;&gt;J"</f>
        <v>#VALUE!</v>
      </c>
      <c r="GN101" t="e">
        <f>'SurveyRpt_20150223 (1)'!AD630+"h_l!&amp;&gt;K"</f>
        <v>#VALUE!</v>
      </c>
      <c r="GO101" t="e">
        <f>'SurveyRpt_20150223 (1)'!AE630+"h_l!&amp;&gt;L"</f>
        <v>#VALUE!</v>
      </c>
      <c r="GP101" t="e">
        <f>'SurveyRpt_20150223 (1)'!AF630+"h_l!&amp;&gt;M"</f>
        <v>#VALUE!</v>
      </c>
      <c r="GQ101" t="e">
        <f>'SurveyRpt_20150223 (1)'!AG630+"h_l!&amp;&gt;N"</f>
        <v>#VALUE!</v>
      </c>
      <c r="GR101" t="e">
        <f>'SurveyRpt_20150223 (1)'!AH630+"h_l!&amp;&gt;O"</f>
        <v>#VALUE!</v>
      </c>
      <c r="GS101" t="e">
        <f>'SurveyRpt_20150223 (1)'!AI630+"h_l!&amp;&gt;P"</f>
        <v>#VALUE!</v>
      </c>
      <c r="GT101" t="e">
        <f>'SurveyRpt_20150223 (1)'!AJ630+"h_l!&amp;&gt;Q"</f>
        <v>#VALUE!</v>
      </c>
      <c r="GU101" t="e">
        <f>'SurveyRpt_20150223 (1)'!AK630+"h_l!&amp;&gt;R"</f>
        <v>#VALUE!</v>
      </c>
      <c r="GV101" t="e">
        <f>'SurveyRpt_20150223 (1)'!AL630+"h_l!&amp;&gt;S"</f>
        <v>#VALUE!</v>
      </c>
      <c r="GW101" t="e">
        <f>'SurveyRpt_20150223 (1)'!AM630+"h_l!&amp;&gt;T"</f>
        <v>#VALUE!</v>
      </c>
      <c r="GX101" t="e">
        <f>'SurveyRpt_20150223 (1)'!AN630+"h_l!&amp;&gt;U"</f>
        <v>#VALUE!</v>
      </c>
      <c r="GY101" t="e">
        <f>'SurveyRpt_20150223 (1)'!A631+"h_l!&amp;&gt;V"</f>
        <v>#VALUE!</v>
      </c>
      <c r="GZ101" s="25" t="e">
        <f>'SurveyRpt_20150223 (1)'!B631+"h_l!&amp;&gt;W"</f>
        <v>#VALUE!</v>
      </c>
      <c r="HA101" t="e">
        <f>'SurveyRpt_20150223 (1)'!C631+"h_l!&amp;&gt;X"</f>
        <v>#VALUE!</v>
      </c>
      <c r="HB101" s="25" t="e">
        <f>'SurveyRpt_20150223 (1)'!D631+"h_l!&amp;&gt;Y"</f>
        <v>#VALUE!</v>
      </c>
      <c r="HC101" t="e">
        <f>'SurveyRpt_20150223 (1)'!E631+"h_l!&amp;&gt;Z"</f>
        <v>#VALUE!</v>
      </c>
      <c r="HD101" t="e">
        <f>'SurveyRpt_20150223 (1)'!F631+"h_l!&amp;&gt;["</f>
        <v>#VALUE!</v>
      </c>
      <c r="HE101" t="e">
        <f>'SurveyRpt_20150223 (1)'!G631+"h_l!&amp;&gt;\"</f>
        <v>#VALUE!</v>
      </c>
      <c r="HF101" t="e">
        <f>'SurveyRpt_20150223 (1)'!H631+"h_l!&amp;&gt;]"</f>
        <v>#VALUE!</v>
      </c>
      <c r="HG101" t="e">
        <f>'SurveyRpt_20150223 (1)'!I631+"h_l!&amp;&gt;^"</f>
        <v>#VALUE!</v>
      </c>
      <c r="HH101" t="e">
        <f>'SurveyRpt_20150223 (1)'!J631+"h_l!&amp;&gt;_"</f>
        <v>#VALUE!</v>
      </c>
      <c r="HI101" t="e">
        <f>'SurveyRpt_20150223 (1)'!K631+"h_l!&amp;&gt;`"</f>
        <v>#VALUE!</v>
      </c>
      <c r="HJ101" t="e">
        <f>'SurveyRpt_20150223 (1)'!L631+"h_l!&amp;&gt;a"</f>
        <v>#VALUE!</v>
      </c>
      <c r="HK101" t="e">
        <f>'SurveyRpt_20150223 (1)'!M631+"h_l!&amp;&gt;b"</f>
        <v>#VALUE!</v>
      </c>
      <c r="HL101" t="e">
        <f>'SurveyRpt_20150223 (1)'!N631+"h_l!&amp;&gt;c"</f>
        <v>#VALUE!</v>
      </c>
      <c r="HM101" t="e">
        <f>'SurveyRpt_20150223 (1)'!O631+"h_l!&amp;&gt;d"</f>
        <v>#VALUE!</v>
      </c>
      <c r="HN101" t="e">
        <f>'SurveyRpt_20150223 (1)'!P631+"h_l!&amp;&gt;e"</f>
        <v>#VALUE!</v>
      </c>
      <c r="HO101" t="e">
        <f>'SurveyRpt_20150223 (1)'!Q631+"h_l!&amp;&gt;f"</f>
        <v>#VALUE!</v>
      </c>
      <c r="HP101" t="e">
        <f>'SurveyRpt_20150223 (1)'!R631+"h_l!&amp;&gt;g"</f>
        <v>#VALUE!</v>
      </c>
      <c r="HQ101" t="e">
        <f>'SurveyRpt_20150223 (1)'!S631+"h_l!&amp;&gt;h"</f>
        <v>#VALUE!</v>
      </c>
      <c r="HR101" t="e">
        <f>'SurveyRpt_20150223 (1)'!T631+"h_l!&amp;&gt;i"</f>
        <v>#VALUE!</v>
      </c>
      <c r="HS101" t="e">
        <f>'SurveyRpt_20150223 (1)'!U631+"h_l!&amp;&gt;j"</f>
        <v>#VALUE!</v>
      </c>
      <c r="HT101" t="e">
        <f>'SurveyRpt_20150223 (1)'!V631+"h_l!&amp;&gt;k"</f>
        <v>#VALUE!</v>
      </c>
      <c r="HU101" t="e">
        <f>'SurveyRpt_20150223 (1)'!W631+"h_l!&amp;&gt;l"</f>
        <v>#VALUE!</v>
      </c>
      <c r="HV101" t="e">
        <f>'SurveyRpt_20150223 (1)'!X631+"h_l!&amp;&gt;m"</f>
        <v>#VALUE!</v>
      </c>
      <c r="HW101" t="e">
        <f>'SurveyRpt_20150223 (1)'!Y631+"h_l!&amp;&gt;n"</f>
        <v>#VALUE!</v>
      </c>
      <c r="HX101" t="e">
        <f>'SurveyRpt_20150223 (1)'!Z631+"h_l!&amp;&gt;o"</f>
        <v>#VALUE!</v>
      </c>
      <c r="HY101" t="e">
        <f>'SurveyRpt_20150223 (1)'!AA631+"h_l!&amp;&gt;p"</f>
        <v>#VALUE!</v>
      </c>
      <c r="HZ101" t="e">
        <f>'SurveyRpt_20150223 (1)'!AB631+"h_l!&amp;&gt;q"</f>
        <v>#VALUE!</v>
      </c>
      <c r="IA101" t="e">
        <f>'SurveyRpt_20150223 (1)'!AC631+"h_l!&amp;&gt;r"</f>
        <v>#VALUE!</v>
      </c>
      <c r="IB101" t="e">
        <f>'SurveyRpt_20150223 (1)'!AD631+"h_l!&amp;&gt;s"</f>
        <v>#VALUE!</v>
      </c>
      <c r="IC101" t="e">
        <f>'SurveyRpt_20150223 (1)'!AE631+"h_l!&amp;&gt;t"</f>
        <v>#VALUE!</v>
      </c>
      <c r="ID101" t="e">
        <f>'SurveyRpt_20150223 (1)'!AF631+"h_l!&amp;&gt;u"</f>
        <v>#VALUE!</v>
      </c>
      <c r="IE101" t="e">
        <f>'SurveyRpt_20150223 (1)'!AG631+"h_l!&amp;&gt;v"</f>
        <v>#VALUE!</v>
      </c>
      <c r="IF101" t="e">
        <f>'SurveyRpt_20150223 (1)'!AH631+"h_l!&amp;&gt;w"</f>
        <v>#VALUE!</v>
      </c>
      <c r="IG101" t="e">
        <f>'SurveyRpt_20150223 (1)'!AI631+"h_l!&amp;&gt;x"</f>
        <v>#VALUE!</v>
      </c>
      <c r="IH101" t="e">
        <f>'SurveyRpt_20150223 (1)'!AJ631+"h_l!&amp;&gt;y"</f>
        <v>#VALUE!</v>
      </c>
      <c r="II101" t="e">
        <f>'SurveyRpt_20150223 (1)'!AK631+"h_l!&amp;&gt;z"</f>
        <v>#VALUE!</v>
      </c>
      <c r="IJ101" t="e">
        <f>'SurveyRpt_20150223 (1)'!AL631+"h_l!&amp;&gt;{"</f>
        <v>#VALUE!</v>
      </c>
      <c r="IK101" t="e">
        <f>'SurveyRpt_20150223 (1)'!AM631+"h_l!&amp;&gt;|"</f>
        <v>#VALUE!</v>
      </c>
      <c r="IL101" t="e">
        <f>'SurveyRpt_20150223 (1)'!AN631+"h_l!&amp;&gt;}"</f>
        <v>#VALUE!</v>
      </c>
      <c r="IM101" t="e">
        <f>'SurveyRpt_20150223 (1)'!A632+"h_l!&amp;&gt;~"</f>
        <v>#VALUE!</v>
      </c>
      <c r="IN101" s="25" t="e">
        <f>'SurveyRpt_20150223 (1)'!B632+"h_l!&amp;?#"</f>
        <v>#VALUE!</v>
      </c>
      <c r="IO101" t="e">
        <f>'SurveyRpt_20150223 (1)'!C632+"h_l!&amp;?$"</f>
        <v>#VALUE!</v>
      </c>
      <c r="IP101" s="25" t="e">
        <f>'SurveyRpt_20150223 (1)'!D632+"h_l!&amp;?%"</f>
        <v>#VALUE!</v>
      </c>
      <c r="IQ101" t="e">
        <f>'SurveyRpt_20150223 (1)'!E632+"h_l!&amp;?&amp;"</f>
        <v>#VALUE!</v>
      </c>
      <c r="IR101" t="e">
        <f>'SurveyRpt_20150223 (1)'!F632+"h_l!&amp;?'"</f>
        <v>#VALUE!</v>
      </c>
      <c r="IS101" t="e">
        <f>'SurveyRpt_20150223 (1)'!G632+"h_l!&amp;?("</f>
        <v>#VALUE!</v>
      </c>
      <c r="IT101" t="e">
        <f>'SurveyRpt_20150223 (1)'!H632+"h_l!&amp;?)"</f>
        <v>#VALUE!</v>
      </c>
      <c r="IU101" t="e">
        <f>'SurveyRpt_20150223 (1)'!I632+"h_l!&amp;?."</f>
        <v>#VALUE!</v>
      </c>
      <c r="IV101" t="e">
        <f>'SurveyRpt_20150223 (1)'!J632+"h_l!&amp;?/"</f>
        <v>#VALUE!</v>
      </c>
    </row>
    <row r="102" spans="6:256" x14ac:dyDescent="0.25">
      <c r="F102" t="e">
        <f>'SurveyRpt_20150223 (1)'!K632+"h_l!&amp;?0"</f>
        <v>#VALUE!</v>
      </c>
      <c r="G102" t="e">
        <f>'SurveyRpt_20150223 (1)'!L632+"h_l!&amp;?1"</f>
        <v>#VALUE!</v>
      </c>
      <c r="H102" t="e">
        <f>'SurveyRpt_20150223 (1)'!M632+"h_l!&amp;?2"</f>
        <v>#VALUE!</v>
      </c>
      <c r="I102" t="e">
        <f>'SurveyRpt_20150223 (1)'!N632+"h_l!&amp;?3"</f>
        <v>#VALUE!</v>
      </c>
      <c r="J102" t="e">
        <f>'SurveyRpt_20150223 (1)'!O632+"h_l!&amp;?4"</f>
        <v>#VALUE!</v>
      </c>
      <c r="K102" t="e">
        <f>'SurveyRpt_20150223 (1)'!P632+"h_l!&amp;?5"</f>
        <v>#VALUE!</v>
      </c>
      <c r="L102" t="e">
        <f>'SurveyRpt_20150223 (1)'!Q632+"h_l!&amp;?6"</f>
        <v>#VALUE!</v>
      </c>
      <c r="M102" t="e">
        <f>'SurveyRpt_20150223 (1)'!R632+"h_l!&amp;?7"</f>
        <v>#VALUE!</v>
      </c>
      <c r="N102" t="e">
        <f>'SurveyRpt_20150223 (1)'!S632+"h_l!&amp;?8"</f>
        <v>#VALUE!</v>
      </c>
      <c r="O102" t="e">
        <f>'SurveyRpt_20150223 (1)'!T632+"h_l!&amp;?9"</f>
        <v>#VALUE!</v>
      </c>
      <c r="P102" t="e">
        <f>'SurveyRpt_20150223 (1)'!U632+"h_l!&amp;?:"</f>
        <v>#VALUE!</v>
      </c>
      <c r="Q102" t="e">
        <f>'SurveyRpt_20150223 (1)'!V632+"h_l!&amp;?;"</f>
        <v>#VALUE!</v>
      </c>
      <c r="R102" t="e">
        <f>'SurveyRpt_20150223 (1)'!W632+"h_l!&amp;?&lt;"</f>
        <v>#VALUE!</v>
      </c>
      <c r="S102" t="e">
        <f>'SurveyRpt_20150223 (1)'!X632+"h_l!&amp;?="</f>
        <v>#VALUE!</v>
      </c>
      <c r="T102" t="e">
        <f>'SurveyRpt_20150223 (1)'!Y632+"h_l!&amp;?&gt;"</f>
        <v>#VALUE!</v>
      </c>
      <c r="U102" t="e">
        <f>'SurveyRpt_20150223 (1)'!Z632+"h_l!&amp;??"</f>
        <v>#VALUE!</v>
      </c>
      <c r="V102" t="e">
        <f>'SurveyRpt_20150223 (1)'!AA632+"h_l!&amp;?@"</f>
        <v>#VALUE!</v>
      </c>
      <c r="W102" t="e">
        <f>'SurveyRpt_20150223 (1)'!AB632+"h_l!&amp;?A"</f>
        <v>#VALUE!</v>
      </c>
      <c r="X102" t="e">
        <f>'SurveyRpt_20150223 (1)'!AC632+"h_l!&amp;?B"</f>
        <v>#VALUE!</v>
      </c>
      <c r="Y102" t="e">
        <f>'SurveyRpt_20150223 (1)'!AD632+"h_l!&amp;?C"</f>
        <v>#VALUE!</v>
      </c>
      <c r="Z102" t="e">
        <f>'SurveyRpt_20150223 (1)'!AE632+"h_l!&amp;?D"</f>
        <v>#VALUE!</v>
      </c>
      <c r="AA102" t="e">
        <f>'SurveyRpt_20150223 (1)'!AF632+"h_l!&amp;?E"</f>
        <v>#VALUE!</v>
      </c>
      <c r="AB102" t="e">
        <f>'SurveyRpt_20150223 (1)'!AG632+"h_l!&amp;?F"</f>
        <v>#VALUE!</v>
      </c>
      <c r="AC102" t="e">
        <f>'SurveyRpt_20150223 (1)'!AH632+"h_l!&amp;?G"</f>
        <v>#VALUE!</v>
      </c>
      <c r="AD102" t="e">
        <f>'SurveyRpt_20150223 (1)'!AI632+"h_l!&amp;?H"</f>
        <v>#VALUE!</v>
      </c>
      <c r="AE102" t="e">
        <f>'SurveyRpt_20150223 (1)'!AJ632+"h_l!&amp;?I"</f>
        <v>#VALUE!</v>
      </c>
      <c r="AF102" t="e">
        <f>'SurveyRpt_20150223 (1)'!AK632+"h_l!&amp;?J"</f>
        <v>#VALUE!</v>
      </c>
      <c r="AG102" t="e">
        <f>'SurveyRpt_20150223 (1)'!AL632+"h_l!&amp;?K"</f>
        <v>#VALUE!</v>
      </c>
      <c r="AH102" t="e">
        <f>'SurveyRpt_20150223 (1)'!AM632+"h_l!&amp;?L"</f>
        <v>#VALUE!</v>
      </c>
      <c r="AI102" t="e">
        <f>'SurveyRpt_20150223 (1)'!AN632+"h_l!&amp;?M"</f>
        <v>#VALUE!</v>
      </c>
      <c r="AJ102" t="e">
        <f>'SurveyRpt_20150223 (1)'!A633+"h_l!&amp;?N"</f>
        <v>#VALUE!</v>
      </c>
      <c r="AK102" s="25" t="e">
        <f>'SurveyRpt_20150223 (1)'!B633+"h_l!&amp;?O"</f>
        <v>#VALUE!</v>
      </c>
      <c r="AL102" t="e">
        <f>'SurveyRpt_20150223 (1)'!C633+"h_l!&amp;?P"</f>
        <v>#VALUE!</v>
      </c>
      <c r="AM102" s="25" t="e">
        <f>'SurveyRpt_20150223 (1)'!D633+"h_l!&amp;?Q"</f>
        <v>#VALUE!</v>
      </c>
      <c r="AN102" t="e">
        <f>'SurveyRpt_20150223 (1)'!E633+"h_l!&amp;?R"</f>
        <v>#VALUE!</v>
      </c>
      <c r="AO102" t="e">
        <f>'SurveyRpt_20150223 (1)'!F633+"h_l!&amp;?S"</f>
        <v>#VALUE!</v>
      </c>
      <c r="AP102" t="e">
        <f>'SurveyRpt_20150223 (1)'!G633+"h_l!&amp;?T"</f>
        <v>#VALUE!</v>
      </c>
      <c r="AQ102" t="e">
        <f>'SurveyRpt_20150223 (1)'!H633+"h_l!&amp;?U"</f>
        <v>#VALUE!</v>
      </c>
      <c r="AR102" t="e">
        <f>'SurveyRpt_20150223 (1)'!I633+"h_l!&amp;?V"</f>
        <v>#VALUE!</v>
      </c>
      <c r="AS102" t="e">
        <f>'SurveyRpt_20150223 (1)'!J633+"h_l!&amp;?W"</f>
        <v>#VALUE!</v>
      </c>
      <c r="AT102" t="e">
        <f>'SurveyRpt_20150223 (1)'!K633+"h_l!&amp;?X"</f>
        <v>#VALUE!</v>
      </c>
      <c r="AU102" t="e">
        <f>'SurveyRpt_20150223 (1)'!L633+"h_l!&amp;?Y"</f>
        <v>#VALUE!</v>
      </c>
      <c r="AV102" t="e">
        <f>'SurveyRpt_20150223 (1)'!M633+"h_l!&amp;?Z"</f>
        <v>#VALUE!</v>
      </c>
      <c r="AW102" t="e">
        <f>'SurveyRpt_20150223 (1)'!N633+"h_l!&amp;?["</f>
        <v>#VALUE!</v>
      </c>
      <c r="AX102" t="e">
        <f>'SurveyRpt_20150223 (1)'!O633+"h_l!&amp;?\"</f>
        <v>#VALUE!</v>
      </c>
      <c r="AY102" t="e">
        <f>'SurveyRpt_20150223 (1)'!P633+"h_l!&amp;?]"</f>
        <v>#VALUE!</v>
      </c>
      <c r="AZ102" t="e">
        <f>'SurveyRpt_20150223 (1)'!Q633+"h_l!&amp;?^"</f>
        <v>#VALUE!</v>
      </c>
      <c r="BA102" t="e">
        <f>'SurveyRpt_20150223 (1)'!R633+"h_l!&amp;?_"</f>
        <v>#VALUE!</v>
      </c>
      <c r="BB102" t="e">
        <f>'SurveyRpt_20150223 (1)'!S633+"h_l!&amp;?`"</f>
        <v>#VALUE!</v>
      </c>
      <c r="BC102" t="e">
        <f>'SurveyRpt_20150223 (1)'!T633+"h_l!&amp;?a"</f>
        <v>#VALUE!</v>
      </c>
      <c r="BD102" t="e">
        <f>'SurveyRpt_20150223 (1)'!U633+"h_l!&amp;?b"</f>
        <v>#VALUE!</v>
      </c>
      <c r="BE102" t="e">
        <f>'SurveyRpt_20150223 (1)'!V633+"h_l!&amp;?c"</f>
        <v>#VALUE!</v>
      </c>
      <c r="BF102" t="e">
        <f>'SurveyRpt_20150223 (1)'!W633+"h_l!&amp;?d"</f>
        <v>#VALUE!</v>
      </c>
      <c r="BG102" t="e">
        <f>'SurveyRpt_20150223 (1)'!X633+"h_l!&amp;?e"</f>
        <v>#VALUE!</v>
      </c>
      <c r="BH102" t="e">
        <f>'SurveyRpt_20150223 (1)'!Y633+"h_l!&amp;?f"</f>
        <v>#VALUE!</v>
      </c>
      <c r="BI102" t="e">
        <f>'SurveyRpt_20150223 (1)'!Z633+"h_l!&amp;?g"</f>
        <v>#VALUE!</v>
      </c>
      <c r="BJ102" t="e">
        <f>'SurveyRpt_20150223 (1)'!AA633+"h_l!&amp;?h"</f>
        <v>#VALUE!</v>
      </c>
      <c r="BK102" t="e">
        <f>'SurveyRpt_20150223 (1)'!AB633+"h_l!&amp;?i"</f>
        <v>#VALUE!</v>
      </c>
      <c r="BL102" t="e">
        <f>'SurveyRpt_20150223 (1)'!AC633+"h_l!&amp;?j"</f>
        <v>#VALUE!</v>
      </c>
      <c r="BM102" t="e">
        <f>'SurveyRpt_20150223 (1)'!AD633+"h_l!&amp;?k"</f>
        <v>#VALUE!</v>
      </c>
      <c r="BN102" t="e">
        <f>'SurveyRpt_20150223 (1)'!AE633+"h_l!&amp;?l"</f>
        <v>#VALUE!</v>
      </c>
      <c r="BO102" t="e">
        <f>'SurveyRpt_20150223 (1)'!AF633+"h_l!&amp;?m"</f>
        <v>#VALUE!</v>
      </c>
      <c r="BP102" t="e">
        <f>'SurveyRpt_20150223 (1)'!AG633+"h_l!&amp;?n"</f>
        <v>#VALUE!</v>
      </c>
      <c r="BQ102" t="e">
        <f>'SurveyRpt_20150223 (1)'!AH633+"h_l!&amp;?o"</f>
        <v>#VALUE!</v>
      </c>
      <c r="BR102" t="e">
        <f>'SurveyRpt_20150223 (1)'!AI633+"h_l!&amp;?p"</f>
        <v>#VALUE!</v>
      </c>
      <c r="BS102" t="e">
        <f>'SurveyRpt_20150223 (1)'!AJ633+"h_l!&amp;?q"</f>
        <v>#VALUE!</v>
      </c>
      <c r="BT102" t="e">
        <f>'SurveyRpt_20150223 (1)'!AK633+"h_l!&amp;?r"</f>
        <v>#VALUE!</v>
      </c>
      <c r="BU102" t="e">
        <f>'SurveyRpt_20150223 (1)'!AL633+"h_l!&amp;?s"</f>
        <v>#VALUE!</v>
      </c>
      <c r="BV102" t="e">
        <f>'SurveyRpt_20150223 (1)'!AM633+"h_l!&amp;?t"</f>
        <v>#VALUE!</v>
      </c>
      <c r="BW102" t="e">
        <f>'SurveyRpt_20150223 (1)'!AN633+"h_l!&amp;?u"</f>
        <v>#VALUE!</v>
      </c>
      <c r="BX102" t="e">
        <f>'SurveyRpt_20150223 (1)'!A634+"h_l!&amp;?v"</f>
        <v>#VALUE!</v>
      </c>
      <c r="BY102" s="25" t="e">
        <f>'SurveyRpt_20150223 (1)'!B634+"h_l!&amp;?w"</f>
        <v>#VALUE!</v>
      </c>
      <c r="BZ102" t="e">
        <f>'SurveyRpt_20150223 (1)'!C634+"h_l!&amp;?x"</f>
        <v>#VALUE!</v>
      </c>
      <c r="CA102" s="25" t="e">
        <f>'SurveyRpt_20150223 (1)'!D634+"h_l!&amp;?y"</f>
        <v>#VALUE!</v>
      </c>
      <c r="CB102" t="e">
        <f>'SurveyRpt_20150223 (1)'!E634+"h_l!&amp;?z"</f>
        <v>#VALUE!</v>
      </c>
      <c r="CC102" t="e">
        <f>'SurveyRpt_20150223 (1)'!F634+"h_l!&amp;?{"</f>
        <v>#VALUE!</v>
      </c>
      <c r="CD102" t="e">
        <f>'SurveyRpt_20150223 (1)'!G634+"h_l!&amp;?|"</f>
        <v>#VALUE!</v>
      </c>
      <c r="CE102" t="e">
        <f>'SurveyRpt_20150223 (1)'!H634+"h_l!&amp;?}"</f>
        <v>#VALUE!</v>
      </c>
      <c r="CF102" t="e">
        <f>'SurveyRpt_20150223 (1)'!I634+"h_l!&amp;?~"</f>
        <v>#VALUE!</v>
      </c>
      <c r="CG102" t="e">
        <f>'SurveyRpt_20150223 (1)'!J634+"h_l!&amp;@#"</f>
        <v>#VALUE!</v>
      </c>
      <c r="CH102" t="e">
        <f>'SurveyRpt_20150223 (1)'!K634+"h_l!&amp;@$"</f>
        <v>#VALUE!</v>
      </c>
      <c r="CI102" t="e">
        <f>'SurveyRpt_20150223 (1)'!L634+"h_l!&amp;@%"</f>
        <v>#VALUE!</v>
      </c>
      <c r="CJ102" t="e">
        <f>'SurveyRpt_20150223 (1)'!M634+"h_l!&amp;@&amp;"</f>
        <v>#VALUE!</v>
      </c>
      <c r="CK102" t="e">
        <f>'SurveyRpt_20150223 (1)'!N634+"h_l!&amp;@'"</f>
        <v>#VALUE!</v>
      </c>
      <c r="CL102" t="e">
        <f>'SurveyRpt_20150223 (1)'!O634+"h_l!&amp;@("</f>
        <v>#VALUE!</v>
      </c>
      <c r="CM102" t="e">
        <f>'SurveyRpt_20150223 (1)'!P634+"h_l!&amp;@)"</f>
        <v>#VALUE!</v>
      </c>
      <c r="CN102" t="e">
        <f>'SurveyRpt_20150223 (1)'!Q634+"h_l!&amp;@."</f>
        <v>#VALUE!</v>
      </c>
      <c r="CO102" t="e">
        <f>'SurveyRpt_20150223 (1)'!R634+"h_l!&amp;@/"</f>
        <v>#VALUE!</v>
      </c>
      <c r="CP102" t="e">
        <f>'SurveyRpt_20150223 (1)'!S634+"h_l!&amp;@0"</f>
        <v>#VALUE!</v>
      </c>
      <c r="CQ102" t="e">
        <f>'SurveyRpt_20150223 (1)'!T634+"h_l!&amp;@1"</f>
        <v>#VALUE!</v>
      </c>
      <c r="CR102" t="e">
        <f>'SurveyRpt_20150223 (1)'!U634+"h_l!&amp;@2"</f>
        <v>#VALUE!</v>
      </c>
      <c r="CS102" t="e">
        <f>'SurveyRpt_20150223 (1)'!V634+"h_l!&amp;@3"</f>
        <v>#VALUE!</v>
      </c>
      <c r="CT102" t="e">
        <f>'SurveyRpt_20150223 (1)'!W634+"h_l!&amp;@4"</f>
        <v>#VALUE!</v>
      </c>
      <c r="CU102" t="e">
        <f>'SurveyRpt_20150223 (1)'!X634+"h_l!&amp;@5"</f>
        <v>#VALUE!</v>
      </c>
      <c r="CV102" t="e">
        <f>'SurveyRpt_20150223 (1)'!Y634+"h_l!&amp;@6"</f>
        <v>#VALUE!</v>
      </c>
      <c r="CW102" t="e">
        <f>'SurveyRpt_20150223 (1)'!Z634+"h_l!&amp;@7"</f>
        <v>#VALUE!</v>
      </c>
      <c r="CX102" t="e">
        <f>'SurveyRpt_20150223 (1)'!AA634+"h_l!&amp;@8"</f>
        <v>#VALUE!</v>
      </c>
      <c r="CY102" t="e">
        <f>'SurveyRpt_20150223 (1)'!AB634+"h_l!&amp;@9"</f>
        <v>#VALUE!</v>
      </c>
      <c r="CZ102" t="e">
        <f>'SurveyRpt_20150223 (1)'!AC634+"h_l!&amp;@:"</f>
        <v>#VALUE!</v>
      </c>
      <c r="DA102" t="e">
        <f>'SurveyRpt_20150223 (1)'!AD634+"h_l!&amp;@;"</f>
        <v>#VALUE!</v>
      </c>
      <c r="DB102" t="e">
        <f>'SurveyRpt_20150223 (1)'!AE634+"h_l!&amp;@&lt;"</f>
        <v>#VALUE!</v>
      </c>
      <c r="DC102" t="e">
        <f>'SurveyRpt_20150223 (1)'!AF634+"h_l!&amp;@="</f>
        <v>#VALUE!</v>
      </c>
      <c r="DD102" t="e">
        <f>'SurveyRpt_20150223 (1)'!AG634+"h_l!&amp;@&gt;"</f>
        <v>#VALUE!</v>
      </c>
      <c r="DE102" t="e">
        <f>'SurveyRpt_20150223 (1)'!AH634+"h_l!&amp;@?"</f>
        <v>#VALUE!</v>
      </c>
      <c r="DF102" t="e">
        <f>'SurveyRpt_20150223 (1)'!AI634+"h_l!&amp;@@"</f>
        <v>#VALUE!</v>
      </c>
      <c r="DG102" t="e">
        <f>'SurveyRpt_20150223 (1)'!AJ634+"h_l!&amp;@A"</f>
        <v>#VALUE!</v>
      </c>
      <c r="DH102" t="e">
        <f>'SurveyRpt_20150223 (1)'!AK634+"h_l!&amp;@B"</f>
        <v>#VALUE!</v>
      </c>
      <c r="DI102" t="e">
        <f>'SurveyRpt_20150223 (1)'!AL634+"h_l!&amp;@C"</f>
        <v>#VALUE!</v>
      </c>
      <c r="DJ102" t="e">
        <f>'SurveyRpt_20150223 (1)'!AM634+"h_l!&amp;@D"</f>
        <v>#VALUE!</v>
      </c>
      <c r="DK102" t="e">
        <f>'SurveyRpt_20150223 (1)'!AN634+"h_l!&amp;@E"</f>
        <v>#VALUE!</v>
      </c>
      <c r="DL102" t="e">
        <f>'SurveyRpt_20150223 (1)'!A635+"h_l!&amp;@F"</f>
        <v>#VALUE!</v>
      </c>
      <c r="DM102" s="25" t="e">
        <f>'SurveyRpt_20150223 (1)'!B635+"h_l!&amp;@G"</f>
        <v>#VALUE!</v>
      </c>
      <c r="DN102" t="e">
        <f>'SurveyRpt_20150223 (1)'!C635+"h_l!&amp;@H"</f>
        <v>#VALUE!</v>
      </c>
      <c r="DO102" s="25" t="e">
        <f>'SurveyRpt_20150223 (1)'!D635+"h_l!&amp;@I"</f>
        <v>#VALUE!</v>
      </c>
      <c r="DP102" t="e">
        <f>'SurveyRpt_20150223 (1)'!E635+"h_l!&amp;@J"</f>
        <v>#VALUE!</v>
      </c>
      <c r="DQ102" t="e">
        <f>'SurveyRpt_20150223 (1)'!F635+"h_l!&amp;@K"</f>
        <v>#VALUE!</v>
      </c>
      <c r="DR102" t="e">
        <f>'SurveyRpt_20150223 (1)'!G635+"h_l!&amp;@L"</f>
        <v>#VALUE!</v>
      </c>
      <c r="DS102" t="e">
        <f>'SurveyRpt_20150223 (1)'!H635+"h_l!&amp;@M"</f>
        <v>#VALUE!</v>
      </c>
      <c r="DT102" t="e">
        <f>'SurveyRpt_20150223 (1)'!I635+"h_l!&amp;@N"</f>
        <v>#VALUE!</v>
      </c>
      <c r="DU102" t="e">
        <f>'SurveyRpt_20150223 (1)'!J635+"h_l!&amp;@O"</f>
        <v>#VALUE!</v>
      </c>
      <c r="DV102" t="e">
        <f>'SurveyRpt_20150223 (1)'!K635+"h_l!&amp;@P"</f>
        <v>#VALUE!</v>
      </c>
      <c r="DW102" t="e">
        <f>'SurveyRpt_20150223 (1)'!L635+"h_l!&amp;@Q"</f>
        <v>#VALUE!</v>
      </c>
      <c r="DX102" t="e">
        <f>'SurveyRpt_20150223 (1)'!M635+"h_l!&amp;@R"</f>
        <v>#VALUE!</v>
      </c>
      <c r="DY102" t="e">
        <f>'SurveyRpt_20150223 (1)'!N635+"h_l!&amp;@S"</f>
        <v>#VALUE!</v>
      </c>
      <c r="DZ102" t="e">
        <f>'SurveyRpt_20150223 (1)'!O635+"h_l!&amp;@T"</f>
        <v>#VALUE!</v>
      </c>
      <c r="EA102" t="e">
        <f>'SurveyRpt_20150223 (1)'!P635+"h_l!&amp;@U"</f>
        <v>#VALUE!</v>
      </c>
      <c r="EB102" t="e">
        <f>'SurveyRpt_20150223 (1)'!Q635+"h_l!&amp;@V"</f>
        <v>#VALUE!</v>
      </c>
      <c r="EC102" t="e">
        <f>'SurveyRpt_20150223 (1)'!R635+"h_l!&amp;@W"</f>
        <v>#VALUE!</v>
      </c>
      <c r="ED102" t="e">
        <f>'SurveyRpt_20150223 (1)'!S635+"h_l!&amp;@X"</f>
        <v>#VALUE!</v>
      </c>
      <c r="EE102" t="e">
        <f>'SurveyRpt_20150223 (1)'!T635+"h_l!&amp;@Y"</f>
        <v>#VALUE!</v>
      </c>
      <c r="EF102" t="e">
        <f>'SurveyRpt_20150223 (1)'!U635+"h_l!&amp;@Z"</f>
        <v>#VALUE!</v>
      </c>
      <c r="EG102" t="e">
        <f>'SurveyRpt_20150223 (1)'!V635+"h_l!&amp;@["</f>
        <v>#VALUE!</v>
      </c>
      <c r="EH102" t="e">
        <f>'SurveyRpt_20150223 (1)'!W635+"h_l!&amp;@\"</f>
        <v>#VALUE!</v>
      </c>
      <c r="EI102" t="e">
        <f>'SurveyRpt_20150223 (1)'!X635+"h_l!&amp;@]"</f>
        <v>#VALUE!</v>
      </c>
      <c r="EJ102" t="e">
        <f>'SurveyRpt_20150223 (1)'!Y635+"h_l!&amp;@^"</f>
        <v>#VALUE!</v>
      </c>
      <c r="EK102" t="e">
        <f>'SurveyRpt_20150223 (1)'!Z635+"h_l!&amp;@_"</f>
        <v>#VALUE!</v>
      </c>
      <c r="EL102" t="e">
        <f>'SurveyRpt_20150223 (1)'!AA635+"h_l!&amp;@`"</f>
        <v>#VALUE!</v>
      </c>
      <c r="EM102" t="e">
        <f>'SurveyRpt_20150223 (1)'!AB635+"h_l!&amp;@a"</f>
        <v>#VALUE!</v>
      </c>
      <c r="EN102" t="e">
        <f>'SurveyRpt_20150223 (1)'!AC635+"h_l!&amp;@b"</f>
        <v>#VALUE!</v>
      </c>
      <c r="EO102" t="e">
        <f>'SurveyRpt_20150223 (1)'!AD635+"h_l!&amp;@c"</f>
        <v>#VALUE!</v>
      </c>
      <c r="EP102" t="e">
        <f>'SurveyRpt_20150223 (1)'!AE635+"h_l!&amp;@d"</f>
        <v>#VALUE!</v>
      </c>
      <c r="EQ102" t="e">
        <f>'SurveyRpt_20150223 (1)'!AF635+"h_l!&amp;@e"</f>
        <v>#VALUE!</v>
      </c>
      <c r="ER102" t="e">
        <f>'SurveyRpt_20150223 (1)'!AG635+"h_l!&amp;@f"</f>
        <v>#VALUE!</v>
      </c>
      <c r="ES102" t="e">
        <f>'SurveyRpt_20150223 (1)'!AH635+"h_l!&amp;@g"</f>
        <v>#VALUE!</v>
      </c>
      <c r="ET102" t="e">
        <f>'SurveyRpt_20150223 (1)'!AI635+"h_l!&amp;@h"</f>
        <v>#VALUE!</v>
      </c>
      <c r="EU102" t="e">
        <f>'SurveyRpt_20150223 (1)'!AJ635+"h_l!&amp;@i"</f>
        <v>#VALUE!</v>
      </c>
      <c r="EV102" t="e">
        <f>'SurveyRpt_20150223 (1)'!AK635+"h_l!&amp;@j"</f>
        <v>#VALUE!</v>
      </c>
      <c r="EW102" t="e">
        <f>'SurveyRpt_20150223 (1)'!AL635+"h_l!&amp;@k"</f>
        <v>#VALUE!</v>
      </c>
      <c r="EX102" t="e">
        <f>'SurveyRpt_20150223 (1)'!AM635+"h_l!&amp;@l"</f>
        <v>#VALUE!</v>
      </c>
      <c r="EY102" t="e">
        <f>'SurveyRpt_20150223 (1)'!AN635+"h_l!&amp;@m"</f>
        <v>#VALUE!</v>
      </c>
      <c r="EZ102" t="e">
        <f>'SurveyRpt_20150223 (1)'!A636+"h_l!&amp;@n"</f>
        <v>#VALUE!</v>
      </c>
      <c r="FA102" s="25" t="e">
        <f>'SurveyRpt_20150223 (1)'!B636+"h_l!&amp;@o"</f>
        <v>#VALUE!</v>
      </c>
      <c r="FB102" t="e">
        <f>'SurveyRpt_20150223 (1)'!C636+"h_l!&amp;@p"</f>
        <v>#VALUE!</v>
      </c>
      <c r="FC102" s="25" t="e">
        <f>'SurveyRpt_20150223 (1)'!D636+"h_l!&amp;@q"</f>
        <v>#VALUE!</v>
      </c>
      <c r="FD102" t="e">
        <f>'SurveyRpt_20150223 (1)'!E636+"h_l!&amp;@r"</f>
        <v>#VALUE!</v>
      </c>
      <c r="FE102" t="e">
        <f>'SurveyRpt_20150223 (1)'!F636+"h_l!&amp;@s"</f>
        <v>#VALUE!</v>
      </c>
      <c r="FF102" t="e">
        <f>'SurveyRpt_20150223 (1)'!G636+"h_l!&amp;@t"</f>
        <v>#VALUE!</v>
      </c>
      <c r="FG102" t="e">
        <f>'SurveyRpt_20150223 (1)'!H636+"h_l!&amp;@u"</f>
        <v>#VALUE!</v>
      </c>
      <c r="FH102" t="e">
        <f>'SurveyRpt_20150223 (1)'!I636+"h_l!&amp;@v"</f>
        <v>#VALUE!</v>
      </c>
      <c r="FI102" t="e">
        <f>'SurveyRpt_20150223 (1)'!J636+"h_l!&amp;@w"</f>
        <v>#VALUE!</v>
      </c>
      <c r="FJ102" t="e">
        <f>'SurveyRpt_20150223 (1)'!K636+"h_l!&amp;@x"</f>
        <v>#VALUE!</v>
      </c>
      <c r="FK102" t="e">
        <f>'SurveyRpt_20150223 (1)'!L636+"h_l!&amp;@y"</f>
        <v>#VALUE!</v>
      </c>
      <c r="FL102" t="e">
        <f>'SurveyRpt_20150223 (1)'!M636+"h_l!&amp;@z"</f>
        <v>#VALUE!</v>
      </c>
      <c r="FM102" t="e">
        <f>'SurveyRpt_20150223 (1)'!N636+"h_l!&amp;@{"</f>
        <v>#VALUE!</v>
      </c>
      <c r="FN102" t="e">
        <f>'SurveyRpt_20150223 (1)'!O636+"h_l!&amp;@|"</f>
        <v>#VALUE!</v>
      </c>
      <c r="FO102" t="e">
        <f>'SurveyRpt_20150223 (1)'!P636+"h_l!&amp;@}"</f>
        <v>#VALUE!</v>
      </c>
      <c r="FP102" t="e">
        <f>'SurveyRpt_20150223 (1)'!Q636+"h_l!&amp;@~"</f>
        <v>#VALUE!</v>
      </c>
      <c r="FQ102" t="e">
        <f>'SurveyRpt_20150223 (1)'!R636+"h_l!&amp;A#"</f>
        <v>#VALUE!</v>
      </c>
      <c r="FR102" t="e">
        <f>'SurveyRpt_20150223 (1)'!S636+"h_l!&amp;A$"</f>
        <v>#VALUE!</v>
      </c>
      <c r="FS102" t="e">
        <f>'SurveyRpt_20150223 (1)'!T636+"h_l!&amp;A%"</f>
        <v>#VALUE!</v>
      </c>
      <c r="FT102" t="e">
        <f>'SurveyRpt_20150223 (1)'!U636+"h_l!&amp;A&amp;"</f>
        <v>#VALUE!</v>
      </c>
      <c r="FU102" t="e">
        <f>'SurveyRpt_20150223 (1)'!V636+"h_l!&amp;A'"</f>
        <v>#VALUE!</v>
      </c>
      <c r="FV102" t="e">
        <f>'SurveyRpt_20150223 (1)'!W636+"h_l!&amp;A("</f>
        <v>#VALUE!</v>
      </c>
      <c r="FW102" t="e">
        <f>'SurveyRpt_20150223 (1)'!X636+"h_l!&amp;A)"</f>
        <v>#VALUE!</v>
      </c>
      <c r="FX102" t="e">
        <f>'SurveyRpt_20150223 (1)'!Y636+"h_l!&amp;A."</f>
        <v>#VALUE!</v>
      </c>
      <c r="FY102" t="e">
        <f>'SurveyRpt_20150223 (1)'!Z636+"h_l!&amp;A/"</f>
        <v>#VALUE!</v>
      </c>
      <c r="FZ102" t="e">
        <f>'SurveyRpt_20150223 (1)'!AA636+"h_l!&amp;A0"</f>
        <v>#VALUE!</v>
      </c>
      <c r="GA102" t="e">
        <f>'SurveyRpt_20150223 (1)'!AB636+"h_l!&amp;A1"</f>
        <v>#VALUE!</v>
      </c>
      <c r="GB102" t="e">
        <f>'SurveyRpt_20150223 (1)'!AC636+"h_l!&amp;A2"</f>
        <v>#VALUE!</v>
      </c>
      <c r="GC102" t="e">
        <f>'SurveyRpt_20150223 (1)'!AD636+"h_l!&amp;A3"</f>
        <v>#VALUE!</v>
      </c>
      <c r="GD102" t="e">
        <f>'SurveyRpt_20150223 (1)'!AE636+"h_l!&amp;A4"</f>
        <v>#VALUE!</v>
      </c>
      <c r="GE102" t="e">
        <f>'SurveyRpt_20150223 (1)'!AF636+"h_l!&amp;A5"</f>
        <v>#VALUE!</v>
      </c>
      <c r="GF102" t="e">
        <f>'SurveyRpt_20150223 (1)'!AG636+"h_l!&amp;A6"</f>
        <v>#VALUE!</v>
      </c>
      <c r="GG102" t="e">
        <f>'SurveyRpt_20150223 (1)'!AH636+"h_l!&amp;A7"</f>
        <v>#VALUE!</v>
      </c>
      <c r="GH102" t="e">
        <f>'SurveyRpt_20150223 (1)'!AI636+"h_l!&amp;A8"</f>
        <v>#VALUE!</v>
      </c>
      <c r="GI102" t="e">
        <f>'SurveyRpt_20150223 (1)'!AJ636+"h_l!&amp;A9"</f>
        <v>#VALUE!</v>
      </c>
      <c r="GJ102" t="e">
        <f>'SurveyRpt_20150223 (1)'!AK636+"h_l!&amp;A:"</f>
        <v>#VALUE!</v>
      </c>
      <c r="GK102" t="e">
        <f>'SurveyRpt_20150223 (1)'!AL636+"h_l!&amp;A;"</f>
        <v>#VALUE!</v>
      </c>
      <c r="GL102" t="e">
        <f>'SurveyRpt_20150223 (1)'!AM636+"h_l!&amp;A&lt;"</f>
        <v>#VALUE!</v>
      </c>
      <c r="GM102" t="e">
        <f>'SurveyRpt_20150223 (1)'!AN636+"h_l!&amp;A="</f>
        <v>#VALUE!</v>
      </c>
      <c r="GN102" t="e">
        <f>'SurveyRpt_20150223 (1)'!A637+"h_l!&amp;A&gt;"</f>
        <v>#VALUE!</v>
      </c>
      <c r="GO102" s="25" t="e">
        <f>'SurveyRpt_20150223 (1)'!B637+"h_l!&amp;A?"</f>
        <v>#VALUE!</v>
      </c>
      <c r="GP102" t="e">
        <f>'SurveyRpt_20150223 (1)'!C637+"h_l!&amp;A@"</f>
        <v>#VALUE!</v>
      </c>
      <c r="GQ102" s="25" t="e">
        <f>'SurveyRpt_20150223 (1)'!D637+"h_l!&amp;AA"</f>
        <v>#VALUE!</v>
      </c>
      <c r="GR102" t="e">
        <f>'SurveyRpt_20150223 (1)'!E637+"h_l!&amp;AB"</f>
        <v>#VALUE!</v>
      </c>
      <c r="GS102" t="e">
        <f>'SurveyRpt_20150223 (1)'!F637+"h_l!&amp;AC"</f>
        <v>#VALUE!</v>
      </c>
      <c r="GT102" t="e">
        <f>'SurveyRpt_20150223 (1)'!G637+"h_l!&amp;AD"</f>
        <v>#VALUE!</v>
      </c>
      <c r="GU102" t="e">
        <f>'SurveyRpt_20150223 (1)'!H637+"h_l!&amp;AE"</f>
        <v>#VALUE!</v>
      </c>
      <c r="GV102" t="e">
        <f>'SurveyRpt_20150223 (1)'!I637+"h_l!&amp;AF"</f>
        <v>#VALUE!</v>
      </c>
      <c r="GW102" t="e">
        <f>'SurveyRpt_20150223 (1)'!J637+"h_l!&amp;AG"</f>
        <v>#VALUE!</v>
      </c>
      <c r="GX102" t="e">
        <f>'SurveyRpt_20150223 (1)'!K637+"h_l!&amp;AH"</f>
        <v>#VALUE!</v>
      </c>
      <c r="GY102" t="e">
        <f>'SurveyRpt_20150223 (1)'!L637+"h_l!&amp;AI"</f>
        <v>#VALUE!</v>
      </c>
      <c r="GZ102" t="e">
        <f>'SurveyRpt_20150223 (1)'!M637+"h_l!&amp;AJ"</f>
        <v>#VALUE!</v>
      </c>
      <c r="HA102" t="e">
        <f>'SurveyRpt_20150223 (1)'!N637+"h_l!&amp;AK"</f>
        <v>#VALUE!</v>
      </c>
      <c r="HB102" t="e">
        <f>'SurveyRpt_20150223 (1)'!O637+"h_l!&amp;AL"</f>
        <v>#VALUE!</v>
      </c>
      <c r="HC102" t="e">
        <f>'SurveyRpt_20150223 (1)'!P637+"h_l!&amp;AM"</f>
        <v>#VALUE!</v>
      </c>
      <c r="HD102" t="e">
        <f>'SurveyRpt_20150223 (1)'!Q637+"h_l!&amp;AN"</f>
        <v>#VALUE!</v>
      </c>
      <c r="HE102" t="e">
        <f>'SurveyRpt_20150223 (1)'!R637+"h_l!&amp;AO"</f>
        <v>#VALUE!</v>
      </c>
      <c r="HF102" t="e">
        <f>'SurveyRpt_20150223 (1)'!S637+"h_l!&amp;AP"</f>
        <v>#VALUE!</v>
      </c>
      <c r="HG102" t="e">
        <f>'SurveyRpt_20150223 (1)'!T637+"h_l!&amp;AQ"</f>
        <v>#VALUE!</v>
      </c>
      <c r="HH102" t="e">
        <f>'SurveyRpt_20150223 (1)'!U637+"h_l!&amp;AR"</f>
        <v>#VALUE!</v>
      </c>
      <c r="HI102" t="e">
        <f>'SurveyRpt_20150223 (1)'!V637+"h_l!&amp;AS"</f>
        <v>#VALUE!</v>
      </c>
      <c r="HJ102" t="e">
        <f>'SurveyRpt_20150223 (1)'!W637+"h_l!&amp;AT"</f>
        <v>#VALUE!</v>
      </c>
      <c r="HK102" t="e">
        <f>'SurveyRpt_20150223 (1)'!X637+"h_l!&amp;AU"</f>
        <v>#VALUE!</v>
      </c>
      <c r="HL102" t="e">
        <f>'SurveyRpt_20150223 (1)'!Y637+"h_l!&amp;AV"</f>
        <v>#VALUE!</v>
      </c>
      <c r="HM102" t="e">
        <f>'SurveyRpt_20150223 (1)'!Z637+"h_l!&amp;AW"</f>
        <v>#VALUE!</v>
      </c>
      <c r="HN102" t="e">
        <f>'SurveyRpt_20150223 (1)'!AA637+"h_l!&amp;AX"</f>
        <v>#VALUE!</v>
      </c>
      <c r="HO102" t="e">
        <f>'SurveyRpt_20150223 (1)'!AB637+"h_l!&amp;AY"</f>
        <v>#VALUE!</v>
      </c>
      <c r="HP102" t="e">
        <f>'SurveyRpt_20150223 (1)'!AC637+"h_l!&amp;AZ"</f>
        <v>#VALUE!</v>
      </c>
      <c r="HQ102" t="e">
        <f>'SurveyRpt_20150223 (1)'!AD637+"h_l!&amp;A["</f>
        <v>#VALUE!</v>
      </c>
      <c r="HR102" t="e">
        <f>'SurveyRpt_20150223 (1)'!AE637+"h_l!&amp;A\"</f>
        <v>#VALUE!</v>
      </c>
      <c r="HS102" t="e">
        <f>'SurveyRpt_20150223 (1)'!AF637+"h_l!&amp;A]"</f>
        <v>#VALUE!</v>
      </c>
      <c r="HT102" t="e">
        <f>'SurveyRpt_20150223 (1)'!AG637+"h_l!&amp;A^"</f>
        <v>#VALUE!</v>
      </c>
      <c r="HU102" t="e">
        <f>'SurveyRpt_20150223 (1)'!AH637+"h_l!&amp;A_"</f>
        <v>#VALUE!</v>
      </c>
      <c r="HV102" t="e">
        <f>'SurveyRpt_20150223 (1)'!AI637+"h_l!&amp;A`"</f>
        <v>#VALUE!</v>
      </c>
      <c r="HW102" t="e">
        <f>'SurveyRpt_20150223 (1)'!AJ637+"h_l!&amp;Aa"</f>
        <v>#VALUE!</v>
      </c>
      <c r="HX102" t="e">
        <f>'SurveyRpt_20150223 (1)'!AK637+"h_l!&amp;Ab"</f>
        <v>#VALUE!</v>
      </c>
      <c r="HY102" t="e">
        <f>'SurveyRpt_20150223 (1)'!AL637+"h_l!&amp;Ac"</f>
        <v>#VALUE!</v>
      </c>
      <c r="HZ102" t="e">
        <f>'SurveyRpt_20150223 (1)'!AM637+"h_l!&amp;Ad"</f>
        <v>#VALUE!</v>
      </c>
      <c r="IA102" t="e">
        <f>'SurveyRpt_20150223 (1)'!AN637+"h_l!&amp;Ae"</f>
        <v>#VALUE!</v>
      </c>
      <c r="IB102" t="e">
        <f>'SurveyRpt_20150223 (1)'!A638+"h_l!&amp;Af"</f>
        <v>#VALUE!</v>
      </c>
      <c r="IC102" s="25" t="e">
        <f>'SurveyRpt_20150223 (1)'!B638+"h_l!&amp;Ag"</f>
        <v>#VALUE!</v>
      </c>
      <c r="ID102" t="e">
        <f>'SurveyRpt_20150223 (1)'!C638+"h_l!&amp;Ah"</f>
        <v>#VALUE!</v>
      </c>
      <c r="IE102" s="25" t="e">
        <f>'SurveyRpt_20150223 (1)'!D638+"h_l!&amp;Ai"</f>
        <v>#VALUE!</v>
      </c>
      <c r="IF102" t="e">
        <f>'SurveyRpt_20150223 (1)'!E638+"h_l!&amp;Aj"</f>
        <v>#VALUE!</v>
      </c>
      <c r="IG102" t="e">
        <f>'SurveyRpt_20150223 (1)'!F638+"h_l!&amp;Ak"</f>
        <v>#VALUE!</v>
      </c>
      <c r="IH102" t="e">
        <f>'SurveyRpt_20150223 (1)'!G638+"h_l!&amp;Al"</f>
        <v>#VALUE!</v>
      </c>
      <c r="II102" t="e">
        <f>'SurveyRpt_20150223 (1)'!H638+"h_l!&amp;Am"</f>
        <v>#VALUE!</v>
      </c>
      <c r="IJ102" t="e">
        <f>'SurveyRpt_20150223 (1)'!I638+"h_l!&amp;An"</f>
        <v>#VALUE!</v>
      </c>
      <c r="IK102" t="e">
        <f>'SurveyRpt_20150223 (1)'!J638+"h_l!&amp;Ao"</f>
        <v>#VALUE!</v>
      </c>
      <c r="IL102" t="e">
        <f>'SurveyRpt_20150223 (1)'!K638+"h_l!&amp;Ap"</f>
        <v>#VALUE!</v>
      </c>
      <c r="IM102" t="e">
        <f>'SurveyRpt_20150223 (1)'!L638+"h_l!&amp;Aq"</f>
        <v>#VALUE!</v>
      </c>
      <c r="IN102" t="e">
        <f>'SurveyRpt_20150223 (1)'!M638+"h_l!&amp;Ar"</f>
        <v>#VALUE!</v>
      </c>
      <c r="IO102" t="e">
        <f>'SurveyRpt_20150223 (1)'!N638+"h_l!&amp;As"</f>
        <v>#VALUE!</v>
      </c>
      <c r="IP102" t="e">
        <f>'SurveyRpt_20150223 (1)'!O638+"h_l!&amp;At"</f>
        <v>#VALUE!</v>
      </c>
      <c r="IQ102" t="e">
        <f>'SurveyRpt_20150223 (1)'!P638+"h_l!&amp;Au"</f>
        <v>#VALUE!</v>
      </c>
      <c r="IR102" t="e">
        <f>'SurveyRpt_20150223 (1)'!Q638+"h_l!&amp;Av"</f>
        <v>#VALUE!</v>
      </c>
      <c r="IS102" t="e">
        <f>'SurveyRpt_20150223 (1)'!R638+"h_l!&amp;Aw"</f>
        <v>#VALUE!</v>
      </c>
      <c r="IT102" t="e">
        <f>'SurveyRpt_20150223 (1)'!S638+"h_l!&amp;Ax"</f>
        <v>#VALUE!</v>
      </c>
      <c r="IU102" t="e">
        <f>'SurveyRpt_20150223 (1)'!T638+"h_l!&amp;Ay"</f>
        <v>#VALUE!</v>
      </c>
      <c r="IV102" t="e">
        <f>'SurveyRpt_20150223 (1)'!U638+"h_l!&amp;Az"</f>
        <v>#VALUE!</v>
      </c>
    </row>
    <row r="103" spans="6:256" x14ac:dyDescent="0.25">
      <c r="F103" t="e">
        <f>'SurveyRpt_20150223 (1)'!V638+"h_l!&amp;A{"</f>
        <v>#VALUE!</v>
      </c>
      <c r="G103" t="e">
        <f>'SurveyRpt_20150223 (1)'!W638+"h_l!&amp;A|"</f>
        <v>#VALUE!</v>
      </c>
      <c r="H103" t="e">
        <f>'SurveyRpt_20150223 (1)'!X638+"h_l!&amp;A}"</f>
        <v>#VALUE!</v>
      </c>
      <c r="I103" t="e">
        <f>'SurveyRpt_20150223 (1)'!Y638+"h_l!&amp;A~"</f>
        <v>#VALUE!</v>
      </c>
      <c r="J103" t="e">
        <f>'SurveyRpt_20150223 (1)'!Z638+"h_l!&amp;B#"</f>
        <v>#VALUE!</v>
      </c>
      <c r="K103" t="e">
        <f>'SurveyRpt_20150223 (1)'!AA638+"h_l!&amp;B$"</f>
        <v>#VALUE!</v>
      </c>
      <c r="L103" t="e">
        <f>'SurveyRpt_20150223 (1)'!AB638+"h_l!&amp;B%"</f>
        <v>#VALUE!</v>
      </c>
      <c r="M103" t="e">
        <f>'SurveyRpt_20150223 (1)'!AC638+"h_l!&amp;B&amp;"</f>
        <v>#VALUE!</v>
      </c>
      <c r="N103" t="e">
        <f>'SurveyRpt_20150223 (1)'!AD638+"h_l!&amp;B'"</f>
        <v>#VALUE!</v>
      </c>
      <c r="O103" t="e">
        <f>'SurveyRpt_20150223 (1)'!AE638+"h_l!&amp;B("</f>
        <v>#VALUE!</v>
      </c>
      <c r="P103" t="e">
        <f>'SurveyRpt_20150223 (1)'!AF638+"h_l!&amp;B)"</f>
        <v>#VALUE!</v>
      </c>
      <c r="Q103" t="e">
        <f>'SurveyRpt_20150223 (1)'!AG638+"h_l!&amp;B."</f>
        <v>#VALUE!</v>
      </c>
      <c r="R103" t="e">
        <f>'SurveyRpt_20150223 (1)'!AH638+"h_l!&amp;B/"</f>
        <v>#VALUE!</v>
      </c>
      <c r="S103" t="e">
        <f>'SurveyRpt_20150223 (1)'!AI638+"h_l!&amp;B0"</f>
        <v>#VALUE!</v>
      </c>
      <c r="T103" t="e">
        <f>'SurveyRpt_20150223 (1)'!AJ638+"h_l!&amp;B1"</f>
        <v>#VALUE!</v>
      </c>
      <c r="U103" t="e">
        <f>'SurveyRpt_20150223 (1)'!AK638+"h_l!&amp;B2"</f>
        <v>#VALUE!</v>
      </c>
      <c r="V103" t="e">
        <f>'SurveyRpt_20150223 (1)'!AL638+"h_l!&amp;B3"</f>
        <v>#VALUE!</v>
      </c>
      <c r="W103" t="e">
        <f>'SurveyRpt_20150223 (1)'!AM638+"h_l!&amp;B4"</f>
        <v>#VALUE!</v>
      </c>
      <c r="X103" t="e">
        <f>'SurveyRpt_20150223 (1)'!AN638+"h_l!&amp;B5"</f>
        <v>#VALUE!</v>
      </c>
      <c r="Y103" t="e">
        <f>'SurveyRpt_20150223 (1)'!A639+"h_l!&amp;B6"</f>
        <v>#VALUE!</v>
      </c>
      <c r="Z103" s="25" t="e">
        <f>'SurveyRpt_20150223 (1)'!B639+"h_l!&amp;B7"</f>
        <v>#VALUE!</v>
      </c>
      <c r="AA103" t="e">
        <f>'SurveyRpt_20150223 (1)'!C639+"h_l!&amp;B8"</f>
        <v>#VALUE!</v>
      </c>
      <c r="AB103" s="25" t="e">
        <f>'SurveyRpt_20150223 (1)'!D639+"h_l!&amp;B9"</f>
        <v>#VALUE!</v>
      </c>
      <c r="AC103" t="e">
        <f>'SurveyRpt_20150223 (1)'!E639+"h_l!&amp;B:"</f>
        <v>#VALUE!</v>
      </c>
      <c r="AD103" t="e">
        <f>'SurveyRpt_20150223 (1)'!F639+"h_l!&amp;B;"</f>
        <v>#VALUE!</v>
      </c>
      <c r="AE103" t="e">
        <f>'SurveyRpt_20150223 (1)'!G639+"h_l!&amp;B&lt;"</f>
        <v>#VALUE!</v>
      </c>
      <c r="AF103" t="e">
        <f>'SurveyRpt_20150223 (1)'!H639+"h_l!&amp;B="</f>
        <v>#VALUE!</v>
      </c>
      <c r="AG103" t="e">
        <f>'SurveyRpt_20150223 (1)'!I639+"h_l!&amp;B&gt;"</f>
        <v>#VALUE!</v>
      </c>
      <c r="AH103" t="e">
        <f>'SurveyRpt_20150223 (1)'!J639+"h_l!&amp;B?"</f>
        <v>#VALUE!</v>
      </c>
      <c r="AI103" t="e">
        <f>'SurveyRpt_20150223 (1)'!K639+"h_l!&amp;B@"</f>
        <v>#VALUE!</v>
      </c>
      <c r="AJ103" t="e">
        <f>'SurveyRpt_20150223 (1)'!L639+"h_l!&amp;BA"</f>
        <v>#VALUE!</v>
      </c>
      <c r="AK103" t="e">
        <f>'SurveyRpt_20150223 (1)'!M639+"h_l!&amp;BB"</f>
        <v>#VALUE!</v>
      </c>
      <c r="AL103" t="e">
        <f>'SurveyRpt_20150223 (1)'!N639+"h_l!&amp;BC"</f>
        <v>#VALUE!</v>
      </c>
      <c r="AM103" t="e">
        <f>'SurveyRpt_20150223 (1)'!O639+"h_l!&amp;BD"</f>
        <v>#VALUE!</v>
      </c>
      <c r="AN103" t="e">
        <f>'SurveyRpt_20150223 (1)'!P639+"h_l!&amp;BE"</f>
        <v>#VALUE!</v>
      </c>
      <c r="AO103" t="e">
        <f>'SurveyRpt_20150223 (1)'!Q639+"h_l!&amp;BF"</f>
        <v>#VALUE!</v>
      </c>
      <c r="AP103" t="e">
        <f>'SurveyRpt_20150223 (1)'!R639+"h_l!&amp;BG"</f>
        <v>#VALUE!</v>
      </c>
      <c r="AQ103" t="e">
        <f>'SurveyRpt_20150223 (1)'!S639+"h_l!&amp;BH"</f>
        <v>#VALUE!</v>
      </c>
      <c r="AR103" t="e">
        <f>'SurveyRpt_20150223 (1)'!T639+"h_l!&amp;BI"</f>
        <v>#VALUE!</v>
      </c>
      <c r="AS103" t="e">
        <f>'SurveyRpt_20150223 (1)'!U639+"h_l!&amp;BJ"</f>
        <v>#VALUE!</v>
      </c>
      <c r="AT103" t="e">
        <f>'SurveyRpt_20150223 (1)'!V639+"h_l!&amp;BK"</f>
        <v>#VALUE!</v>
      </c>
      <c r="AU103" t="e">
        <f>'SurveyRpt_20150223 (1)'!W639+"h_l!&amp;BL"</f>
        <v>#VALUE!</v>
      </c>
      <c r="AV103" t="e">
        <f>'SurveyRpt_20150223 (1)'!X639+"h_l!&amp;BM"</f>
        <v>#VALUE!</v>
      </c>
      <c r="AW103" t="e">
        <f>'SurveyRpt_20150223 (1)'!Y639+"h_l!&amp;BN"</f>
        <v>#VALUE!</v>
      </c>
      <c r="AX103" t="e">
        <f>'SurveyRpt_20150223 (1)'!Z639+"h_l!&amp;BO"</f>
        <v>#VALUE!</v>
      </c>
      <c r="AY103" t="e">
        <f>'SurveyRpt_20150223 (1)'!AA639+"h_l!&amp;BP"</f>
        <v>#VALUE!</v>
      </c>
      <c r="AZ103" t="e">
        <f>'SurveyRpt_20150223 (1)'!AB639+"h_l!&amp;BQ"</f>
        <v>#VALUE!</v>
      </c>
      <c r="BA103" t="e">
        <f>'SurveyRpt_20150223 (1)'!AC639+"h_l!&amp;BR"</f>
        <v>#VALUE!</v>
      </c>
      <c r="BB103" t="e">
        <f>'SurveyRpt_20150223 (1)'!AD639+"h_l!&amp;BS"</f>
        <v>#VALUE!</v>
      </c>
      <c r="BC103" t="e">
        <f>'SurveyRpt_20150223 (1)'!AE639+"h_l!&amp;BT"</f>
        <v>#VALUE!</v>
      </c>
      <c r="BD103" t="e">
        <f>'SurveyRpt_20150223 (1)'!AF639+"h_l!&amp;BU"</f>
        <v>#VALUE!</v>
      </c>
      <c r="BE103" t="e">
        <f>'SurveyRpt_20150223 (1)'!AG639+"h_l!&amp;BV"</f>
        <v>#VALUE!</v>
      </c>
      <c r="BF103" t="e">
        <f>'SurveyRpt_20150223 (1)'!AH639+"h_l!&amp;BW"</f>
        <v>#VALUE!</v>
      </c>
      <c r="BG103" t="e">
        <f>'SurveyRpt_20150223 (1)'!AI639+"h_l!&amp;BX"</f>
        <v>#VALUE!</v>
      </c>
      <c r="BH103" t="e">
        <f>'SurveyRpt_20150223 (1)'!AJ639+"h_l!&amp;BY"</f>
        <v>#VALUE!</v>
      </c>
      <c r="BI103" t="e">
        <f>'SurveyRpt_20150223 (1)'!AK639+"h_l!&amp;BZ"</f>
        <v>#VALUE!</v>
      </c>
      <c r="BJ103" t="e">
        <f>'SurveyRpt_20150223 (1)'!AL639+"h_l!&amp;B["</f>
        <v>#VALUE!</v>
      </c>
      <c r="BK103" t="e">
        <f>'SurveyRpt_20150223 (1)'!AM639+"h_l!&amp;B\"</f>
        <v>#VALUE!</v>
      </c>
      <c r="BL103" t="e">
        <f>'SurveyRpt_20150223 (1)'!AN639+"h_l!&amp;B]"</f>
        <v>#VALUE!</v>
      </c>
      <c r="BM103" t="e">
        <f>'SurveyRpt_20150223 (1)'!A640+"h_l!&amp;B^"</f>
        <v>#VALUE!</v>
      </c>
      <c r="BN103" s="25" t="e">
        <f>'SurveyRpt_20150223 (1)'!B640+"h_l!&amp;B_"</f>
        <v>#VALUE!</v>
      </c>
      <c r="BO103" t="e">
        <f>'SurveyRpt_20150223 (1)'!C640+"h_l!&amp;B`"</f>
        <v>#VALUE!</v>
      </c>
      <c r="BP103" s="25" t="e">
        <f>'SurveyRpt_20150223 (1)'!D640+"h_l!&amp;Ba"</f>
        <v>#VALUE!</v>
      </c>
      <c r="BQ103" t="e">
        <f>'SurveyRpt_20150223 (1)'!E640+"h_l!&amp;Bb"</f>
        <v>#VALUE!</v>
      </c>
      <c r="BR103" t="e">
        <f>'SurveyRpt_20150223 (1)'!F640+"h_l!&amp;Bc"</f>
        <v>#VALUE!</v>
      </c>
      <c r="BS103" t="e">
        <f>'SurveyRpt_20150223 (1)'!G640+"h_l!&amp;Bd"</f>
        <v>#VALUE!</v>
      </c>
      <c r="BT103" t="e">
        <f>'SurveyRpt_20150223 (1)'!H640+"h_l!&amp;Be"</f>
        <v>#VALUE!</v>
      </c>
      <c r="BU103" t="e">
        <f>'SurveyRpt_20150223 (1)'!I640+"h_l!&amp;Bf"</f>
        <v>#VALUE!</v>
      </c>
      <c r="BV103" t="e">
        <f>'SurveyRpt_20150223 (1)'!J640+"h_l!&amp;Bg"</f>
        <v>#VALUE!</v>
      </c>
      <c r="BW103" t="e">
        <f>'SurveyRpt_20150223 (1)'!K640+"h_l!&amp;Bh"</f>
        <v>#VALUE!</v>
      </c>
      <c r="BX103" t="e">
        <f>'SurveyRpt_20150223 (1)'!L640+"h_l!&amp;Bi"</f>
        <v>#VALUE!</v>
      </c>
      <c r="BY103" t="e">
        <f>'SurveyRpt_20150223 (1)'!M640+"h_l!&amp;Bj"</f>
        <v>#VALUE!</v>
      </c>
      <c r="BZ103" t="e">
        <f>'SurveyRpt_20150223 (1)'!N640+"h_l!&amp;Bk"</f>
        <v>#VALUE!</v>
      </c>
      <c r="CA103" t="e">
        <f>'SurveyRpt_20150223 (1)'!O640+"h_l!&amp;Bl"</f>
        <v>#VALUE!</v>
      </c>
      <c r="CB103" t="e">
        <f>'SurveyRpt_20150223 (1)'!P640+"h_l!&amp;Bm"</f>
        <v>#VALUE!</v>
      </c>
      <c r="CC103" t="e">
        <f>'SurveyRpt_20150223 (1)'!Q640+"h_l!&amp;Bn"</f>
        <v>#VALUE!</v>
      </c>
      <c r="CD103" t="e">
        <f>'SurveyRpt_20150223 (1)'!R640+"h_l!&amp;Bo"</f>
        <v>#VALUE!</v>
      </c>
      <c r="CE103" t="e">
        <f>'SurveyRpt_20150223 (1)'!S640+"h_l!&amp;Bp"</f>
        <v>#VALUE!</v>
      </c>
      <c r="CF103" t="e">
        <f>'SurveyRpt_20150223 (1)'!T640+"h_l!&amp;Bq"</f>
        <v>#VALUE!</v>
      </c>
      <c r="CG103" t="e">
        <f>'SurveyRpt_20150223 (1)'!U640+"h_l!&amp;Br"</f>
        <v>#VALUE!</v>
      </c>
      <c r="CH103" t="e">
        <f>'SurveyRpt_20150223 (1)'!V640+"h_l!&amp;Bs"</f>
        <v>#VALUE!</v>
      </c>
      <c r="CI103" t="e">
        <f>'SurveyRpt_20150223 (1)'!W640+"h_l!&amp;Bt"</f>
        <v>#VALUE!</v>
      </c>
      <c r="CJ103" t="e">
        <f>'SurveyRpt_20150223 (1)'!X640+"h_l!&amp;Bu"</f>
        <v>#VALUE!</v>
      </c>
      <c r="CK103" t="e">
        <f>'SurveyRpt_20150223 (1)'!Y640+"h_l!&amp;Bv"</f>
        <v>#VALUE!</v>
      </c>
      <c r="CL103" t="e">
        <f>'SurveyRpt_20150223 (1)'!Z640+"h_l!&amp;Bw"</f>
        <v>#VALUE!</v>
      </c>
      <c r="CM103" t="e">
        <f>'SurveyRpt_20150223 (1)'!AA640+"h_l!&amp;Bx"</f>
        <v>#VALUE!</v>
      </c>
      <c r="CN103" t="e">
        <f>'SurveyRpt_20150223 (1)'!AB640+"h_l!&amp;By"</f>
        <v>#VALUE!</v>
      </c>
      <c r="CO103" t="e">
        <f>'SurveyRpt_20150223 (1)'!AC640+"h_l!&amp;Bz"</f>
        <v>#VALUE!</v>
      </c>
      <c r="CP103" t="e">
        <f>'SurveyRpt_20150223 (1)'!AD640+"h_l!&amp;B{"</f>
        <v>#VALUE!</v>
      </c>
      <c r="CQ103" t="e">
        <f>'SurveyRpt_20150223 (1)'!AE640+"h_l!&amp;B|"</f>
        <v>#VALUE!</v>
      </c>
      <c r="CR103" t="e">
        <f>'SurveyRpt_20150223 (1)'!AF640+"h_l!&amp;B}"</f>
        <v>#VALUE!</v>
      </c>
      <c r="CS103" t="e">
        <f>'SurveyRpt_20150223 (1)'!AG640+"h_l!&amp;B~"</f>
        <v>#VALUE!</v>
      </c>
      <c r="CT103" t="e">
        <f>'SurveyRpt_20150223 (1)'!AH640+"h_l!&amp;C#"</f>
        <v>#VALUE!</v>
      </c>
      <c r="CU103" t="e">
        <f>'SurveyRpt_20150223 (1)'!AI640+"h_l!&amp;C$"</f>
        <v>#VALUE!</v>
      </c>
      <c r="CV103" t="e">
        <f>'SurveyRpt_20150223 (1)'!AJ640+"h_l!&amp;C%"</f>
        <v>#VALUE!</v>
      </c>
      <c r="CW103" t="e">
        <f>'SurveyRpt_20150223 (1)'!AK640+"h_l!&amp;C&amp;"</f>
        <v>#VALUE!</v>
      </c>
      <c r="CX103" t="e">
        <f>'SurveyRpt_20150223 (1)'!AL640+"h_l!&amp;C'"</f>
        <v>#VALUE!</v>
      </c>
      <c r="CY103" t="e">
        <f>'SurveyRpt_20150223 (1)'!AM640+"h_l!&amp;C("</f>
        <v>#VALUE!</v>
      </c>
      <c r="CZ103" t="e">
        <f>'SurveyRpt_20150223 (1)'!AN640+"h_l!&amp;C)"</f>
        <v>#VALUE!</v>
      </c>
      <c r="DA103" t="e">
        <f>'SurveyRpt_20150223 (1)'!A641+"h_l!&amp;C."</f>
        <v>#VALUE!</v>
      </c>
      <c r="DB103" s="25" t="e">
        <f>'SurveyRpt_20150223 (1)'!B641+"h_l!&amp;C/"</f>
        <v>#VALUE!</v>
      </c>
      <c r="DC103" t="e">
        <f>'SurveyRpt_20150223 (1)'!C641+"h_l!&amp;C0"</f>
        <v>#VALUE!</v>
      </c>
      <c r="DD103" s="25" t="e">
        <f>'SurveyRpt_20150223 (1)'!D641+"h_l!&amp;C1"</f>
        <v>#VALUE!</v>
      </c>
      <c r="DE103" t="e">
        <f>'SurveyRpt_20150223 (1)'!E641+"h_l!&amp;C2"</f>
        <v>#VALUE!</v>
      </c>
      <c r="DF103" t="e">
        <f>'SurveyRpt_20150223 (1)'!F641+"h_l!&amp;C3"</f>
        <v>#VALUE!</v>
      </c>
      <c r="DG103" t="e">
        <f>'SurveyRpt_20150223 (1)'!G641+"h_l!&amp;C4"</f>
        <v>#VALUE!</v>
      </c>
      <c r="DH103" t="e">
        <f>'SurveyRpt_20150223 (1)'!H641+"h_l!&amp;C5"</f>
        <v>#VALUE!</v>
      </c>
      <c r="DI103" t="e">
        <f>'SurveyRpt_20150223 (1)'!I641+"h_l!&amp;C6"</f>
        <v>#VALUE!</v>
      </c>
      <c r="DJ103" t="e">
        <f>'SurveyRpt_20150223 (1)'!J641+"h_l!&amp;C7"</f>
        <v>#VALUE!</v>
      </c>
      <c r="DK103" t="e">
        <f>'SurveyRpt_20150223 (1)'!K641+"h_l!&amp;C8"</f>
        <v>#VALUE!</v>
      </c>
      <c r="DL103" t="e">
        <f>'SurveyRpt_20150223 (1)'!L641+"h_l!&amp;C9"</f>
        <v>#VALUE!</v>
      </c>
      <c r="DM103" t="e">
        <f>'SurveyRpt_20150223 (1)'!M641+"h_l!&amp;C:"</f>
        <v>#VALUE!</v>
      </c>
      <c r="DN103" t="e">
        <f>'SurveyRpt_20150223 (1)'!N641+"h_l!&amp;C;"</f>
        <v>#VALUE!</v>
      </c>
      <c r="DO103" t="e">
        <f>'SurveyRpt_20150223 (1)'!O641+"h_l!&amp;C&lt;"</f>
        <v>#VALUE!</v>
      </c>
      <c r="DP103" t="e">
        <f>'SurveyRpt_20150223 (1)'!P641+"h_l!&amp;C="</f>
        <v>#VALUE!</v>
      </c>
      <c r="DQ103" t="e">
        <f>'SurveyRpt_20150223 (1)'!Q641+"h_l!&amp;C&gt;"</f>
        <v>#VALUE!</v>
      </c>
      <c r="DR103" t="e">
        <f>'SurveyRpt_20150223 (1)'!R641+"h_l!&amp;C?"</f>
        <v>#VALUE!</v>
      </c>
      <c r="DS103" t="e">
        <f>'SurveyRpt_20150223 (1)'!S641+"h_l!&amp;C@"</f>
        <v>#VALUE!</v>
      </c>
      <c r="DT103" t="e">
        <f>'SurveyRpt_20150223 (1)'!T641+"h_l!&amp;CA"</f>
        <v>#VALUE!</v>
      </c>
      <c r="DU103" t="e">
        <f>'SurveyRpt_20150223 (1)'!U641+"h_l!&amp;CB"</f>
        <v>#VALUE!</v>
      </c>
      <c r="DV103" t="e">
        <f>'SurveyRpt_20150223 (1)'!V641+"h_l!&amp;CC"</f>
        <v>#VALUE!</v>
      </c>
      <c r="DW103" t="e">
        <f>'SurveyRpt_20150223 (1)'!W641+"h_l!&amp;CD"</f>
        <v>#VALUE!</v>
      </c>
      <c r="DX103" t="e">
        <f>'SurveyRpt_20150223 (1)'!X641+"h_l!&amp;CE"</f>
        <v>#VALUE!</v>
      </c>
      <c r="DY103" t="e">
        <f>'SurveyRpt_20150223 (1)'!Y641+"h_l!&amp;CF"</f>
        <v>#VALUE!</v>
      </c>
      <c r="DZ103" t="e">
        <f>'SurveyRpt_20150223 (1)'!Z641+"h_l!&amp;CG"</f>
        <v>#VALUE!</v>
      </c>
      <c r="EA103" t="e">
        <f>'SurveyRpt_20150223 (1)'!AA641+"h_l!&amp;CH"</f>
        <v>#VALUE!</v>
      </c>
      <c r="EB103" t="e">
        <f>'SurveyRpt_20150223 (1)'!AB641+"h_l!&amp;CI"</f>
        <v>#VALUE!</v>
      </c>
      <c r="EC103" t="e">
        <f>'SurveyRpt_20150223 (1)'!AC641+"h_l!&amp;CJ"</f>
        <v>#VALUE!</v>
      </c>
      <c r="ED103" t="e">
        <f>'SurveyRpt_20150223 (1)'!AD641+"h_l!&amp;CK"</f>
        <v>#VALUE!</v>
      </c>
      <c r="EE103" t="e">
        <f>'SurveyRpt_20150223 (1)'!AE641+"h_l!&amp;CL"</f>
        <v>#VALUE!</v>
      </c>
      <c r="EF103" t="e">
        <f>'SurveyRpt_20150223 (1)'!AF641+"h_l!&amp;CM"</f>
        <v>#VALUE!</v>
      </c>
      <c r="EG103" t="e">
        <f>'SurveyRpt_20150223 (1)'!AG641+"h_l!&amp;CN"</f>
        <v>#VALUE!</v>
      </c>
      <c r="EH103" t="e">
        <f>'SurveyRpt_20150223 (1)'!AH641+"h_l!&amp;CO"</f>
        <v>#VALUE!</v>
      </c>
      <c r="EI103" t="e">
        <f>'SurveyRpt_20150223 (1)'!AI641+"h_l!&amp;CP"</f>
        <v>#VALUE!</v>
      </c>
      <c r="EJ103" t="e">
        <f>'SurveyRpt_20150223 (1)'!AJ641+"h_l!&amp;CQ"</f>
        <v>#VALUE!</v>
      </c>
      <c r="EK103" t="e">
        <f>'SurveyRpt_20150223 (1)'!AK641+"h_l!&amp;CR"</f>
        <v>#VALUE!</v>
      </c>
      <c r="EL103" t="e">
        <f>'SurveyRpt_20150223 (1)'!AL641+"h_l!&amp;CS"</f>
        <v>#VALUE!</v>
      </c>
      <c r="EM103" t="e">
        <f>'SurveyRpt_20150223 (1)'!AM641+"h_l!&amp;CT"</f>
        <v>#VALUE!</v>
      </c>
      <c r="EN103" t="e">
        <f>'SurveyRpt_20150223 (1)'!AN641+"h_l!&amp;CU"</f>
        <v>#VALUE!</v>
      </c>
      <c r="EO103" t="e">
        <f>'SurveyRpt_20150223 (1)'!A642+"h_l!&amp;CV"</f>
        <v>#VALUE!</v>
      </c>
      <c r="EP103" s="25" t="e">
        <f>'SurveyRpt_20150223 (1)'!B642+"h_l!&amp;CW"</f>
        <v>#VALUE!</v>
      </c>
      <c r="EQ103" t="e">
        <f>'SurveyRpt_20150223 (1)'!C642+"h_l!&amp;CX"</f>
        <v>#VALUE!</v>
      </c>
      <c r="ER103" s="25" t="e">
        <f>'SurveyRpt_20150223 (1)'!D642+"h_l!&amp;CY"</f>
        <v>#VALUE!</v>
      </c>
      <c r="ES103" t="e">
        <f>'SurveyRpt_20150223 (1)'!E642+"h_l!&amp;CZ"</f>
        <v>#VALUE!</v>
      </c>
      <c r="ET103" t="e">
        <f>'SurveyRpt_20150223 (1)'!F642+"h_l!&amp;C["</f>
        <v>#VALUE!</v>
      </c>
      <c r="EU103" t="e">
        <f>'SurveyRpt_20150223 (1)'!G642+"h_l!&amp;C\"</f>
        <v>#VALUE!</v>
      </c>
      <c r="EV103" t="e">
        <f>'SurveyRpt_20150223 (1)'!H642+"h_l!&amp;C]"</f>
        <v>#VALUE!</v>
      </c>
      <c r="EW103" t="e">
        <f>'SurveyRpt_20150223 (1)'!I642+"h_l!&amp;C^"</f>
        <v>#VALUE!</v>
      </c>
      <c r="EX103" t="e">
        <f>'SurveyRpt_20150223 (1)'!J642+"h_l!&amp;C_"</f>
        <v>#VALUE!</v>
      </c>
      <c r="EY103" t="e">
        <f>'SurveyRpt_20150223 (1)'!K642+"h_l!&amp;C`"</f>
        <v>#VALUE!</v>
      </c>
      <c r="EZ103" t="e">
        <f>'SurveyRpt_20150223 (1)'!L642+"h_l!&amp;Ca"</f>
        <v>#VALUE!</v>
      </c>
      <c r="FA103" t="e">
        <f>'SurveyRpt_20150223 (1)'!M642+"h_l!&amp;Cb"</f>
        <v>#VALUE!</v>
      </c>
      <c r="FB103" t="e">
        <f>'SurveyRpt_20150223 (1)'!N642+"h_l!&amp;Cc"</f>
        <v>#VALUE!</v>
      </c>
      <c r="FC103" t="e">
        <f>'SurveyRpt_20150223 (1)'!O642+"h_l!&amp;Cd"</f>
        <v>#VALUE!</v>
      </c>
      <c r="FD103" t="e">
        <f>'SurveyRpt_20150223 (1)'!P642+"h_l!&amp;Ce"</f>
        <v>#VALUE!</v>
      </c>
      <c r="FE103" t="e">
        <f>'SurveyRpt_20150223 (1)'!Q642+"h_l!&amp;Cf"</f>
        <v>#VALUE!</v>
      </c>
      <c r="FF103" t="e">
        <f>'SurveyRpt_20150223 (1)'!R642+"h_l!&amp;Cg"</f>
        <v>#VALUE!</v>
      </c>
      <c r="FG103" t="e">
        <f>'SurveyRpt_20150223 (1)'!S642+"h_l!&amp;Ch"</f>
        <v>#VALUE!</v>
      </c>
      <c r="FH103" t="e">
        <f>'SurveyRpt_20150223 (1)'!T642+"h_l!&amp;Ci"</f>
        <v>#VALUE!</v>
      </c>
      <c r="FI103" t="e">
        <f>'SurveyRpt_20150223 (1)'!U642+"h_l!&amp;Cj"</f>
        <v>#VALUE!</v>
      </c>
      <c r="FJ103" t="e">
        <f>'SurveyRpt_20150223 (1)'!V642+"h_l!&amp;Ck"</f>
        <v>#VALUE!</v>
      </c>
      <c r="FK103" t="e">
        <f>'SurveyRpt_20150223 (1)'!W642+"h_l!&amp;Cl"</f>
        <v>#VALUE!</v>
      </c>
      <c r="FL103" t="e">
        <f>'SurveyRpt_20150223 (1)'!X642+"h_l!&amp;Cm"</f>
        <v>#VALUE!</v>
      </c>
      <c r="FM103" t="e">
        <f>'SurveyRpt_20150223 (1)'!Y642+"h_l!&amp;Cn"</f>
        <v>#VALUE!</v>
      </c>
      <c r="FN103" t="e">
        <f>'SurveyRpt_20150223 (1)'!Z642+"h_l!&amp;Co"</f>
        <v>#VALUE!</v>
      </c>
      <c r="FO103" t="e">
        <f>'SurveyRpt_20150223 (1)'!AA642+"h_l!&amp;Cp"</f>
        <v>#VALUE!</v>
      </c>
      <c r="FP103" t="e">
        <f>'SurveyRpt_20150223 (1)'!AB642+"h_l!&amp;Cq"</f>
        <v>#VALUE!</v>
      </c>
      <c r="FQ103" t="e">
        <f>'SurveyRpt_20150223 (1)'!AC642+"h_l!&amp;Cr"</f>
        <v>#VALUE!</v>
      </c>
      <c r="FR103" t="e">
        <f>'SurveyRpt_20150223 (1)'!AD642+"h_l!&amp;Cs"</f>
        <v>#VALUE!</v>
      </c>
      <c r="FS103" t="e">
        <f>'SurveyRpt_20150223 (1)'!AE642+"h_l!&amp;Ct"</f>
        <v>#VALUE!</v>
      </c>
      <c r="FT103" t="e">
        <f>'SurveyRpt_20150223 (1)'!AF642+"h_l!&amp;Cu"</f>
        <v>#VALUE!</v>
      </c>
      <c r="FU103" t="e">
        <f>'SurveyRpt_20150223 (1)'!AG642+"h_l!&amp;Cv"</f>
        <v>#VALUE!</v>
      </c>
      <c r="FV103" t="e">
        <f>'SurveyRpt_20150223 (1)'!AH642+"h_l!&amp;Cw"</f>
        <v>#VALUE!</v>
      </c>
      <c r="FW103" t="e">
        <f>'SurveyRpt_20150223 (1)'!AI642+"h_l!&amp;Cx"</f>
        <v>#VALUE!</v>
      </c>
      <c r="FX103" t="e">
        <f>'SurveyRpt_20150223 (1)'!AJ642+"h_l!&amp;Cy"</f>
        <v>#VALUE!</v>
      </c>
      <c r="FY103" t="e">
        <f>'SurveyRpt_20150223 (1)'!AK642+"h_l!&amp;Cz"</f>
        <v>#VALUE!</v>
      </c>
      <c r="FZ103" t="e">
        <f>'SurveyRpt_20150223 (1)'!AL642+"h_l!&amp;C{"</f>
        <v>#VALUE!</v>
      </c>
      <c r="GA103" t="e">
        <f>'SurveyRpt_20150223 (1)'!AM642+"h_l!&amp;C|"</f>
        <v>#VALUE!</v>
      </c>
      <c r="GB103" t="e">
        <f>'SurveyRpt_20150223 (1)'!AN642+"h_l!&amp;C}"</f>
        <v>#VALUE!</v>
      </c>
      <c r="GC103" t="e">
        <f>'SurveyRpt_20150223 (1)'!A643+"h_l!&amp;C~"</f>
        <v>#VALUE!</v>
      </c>
      <c r="GD103" s="25" t="e">
        <f>'SurveyRpt_20150223 (1)'!B643+"h_l!&amp;D#"</f>
        <v>#VALUE!</v>
      </c>
      <c r="GE103" t="e">
        <f>'SurveyRpt_20150223 (1)'!C643+"h_l!&amp;D$"</f>
        <v>#VALUE!</v>
      </c>
      <c r="GF103" s="25" t="e">
        <f>'SurveyRpt_20150223 (1)'!D643+"h_l!&amp;D%"</f>
        <v>#VALUE!</v>
      </c>
      <c r="GG103" t="e">
        <f>'SurveyRpt_20150223 (1)'!E643+"h_l!&amp;D&amp;"</f>
        <v>#VALUE!</v>
      </c>
      <c r="GH103" t="e">
        <f>'SurveyRpt_20150223 (1)'!F643+"h_l!&amp;D'"</f>
        <v>#VALUE!</v>
      </c>
      <c r="GI103" t="e">
        <f>'SurveyRpt_20150223 (1)'!G643+"h_l!&amp;D("</f>
        <v>#VALUE!</v>
      </c>
      <c r="GJ103" t="e">
        <f>'SurveyRpt_20150223 (1)'!H643+"h_l!&amp;D)"</f>
        <v>#VALUE!</v>
      </c>
      <c r="GK103" t="e">
        <f>'SurveyRpt_20150223 (1)'!I643+"h_l!&amp;D."</f>
        <v>#VALUE!</v>
      </c>
      <c r="GL103" t="e">
        <f>'SurveyRpt_20150223 (1)'!J643+"h_l!&amp;D/"</f>
        <v>#VALUE!</v>
      </c>
      <c r="GM103" t="e">
        <f>'SurveyRpt_20150223 (1)'!K643+"h_l!&amp;D0"</f>
        <v>#VALUE!</v>
      </c>
      <c r="GN103" t="e">
        <f>'SurveyRpt_20150223 (1)'!L643+"h_l!&amp;D1"</f>
        <v>#VALUE!</v>
      </c>
      <c r="GO103" t="e">
        <f>'SurveyRpt_20150223 (1)'!M643+"h_l!&amp;D2"</f>
        <v>#VALUE!</v>
      </c>
      <c r="GP103" t="e">
        <f>'SurveyRpt_20150223 (1)'!N643+"h_l!&amp;D3"</f>
        <v>#VALUE!</v>
      </c>
      <c r="GQ103" t="e">
        <f>'SurveyRpt_20150223 (1)'!O643+"h_l!&amp;D4"</f>
        <v>#VALUE!</v>
      </c>
      <c r="GR103" t="e">
        <f>'SurveyRpt_20150223 (1)'!P643+"h_l!&amp;D5"</f>
        <v>#VALUE!</v>
      </c>
      <c r="GS103" t="e">
        <f>'SurveyRpt_20150223 (1)'!Q643+"h_l!&amp;D6"</f>
        <v>#VALUE!</v>
      </c>
      <c r="GT103" t="e">
        <f>'SurveyRpt_20150223 (1)'!R643+"h_l!&amp;D7"</f>
        <v>#VALUE!</v>
      </c>
      <c r="GU103" t="e">
        <f>'SurveyRpt_20150223 (1)'!S643+"h_l!&amp;D8"</f>
        <v>#VALUE!</v>
      </c>
      <c r="GV103" t="e">
        <f>'SurveyRpt_20150223 (1)'!T643+"h_l!&amp;D9"</f>
        <v>#VALUE!</v>
      </c>
      <c r="GW103" t="e">
        <f>'SurveyRpt_20150223 (1)'!U643+"h_l!&amp;D:"</f>
        <v>#VALUE!</v>
      </c>
      <c r="GX103" t="e">
        <f>'SurveyRpt_20150223 (1)'!V643+"h_l!&amp;D;"</f>
        <v>#VALUE!</v>
      </c>
      <c r="GY103" t="e">
        <f>'SurveyRpt_20150223 (1)'!W643+"h_l!&amp;D&lt;"</f>
        <v>#VALUE!</v>
      </c>
      <c r="GZ103" t="e">
        <f>'SurveyRpt_20150223 (1)'!X643+"h_l!&amp;D="</f>
        <v>#VALUE!</v>
      </c>
      <c r="HA103" t="e">
        <f>'SurveyRpt_20150223 (1)'!Y643+"h_l!&amp;D&gt;"</f>
        <v>#VALUE!</v>
      </c>
      <c r="HB103" t="e">
        <f>'SurveyRpt_20150223 (1)'!Z643+"h_l!&amp;D?"</f>
        <v>#VALUE!</v>
      </c>
      <c r="HC103" t="e">
        <f>'SurveyRpt_20150223 (1)'!AA643+"h_l!&amp;D@"</f>
        <v>#VALUE!</v>
      </c>
      <c r="HD103" t="e">
        <f>'SurveyRpt_20150223 (1)'!AB643+"h_l!&amp;DA"</f>
        <v>#VALUE!</v>
      </c>
      <c r="HE103" t="e">
        <f>'SurveyRpt_20150223 (1)'!AC643+"h_l!&amp;DB"</f>
        <v>#VALUE!</v>
      </c>
      <c r="HF103" t="e">
        <f>'SurveyRpt_20150223 (1)'!AD643+"h_l!&amp;DC"</f>
        <v>#VALUE!</v>
      </c>
      <c r="HG103" t="e">
        <f>'SurveyRpt_20150223 (1)'!AE643+"h_l!&amp;DD"</f>
        <v>#VALUE!</v>
      </c>
      <c r="HH103" t="e">
        <f>'SurveyRpt_20150223 (1)'!AF643+"h_l!&amp;DE"</f>
        <v>#VALUE!</v>
      </c>
      <c r="HI103" t="e">
        <f>'SurveyRpt_20150223 (1)'!AG643+"h_l!&amp;DF"</f>
        <v>#VALUE!</v>
      </c>
      <c r="HJ103" t="e">
        <f>'SurveyRpt_20150223 (1)'!AH643+"h_l!&amp;DG"</f>
        <v>#VALUE!</v>
      </c>
      <c r="HK103" t="e">
        <f>'SurveyRpt_20150223 (1)'!AI643+"h_l!&amp;DH"</f>
        <v>#VALUE!</v>
      </c>
      <c r="HL103" t="e">
        <f>'SurveyRpt_20150223 (1)'!AJ643+"h_l!&amp;DI"</f>
        <v>#VALUE!</v>
      </c>
      <c r="HM103" t="e">
        <f>'SurveyRpt_20150223 (1)'!AK643+"h_l!&amp;DJ"</f>
        <v>#VALUE!</v>
      </c>
      <c r="HN103" t="e">
        <f>'SurveyRpt_20150223 (1)'!AL643+"h_l!&amp;DK"</f>
        <v>#VALUE!</v>
      </c>
      <c r="HO103" t="e">
        <f>'SurveyRpt_20150223 (1)'!AM643+"h_l!&amp;DL"</f>
        <v>#VALUE!</v>
      </c>
      <c r="HP103" t="e">
        <f>'SurveyRpt_20150223 (1)'!AN643+"h_l!&amp;DM"</f>
        <v>#VALUE!</v>
      </c>
      <c r="HQ103" t="e">
        <f>'SurveyRpt_20150223 (1)'!A644+"h_l!&amp;DN"</f>
        <v>#VALUE!</v>
      </c>
      <c r="HR103" s="25" t="e">
        <f>'SurveyRpt_20150223 (1)'!B644+"h_l!&amp;DO"</f>
        <v>#VALUE!</v>
      </c>
      <c r="HS103" t="e">
        <f>'SurveyRpt_20150223 (1)'!C644+"h_l!&amp;DP"</f>
        <v>#VALUE!</v>
      </c>
      <c r="HT103" s="25" t="e">
        <f>'SurveyRpt_20150223 (1)'!D644+"h_l!&amp;DQ"</f>
        <v>#VALUE!</v>
      </c>
      <c r="HU103" t="e">
        <f>'SurveyRpt_20150223 (1)'!E644+"h_l!&amp;DR"</f>
        <v>#VALUE!</v>
      </c>
      <c r="HV103" t="e">
        <f>'SurveyRpt_20150223 (1)'!F644+"h_l!&amp;DS"</f>
        <v>#VALUE!</v>
      </c>
      <c r="HW103" t="e">
        <f>'SurveyRpt_20150223 (1)'!G644+"h_l!&amp;DT"</f>
        <v>#VALUE!</v>
      </c>
      <c r="HX103" t="e">
        <f>'SurveyRpt_20150223 (1)'!H644+"h_l!&amp;DU"</f>
        <v>#VALUE!</v>
      </c>
      <c r="HY103" t="e">
        <f>'SurveyRpt_20150223 (1)'!I644+"h_l!&amp;DV"</f>
        <v>#VALUE!</v>
      </c>
      <c r="HZ103" t="e">
        <f>'SurveyRpt_20150223 (1)'!J644+"h_l!&amp;DW"</f>
        <v>#VALUE!</v>
      </c>
      <c r="IA103" t="e">
        <f>'SurveyRpt_20150223 (1)'!K644+"h_l!&amp;DX"</f>
        <v>#VALUE!</v>
      </c>
      <c r="IB103" t="e">
        <f>'SurveyRpt_20150223 (1)'!L644+"h_l!&amp;DY"</f>
        <v>#VALUE!</v>
      </c>
      <c r="IC103" t="e">
        <f>'SurveyRpt_20150223 (1)'!M644+"h_l!&amp;DZ"</f>
        <v>#VALUE!</v>
      </c>
      <c r="ID103" t="e">
        <f>'SurveyRpt_20150223 (1)'!N644+"h_l!&amp;D["</f>
        <v>#VALUE!</v>
      </c>
      <c r="IE103" t="e">
        <f>'SurveyRpt_20150223 (1)'!O644+"h_l!&amp;D\"</f>
        <v>#VALUE!</v>
      </c>
      <c r="IF103" t="e">
        <f>'SurveyRpt_20150223 (1)'!P644+"h_l!&amp;D]"</f>
        <v>#VALUE!</v>
      </c>
      <c r="IG103" t="e">
        <f>'SurveyRpt_20150223 (1)'!Q644+"h_l!&amp;D^"</f>
        <v>#VALUE!</v>
      </c>
      <c r="IH103" t="e">
        <f>'SurveyRpt_20150223 (1)'!R644+"h_l!&amp;D_"</f>
        <v>#VALUE!</v>
      </c>
      <c r="II103" t="e">
        <f>'SurveyRpt_20150223 (1)'!S644+"h_l!&amp;D`"</f>
        <v>#VALUE!</v>
      </c>
      <c r="IJ103" t="e">
        <f>'SurveyRpt_20150223 (1)'!T644+"h_l!&amp;Da"</f>
        <v>#VALUE!</v>
      </c>
      <c r="IK103" t="e">
        <f>'SurveyRpt_20150223 (1)'!U644+"h_l!&amp;Db"</f>
        <v>#VALUE!</v>
      </c>
      <c r="IL103" t="e">
        <f>'SurveyRpt_20150223 (1)'!V644+"h_l!&amp;Dc"</f>
        <v>#VALUE!</v>
      </c>
      <c r="IM103" t="e">
        <f>'SurveyRpt_20150223 (1)'!W644+"h_l!&amp;Dd"</f>
        <v>#VALUE!</v>
      </c>
      <c r="IN103" t="e">
        <f>'SurveyRpt_20150223 (1)'!X644+"h_l!&amp;De"</f>
        <v>#VALUE!</v>
      </c>
      <c r="IO103" t="e">
        <f>'SurveyRpt_20150223 (1)'!Y644+"h_l!&amp;Df"</f>
        <v>#VALUE!</v>
      </c>
      <c r="IP103" t="e">
        <f>'SurveyRpt_20150223 (1)'!Z644+"h_l!&amp;Dg"</f>
        <v>#VALUE!</v>
      </c>
      <c r="IQ103" t="e">
        <f>'SurveyRpt_20150223 (1)'!AA644+"h_l!&amp;Dh"</f>
        <v>#VALUE!</v>
      </c>
      <c r="IR103" t="e">
        <f>'SurveyRpt_20150223 (1)'!AB644+"h_l!&amp;Di"</f>
        <v>#VALUE!</v>
      </c>
      <c r="IS103" t="e">
        <f>'SurveyRpt_20150223 (1)'!AC644+"h_l!&amp;Dj"</f>
        <v>#VALUE!</v>
      </c>
      <c r="IT103" t="e">
        <f>'SurveyRpt_20150223 (1)'!AD644+"h_l!&amp;Dk"</f>
        <v>#VALUE!</v>
      </c>
      <c r="IU103" t="e">
        <f>'SurveyRpt_20150223 (1)'!AE644+"h_l!&amp;Dl"</f>
        <v>#VALUE!</v>
      </c>
      <c r="IV103" t="e">
        <f>'SurveyRpt_20150223 (1)'!AF644+"h_l!&amp;Dm"</f>
        <v>#VALUE!</v>
      </c>
    </row>
    <row r="104" spans="6:256" x14ac:dyDescent="0.25">
      <c r="F104" t="e">
        <f>'SurveyRpt_20150223 (1)'!AG644+"h_l!&amp;Dn"</f>
        <v>#VALUE!</v>
      </c>
      <c r="G104" t="e">
        <f>'SurveyRpt_20150223 (1)'!AH644+"h_l!&amp;Do"</f>
        <v>#VALUE!</v>
      </c>
      <c r="H104" t="e">
        <f>'SurveyRpt_20150223 (1)'!AI644+"h_l!&amp;Dp"</f>
        <v>#VALUE!</v>
      </c>
      <c r="I104" t="e">
        <f>'SurveyRpt_20150223 (1)'!AJ644+"h_l!&amp;Dq"</f>
        <v>#VALUE!</v>
      </c>
      <c r="J104" t="e">
        <f>'SurveyRpt_20150223 (1)'!AK644+"h_l!&amp;Dr"</f>
        <v>#VALUE!</v>
      </c>
      <c r="K104" t="e">
        <f>'SurveyRpt_20150223 (1)'!AL644+"h_l!&amp;Ds"</f>
        <v>#VALUE!</v>
      </c>
      <c r="L104" t="e">
        <f>'SurveyRpt_20150223 (1)'!AM644+"h_l!&amp;Dt"</f>
        <v>#VALUE!</v>
      </c>
      <c r="M104" t="e">
        <f>'SurveyRpt_20150223 (1)'!AN644+"h_l!&amp;Du"</f>
        <v>#VALUE!</v>
      </c>
      <c r="N104" t="e">
        <f>'SurveyRpt_20150223 (1)'!A645+"h_l!&amp;Dv"</f>
        <v>#VALUE!</v>
      </c>
      <c r="O104" s="25" t="e">
        <f>'SurveyRpt_20150223 (1)'!B645+"h_l!&amp;Dw"</f>
        <v>#VALUE!</v>
      </c>
      <c r="P104" t="e">
        <f>'SurveyRpt_20150223 (1)'!C645+"h_l!&amp;Dx"</f>
        <v>#VALUE!</v>
      </c>
      <c r="Q104" s="25" t="e">
        <f>'SurveyRpt_20150223 (1)'!D645+"h_l!&amp;Dy"</f>
        <v>#VALUE!</v>
      </c>
      <c r="R104" t="e">
        <f>'SurveyRpt_20150223 (1)'!E645+"h_l!&amp;Dz"</f>
        <v>#VALUE!</v>
      </c>
      <c r="S104" t="e">
        <f>'SurveyRpt_20150223 (1)'!F645+"h_l!&amp;D{"</f>
        <v>#VALUE!</v>
      </c>
      <c r="T104" t="e">
        <f>'SurveyRpt_20150223 (1)'!G645+"h_l!&amp;D|"</f>
        <v>#VALUE!</v>
      </c>
      <c r="U104" t="e">
        <f>'SurveyRpt_20150223 (1)'!H645+"h_l!&amp;D}"</f>
        <v>#VALUE!</v>
      </c>
      <c r="V104" t="e">
        <f>'SurveyRpt_20150223 (1)'!I645+"h_l!&amp;D~"</f>
        <v>#VALUE!</v>
      </c>
      <c r="W104" t="e">
        <f>'SurveyRpt_20150223 (1)'!J645+"h_l!&amp;E#"</f>
        <v>#VALUE!</v>
      </c>
      <c r="X104" t="e">
        <f>'SurveyRpt_20150223 (1)'!K645+"h_l!&amp;E$"</f>
        <v>#VALUE!</v>
      </c>
      <c r="Y104" t="e">
        <f>'SurveyRpt_20150223 (1)'!L645+"h_l!&amp;E%"</f>
        <v>#VALUE!</v>
      </c>
      <c r="Z104" t="e">
        <f>'SurveyRpt_20150223 (1)'!M645+"h_l!&amp;E&amp;"</f>
        <v>#VALUE!</v>
      </c>
      <c r="AA104" t="e">
        <f>'SurveyRpt_20150223 (1)'!N645+"h_l!&amp;E'"</f>
        <v>#VALUE!</v>
      </c>
      <c r="AB104" t="e">
        <f>'SurveyRpt_20150223 (1)'!O645+"h_l!&amp;E("</f>
        <v>#VALUE!</v>
      </c>
      <c r="AC104" t="e">
        <f>'SurveyRpt_20150223 (1)'!P645+"h_l!&amp;E)"</f>
        <v>#VALUE!</v>
      </c>
      <c r="AD104" t="e">
        <f>'SurveyRpt_20150223 (1)'!Q645+"h_l!&amp;E."</f>
        <v>#VALUE!</v>
      </c>
      <c r="AE104" t="e">
        <f>'SurveyRpt_20150223 (1)'!R645+"h_l!&amp;E/"</f>
        <v>#VALUE!</v>
      </c>
      <c r="AF104" t="e">
        <f>'SurveyRpt_20150223 (1)'!S645+"h_l!&amp;E0"</f>
        <v>#VALUE!</v>
      </c>
      <c r="AG104" t="e">
        <f>'SurveyRpt_20150223 (1)'!T645+"h_l!&amp;E1"</f>
        <v>#VALUE!</v>
      </c>
      <c r="AH104" t="e">
        <f>'SurveyRpt_20150223 (1)'!U645+"h_l!&amp;E2"</f>
        <v>#VALUE!</v>
      </c>
      <c r="AI104" t="e">
        <f>'SurveyRpt_20150223 (1)'!V645+"h_l!&amp;E3"</f>
        <v>#VALUE!</v>
      </c>
      <c r="AJ104" t="e">
        <f>'SurveyRpt_20150223 (1)'!W645+"h_l!&amp;E4"</f>
        <v>#VALUE!</v>
      </c>
      <c r="AK104" t="e">
        <f>'SurveyRpt_20150223 (1)'!X645+"h_l!&amp;E5"</f>
        <v>#VALUE!</v>
      </c>
      <c r="AL104" t="e">
        <f>'SurveyRpt_20150223 (1)'!Y645+"h_l!&amp;E6"</f>
        <v>#VALUE!</v>
      </c>
      <c r="AM104" t="e">
        <f>'SurveyRpt_20150223 (1)'!Z645+"h_l!&amp;E7"</f>
        <v>#VALUE!</v>
      </c>
      <c r="AN104" t="e">
        <f>'SurveyRpt_20150223 (1)'!AA645+"h_l!&amp;E8"</f>
        <v>#VALUE!</v>
      </c>
      <c r="AO104" t="e">
        <f>'SurveyRpt_20150223 (1)'!AB645+"h_l!&amp;E9"</f>
        <v>#VALUE!</v>
      </c>
      <c r="AP104" t="e">
        <f>'SurveyRpt_20150223 (1)'!AC645+"h_l!&amp;E:"</f>
        <v>#VALUE!</v>
      </c>
      <c r="AQ104" t="e">
        <f>'SurveyRpt_20150223 (1)'!AD645+"h_l!&amp;E;"</f>
        <v>#VALUE!</v>
      </c>
      <c r="AR104" t="e">
        <f>'SurveyRpt_20150223 (1)'!AE645+"h_l!&amp;E&lt;"</f>
        <v>#VALUE!</v>
      </c>
      <c r="AS104" t="e">
        <f>'SurveyRpt_20150223 (1)'!AF645+"h_l!&amp;E="</f>
        <v>#VALUE!</v>
      </c>
      <c r="AT104" t="e">
        <f>'SurveyRpt_20150223 (1)'!AG645+"h_l!&amp;E&gt;"</f>
        <v>#VALUE!</v>
      </c>
      <c r="AU104" t="e">
        <f>'SurveyRpt_20150223 (1)'!AH645+"h_l!&amp;E?"</f>
        <v>#VALUE!</v>
      </c>
      <c r="AV104" t="e">
        <f>'SurveyRpt_20150223 (1)'!AI645+"h_l!&amp;E@"</f>
        <v>#VALUE!</v>
      </c>
      <c r="AW104" t="e">
        <f>'SurveyRpt_20150223 (1)'!AJ645+"h_l!&amp;EA"</f>
        <v>#VALUE!</v>
      </c>
      <c r="AX104" t="e">
        <f>'SurveyRpt_20150223 (1)'!AK645+"h_l!&amp;EB"</f>
        <v>#VALUE!</v>
      </c>
      <c r="AY104" t="e">
        <f>'SurveyRpt_20150223 (1)'!AL645+"h_l!&amp;EC"</f>
        <v>#VALUE!</v>
      </c>
      <c r="AZ104" t="e">
        <f>'SurveyRpt_20150223 (1)'!AM645+"h_l!&amp;ED"</f>
        <v>#VALUE!</v>
      </c>
      <c r="BA104" t="e">
        <f>'SurveyRpt_20150223 (1)'!AN645+"h_l!&amp;EE"</f>
        <v>#VALUE!</v>
      </c>
      <c r="BB104" t="e">
        <f>'SurveyRpt_20150223 (1)'!A646+"h_l!&amp;EF"</f>
        <v>#VALUE!</v>
      </c>
      <c r="BC104" s="25" t="e">
        <f>'SurveyRpt_20150223 (1)'!B646+"h_l!&amp;EG"</f>
        <v>#VALUE!</v>
      </c>
      <c r="BD104" t="e">
        <f>'SurveyRpt_20150223 (1)'!C646+"h_l!&amp;EH"</f>
        <v>#VALUE!</v>
      </c>
      <c r="BE104" s="25" t="e">
        <f>'SurveyRpt_20150223 (1)'!D646+"h_l!&amp;EI"</f>
        <v>#VALUE!</v>
      </c>
      <c r="BF104" t="e">
        <f>'SurveyRpt_20150223 (1)'!E646+"h_l!&amp;EJ"</f>
        <v>#VALUE!</v>
      </c>
      <c r="BG104" t="e">
        <f>'SurveyRpt_20150223 (1)'!F646+"h_l!&amp;EK"</f>
        <v>#VALUE!</v>
      </c>
      <c r="BH104" t="e">
        <f>'SurveyRpt_20150223 (1)'!G646+"h_l!&amp;EL"</f>
        <v>#VALUE!</v>
      </c>
      <c r="BI104" t="e">
        <f>'SurveyRpt_20150223 (1)'!H646+"h_l!&amp;EM"</f>
        <v>#VALUE!</v>
      </c>
      <c r="BJ104" t="e">
        <f>'SurveyRpt_20150223 (1)'!I646+"h_l!&amp;EN"</f>
        <v>#VALUE!</v>
      </c>
      <c r="BK104" t="e">
        <f>'SurveyRpt_20150223 (1)'!J646+"h_l!&amp;EO"</f>
        <v>#VALUE!</v>
      </c>
      <c r="BL104" t="e">
        <f>'SurveyRpt_20150223 (1)'!K646+"h_l!&amp;EP"</f>
        <v>#VALUE!</v>
      </c>
      <c r="BM104" t="e">
        <f>'SurveyRpt_20150223 (1)'!L646+"h_l!&amp;EQ"</f>
        <v>#VALUE!</v>
      </c>
      <c r="BN104" t="e">
        <f>'SurveyRpt_20150223 (1)'!M646+"h_l!&amp;ER"</f>
        <v>#VALUE!</v>
      </c>
      <c r="BO104" t="e">
        <f>'SurveyRpt_20150223 (1)'!N646+"h_l!&amp;ES"</f>
        <v>#VALUE!</v>
      </c>
      <c r="BP104" t="e">
        <f>'SurveyRpt_20150223 (1)'!O646+"h_l!&amp;ET"</f>
        <v>#VALUE!</v>
      </c>
      <c r="BQ104" t="e">
        <f>'SurveyRpt_20150223 (1)'!P646+"h_l!&amp;EU"</f>
        <v>#VALUE!</v>
      </c>
      <c r="BR104" t="e">
        <f>'SurveyRpt_20150223 (1)'!Q646+"h_l!&amp;EV"</f>
        <v>#VALUE!</v>
      </c>
      <c r="BS104" t="e">
        <f>'SurveyRpt_20150223 (1)'!R646+"h_l!&amp;EW"</f>
        <v>#VALUE!</v>
      </c>
      <c r="BT104" t="e">
        <f>'SurveyRpt_20150223 (1)'!S646+"h_l!&amp;EX"</f>
        <v>#VALUE!</v>
      </c>
      <c r="BU104" t="e">
        <f>'SurveyRpt_20150223 (1)'!T646+"h_l!&amp;EY"</f>
        <v>#VALUE!</v>
      </c>
      <c r="BV104" t="e">
        <f>'SurveyRpt_20150223 (1)'!U646+"h_l!&amp;EZ"</f>
        <v>#VALUE!</v>
      </c>
      <c r="BW104" t="e">
        <f>'SurveyRpt_20150223 (1)'!V646+"h_l!&amp;E["</f>
        <v>#VALUE!</v>
      </c>
      <c r="BX104" t="e">
        <f>'SurveyRpt_20150223 (1)'!W646+"h_l!&amp;E\"</f>
        <v>#VALUE!</v>
      </c>
      <c r="BY104" t="e">
        <f>'SurveyRpt_20150223 (1)'!X646+"h_l!&amp;E]"</f>
        <v>#VALUE!</v>
      </c>
      <c r="BZ104" t="e">
        <f>'SurveyRpt_20150223 (1)'!Y646+"h_l!&amp;E^"</f>
        <v>#VALUE!</v>
      </c>
      <c r="CA104" t="e">
        <f>'SurveyRpt_20150223 (1)'!Z646+"h_l!&amp;E_"</f>
        <v>#VALUE!</v>
      </c>
      <c r="CB104" t="e">
        <f>'SurveyRpt_20150223 (1)'!AA646+"h_l!&amp;E`"</f>
        <v>#VALUE!</v>
      </c>
      <c r="CC104" t="e">
        <f>'SurveyRpt_20150223 (1)'!AB646+"h_l!&amp;Ea"</f>
        <v>#VALUE!</v>
      </c>
      <c r="CD104" t="e">
        <f>'SurveyRpt_20150223 (1)'!AC646+"h_l!&amp;Eb"</f>
        <v>#VALUE!</v>
      </c>
      <c r="CE104" t="e">
        <f>'SurveyRpt_20150223 (1)'!AD646+"h_l!&amp;Ec"</f>
        <v>#VALUE!</v>
      </c>
      <c r="CF104" t="e">
        <f>'SurveyRpt_20150223 (1)'!AE646+"h_l!&amp;Ed"</f>
        <v>#VALUE!</v>
      </c>
      <c r="CG104" t="e">
        <f>'SurveyRpt_20150223 (1)'!AF646+"h_l!&amp;Ee"</f>
        <v>#VALUE!</v>
      </c>
      <c r="CH104" t="e">
        <f>'SurveyRpt_20150223 (1)'!AG646+"h_l!&amp;Ef"</f>
        <v>#VALUE!</v>
      </c>
      <c r="CI104" t="e">
        <f>'SurveyRpt_20150223 (1)'!AH646+"h_l!&amp;Eg"</f>
        <v>#VALUE!</v>
      </c>
      <c r="CJ104" t="e">
        <f>'SurveyRpt_20150223 (1)'!AI646+"h_l!&amp;Eh"</f>
        <v>#VALUE!</v>
      </c>
      <c r="CK104" t="e">
        <f>'SurveyRpt_20150223 (1)'!AJ646+"h_l!&amp;Ei"</f>
        <v>#VALUE!</v>
      </c>
      <c r="CL104" t="e">
        <f>'SurveyRpt_20150223 (1)'!AK646+"h_l!&amp;Ej"</f>
        <v>#VALUE!</v>
      </c>
      <c r="CM104" t="e">
        <f>'SurveyRpt_20150223 (1)'!AL646+"h_l!&amp;Ek"</f>
        <v>#VALUE!</v>
      </c>
      <c r="CN104" t="e">
        <f>'SurveyRpt_20150223 (1)'!AM646+"h_l!&amp;El"</f>
        <v>#VALUE!</v>
      </c>
      <c r="CO104" t="e">
        <f>'SurveyRpt_20150223 (1)'!AN646+"h_l!&amp;Em"</f>
        <v>#VALUE!</v>
      </c>
      <c r="CP104" t="e">
        <f>'SurveyRpt_20150223 (1)'!A647+"h_l!&amp;En"</f>
        <v>#VALUE!</v>
      </c>
      <c r="CQ104" s="25" t="e">
        <f>'SurveyRpt_20150223 (1)'!B647+"h_l!&amp;Eo"</f>
        <v>#VALUE!</v>
      </c>
      <c r="CR104" t="e">
        <f>'SurveyRpt_20150223 (1)'!C647+"h_l!&amp;Ep"</f>
        <v>#VALUE!</v>
      </c>
      <c r="CS104" s="25" t="e">
        <f>'SurveyRpt_20150223 (1)'!D647+"h_l!&amp;Eq"</f>
        <v>#VALUE!</v>
      </c>
      <c r="CT104" t="e">
        <f>'SurveyRpt_20150223 (1)'!E647+"h_l!&amp;Er"</f>
        <v>#VALUE!</v>
      </c>
      <c r="CU104" t="e">
        <f>'SurveyRpt_20150223 (1)'!F647+"h_l!&amp;Es"</f>
        <v>#VALUE!</v>
      </c>
      <c r="CV104" t="e">
        <f>'SurveyRpt_20150223 (1)'!G647+"h_l!&amp;Et"</f>
        <v>#VALUE!</v>
      </c>
      <c r="CW104" t="e">
        <f>'SurveyRpt_20150223 (1)'!H647+"h_l!&amp;Eu"</f>
        <v>#VALUE!</v>
      </c>
      <c r="CX104" t="e">
        <f>'SurveyRpt_20150223 (1)'!I647+"h_l!&amp;Ev"</f>
        <v>#VALUE!</v>
      </c>
      <c r="CY104" t="e">
        <f>'SurveyRpt_20150223 (1)'!J647+"h_l!&amp;Ew"</f>
        <v>#VALUE!</v>
      </c>
      <c r="CZ104" t="e">
        <f>'SurveyRpt_20150223 (1)'!K647+"h_l!&amp;Ex"</f>
        <v>#VALUE!</v>
      </c>
      <c r="DA104" t="e">
        <f>'SurveyRpt_20150223 (1)'!L647+"h_l!&amp;Ey"</f>
        <v>#VALUE!</v>
      </c>
      <c r="DB104" t="e">
        <f>'SurveyRpt_20150223 (1)'!M647+"h_l!&amp;Ez"</f>
        <v>#VALUE!</v>
      </c>
      <c r="DC104" t="e">
        <f>'SurveyRpt_20150223 (1)'!N647+"h_l!&amp;E{"</f>
        <v>#VALUE!</v>
      </c>
      <c r="DD104" t="e">
        <f>'SurveyRpt_20150223 (1)'!O647+"h_l!&amp;E|"</f>
        <v>#VALUE!</v>
      </c>
      <c r="DE104" t="e">
        <f>'SurveyRpt_20150223 (1)'!P647+"h_l!&amp;E}"</f>
        <v>#VALUE!</v>
      </c>
      <c r="DF104" t="e">
        <f>'SurveyRpt_20150223 (1)'!Q647+"h_l!&amp;E~"</f>
        <v>#VALUE!</v>
      </c>
      <c r="DG104" t="e">
        <f>'SurveyRpt_20150223 (1)'!R647+"h_l!&amp;F#"</f>
        <v>#VALUE!</v>
      </c>
      <c r="DH104" t="e">
        <f>'SurveyRpt_20150223 (1)'!S647+"h_l!&amp;F$"</f>
        <v>#VALUE!</v>
      </c>
      <c r="DI104" t="e">
        <f>'SurveyRpt_20150223 (1)'!T647+"h_l!&amp;F%"</f>
        <v>#VALUE!</v>
      </c>
      <c r="DJ104" t="e">
        <f>'SurveyRpt_20150223 (1)'!U647+"h_l!&amp;F&amp;"</f>
        <v>#VALUE!</v>
      </c>
      <c r="DK104" t="e">
        <f>'SurveyRpt_20150223 (1)'!V647+"h_l!&amp;F'"</f>
        <v>#VALUE!</v>
      </c>
      <c r="DL104" t="e">
        <f>'SurveyRpt_20150223 (1)'!W647+"h_l!&amp;F("</f>
        <v>#VALUE!</v>
      </c>
      <c r="DM104" t="e">
        <f>'SurveyRpt_20150223 (1)'!X647+"h_l!&amp;F)"</f>
        <v>#VALUE!</v>
      </c>
      <c r="DN104" t="e">
        <f>'SurveyRpt_20150223 (1)'!Y647+"h_l!&amp;F."</f>
        <v>#VALUE!</v>
      </c>
      <c r="DO104" t="e">
        <f>'SurveyRpt_20150223 (1)'!Z647+"h_l!&amp;F/"</f>
        <v>#VALUE!</v>
      </c>
      <c r="DP104" t="e">
        <f>'SurveyRpt_20150223 (1)'!AA647+"h_l!&amp;F0"</f>
        <v>#VALUE!</v>
      </c>
      <c r="DQ104" t="e">
        <f>'SurveyRpt_20150223 (1)'!AB647+"h_l!&amp;F1"</f>
        <v>#VALUE!</v>
      </c>
      <c r="DR104" t="e">
        <f>'SurveyRpt_20150223 (1)'!AC647+"h_l!&amp;F2"</f>
        <v>#VALUE!</v>
      </c>
      <c r="DS104" t="e">
        <f>'SurveyRpt_20150223 (1)'!AD647+"h_l!&amp;F3"</f>
        <v>#VALUE!</v>
      </c>
      <c r="DT104" t="e">
        <f>'SurveyRpt_20150223 (1)'!AE647+"h_l!&amp;F4"</f>
        <v>#VALUE!</v>
      </c>
      <c r="DU104" t="e">
        <f>'SurveyRpt_20150223 (1)'!AF647+"h_l!&amp;F5"</f>
        <v>#VALUE!</v>
      </c>
      <c r="DV104" t="e">
        <f>'SurveyRpt_20150223 (1)'!AG647+"h_l!&amp;F6"</f>
        <v>#VALUE!</v>
      </c>
      <c r="DW104" t="e">
        <f>'SurveyRpt_20150223 (1)'!AH647+"h_l!&amp;F7"</f>
        <v>#VALUE!</v>
      </c>
      <c r="DX104" t="e">
        <f>'SurveyRpt_20150223 (1)'!AI647+"h_l!&amp;F8"</f>
        <v>#VALUE!</v>
      </c>
      <c r="DY104" t="e">
        <f>'SurveyRpt_20150223 (1)'!AJ647+"h_l!&amp;F9"</f>
        <v>#VALUE!</v>
      </c>
      <c r="DZ104" t="e">
        <f>'SurveyRpt_20150223 (1)'!AK647+"h_l!&amp;F:"</f>
        <v>#VALUE!</v>
      </c>
      <c r="EA104" t="e">
        <f>'SurveyRpt_20150223 (1)'!AL647+"h_l!&amp;F;"</f>
        <v>#VALUE!</v>
      </c>
      <c r="EB104" t="e">
        <f>'SurveyRpt_20150223 (1)'!AM647+"h_l!&amp;F&lt;"</f>
        <v>#VALUE!</v>
      </c>
      <c r="EC104" t="e">
        <f>'SurveyRpt_20150223 (1)'!AN647+"h_l!&amp;F="</f>
        <v>#VALUE!</v>
      </c>
      <c r="ED104" t="e">
        <f>'SurveyRpt_20150223 (1)'!A648+"h_l!&amp;F&gt;"</f>
        <v>#VALUE!</v>
      </c>
      <c r="EE104" s="25" t="e">
        <f>'SurveyRpt_20150223 (1)'!B648+"h_l!&amp;F?"</f>
        <v>#VALUE!</v>
      </c>
      <c r="EF104" t="e">
        <f>'SurveyRpt_20150223 (1)'!C648+"h_l!&amp;F@"</f>
        <v>#VALUE!</v>
      </c>
      <c r="EG104" s="25" t="e">
        <f>'SurveyRpt_20150223 (1)'!D648+"h_l!&amp;FA"</f>
        <v>#VALUE!</v>
      </c>
      <c r="EH104" t="e">
        <f>'SurveyRpt_20150223 (1)'!E648+"h_l!&amp;FB"</f>
        <v>#VALUE!</v>
      </c>
      <c r="EI104" t="e">
        <f>'SurveyRpt_20150223 (1)'!F648+"h_l!&amp;FC"</f>
        <v>#VALUE!</v>
      </c>
      <c r="EJ104" t="e">
        <f>'SurveyRpt_20150223 (1)'!G648+"h_l!&amp;FD"</f>
        <v>#VALUE!</v>
      </c>
      <c r="EK104" t="e">
        <f>'SurveyRpt_20150223 (1)'!H648+"h_l!&amp;FE"</f>
        <v>#VALUE!</v>
      </c>
      <c r="EL104" t="e">
        <f>'SurveyRpt_20150223 (1)'!I648+"h_l!&amp;FF"</f>
        <v>#VALUE!</v>
      </c>
      <c r="EM104" t="e">
        <f>'SurveyRpt_20150223 (1)'!J648+"h_l!&amp;FG"</f>
        <v>#VALUE!</v>
      </c>
      <c r="EN104" t="e">
        <f>'SurveyRpt_20150223 (1)'!K648+"h_l!&amp;FH"</f>
        <v>#VALUE!</v>
      </c>
      <c r="EO104" t="e">
        <f>'SurveyRpt_20150223 (1)'!L648+"h_l!&amp;FI"</f>
        <v>#VALUE!</v>
      </c>
      <c r="EP104" t="e">
        <f>'SurveyRpt_20150223 (1)'!M648+"h_l!&amp;FJ"</f>
        <v>#VALUE!</v>
      </c>
      <c r="EQ104" t="e">
        <f>'SurveyRpt_20150223 (1)'!N648+"h_l!&amp;FK"</f>
        <v>#VALUE!</v>
      </c>
      <c r="ER104" t="e">
        <f>'SurveyRpt_20150223 (1)'!O648+"h_l!&amp;FL"</f>
        <v>#VALUE!</v>
      </c>
      <c r="ES104" t="e">
        <f>'SurveyRpt_20150223 (1)'!P648+"h_l!&amp;FM"</f>
        <v>#VALUE!</v>
      </c>
      <c r="ET104" t="e">
        <f>'SurveyRpt_20150223 (1)'!Q648+"h_l!&amp;FN"</f>
        <v>#VALUE!</v>
      </c>
      <c r="EU104" t="e">
        <f>'SurveyRpt_20150223 (1)'!R648+"h_l!&amp;FO"</f>
        <v>#VALUE!</v>
      </c>
      <c r="EV104" t="e">
        <f>'SurveyRpt_20150223 (1)'!S648+"h_l!&amp;FP"</f>
        <v>#VALUE!</v>
      </c>
      <c r="EW104" t="e">
        <f>'SurveyRpt_20150223 (1)'!T648+"h_l!&amp;FQ"</f>
        <v>#VALUE!</v>
      </c>
      <c r="EX104" t="e">
        <f>'SurveyRpt_20150223 (1)'!U648+"h_l!&amp;FR"</f>
        <v>#VALUE!</v>
      </c>
      <c r="EY104" t="e">
        <f>'SurveyRpt_20150223 (1)'!V648+"h_l!&amp;FS"</f>
        <v>#VALUE!</v>
      </c>
      <c r="EZ104" t="e">
        <f>'SurveyRpt_20150223 (1)'!W648+"h_l!&amp;FT"</f>
        <v>#VALUE!</v>
      </c>
      <c r="FA104" t="e">
        <f>'SurveyRpt_20150223 (1)'!X648+"h_l!&amp;FU"</f>
        <v>#VALUE!</v>
      </c>
      <c r="FB104" t="e">
        <f>'SurveyRpt_20150223 (1)'!Y648+"h_l!&amp;FV"</f>
        <v>#VALUE!</v>
      </c>
      <c r="FC104" t="e">
        <f>'SurveyRpt_20150223 (1)'!Z648+"h_l!&amp;FW"</f>
        <v>#VALUE!</v>
      </c>
      <c r="FD104" t="e">
        <f>'SurveyRpt_20150223 (1)'!AA648+"h_l!&amp;FX"</f>
        <v>#VALUE!</v>
      </c>
      <c r="FE104" t="e">
        <f>'SurveyRpt_20150223 (1)'!AB648+"h_l!&amp;FY"</f>
        <v>#VALUE!</v>
      </c>
      <c r="FF104" t="e">
        <f>'SurveyRpt_20150223 (1)'!AC648+"h_l!&amp;FZ"</f>
        <v>#VALUE!</v>
      </c>
      <c r="FG104" t="e">
        <f>'SurveyRpt_20150223 (1)'!AD648+"h_l!&amp;F["</f>
        <v>#VALUE!</v>
      </c>
      <c r="FH104" t="e">
        <f>'SurveyRpt_20150223 (1)'!AE648+"h_l!&amp;F\"</f>
        <v>#VALUE!</v>
      </c>
      <c r="FI104" t="e">
        <f>'SurveyRpt_20150223 (1)'!AF648+"h_l!&amp;F]"</f>
        <v>#VALUE!</v>
      </c>
      <c r="FJ104" t="e">
        <f>'SurveyRpt_20150223 (1)'!AG648+"h_l!&amp;F^"</f>
        <v>#VALUE!</v>
      </c>
      <c r="FK104" t="e">
        <f>'SurveyRpt_20150223 (1)'!AH648+"h_l!&amp;F_"</f>
        <v>#VALUE!</v>
      </c>
      <c r="FL104" t="e">
        <f>'SurveyRpt_20150223 (1)'!AI648+"h_l!&amp;F`"</f>
        <v>#VALUE!</v>
      </c>
      <c r="FM104" t="e">
        <f>'SurveyRpt_20150223 (1)'!AJ648+"h_l!&amp;Fa"</f>
        <v>#VALUE!</v>
      </c>
      <c r="FN104" t="e">
        <f>'SurveyRpt_20150223 (1)'!AK648+"h_l!&amp;Fb"</f>
        <v>#VALUE!</v>
      </c>
      <c r="FO104" t="e">
        <f>'SurveyRpt_20150223 (1)'!AL648+"h_l!&amp;Fc"</f>
        <v>#VALUE!</v>
      </c>
      <c r="FP104" t="e">
        <f>'SurveyRpt_20150223 (1)'!AM648+"h_l!&amp;Fd"</f>
        <v>#VALUE!</v>
      </c>
      <c r="FQ104" t="e">
        <f>'SurveyRpt_20150223 (1)'!AN648+"h_l!&amp;Fe"</f>
        <v>#VALUE!</v>
      </c>
      <c r="FR104" t="e">
        <f>'SurveyRpt_20150223 (1)'!A649+"h_l!&amp;Ff"</f>
        <v>#VALUE!</v>
      </c>
      <c r="FS104" s="25" t="e">
        <f>'SurveyRpt_20150223 (1)'!B649+"h_l!&amp;Fg"</f>
        <v>#VALUE!</v>
      </c>
      <c r="FT104" t="e">
        <f>'SurveyRpt_20150223 (1)'!C649+"h_l!&amp;Fh"</f>
        <v>#VALUE!</v>
      </c>
      <c r="FU104" s="25" t="e">
        <f>'SurveyRpt_20150223 (1)'!D649+"h_l!&amp;Fi"</f>
        <v>#VALUE!</v>
      </c>
      <c r="FV104" t="e">
        <f>'SurveyRpt_20150223 (1)'!E649+"h_l!&amp;Fj"</f>
        <v>#VALUE!</v>
      </c>
      <c r="FW104" t="e">
        <f>'SurveyRpt_20150223 (1)'!F649+"h_l!&amp;Fk"</f>
        <v>#VALUE!</v>
      </c>
      <c r="FX104" t="e">
        <f>'SurveyRpt_20150223 (1)'!G649+"h_l!&amp;Fl"</f>
        <v>#VALUE!</v>
      </c>
      <c r="FY104" t="e">
        <f>'SurveyRpt_20150223 (1)'!H649+"h_l!&amp;Fm"</f>
        <v>#VALUE!</v>
      </c>
      <c r="FZ104" t="e">
        <f>'SurveyRpt_20150223 (1)'!I649+"h_l!&amp;Fn"</f>
        <v>#VALUE!</v>
      </c>
      <c r="GA104" t="e">
        <f>'SurveyRpt_20150223 (1)'!J649+"h_l!&amp;Fo"</f>
        <v>#VALUE!</v>
      </c>
      <c r="GB104" t="e">
        <f>'SurveyRpt_20150223 (1)'!K649+"h_l!&amp;Fp"</f>
        <v>#VALUE!</v>
      </c>
      <c r="GC104" t="e">
        <f>'SurveyRpt_20150223 (1)'!L649+"h_l!&amp;Fq"</f>
        <v>#VALUE!</v>
      </c>
      <c r="GD104" t="e">
        <f>'SurveyRpt_20150223 (1)'!M649+"h_l!&amp;Fr"</f>
        <v>#VALUE!</v>
      </c>
      <c r="GE104" t="e">
        <f>'SurveyRpt_20150223 (1)'!N649+"h_l!&amp;Fs"</f>
        <v>#VALUE!</v>
      </c>
      <c r="GF104" t="e">
        <f>'SurveyRpt_20150223 (1)'!O649+"h_l!&amp;Ft"</f>
        <v>#VALUE!</v>
      </c>
      <c r="GG104" t="e">
        <f>'SurveyRpt_20150223 (1)'!P649+"h_l!&amp;Fu"</f>
        <v>#VALUE!</v>
      </c>
      <c r="GH104" t="e">
        <f>'SurveyRpt_20150223 (1)'!Q649+"h_l!&amp;Fv"</f>
        <v>#VALUE!</v>
      </c>
      <c r="GI104" t="e">
        <f>'SurveyRpt_20150223 (1)'!R649+"h_l!&amp;Fw"</f>
        <v>#VALUE!</v>
      </c>
      <c r="GJ104" t="e">
        <f>'SurveyRpt_20150223 (1)'!S649+"h_l!&amp;Fx"</f>
        <v>#VALUE!</v>
      </c>
      <c r="GK104" t="e">
        <f>'SurveyRpt_20150223 (1)'!T649+"h_l!&amp;Fy"</f>
        <v>#VALUE!</v>
      </c>
      <c r="GL104" t="e">
        <f>'SurveyRpt_20150223 (1)'!U649+"h_l!&amp;Fz"</f>
        <v>#VALUE!</v>
      </c>
      <c r="GM104" t="e">
        <f>'SurveyRpt_20150223 (1)'!V649+"h_l!&amp;F{"</f>
        <v>#VALUE!</v>
      </c>
      <c r="GN104" t="e">
        <f>'SurveyRpt_20150223 (1)'!W649+"h_l!&amp;F|"</f>
        <v>#VALUE!</v>
      </c>
      <c r="GO104" t="e">
        <f>'SurveyRpt_20150223 (1)'!X649+"h_l!&amp;F}"</f>
        <v>#VALUE!</v>
      </c>
      <c r="GP104" t="e">
        <f>'SurveyRpt_20150223 (1)'!Y649+"h_l!&amp;F~"</f>
        <v>#VALUE!</v>
      </c>
      <c r="GQ104" t="e">
        <f>'SurveyRpt_20150223 (1)'!Z649+"h_l!&amp;G#"</f>
        <v>#VALUE!</v>
      </c>
      <c r="GR104" t="e">
        <f>'SurveyRpt_20150223 (1)'!AA649+"h_l!&amp;G$"</f>
        <v>#VALUE!</v>
      </c>
      <c r="GS104" t="e">
        <f>'SurveyRpt_20150223 (1)'!AB649+"h_l!&amp;G%"</f>
        <v>#VALUE!</v>
      </c>
      <c r="GT104" t="e">
        <f>'SurveyRpt_20150223 (1)'!AC649+"h_l!&amp;G&amp;"</f>
        <v>#VALUE!</v>
      </c>
      <c r="GU104" t="e">
        <f>'SurveyRpt_20150223 (1)'!AD649+"h_l!&amp;G'"</f>
        <v>#VALUE!</v>
      </c>
      <c r="GV104" t="e">
        <f>'SurveyRpt_20150223 (1)'!AE649+"h_l!&amp;G("</f>
        <v>#VALUE!</v>
      </c>
      <c r="GW104" t="e">
        <f>'SurveyRpt_20150223 (1)'!AF649+"h_l!&amp;G)"</f>
        <v>#VALUE!</v>
      </c>
      <c r="GX104" t="e">
        <f>'SurveyRpt_20150223 (1)'!AG649+"h_l!&amp;G."</f>
        <v>#VALUE!</v>
      </c>
      <c r="GY104" t="e">
        <f>'SurveyRpt_20150223 (1)'!AH649+"h_l!&amp;G/"</f>
        <v>#VALUE!</v>
      </c>
      <c r="GZ104" t="e">
        <f>'SurveyRpt_20150223 (1)'!AI649+"h_l!&amp;G0"</f>
        <v>#VALUE!</v>
      </c>
      <c r="HA104" t="e">
        <f>'SurveyRpt_20150223 (1)'!AJ649+"h_l!&amp;G1"</f>
        <v>#VALUE!</v>
      </c>
      <c r="HB104" t="e">
        <f>'SurveyRpt_20150223 (1)'!AK649+"h_l!&amp;G2"</f>
        <v>#VALUE!</v>
      </c>
      <c r="HC104" t="e">
        <f>'SurveyRpt_20150223 (1)'!AL649+"h_l!&amp;G3"</f>
        <v>#VALUE!</v>
      </c>
      <c r="HD104" t="e">
        <f>'SurveyRpt_20150223 (1)'!AM649+"h_l!&amp;G4"</f>
        <v>#VALUE!</v>
      </c>
      <c r="HE104" t="e">
        <f>'SurveyRpt_20150223 (1)'!AN649+"h_l!&amp;G5"</f>
        <v>#VALUE!</v>
      </c>
      <c r="HF104" t="e">
        <f>'SurveyRpt_20150223 (1)'!A650+"h_l!&amp;G6"</f>
        <v>#VALUE!</v>
      </c>
      <c r="HG104" s="25" t="e">
        <f>'SurveyRpt_20150223 (1)'!B650+"h_l!&amp;G7"</f>
        <v>#VALUE!</v>
      </c>
      <c r="HH104" t="e">
        <f>'SurveyRpt_20150223 (1)'!C650+"h_l!&amp;G8"</f>
        <v>#VALUE!</v>
      </c>
      <c r="HI104" s="25" t="e">
        <f>'SurveyRpt_20150223 (1)'!D650+"h_l!&amp;G9"</f>
        <v>#VALUE!</v>
      </c>
      <c r="HJ104" t="e">
        <f>'SurveyRpt_20150223 (1)'!E650+"h_l!&amp;G:"</f>
        <v>#VALUE!</v>
      </c>
      <c r="HK104" t="e">
        <f>'SurveyRpt_20150223 (1)'!F650+"h_l!&amp;G;"</f>
        <v>#VALUE!</v>
      </c>
      <c r="HL104" t="e">
        <f>'SurveyRpt_20150223 (1)'!G650+"h_l!&amp;G&lt;"</f>
        <v>#VALUE!</v>
      </c>
      <c r="HM104" t="e">
        <f>'SurveyRpt_20150223 (1)'!H650+"h_l!&amp;G="</f>
        <v>#VALUE!</v>
      </c>
      <c r="HN104" t="e">
        <f>'SurveyRpt_20150223 (1)'!I650+"h_l!&amp;G&gt;"</f>
        <v>#VALUE!</v>
      </c>
      <c r="HO104" t="e">
        <f>'SurveyRpt_20150223 (1)'!J650+"h_l!&amp;G?"</f>
        <v>#VALUE!</v>
      </c>
      <c r="HP104" t="e">
        <f>'SurveyRpt_20150223 (1)'!K650+"h_l!&amp;G@"</f>
        <v>#VALUE!</v>
      </c>
      <c r="HQ104" t="e">
        <f>'SurveyRpt_20150223 (1)'!L650+"h_l!&amp;GA"</f>
        <v>#VALUE!</v>
      </c>
      <c r="HR104" t="e">
        <f>'SurveyRpt_20150223 (1)'!M650+"h_l!&amp;GB"</f>
        <v>#VALUE!</v>
      </c>
      <c r="HS104" t="e">
        <f>'SurveyRpt_20150223 (1)'!N650+"h_l!&amp;GC"</f>
        <v>#VALUE!</v>
      </c>
      <c r="HT104" t="e">
        <f>'SurveyRpt_20150223 (1)'!O650+"h_l!&amp;GD"</f>
        <v>#VALUE!</v>
      </c>
      <c r="HU104" t="e">
        <f>'SurveyRpt_20150223 (1)'!P650+"h_l!&amp;GE"</f>
        <v>#VALUE!</v>
      </c>
      <c r="HV104" t="e">
        <f>'SurveyRpt_20150223 (1)'!Q650+"h_l!&amp;GF"</f>
        <v>#VALUE!</v>
      </c>
      <c r="HW104" t="e">
        <f>'SurveyRpt_20150223 (1)'!R650+"h_l!&amp;GG"</f>
        <v>#VALUE!</v>
      </c>
      <c r="HX104" t="e">
        <f>'SurveyRpt_20150223 (1)'!S650+"h_l!&amp;GH"</f>
        <v>#VALUE!</v>
      </c>
      <c r="HY104" t="e">
        <f>'SurveyRpt_20150223 (1)'!T650+"h_l!&amp;GI"</f>
        <v>#VALUE!</v>
      </c>
      <c r="HZ104" t="e">
        <f>'SurveyRpt_20150223 (1)'!U650+"h_l!&amp;GJ"</f>
        <v>#VALUE!</v>
      </c>
      <c r="IA104" t="e">
        <f>'SurveyRpt_20150223 (1)'!V650+"h_l!&amp;GK"</f>
        <v>#VALUE!</v>
      </c>
      <c r="IB104" t="e">
        <f>'SurveyRpt_20150223 (1)'!W650+"h_l!&amp;GL"</f>
        <v>#VALUE!</v>
      </c>
      <c r="IC104" t="e">
        <f>'SurveyRpt_20150223 (1)'!X650+"h_l!&amp;GM"</f>
        <v>#VALUE!</v>
      </c>
      <c r="ID104" t="e">
        <f>'SurveyRpt_20150223 (1)'!Y650+"h_l!&amp;GN"</f>
        <v>#VALUE!</v>
      </c>
      <c r="IE104" t="e">
        <f>'SurveyRpt_20150223 (1)'!Z650+"h_l!&amp;GO"</f>
        <v>#VALUE!</v>
      </c>
      <c r="IF104" t="e">
        <f>'SurveyRpt_20150223 (1)'!AA650+"h_l!&amp;GP"</f>
        <v>#VALUE!</v>
      </c>
      <c r="IG104" t="e">
        <f>'SurveyRpt_20150223 (1)'!AB650+"h_l!&amp;GQ"</f>
        <v>#VALUE!</v>
      </c>
      <c r="IH104" t="e">
        <f>'SurveyRpt_20150223 (1)'!AC650+"h_l!&amp;GR"</f>
        <v>#VALUE!</v>
      </c>
      <c r="II104" t="e">
        <f>'SurveyRpt_20150223 (1)'!AD650+"h_l!&amp;GS"</f>
        <v>#VALUE!</v>
      </c>
      <c r="IJ104" t="e">
        <f>'SurveyRpt_20150223 (1)'!AE650+"h_l!&amp;GT"</f>
        <v>#VALUE!</v>
      </c>
      <c r="IK104" t="e">
        <f>'SurveyRpt_20150223 (1)'!AF650+"h_l!&amp;GU"</f>
        <v>#VALUE!</v>
      </c>
      <c r="IL104" t="e">
        <f>'SurveyRpt_20150223 (1)'!AG650+"h_l!&amp;GV"</f>
        <v>#VALUE!</v>
      </c>
      <c r="IM104" t="e">
        <f>'SurveyRpt_20150223 (1)'!AH650+"h_l!&amp;GW"</f>
        <v>#VALUE!</v>
      </c>
      <c r="IN104" t="e">
        <f>'SurveyRpt_20150223 (1)'!AI650+"h_l!&amp;GX"</f>
        <v>#VALUE!</v>
      </c>
      <c r="IO104" t="e">
        <f>'SurveyRpt_20150223 (1)'!AJ650+"h_l!&amp;GY"</f>
        <v>#VALUE!</v>
      </c>
      <c r="IP104" t="e">
        <f>'SurveyRpt_20150223 (1)'!AK650+"h_l!&amp;GZ"</f>
        <v>#VALUE!</v>
      </c>
      <c r="IQ104" t="e">
        <f>'SurveyRpt_20150223 (1)'!AL650+"h_l!&amp;G["</f>
        <v>#VALUE!</v>
      </c>
      <c r="IR104" t="e">
        <f>'SurveyRpt_20150223 (1)'!AM650+"h_l!&amp;G\"</f>
        <v>#VALUE!</v>
      </c>
      <c r="IS104" t="e">
        <f>'SurveyRpt_20150223 (1)'!AN650+"h_l!&amp;G]"</f>
        <v>#VALUE!</v>
      </c>
      <c r="IT104" t="e">
        <f>'SurveyRpt_20150223 (1)'!A651+"h_l!&amp;G^"</f>
        <v>#VALUE!</v>
      </c>
      <c r="IU104" s="25" t="e">
        <f>'SurveyRpt_20150223 (1)'!B651+"h_l!&amp;G_"</f>
        <v>#VALUE!</v>
      </c>
      <c r="IV104" t="e">
        <f>'SurveyRpt_20150223 (1)'!C651+"h_l!&amp;G`"</f>
        <v>#VALUE!</v>
      </c>
    </row>
    <row r="105" spans="6:256" x14ac:dyDescent="0.25">
      <c r="F105" s="25" t="e">
        <f>'SurveyRpt_20150223 (1)'!D651+"h_l!&amp;Ga"</f>
        <v>#VALUE!</v>
      </c>
      <c r="G105" t="e">
        <f>'SurveyRpt_20150223 (1)'!E651+"h_l!&amp;Gb"</f>
        <v>#VALUE!</v>
      </c>
      <c r="H105" t="e">
        <f>'SurveyRpt_20150223 (1)'!F651+"h_l!&amp;Gc"</f>
        <v>#VALUE!</v>
      </c>
      <c r="I105" t="e">
        <f>'SurveyRpt_20150223 (1)'!G651+"h_l!&amp;Gd"</f>
        <v>#VALUE!</v>
      </c>
      <c r="J105" t="e">
        <f>'SurveyRpt_20150223 (1)'!H651+"h_l!&amp;Ge"</f>
        <v>#VALUE!</v>
      </c>
      <c r="K105" t="e">
        <f>'SurveyRpt_20150223 (1)'!I651+"h_l!&amp;Gf"</f>
        <v>#VALUE!</v>
      </c>
      <c r="L105" t="e">
        <f>'SurveyRpt_20150223 (1)'!J651+"h_l!&amp;Gg"</f>
        <v>#VALUE!</v>
      </c>
      <c r="M105" t="e">
        <f>'SurveyRpt_20150223 (1)'!K651+"h_l!&amp;Gh"</f>
        <v>#VALUE!</v>
      </c>
      <c r="N105" t="e">
        <f>'SurveyRpt_20150223 (1)'!L651+"h_l!&amp;Gi"</f>
        <v>#VALUE!</v>
      </c>
      <c r="O105" t="e">
        <f>'SurveyRpt_20150223 (1)'!M651+"h_l!&amp;Gj"</f>
        <v>#VALUE!</v>
      </c>
      <c r="P105" t="e">
        <f>'SurveyRpt_20150223 (1)'!N651+"h_l!&amp;Gk"</f>
        <v>#VALUE!</v>
      </c>
      <c r="Q105" t="e">
        <f>'SurveyRpt_20150223 (1)'!O651+"h_l!&amp;Gl"</f>
        <v>#VALUE!</v>
      </c>
      <c r="R105" t="e">
        <f>'SurveyRpt_20150223 (1)'!P651+"h_l!&amp;Gm"</f>
        <v>#VALUE!</v>
      </c>
      <c r="S105" t="e">
        <f>'SurveyRpt_20150223 (1)'!Q651+"h_l!&amp;Gn"</f>
        <v>#VALUE!</v>
      </c>
      <c r="T105" t="e">
        <f>'SurveyRpt_20150223 (1)'!R651+"h_l!&amp;Go"</f>
        <v>#VALUE!</v>
      </c>
      <c r="U105" t="e">
        <f>'SurveyRpt_20150223 (1)'!S651+"h_l!&amp;Gp"</f>
        <v>#VALUE!</v>
      </c>
      <c r="V105" t="e">
        <f>'SurveyRpt_20150223 (1)'!T651+"h_l!&amp;Gq"</f>
        <v>#VALUE!</v>
      </c>
      <c r="W105" t="e">
        <f>'SurveyRpt_20150223 (1)'!U651+"h_l!&amp;Gr"</f>
        <v>#VALUE!</v>
      </c>
      <c r="X105" t="e">
        <f>'SurveyRpt_20150223 (1)'!V651+"h_l!&amp;Gs"</f>
        <v>#VALUE!</v>
      </c>
      <c r="Y105" t="e">
        <f>'SurveyRpt_20150223 (1)'!W651+"h_l!&amp;Gt"</f>
        <v>#VALUE!</v>
      </c>
      <c r="Z105" t="e">
        <f>'SurveyRpt_20150223 (1)'!X651+"h_l!&amp;Gu"</f>
        <v>#VALUE!</v>
      </c>
      <c r="AA105" t="e">
        <f>'SurveyRpt_20150223 (1)'!Y651+"h_l!&amp;Gv"</f>
        <v>#VALUE!</v>
      </c>
      <c r="AB105" t="e">
        <f>'SurveyRpt_20150223 (1)'!Z651+"h_l!&amp;Gw"</f>
        <v>#VALUE!</v>
      </c>
      <c r="AC105" t="e">
        <f>'SurveyRpt_20150223 (1)'!AA651+"h_l!&amp;Gx"</f>
        <v>#VALUE!</v>
      </c>
      <c r="AD105" t="e">
        <f>'SurveyRpt_20150223 (1)'!AB651+"h_l!&amp;Gy"</f>
        <v>#VALUE!</v>
      </c>
      <c r="AE105" t="e">
        <f>'SurveyRpt_20150223 (1)'!AC651+"h_l!&amp;Gz"</f>
        <v>#VALUE!</v>
      </c>
      <c r="AF105" t="e">
        <f>'SurveyRpt_20150223 (1)'!AD651+"h_l!&amp;G{"</f>
        <v>#VALUE!</v>
      </c>
      <c r="AG105" t="e">
        <f>'SurveyRpt_20150223 (1)'!AE651+"h_l!&amp;G|"</f>
        <v>#VALUE!</v>
      </c>
      <c r="AH105" t="e">
        <f>'SurveyRpt_20150223 (1)'!AF651+"h_l!&amp;G}"</f>
        <v>#VALUE!</v>
      </c>
      <c r="AI105" t="e">
        <f>'SurveyRpt_20150223 (1)'!AG651+"h_l!&amp;G~"</f>
        <v>#VALUE!</v>
      </c>
      <c r="AJ105" t="e">
        <f>'SurveyRpt_20150223 (1)'!AH651+"h_l!&amp;H#"</f>
        <v>#VALUE!</v>
      </c>
      <c r="AK105" t="e">
        <f>'SurveyRpt_20150223 (1)'!AI651+"h_l!&amp;H$"</f>
        <v>#VALUE!</v>
      </c>
      <c r="AL105" t="e">
        <f>'SurveyRpt_20150223 (1)'!AJ651+"h_l!&amp;H%"</f>
        <v>#VALUE!</v>
      </c>
      <c r="AM105" t="e">
        <f>'SurveyRpt_20150223 (1)'!AK651+"h_l!&amp;H&amp;"</f>
        <v>#VALUE!</v>
      </c>
      <c r="AN105" t="e">
        <f>'SurveyRpt_20150223 (1)'!AL651+"h_l!&amp;H'"</f>
        <v>#VALUE!</v>
      </c>
      <c r="AO105" t="e">
        <f>'SurveyRpt_20150223 (1)'!AM651+"h_l!&amp;H("</f>
        <v>#VALUE!</v>
      </c>
      <c r="AP105" t="e">
        <f>'SurveyRpt_20150223 (1)'!AN651+"h_l!&amp;H)"</f>
        <v>#VALUE!</v>
      </c>
      <c r="AQ105" t="e">
        <f>'SurveyRpt_20150223 (1)'!A652+"h_l!&amp;H."</f>
        <v>#VALUE!</v>
      </c>
      <c r="AR105" s="25" t="e">
        <f>'SurveyRpt_20150223 (1)'!B652+"h_l!&amp;H/"</f>
        <v>#VALUE!</v>
      </c>
      <c r="AS105" t="e">
        <f>'SurveyRpt_20150223 (1)'!C652+"h_l!&amp;H0"</f>
        <v>#VALUE!</v>
      </c>
      <c r="AT105" s="25" t="e">
        <f>'SurveyRpt_20150223 (1)'!D652+"h_l!&amp;H1"</f>
        <v>#VALUE!</v>
      </c>
      <c r="AU105" t="e">
        <f>'SurveyRpt_20150223 (1)'!E652+"h_l!&amp;H2"</f>
        <v>#VALUE!</v>
      </c>
      <c r="AV105" t="e">
        <f>'SurveyRpt_20150223 (1)'!F652+"h_l!&amp;H3"</f>
        <v>#VALUE!</v>
      </c>
      <c r="AW105" t="e">
        <f>'SurveyRpt_20150223 (1)'!G652+"h_l!&amp;H4"</f>
        <v>#VALUE!</v>
      </c>
      <c r="AX105" t="e">
        <f>'SurveyRpt_20150223 (1)'!H652+"h_l!&amp;H5"</f>
        <v>#VALUE!</v>
      </c>
      <c r="AY105" t="e">
        <f>'SurveyRpt_20150223 (1)'!I652+"h_l!&amp;H6"</f>
        <v>#VALUE!</v>
      </c>
      <c r="AZ105" t="e">
        <f>'SurveyRpt_20150223 (1)'!J652+"h_l!&amp;H7"</f>
        <v>#VALUE!</v>
      </c>
      <c r="BA105" t="e">
        <f>'SurveyRpt_20150223 (1)'!K652+"h_l!&amp;H8"</f>
        <v>#VALUE!</v>
      </c>
      <c r="BB105" t="e">
        <f>'SurveyRpt_20150223 (1)'!L652+"h_l!&amp;H9"</f>
        <v>#VALUE!</v>
      </c>
      <c r="BC105" t="e">
        <f>'SurveyRpt_20150223 (1)'!M652+"h_l!&amp;H:"</f>
        <v>#VALUE!</v>
      </c>
      <c r="BD105" t="e">
        <f>'SurveyRpt_20150223 (1)'!N652+"h_l!&amp;H;"</f>
        <v>#VALUE!</v>
      </c>
      <c r="BE105" t="e">
        <f>'SurveyRpt_20150223 (1)'!O652+"h_l!&amp;H&lt;"</f>
        <v>#VALUE!</v>
      </c>
      <c r="BF105" t="e">
        <f>'SurveyRpt_20150223 (1)'!P652+"h_l!&amp;H="</f>
        <v>#VALUE!</v>
      </c>
      <c r="BG105" t="e">
        <f>'SurveyRpt_20150223 (1)'!Q652+"h_l!&amp;H&gt;"</f>
        <v>#VALUE!</v>
      </c>
      <c r="BH105" t="e">
        <f>'SurveyRpt_20150223 (1)'!R652+"h_l!&amp;H?"</f>
        <v>#VALUE!</v>
      </c>
      <c r="BI105" t="e">
        <f>'SurveyRpt_20150223 (1)'!S652+"h_l!&amp;H@"</f>
        <v>#VALUE!</v>
      </c>
      <c r="BJ105" t="e">
        <f>'SurveyRpt_20150223 (1)'!T652+"h_l!&amp;HA"</f>
        <v>#VALUE!</v>
      </c>
      <c r="BK105" t="e">
        <f>'SurveyRpt_20150223 (1)'!U652+"h_l!&amp;HB"</f>
        <v>#VALUE!</v>
      </c>
      <c r="BL105" t="e">
        <f>'SurveyRpt_20150223 (1)'!V652+"h_l!&amp;HC"</f>
        <v>#VALUE!</v>
      </c>
      <c r="BM105" t="e">
        <f>'SurveyRpt_20150223 (1)'!W652+"h_l!&amp;HD"</f>
        <v>#VALUE!</v>
      </c>
      <c r="BN105" t="e">
        <f>'SurveyRpt_20150223 (1)'!X652+"h_l!&amp;HE"</f>
        <v>#VALUE!</v>
      </c>
      <c r="BO105" t="e">
        <f>'SurveyRpt_20150223 (1)'!Y652+"h_l!&amp;HF"</f>
        <v>#VALUE!</v>
      </c>
      <c r="BP105" t="e">
        <f>'SurveyRpt_20150223 (1)'!Z652+"h_l!&amp;HG"</f>
        <v>#VALUE!</v>
      </c>
      <c r="BQ105" t="e">
        <f>'SurveyRpt_20150223 (1)'!AA652+"h_l!&amp;HH"</f>
        <v>#VALUE!</v>
      </c>
      <c r="BR105" t="e">
        <f>'SurveyRpt_20150223 (1)'!AB652+"h_l!&amp;HI"</f>
        <v>#VALUE!</v>
      </c>
      <c r="BS105" t="e">
        <f>'SurveyRpt_20150223 (1)'!AC652+"h_l!&amp;HJ"</f>
        <v>#VALUE!</v>
      </c>
      <c r="BT105" t="e">
        <f>'SurveyRpt_20150223 (1)'!AD652+"h_l!&amp;HK"</f>
        <v>#VALUE!</v>
      </c>
      <c r="BU105" t="e">
        <f>'SurveyRpt_20150223 (1)'!AE652+"h_l!&amp;HL"</f>
        <v>#VALUE!</v>
      </c>
      <c r="BV105" t="e">
        <f>'SurveyRpt_20150223 (1)'!AF652+"h_l!&amp;HM"</f>
        <v>#VALUE!</v>
      </c>
      <c r="BW105" t="e">
        <f>'SurveyRpt_20150223 (1)'!AG652+"h_l!&amp;HN"</f>
        <v>#VALUE!</v>
      </c>
      <c r="BX105" t="e">
        <f>'SurveyRpt_20150223 (1)'!AH652+"h_l!&amp;HO"</f>
        <v>#VALUE!</v>
      </c>
      <c r="BY105" t="e">
        <f>'SurveyRpt_20150223 (1)'!AI652+"h_l!&amp;HP"</f>
        <v>#VALUE!</v>
      </c>
      <c r="BZ105" t="e">
        <f>'SurveyRpt_20150223 (1)'!AJ652+"h_l!&amp;HQ"</f>
        <v>#VALUE!</v>
      </c>
      <c r="CA105" t="e">
        <f>'SurveyRpt_20150223 (1)'!AK652+"h_l!&amp;HR"</f>
        <v>#VALUE!</v>
      </c>
      <c r="CB105" t="e">
        <f>'SurveyRpt_20150223 (1)'!AL652+"h_l!&amp;HS"</f>
        <v>#VALUE!</v>
      </c>
      <c r="CC105" t="e">
        <f>'SurveyRpt_20150223 (1)'!AM652+"h_l!&amp;HT"</f>
        <v>#VALUE!</v>
      </c>
      <c r="CD105" t="e">
        <f>'SurveyRpt_20150223 (1)'!AN652+"h_l!&amp;HU"</f>
        <v>#VALUE!</v>
      </c>
      <c r="CE105" t="e">
        <f>'SurveyRpt_20150223 (1)'!A653+"h_l!&amp;HV"</f>
        <v>#VALUE!</v>
      </c>
      <c r="CF105" s="25" t="e">
        <f>'SurveyRpt_20150223 (1)'!B653+"h_l!&amp;HW"</f>
        <v>#VALUE!</v>
      </c>
      <c r="CG105" t="e">
        <f>'SurveyRpt_20150223 (1)'!C653+"h_l!&amp;HX"</f>
        <v>#VALUE!</v>
      </c>
      <c r="CH105" s="25" t="e">
        <f>'SurveyRpt_20150223 (1)'!D653+"h_l!&amp;HY"</f>
        <v>#VALUE!</v>
      </c>
      <c r="CI105" t="e">
        <f>'SurveyRpt_20150223 (1)'!E653+"h_l!&amp;HZ"</f>
        <v>#VALUE!</v>
      </c>
      <c r="CJ105" t="e">
        <f>'SurveyRpt_20150223 (1)'!F653+"h_l!&amp;H["</f>
        <v>#VALUE!</v>
      </c>
      <c r="CK105" t="e">
        <f>'SurveyRpt_20150223 (1)'!G653+"h_l!&amp;H\"</f>
        <v>#VALUE!</v>
      </c>
      <c r="CL105" t="e">
        <f>'SurveyRpt_20150223 (1)'!H653+"h_l!&amp;H]"</f>
        <v>#VALUE!</v>
      </c>
      <c r="CM105" t="e">
        <f>'SurveyRpt_20150223 (1)'!I653+"h_l!&amp;H^"</f>
        <v>#VALUE!</v>
      </c>
      <c r="CN105" t="e">
        <f>'SurveyRpt_20150223 (1)'!J653+"h_l!&amp;H_"</f>
        <v>#VALUE!</v>
      </c>
      <c r="CO105" t="e">
        <f>'SurveyRpt_20150223 (1)'!K653+"h_l!&amp;H`"</f>
        <v>#VALUE!</v>
      </c>
      <c r="CP105" t="e">
        <f>'SurveyRpt_20150223 (1)'!L653+"h_l!&amp;Ha"</f>
        <v>#VALUE!</v>
      </c>
      <c r="CQ105" t="e">
        <f>'SurveyRpt_20150223 (1)'!M653+"h_l!&amp;Hb"</f>
        <v>#VALUE!</v>
      </c>
      <c r="CR105" t="e">
        <f>'SurveyRpt_20150223 (1)'!N653+"h_l!&amp;Hc"</f>
        <v>#VALUE!</v>
      </c>
      <c r="CS105" t="e">
        <f>'SurveyRpt_20150223 (1)'!O653+"h_l!&amp;Hd"</f>
        <v>#VALUE!</v>
      </c>
      <c r="CT105" t="e">
        <f>'SurveyRpt_20150223 (1)'!P653+"h_l!&amp;He"</f>
        <v>#VALUE!</v>
      </c>
      <c r="CU105" t="e">
        <f>'SurveyRpt_20150223 (1)'!Q653+"h_l!&amp;Hf"</f>
        <v>#VALUE!</v>
      </c>
      <c r="CV105" t="e">
        <f>'SurveyRpt_20150223 (1)'!R653+"h_l!&amp;Hg"</f>
        <v>#VALUE!</v>
      </c>
      <c r="CW105" t="e">
        <f>'SurveyRpt_20150223 (1)'!S653+"h_l!&amp;Hh"</f>
        <v>#VALUE!</v>
      </c>
      <c r="CX105" t="e">
        <f>'SurveyRpt_20150223 (1)'!T653+"h_l!&amp;Hi"</f>
        <v>#VALUE!</v>
      </c>
      <c r="CY105" t="e">
        <f>'SurveyRpt_20150223 (1)'!U653+"h_l!&amp;Hj"</f>
        <v>#VALUE!</v>
      </c>
      <c r="CZ105" t="e">
        <f>'SurveyRpt_20150223 (1)'!V653+"h_l!&amp;Hk"</f>
        <v>#VALUE!</v>
      </c>
      <c r="DA105" t="e">
        <f>'SurveyRpt_20150223 (1)'!W653+"h_l!&amp;Hl"</f>
        <v>#VALUE!</v>
      </c>
      <c r="DB105" t="e">
        <f>'SurveyRpt_20150223 (1)'!X653+"h_l!&amp;Hm"</f>
        <v>#VALUE!</v>
      </c>
      <c r="DC105" t="e">
        <f>'SurveyRpt_20150223 (1)'!Y653+"h_l!&amp;Hn"</f>
        <v>#VALUE!</v>
      </c>
      <c r="DD105" t="e">
        <f>'SurveyRpt_20150223 (1)'!Z653+"h_l!&amp;Ho"</f>
        <v>#VALUE!</v>
      </c>
      <c r="DE105" t="e">
        <f>'SurveyRpt_20150223 (1)'!AA653+"h_l!&amp;Hp"</f>
        <v>#VALUE!</v>
      </c>
      <c r="DF105" t="e">
        <f>'SurveyRpt_20150223 (1)'!AB653+"h_l!&amp;Hq"</f>
        <v>#VALUE!</v>
      </c>
      <c r="DG105" t="e">
        <f>'SurveyRpt_20150223 (1)'!AC653+"h_l!&amp;Hr"</f>
        <v>#VALUE!</v>
      </c>
      <c r="DH105" t="e">
        <f>'SurveyRpt_20150223 (1)'!AD653+"h_l!&amp;Hs"</f>
        <v>#VALUE!</v>
      </c>
      <c r="DI105" t="e">
        <f>'SurveyRpt_20150223 (1)'!AE653+"h_l!&amp;Ht"</f>
        <v>#VALUE!</v>
      </c>
      <c r="DJ105" t="e">
        <f>'SurveyRpt_20150223 (1)'!AF653+"h_l!&amp;Hu"</f>
        <v>#VALUE!</v>
      </c>
      <c r="DK105" t="e">
        <f>'SurveyRpt_20150223 (1)'!AG653+"h_l!&amp;Hv"</f>
        <v>#VALUE!</v>
      </c>
      <c r="DL105" t="e">
        <f>'SurveyRpt_20150223 (1)'!AH653+"h_l!&amp;Hw"</f>
        <v>#VALUE!</v>
      </c>
      <c r="DM105" t="e">
        <f>'SurveyRpt_20150223 (1)'!AI653+"h_l!&amp;Hx"</f>
        <v>#VALUE!</v>
      </c>
      <c r="DN105" t="e">
        <f>'SurveyRpt_20150223 (1)'!AJ653+"h_l!&amp;Hy"</f>
        <v>#VALUE!</v>
      </c>
      <c r="DO105" t="e">
        <f>'SurveyRpt_20150223 (1)'!AK653+"h_l!&amp;Hz"</f>
        <v>#VALUE!</v>
      </c>
      <c r="DP105" t="e">
        <f>'SurveyRpt_20150223 (1)'!AL653+"h_l!&amp;H{"</f>
        <v>#VALUE!</v>
      </c>
      <c r="DQ105" t="e">
        <f>'SurveyRpt_20150223 (1)'!AM653+"h_l!&amp;H|"</f>
        <v>#VALUE!</v>
      </c>
      <c r="DR105" t="e">
        <f>'SurveyRpt_20150223 (1)'!AN653+"h_l!&amp;H}"</f>
        <v>#VALUE!</v>
      </c>
      <c r="DS105" t="e">
        <f>'SurveyRpt_20150223 (1)'!A654+"h_l!&amp;H~"</f>
        <v>#VALUE!</v>
      </c>
      <c r="DT105" s="25" t="e">
        <f>'SurveyRpt_20150223 (1)'!B654+"h_l!&amp;I#"</f>
        <v>#VALUE!</v>
      </c>
      <c r="DU105" t="e">
        <f>'SurveyRpt_20150223 (1)'!C654+"h_l!&amp;I$"</f>
        <v>#VALUE!</v>
      </c>
      <c r="DV105" s="25" t="e">
        <f>'SurveyRpt_20150223 (1)'!D654+"h_l!&amp;I%"</f>
        <v>#VALUE!</v>
      </c>
      <c r="DW105" t="e">
        <f>'SurveyRpt_20150223 (1)'!E654+"h_l!&amp;I&amp;"</f>
        <v>#VALUE!</v>
      </c>
      <c r="DX105" t="e">
        <f>'SurveyRpt_20150223 (1)'!F654+"h_l!&amp;I'"</f>
        <v>#VALUE!</v>
      </c>
      <c r="DY105" t="e">
        <f>'SurveyRpt_20150223 (1)'!G654+"h_l!&amp;I("</f>
        <v>#VALUE!</v>
      </c>
      <c r="DZ105" t="e">
        <f>'SurveyRpt_20150223 (1)'!H654+"h_l!&amp;I)"</f>
        <v>#VALUE!</v>
      </c>
      <c r="EA105" t="e">
        <f>'SurveyRpt_20150223 (1)'!I654+"h_l!&amp;I."</f>
        <v>#VALUE!</v>
      </c>
      <c r="EB105" t="e">
        <f>'SurveyRpt_20150223 (1)'!J654+"h_l!&amp;I/"</f>
        <v>#VALUE!</v>
      </c>
      <c r="EC105" t="e">
        <f>'SurveyRpt_20150223 (1)'!K654+"h_l!&amp;I0"</f>
        <v>#VALUE!</v>
      </c>
      <c r="ED105" t="e">
        <f>'SurveyRpt_20150223 (1)'!L654+"h_l!&amp;I1"</f>
        <v>#VALUE!</v>
      </c>
      <c r="EE105" t="e">
        <f>'SurveyRpt_20150223 (1)'!M654+"h_l!&amp;I2"</f>
        <v>#VALUE!</v>
      </c>
      <c r="EF105" t="e">
        <f>'SurveyRpt_20150223 (1)'!N654+"h_l!&amp;I3"</f>
        <v>#VALUE!</v>
      </c>
      <c r="EG105" t="e">
        <f>'SurveyRpt_20150223 (1)'!O654+"h_l!&amp;I4"</f>
        <v>#VALUE!</v>
      </c>
      <c r="EH105" t="e">
        <f>'SurveyRpt_20150223 (1)'!P654+"h_l!&amp;I5"</f>
        <v>#VALUE!</v>
      </c>
      <c r="EI105" t="e">
        <f>'SurveyRpt_20150223 (1)'!Q654+"h_l!&amp;I6"</f>
        <v>#VALUE!</v>
      </c>
      <c r="EJ105" t="e">
        <f>'SurveyRpt_20150223 (1)'!R654+"h_l!&amp;I7"</f>
        <v>#VALUE!</v>
      </c>
      <c r="EK105" t="e">
        <f>'SurveyRpt_20150223 (1)'!S654+"h_l!&amp;I8"</f>
        <v>#VALUE!</v>
      </c>
      <c r="EL105" t="e">
        <f>'SurveyRpt_20150223 (1)'!T654+"h_l!&amp;I9"</f>
        <v>#VALUE!</v>
      </c>
      <c r="EM105" t="e">
        <f>'SurveyRpt_20150223 (1)'!U654+"h_l!&amp;I:"</f>
        <v>#VALUE!</v>
      </c>
      <c r="EN105" t="e">
        <f>'SurveyRpt_20150223 (1)'!V654+"h_l!&amp;I;"</f>
        <v>#VALUE!</v>
      </c>
      <c r="EO105" t="e">
        <f>'SurveyRpt_20150223 (1)'!W654+"h_l!&amp;I&lt;"</f>
        <v>#VALUE!</v>
      </c>
      <c r="EP105" t="e">
        <f>'SurveyRpt_20150223 (1)'!X654+"h_l!&amp;I="</f>
        <v>#VALUE!</v>
      </c>
      <c r="EQ105" t="e">
        <f>'SurveyRpt_20150223 (1)'!Y654+"h_l!&amp;I&gt;"</f>
        <v>#VALUE!</v>
      </c>
      <c r="ER105" t="e">
        <f>'SurveyRpt_20150223 (1)'!Z654+"h_l!&amp;I?"</f>
        <v>#VALUE!</v>
      </c>
      <c r="ES105" t="e">
        <f>'SurveyRpt_20150223 (1)'!AA654+"h_l!&amp;I@"</f>
        <v>#VALUE!</v>
      </c>
      <c r="ET105" t="e">
        <f>'SurveyRpt_20150223 (1)'!AB654+"h_l!&amp;IA"</f>
        <v>#VALUE!</v>
      </c>
      <c r="EU105" t="e">
        <f>'SurveyRpt_20150223 (1)'!AC654+"h_l!&amp;IB"</f>
        <v>#VALUE!</v>
      </c>
      <c r="EV105" t="e">
        <f>'SurveyRpt_20150223 (1)'!AD654+"h_l!&amp;IC"</f>
        <v>#VALUE!</v>
      </c>
      <c r="EW105" t="e">
        <f>'SurveyRpt_20150223 (1)'!AE654+"h_l!&amp;ID"</f>
        <v>#VALUE!</v>
      </c>
      <c r="EX105" t="e">
        <f>'SurveyRpt_20150223 (1)'!AF654+"h_l!&amp;IE"</f>
        <v>#VALUE!</v>
      </c>
      <c r="EY105" t="e">
        <f>'SurveyRpt_20150223 (1)'!AG654+"h_l!&amp;IF"</f>
        <v>#VALUE!</v>
      </c>
      <c r="EZ105" t="e">
        <f>'SurveyRpt_20150223 (1)'!AH654+"h_l!&amp;IG"</f>
        <v>#VALUE!</v>
      </c>
      <c r="FA105" t="e">
        <f>'SurveyRpt_20150223 (1)'!AI654+"h_l!&amp;IH"</f>
        <v>#VALUE!</v>
      </c>
      <c r="FB105" t="e">
        <f>'SurveyRpt_20150223 (1)'!AJ654+"h_l!&amp;II"</f>
        <v>#VALUE!</v>
      </c>
      <c r="FC105" t="e">
        <f>'SurveyRpt_20150223 (1)'!AK654+"h_l!&amp;IJ"</f>
        <v>#VALUE!</v>
      </c>
      <c r="FD105" t="e">
        <f>'SurveyRpt_20150223 (1)'!AL654+"h_l!&amp;IK"</f>
        <v>#VALUE!</v>
      </c>
      <c r="FE105" t="e">
        <f>'SurveyRpt_20150223 (1)'!AM654+"h_l!&amp;IL"</f>
        <v>#VALUE!</v>
      </c>
      <c r="FF105" t="e">
        <f>'SurveyRpt_20150223 (1)'!AN654+"h_l!&amp;IM"</f>
        <v>#VALUE!</v>
      </c>
      <c r="FG105" t="e">
        <f>'SurveyRpt_20150223 (1)'!A655+"h_l!&amp;IN"</f>
        <v>#VALUE!</v>
      </c>
      <c r="FH105" s="25" t="e">
        <f>'SurveyRpt_20150223 (1)'!B655+"h_l!&amp;IO"</f>
        <v>#VALUE!</v>
      </c>
      <c r="FI105" t="e">
        <f>'SurveyRpt_20150223 (1)'!C655+"h_l!&amp;IP"</f>
        <v>#VALUE!</v>
      </c>
      <c r="FJ105" s="25" t="e">
        <f>'SurveyRpt_20150223 (1)'!D655+"h_l!&amp;IQ"</f>
        <v>#VALUE!</v>
      </c>
      <c r="FK105" t="e">
        <f>'SurveyRpt_20150223 (1)'!E655+"h_l!&amp;IR"</f>
        <v>#VALUE!</v>
      </c>
      <c r="FL105" t="e">
        <f>'SurveyRpt_20150223 (1)'!F655+"h_l!&amp;IS"</f>
        <v>#VALUE!</v>
      </c>
      <c r="FM105" t="e">
        <f>'SurveyRpt_20150223 (1)'!G655+"h_l!&amp;IT"</f>
        <v>#VALUE!</v>
      </c>
      <c r="FN105" t="e">
        <f>'SurveyRpt_20150223 (1)'!H655+"h_l!&amp;IU"</f>
        <v>#VALUE!</v>
      </c>
      <c r="FO105" t="e">
        <f>'SurveyRpt_20150223 (1)'!I655+"h_l!&amp;IV"</f>
        <v>#VALUE!</v>
      </c>
      <c r="FP105" t="e">
        <f>'SurveyRpt_20150223 (1)'!J655+"h_l!&amp;IW"</f>
        <v>#VALUE!</v>
      </c>
      <c r="FQ105" t="e">
        <f>'SurveyRpt_20150223 (1)'!K655+"h_l!&amp;IX"</f>
        <v>#VALUE!</v>
      </c>
      <c r="FR105" t="e">
        <f>'SurveyRpt_20150223 (1)'!L655+"h_l!&amp;IY"</f>
        <v>#VALUE!</v>
      </c>
      <c r="FS105" t="e">
        <f>'SurveyRpt_20150223 (1)'!M655+"h_l!&amp;IZ"</f>
        <v>#VALUE!</v>
      </c>
      <c r="FT105" t="e">
        <f>'SurveyRpt_20150223 (1)'!N655+"h_l!&amp;I["</f>
        <v>#VALUE!</v>
      </c>
      <c r="FU105" t="e">
        <f>'SurveyRpt_20150223 (1)'!O655+"h_l!&amp;I\"</f>
        <v>#VALUE!</v>
      </c>
      <c r="FV105" t="e">
        <f>'SurveyRpt_20150223 (1)'!P655+"h_l!&amp;I]"</f>
        <v>#VALUE!</v>
      </c>
      <c r="FW105" t="e">
        <f>'SurveyRpt_20150223 (1)'!Q655+"h_l!&amp;I^"</f>
        <v>#VALUE!</v>
      </c>
      <c r="FX105" t="e">
        <f>'SurveyRpt_20150223 (1)'!R655+"h_l!&amp;I_"</f>
        <v>#VALUE!</v>
      </c>
      <c r="FY105" t="e">
        <f>'SurveyRpt_20150223 (1)'!S655+"h_l!&amp;I`"</f>
        <v>#VALUE!</v>
      </c>
      <c r="FZ105" t="e">
        <f>'SurveyRpt_20150223 (1)'!T655+"h_l!&amp;Ia"</f>
        <v>#VALUE!</v>
      </c>
      <c r="GA105" t="e">
        <f>'SurveyRpt_20150223 (1)'!U655+"h_l!&amp;Ib"</f>
        <v>#VALUE!</v>
      </c>
      <c r="GB105" t="e">
        <f>'SurveyRpt_20150223 (1)'!V655+"h_l!&amp;Ic"</f>
        <v>#VALUE!</v>
      </c>
      <c r="GC105" t="e">
        <f>'SurveyRpt_20150223 (1)'!W655+"h_l!&amp;Id"</f>
        <v>#VALUE!</v>
      </c>
      <c r="GD105" t="e">
        <f>'SurveyRpt_20150223 (1)'!X655+"h_l!&amp;Ie"</f>
        <v>#VALUE!</v>
      </c>
      <c r="GE105" t="e">
        <f>'SurveyRpt_20150223 (1)'!Y655+"h_l!&amp;If"</f>
        <v>#VALUE!</v>
      </c>
      <c r="GF105" t="e">
        <f>'SurveyRpt_20150223 (1)'!Z655+"h_l!&amp;Ig"</f>
        <v>#VALUE!</v>
      </c>
      <c r="GG105" t="e">
        <f>'SurveyRpt_20150223 (1)'!AA655+"h_l!&amp;Ih"</f>
        <v>#VALUE!</v>
      </c>
      <c r="GH105" t="e">
        <f>'SurveyRpt_20150223 (1)'!AB655+"h_l!&amp;Ii"</f>
        <v>#VALUE!</v>
      </c>
      <c r="GI105" t="e">
        <f>'SurveyRpt_20150223 (1)'!AC655+"h_l!&amp;Ij"</f>
        <v>#VALUE!</v>
      </c>
      <c r="GJ105" t="e">
        <f>'SurveyRpt_20150223 (1)'!AD655+"h_l!&amp;Ik"</f>
        <v>#VALUE!</v>
      </c>
      <c r="GK105" t="e">
        <f>'SurveyRpt_20150223 (1)'!AE655+"h_l!&amp;Il"</f>
        <v>#VALUE!</v>
      </c>
      <c r="GL105" t="e">
        <f>'SurveyRpt_20150223 (1)'!AF655+"h_l!&amp;Im"</f>
        <v>#VALUE!</v>
      </c>
      <c r="GM105" t="e">
        <f>'SurveyRpt_20150223 (1)'!AG655+"h_l!&amp;In"</f>
        <v>#VALUE!</v>
      </c>
      <c r="GN105" t="e">
        <f>'SurveyRpt_20150223 (1)'!AH655+"h_l!&amp;Io"</f>
        <v>#VALUE!</v>
      </c>
      <c r="GO105" t="e">
        <f>'SurveyRpt_20150223 (1)'!AI655+"h_l!&amp;Ip"</f>
        <v>#VALUE!</v>
      </c>
      <c r="GP105" t="e">
        <f>'SurveyRpt_20150223 (1)'!AJ655+"h_l!&amp;Iq"</f>
        <v>#VALUE!</v>
      </c>
      <c r="GQ105" t="e">
        <f>'SurveyRpt_20150223 (1)'!AK655+"h_l!&amp;Ir"</f>
        <v>#VALUE!</v>
      </c>
      <c r="GR105" t="e">
        <f>'SurveyRpt_20150223 (1)'!AL655+"h_l!&amp;Is"</f>
        <v>#VALUE!</v>
      </c>
      <c r="GS105" t="e">
        <f>'SurveyRpt_20150223 (1)'!AM655+"h_l!&amp;It"</f>
        <v>#VALUE!</v>
      </c>
      <c r="GT105" t="e">
        <f>'SurveyRpt_20150223 (1)'!AN655+"h_l!&amp;Iu"</f>
        <v>#VALUE!</v>
      </c>
      <c r="GU105" t="e">
        <f>'SurveyRpt_20150223 (1)'!A656+"h_l!&amp;Iv"</f>
        <v>#VALUE!</v>
      </c>
      <c r="GV105" s="25" t="e">
        <f>'SurveyRpt_20150223 (1)'!B656+"h_l!&amp;Iw"</f>
        <v>#VALUE!</v>
      </c>
      <c r="GW105" t="e">
        <f>'SurveyRpt_20150223 (1)'!C656+"h_l!&amp;Ix"</f>
        <v>#VALUE!</v>
      </c>
      <c r="GX105" s="25" t="e">
        <f>'SurveyRpt_20150223 (1)'!D656+"h_l!&amp;Iy"</f>
        <v>#VALUE!</v>
      </c>
      <c r="GY105" t="e">
        <f>'SurveyRpt_20150223 (1)'!E656+"h_l!&amp;Iz"</f>
        <v>#VALUE!</v>
      </c>
      <c r="GZ105" t="e">
        <f>'SurveyRpt_20150223 (1)'!F656+"h_l!&amp;I{"</f>
        <v>#VALUE!</v>
      </c>
      <c r="HA105" t="e">
        <f>'SurveyRpt_20150223 (1)'!G656+"h_l!&amp;I|"</f>
        <v>#VALUE!</v>
      </c>
      <c r="HB105" t="e">
        <f>'SurveyRpt_20150223 (1)'!H656+"h_l!&amp;I}"</f>
        <v>#VALUE!</v>
      </c>
      <c r="HC105" t="e">
        <f>'SurveyRpt_20150223 (1)'!I656+"h_l!&amp;I~"</f>
        <v>#VALUE!</v>
      </c>
      <c r="HD105" t="e">
        <f>'SurveyRpt_20150223 (1)'!J656+"h_l!&amp;J#"</f>
        <v>#VALUE!</v>
      </c>
      <c r="HE105" t="e">
        <f>'SurveyRpt_20150223 (1)'!K656+"h_l!&amp;J$"</f>
        <v>#VALUE!</v>
      </c>
      <c r="HF105" t="e">
        <f>'SurveyRpt_20150223 (1)'!L656+"h_l!&amp;J%"</f>
        <v>#VALUE!</v>
      </c>
      <c r="HG105" t="e">
        <f>'SurveyRpt_20150223 (1)'!M656+"h_l!&amp;J&amp;"</f>
        <v>#VALUE!</v>
      </c>
      <c r="HH105" t="e">
        <f>'SurveyRpt_20150223 (1)'!N656+"h_l!&amp;J'"</f>
        <v>#VALUE!</v>
      </c>
      <c r="HI105" t="e">
        <f>'SurveyRpt_20150223 (1)'!O656+"h_l!&amp;J("</f>
        <v>#VALUE!</v>
      </c>
      <c r="HJ105" t="e">
        <f>'SurveyRpt_20150223 (1)'!P656+"h_l!&amp;J)"</f>
        <v>#VALUE!</v>
      </c>
      <c r="HK105" t="e">
        <f>'SurveyRpt_20150223 (1)'!Q656+"h_l!&amp;J."</f>
        <v>#VALUE!</v>
      </c>
      <c r="HL105" t="e">
        <f>'SurveyRpt_20150223 (1)'!R656+"h_l!&amp;J/"</f>
        <v>#VALUE!</v>
      </c>
      <c r="HM105" t="e">
        <f>'SurveyRpt_20150223 (1)'!S656+"h_l!&amp;J0"</f>
        <v>#VALUE!</v>
      </c>
      <c r="HN105" t="e">
        <f>'SurveyRpt_20150223 (1)'!T656+"h_l!&amp;J1"</f>
        <v>#VALUE!</v>
      </c>
      <c r="HO105" t="e">
        <f>'SurveyRpt_20150223 (1)'!U656+"h_l!&amp;J2"</f>
        <v>#VALUE!</v>
      </c>
      <c r="HP105" t="e">
        <f>'SurveyRpt_20150223 (1)'!V656+"h_l!&amp;J3"</f>
        <v>#VALUE!</v>
      </c>
      <c r="HQ105" t="e">
        <f>'SurveyRpt_20150223 (1)'!W656+"h_l!&amp;J4"</f>
        <v>#VALUE!</v>
      </c>
      <c r="HR105" t="e">
        <f>'SurveyRpt_20150223 (1)'!X656+"h_l!&amp;J5"</f>
        <v>#VALUE!</v>
      </c>
      <c r="HS105" t="e">
        <f>'SurveyRpt_20150223 (1)'!Y656+"h_l!&amp;J6"</f>
        <v>#VALUE!</v>
      </c>
      <c r="HT105" t="e">
        <f>'SurveyRpt_20150223 (1)'!Z656+"h_l!&amp;J7"</f>
        <v>#VALUE!</v>
      </c>
      <c r="HU105" t="e">
        <f>'SurveyRpt_20150223 (1)'!AA656+"h_l!&amp;J8"</f>
        <v>#VALUE!</v>
      </c>
      <c r="HV105" t="e">
        <f>'SurveyRpt_20150223 (1)'!AB656+"h_l!&amp;J9"</f>
        <v>#VALUE!</v>
      </c>
      <c r="HW105" t="e">
        <f>'SurveyRpt_20150223 (1)'!AC656+"h_l!&amp;J:"</f>
        <v>#VALUE!</v>
      </c>
      <c r="HX105" t="e">
        <f>'SurveyRpt_20150223 (1)'!AD656+"h_l!&amp;J;"</f>
        <v>#VALUE!</v>
      </c>
      <c r="HY105" t="e">
        <f>'SurveyRpt_20150223 (1)'!AE656+"h_l!&amp;J&lt;"</f>
        <v>#VALUE!</v>
      </c>
      <c r="HZ105" t="e">
        <f>'SurveyRpt_20150223 (1)'!AF656+"h_l!&amp;J="</f>
        <v>#VALUE!</v>
      </c>
      <c r="IA105" t="e">
        <f>'SurveyRpt_20150223 (1)'!AG656+"h_l!&amp;J&gt;"</f>
        <v>#VALUE!</v>
      </c>
      <c r="IB105" t="e">
        <f>'SurveyRpt_20150223 (1)'!AH656+"h_l!&amp;J?"</f>
        <v>#VALUE!</v>
      </c>
      <c r="IC105" t="e">
        <f>'SurveyRpt_20150223 (1)'!AI656+"h_l!&amp;J@"</f>
        <v>#VALUE!</v>
      </c>
      <c r="ID105" t="e">
        <f>'SurveyRpt_20150223 (1)'!AJ656+"h_l!&amp;JA"</f>
        <v>#VALUE!</v>
      </c>
      <c r="IE105" t="e">
        <f>'SurveyRpt_20150223 (1)'!AK656+"h_l!&amp;JB"</f>
        <v>#VALUE!</v>
      </c>
      <c r="IF105" t="e">
        <f>'SurveyRpt_20150223 (1)'!AL656+"h_l!&amp;JC"</f>
        <v>#VALUE!</v>
      </c>
      <c r="IG105" t="e">
        <f>'SurveyRpt_20150223 (1)'!AM656+"h_l!&amp;JD"</f>
        <v>#VALUE!</v>
      </c>
      <c r="IH105" t="e">
        <f>'SurveyRpt_20150223 (1)'!AN656+"h_l!&amp;JE"</f>
        <v>#VALUE!</v>
      </c>
      <c r="II105" t="e">
        <f>'SurveyRpt_20150223 (1)'!A657+"h_l!&amp;JF"</f>
        <v>#VALUE!</v>
      </c>
      <c r="IJ105" s="25" t="e">
        <f>'SurveyRpt_20150223 (1)'!B657+"h_l!&amp;JG"</f>
        <v>#VALUE!</v>
      </c>
      <c r="IK105" t="e">
        <f>'SurveyRpt_20150223 (1)'!C657+"h_l!&amp;JH"</f>
        <v>#VALUE!</v>
      </c>
      <c r="IL105" s="25" t="e">
        <f>'SurveyRpt_20150223 (1)'!D657+"h_l!&amp;JI"</f>
        <v>#VALUE!</v>
      </c>
      <c r="IM105" t="e">
        <f>'SurveyRpt_20150223 (1)'!E657+"h_l!&amp;JJ"</f>
        <v>#VALUE!</v>
      </c>
      <c r="IN105" t="e">
        <f>'SurveyRpt_20150223 (1)'!F657+"h_l!&amp;JK"</f>
        <v>#VALUE!</v>
      </c>
      <c r="IO105" t="e">
        <f>'SurveyRpt_20150223 (1)'!G657+"h_l!&amp;JL"</f>
        <v>#VALUE!</v>
      </c>
      <c r="IP105" t="e">
        <f>'SurveyRpt_20150223 (1)'!H657+"h_l!&amp;JM"</f>
        <v>#VALUE!</v>
      </c>
      <c r="IQ105" t="e">
        <f>'SurveyRpt_20150223 (1)'!I657+"h_l!&amp;JN"</f>
        <v>#VALUE!</v>
      </c>
      <c r="IR105" t="e">
        <f>'SurveyRpt_20150223 (1)'!J657+"h_l!&amp;JO"</f>
        <v>#VALUE!</v>
      </c>
      <c r="IS105" t="e">
        <f>'SurveyRpt_20150223 (1)'!K657+"h_l!&amp;JP"</f>
        <v>#VALUE!</v>
      </c>
      <c r="IT105" t="e">
        <f>'SurveyRpt_20150223 (1)'!L657+"h_l!&amp;JQ"</f>
        <v>#VALUE!</v>
      </c>
      <c r="IU105" t="e">
        <f>'SurveyRpt_20150223 (1)'!M657+"h_l!&amp;JR"</f>
        <v>#VALUE!</v>
      </c>
      <c r="IV105" t="e">
        <f>'SurveyRpt_20150223 (1)'!N657+"h_l!&amp;JS"</f>
        <v>#VALUE!</v>
      </c>
    </row>
    <row r="106" spans="6:256" x14ac:dyDescent="0.25">
      <c r="F106" t="e">
        <f>'SurveyRpt_20150223 (1)'!O657+"h_l!&amp;JT"</f>
        <v>#VALUE!</v>
      </c>
      <c r="G106" t="e">
        <f>'SurveyRpt_20150223 (1)'!P657+"h_l!&amp;JU"</f>
        <v>#VALUE!</v>
      </c>
      <c r="H106" t="e">
        <f>'SurveyRpt_20150223 (1)'!Q657+"h_l!&amp;JV"</f>
        <v>#VALUE!</v>
      </c>
      <c r="I106" t="e">
        <f>'SurveyRpt_20150223 (1)'!R657+"h_l!&amp;JW"</f>
        <v>#VALUE!</v>
      </c>
      <c r="J106" t="e">
        <f>'SurveyRpt_20150223 (1)'!S657+"h_l!&amp;JX"</f>
        <v>#VALUE!</v>
      </c>
      <c r="K106" t="e">
        <f>'SurveyRpt_20150223 (1)'!T657+"h_l!&amp;JY"</f>
        <v>#VALUE!</v>
      </c>
      <c r="L106" t="e">
        <f>'SurveyRpt_20150223 (1)'!U657+"h_l!&amp;JZ"</f>
        <v>#VALUE!</v>
      </c>
      <c r="M106" t="e">
        <f>'SurveyRpt_20150223 (1)'!V657+"h_l!&amp;J["</f>
        <v>#VALUE!</v>
      </c>
      <c r="N106" t="e">
        <f>'SurveyRpt_20150223 (1)'!W657+"h_l!&amp;J\"</f>
        <v>#VALUE!</v>
      </c>
      <c r="O106" t="e">
        <f>'SurveyRpt_20150223 (1)'!X657+"h_l!&amp;J]"</f>
        <v>#VALUE!</v>
      </c>
      <c r="P106" t="e">
        <f>'SurveyRpt_20150223 (1)'!Y657+"h_l!&amp;J^"</f>
        <v>#VALUE!</v>
      </c>
      <c r="Q106" t="e">
        <f>'SurveyRpt_20150223 (1)'!Z657+"h_l!&amp;J_"</f>
        <v>#VALUE!</v>
      </c>
      <c r="R106" t="e">
        <f>'SurveyRpt_20150223 (1)'!AA657+"h_l!&amp;J`"</f>
        <v>#VALUE!</v>
      </c>
      <c r="S106" t="e">
        <f>'SurveyRpt_20150223 (1)'!AB657+"h_l!&amp;Ja"</f>
        <v>#VALUE!</v>
      </c>
      <c r="T106" t="e">
        <f>'SurveyRpt_20150223 (1)'!AC657+"h_l!&amp;Jb"</f>
        <v>#VALUE!</v>
      </c>
      <c r="U106" t="e">
        <f>'SurveyRpt_20150223 (1)'!AD657+"h_l!&amp;Jc"</f>
        <v>#VALUE!</v>
      </c>
      <c r="V106" t="e">
        <f>'SurveyRpt_20150223 (1)'!AE657+"h_l!&amp;Jd"</f>
        <v>#VALUE!</v>
      </c>
      <c r="W106" t="e">
        <f>'SurveyRpt_20150223 (1)'!AF657+"h_l!&amp;Je"</f>
        <v>#VALUE!</v>
      </c>
      <c r="X106" t="e">
        <f>'SurveyRpt_20150223 (1)'!AG657+"h_l!&amp;Jf"</f>
        <v>#VALUE!</v>
      </c>
      <c r="Y106" t="e">
        <f>'SurveyRpt_20150223 (1)'!AH657+"h_l!&amp;Jg"</f>
        <v>#VALUE!</v>
      </c>
      <c r="Z106" t="e">
        <f>'SurveyRpt_20150223 (1)'!AI657+"h_l!&amp;Jh"</f>
        <v>#VALUE!</v>
      </c>
      <c r="AA106" t="e">
        <f>'SurveyRpt_20150223 (1)'!AJ657+"h_l!&amp;Ji"</f>
        <v>#VALUE!</v>
      </c>
      <c r="AB106" t="e">
        <f>'SurveyRpt_20150223 (1)'!AK657+"h_l!&amp;Jj"</f>
        <v>#VALUE!</v>
      </c>
      <c r="AC106" t="e">
        <f>'SurveyRpt_20150223 (1)'!AL657+"h_l!&amp;Jk"</f>
        <v>#VALUE!</v>
      </c>
      <c r="AD106" t="e">
        <f>'SurveyRpt_20150223 (1)'!AM657+"h_l!&amp;Jl"</f>
        <v>#VALUE!</v>
      </c>
      <c r="AE106" t="e">
        <f>'SurveyRpt_20150223 (1)'!AN657+"h_l!&amp;Jm"</f>
        <v>#VALUE!</v>
      </c>
      <c r="AF106" t="e">
        <f>'SurveyRpt_20150223 (1)'!A658+"h_l!&amp;Jn"</f>
        <v>#VALUE!</v>
      </c>
      <c r="AG106" s="25" t="e">
        <f>'SurveyRpt_20150223 (1)'!B658+"h_l!&amp;Jo"</f>
        <v>#VALUE!</v>
      </c>
      <c r="AH106" t="e">
        <f>'SurveyRpt_20150223 (1)'!C658+"h_l!&amp;Jp"</f>
        <v>#VALUE!</v>
      </c>
      <c r="AI106" s="25" t="e">
        <f>'SurveyRpt_20150223 (1)'!D658+"h_l!&amp;Jq"</f>
        <v>#VALUE!</v>
      </c>
      <c r="AJ106" t="e">
        <f>'SurveyRpt_20150223 (1)'!E658+"h_l!&amp;Jr"</f>
        <v>#VALUE!</v>
      </c>
      <c r="AK106" t="e">
        <f>'SurveyRpt_20150223 (1)'!F658+"h_l!&amp;Js"</f>
        <v>#VALUE!</v>
      </c>
      <c r="AL106" t="e">
        <f>'SurveyRpt_20150223 (1)'!G658+"h_l!&amp;Jt"</f>
        <v>#VALUE!</v>
      </c>
      <c r="AM106" t="e">
        <f>'SurveyRpt_20150223 (1)'!H658+"h_l!&amp;Ju"</f>
        <v>#VALUE!</v>
      </c>
      <c r="AN106" t="e">
        <f>'SurveyRpt_20150223 (1)'!I658+"h_l!&amp;Jv"</f>
        <v>#VALUE!</v>
      </c>
      <c r="AO106" t="e">
        <f>'SurveyRpt_20150223 (1)'!J658+"h_l!&amp;Jw"</f>
        <v>#VALUE!</v>
      </c>
      <c r="AP106" t="e">
        <f>'SurveyRpt_20150223 (1)'!K658+"h_l!&amp;Jx"</f>
        <v>#VALUE!</v>
      </c>
      <c r="AQ106" t="e">
        <f>'SurveyRpt_20150223 (1)'!L658+"h_l!&amp;Jy"</f>
        <v>#VALUE!</v>
      </c>
      <c r="AR106" t="e">
        <f>'SurveyRpt_20150223 (1)'!M658+"h_l!&amp;Jz"</f>
        <v>#VALUE!</v>
      </c>
      <c r="AS106" t="e">
        <f>'SurveyRpt_20150223 (1)'!N658+"h_l!&amp;J{"</f>
        <v>#VALUE!</v>
      </c>
      <c r="AT106" t="e">
        <f>'SurveyRpt_20150223 (1)'!O658+"h_l!&amp;J|"</f>
        <v>#VALUE!</v>
      </c>
      <c r="AU106" t="e">
        <f>'SurveyRpt_20150223 (1)'!P658+"h_l!&amp;J}"</f>
        <v>#VALUE!</v>
      </c>
      <c r="AV106" t="e">
        <f>'SurveyRpt_20150223 (1)'!Q658+"h_l!&amp;J~"</f>
        <v>#VALUE!</v>
      </c>
      <c r="AW106" t="e">
        <f>'SurveyRpt_20150223 (1)'!R658+"h_l!&amp;K#"</f>
        <v>#VALUE!</v>
      </c>
      <c r="AX106" t="e">
        <f>'SurveyRpt_20150223 (1)'!S658+"h_l!&amp;K$"</f>
        <v>#VALUE!</v>
      </c>
      <c r="AY106" t="e">
        <f>'SurveyRpt_20150223 (1)'!T658+"h_l!&amp;K%"</f>
        <v>#VALUE!</v>
      </c>
      <c r="AZ106" t="e">
        <f>'SurveyRpt_20150223 (1)'!U658+"h_l!&amp;K&amp;"</f>
        <v>#VALUE!</v>
      </c>
      <c r="BA106" t="e">
        <f>'SurveyRpt_20150223 (1)'!V658+"h_l!&amp;K'"</f>
        <v>#VALUE!</v>
      </c>
      <c r="BB106" t="e">
        <f>'SurveyRpt_20150223 (1)'!W658+"h_l!&amp;K("</f>
        <v>#VALUE!</v>
      </c>
      <c r="BC106" t="e">
        <f>'SurveyRpt_20150223 (1)'!X658+"h_l!&amp;K)"</f>
        <v>#VALUE!</v>
      </c>
      <c r="BD106" t="e">
        <f>'SurveyRpt_20150223 (1)'!Y658+"h_l!&amp;K."</f>
        <v>#VALUE!</v>
      </c>
      <c r="BE106" t="e">
        <f>'SurveyRpt_20150223 (1)'!Z658+"h_l!&amp;K/"</f>
        <v>#VALUE!</v>
      </c>
      <c r="BF106" t="e">
        <f>'SurveyRpt_20150223 (1)'!AA658+"h_l!&amp;K0"</f>
        <v>#VALUE!</v>
      </c>
      <c r="BG106" t="e">
        <f>'SurveyRpt_20150223 (1)'!AB658+"h_l!&amp;K1"</f>
        <v>#VALUE!</v>
      </c>
      <c r="BH106" t="e">
        <f>'SurveyRpt_20150223 (1)'!AC658+"h_l!&amp;K2"</f>
        <v>#VALUE!</v>
      </c>
      <c r="BI106" t="e">
        <f>'SurveyRpt_20150223 (1)'!AD658+"h_l!&amp;K3"</f>
        <v>#VALUE!</v>
      </c>
      <c r="BJ106" t="e">
        <f>'SurveyRpt_20150223 (1)'!AE658+"h_l!&amp;K4"</f>
        <v>#VALUE!</v>
      </c>
      <c r="BK106" t="e">
        <f>'SurveyRpt_20150223 (1)'!AF658+"h_l!&amp;K5"</f>
        <v>#VALUE!</v>
      </c>
      <c r="BL106" t="e">
        <f>'SurveyRpt_20150223 (1)'!AG658+"h_l!&amp;K6"</f>
        <v>#VALUE!</v>
      </c>
      <c r="BM106" t="e">
        <f>'SurveyRpt_20150223 (1)'!AH658+"h_l!&amp;K7"</f>
        <v>#VALUE!</v>
      </c>
      <c r="BN106" t="e">
        <f>'SurveyRpt_20150223 (1)'!AI658+"h_l!&amp;K8"</f>
        <v>#VALUE!</v>
      </c>
      <c r="BO106" t="e">
        <f>'SurveyRpt_20150223 (1)'!AJ658+"h_l!&amp;K9"</f>
        <v>#VALUE!</v>
      </c>
      <c r="BP106" t="e">
        <f>'SurveyRpt_20150223 (1)'!AK658+"h_l!&amp;K:"</f>
        <v>#VALUE!</v>
      </c>
      <c r="BQ106" t="e">
        <f>'SurveyRpt_20150223 (1)'!AL658+"h_l!&amp;K;"</f>
        <v>#VALUE!</v>
      </c>
      <c r="BR106" t="e">
        <f>'SurveyRpt_20150223 (1)'!AM658+"h_l!&amp;K&lt;"</f>
        <v>#VALUE!</v>
      </c>
      <c r="BS106" t="e">
        <f>'SurveyRpt_20150223 (1)'!AN658+"h_l!&amp;K="</f>
        <v>#VALUE!</v>
      </c>
      <c r="BT106" t="e">
        <f>'SurveyRpt_20150223 (1)'!A659+"h_l!&amp;K&gt;"</f>
        <v>#VALUE!</v>
      </c>
      <c r="BU106" s="25" t="e">
        <f>'SurveyRpt_20150223 (1)'!B659+"h_l!&amp;K?"</f>
        <v>#VALUE!</v>
      </c>
      <c r="BV106" t="e">
        <f>'SurveyRpt_20150223 (1)'!C659+"h_l!&amp;K@"</f>
        <v>#VALUE!</v>
      </c>
      <c r="BW106" s="25" t="e">
        <f>'SurveyRpt_20150223 (1)'!D659+"h_l!&amp;KA"</f>
        <v>#VALUE!</v>
      </c>
      <c r="BX106" t="e">
        <f>'SurveyRpt_20150223 (1)'!E659+"h_l!&amp;KB"</f>
        <v>#VALUE!</v>
      </c>
      <c r="BY106" t="e">
        <f>'SurveyRpt_20150223 (1)'!F659+"h_l!&amp;KC"</f>
        <v>#VALUE!</v>
      </c>
      <c r="BZ106" t="e">
        <f>'SurveyRpt_20150223 (1)'!G659+"h_l!&amp;KD"</f>
        <v>#VALUE!</v>
      </c>
      <c r="CA106" t="e">
        <f>'SurveyRpt_20150223 (1)'!H659+"h_l!&amp;KE"</f>
        <v>#VALUE!</v>
      </c>
      <c r="CB106" t="e">
        <f>'SurveyRpt_20150223 (1)'!I659+"h_l!&amp;KF"</f>
        <v>#VALUE!</v>
      </c>
      <c r="CC106" t="e">
        <f>'SurveyRpt_20150223 (1)'!J659+"h_l!&amp;KG"</f>
        <v>#VALUE!</v>
      </c>
      <c r="CD106" t="e">
        <f>'SurveyRpt_20150223 (1)'!K659+"h_l!&amp;KH"</f>
        <v>#VALUE!</v>
      </c>
      <c r="CE106" t="e">
        <f>'SurveyRpt_20150223 (1)'!L659+"h_l!&amp;KI"</f>
        <v>#VALUE!</v>
      </c>
      <c r="CF106" t="e">
        <f>'SurveyRpt_20150223 (1)'!M659+"h_l!&amp;KJ"</f>
        <v>#VALUE!</v>
      </c>
      <c r="CG106" t="e">
        <f>'SurveyRpt_20150223 (1)'!N659+"h_l!&amp;KK"</f>
        <v>#VALUE!</v>
      </c>
      <c r="CH106" t="e">
        <f>'SurveyRpt_20150223 (1)'!O659+"h_l!&amp;KL"</f>
        <v>#VALUE!</v>
      </c>
      <c r="CI106" t="e">
        <f>'SurveyRpt_20150223 (1)'!P659+"h_l!&amp;KM"</f>
        <v>#VALUE!</v>
      </c>
      <c r="CJ106" t="e">
        <f>'SurveyRpt_20150223 (1)'!Q659+"h_l!&amp;KN"</f>
        <v>#VALUE!</v>
      </c>
      <c r="CK106" t="e">
        <f>'SurveyRpt_20150223 (1)'!R659+"h_l!&amp;KO"</f>
        <v>#VALUE!</v>
      </c>
      <c r="CL106" t="e">
        <f>'SurveyRpt_20150223 (1)'!S659+"h_l!&amp;KP"</f>
        <v>#VALUE!</v>
      </c>
      <c r="CM106" t="e">
        <f>'SurveyRpt_20150223 (1)'!T659+"h_l!&amp;KQ"</f>
        <v>#VALUE!</v>
      </c>
      <c r="CN106" t="e">
        <f>'SurveyRpt_20150223 (1)'!U659+"h_l!&amp;KR"</f>
        <v>#VALUE!</v>
      </c>
      <c r="CO106" t="e">
        <f>'SurveyRpt_20150223 (1)'!V659+"h_l!&amp;KS"</f>
        <v>#VALUE!</v>
      </c>
      <c r="CP106" t="e">
        <f>'SurveyRpt_20150223 (1)'!W659+"h_l!&amp;KT"</f>
        <v>#VALUE!</v>
      </c>
      <c r="CQ106" t="e">
        <f>'SurveyRpt_20150223 (1)'!X659+"h_l!&amp;KU"</f>
        <v>#VALUE!</v>
      </c>
      <c r="CR106" t="e">
        <f>'SurveyRpt_20150223 (1)'!Y659+"h_l!&amp;KV"</f>
        <v>#VALUE!</v>
      </c>
      <c r="CS106" t="e">
        <f>'SurveyRpt_20150223 (1)'!Z659+"h_l!&amp;KW"</f>
        <v>#VALUE!</v>
      </c>
      <c r="CT106" t="e">
        <f>'SurveyRpt_20150223 (1)'!AA659+"h_l!&amp;KX"</f>
        <v>#VALUE!</v>
      </c>
      <c r="CU106" t="e">
        <f>'SurveyRpt_20150223 (1)'!AB659+"h_l!&amp;KY"</f>
        <v>#VALUE!</v>
      </c>
      <c r="CV106" t="e">
        <f>'SurveyRpt_20150223 (1)'!AC659+"h_l!&amp;KZ"</f>
        <v>#VALUE!</v>
      </c>
      <c r="CW106" t="e">
        <f>'SurveyRpt_20150223 (1)'!AD659+"h_l!&amp;K["</f>
        <v>#VALUE!</v>
      </c>
      <c r="CX106" t="e">
        <f>'SurveyRpt_20150223 (1)'!AE659+"h_l!&amp;K\"</f>
        <v>#VALUE!</v>
      </c>
      <c r="CY106" t="e">
        <f>'SurveyRpt_20150223 (1)'!AF659+"h_l!&amp;K]"</f>
        <v>#VALUE!</v>
      </c>
      <c r="CZ106" t="e">
        <f>'SurveyRpt_20150223 (1)'!AG659+"h_l!&amp;K^"</f>
        <v>#VALUE!</v>
      </c>
      <c r="DA106" t="e">
        <f>'SurveyRpt_20150223 (1)'!AH659+"h_l!&amp;K_"</f>
        <v>#VALUE!</v>
      </c>
      <c r="DB106" t="e">
        <f>'SurveyRpt_20150223 (1)'!AI659+"h_l!&amp;K`"</f>
        <v>#VALUE!</v>
      </c>
      <c r="DC106" t="e">
        <f>'SurveyRpt_20150223 (1)'!AJ659+"h_l!&amp;Ka"</f>
        <v>#VALUE!</v>
      </c>
      <c r="DD106" t="e">
        <f>'SurveyRpt_20150223 (1)'!AK659+"h_l!&amp;Kb"</f>
        <v>#VALUE!</v>
      </c>
      <c r="DE106" t="e">
        <f>'SurveyRpt_20150223 (1)'!AL659+"h_l!&amp;Kc"</f>
        <v>#VALUE!</v>
      </c>
      <c r="DF106" t="e">
        <f>'SurveyRpt_20150223 (1)'!AM659+"h_l!&amp;Kd"</f>
        <v>#VALUE!</v>
      </c>
      <c r="DG106" t="e">
        <f>'SurveyRpt_20150223 (1)'!AN659+"h_l!&amp;Ke"</f>
        <v>#VALUE!</v>
      </c>
      <c r="DH106" t="e">
        <f>'SurveyRpt_20150223 (1)'!A660+"h_l!&amp;Kf"</f>
        <v>#VALUE!</v>
      </c>
      <c r="DI106" s="25" t="e">
        <f>'SurveyRpt_20150223 (1)'!B660+"h_l!&amp;Kg"</f>
        <v>#VALUE!</v>
      </c>
      <c r="DJ106" t="e">
        <f>'SurveyRpt_20150223 (1)'!C660+"h_l!&amp;Kh"</f>
        <v>#VALUE!</v>
      </c>
      <c r="DK106" s="25" t="e">
        <f>'SurveyRpt_20150223 (1)'!D660+"h_l!&amp;Ki"</f>
        <v>#VALUE!</v>
      </c>
      <c r="DL106" t="e">
        <f>'SurveyRpt_20150223 (1)'!E660+"h_l!&amp;Kj"</f>
        <v>#VALUE!</v>
      </c>
      <c r="DM106" t="e">
        <f>'SurveyRpt_20150223 (1)'!F660+"h_l!&amp;Kk"</f>
        <v>#VALUE!</v>
      </c>
      <c r="DN106" t="e">
        <f>'SurveyRpt_20150223 (1)'!G660+"h_l!&amp;Kl"</f>
        <v>#VALUE!</v>
      </c>
      <c r="DO106" t="e">
        <f>'SurveyRpt_20150223 (1)'!H660+"h_l!&amp;Km"</f>
        <v>#VALUE!</v>
      </c>
      <c r="DP106" t="e">
        <f>'SurveyRpt_20150223 (1)'!I660+"h_l!&amp;Kn"</f>
        <v>#VALUE!</v>
      </c>
      <c r="DQ106" t="e">
        <f>'SurveyRpt_20150223 (1)'!J660+"h_l!&amp;Ko"</f>
        <v>#VALUE!</v>
      </c>
      <c r="DR106" t="e">
        <f>'SurveyRpt_20150223 (1)'!K660+"h_l!&amp;Kp"</f>
        <v>#VALUE!</v>
      </c>
      <c r="DS106" t="e">
        <f>'SurveyRpt_20150223 (1)'!L660+"h_l!&amp;Kq"</f>
        <v>#VALUE!</v>
      </c>
      <c r="DT106" t="e">
        <f>'SurveyRpt_20150223 (1)'!M660+"h_l!&amp;Kr"</f>
        <v>#VALUE!</v>
      </c>
      <c r="DU106" t="e">
        <f>'SurveyRpt_20150223 (1)'!N660+"h_l!&amp;Ks"</f>
        <v>#VALUE!</v>
      </c>
      <c r="DV106" t="e">
        <f>'SurveyRpt_20150223 (1)'!O660+"h_l!&amp;Kt"</f>
        <v>#VALUE!</v>
      </c>
      <c r="DW106" t="e">
        <f>'SurveyRpt_20150223 (1)'!P660+"h_l!&amp;Ku"</f>
        <v>#VALUE!</v>
      </c>
      <c r="DX106" t="e">
        <f>'SurveyRpt_20150223 (1)'!Q660+"h_l!&amp;Kv"</f>
        <v>#VALUE!</v>
      </c>
      <c r="DY106" t="e">
        <f>'SurveyRpt_20150223 (1)'!R660+"h_l!&amp;Kw"</f>
        <v>#VALUE!</v>
      </c>
      <c r="DZ106" t="e">
        <f>'SurveyRpt_20150223 (1)'!S660+"h_l!&amp;Kx"</f>
        <v>#VALUE!</v>
      </c>
      <c r="EA106" t="e">
        <f>'SurveyRpt_20150223 (1)'!T660+"h_l!&amp;Ky"</f>
        <v>#VALUE!</v>
      </c>
      <c r="EB106" t="e">
        <f>'SurveyRpt_20150223 (1)'!U660+"h_l!&amp;Kz"</f>
        <v>#VALUE!</v>
      </c>
      <c r="EC106" t="e">
        <f>'SurveyRpt_20150223 (1)'!V660+"h_l!&amp;K{"</f>
        <v>#VALUE!</v>
      </c>
      <c r="ED106" t="e">
        <f>'SurveyRpt_20150223 (1)'!W660+"h_l!&amp;K|"</f>
        <v>#VALUE!</v>
      </c>
      <c r="EE106" t="e">
        <f>'SurveyRpt_20150223 (1)'!X660+"h_l!&amp;K}"</f>
        <v>#VALUE!</v>
      </c>
      <c r="EF106" t="e">
        <f>'SurveyRpt_20150223 (1)'!Y660+"h_l!&amp;K~"</f>
        <v>#VALUE!</v>
      </c>
      <c r="EG106" t="e">
        <f>'SurveyRpt_20150223 (1)'!Z660+"h_l!&amp;L#"</f>
        <v>#VALUE!</v>
      </c>
      <c r="EH106" t="e">
        <f>'SurveyRpt_20150223 (1)'!AA660+"h_l!&amp;L$"</f>
        <v>#VALUE!</v>
      </c>
      <c r="EI106" t="e">
        <f>'SurveyRpt_20150223 (1)'!AB660+"h_l!&amp;L%"</f>
        <v>#VALUE!</v>
      </c>
      <c r="EJ106" t="e">
        <f>'SurveyRpt_20150223 (1)'!AC660+"h_l!&amp;L&amp;"</f>
        <v>#VALUE!</v>
      </c>
      <c r="EK106" t="e">
        <f>'SurveyRpt_20150223 (1)'!AD660+"h_l!&amp;L'"</f>
        <v>#VALUE!</v>
      </c>
      <c r="EL106" t="e">
        <f>'SurveyRpt_20150223 (1)'!AE660+"h_l!&amp;L("</f>
        <v>#VALUE!</v>
      </c>
      <c r="EM106" t="e">
        <f>'SurveyRpt_20150223 (1)'!AF660+"h_l!&amp;L)"</f>
        <v>#VALUE!</v>
      </c>
      <c r="EN106" t="e">
        <f>'SurveyRpt_20150223 (1)'!AG660+"h_l!&amp;L."</f>
        <v>#VALUE!</v>
      </c>
      <c r="EO106" t="e">
        <f>'SurveyRpt_20150223 (1)'!AH660+"h_l!&amp;L/"</f>
        <v>#VALUE!</v>
      </c>
      <c r="EP106" t="e">
        <f>'SurveyRpt_20150223 (1)'!AI660+"h_l!&amp;L0"</f>
        <v>#VALUE!</v>
      </c>
      <c r="EQ106" t="e">
        <f>'SurveyRpt_20150223 (1)'!AJ660+"h_l!&amp;L1"</f>
        <v>#VALUE!</v>
      </c>
      <c r="ER106" t="e">
        <f>'SurveyRpt_20150223 (1)'!AK660+"h_l!&amp;L2"</f>
        <v>#VALUE!</v>
      </c>
      <c r="ES106" t="e">
        <f>'SurveyRpt_20150223 (1)'!AL660+"h_l!&amp;L3"</f>
        <v>#VALUE!</v>
      </c>
      <c r="ET106" t="e">
        <f>'SurveyRpt_20150223 (1)'!AM660+"h_l!&amp;L4"</f>
        <v>#VALUE!</v>
      </c>
      <c r="EU106" t="e">
        <f>'SurveyRpt_20150223 (1)'!AN660+"h_l!&amp;L5"</f>
        <v>#VALUE!</v>
      </c>
      <c r="EV106" t="e">
        <f>'SurveyRpt_20150223 (1)'!A661+"h_l!&amp;L6"</f>
        <v>#VALUE!</v>
      </c>
      <c r="EW106" s="25" t="e">
        <f>'SurveyRpt_20150223 (1)'!B661+"h_l!&amp;L7"</f>
        <v>#VALUE!</v>
      </c>
      <c r="EX106" t="e">
        <f>'SurveyRpt_20150223 (1)'!C661+"h_l!&amp;L8"</f>
        <v>#VALUE!</v>
      </c>
      <c r="EY106" s="25" t="e">
        <f>'SurveyRpt_20150223 (1)'!D661+"h_l!&amp;L9"</f>
        <v>#VALUE!</v>
      </c>
      <c r="EZ106" t="e">
        <f>'SurveyRpt_20150223 (1)'!E661+"h_l!&amp;L:"</f>
        <v>#VALUE!</v>
      </c>
      <c r="FA106" t="e">
        <f>'SurveyRpt_20150223 (1)'!F661+"h_l!&amp;L;"</f>
        <v>#VALUE!</v>
      </c>
      <c r="FB106" t="e">
        <f>'SurveyRpt_20150223 (1)'!G661+"h_l!&amp;L&lt;"</f>
        <v>#VALUE!</v>
      </c>
      <c r="FC106" t="e">
        <f>'SurveyRpt_20150223 (1)'!H661+"h_l!&amp;L="</f>
        <v>#VALUE!</v>
      </c>
      <c r="FD106" t="e">
        <f>'SurveyRpt_20150223 (1)'!I661+"h_l!&amp;L&gt;"</f>
        <v>#VALUE!</v>
      </c>
      <c r="FE106" t="e">
        <f>'SurveyRpt_20150223 (1)'!J661+"h_l!&amp;L?"</f>
        <v>#VALUE!</v>
      </c>
      <c r="FF106" t="e">
        <f>'SurveyRpt_20150223 (1)'!K661+"h_l!&amp;L@"</f>
        <v>#VALUE!</v>
      </c>
      <c r="FG106" t="e">
        <f>'SurveyRpt_20150223 (1)'!L661+"h_l!&amp;LA"</f>
        <v>#VALUE!</v>
      </c>
      <c r="FH106" t="e">
        <f>'SurveyRpt_20150223 (1)'!M661+"h_l!&amp;LB"</f>
        <v>#VALUE!</v>
      </c>
      <c r="FI106" t="e">
        <f>'SurveyRpt_20150223 (1)'!N661+"h_l!&amp;LC"</f>
        <v>#VALUE!</v>
      </c>
      <c r="FJ106" t="e">
        <f>'SurveyRpt_20150223 (1)'!O661+"h_l!&amp;LD"</f>
        <v>#VALUE!</v>
      </c>
      <c r="FK106" t="e">
        <f>'SurveyRpt_20150223 (1)'!P661+"h_l!&amp;LE"</f>
        <v>#VALUE!</v>
      </c>
      <c r="FL106" t="e">
        <f>'SurveyRpt_20150223 (1)'!Q661+"h_l!&amp;LF"</f>
        <v>#VALUE!</v>
      </c>
      <c r="FM106" t="e">
        <f>'SurveyRpt_20150223 (1)'!R661+"h_l!&amp;LG"</f>
        <v>#VALUE!</v>
      </c>
      <c r="FN106" t="e">
        <f>'SurveyRpt_20150223 (1)'!S661+"h_l!&amp;LH"</f>
        <v>#VALUE!</v>
      </c>
      <c r="FO106" t="e">
        <f>'SurveyRpt_20150223 (1)'!T661+"h_l!&amp;LI"</f>
        <v>#VALUE!</v>
      </c>
      <c r="FP106" t="e">
        <f>'SurveyRpt_20150223 (1)'!U661+"h_l!&amp;LJ"</f>
        <v>#VALUE!</v>
      </c>
      <c r="FQ106" t="e">
        <f>'SurveyRpt_20150223 (1)'!V661+"h_l!&amp;LK"</f>
        <v>#VALUE!</v>
      </c>
      <c r="FR106" t="e">
        <f>'SurveyRpt_20150223 (1)'!W661+"h_l!&amp;LL"</f>
        <v>#VALUE!</v>
      </c>
      <c r="FS106" t="e">
        <f>'SurveyRpt_20150223 (1)'!X661+"h_l!&amp;LM"</f>
        <v>#VALUE!</v>
      </c>
      <c r="FT106" t="e">
        <f>'SurveyRpt_20150223 (1)'!Y661+"h_l!&amp;LN"</f>
        <v>#VALUE!</v>
      </c>
      <c r="FU106" t="e">
        <f>'SurveyRpt_20150223 (1)'!Z661+"h_l!&amp;LO"</f>
        <v>#VALUE!</v>
      </c>
      <c r="FV106" t="e">
        <f>'SurveyRpt_20150223 (1)'!AA661+"h_l!&amp;LP"</f>
        <v>#VALUE!</v>
      </c>
      <c r="FW106" t="e">
        <f>'SurveyRpt_20150223 (1)'!AB661+"h_l!&amp;LQ"</f>
        <v>#VALUE!</v>
      </c>
      <c r="FX106" t="e">
        <f>'SurveyRpt_20150223 (1)'!AC661+"h_l!&amp;LR"</f>
        <v>#VALUE!</v>
      </c>
      <c r="FY106" t="e">
        <f>'SurveyRpt_20150223 (1)'!AD661+"h_l!&amp;LS"</f>
        <v>#VALUE!</v>
      </c>
      <c r="FZ106" t="e">
        <f>'SurveyRpt_20150223 (1)'!AE661+"h_l!&amp;LT"</f>
        <v>#VALUE!</v>
      </c>
      <c r="GA106" t="e">
        <f>'SurveyRpt_20150223 (1)'!AF661+"h_l!&amp;LU"</f>
        <v>#VALUE!</v>
      </c>
      <c r="GB106" t="e">
        <f>'SurveyRpt_20150223 (1)'!AG661+"h_l!&amp;LV"</f>
        <v>#VALUE!</v>
      </c>
      <c r="GC106" t="e">
        <f>'SurveyRpt_20150223 (1)'!AH661+"h_l!&amp;LW"</f>
        <v>#VALUE!</v>
      </c>
      <c r="GD106" t="e">
        <f>'SurveyRpt_20150223 (1)'!AI661+"h_l!&amp;LX"</f>
        <v>#VALUE!</v>
      </c>
      <c r="GE106" t="e">
        <f>'SurveyRpt_20150223 (1)'!AJ661+"h_l!&amp;LY"</f>
        <v>#VALUE!</v>
      </c>
      <c r="GF106" t="e">
        <f>'SurveyRpt_20150223 (1)'!AK661+"h_l!&amp;LZ"</f>
        <v>#VALUE!</v>
      </c>
      <c r="GG106" t="e">
        <f>'SurveyRpt_20150223 (1)'!AL661+"h_l!&amp;L["</f>
        <v>#VALUE!</v>
      </c>
      <c r="GH106" t="e">
        <f>'SurveyRpt_20150223 (1)'!AM661+"h_l!&amp;L\"</f>
        <v>#VALUE!</v>
      </c>
      <c r="GI106" t="e">
        <f>'SurveyRpt_20150223 (1)'!AN661+"h_l!&amp;L]"</f>
        <v>#VALUE!</v>
      </c>
      <c r="GJ106" t="e">
        <f>'SurveyRpt_20150223 (1)'!A662+"h_l!&amp;L^"</f>
        <v>#VALUE!</v>
      </c>
      <c r="GK106" s="25" t="e">
        <f>'SurveyRpt_20150223 (1)'!B662+"h_l!&amp;L_"</f>
        <v>#VALUE!</v>
      </c>
      <c r="GL106" t="e">
        <f>'SurveyRpt_20150223 (1)'!C662+"h_l!&amp;L`"</f>
        <v>#VALUE!</v>
      </c>
      <c r="GM106" s="25" t="e">
        <f>'SurveyRpt_20150223 (1)'!D662+"h_l!&amp;La"</f>
        <v>#VALUE!</v>
      </c>
      <c r="GN106" t="e">
        <f>'SurveyRpt_20150223 (1)'!E662+"h_l!&amp;Lb"</f>
        <v>#VALUE!</v>
      </c>
      <c r="GO106" t="e">
        <f>'SurveyRpt_20150223 (1)'!F662+"h_l!&amp;Lc"</f>
        <v>#VALUE!</v>
      </c>
      <c r="GP106" t="e">
        <f>'SurveyRpt_20150223 (1)'!G662+"h_l!&amp;Ld"</f>
        <v>#VALUE!</v>
      </c>
      <c r="GQ106" t="e">
        <f>'SurveyRpt_20150223 (1)'!H662+"h_l!&amp;Le"</f>
        <v>#VALUE!</v>
      </c>
      <c r="GR106" t="e">
        <f>'SurveyRpt_20150223 (1)'!I662+"h_l!&amp;Lf"</f>
        <v>#VALUE!</v>
      </c>
      <c r="GS106" t="e">
        <f>'SurveyRpt_20150223 (1)'!J662+"h_l!&amp;Lg"</f>
        <v>#VALUE!</v>
      </c>
      <c r="GT106" t="e">
        <f>'SurveyRpt_20150223 (1)'!K662+"h_l!&amp;Lh"</f>
        <v>#VALUE!</v>
      </c>
      <c r="GU106" t="e">
        <f>'SurveyRpt_20150223 (1)'!L662+"h_l!&amp;Li"</f>
        <v>#VALUE!</v>
      </c>
      <c r="GV106" t="e">
        <f>'SurveyRpt_20150223 (1)'!M662+"h_l!&amp;Lj"</f>
        <v>#VALUE!</v>
      </c>
      <c r="GW106" t="e">
        <f>'SurveyRpt_20150223 (1)'!N662+"h_l!&amp;Lk"</f>
        <v>#VALUE!</v>
      </c>
      <c r="GX106" t="e">
        <f>'SurveyRpt_20150223 (1)'!O662+"h_l!&amp;Ll"</f>
        <v>#VALUE!</v>
      </c>
      <c r="GY106" t="e">
        <f>'SurveyRpt_20150223 (1)'!P662+"h_l!&amp;Lm"</f>
        <v>#VALUE!</v>
      </c>
      <c r="GZ106" t="e">
        <f>'SurveyRpt_20150223 (1)'!Q662+"h_l!&amp;Ln"</f>
        <v>#VALUE!</v>
      </c>
      <c r="HA106" t="e">
        <f>'SurveyRpt_20150223 (1)'!R662+"h_l!&amp;Lo"</f>
        <v>#VALUE!</v>
      </c>
      <c r="HB106" t="e">
        <f>'SurveyRpt_20150223 (1)'!S662+"h_l!&amp;Lp"</f>
        <v>#VALUE!</v>
      </c>
      <c r="HC106" t="e">
        <f>'SurveyRpt_20150223 (1)'!T662+"h_l!&amp;Lq"</f>
        <v>#VALUE!</v>
      </c>
      <c r="HD106" t="e">
        <f>'SurveyRpt_20150223 (1)'!U662+"h_l!&amp;Lr"</f>
        <v>#VALUE!</v>
      </c>
      <c r="HE106" t="e">
        <f>'SurveyRpt_20150223 (1)'!V662+"h_l!&amp;Ls"</f>
        <v>#VALUE!</v>
      </c>
      <c r="HF106" t="e">
        <f>'SurveyRpt_20150223 (1)'!W662+"h_l!&amp;Lt"</f>
        <v>#VALUE!</v>
      </c>
      <c r="HG106" t="e">
        <f>'SurveyRpt_20150223 (1)'!X662+"h_l!&amp;Lu"</f>
        <v>#VALUE!</v>
      </c>
      <c r="HH106" t="e">
        <f>'SurveyRpt_20150223 (1)'!Y662+"h_l!&amp;Lv"</f>
        <v>#VALUE!</v>
      </c>
      <c r="HI106" t="e">
        <f>'SurveyRpt_20150223 (1)'!Z662+"h_l!&amp;Lw"</f>
        <v>#VALUE!</v>
      </c>
      <c r="HJ106" t="e">
        <f>'SurveyRpt_20150223 (1)'!AA662+"h_l!&amp;Lx"</f>
        <v>#VALUE!</v>
      </c>
      <c r="HK106" t="e">
        <f>'SurveyRpt_20150223 (1)'!AB662+"h_l!&amp;Ly"</f>
        <v>#VALUE!</v>
      </c>
      <c r="HL106" t="e">
        <f>'SurveyRpt_20150223 (1)'!AC662+"h_l!&amp;Lz"</f>
        <v>#VALUE!</v>
      </c>
      <c r="HM106" t="e">
        <f>'SurveyRpt_20150223 (1)'!AD662+"h_l!&amp;L{"</f>
        <v>#VALUE!</v>
      </c>
      <c r="HN106" t="e">
        <f>'SurveyRpt_20150223 (1)'!AE662+"h_l!&amp;L|"</f>
        <v>#VALUE!</v>
      </c>
      <c r="HO106" t="e">
        <f>'SurveyRpt_20150223 (1)'!AF662+"h_l!&amp;L}"</f>
        <v>#VALUE!</v>
      </c>
      <c r="HP106" t="e">
        <f>'SurveyRpt_20150223 (1)'!AG662+"h_l!&amp;L~"</f>
        <v>#VALUE!</v>
      </c>
      <c r="HQ106" t="e">
        <f>'SurveyRpt_20150223 (1)'!AH662+"h_l!&amp;M#"</f>
        <v>#VALUE!</v>
      </c>
      <c r="HR106" t="e">
        <f>'SurveyRpt_20150223 (1)'!AI662+"h_l!&amp;M$"</f>
        <v>#VALUE!</v>
      </c>
      <c r="HS106" t="e">
        <f>'SurveyRpt_20150223 (1)'!AJ662+"h_l!&amp;M%"</f>
        <v>#VALUE!</v>
      </c>
      <c r="HT106" t="e">
        <f>'SurveyRpt_20150223 (1)'!AK662+"h_l!&amp;M&amp;"</f>
        <v>#VALUE!</v>
      </c>
      <c r="HU106" t="e">
        <f>'SurveyRpt_20150223 (1)'!AL662+"h_l!&amp;M'"</f>
        <v>#VALUE!</v>
      </c>
      <c r="HV106" t="e">
        <f>'SurveyRpt_20150223 (1)'!AM662+"h_l!&amp;M("</f>
        <v>#VALUE!</v>
      </c>
      <c r="HW106" t="e">
        <f>'SurveyRpt_20150223 (1)'!AN662+"h_l!&amp;M)"</f>
        <v>#VALUE!</v>
      </c>
      <c r="HX106" t="e">
        <f>'SurveyRpt_20150223 (1)'!A663+"h_l!&amp;M."</f>
        <v>#VALUE!</v>
      </c>
      <c r="HY106" s="25" t="e">
        <f>'SurveyRpt_20150223 (1)'!B663+"h_l!&amp;M/"</f>
        <v>#VALUE!</v>
      </c>
      <c r="HZ106" t="e">
        <f>'SurveyRpt_20150223 (1)'!C663+"h_l!&amp;M0"</f>
        <v>#VALUE!</v>
      </c>
      <c r="IA106" s="25" t="e">
        <f>'SurveyRpt_20150223 (1)'!D663+"h_l!&amp;M1"</f>
        <v>#VALUE!</v>
      </c>
      <c r="IB106" t="e">
        <f>'SurveyRpt_20150223 (1)'!E663+"h_l!&amp;M2"</f>
        <v>#VALUE!</v>
      </c>
      <c r="IC106" t="e">
        <f>'SurveyRpt_20150223 (1)'!F663+"h_l!&amp;M3"</f>
        <v>#VALUE!</v>
      </c>
      <c r="ID106" t="e">
        <f>'SurveyRpt_20150223 (1)'!G663+"h_l!&amp;M4"</f>
        <v>#VALUE!</v>
      </c>
      <c r="IE106" t="e">
        <f>'SurveyRpt_20150223 (1)'!H663+"h_l!&amp;M5"</f>
        <v>#VALUE!</v>
      </c>
      <c r="IF106" t="e">
        <f>'SurveyRpt_20150223 (1)'!I663+"h_l!&amp;M6"</f>
        <v>#VALUE!</v>
      </c>
      <c r="IG106" t="e">
        <f>'SurveyRpt_20150223 (1)'!J663+"h_l!&amp;M7"</f>
        <v>#VALUE!</v>
      </c>
      <c r="IH106" t="e">
        <f>'SurveyRpt_20150223 (1)'!K663+"h_l!&amp;M8"</f>
        <v>#VALUE!</v>
      </c>
      <c r="II106" t="e">
        <f>'SurveyRpt_20150223 (1)'!L663+"h_l!&amp;M9"</f>
        <v>#VALUE!</v>
      </c>
      <c r="IJ106" t="e">
        <f>'SurveyRpt_20150223 (1)'!M663+"h_l!&amp;M:"</f>
        <v>#VALUE!</v>
      </c>
      <c r="IK106" t="e">
        <f>'SurveyRpt_20150223 (1)'!N663+"h_l!&amp;M;"</f>
        <v>#VALUE!</v>
      </c>
      <c r="IL106" t="e">
        <f>'SurveyRpt_20150223 (1)'!O663+"h_l!&amp;M&lt;"</f>
        <v>#VALUE!</v>
      </c>
      <c r="IM106" t="e">
        <f>'SurveyRpt_20150223 (1)'!P663+"h_l!&amp;M="</f>
        <v>#VALUE!</v>
      </c>
      <c r="IN106" t="e">
        <f>'SurveyRpt_20150223 (1)'!Q663+"h_l!&amp;M&gt;"</f>
        <v>#VALUE!</v>
      </c>
      <c r="IO106" t="e">
        <f>'SurveyRpt_20150223 (1)'!R663+"h_l!&amp;M?"</f>
        <v>#VALUE!</v>
      </c>
      <c r="IP106" t="e">
        <f>'SurveyRpt_20150223 (1)'!S663+"h_l!&amp;M@"</f>
        <v>#VALUE!</v>
      </c>
      <c r="IQ106" t="e">
        <f>'SurveyRpt_20150223 (1)'!T663+"h_l!&amp;MA"</f>
        <v>#VALUE!</v>
      </c>
      <c r="IR106" t="e">
        <f>'SurveyRpt_20150223 (1)'!U663+"h_l!&amp;MB"</f>
        <v>#VALUE!</v>
      </c>
      <c r="IS106" t="e">
        <f>'SurveyRpt_20150223 (1)'!V663+"h_l!&amp;MC"</f>
        <v>#VALUE!</v>
      </c>
      <c r="IT106" t="e">
        <f>'SurveyRpt_20150223 (1)'!W663+"h_l!&amp;MD"</f>
        <v>#VALUE!</v>
      </c>
      <c r="IU106" t="e">
        <f>'SurveyRpt_20150223 (1)'!X663+"h_l!&amp;ME"</f>
        <v>#VALUE!</v>
      </c>
      <c r="IV106" t="e">
        <f>'SurveyRpt_20150223 (1)'!Y663+"h_l!&amp;MF"</f>
        <v>#VALUE!</v>
      </c>
    </row>
    <row r="107" spans="6:256" x14ac:dyDescent="0.25">
      <c r="F107" t="e">
        <f>'SurveyRpt_20150223 (1)'!Z663+"h_l!&amp;MG"</f>
        <v>#VALUE!</v>
      </c>
      <c r="G107" t="e">
        <f>'SurveyRpt_20150223 (1)'!AA663+"h_l!&amp;MH"</f>
        <v>#VALUE!</v>
      </c>
      <c r="H107" t="e">
        <f>'SurveyRpt_20150223 (1)'!AB663+"h_l!&amp;MI"</f>
        <v>#VALUE!</v>
      </c>
      <c r="I107" t="e">
        <f>'SurveyRpt_20150223 (1)'!AC663+"h_l!&amp;MJ"</f>
        <v>#VALUE!</v>
      </c>
      <c r="J107" t="e">
        <f>'SurveyRpt_20150223 (1)'!AD663+"h_l!&amp;MK"</f>
        <v>#VALUE!</v>
      </c>
      <c r="K107" t="e">
        <f>'SurveyRpt_20150223 (1)'!AE663+"h_l!&amp;ML"</f>
        <v>#VALUE!</v>
      </c>
      <c r="L107" t="e">
        <f>'SurveyRpt_20150223 (1)'!AF663+"h_l!&amp;MM"</f>
        <v>#VALUE!</v>
      </c>
      <c r="M107" t="e">
        <f>'SurveyRpt_20150223 (1)'!AG663+"h_l!&amp;MN"</f>
        <v>#VALUE!</v>
      </c>
      <c r="N107" t="e">
        <f>'SurveyRpt_20150223 (1)'!AH663+"h_l!&amp;MO"</f>
        <v>#VALUE!</v>
      </c>
      <c r="O107" t="e">
        <f>'SurveyRpt_20150223 (1)'!AI663+"h_l!&amp;MP"</f>
        <v>#VALUE!</v>
      </c>
      <c r="P107" t="e">
        <f>'SurveyRpt_20150223 (1)'!AJ663+"h_l!&amp;MQ"</f>
        <v>#VALUE!</v>
      </c>
      <c r="Q107" t="e">
        <f>'SurveyRpt_20150223 (1)'!AK663+"h_l!&amp;MR"</f>
        <v>#VALUE!</v>
      </c>
      <c r="R107" t="e">
        <f>'SurveyRpt_20150223 (1)'!AL663+"h_l!&amp;MS"</f>
        <v>#VALUE!</v>
      </c>
      <c r="S107" t="e">
        <f>'SurveyRpt_20150223 (1)'!AM663+"h_l!&amp;MT"</f>
        <v>#VALUE!</v>
      </c>
      <c r="T107" t="e">
        <f>'SurveyRpt_20150223 (1)'!AN663+"h_l!&amp;MU"</f>
        <v>#VALUE!</v>
      </c>
      <c r="U107" t="e">
        <f>'SurveyRpt_20150223 (1)'!A664+"h_l!&amp;MV"</f>
        <v>#VALUE!</v>
      </c>
      <c r="V107" s="25" t="e">
        <f>'SurveyRpt_20150223 (1)'!B664+"h_l!&amp;MW"</f>
        <v>#VALUE!</v>
      </c>
      <c r="W107" t="e">
        <f>'SurveyRpt_20150223 (1)'!C664+"h_l!&amp;MX"</f>
        <v>#VALUE!</v>
      </c>
      <c r="X107" s="25" t="e">
        <f>'SurveyRpt_20150223 (1)'!D664+"h_l!&amp;MY"</f>
        <v>#VALUE!</v>
      </c>
      <c r="Y107" t="e">
        <f>'SurveyRpt_20150223 (1)'!E664+"h_l!&amp;MZ"</f>
        <v>#VALUE!</v>
      </c>
      <c r="Z107" t="e">
        <f>'SurveyRpt_20150223 (1)'!F664+"h_l!&amp;M["</f>
        <v>#VALUE!</v>
      </c>
      <c r="AA107" t="e">
        <f>'SurveyRpt_20150223 (1)'!G664+"h_l!&amp;M\"</f>
        <v>#VALUE!</v>
      </c>
      <c r="AB107" t="e">
        <f>'SurveyRpt_20150223 (1)'!H664+"h_l!&amp;M]"</f>
        <v>#VALUE!</v>
      </c>
      <c r="AC107" t="e">
        <f>'SurveyRpt_20150223 (1)'!I664+"h_l!&amp;M^"</f>
        <v>#VALUE!</v>
      </c>
      <c r="AD107" t="e">
        <f>'SurveyRpt_20150223 (1)'!J664+"h_l!&amp;M_"</f>
        <v>#VALUE!</v>
      </c>
      <c r="AE107" t="e">
        <f>'SurveyRpt_20150223 (1)'!K664+"h_l!&amp;M`"</f>
        <v>#VALUE!</v>
      </c>
      <c r="AF107" t="e">
        <f>'SurveyRpt_20150223 (1)'!L664+"h_l!&amp;Ma"</f>
        <v>#VALUE!</v>
      </c>
      <c r="AG107" t="e">
        <f>'SurveyRpt_20150223 (1)'!M664+"h_l!&amp;Mb"</f>
        <v>#VALUE!</v>
      </c>
      <c r="AH107" t="e">
        <f>'SurveyRpt_20150223 (1)'!N664+"h_l!&amp;Mc"</f>
        <v>#VALUE!</v>
      </c>
      <c r="AI107" t="e">
        <f>'SurveyRpt_20150223 (1)'!O664+"h_l!&amp;Md"</f>
        <v>#VALUE!</v>
      </c>
      <c r="AJ107" t="e">
        <f>'SurveyRpt_20150223 (1)'!P664+"h_l!&amp;Me"</f>
        <v>#VALUE!</v>
      </c>
      <c r="AK107" t="e">
        <f>'SurveyRpt_20150223 (1)'!Q664+"h_l!&amp;Mf"</f>
        <v>#VALUE!</v>
      </c>
      <c r="AL107" t="e">
        <f>'SurveyRpt_20150223 (1)'!R664+"h_l!&amp;Mg"</f>
        <v>#VALUE!</v>
      </c>
      <c r="AM107" t="e">
        <f>'SurveyRpt_20150223 (1)'!S664+"h_l!&amp;Mh"</f>
        <v>#VALUE!</v>
      </c>
      <c r="AN107" t="e">
        <f>'SurveyRpt_20150223 (1)'!T664+"h_l!&amp;Mi"</f>
        <v>#VALUE!</v>
      </c>
      <c r="AO107" t="e">
        <f>'SurveyRpt_20150223 (1)'!U664+"h_l!&amp;Mj"</f>
        <v>#VALUE!</v>
      </c>
      <c r="AP107" t="e">
        <f>'SurveyRpt_20150223 (1)'!V664+"h_l!&amp;Mk"</f>
        <v>#VALUE!</v>
      </c>
      <c r="AQ107" t="e">
        <f>'SurveyRpt_20150223 (1)'!W664+"h_l!&amp;Ml"</f>
        <v>#VALUE!</v>
      </c>
      <c r="AR107" t="e">
        <f>'SurveyRpt_20150223 (1)'!X664+"h_l!&amp;Mm"</f>
        <v>#VALUE!</v>
      </c>
      <c r="AS107" t="e">
        <f>'SurveyRpt_20150223 (1)'!Y664+"h_l!&amp;Mn"</f>
        <v>#VALUE!</v>
      </c>
      <c r="AT107" t="e">
        <f>'SurveyRpt_20150223 (1)'!Z664+"h_l!&amp;Mo"</f>
        <v>#VALUE!</v>
      </c>
      <c r="AU107" t="e">
        <f>'SurveyRpt_20150223 (1)'!AA664+"h_l!&amp;Mp"</f>
        <v>#VALUE!</v>
      </c>
      <c r="AV107" t="e">
        <f>'SurveyRpt_20150223 (1)'!AB664+"h_l!&amp;Mq"</f>
        <v>#VALUE!</v>
      </c>
      <c r="AW107" t="e">
        <f>'SurveyRpt_20150223 (1)'!AC664+"h_l!&amp;Mr"</f>
        <v>#VALUE!</v>
      </c>
      <c r="AX107" t="e">
        <f>'SurveyRpt_20150223 (1)'!AD664+"h_l!&amp;Ms"</f>
        <v>#VALUE!</v>
      </c>
      <c r="AY107" t="e">
        <f>'SurveyRpt_20150223 (1)'!AE664+"h_l!&amp;Mt"</f>
        <v>#VALUE!</v>
      </c>
      <c r="AZ107" t="e">
        <f>'SurveyRpt_20150223 (1)'!AF664+"h_l!&amp;Mu"</f>
        <v>#VALUE!</v>
      </c>
      <c r="BA107" t="e">
        <f>'SurveyRpt_20150223 (1)'!AG664+"h_l!&amp;Mv"</f>
        <v>#VALUE!</v>
      </c>
      <c r="BB107" t="e">
        <f>'SurveyRpt_20150223 (1)'!AH664+"h_l!&amp;Mw"</f>
        <v>#VALUE!</v>
      </c>
      <c r="BC107" t="e">
        <f>'SurveyRpt_20150223 (1)'!AI664+"h_l!&amp;Mx"</f>
        <v>#VALUE!</v>
      </c>
      <c r="BD107" t="e">
        <f>'SurveyRpt_20150223 (1)'!AJ664+"h_l!&amp;My"</f>
        <v>#VALUE!</v>
      </c>
      <c r="BE107" t="e">
        <f>'SurveyRpt_20150223 (1)'!AK664+"h_l!&amp;Mz"</f>
        <v>#VALUE!</v>
      </c>
      <c r="BF107" t="e">
        <f>'SurveyRpt_20150223 (1)'!AL664+"h_l!&amp;M{"</f>
        <v>#VALUE!</v>
      </c>
      <c r="BG107" t="e">
        <f>'SurveyRpt_20150223 (1)'!AM664+"h_l!&amp;M|"</f>
        <v>#VALUE!</v>
      </c>
      <c r="BH107" t="e">
        <f>'SurveyRpt_20150223 (1)'!AN664+"h_l!&amp;M}"</f>
        <v>#VALUE!</v>
      </c>
      <c r="BI107" t="e">
        <f>'SurveyRpt_20150223 (1)'!A665+"h_l!&amp;M~"</f>
        <v>#VALUE!</v>
      </c>
      <c r="BJ107" s="25" t="e">
        <f>'SurveyRpt_20150223 (1)'!B665+"h_l!&amp;N#"</f>
        <v>#VALUE!</v>
      </c>
      <c r="BK107" t="e">
        <f>'SurveyRpt_20150223 (1)'!C665+"h_l!&amp;N$"</f>
        <v>#VALUE!</v>
      </c>
      <c r="BL107" s="25" t="e">
        <f>'SurveyRpt_20150223 (1)'!D665+"h_l!&amp;N%"</f>
        <v>#VALUE!</v>
      </c>
      <c r="BM107" t="e">
        <f>'SurveyRpt_20150223 (1)'!E665+"h_l!&amp;N&amp;"</f>
        <v>#VALUE!</v>
      </c>
      <c r="BN107" t="e">
        <f>'SurveyRpt_20150223 (1)'!F665+"h_l!&amp;N'"</f>
        <v>#VALUE!</v>
      </c>
      <c r="BO107" t="e">
        <f>'SurveyRpt_20150223 (1)'!G665+"h_l!&amp;N("</f>
        <v>#VALUE!</v>
      </c>
      <c r="BP107" t="e">
        <f>'SurveyRpt_20150223 (1)'!H665+"h_l!&amp;N)"</f>
        <v>#VALUE!</v>
      </c>
      <c r="BQ107" t="e">
        <f>'SurveyRpt_20150223 (1)'!I665+"h_l!&amp;N."</f>
        <v>#VALUE!</v>
      </c>
      <c r="BR107" t="e">
        <f>'SurveyRpt_20150223 (1)'!J665+"h_l!&amp;N/"</f>
        <v>#VALUE!</v>
      </c>
      <c r="BS107" t="e">
        <f>'SurveyRpt_20150223 (1)'!K665+"h_l!&amp;N0"</f>
        <v>#VALUE!</v>
      </c>
      <c r="BT107" t="e">
        <f>'SurveyRpt_20150223 (1)'!L665+"h_l!&amp;N1"</f>
        <v>#VALUE!</v>
      </c>
      <c r="BU107" t="e">
        <f>'SurveyRpt_20150223 (1)'!M665+"h_l!&amp;N2"</f>
        <v>#VALUE!</v>
      </c>
      <c r="BV107" t="e">
        <f>'SurveyRpt_20150223 (1)'!N665+"h_l!&amp;N3"</f>
        <v>#VALUE!</v>
      </c>
      <c r="BW107" t="e">
        <f>'SurveyRpt_20150223 (1)'!O665+"h_l!&amp;N4"</f>
        <v>#VALUE!</v>
      </c>
      <c r="BX107" t="e">
        <f>'SurveyRpt_20150223 (1)'!P665+"h_l!&amp;N5"</f>
        <v>#VALUE!</v>
      </c>
      <c r="BY107" t="e">
        <f>'SurveyRpt_20150223 (1)'!Q665+"h_l!&amp;N6"</f>
        <v>#VALUE!</v>
      </c>
      <c r="BZ107" t="e">
        <f>'SurveyRpt_20150223 (1)'!R665+"h_l!&amp;N7"</f>
        <v>#VALUE!</v>
      </c>
      <c r="CA107" t="e">
        <f>'SurveyRpt_20150223 (1)'!S665+"h_l!&amp;N8"</f>
        <v>#VALUE!</v>
      </c>
      <c r="CB107" t="e">
        <f>'SurveyRpt_20150223 (1)'!T665+"h_l!&amp;N9"</f>
        <v>#VALUE!</v>
      </c>
      <c r="CC107" t="e">
        <f>'SurveyRpt_20150223 (1)'!U665+"h_l!&amp;N:"</f>
        <v>#VALUE!</v>
      </c>
      <c r="CD107" t="e">
        <f>'SurveyRpt_20150223 (1)'!V665+"h_l!&amp;N;"</f>
        <v>#VALUE!</v>
      </c>
      <c r="CE107" t="e">
        <f>'SurveyRpt_20150223 (1)'!W665+"h_l!&amp;N&lt;"</f>
        <v>#VALUE!</v>
      </c>
      <c r="CF107" t="e">
        <f>'SurveyRpt_20150223 (1)'!X665+"h_l!&amp;N="</f>
        <v>#VALUE!</v>
      </c>
      <c r="CG107" t="e">
        <f>'SurveyRpt_20150223 (1)'!Y665+"h_l!&amp;N&gt;"</f>
        <v>#VALUE!</v>
      </c>
      <c r="CH107" t="e">
        <f>'SurveyRpt_20150223 (1)'!Z665+"h_l!&amp;N?"</f>
        <v>#VALUE!</v>
      </c>
      <c r="CI107" t="e">
        <f>'SurveyRpt_20150223 (1)'!AA665+"h_l!&amp;N@"</f>
        <v>#VALUE!</v>
      </c>
      <c r="CJ107" t="e">
        <f>'SurveyRpt_20150223 (1)'!AB665+"h_l!&amp;NA"</f>
        <v>#VALUE!</v>
      </c>
      <c r="CK107" t="e">
        <f>'SurveyRpt_20150223 (1)'!AC665+"h_l!&amp;NB"</f>
        <v>#VALUE!</v>
      </c>
      <c r="CL107" t="e">
        <f>'SurveyRpt_20150223 (1)'!AD665+"h_l!&amp;NC"</f>
        <v>#VALUE!</v>
      </c>
      <c r="CM107" t="e">
        <f>'SurveyRpt_20150223 (1)'!AE665+"h_l!&amp;ND"</f>
        <v>#VALUE!</v>
      </c>
      <c r="CN107" t="e">
        <f>'SurveyRpt_20150223 (1)'!AF665+"h_l!&amp;NE"</f>
        <v>#VALUE!</v>
      </c>
      <c r="CO107" t="e">
        <f>'SurveyRpt_20150223 (1)'!AG665+"h_l!&amp;NF"</f>
        <v>#VALUE!</v>
      </c>
      <c r="CP107" t="e">
        <f>'SurveyRpt_20150223 (1)'!AH665+"h_l!&amp;NG"</f>
        <v>#VALUE!</v>
      </c>
      <c r="CQ107" t="e">
        <f>'SurveyRpt_20150223 (1)'!AI665+"h_l!&amp;NH"</f>
        <v>#VALUE!</v>
      </c>
      <c r="CR107" t="e">
        <f>'SurveyRpt_20150223 (1)'!AJ665+"h_l!&amp;NI"</f>
        <v>#VALUE!</v>
      </c>
      <c r="CS107" t="e">
        <f>'SurveyRpt_20150223 (1)'!AK665+"h_l!&amp;NJ"</f>
        <v>#VALUE!</v>
      </c>
      <c r="CT107" t="e">
        <f>'SurveyRpt_20150223 (1)'!AL665+"h_l!&amp;NK"</f>
        <v>#VALUE!</v>
      </c>
      <c r="CU107" t="e">
        <f>'SurveyRpt_20150223 (1)'!AM665+"h_l!&amp;NL"</f>
        <v>#VALUE!</v>
      </c>
      <c r="CV107" t="e">
        <f>'SurveyRpt_20150223 (1)'!AN665+"h_l!&amp;NM"</f>
        <v>#VALUE!</v>
      </c>
      <c r="CW107" t="e">
        <f>'SurveyRpt_20150223 (1)'!A666+"h_l!&amp;NN"</f>
        <v>#VALUE!</v>
      </c>
      <c r="CX107" s="25" t="e">
        <f>'SurveyRpt_20150223 (1)'!B666+"h_l!&amp;NO"</f>
        <v>#VALUE!</v>
      </c>
      <c r="CY107" t="e">
        <f>'SurveyRpt_20150223 (1)'!C666+"h_l!&amp;NP"</f>
        <v>#VALUE!</v>
      </c>
      <c r="CZ107" s="25" t="e">
        <f>'SurveyRpt_20150223 (1)'!D666+"h_l!&amp;NQ"</f>
        <v>#VALUE!</v>
      </c>
      <c r="DA107" t="e">
        <f>'SurveyRpt_20150223 (1)'!E666+"h_l!&amp;NR"</f>
        <v>#VALUE!</v>
      </c>
      <c r="DB107" t="e">
        <f>'SurveyRpt_20150223 (1)'!F666+"h_l!&amp;NS"</f>
        <v>#VALUE!</v>
      </c>
      <c r="DC107" t="e">
        <f>'SurveyRpt_20150223 (1)'!G666+"h_l!&amp;NT"</f>
        <v>#VALUE!</v>
      </c>
      <c r="DD107" t="e">
        <f>'SurveyRpt_20150223 (1)'!H666+"h_l!&amp;NU"</f>
        <v>#VALUE!</v>
      </c>
      <c r="DE107" t="e">
        <f>'SurveyRpt_20150223 (1)'!I666+"h_l!&amp;NV"</f>
        <v>#VALUE!</v>
      </c>
      <c r="DF107" t="e">
        <f>'SurveyRpt_20150223 (1)'!J666+"h_l!&amp;NW"</f>
        <v>#VALUE!</v>
      </c>
      <c r="DG107" t="e">
        <f>'SurveyRpt_20150223 (1)'!K666+"h_l!&amp;NX"</f>
        <v>#VALUE!</v>
      </c>
      <c r="DH107" t="e">
        <f>'SurveyRpt_20150223 (1)'!L666+"h_l!&amp;NY"</f>
        <v>#VALUE!</v>
      </c>
      <c r="DI107" t="e">
        <f>'SurveyRpt_20150223 (1)'!M666+"h_l!&amp;NZ"</f>
        <v>#VALUE!</v>
      </c>
      <c r="DJ107" t="e">
        <f>'SurveyRpt_20150223 (1)'!N666+"h_l!&amp;N["</f>
        <v>#VALUE!</v>
      </c>
      <c r="DK107" t="e">
        <f>'SurveyRpt_20150223 (1)'!O666+"h_l!&amp;N\"</f>
        <v>#VALUE!</v>
      </c>
      <c r="DL107" t="e">
        <f>'SurveyRpt_20150223 (1)'!P666+"h_l!&amp;N]"</f>
        <v>#VALUE!</v>
      </c>
      <c r="DM107" t="e">
        <f>'SurveyRpt_20150223 (1)'!Q666+"h_l!&amp;N^"</f>
        <v>#VALUE!</v>
      </c>
      <c r="DN107" t="e">
        <f>'SurveyRpt_20150223 (1)'!R666+"h_l!&amp;N_"</f>
        <v>#VALUE!</v>
      </c>
      <c r="DO107" t="e">
        <f>'SurveyRpt_20150223 (1)'!S666+"h_l!&amp;N`"</f>
        <v>#VALUE!</v>
      </c>
      <c r="DP107" t="e">
        <f>'SurveyRpt_20150223 (1)'!T666+"h_l!&amp;Na"</f>
        <v>#VALUE!</v>
      </c>
      <c r="DQ107" t="e">
        <f>'SurveyRpt_20150223 (1)'!U666+"h_l!&amp;Nb"</f>
        <v>#VALUE!</v>
      </c>
      <c r="DR107" t="e">
        <f>'SurveyRpt_20150223 (1)'!V666+"h_l!&amp;Nc"</f>
        <v>#VALUE!</v>
      </c>
      <c r="DS107" t="e">
        <f>'SurveyRpt_20150223 (1)'!W666+"h_l!&amp;Nd"</f>
        <v>#VALUE!</v>
      </c>
      <c r="DT107" t="e">
        <f>'SurveyRpt_20150223 (1)'!X666+"h_l!&amp;Ne"</f>
        <v>#VALUE!</v>
      </c>
      <c r="DU107" t="e">
        <f>'SurveyRpt_20150223 (1)'!Y666+"h_l!&amp;Nf"</f>
        <v>#VALUE!</v>
      </c>
      <c r="DV107" t="e">
        <f>'SurveyRpt_20150223 (1)'!Z666+"h_l!&amp;Ng"</f>
        <v>#VALUE!</v>
      </c>
      <c r="DW107" t="e">
        <f>'SurveyRpt_20150223 (1)'!AA666+"h_l!&amp;Nh"</f>
        <v>#VALUE!</v>
      </c>
      <c r="DX107" t="e">
        <f>'SurveyRpt_20150223 (1)'!AB666+"h_l!&amp;Ni"</f>
        <v>#VALUE!</v>
      </c>
      <c r="DY107" t="e">
        <f>'SurveyRpt_20150223 (1)'!AC666+"h_l!&amp;Nj"</f>
        <v>#VALUE!</v>
      </c>
      <c r="DZ107" t="e">
        <f>'SurveyRpt_20150223 (1)'!AD666+"h_l!&amp;Nk"</f>
        <v>#VALUE!</v>
      </c>
      <c r="EA107" t="e">
        <f>'SurveyRpt_20150223 (1)'!AE666+"h_l!&amp;Nl"</f>
        <v>#VALUE!</v>
      </c>
      <c r="EB107" t="e">
        <f>'SurveyRpt_20150223 (1)'!AF666+"h_l!&amp;Nm"</f>
        <v>#VALUE!</v>
      </c>
      <c r="EC107" t="e">
        <f>'SurveyRpt_20150223 (1)'!AG666+"h_l!&amp;Nn"</f>
        <v>#VALUE!</v>
      </c>
      <c r="ED107" t="e">
        <f>'SurveyRpt_20150223 (1)'!AH666+"h_l!&amp;No"</f>
        <v>#VALUE!</v>
      </c>
      <c r="EE107" t="e">
        <f>'SurveyRpt_20150223 (1)'!AI666+"h_l!&amp;Np"</f>
        <v>#VALUE!</v>
      </c>
      <c r="EF107" t="e">
        <f>'SurveyRpt_20150223 (1)'!AJ666+"h_l!&amp;Nq"</f>
        <v>#VALUE!</v>
      </c>
      <c r="EG107" t="e">
        <f>'SurveyRpt_20150223 (1)'!AK666+"h_l!&amp;Nr"</f>
        <v>#VALUE!</v>
      </c>
      <c r="EH107" t="e">
        <f>'SurveyRpt_20150223 (1)'!AL666+"h_l!&amp;Ns"</f>
        <v>#VALUE!</v>
      </c>
      <c r="EI107" t="e">
        <f>'SurveyRpt_20150223 (1)'!AM666+"h_l!&amp;Nt"</f>
        <v>#VALUE!</v>
      </c>
      <c r="EJ107" t="e">
        <f>'SurveyRpt_20150223 (1)'!AN666+"h_l!&amp;Nu"</f>
        <v>#VALUE!</v>
      </c>
      <c r="EK107" t="e">
        <f>'SurveyRpt_20150223 (1)'!A667+"h_l!&amp;Nv"</f>
        <v>#VALUE!</v>
      </c>
      <c r="EL107" s="25" t="e">
        <f>'SurveyRpt_20150223 (1)'!B667+"h_l!&amp;Nw"</f>
        <v>#VALUE!</v>
      </c>
      <c r="EM107" t="e">
        <f>'SurveyRpt_20150223 (1)'!C667+"h_l!&amp;Nx"</f>
        <v>#VALUE!</v>
      </c>
      <c r="EN107" s="25" t="e">
        <f>'SurveyRpt_20150223 (1)'!D667+"h_l!&amp;Ny"</f>
        <v>#VALUE!</v>
      </c>
      <c r="EO107" t="e">
        <f>'SurveyRpt_20150223 (1)'!E667+"h_l!&amp;Nz"</f>
        <v>#VALUE!</v>
      </c>
      <c r="EP107" t="e">
        <f>'SurveyRpt_20150223 (1)'!F667+"h_l!&amp;N{"</f>
        <v>#VALUE!</v>
      </c>
      <c r="EQ107" t="e">
        <f>'SurveyRpt_20150223 (1)'!G667+"h_l!&amp;N|"</f>
        <v>#VALUE!</v>
      </c>
      <c r="ER107" t="e">
        <f>'SurveyRpt_20150223 (1)'!H667+"h_l!&amp;N}"</f>
        <v>#VALUE!</v>
      </c>
      <c r="ES107" t="e">
        <f>'SurveyRpt_20150223 (1)'!I667+"h_l!&amp;N~"</f>
        <v>#VALUE!</v>
      </c>
      <c r="ET107" t="e">
        <f>'SurveyRpt_20150223 (1)'!J667+"h_l!&amp;O#"</f>
        <v>#VALUE!</v>
      </c>
      <c r="EU107" t="e">
        <f>'SurveyRpt_20150223 (1)'!K667+"h_l!&amp;O$"</f>
        <v>#VALUE!</v>
      </c>
      <c r="EV107" t="e">
        <f>'SurveyRpt_20150223 (1)'!L667+"h_l!&amp;O%"</f>
        <v>#VALUE!</v>
      </c>
      <c r="EW107" t="e">
        <f>'SurveyRpt_20150223 (1)'!M667+"h_l!&amp;O&amp;"</f>
        <v>#VALUE!</v>
      </c>
      <c r="EX107" t="e">
        <f>'SurveyRpt_20150223 (1)'!N667+"h_l!&amp;O'"</f>
        <v>#VALUE!</v>
      </c>
      <c r="EY107" t="e">
        <f>'SurveyRpt_20150223 (1)'!O667+"h_l!&amp;O("</f>
        <v>#VALUE!</v>
      </c>
      <c r="EZ107" t="e">
        <f>'SurveyRpt_20150223 (1)'!P667+"h_l!&amp;O)"</f>
        <v>#VALUE!</v>
      </c>
      <c r="FA107" t="e">
        <f>'SurveyRpt_20150223 (1)'!Q667+"h_l!&amp;O."</f>
        <v>#VALUE!</v>
      </c>
      <c r="FB107" t="e">
        <f>'SurveyRpt_20150223 (1)'!R667+"h_l!&amp;O/"</f>
        <v>#VALUE!</v>
      </c>
      <c r="FC107" t="e">
        <f>'SurveyRpt_20150223 (1)'!S667+"h_l!&amp;O0"</f>
        <v>#VALUE!</v>
      </c>
      <c r="FD107" t="e">
        <f>'SurveyRpt_20150223 (1)'!T667+"h_l!&amp;O1"</f>
        <v>#VALUE!</v>
      </c>
      <c r="FE107" t="e">
        <f>'SurveyRpt_20150223 (1)'!U667+"h_l!&amp;O2"</f>
        <v>#VALUE!</v>
      </c>
      <c r="FF107" t="e">
        <f>'SurveyRpt_20150223 (1)'!V667+"h_l!&amp;O3"</f>
        <v>#VALUE!</v>
      </c>
      <c r="FG107" t="e">
        <f>'SurveyRpt_20150223 (1)'!W667+"h_l!&amp;O4"</f>
        <v>#VALUE!</v>
      </c>
      <c r="FH107" t="e">
        <f>'SurveyRpt_20150223 (1)'!X667+"h_l!&amp;O5"</f>
        <v>#VALUE!</v>
      </c>
      <c r="FI107" t="e">
        <f>'SurveyRpt_20150223 (1)'!Y667+"h_l!&amp;O6"</f>
        <v>#VALUE!</v>
      </c>
      <c r="FJ107" t="e">
        <f>'SurveyRpt_20150223 (1)'!Z667+"h_l!&amp;O7"</f>
        <v>#VALUE!</v>
      </c>
      <c r="FK107" t="e">
        <f>'SurveyRpt_20150223 (1)'!AA667+"h_l!&amp;O8"</f>
        <v>#VALUE!</v>
      </c>
      <c r="FL107" t="e">
        <f>'SurveyRpt_20150223 (1)'!AB667+"h_l!&amp;O9"</f>
        <v>#VALUE!</v>
      </c>
      <c r="FM107" t="e">
        <f>'SurveyRpt_20150223 (1)'!AC667+"h_l!&amp;O:"</f>
        <v>#VALUE!</v>
      </c>
      <c r="FN107" t="e">
        <f>'SurveyRpt_20150223 (1)'!AD667+"h_l!&amp;O;"</f>
        <v>#VALUE!</v>
      </c>
      <c r="FO107" t="e">
        <f>'SurveyRpt_20150223 (1)'!AE667+"h_l!&amp;O&lt;"</f>
        <v>#VALUE!</v>
      </c>
      <c r="FP107" t="e">
        <f>'SurveyRpt_20150223 (1)'!AF667+"h_l!&amp;O="</f>
        <v>#VALUE!</v>
      </c>
      <c r="FQ107" t="e">
        <f>'SurveyRpt_20150223 (1)'!AG667+"h_l!&amp;O&gt;"</f>
        <v>#VALUE!</v>
      </c>
      <c r="FR107" t="e">
        <f>'SurveyRpt_20150223 (1)'!AH667+"h_l!&amp;O?"</f>
        <v>#VALUE!</v>
      </c>
      <c r="FS107" t="e">
        <f>'SurveyRpt_20150223 (1)'!AI667+"h_l!&amp;O@"</f>
        <v>#VALUE!</v>
      </c>
      <c r="FT107" t="e">
        <f>'SurveyRpt_20150223 (1)'!AJ667+"h_l!&amp;OA"</f>
        <v>#VALUE!</v>
      </c>
      <c r="FU107" t="e">
        <f>'SurveyRpt_20150223 (1)'!AK667+"h_l!&amp;OB"</f>
        <v>#VALUE!</v>
      </c>
      <c r="FV107" t="e">
        <f>'SurveyRpt_20150223 (1)'!AL667+"h_l!&amp;OC"</f>
        <v>#VALUE!</v>
      </c>
      <c r="FW107" t="e">
        <f>'SurveyRpt_20150223 (1)'!AM667+"h_l!&amp;OD"</f>
        <v>#VALUE!</v>
      </c>
      <c r="FX107" t="e">
        <f>'SurveyRpt_20150223 (1)'!AN667+"h_l!&amp;OE"</f>
        <v>#VALUE!</v>
      </c>
      <c r="FY107" t="e">
        <f>'SurveyRpt_20150223 (1)'!A668+"h_l!&amp;OF"</f>
        <v>#VALUE!</v>
      </c>
      <c r="FZ107" s="25" t="e">
        <f>'SurveyRpt_20150223 (1)'!B668+"h_l!&amp;OG"</f>
        <v>#VALUE!</v>
      </c>
      <c r="GA107" t="e">
        <f>'SurveyRpt_20150223 (1)'!C668+"h_l!&amp;OH"</f>
        <v>#VALUE!</v>
      </c>
      <c r="GB107" s="25" t="e">
        <f>'SurveyRpt_20150223 (1)'!D668+"h_l!&amp;OI"</f>
        <v>#VALUE!</v>
      </c>
      <c r="GC107" t="e">
        <f>'SurveyRpt_20150223 (1)'!E668+"h_l!&amp;OJ"</f>
        <v>#VALUE!</v>
      </c>
      <c r="GD107" t="e">
        <f>'SurveyRpt_20150223 (1)'!F668+"h_l!&amp;OK"</f>
        <v>#VALUE!</v>
      </c>
      <c r="GE107" t="e">
        <f>'SurveyRpt_20150223 (1)'!G668+"h_l!&amp;OL"</f>
        <v>#VALUE!</v>
      </c>
      <c r="GF107" t="e">
        <f>'SurveyRpt_20150223 (1)'!H668+"h_l!&amp;OM"</f>
        <v>#VALUE!</v>
      </c>
      <c r="GG107" t="e">
        <f>'SurveyRpt_20150223 (1)'!I668+"h_l!&amp;ON"</f>
        <v>#VALUE!</v>
      </c>
      <c r="GH107" t="e">
        <f>'SurveyRpt_20150223 (1)'!J668+"h_l!&amp;OO"</f>
        <v>#VALUE!</v>
      </c>
      <c r="GI107" t="e">
        <f>'SurveyRpt_20150223 (1)'!K668+"h_l!&amp;OP"</f>
        <v>#VALUE!</v>
      </c>
      <c r="GJ107" t="e">
        <f>'SurveyRpt_20150223 (1)'!L668+"h_l!&amp;OQ"</f>
        <v>#VALUE!</v>
      </c>
      <c r="GK107" t="e">
        <f>'SurveyRpt_20150223 (1)'!M668+"h_l!&amp;OR"</f>
        <v>#VALUE!</v>
      </c>
      <c r="GL107" t="e">
        <f>'SurveyRpt_20150223 (1)'!N668+"h_l!&amp;OS"</f>
        <v>#VALUE!</v>
      </c>
      <c r="GM107" t="e">
        <f>'SurveyRpt_20150223 (1)'!O668+"h_l!&amp;OT"</f>
        <v>#VALUE!</v>
      </c>
      <c r="GN107" t="e">
        <f>'SurveyRpt_20150223 (1)'!P668+"h_l!&amp;OU"</f>
        <v>#VALUE!</v>
      </c>
      <c r="GO107" t="e">
        <f>'SurveyRpt_20150223 (1)'!Q668+"h_l!&amp;OV"</f>
        <v>#VALUE!</v>
      </c>
      <c r="GP107" t="e">
        <f>'SurveyRpt_20150223 (1)'!R668+"h_l!&amp;OW"</f>
        <v>#VALUE!</v>
      </c>
      <c r="GQ107" t="e">
        <f>'SurveyRpt_20150223 (1)'!S668+"h_l!&amp;OX"</f>
        <v>#VALUE!</v>
      </c>
      <c r="GR107" t="e">
        <f>'SurveyRpt_20150223 (1)'!T668+"h_l!&amp;OY"</f>
        <v>#VALUE!</v>
      </c>
      <c r="GS107" t="e">
        <f>'SurveyRpt_20150223 (1)'!U668+"h_l!&amp;OZ"</f>
        <v>#VALUE!</v>
      </c>
      <c r="GT107" t="e">
        <f>'SurveyRpt_20150223 (1)'!V668+"h_l!&amp;O["</f>
        <v>#VALUE!</v>
      </c>
      <c r="GU107" t="e">
        <f>'SurveyRpt_20150223 (1)'!W668+"h_l!&amp;O\"</f>
        <v>#VALUE!</v>
      </c>
      <c r="GV107" t="e">
        <f>'SurveyRpt_20150223 (1)'!X668+"h_l!&amp;O]"</f>
        <v>#VALUE!</v>
      </c>
      <c r="GW107" t="e">
        <f>'SurveyRpt_20150223 (1)'!Y668+"h_l!&amp;O^"</f>
        <v>#VALUE!</v>
      </c>
      <c r="GX107" t="e">
        <f>'SurveyRpt_20150223 (1)'!Z668+"h_l!&amp;O_"</f>
        <v>#VALUE!</v>
      </c>
      <c r="GY107" t="e">
        <f>'SurveyRpt_20150223 (1)'!AA668+"h_l!&amp;O`"</f>
        <v>#VALUE!</v>
      </c>
      <c r="GZ107" t="e">
        <f>'SurveyRpt_20150223 (1)'!AB668+"h_l!&amp;Oa"</f>
        <v>#VALUE!</v>
      </c>
      <c r="HA107" t="e">
        <f>'SurveyRpt_20150223 (1)'!AC668+"h_l!&amp;Ob"</f>
        <v>#VALUE!</v>
      </c>
      <c r="HB107" t="e">
        <f>'SurveyRpt_20150223 (1)'!AD668+"h_l!&amp;Oc"</f>
        <v>#VALUE!</v>
      </c>
      <c r="HC107" t="e">
        <f>'SurveyRpt_20150223 (1)'!AE668+"h_l!&amp;Od"</f>
        <v>#VALUE!</v>
      </c>
      <c r="HD107" t="e">
        <f>'SurveyRpt_20150223 (1)'!AF668+"h_l!&amp;Oe"</f>
        <v>#VALUE!</v>
      </c>
      <c r="HE107" t="e">
        <f>'SurveyRpt_20150223 (1)'!AG668+"h_l!&amp;Of"</f>
        <v>#VALUE!</v>
      </c>
      <c r="HF107" t="e">
        <f>'SurveyRpt_20150223 (1)'!AH668+"h_l!&amp;Og"</f>
        <v>#VALUE!</v>
      </c>
      <c r="HG107" t="e">
        <f>'SurveyRpt_20150223 (1)'!AI668+"h_l!&amp;Oh"</f>
        <v>#VALUE!</v>
      </c>
      <c r="HH107" t="e">
        <f>'SurveyRpt_20150223 (1)'!AJ668+"h_l!&amp;Oi"</f>
        <v>#VALUE!</v>
      </c>
      <c r="HI107" t="e">
        <f>'SurveyRpt_20150223 (1)'!AK668+"h_l!&amp;Oj"</f>
        <v>#VALUE!</v>
      </c>
      <c r="HJ107" t="e">
        <f>'SurveyRpt_20150223 (1)'!AL668+"h_l!&amp;Ok"</f>
        <v>#VALUE!</v>
      </c>
      <c r="HK107" t="e">
        <f>'SurveyRpt_20150223 (1)'!AM668+"h_l!&amp;Ol"</f>
        <v>#VALUE!</v>
      </c>
      <c r="HL107" t="e">
        <f>'SurveyRpt_20150223 (1)'!AN668+"h_l!&amp;Om"</f>
        <v>#VALUE!</v>
      </c>
      <c r="HM107" t="e">
        <f>'SurveyRpt_20150223 (1)'!A669+"h_l!&amp;On"</f>
        <v>#VALUE!</v>
      </c>
      <c r="HN107" s="25" t="e">
        <f>'SurveyRpt_20150223 (1)'!B669+"h_l!&amp;Oo"</f>
        <v>#VALUE!</v>
      </c>
      <c r="HO107" t="e">
        <f>'SurveyRpt_20150223 (1)'!C669+"h_l!&amp;Op"</f>
        <v>#VALUE!</v>
      </c>
      <c r="HP107" s="25" t="e">
        <f>'SurveyRpt_20150223 (1)'!D669+"h_l!&amp;Oq"</f>
        <v>#VALUE!</v>
      </c>
      <c r="HQ107" t="e">
        <f>'SurveyRpt_20150223 (1)'!E669+"h_l!&amp;Or"</f>
        <v>#VALUE!</v>
      </c>
      <c r="HR107" t="e">
        <f>'SurveyRpt_20150223 (1)'!F669+"h_l!&amp;Os"</f>
        <v>#VALUE!</v>
      </c>
      <c r="HS107" t="e">
        <f>'SurveyRpt_20150223 (1)'!G669+"h_l!&amp;Ot"</f>
        <v>#VALUE!</v>
      </c>
      <c r="HT107" t="e">
        <f>'SurveyRpt_20150223 (1)'!H669+"h_l!&amp;Ou"</f>
        <v>#VALUE!</v>
      </c>
      <c r="HU107" t="e">
        <f>'SurveyRpt_20150223 (1)'!I669+"h_l!&amp;Ov"</f>
        <v>#VALUE!</v>
      </c>
      <c r="HV107" t="e">
        <f>'SurveyRpt_20150223 (1)'!J669+"h_l!&amp;Ow"</f>
        <v>#VALUE!</v>
      </c>
      <c r="HW107" t="e">
        <f>'SurveyRpt_20150223 (1)'!K669+"h_l!&amp;Ox"</f>
        <v>#VALUE!</v>
      </c>
      <c r="HX107" t="e">
        <f>'SurveyRpt_20150223 (1)'!L669+"h_l!&amp;Oy"</f>
        <v>#VALUE!</v>
      </c>
      <c r="HY107" t="e">
        <f>'SurveyRpt_20150223 (1)'!M669+"h_l!&amp;Oz"</f>
        <v>#VALUE!</v>
      </c>
      <c r="HZ107" t="e">
        <f>'SurveyRpt_20150223 (1)'!N669+"h_l!&amp;O{"</f>
        <v>#VALUE!</v>
      </c>
      <c r="IA107" t="e">
        <f>'SurveyRpt_20150223 (1)'!O669+"h_l!&amp;O|"</f>
        <v>#VALUE!</v>
      </c>
      <c r="IB107" t="e">
        <f>'SurveyRpt_20150223 (1)'!P669+"h_l!&amp;O}"</f>
        <v>#VALUE!</v>
      </c>
      <c r="IC107" t="e">
        <f>'SurveyRpt_20150223 (1)'!Q669+"h_l!&amp;O~"</f>
        <v>#VALUE!</v>
      </c>
      <c r="ID107" t="e">
        <f>'SurveyRpt_20150223 (1)'!R669+"h_l!&amp;P#"</f>
        <v>#VALUE!</v>
      </c>
      <c r="IE107" t="e">
        <f>'SurveyRpt_20150223 (1)'!S669+"h_l!&amp;P$"</f>
        <v>#VALUE!</v>
      </c>
      <c r="IF107" t="e">
        <f>'SurveyRpt_20150223 (1)'!T669+"h_l!&amp;P%"</f>
        <v>#VALUE!</v>
      </c>
      <c r="IG107" t="e">
        <f>'SurveyRpt_20150223 (1)'!U669+"h_l!&amp;P&amp;"</f>
        <v>#VALUE!</v>
      </c>
      <c r="IH107" t="e">
        <f>'SurveyRpt_20150223 (1)'!V669+"h_l!&amp;P'"</f>
        <v>#VALUE!</v>
      </c>
      <c r="II107" t="e">
        <f>'SurveyRpt_20150223 (1)'!W669+"h_l!&amp;P("</f>
        <v>#VALUE!</v>
      </c>
      <c r="IJ107" t="e">
        <f>'SurveyRpt_20150223 (1)'!X669+"h_l!&amp;P)"</f>
        <v>#VALUE!</v>
      </c>
      <c r="IK107" t="e">
        <f>'SurveyRpt_20150223 (1)'!Y669+"h_l!&amp;P."</f>
        <v>#VALUE!</v>
      </c>
      <c r="IL107" t="e">
        <f>'SurveyRpt_20150223 (1)'!Z669+"h_l!&amp;P/"</f>
        <v>#VALUE!</v>
      </c>
      <c r="IM107" t="e">
        <f>'SurveyRpt_20150223 (1)'!AA669+"h_l!&amp;P0"</f>
        <v>#VALUE!</v>
      </c>
      <c r="IN107" t="e">
        <f>'SurveyRpt_20150223 (1)'!AB669+"h_l!&amp;P1"</f>
        <v>#VALUE!</v>
      </c>
      <c r="IO107" t="e">
        <f>'SurveyRpt_20150223 (1)'!AC669+"h_l!&amp;P2"</f>
        <v>#VALUE!</v>
      </c>
      <c r="IP107" t="e">
        <f>'SurveyRpt_20150223 (1)'!AD669+"h_l!&amp;P3"</f>
        <v>#VALUE!</v>
      </c>
      <c r="IQ107" t="e">
        <f>'SurveyRpt_20150223 (1)'!AE669+"h_l!&amp;P4"</f>
        <v>#VALUE!</v>
      </c>
      <c r="IR107" t="e">
        <f>'SurveyRpt_20150223 (1)'!AF669+"h_l!&amp;P5"</f>
        <v>#VALUE!</v>
      </c>
      <c r="IS107" t="e">
        <f>'SurveyRpt_20150223 (1)'!AG669+"h_l!&amp;P6"</f>
        <v>#VALUE!</v>
      </c>
      <c r="IT107" t="e">
        <f>'SurveyRpt_20150223 (1)'!AH669+"h_l!&amp;P7"</f>
        <v>#VALUE!</v>
      </c>
      <c r="IU107" t="e">
        <f>'SurveyRpt_20150223 (1)'!AI669+"h_l!&amp;P8"</f>
        <v>#VALUE!</v>
      </c>
      <c r="IV107" t="e">
        <f>'SurveyRpt_20150223 (1)'!AJ669+"h_l!&amp;P9"</f>
        <v>#VALUE!</v>
      </c>
    </row>
    <row r="108" spans="6:256" x14ac:dyDescent="0.25">
      <c r="F108" t="e">
        <f>'SurveyRpt_20150223 (1)'!AK669+"h_l!&amp;P:"</f>
        <v>#VALUE!</v>
      </c>
      <c r="G108" t="e">
        <f>'SurveyRpt_20150223 (1)'!AL669+"h_l!&amp;P;"</f>
        <v>#VALUE!</v>
      </c>
      <c r="H108" t="e">
        <f>'SurveyRpt_20150223 (1)'!AM669+"h_l!&amp;P&lt;"</f>
        <v>#VALUE!</v>
      </c>
      <c r="I108" t="e">
        <f>'SurveyRpt_20150223 (1)'!AN669+"h_l!&amp;P="</f>
        <v>#VALUE!</v>
      </c>
      <c r="J108" t="e">
        <f>'SurveyRpt_20150223 (1)'!A670+"h_l!&amp;P&gt;"</f>
        <v>#VALUE!</v>
      </c>
      <c r="K108" s="25" t="e">
        <f>'SurveyRpt_20150223 (1)'!B670+"h_l!&amp;P?"</f>
        <v>#VALUE!</v>
      </c>
      <c r="L108" t="e">
        <f>'SurveyRpt_20150223 (1)'!C670+"h_l!&amp;P@"</f>
        <v>#VALUE!</v>
      </c>
      <c r="M108" s="25" t="e">
        <f>'SurveyRpt_20150223 (1)'!D670+"h_l!&amp;PA"</f>
        <v>#VALUE!</v>
      </c>
      <c r="N108" t="e">
        <f>'SurveyRpt_20150223 (1)'!E670+"h_l!&amp;PB"</f>
        <v>#VALUE!</v>
      </c>
      <c r="O108" t="e">
        <f>'SurveyRpt_20150223 (1)'!F670+"h_l!&amp;PC"</f>
        <v>#VALUE!</v>
      </c>
      <c r="P108" t="e">
        <f>'SurveyRpt_20150223 (1)'!G670+"h_l!&amp;PD"</f>
        <v>#VALUE!</v>
      </c>
      <c r="Q108" t="e">
        <f>'SurveyRpt_20150223 (1)'!H670+"h_l!&amp;PE"</f>
        <v>#VALUE!</v>
      </c>
      <c r="R108" t="e">
        <f>'SurveyRpt_20150223 (1)'!I670+"h_l!&amp;PF"</f>
        <v>#VALUE!</v>
      </c>
      <c r="S108" t="e">
        <f>'SurveyRpt_20150223 (1)'!J670+"h_l!&amp;PG"</f>
        <v>#VALUE!</v>
      </c>
      <c r="T108" t="e">
        <f>'SurveyRpt_20150223 (1)'!K670+"h_l!&amp;PH"</f>
        <v>#VALUE!</v>
      </c>
      <c r="U108" t="e">
        <f>'SurveyRpt_20150223 (1)'!L670+"h_l!&amp;PI"</f>
        <v>#VALUE!</v>
      </c>
      <c r="V108" t="e">
        <f>'SurveyRpt_20150223 (1)'!M670+"h_l!&amp;PJ"</f>
        <v>#VALUE!</v>
      </c>
      <c r="W108" t="e">
        <f>'SurveyRpt_20150223 (1)'!N670+"h_l!&amp;PK"</f>
        <v>#VALUE!</v>
      </c>
      <c r="X108" t="e">
        <f>'SurveyRpt_20150223 (1)'!O670+"h_l!&amp;PL"</f>
        <v>#VALUE!</v>
      </c>
      <c r="Y108" t="e">
        <f>'SurveyRpt_20150223 (1)'!P670+"h_l!&amp;PM"</f>
        <v>#VALUE!</v>
      </c>
      <c r="Z108" t="e">
        <f>'SurveyRpt_20150223 (1)'!Q670+"h_l!&amp;PN"</f>
        <v>#VALUE!</v>
      </c>
      <c r="AA108" t="e">
        <f>'SurveyRpt_20150223 (1)'!R670+"h_l!&amp;PO"</f>
        <v>#VALUE!</v>
      </c>
      <c r="AB108" t="e">
        <f>'SurveyRpt_20150223 (1)'!S670+"h_l!&amp;PP"</f>
        <v>#VALUE!</v>
      </c>
      <c r="AC108" t="e">
        <f>'SurveyRpt_20150223 (1)'!T670+"h_l!&amp;PQ"</f>
        <v>#VALUE!</v>
      </c>
      <c r="AD108" t="e">
        <f>'SurveyRpt_20150223 (1)'!U670+"h_l!&amp;PR"</f>
        <v>#VALUE!</v>
      </c>
      <c r="AE108" t="e">
        <f>'SurveyRpt_20150223 (1)'!V670+"h_l!&amp;PS"</f>
        <v>#VALUE!</v>
      </c>
      <c r="AF108" t="e">
        <f>'SurveyRpt_20150223 (1)'!W670+"h_l!&amp;PT"</f>
        <v>#VALUE!</v>
      </c>
      <c r="AG108" t="e">
        <f>'SurveyRpt_20150223 (1)'!X670+"h_l!&amp;PU"</f>
        <v>#VALUE!</v>
      </c>
      <c r="AH108" t="e">
        <f>'SurveyRpt_20150223 (1)'!Y670+"h_l!&amp;PV"</f>
        <v>#VALUE!</v>
      </c>
      <c r="AI108" t="e">
        <f>'SurveyRpt_20150223 (1)'!Z670+"h_l!&amp;PW"</f>
        <v>#VALUE!</v>
      </c>
      <c r="AJ108" t="e">
        <f>'SurveyRpt_20150223 (1)'!AA670+"h_l!&amp;PX"</f>
        <v>#VALUE!</v>
      </c>
      <c r="AK108" t="e">
        <f>'SurveyRpt_20150223 (1)'!AB670+"h_l!&amp;PY"</f>
        <v>#VALUE!</v>
      </c>
      <c r="AL108" t="e">
        <f>'SurveyRpt_20150223 (1)'!AC670+"h_l!&amp;PZ"</f>
        <v>#VALUE!</v>
      </c>
      <c r="AM108" t="e">
        <f>'SurveyRpt_20150223 (1)'!AD670+"h_l!&amp;P["</f>
        <v>#VALUE!</v>
      </c>
      <c r="AN108" t="e">
        <f>'SurveyRpt_20150223 (1)'!AE670+"h_l!&amp;P\"</f>
        <v>#VALUE!</v>
      </c>
      <c r="AO108" t="e">
        <f>'SurveyRpt_20150223 (1)'!AF670+"h_l!&amp;P]"</f>
        <v>#VALUE!</v>
      </c>
      <c r="AP108" t="e">
        <f>'SurveyRpt_20150223 (1)'!AG670+"h_l!&amp;P^"</f>
        <v>#VALUE!</v>
      </c>
      <c r="AQ108" t="e">
        <f>'SurveyRpt_20150223 (1)'!AH670+"h_l!&amp;P_"</f>
        <v>#VALUE!</v>
      </c>
      <c r="AR108" t="e">
        <f>'SurveyRpt_20150223 (1)'!AI670+"h_l!&amp;P`"</f>
        <v>#VALUE!</v>
      </c>
      <c r="AS108" t="e">
        <f>'SurveyRpt_20150223 (1)'!AJ670+"h_l!&amp;Pa"</f>
        <v>#VALUE!</v>
      </c>
      <c r="AT108" t="e">
        <f>'SurveyRpt_20150223 (1)'!AK670+"h_l!&amp;Pb"</f>
        <v>#VALUE!</v>
      </c>
      <c r="AU108" t="e">
        <f>'SurveyRpt_20150223 (1)'!AL670+"h_l!&amp;Pc"</f>
        <v>#VALUE!</v>
      </c>
      <c r="AV108" t="e">
        <f>'SurveyRpt_20150223 (1)'!AM670+"h_l!&amp;Pd"</f>
        <v>#VALUE!</v>
      </c>
      <c r="AW108" t="e">
        <f>'SurveyRpt_20150223 (1)'!AN670+"h_l!&amp;Pe"</f>
        <v>#VALUE!</v>
      </c>
      <c r="AX108" t="e">
        <f>'SurveyRpt_20150223 (1)'!A671+"h_l!&amp;Pf"</f>
        <v>#VALUE!</v>
      </c>
      <c r="AY108" s="25" t="e">
        <f>'SurveyRpt_20150223 (1)'!B671+"h_l!&amp;Pg"</f>
        <v>#VALUE!</v>
      </c>
      <c r="AZ108" t="e">
        <f>'SurveyRpt_20150223 (1)'!C671+"h_l!&amp;Ph"</f>
        <v>#VALUE!</v>
      </c>
      <c r="BA108" s="25" t="e">
        <f>'SurveyRpt_20150223 (1)'!D671+"h_l!&amp;Pi"</f>
        <v>#VALUE!</v>
      </c>
      <c r="BB108" t="e">
        <f>'SurveyRpt_20150223 (1)'!E671+"h_l!&amp;Pj"</f>
        <v>#VALUE!</v>
      </c>
      <c r="BC108" t="e">
        <f>'SurveyRpt_20150223 (1)'!F671+"h_l!&amp;Pk"</f>
        <v>#VALUE!</v>
      </c>
      <c r="BD108" t="e">
        <f>'SurveyRpt_20150223 (1)'!G671+"h_l!&amp;Pl"</f>
        <v>#VALUE!</v>
      </c>
      <c r="BE108" t="e">
        <f>'SurveyRpt_20150223 (1)'!H671+"h_l!&amp;Pm"</f>
        <v>#VALUE!</v>
      </c>
      <c r="BF108" t="e">
        <f>'SurveyRpt_20150223 (1)'!I671+"h_l!&amp;Pn"</f>
        <v>#VALUE!</v>
      </c>
      <c r="BG108" t="e">
        <f>'SurveyRpt_20150223 (1)'!J671+"h_l!&amp;Po"</f>
        <v>#VALUE!</v>
      </c>
      <c r="BH108" t="e">
        <f>'SurveyRpt_20150223 (1)'!K671+"h_l!&amp;Pp"</f>
        <v>#VALUE!</v>
      </c>
      <c r="BI108" t="e">
        <f>'SurveyRpt_20150223 (1)'!L671+"h_l!&amp;Pq"</f>
        <v>#VALUE!</v>
      </c>
      <c r="BJ108" t="e">
        <f>'SurveyRpt_20150223 (1)'!M671+"h_l!&amp;Pr"</f>
        <v>#VALUE!</v>
      </c>
      <c r="BK108" t="e">
        <f>'SurveyRpt_20150223 (1)'!N671+"h_l!&amp;Ps"</f>
        <v>#VALUE!</v>
      </c>
      <c r="BL108" t="e">
        <f>'SurveyRpt_20150223 (1)'!O671+"h_l!&amp;Pt"</f>
        <v>#VALUE!</v>
      </c>
      <c r="BM108" t="e">
        <f>'SurveyRpt_20150223 (1)'!P671+"h_l!&amp;Pu"</f>
        <v>#VALUE!</v>
      </c>
      <c r="BN108" t="e">
        <f>'SurveyRpt_20150223 (1)'!Q671+"h_l!&amp;Pv"</f>
        <v>#VALUE!</v>
      </c>
      <c r="BO108" t="e">
        <f>'SurveyRpt_20150223 (1)'!R671+"h_l!&amp;Pw"</f>
        <v>#VALUE!</v>
      </c>
      <c r="BP108" t="e">
        <f>'SurveyRpt_20150223 (1)'!S671+"h_l!&amp;Px"</f>
        <v>#VALUE!</v>
      </c>
      <c r="BQ108" t="e">
        <f>'SurveyRpt_20150223 (1)'!T671+"h_l!&amp;Py"</f>
        <v>#VALUE!</v>
      </c>
      <c r="BR108" t="e">
        <f>'SurveyRpt_20150223 (1)'!U671+"h_l!&amp;Pz"</f>
        <v>#VALUE!</v>
      </c>
      <c r="BS108" t="e">
        <f>'SurveyRpt_20150223 (1)'!V671+"h_l!&amp;P{"</f>
        <v>#VALUE!</v>
      </c>
      <c r="BT108" t="e">
        <f>'SurveyRpt_20150223 (1)'!W671+"h_l!&amp;P|"</f>
        <v>#VALUE!</v>
      </c>
      <c r="BU108" t="e">
        <f>'SurveyRpt_20150223 (1)'!X671+"h_l!&amp;P}"</f>
        <v>#VALUE!</v>
      </c>
      <c r="BV108" t="e">
        <f>'SurveyRpt_20150223 (1)'!Y671+"h_l!&amp;P~"</f>
        <v>#VALUE!</v>
      </c>
      <c r="BW108" t="e">
        <f>'SurveyRpt_20150223 (1)'!Z671+"h_l!&amp;Q#"</f>
        <v>#VALUE!</v>
      </c>
      <c r="BX108" t="e">
        <f>'SurveyRpt_20150223 (1)'!AA671+"h_l!&amp;Q$"</f>
        <v>#VALUE!</v>
      </c>
      <c r="BY108" t="e">
        <f>'SurveyRpt_20150223 (1)'!AB671+"h_l!&amp;Q%"</f>
        <v>#VALUE!</v>
      </c>
      <c r="BZ108" t="e">
        <f>'SurveyRpt_20150223 (1)'!AC671+"h_l!&amp;Q&amp;"</f>
        <v>#VALUE!</v>
      </c>
      <c r="CA108" t="e">
        <f>'SurveyRpt_20150223 (1)'!AD671+"h_l!&amp;Q'"</f>
        <v>#VALUE!</v>
      </c>
      <c r="CB108" t="e">
        <f>'SurveyRpt_20150223 (1)'!AE671+"h_l!&amp;Q("</f>
        <v>#VALUE!</v>
      </c>
      <c r="CC108" t="e">
        <f>'SurveyRpt_20150223 (1)'!AF671+"h_l!&amp;Q)"</f>
        <v>#VALUE!</v>
      </c>
      <c r="CD108" t="e">
        <f>'SurveyRpt_20150223 (1)'!AG671+"h_l!&amp;Q."</f>
        <v>#VALUE!</v>
      </c>
      <c r="CE108" t="e">
        <f>'SurveyRpt_20150223 (1)'!AH671+"h_l!&amp;Q/"</f>
        <v>#VALUE!</v>
      </c>
      <c r="CF108" t="e">
        <f>'SurveyRpt_20150223 (1)'!AI671+"h_l!&amp;Q0"</f>
        <v>#VALUE!</v>
      </c>
      <c r="CG108" t="e">
        <f>'SurveyRpt_20150223 (1)'!AJ671+"h_l!&amp;Q1"</f>
        <v>#VALUE!</v>
      </c>
      <c r="CH108" t="e">
        <f>'SurveyRpt_20150223 (1)'!AK671+"h_l!&amp;Q2"</f>
        <v>#VALUE!</v>
      </c>
      <c r="CI108" t="e">
        <f>'SurveyRpt_20150223 (1)'!AL671+"h_l!&amp;Q3"</f>
        <v>#VALUE!</v>
      </c>
      <c r="CJ108" t="e">
        <f>'SurveyRpt_20150223 (1)'!AM671+"h_l!&amp;Q4"</f>
        <v>#VALUE!</v>
      </c>
      <c r="CK108" t="e">
        <f>'SurveyRpt_20150223 (1)'!AN671+"h_l!&amp;Q5"</f>
        <v>#VALUE!</v>
      </c>
      <c r="CL108" t="e">
        <f>'SurveyRpt_20150223 (1)'!A672+"h_l!&amp;Q6"</f>
        <v>#VALUE!</v>
      </c>
      <c r="CM108" s="25" t="e">
        <f>'SurveyRpt_20150223 (1)'!B672+"h_l!&amp;Q7"</f>
        <v>#VALUE!</v>
      </c>
      <c r="CN108" t="e">
        <f>'SurveyRpt_20150223 (1)'!C672+"h_l!&amp;Q8"</f>
        <v>#VALUE!</v>
      </c>
      <c r="CO108" s="25" t="e">
        <f>'SurveyRpt_20150223 (1)'!D672+"h_l!&amp;Q9"</f>
        <v>#VALUE!</v>
      </c>
      <c r="CP108" t="e">
        <f>'SurveyRpt_20150223 (1)'!E672+"h_l!&amp;Q:"</f>
        <v>#VALUE!</v>
      </c>
      <c r="CQ108" t="e">
        <f>'SurveyRpt_20150223 (1)'!F672+"h_l!&amp;Q;"</f>
        <v>#VALUE!</v>
      </c>
      <c r="CR108" t="e">
        <f>'SurveyRpt_20150223 (1)'!G672+"h_l!&amp;Q&lt;"</f>
        <v>#VALUE!</v>
      </c>
      <c r="CS108" t="e">
        <f>'SurveyRpt_20150223 (1)'!H672+"h_l!&amp;Q="</f>
        <v>#VALUE!</v>
      </c>
      <c r="CT108" t="e">
        <f>'SurveyRpt_20150223 (1)'!I672+"h_l!&amp;Q&gt;"</f>
        <v>#VALUE!</v>
      </c>
      <c r="CU108" t="e">
        <f>'SurveyRpt_20150223 (1)'!J672+"h_l!&amp;Q?"</f>
        <v>#VALUE!</v>
      </c>
      <c r="CV108" t="e">
        <f>'SurveyRpt_20150223 (1)'!K672+"h_l!&amp;Q@"</f>
        <v>#VALUE!</v>
      </c>
      <c r="CW108" t="e">
        <f>'SurveyRpt_20150223 (1)'!L672+"h_l!&amp;QA"</f>
        <v>#VALUE!</v>
      </c>
      <c r="CX108" t="e">
        <f>'SurveyRpt_20150223 (1)'!M672+"h_l!&amp;QB"</f>
        <v>#VALUE!</v>
      </c>
      <c r="CY108" t="e">
        <f>'SurveyRpt_20150223 (1)'!N672+"h_l!&amp;QC"</f>
        <v>#VALUE!</v>
      </c>
      <c r="CZ108" t="e">
        <f>'SurveyRpt_20150223 (1)'!O672+"h_l!&amp;QD"</f>
        <v>#VALUE!</v>
      </c>
      <c r="DA108" t="e">
        <f>'SurveyRpt_20150223 (1)'!P672+"h_l!&amp;QE"</f>
        <v>#VALUE!</v>
      </c>
      <c r="DB108" t="e">
        <f>'SurveyRpt_20150223 (1)'!Q672+"h_l!&amp;QF"</f>
        <v>#VALUE!</v>
      </c>
      <c r="DC108" t="e">
        <f>'SurveyRpt_20150223 (1)'!R672+"h_l!&amp;QG"</f>
        <v>#VALUE!</v>
      </c>
      <c r="DD108" t="e">
        <f>'SurveyRpt_20150223 (1)'!S672+"h_l!&amp;QH"</f>
        <v>#VALUE!</v>
      </c>
      <c r="DE108" t="e">
        <f>'SurveyRpt_20150223 (1)'!T672+"h_l!&amp;QI"</f>
        <v>#VALUE!</v>
      </c>
      <c r="DF108" t="e">
        <f>'SurveyRpt_20150223 (1)'!U672+"h_l!&amp;QJ"</f>
        <v>#VALUE!</v>
      </c>
      <c r="DG108" t="e">
        <f>'SurveyRpt_20150223 (1)'!V672+"h_l!&amp;QK"</f>
        <v>#VALUE!</v>
      </c>
      <c r="DH108" t="e">
        <f>'SurveyRpt_20150223 (1)'!W672+"h_l!&amp;QL"</f>
        <v>#VALUE!</v>
      </c>
      <c r="DI108" t="e">
        <f>'SurveyRpt_20150223 (1)'!X672+"h_l!&amp;QM"</f>
        <v>#VALUE!</v>
      </c>
      <c r="DJ108" t="e">
        <f>'SurveyRpt_20150223 (1)'!Y672+"h_l!&amp;QN"</f>
        <v>#VALUE!</v>
      </c>
      <c r="DK108" t="e">
        <f>'SurveyRpt_20150223 (1)'!Z672+"h_l!&amp;QO"</f>
        <v>#VALUE!</v>
      </c>
      <c r="DL108" t="e">
        <f>'SurveyRpt_20150223 (1)'!AA672+"h_l!&amp;QP"</f>
        <v>#VALUE!</v>
      </c>
      <c r="DM108" t="e">
        <f>'SurveyRpt_20150223 (1)'!AB672+"h_l!&amp;QQ"</f>
        <v>#VALUE!</v>
      </c>
      <c r="DN108" t="e">
        <f>'SurveyRpt_20150223 (1)'!AC672+"h_l!&amp;QR"</f>
        <v>#VALUE!</v>
      </c>
      <c r="DO108" t="e">
        <f>'SurveyRpt_20150223 (1)'!AD672+"h_l!&amp;QS"</f>
        <v>#VALUE!</v>
      </c>
      <c r="DP108" t="e">
        <f>'SurveyRpt_20150223 (1)'!AE672+"h_l!&amp;QT"</f>
        <v>#VALUE!</v>
      </c>
      <c r="DQ108" t="e">
        <f>'SurveyRpt_20150223 (1)'!AF672+"h_l!&amp;QU"</f>
        <v>#VALUE!</v>
      </c>
      <c r="DR108" t="e">
        <f>'SurveyRpt_20150223 (1)'!AG672+"h_l!&amp;QV"</f>
        <v>#VALUE!</v>
      </c>
      <c r="DS108" t="e">
        <f>'SurveyRpt_20150223 (1)'!AH672+"h_l!&amp;QW"</f>
        <v>#VALUE!</v>
      </c>
      <c r="DT108" t="e">
        <f>'SurveyRpt_20150223 (1)'!AI672+"h_l!&amp;QX"</f>
        <v>#VALUE!</v>
      </c>
      <c r="DU108" t="e">
        <f>'SurveyRpt_20150223 (1)'!AJ672+"h_l!&amp;QY"</f>
        <v>#VALUE!</v>
      </c>
      <c r="DV108" t="e">
        <f>'SurveyRpt_20150223 (1)'!AK672+"h_l!&amp;QZ"</f>
        <v>#VALUE!</v>
      </c>
      <c r="DW108" t="e">
        <f>'SurveyRpt_20150223 (1)'!AL672+"h_l!&amp;Q["</f>
        <v>#VALUE!</v>
      </c>
      <c r="DX108" t="e">
        <f>'SurveyRpt_20150223 (1)'!AM672+"h_l!&amp;Q\"</f>
        <v>#VALUE!</v>
      </c>
      <c r="DY108" t="e">
        <f>'SurveyRpt_20150223 (1)'!AN672+"h_l!&amp;Q]"</f>
        <v>#VALUE!</v>
      </c>
      <c r="DZ108" t="e">
        <f>'SurveyRpt_20150223 (1)'!A673+"h_l!&amp;Q^"</f>
        <v>#VALUE!</v>
      </c>
      <c r="EA108" s="25" t="e">
        <f>'SurveyRpt_20150223 (1)'!B673+"h_l!&amp;Q_"</f>
        <v>#VALUE!</v>
      </c>
      <c r="EB108" t="e">
        <f>'SurveyRpt_20150223 (1)'!C673+"h_l!&amp;Q`"</f>
        <v>#VALUE!</v>
      </c>
      <c r="EC108" s="25" t="e">
        <f>'SurveyRpt_20150223 (1)'!D673+"h_l!&amp;Qa"</f>
        <v>#VALUE!</v>
      </c>
      <c r="ED108" t="e">
        <f>'SurveyRpt_20150223 (1)'!E673+"h_l!&amp;Qb"</f>
        <v>#VALUE!</v>
      </c>
      <c r="EE108" t="e">
        <f>'SurveyRpt_20150223 (1)'!F673+"h_l!&amp;Qc"</f>
        <v>#VALUE!</v>
      </c>
      <c r="EF108" t="e">
        <f>'SurveyRpt_20150223 (1)'!G673+"h_l!&amp;Qd"</f>
        <v>#VALUE!</v>
      </c>
      <c r="EG108" t="e">
        <f>'SurveyRpt_20150223 (1)'!H673+"h_l!&amp;Qe"</f>
        <v>#VALUE!</v>
      </c>
      <c r="EH108" t="e">
        <f>'SurveyRpt_20150223 (1)'!I673+"h_l!&amp;Qf"</f>
        <v>#VALUE!</v>
      </c>
      <c r="EI108" t="e">
        <f>'SurveyRpt_20150223 (1)'!J673+"h_l!&amp;Qg"</f>
        <v>#VALUE!</v>
      </c>
      <c r="EJ108" t="e">
        <f>'SurveyRpt_20150223 (1)'!K673+"h_l!&amp;Qh"</f>
        <v>#VALUE!</v>
      </c>
      <c r="EK108" t="e">
        <f>'SurveyRpt_20150223 (1)'!L673+"h_l!&amp;Qi"</f>
        <v>#VALUE!</v>
      </c>
      <c r="EL108" t="e">
        <f>'SurveyRpt_20150223 (1)'!M673+"h_l!&amp;Qj"</f>
        <v>#VALUE!</v>
      </c>
      <c r="EM108" t="e">
        <f>'SurveyRpt_20150223 (1)'!N673+"h_l!&amp;Qk"</f>
        <v>#VALUE!</v>
      </c>
      <c r="EN108" t="e">
        <f>'SurveyRpt_20150223 (1)'!O673+"h_l!&amp;Ql"</f>
        <v>#VALUE!</v>
      </c>
      <c r="EO108" t="e">
        <f>'SurveyRpt_20150223 (1)'!P673+"h_l!&amp;Qm"</f>
        <v>#VALUE!</v>
      </c>
      <c r="EP108" t="e">
        <f>'SurveyRpt_20150223 (1)'!Q673+"h_l!&amp;Qn"</f>
        <v>#VALUE!</v>
      </c>
      <c r="EQ108" t="e">
        <f>'SurveyRpt_20150223 (1)'!R673+"h_l!&amp;Qo"</f>
        <v>#VALUE!</v>
      </c>
      <c r="ER108" t="e">
        <f>'SurveyRpt_20150223 (1)'!S673+"h_l!&amp;Qp"</f>
        <v>#VALUE!</v>
      </c>
      <c r="ES108" t="e">
        <f>'SurveyRpt_20150223 (1)'!T673+"h_l!&amp;Qq"</f>
        <v>#VALUE!</v>
      </c>
      <c r="ET108" t="e">
        <f>'SurveyRpt_20150223 (1)'!U673+"h_l!&amp;Qr"</f>
        <v>#VALUE!</v>
      </c>
      <c r="EU108" t="e">
        <f>'SurveyRpt_20150223 (1)'!V673+"h_l!&amp;Qs"</f>
        <v>#VALUE!</v>
      </c>
      <c r="EV108" t="e">
        <f>'SurveyRpt_20150223 (1)'!W673+"h_l!&amp;Qt"</f>
        <v>#VALUE!</v>
      </c>
      <c r="EW108" t="e">
        <f>'SurveyRpt_20150223 (1)'!X673+"h_l!&amp;Qu"</f>
        <v>#VALUE!</v>
      </c>
      <c r="EX108" t="e">
        <f>'SurveyRpt_20150223 (1)'!Y673+"h_l!&amp;Qv"</f>
        <v>#VALUE!</v>
      </c>
      <c r="EY108" t="e">
        <f>'SurveyRpt_20150223 (1)'!Z673+"h_l!&amp;Qw"</f>
        <v>#VALUE!</v>
      </c>
      <c r="EZ108" t="e">
        <f>'SurveyRpt_20150223 (1)'!AA673+"h_l!&amp;Qx"</f>
        <v>#VALUE!</v>
      </c>
      <c r="FA108" t="e">
        <f>'SurveyRpt_20150223 (1)'!AB673+"h_l!&amp;Qy"</f>
        <v>#VALUE!</v>
      </c>
      <c r="FB108" t="e">
        <f>'SurveyRpt_20150223 (1)'!AC673+"h_l!&amp;Qz"</f>
        <v>#VALUE!</v>
      </c>
      <c r="FC108" t="e">
        <f>'SurveyRpt_20150223 (1)'!AD673+"h_l!&amp;Q{"</f>
        <v>#VALUE!</v>
      </c>
      <c r="FD108" t="e">
        <f>'SurveyRpt_20150223 (1)'!AE673+"h_l!&amp;Q|"</f>
        <v>#VALUE!</v>
      </c>
      <c r="FE108" t="e">
        <f>'SurveyRpt_20150223 (1)'!AF673+"h_l!&amp;Q}"</f>
        <v>#VALUE!</v>
      </c>
      <c r="FF108" t="e">
        <f>'SurveyRpt_20150223 (1)'!AG673+"h_l!&amp;Q~"</f>
        <v>#VALUE!</v>
      </c>
      <c r="FG108" t="e">
        <f>'SurveyRpt_20150223 (1)'!AH673+"h_l!&amp;R#"</f>
        <v>#VALUE!</v>
      </c>
      <c r="FH108" t="e">
        <f>'SurveyRpt_20150223 (1)'!AI673+"h_l!&amp;R$"</f>
        <v>#VALUE!</v>
      </c>
      <c r="FI108" t="e">
        <f>'SurveyRpt_20150223 (1)'!AJ673+"h_l!&amp;R%"</f>
        <v>#VALUE!</v>
      </c>
      <c r="FJ108" t="e">
        <f>'SurveyRpt_20150223 (1)'!AK673+"h_l!&amp;R&amp;"</f>
        <v>#VALUE!</v>
      </c>
      <c r="FK108" t="e">
        <f>'SurveyRpt_20150223 (1)'!AL673+"h_l!&amp;R'"</f>
        <v>#VALUE!</v>
      </c>
      <c r="FL108" t="e">
        <f>'SurveyRpt_20150223 (1)'!AM673+"h_l!&amp;R("</f>
        <v>#VALUE!</v>
      </c>
      <c r="FM108" t="e">
        <f>'SurveyRpt_20150223 (1)'!AN673+"h_l!&amp;R)"</f>
        <v>#VALUE!</v>
      </c>
      <c r="FN108" t="e">
        <f>'SurveyRpt_20150223 (1)'!A674+"h_l!&amp;R."</f>
        <v>#VALUE!</v>
      </c>
      <c r="FO108" s="25" t="e">
        <f>'SurveyRpt_20150223 (1)'!B674+"h_l!&amp;R/"</f>
        <v>#VALUE!</v>
      </c>
      <c r="FP108" t="e">
        <f>'SurveyRpt_20150223 (1)'!C674+"h_l!&amp;R0"</f>
        <v>#VALUE!</v>
      </c>
      <c r="FQ108" s="25" t="e">
        <f>'SurveyRpt_20150223 (1)'!D674+"h_l!&amp;R1"</f>
        <v>#VALUE!</v>
      </c>
      <c r="FR108" t="e">
        <f>'SurveyRpt_20150223 (1)'!E674+"h_l!&amp;R2"</f>
        <v>#VALUE!</v>
      </c>
      <c r="FS108" t="e">
        <f>'SurveyRpt_20150223 (1)'!F674+"h_l!&amp;R3"</f>
        <v>#VALUE!</v>
      </c>
      <c r="FT108" t="e">
        <f>'SurveyRpt_20150223 (1)'!G674+"h_l!&amp;R4"</f>
        <v>#VALUE!</v>
      </c>
      <c r="FU108" t="e">
        <f>'SurveyRpt_20150223 (1)'!H674+"h_l!&amp;R5"</f>
        <v>#VALUE!</v>
      </c>
      <c r="FV108" t="e">
        <f>'SurveyRpt_20150223 (1)'!I674+"h_l!&amp;R6"</f>
        <v>#VALUE!</v>
      </c>
      <c r="FW108" t="e">
        <f>'SurveyRpt_20150223 (1)'!J674+"h_l!&amp;R7"</f>
        <v>#VALUE!</v>
      </c>
      <c r="FX108" t="e">
        <f>'SurveyRpt_20150223 (1)'!K674+"h_l!&amp;R8"</f>
        <v>#VALUE!</v>
      </c>
      <c r="FY108" t="e">
        <f>'SurveyRpt_20150223 (1)'!L674+"h_l!&amp;R9"</f>
        <v>#VALUE!</v>
      </c>
      <c r="FZ108" t="e">
        <f>'SurveyRpt_20150223 (1)'!M674+"h_l!&amp;R:"</f>
        <v>#VALUE!</v>
      </c>
      <c r="GA108" t="e">
        <f>'SurveyRpt_20150223 (1)'!N674+"h_l!&amp;R;"</f>
        <v>#VALUE!</v>
      </c>
      <c r="GB108" t="e">
        <f>'SurveyRpt_20150223 (1)'!O674+"h_l!&amp;R&lt;"</f>
        <v>#VALUE!</v>
      </c>
      <c r="GC108" t="e">
        <f>'SurveyRpt_20150223 (1)'!P674+"h_l!&amp;R="</f>
        <v>#VALUE!</v>
      </c>
      <c r="GD108" t="e">
        <f>'SurveyRpt_20150223 (1)'!Q674+"h_l!&amp;R&gt;"</f>
        <v>#VALUE!</v>
      </c>
      <c r="GE108" t="e">
        <f>'SurveyRpt_20150223 (1)'!R674+"h_l!&amp;R?"</f>
        <v>#VALUE!</v>
      </c>
      <c r="GF108" t="e">
        <f>'SurveyRpt_20150223 (1)'!S674+"h_l!&amp;R@"</f>
        <v>#VALUE!</v>
      </c>
      <c r="GG108" t="e">
        <f>'SurveyRpt_20150223 (1)'!T674+"h_l!&amp;RA"</f>
        <v>#VALUE!</v>
      </c>
      <c r="GH108" t="e">
        <f>'SurveyRpt_20150223 (1)'!U674+"h_l!&amp;RB"</f>
        <v>#VALUE!</v>
      </c>
      <c r="GI108" t="e">
        <f>'SurveyRpt_20150223 (1)'!V674+"h_l!&amp;RC"</f>
        <v>#VALUE!</v>
      </c>
      <c r="GJ108" t="e">
        <f>'SurveyRpt_20150223 (1)'!W674+"h_l!&amp;RD"</f>
        <v>#VALUE!</v>
      </c>
      <c r="GK108" t="e">
        <f>'SurveyRpt_20150223 (1)'!X674+"h_l!&amp;RE"</f>
        <v>#VALUE!</v>
      </c>
      <c r="GL108" t="e">
        <f>'SurveyRpt_20150223 (1)'!Y674+"h_l!&amp;RF"</f>
        <v>#VALUE!</v>
      </c>
      <c r="GM108" t="e">
        <f>'SurveyRpt_20150223 (1)'!Z674+"h_l!&amp;RG"</f>
        <v>#VALUE!</v>
      </c>
      <c r="GN108" t="e">
        <f>'SurveyRpt_20150223 (1)'!AA674+"h_l!&amp;RH"</f>
        <v>#VALUE!</v>
      </c>
      <c r="GO108" t="e">
        <f>'SurveyRpt_20150223 (1)'!AB674+"h_l!&amp;RI"</f>
        <v>#VALUE!</v>
      </c>
      <c r="GP108" t="e">
        <f>'SurveyRpt_20150223 (1)'!AC674+"h_l!&amp;RJ"</f>
        <v>#VALUE!</v>
      </c>
      <c r="GQ108" t="e">
        <f>'SurveyRpt_20150223 (1)'!AD674+"h_l!&amp;RK"</f>
        <v>#VALUE!</v>
      </c>
      <c r="GR108" t="e">
        <f>'SurveyRpt_20150223 (1)'!AE674+"h_l!&amp;RL"</f>
        <v>#VALUE!</v>
      </c>
      <c r="GS108" t="e">
        <f>'SurveyRpt_20150223 (1)'!AF674+"h_l!&amp;RM"</f>
        <v>#VALUE!</v>
      </c>
      <c r="GT108" t="e">
        <f>'SurveyRpt_20150223 (1)'!AG674+"h_l!&amp;RN"</f>
        <v>#VALUE!</v>
      </c>
      <c r="GU108" t="e">
        <f>'SurveyRpt_20150223 (1)'!AH674+"h_l!&amp;RO"</f>
        <v>#VALUE!</v>
      </c>
      <c r="GV108" t="e">
        <f>'SurveyRpt_20150223 (1)'!AI674+"h_l!&amp;RP"</f>
        <v>#VALUE!</v>
      </c>
      <c r="GW108" t="e">
        <f>'SurveyRpt_20150223 (1)'!AJ674+"h_l!&amp;RQ"</f>
        <v>#VALUE!</v>
      </c>
      <c r="GX108" t="e">
        <f>'SurveyRpt_20150223 (1)'!AK674+"h_l!&amp;RR"</f>
        <v>#VALUE!</v>
      </c>
      <c r="GY108" t="e">
        <f>'SurveyRpt_20150223 (1)'!AL674+"h_l!&amp;RS"</f>
        <v>#VALUE!</v>
      </c>
      <c r="GZ108" t="e">
        <f>'SurveyRpt_20150223 (1)'!AM674+"h_l!&amp;RT"</f>
        <v>#VALUE!</v>
      </c>
      <c r="HA108" t="e">
        <f>'SurveyRpt_20150223 (1)'!AN674+"h_l!&amp;RU"</f>
        <v>#VALUE!</v>
      </c>
      <c r="HB108" t="e">
        <f>'SurveyRpt_20150223 (1)'!A675+"h_l!&amp;RV"</f>
        <v>#VALUE!</v>
      </c>
      <c r="HC108" s="25" t="e">
        <f>'SurveyRpt_20150223 (1)'!B675+"h_l!&amp;RW"</f>
        <v>#VALUE!</v>
      </c>
      <c r="HD108" t="e">
        <f>'SurveyRpt_20150223 (1)'!C675+"h_l!&amp;RX"</f>
        <v>#VALUE!</v>
      </c>
      <c r="HE108" s="25" t="e">
        <f>'SurveyRpt_20150223 (1)'!D675+"h_l!&amp;RY"</f>
        <v>#VALUE!</v>
      </c>
      <c r="HF108" t="e">
        <f>'SurveyRpt_20150223 (1)'!E675+"h_l!&amp;RZ"</f>
        <v>#VALUE!</v>
      </c>
      <c r="HG108" t="e">
        <f>'SurveyRpt_20150223 (1)'!F675+"h_l!&amp;R["</f>
        <v>#VALUE!</v>
      </c>
      <c r="HH108" t="e">
        <f>'SurveyRpt_20150223 (1)'!G675+"h_l!&amp;R\"</f>
        <v>#VALUE!</v>
      </c>
      <c r="HI108" t="e">
        <f>'SurveyRpt_20150223 (1)'!H675+"h_l!&amp;R]"</f>
        <v>#VALUE!</v>
      </c>
      <c r="HJ108" t="e">
        <f>'SurveyRpt_20150223 (1)'!I675+"h_l!&amp;R^"</f>
        <v>#VALUE!</v>
      </c>
      <c r="HK108" t="e">
        <f>'SurveyRpt_20150223 (1)'!J675+"h_l!&amp;R_"</f>
        <v>#VALUE!</v>
      </c>
      <c r="HL108" t="e">
        <f>'SurveyRpt_20150223 (1)'!K675+"h_l!&amp;R`"</f>
        <v>#VALUE!</v>
      </c>
      <c r="HM108" t="e">
        <f>'SurveyRpt_20150223 (1)'!L675+"h_l!&amp;Ra"</f>
        <v>#VALUE!</v>
      </c>
      <c r="HN108" t="e">
        <f>'SurveyRpt_20150223 (1)'!M675+"h_l!&amp;Rb"</f>
        <v>#VALUE!</v>
      </c>
      <c r="HO108" t="e">
        <f>'SurveyRpt_20150223 (1)'!N675+"h_l!&amp;Rc"</f>
        <v>#VALUE!</v>
      </c>
      <c r="HP108" t="e">
        <f>'SurveyRpt_20150223 (1)'!O675+"h_l!&amp;Rd"</f>
        <v>#VALUE!</v>
      </c>
      <c r="HQ108" t="e">
        <f>'SurveyRpt_20150223 (1)'!P675+"h_l!&amp;Re"</f>
        <v>#VALUE!</v>
      </c>
      <c r="HR108" t="e">
        <f>'SurveyRpt_20150223 (1)'!Q675+"h_l!&amp;Rf"</f>
        <v>#VALUE!</v>
      </c>
      <c r="HS108" t="e">
        <f>'SurveyRpt_20150223 (1)'!R675+"h_l!&amp;Rg"</f>
        <v>#VALUE!</v>
      </c>
      <c r="HT108" t="e">
        <f>'SurveyRpt_20150223 (1)'!S675+"h_l!&amp;Rh"</f>
        <v>#VALUE!</v>
      </c>
      <c r="HU108" t="e">
        <f>'SurveyRpt_20150223 (1)'!T675+"h_l!&amp;Ri"</f>
        <v>#VALUE!</v>
      </c>
      <c r="HV108" t="e">
        <f>'SurveyRpt_20150223 (1)'!U675+"h_l!&amp;Rj"</f>
        <v>#VALUE!</v>
      </c>
      <c r="HW108" t="e">
        <f>'SurveyRpt_20150223 (1)'!V675+"h_l!&amp;Rk"</f>
        <v>#VALUE!</v>
      </c>
      <c r="HX108" t="e">
        <f>'SurveyRpt_20150223 (1)'!W675+"h_l!&amp;Rl"</f>
        <v>#VALUE!</v>
      </c>
      <c r="HY108" t="e">
        <f>'SurveyRpt_20150223 (1)'!X675+"h_l!&amp;Rm"</f>
        <v>#VALUE!</v>
      </c>
      <c r="HZ108" t="e">
        <f>'SurveyRpt_20150223 (1)'!Y675+"h_l!&amp;Rn"</f>
        <v>#VALUE!</v>
      </c>
      <c r="IA108" t="e">
        <f>'SurveyRpt_20150223 (1)'!Z675+"h_l!&amp;Ro"</f>
        <v>#VALUE!</v>
      </c>
      <c r="IB108" t="e">
        <f>'SurveyRpt_20150223 (1)'!AA675+"h_l!&amp;Rp"</f>
        <v>#VALUE!</v>
      </c>
      <c r="IC108" t="e">
        <f>'SurveyRpt_20150223 (1)'!AB675+"h_l!&amp;Rq"</f>
        <v>#VALUE!</v>
      </c>
      <c r="ID108" t="e">
        <f>'SurveyRpt_20150223 (1)'!AC675+"h_l!&amp;Rr"</f>
        <v>#VALUE!</v>
      </c>
      <c r="IE108" t="e">
        <f>'SurveyRpt_20150223 (1)'!AD675+"h_l!&amp;Rs"</f>
        <v>#VALUE!</v>
      </c>
      <c r="IF108" t="e">
        <f>'SurveyRpt_20150223 (1)'!AE675+"h_l!&amp;Rt"</f>
        <v>#VALUE!</v>
      </c>
      <c r="IG108" t="e">
        <f>'SurveyRpt_20150223 (1)'!AF675+"h_l!&amp;Ru"</f>
        <v>#VALUE!</v>
      </c>
      <c r="IH108" t="e">
        <f>'SurveyRpt_20150223 (1)'!AG675+"h_l!&amp;Rv"</f>
        <v>#VALUE!</v>
      </c>
      <c r="II108" t="e">
        <f>'SurveyRpt_20150223 (1)'!AH675+"h_l!&amp;Rw"</f>
        <v>#VALUE!</v>
      </c>
      <c r="IJ108" t="e">
        <f>'SurveyRpt_20150223 (1)'!AI675+"h_l!&amp;Rx"</f>
        <v>#VALUE!</v>
      </c>
      <c r="IK108" t="e">
        <f>'SurveyRpt_20150223 (1)'!AJ675+"h_l!&amp;Ry"</f>
        <v>#VALUE!</v>
      </c>
      <c r="IL108" t="e">
        <f>'SurveyRpt_20150223 (1)'!AK675+"h_l!&amp;Rz"</f>
        <v>#VALUE!</v>
      </c>
      <c r="IM108" t="e">
        <f>'SurveyRpt_20150223 (1)'!AL675+"h_l!&amp;R{"</f>
        <v>#VALUE!</v>
      </c>
      <c r="IN108" t="e">
        <f>'SurveyRpt_20150223 (1)'!AM675+"h_l!&amp;R|"</f>
        <v>#VALUE!</v>
      </c>
      <c r="IO108" t="e">
        <f>'SurveyRpt_20150223 (1)'!AN675+"h_l!&amp;R}"</f>
        <v>#VALUE!</v>
      </c>
      <c r="IP108" t="e">
        <f>'SurveyRpt_20150223 (1)'!A676+"h_l!&amp;R~"</f>
        <v>#VALUE!</v>
      </c>
      <c r="IQ108" s="25" t="e">
        <f>'SurveyRpt_20150223 (1)'!B676+"h_l!&amp;S#"</f>
        <v>#VALUE!</v>
      </c>
      <c r="IR108" t="e">
        <f>'SurveyRpt_20150223 (1)'!C676+"h_l!&amp;S$"</f>
        <v>#VALUE!</v>
      </c>
      <c r="IS108" s="25" t="e">
        <f>'SurveyRpt_20150223 (1)'!D676+"h_l!&amp;S%"</f>
        <v>#VALUE!</v>
      </c>
      <c r="IT108" t="e">
        <f>'SurveyRpt_20150223 (1)'!E676+"h_l!&amp;S&amp;"</f>
        <v>#VALUE!</v>
      </c>
      <c r="IU108" t="e">
        <f>'SurveyRpt_20150223 (1)'!F676+"h_l!&amp;S'"</f>
        <v>#VALUE!</v>
      </c>
      <c r="IV108" t="e">
        <f>'SurveyRpt_20150223 (1)'!G676+"h_l!&amp;S("</f>
        <v>#VALUE!</v>
      </c>
    </row>
    <row r="109" spans="6:256" x14ac:dyDescent="0.25">
      <c r="F109" t="e">
        <f>'SurveyRpt_20150223 (1)'!H676+"h_l!&amp;S)"</f>
        <v>#VALUE!</v>
      </c>
      <c r="G109" t="e">
        <f>'SurveyRpt_20150223 (1)'!I676+"h_l!&amp;S."</f>
        <v>#VALUE!</v>
      </c>
      <c r="H109" t="e">
        <f>'SurveyRpt_20150223 (1)'!J676+"h_l!&amp;S/"</f>
        <v>#VALUE!</v>
      </c>
      <c r="I109" t="e">
        <f>'SurveyRpt_20150223 (1)'!K676+"h_l!&amp;S0"</f>
        <v>#VALUE!</v>
      </c>
      <c r="J109" t="e">
        <f>'SurveyRpt_20150223 (1)'!L676+"h_l!&amp;S1"</f>
        <v>#VALUE!</v>
      </c>
      <c r="K109" t="e">
        <f>'SurveyRpt_20150223 (1)'!M676+"h_l!&amp;S2"</f>
        <v>#VALUE!</v>
      </c>
      <c r="L109" t="e">
        <f>'SurveyRpt_20150223 (1)'!N676+"h_l!&amp;S3"</f>
        <v>#VALUE!</v>
      </c>
      <c r="M109" t="e">
        <f>'SurveyRpt_20150223 (1)'!O676+"h_l!&amp;S4"</f>
        <v>#VALUE!</v>
      </c>
      <c r="N109" t="e">
        <f>'SurveyRpt_20150223 (1)'!P676+"h_l!&amp;S5"</f>
        <v>#VALUE!</v>
      </c>
      <c r="O109" t="e">
        <f>'SurveyRpt_20150223 (1)'!Q676+"h_l!&amp;S6"</f>
        <v>#VALUE!</v>
      </c>
      <c r="P109" t="e">
        <f>'SurveyRpt_20150223 (1)'!R676+"h_l!&amp;S7"</f>
        <v>#VALUE!</v>
      </c>
      <c r="Q109" t="e">
        <f>'SurveyRpt_20150223 (1)'!S676+"h_l!&amp;S8"</f>
        <v>#VALUE!</v>
      </c>
      <c r="R109" t="e">
        <f>'SurveyRpt_20150223 (1)'!T676+"h_l!&amp;S9"</f>
        <v>#VALUE!</v>
      </c>
      <c r="S109" t="e">
        <f>'SurveyRpt_20150223 (1)'!U676+"h_l!&amp;S:"</f>
        <v>#VALUE!</v>
      </c>
      <c r="T109" t="e">
        <f>'SurveyRpt_20150223 (1)'!V676+"h_l!&amp;S;"</f>
        <v>#VALUE!</v>
      </c>
      <c r="U109" t="e">
        <f>'SurveyRpt_20150223 (1)'!W676+"h_l!&amp;S&lt;"</f>
        <v>#VALUE!</v>
      </c>
      <c r="V109" t="e">
        <f>'SurveyRpt_20150223 (1)'!X676+"h_l!&amp;S="</f>
        <v>#VALUE!</v>
      </c>
      <c r="W109" t="e">
        <f>'SurveyRpt_20150223 (1)'!Y676+"h_l!&amp;S&gt;"</f>
        <v>#VALUE!</v>
      </c>
      <c r="X109" t="e">
        <f>'SurveyRpt_20150223 (1)'!Z676+"h_l!&amp;S?"</f>
        <v>#VALUE!</v>
      </c>
      <c r="Y109" t="e">
        <f>'SurveyRpt_20150223 (1)'!AA676+"h_l!&amp;S@"</f>
        <v>#VALUE!</v>
      </c>
      <c r="Z109" t="e">
        <f>'SurveyRpt_20150223 (1)'!AB676+"h_l!&amp;SA"</f>
        <v>#VALUE!</v>
      </c>
      <c r="AA109" t="e">
        <f>'SurveyRpt_20150223 (1)'!AC676+"h_l!&amp;SB"</f>
        <v>#VALUE!</v>
      </c>
      <c r="AB109" t="e">
        <f>'SurveyRpt_20150223 (1)'!AD676+"h_l!&amp;SC"</f>
        <v>#VALUE!</v>
      </c>
      <c r="AC109" t="e">
        <f>'SurveyRpt_20150223 (1)'!AE676+"h_l!&amp;SD"</f>
        <v>#VALUE!</v>
      </c>
      <c r="AD109" t="e">
        <f>'SurveyRpt_20150223 (1)'!AF676+"h_l!&amp;SE"</f>
        <v>#VALUE!</v>
      </c>
      <c r="AE109" t="e">
        <f>'SurveyRpt_20150223 (1)'!AG676+"h_l!&amp;SF"</f>
        <v>#VALUE!</v>
      </c>
      <c r="AF109" t="e">
        <f>'SurveyRpt_20150223 (1)'!AH676+"h_l!&amp;SG"</f>
        <v>#VALUE!</v>
      </c>
      <c r="AG109" t="e">
        <f>'SurveyRpt_20150223 (1)'!AI676+"h_l!&amp;SH"</f>
        <v>#VALUE!</v>
      </c>
      <c r="AH109" t="e">
        <f>'SurveyRpt_20150223 (1)'!AJ676+"h_l!&amp;SI"</f>
        <v>#VALUE!</v>
      </c>
      <c r="AI109" t="e">
        <f>'SurveyRpt_20150223 (1)'!AK676+"h_l!&amp;SJ"</f>
        <v>#VALUE!</v>
      </c>
      <c r="AJ109" t="e">
        <f>'SurveyRpt_20150223 (1)'!AL676+"h_l!&amp;SK"</f>
        <v>#VALUE!</v>
      </c>
      <c r="AK109" t="e">
        <f>'SurveyRpt_20150223 (1)'!AM676+"h_l!&amp;SL"</f>
        <v>#VALUE!</v>
      </c>
      <c r="AL109" t="e">
        <f>'SurveyRpt_20150223 (1)'!AN676+"h_l!&amp;SM"</f>
        <v>#VALUE!</v>
      </c>
      <c r="AM109" t="e">
        <f>'SurveyRpt_20150223 (1)'!A677+"h_l!&amp;SN"</f>
        <v>#VALUE!</v>
      </c>
      <c r="AN109" s="25" t="e">
        <f>'SurveyRpt_20150223 (1)'!B677+"h_l!&amp;SO"</f>
        <v>#VALUE!</v>
      </c>
      <c r="AO109" t="e">
        <f>'SurveyRpt_20150223 (1)'!C677+"h_l!&amp;SP"</f>
        <v>#VALUE!</v>
      </c>
      <c r="AP109" s="25" t="e">
        <f>'SurveyRpt_20150223 (1)'!D677+"h_l!&amp;SQ"</f>
        <v>#VALUE!</v>
      </c>
      <c r="AQ109" t="e">
        <f>'SurveyRpt_20150223 (1)'!E677+"h_l!&amp;SR"</f>
        <v>#VALUE!</v>
      </c>
      <c r="AR109" t="e">
        <f>'SurveyRpt_20150223 (1)'!F677+"h_l!&amp;SS"</f>
        <v>#VALUE!</v>
      </c>
      <c r="AS109" t="e">
        <f>'SurveyRpt_20150223 (1)'!G677+"h_l!&amp;ST"</f>
        <v>#VALUE!</v>
      </c>
      <c r="AT109" t="e">
        <f>'SurveyRpt_20150223 (1)'!H677+"h_l!&amp;SU"</f>
        <v>#VALUE!</v>
      </c>
      <c r="AU109" t="e">
        <f>'SurveyRpt_20150223 (1)'!I677+"h_l!&amp;SV"</f>
        <v>#VALUE!</v>
      </c>
      <c r="AV109" t="e">
        <f>'SurveyRpt_20150223 (1)'!J677+"h_l!&amp;SW"</f>
        <v>#VALUE!</v>
      </c>
      <c r="AW109" t="e">
        <f>'SurveyRpt_20150223 (1)'!K677+"h_l!&amp;SX"</f>
        <v>#VALUE!</v>
      </c>
      <c r="AX109" t="e">
        <f>'SurveyRpt_20150223 (1)'!L677+"h_l!&amp;SY"</f>
        <v>#VALUE!</v>
      </c>
      <c r="AY109" t="e">
        <f>'SurveyRpt_20150223 (1)'!M677+"h_l!&amp;SZ"</f>
        <v>#VALUE!</v>
      </c>
      <c r="AZ109" t="e">
        <f>'SurveyRpt_20150223 (1)'!N677+"h_l!&amp;S["</f>
        <v>#VALUE!</v>
      </c>
      <c r="BA109" t="e">
        <f>'SurveyRpt_20150223 (1)'!O677+"h_l!&amp;S\"</f>
        <v>#VALUE!</v>
      </c>
      <c r="BB109" t="e">
        <f>'SurveyRpt_20150223 (1)'!P677+"h_l!&amp;S]"</f>
        <v>#VALUE!</v>
      </c>
      <c r="BC109" t="e">
        <f>'SurveyRpt_20150223 (1)'!Q677+"h_l!&amp;S^"</f>
        <v>#VALUE!</v>
      </c>
      <c r="BD109" t="e">
        <f>'SurveyRpt_20150223 (1)'!R677+"h_l!&amp;S_"</f>
        <v>#VALUE!</v>
      </c>
      <c r="BE109" t="e">
        <f>'SurveyRpt_20150223 (1)'!S677+"h_l!&amp;S`"</f>
        <v>#VALUE!</v>
      </c>
      <c r="BF109" t="e">
        <f>'SurveyRpt_20150223 (1)'!T677+"h_l!&amp;Sa"</f>
        <v>#VALUE!</v>
      </c>
      <c r="BG109" t="e">
        <f>'SurveyRpt_20150223 (1)'!U677+"h_l!&amp;Sb"</f>
        <v>#VALUE!</v>
      </c>
      <c r="BH109" t="e">
        <f>'SurveyRpt_20150223 (1)'!V677+"h_l!&amp;Sc"</f>
        <v>#VALUE!</v>
      </c>
      <c r="BI109" t="e">
        <f>'SurveyRpt_20150223 (1)'!W677+"h_l!&amp;Sd"</f>
        <v>#VALUE!</v>
      </c>
      <c r="BJ109" t="e">
        <f>'SurveyRpt_20150223 (1)'!X677+"h_l!&amp;Se"</f>
        <v>#VALUE!</v>
      </c>
      <c r="BK109" t="e">
        <f>'SurveyRpt_20150223 (1)'!Y677+"h_l!&amp;Sf"</f>
        <v>#VALUE!</v>
      </c>
      <c r="BL109" t="e">
        <f>'SurveyRpt_20150223 (1)'!Z677+"h_l!&amp;Sg"</f>
        <v>#VALUE!</v>
      </c>
      <c r="BM109" t="e">
        <f>'SurveyRpt_20150223 (1)'!AA677+"h_l!&amp;Sh"</f>
        <v>#VALUE!</v>
      </c>
      <c r="BN109" t="e">
        <f>'SurveyRpt_20150223 (1)'!AB677+"h_l!&amp;Si"</f>
        <v>#VALUE!</v>
      </c>
      <c r="BO109" t="e">
        <f>'SurveyRpt_20150223 (1)'!AC677+"h_l!&amp;Sj"</f>
        <v>#VALUE!</v>
      </c>
      <c r="BP109" t="e">
        <f>'SurveyRpt_20150223 (1)'!AD677+"h_l!&amp;Sk"</f>
        <v>#VALUE!</v>
      </c>
      <c r="BQ109" t="e">
        <f>'SurveyRpt_20150223 (1)'!AE677+"h_l!&amp;Sl"</f>
        <v>#VALUE!</v>
      </c>
      <c r="BR109" t="e">
        <f>'SurveyRpt_20150223 (1)'!AF677+"h_l!&amp;Sm"</f>
        <v>#VALUE!</v>
      </c>
      <c r="BS109" t="e">
        <f>'SurveyRpt_20150223 (1)'!AG677+"h_l!&amp;Sn"</f>
        <v>#VALUE!</v>
      </c>
      <c r="BT109" t="e">
        <f>'SurveyRpt_20150223 (1)'!AH677+"h_l!&amp;So"</f>
        <v>#VALUE!</v>
      </c>
      <c r="BU109" t="e">
        <f>'SurveyRpt_20150223 (1)'!AI677+"h_l!&amp;Sp"</f>
        <v>#VALUE!</v>
      </c>
      <c r="BV109" t="e">
        <f>'SurveyRpt_20150223 (1)'!AJ677+"h_l!&amp;Sq"</f>
        <v>#VALUE!</v>
      </c>
      <c r="BW109" t="e">
        <f>'SurveyRpt_20150223 (1)'!AK677+"h_l!&amp;Sr"</f>
        <v>#VALUE!</v>
      </c>
      <c r="BX109" t="e">
        <f>'SurveyRpt_20150223 (1)'!AL677+"h_l!&amp;Ss"</f>
        <v>#VALUE!</v>
      </c>
      <c r="BY109" t="e">
        <f>'SurveyRpt_20150223 (1)'!AM677+"h_l!&amp;St"</f>
        <v>#VALUE!</v>
      </c>
      <c r="BZ109" t="e">
        <f>'SurveyRpt_20150223 (1)'!AN677+"h_l!&amp;Su"</f>
        <v>#VALUE!</v>
      </c>
      <c r="CA109" t="e">
        <f>'SurveyRpt_20150223 (1)'!A678+"h_l!&amp;Sv"</f>
        <v>#VALUE!</v>
      </c>
      <c r="CB109" s="25" t="e">
        <f>'SurveyRpt_20150223 (1)'!B678+"h_l!&amp;Sw"</f>
        <v>#VALUE!</v>
      </c>
      <c r="CC109" t="e">
        <f>'SurveyRpt_20150223 (1)'!C678+"h_l!&amp;Sx"</f>
        <v>#VALUE!</v>
      </c>
      <c r="CD109" s="25" t="e">
        <f>'SurveyRpt_20150223 (1)'!D678+"h_l!&amp;Sy"</f>
        <v>#VALUE!</v>
      </c>
      <c r="CE109" t="e">
        <f>'SurveyRpt_20150223 (1)'!E678+"h_l!&amp;Sz"</f>
        <v>#VALUE!</v>
      </c>
      <c r="CF109" t="e">
        <f>'SurveyRpt_20150223 (1)'!F678+"h_l!&amp;S{"</f>
        <v>#VALUE!</v>
      </c>
      <c r="CG109" t="e">
        <f>'SurveyRpt_20150223 (1)'!G678+"h_l!&amp;S|"</f>
        <v>#VALUE!</v>
      </c>
      <c r="CH109" t="e">
        <f>'SurveyRpt_20150223 (1)'!H678+"h_l!&amp;S}"</f>
        <v>#VALUE!</v>
      </c>
      <c r="CI109" t="e">
        <f>'SurveyRpt_20150223 (1)'!I678+"h_l!&amp;S~"</f>
        <v>#VALUE!</v>
      </c>
      <c r="CJ109" t="e">
        <f>'SurveyRpt_20150223 (1)'!J678+"h_l!&amp;T#"</f>
        <v>#VALUE!</v>
      </c>
      <c r="CK109" t="e">
        <f>'SurveyRpt_20150223 (1)'!K678+"h_l!&amp;T$"</f>
        <v>#VALUE!</v>
      </c>
      <c r="CL109" t="e">
        <f>'SurveyRpt_20150223 (1)'!L678+"h_l!&amp;T%"</f>
        <v>#VALUE!</v>
      </c>
      <c r="CM109" t="e">
        <f>'SurveyRpt_20150223 (1)'!M678+"h_l!&amp;T&amp;"</f>
        <v>#VALUE!</v>
      </c>
      <c r="CN109" t="e">
        <f>'SurveyRpt_20150223 (1)'!N678+"h_l!&amp;T'"</f>
        <v>#VALUE!</v>
      </c>
      <c r="CO109" t="e">
        <f>'SurveyRpt_20150223 (1)'!O678+"h_l!&amp;T("</f>
        <v>#VALUE!</v>
      </c>
      <c r="CP109" t="e">
        <f>'SurveyRpt_20150223 (1)'!P678+"h_l!&amp;T)"</f>
        <v>#VALUE!</v>
      </c>
      <c r="CQ109" t="e">
        <f>'SurveyRpt_20150223 (1)'!Q678+"h_l!&amp;T."</f>
        <v>#VALUE!</v>
      </c>
      <c r="CR109" t="e">
        <f>'SurveyRpt_20150223 (1)'!R678+"h_l!&amp;T/"</f>
        <v>#VALUE!</v>
      </c>
      <c r="CS109" t="e">
        <f>'SurveyRpt_20150223 (1)'!S678+"h_l!&amp;T0"</f>
        <v>#VALUE!</v>
      </c>
      <c r="CT109" t="e">
        <f>'SurveyRpt_20150223 (1)'!T678+"h_l!&amp;T1"</f>
        <v>#VALUE!</v>
      </c>
      <c r="CU109" t="e">
        <f>'SurveyRpt_20150223 (1)'!U678+"h_l!&amp;T2"</f>
        <v>#VALUE!</v>
      </c>
      <c r="CV109" t="e">
        <f>'SurveyRpt_20150223 (1)'!V678+"h_l!&amp;T3"</f>
        <v>#VALUE!</v>
      </c>
      <c r="CW109" t="e">
        <f>'SurveyRpt_20150223 (1)'!W678+"h_l!&amp;T4"</f>
        <v>#VALUE!</v>
      </c>
      <c r="CX109" t="e">
        <f>'SurveyRpt_20150223 (1)'!X678+"h_l!&amp;T5"</f>
        <v>#VALUE!</v>
      </c>
      <c r="CY109" t="e">
        <f>'SurveyRpt_20150223 (1)'!Y678+"h_l!&amp;T6"</f>
        <v>#VALUE!</v>
      </c>
      <c r="CZ109" t="e">
        <f>'SurveyRpt_20150223 (1)'!Z678+"h_l!&amp;T7"</f>
        <v>#VALUE!</v>
      </c>
      <c r="DA109" t="e">
        <f>'SurveyRpt_20150223 (1)'!AA678+"h_l!&amp;T8"</f>
        <v>#VALUE!</v>
      </c>
      <c r="DB109" t="e">
        <f>'SurveyRpt_20150223 (1)'!AB678+"h_l!&amp;T9"</f>
        <v>#VALUE!</v>
      </c>
      <c r="DC109" t="e">
        <f>'SurveyRpt_20150223 (1)'!AC678+"h_l!&amp;T:"</f>
        <v>#VALUE!</v>
      </c>
      <c r="DD109" t="e">
        <f>'SurveyRpt_20150223 (1)'!AD678+"h_l!&amp;T;"</f>
        <v>#VALUE!</v>
      </c>
      <c r="DE109" t="e">
        <f>'SurveyRpt_20150223 (1)'!AE678+"h_l!&amp;T&lt;"</f>
        <v>#VALUE!</v>
      </c>
      <c r="DF109" t="e">
        <f>'SurveyRpt_20150223 (1)'!AF678+"h_l!&amp;T="</f>
        <v>#VALUE!</v>
      </c>
      <c r="DG109" t="e">
        <f>'SurveyRpt_20150223 (1)'!AG678+"h_l!&amp;T&gt;"</f>
        <v>#VALUE!</v>
      </c>
      <c r="DH109" t="e">
        <f>'SurveyRpt_20150223 (1)'!AH678+"h_l!&amp;T?"</f>
        <v>#VALUE!</v>
      </c>
      <c r="DI109" t="e">
        <f>'SurveyRpt_20150223 (1)'!AI678+"h_l!&amp;T@"</f>
        <v>#VALUE!</v>
      </c>
      <c r="DJ109" t="e">
        <f>'SurveyRpt_20150223 (1)'!AJ678+"h_l!&amp;TA"</f>
        <v>#VALUE!</v>
      </c>
      <c r="DK109" t="e">
        <f>'SurveyRpt_20150223 (1)'!AK678+"h_l!&amp;TB"</f>
        <v>#VALUE!</v>
      </c>
      <c r="DL109" t="e">
        <f>'SurveyRpt_20150223 (1)'!AL678+"h_l!&amp;TC"</f>
        <v>#VALUE!</v>
      </c>
      <c r="DM109" t="e">
        <f>'SurveyRpt_20150223 (1)'!AM678+"h_l!&amp;TD"</f>
        <v>#VALUE!</v>
      </c>
      <c r="DN109" t="e">
        <f>'SurveyRpt_20150223 (1)'!AN678+"h_l!&amp;TE"</f>
        <v>#VALUE!</v>
      </c>
      <c r="DO109" t="e">
        <f>'SurveyRpt_20150223 (1)'!A679+"h_l!&amp;TF"</f>
        <v>#VALUE!</v>
      </c>
      <c r="DP109" s="25" t="e">
        <f>'SurveyRpt_20150223 (1)'!B679+"h_l!&amp;TG"</f>
        <v>#VALUE!</v>
      </c>
      <c r="DQ109" t="e">
        <f>'SurveyRpt_20150223 (1)'!C679+"h_l!&amp;TH"</f>
        <v>#VALUE!</v>
      </c>
      <c r="DR109" s="25" t="e">
        <f>'SurveyRpt_20150223 (1)'!D679+"h_l!&amp;TI"</f>
        <v>#VALUE!</v>
      </c>
      <c r="DS109" t="e">
        <f>'SurveyRpt_20150223 (1)'!E679+"h_l!&amp;TJ"</f>
        <v>#VALUE!</v>
      </c>
      <c r="DT109" t="e">
        <f>'SurveyRpt_20150223 (1)'!F679+"h_l!&amp;TK"</f>
        <v>#VALUE!</v>
      </c>
      <c r="DU109" t="e">
        <f>'SurveyRpt_20150223 (1)'!G679+"h_l!&amp;TL"</f>
        <v>#VALUE!</v>
      </c>
      <c r="DV109" t="e">
        <f>'SurveyRpt_20150223 (1)'!H679+"h_l!&amp;TM"</f>
        <v>#VALUE!</v>
      </c>
      <c r="DW109" t="e">
        <f>'SurveyRpt_20150223 (1)'!I679+"h_l!&amp;TN"</f>
        <v>#VALUE!</v>
      </c>
      <c r="DX109" t="e">
        <f>'SurveyRpt_20150223 (1)'!J679+"h_l!&amp;TO"</f>
        <v>#VALUE!</v>
      </c>
      <c r="DY109" t="e">
        <f>'SurveyRpt_20150223 (1)'!K679+"h_l!&amp;TP"</f>
        <v>#VALUE!</v>
      </c>
      <c r="DZ109" t="e">
        <f>'SurveyRpt_20150223 (1)'!L679+"h_l!&amp;TQ"</f>
        <v>#VALUE!</v>
      </c>
      <c r="EA109" t="e">
        <f>'SurveyRpt_20150223 (1)'!M679+"h_l!&amp;TR"</f>
        <v>#VALUE!</v>
      </c>
      <c r="EB109" t="e">
        <f>'SurveyRpt_20150223 (1)'!N679+"h_l!&amp;TS"</f>
        <v>#VALUE!</v>
      </c>
      <c r="EC109" t="e">
        <f>'SurveyRpt_20150223 (1)'!O679+"h_l!&amp;TT"</f>
        <v>#VALUE!</v>
      </c>
      <c r="ED109" t="e">
        <f>'SurveyRpt_20150223 (1)'!P679+"h_l!&amp;TU"</f>
        <v>#VALUE!</v>
      </c>
      <c r="EE109" t="e">
        <f>'SurveyRpt_20150223 (1)'!Q679+"h_l!&amp;TV"</f>
        <v>#VALUE!</v>
      </c>
      <c r="EF109" t="e">
        <f>'SurveyRpt_20150223 (1)'!R679+"h_l!&amp;TW"</f>
        <v>#VALUE!</v>
      </c>
      <c r="EG109" t="e">
        <f>'SurveyRpt_20150223 (1)'!S679+"h_l!&amp;TX"</f>
        <v>#VALUE!</v>
      </c>
      <c r="EH109" t="e">
        <f>'SurveyRpt_20150223 (1)'!T679+"h_l!&amp;TY"</f>
        <v>#VALUE!</v>
      </c>
      <c r="EI109" t="e">
        <f>'SurveyRpt_20150223 (1)'!U679+"h_l!&amp;TZ"</f>
        <v>#VALUE!</v>
      </c>
      <c r="EJ109" t="e">
        <f>'SurveyRpt_20150223 (1)'!V679+"h_l!&amp;T["</f>
        <v>#VALUE!</v>
      </c>
      <c r="EK109" t="e">
        <f>'SurveyRpt_20150223 (1)'!W679+"h_l!&amp;T\"</f>
        <v>#VALUE!</v>
      </c>
      <c r="EL109" t="e">
        <f>'SurveyRpt_20150223 (1)'!X679+"h_l!&amp;T]"</f>
        <v>#VALUE!</v>
      </c>
      <c r="EM109" t="e">
        <f>'SurveyRpt_20150223 (1)'!Y679+"h_l!&amp;T^"</f>
        <v>#VALUE!</v>
      </c>
      <c r="EN109" t="e">
        <f>'SurveyRpt_20150223 (1)'!Z679+"h_l!&amp;T_"</f>
        <v>#VALUE!</v>
      </c>
      <c r="EO109" t="e">
        <f>'SurveyRpt_20150223 (1)'!AA679+"h_l!&amp;T`"</f>
        <v>#VALUE!</v>
      </c>
      <c r="EP109" t="e">
        <f>'SurveyRpt_20150223 (1)'!AB679+"h_l!&amp;Ta"</f>
        <v>#VALUE!</v>
      </c>
      <c r="EQ109" t="e">
        <f>'SurveyRpt_20150223 (1)'!AC679+"h_l!&amp;Tb"</f>
        <v>#VALUE!</v>
      </c>
      <c r="ER109" t="e">
        <f>'SurveyRpt_20150223 (1)'!AD679+"h_l!&amp;Tc"</f>
        <v>#VALUE!</v>
      </c>
      <c r="ES109" t="e">
        <f>'SurveyRpt_20150223 (1)'!AE679+"h_l!&amp;Td"</f>
        <v>#VALUE!</v>
      </c>
      <c r="ET109" t="e">
        <f>'SurveyRpt_20150223 (1)'!AF679+"h_l!&amp;Te"</f>
        <v>#VALUE!</v>
      </c>
      <c r="EU109" t="e">
        <f>'SurveyRpt_20150223 (1)'!AG679+"h_l!&amp;Tf"</f>
        <v>#VALUE!</v>
      </c>
      <c r="EV109" t="e">
        <f>'SurveyRpt_20150223 (1)'!AH679+"h_l!&amp;Tg"</f>
        <v>#VALUE!</v>
      </c>
      <c r="EW109" t="e">
        <f>'SurveyRpt_20150223 (1)'!AI679+"h_l!&amp;Th"</f>
        <v>#VALUE!</v>
      </c>
      <c r="EX109" t="e">
        <f>'SurveyRpt_20150223 (1)'!AJ679+"h_l!&amp;Ti"</f>
        <v>#VALUE!</v>
      </c>
      <c r="EY109" t="e">
        <f>'SurveyRpt_20150223 (1)'!AK679+"h_l!&amp;Tj"</f>
        <v>#VALUE!</v>
      </c>
      <c r="EZ109" t="e">
        <f>'SurveyRpt_20150223 (1)'!AL679+"h_l!&amp;Tk"</f>
        <v>#VALUE!</v>
      </c>
      <c r="FA109" t="e">
        <f>'SurveyRpt_20150223 (1)'!AM679+"h_l!&amp;Tl"</f>
        <v>#VALUE!</v>
      </c>
      <c r="FB109" t="e">
        <f>'SurveyRpt_20150223 (1)'!AN679+"h_l!&amp;Tm"</f>
        <v>#VALUE!</v>
      </c>
      <c r="FC109" t="e">
        <f>'SurveyRpt_20150223 (1)'!A680+"h_l!&amp;Tn"</f>
        <v>#VALUE!</v>
      </c>
      <c r="FD109" s="25" t="e">
        <f>'SurveyRpt_20150223 (1)'!B680+"h_l!&amp;To"</f>
        <v>#VALUE!</v>
      </c>
      <c r="FE109" t="e">
        <f>'SurveyRpt_20150223 (1)'!C680+"h_l!&amp;Tp"</f>
        <v>#VALUE!</v>
      </c>
      <c r="FF109" s="25" t="e">
        <f>'SurveyRpt_20150223 (1)'!D680+"h_l!&amp;Tq"</f>
        <v>#VALUE!</v>
      </c>
      <c r="FG109" t="e">
        <f>'SurveyRpt_20150223 (1)'!E680+"h_l!&amp;Tr"</f>
        <v>#VALUE!</v>
      </c>
      <c r="FH109" t="e">
        <f>'SurveyRpt_20150223 (1)'!F680+"h_l!&amp;Ts"</f>
        <v>#VALUE!</v>
      </c>
      <c r="FI109" t="e">
        <f>'SurveyRpt_20150223 (1)'!G680+"h_l!&amp;Tt"</f>
        <v>#VALUE!</v>
      </c>
      <c r="FJ109" t="e">
        <f>'SurveyRpt_20150223 (1)'!H680+"h_l!&amp;Tu"</f>
        <v>#VALUE!</v>
      </c>
      <c r="FK109" t="e">
        <f>'SurveyRpt_20150223 (1)'!I680+"h_l!&amp;Tv"</f>
        <v>#VALUE!</v>
      </c>
      <c r="FL109" t="e">
        <f>'SurveyRpt_20150223 (1)'!J680+"h_l!&amp;Tw"</f>
        <v>#VALUE!</v>
      </c>
      <c r="FM109" t="e">
        <f>'SurveyRpt_20150223 (1)'!K680+"h_l!&amp;Tx"</f>
        <v>#VALUE!</v>
      </c>
      <c r="FN109" t="e">
        <f>'SurveyRpt_20150223 (1)'!L680+"h_l!&amp;Ty"</f>
        <v>#VALUE!</v>
      </c>
      <c r="FO109" t="e">
        <f>'SurveyRpt_20150223 (1)'!M680+"h_l!&amp;Tz"</f>
        <v>#VALUE!</v>
      </c>
      <c r="FP109" t="e">
        <f>'SurveyRpt_20150223 (1)'!N680+"h_l!&amp;T{"</f>
        <v>#VALUE!</v>
      </c>
      <c r="FQ109" t="e">
        <f>'SurveyRpt_20150223 (1)'!O680+"h_l!&amp;T|"</f>
        <v>#VALUE!</v>
      </c>
      <c r="FR109" t="e">
        <f>'SurveyRpt_20150223 (1)'!P680+"h_l!&amp;T}"</f>
        <v>#VALUE!</v>
      </c>
      <c r="FS109" t="e">
        <f>'SurveyRpt_20150223 (1)'!Q680+"h_l!&amp;T~"</f>
        <v>#VALUE!</v>
      </c>
      <c r="FT109" t="e">
        <f>'SurveyRpt_20150223 (1)'!R680+"h_l!&amp;U#"</f>
        <v>#VALUE!</v>
      </c>
      <c r="FU109" t="e">
        <f>'SurveyRpt_20150223 (1)'!S680+"h_l!&amp;U$"</f>
        <v>#VALUE!</v>
      </c>
      <c r="FV109" t="e">
        <f>'SurveyRpt_20150223 (1)'!T680+"h_l!&amp;U%"</f>
        <v>#VALUE!</v>
      </c>
      <c r="FW109" t="e">
        <f>'SurveyRpt_20150223 (1)'!U680+"h_l!&amp;U&amp;"</f>
        <v>#VALUE!</v>
      </c>
      <c r="FX109" t="e">
        <f>'SurveyRpt_20150223 (1)'!V680+"h_l!&amp;U'"</f>
        <v>#VALUE!</v>
      </c>
      <c r="FY109" t="e">
        <f>'SurveyRpt_20150223 (1)'!W680+"h_l!&amp;U("</f>
        <v>#VALUE!</v>
      </c>
      <c r="FZ109" t="e">
        <f>'SurveyRpt_20150223 (1)'!X680+"h_l!&amp;U)"</f>
        <v>#VALUE!</v>
      </c>
      <c r="GA109" t="e">
        <f>'SurveyRpt_20150223 (1)'!Y680+"h_l!&amp;U."</f>
        <v>#VALUE!</v>
      </c>
      <c r="GB109" t="e">
        <f>'SurveyRpt_20150223 (1)'!Z680+"h_l!&amp;U/"</f>
        <v>#VALUE!</v>
      </c>
      <c r="GC109" t="e">
        <f>'SurveyRpt_20150223 (1)'!AA680+"h_l!&amp;U0"</f>
        <v>#VALUE!</v>
      </c>
      <c r="GD109" t="e">
        <f>'SurveyRpt_20150223 (1)'!AB680+"h_l!&amp;U1"</f>
        <v>#VALUE!</v>
      </c>
      <c r="GE109" t="e">
        <f>'SurveyRpt_20150223 (1)'!AC680+"h_l!&amp;U2"</f>
        <v>#VALUE!</v>
      </c>
      <c r="GF109" t="e">
        <f>'SurveyRpt_20150223 (1)'!AD680+"h_l!&amp;U3"</f>
        <v>#VALUE!</v>
      </c>
      <c r="GG109" t="e">
        <f>'SurveyRpt_20150223 (1)'!AE680+"h_l!&amp;U4"</f>
        <v>#VALUE!</v>
      </c>
      <c r="GH109" t="e">
        <f>'SurveyRpt_20150223 (1)'!AF680+"h_l!&amp;U5"</f>
        <v>#VALUE!</v>
      </c>
      <c r="GI109" t="e">
        <f>'SurveyRpt_20150223 (1)'!AG680+"h_l!&amp;U6"</f>
        <v>#VALUE!</v>
      </c>
      <c r="GJ109" t="e">
        <f>'SurveyRpt_20150223 (1)'!AH680+"h_l!&amp;U7"</f>
        <v>#VALUE!</v>
      </c>
      <c r="GK109" t="e">
        <f>'SurveyRpt_20150223 (1)'!AI680+"h_l!&amp;U8"</f>
        <v>#VALUE!</v>
      </c>
      <c r="GL109" t="e">
        <f>'SurveyRpt_20150223 (1)'!AJ680+"h_l!&amp;U9"</f>
        <v>#VALUE!</v>
      </c>
      <c r="GM109" t="e">
        <f>'SurveyRpt_20150223 (1)'!AK680+"h_l!&amp;U:"</f>
        <v>#VALUE!</v>
      </c>
      <c r="GN109" t="e">
        <f>'SurveyRpt_20150223 (1)'!AL680+"h_l!&amp;U;"</f>
        <v>#VALUE!</v>
      </c>
      <c r="GO109" t="e">
        <f>'SurveyRpt_20150223 (1)'!AM680+"h_l!&amp;U&lt;"</f>
        <v>#VALUE!</v>
      </c>
      <c r="GP109" t="e">
        <f>'SurveyRpt_20150223 (1)'!AN680+"h_l!&amp;U="</f>
        <v>#VALUE!</v>
      </c>
      <c r="GQ109" t="e">
        <f>'SurveyRpt_20150223 (1)'!A681+"h_l!&amp;U&gt;"</f>
        <v>#VALUE!</v>
      </c>
      <c r="GR109" s="25" t="e">
        <f>'SurveyRpt_20150223 (1)'!B681+"h_l!&amp;U?"</f>
        <v>#VALUE!</v>
      </c>
      <c r="GS109" t="e">
        <f>'SurveyRpt_20150223 (1)'!C681+"h_l!&amp;U@"</f>
        <v>#VALUE!</v>
      </c>
      <c r="GT109" s="25" t="e">
        <f>'SurveyRpt_20150223 (1)'!D681+"h_l!&amp;UA"</f>
        <v>#VALUE!</v>
      </c>
      <c r="GU109" t="e">
        <f>'SurveyRpt_20150223 (1)'!E681+"h_l!&amp;UB"</f>
        <v>#VALUE!</v>
      </c>
      <c r="GV109" t="e">
        <f>'SurveyRpt_20150223 (1)'!F681+"h_l!&amp;UC"</f>
        <v>#VALUE!</v>
      </c>
      <c r="GW109" t="e">
        <f>'SurveyRpt_20150223 (1)'!G681+"h_l!&amp;UD"</f>
        <v>#VALUE!</v>
      </c>
      <c r="GX109" t="e">
        <f>'SurveyRpt_20150223 (1)'!H681+"h_l!&amp;UE"</f>
        <v>#VALUE!</v>
      </c>
      <c r="GY109" t="e">
        <f>'SurveyRpt_20150223 (1)'!I681+"h_l!&amp;UF"</f>
        <v>#VALUE!</v>
      </c>
      <c r="GZ109" t="e">
        <f>'SurveyRpt_20150223 (1)'!J681+"h_l!&amp;UG"</f>
        <v>#VALUE!</v>
      </c>
      <c r="HA109" t="e">
        <f>'SurveyRpt_20150223 (1)'!K681+"h_l!&amp;UH"</f>
        <v>#VALUE!</v>
      </c>
      <c r="HB109" t="e">
        <f>'SurveyRpt_20150223 (1)'!L681+"h_l!&amp;UI"</f>
        <v>#VALUE!</v>
      </c>
      <c r="HC109" t="e">
        <f>'SurveyRpt_20150223 (1)'!M681+"h_l!&amp;UJ"</f>
        <v>#VALUE!</v>
      </c>
      <c r="HD109" t="e">
        <f>'SurveyRpt_20150223 (1)'!N681+"h_l!&amp;UK"</f>
        <v>#VALUE!</v>
      </c>
      <c r="HE109" t="e">
        <f>'SurveyRpt_20150223 (1)'!O681+"h_l!&amp;UL"</f>
        <v>#VALUE!</v>
      </c>
      <c r="HF109" t="e">
        <f>'SurveyRpt_20150223 (1)'!P681+"h_l!&amp;UM"</f>
        <v>#VALUE!</v>
      </c>
      <c r="HG109" t="e">
        <f>'SurveyRpt_20150223 (1)'!Q681+"h_l!&amp;UN"</f>
        <v>#VALUE!</v>
      </c>
      <c r="HH109" t="e">
        <f>'SurveyRpt_20150223 (1)'!R681+"h_l!&amp;UO"</f>
        <v>#VALUE!</v>
      </c>
      <c r="HI109" t="e">
        <f>'SurveyRpt_20150223 (1)'!S681+"h_l!&amp;UP"</f>
        <v>#VALUE!</v>
      </c>
      <c r="HJ109" t="e">
        <f>'SurveyRpt_20150223 (1)'!T681+"h_l!&amp;UQ"</f>
        <v>#VALUE!</v>
      </c>
      <c r="HK109" t="e">
        <f>'SurveyRpt_20150223 (1)'!U681+"h_l!&amp;UR"</f>
        <v>#VALUE!</v>
      </c>
      <c r="HL109" t="e">
        <f>'SurveyRpt_20150223 (1)'!V681+"h_l!&amp;US"</f>
        <v>#VALUE!</v>
      </c>
      <c r="HM109" t="e">
        <f>'SurveyRpt_20150223 (1)'!W681+"h_l!&amp;UT"</f>
        <v>#VALUE!</v>
      </c>
      <c r="HN109" t="e">
        <f>'SurveyRpt_20150223 (1)'!X681+"h_l!&amp;UU"</f>
        <v>#VALUE!</v>
      </c>
      <c r="HO109" t="e">
        <f>'SurveyRpt_20150223 (1)'!Y681+"h_l!&amp;UV"</f>
        <v>#VALUE!</v>
      </c>
      <c r="HP109" t="e">
        <f>'SurveyRpt_20150223 (1)'!Z681+"h_l!&amp;UW"</f>
        <v>#VALUE!</v>
      </c>
      <c r="HQ109" t="e">
        <f>'SurveyRpt_20150223 (1)'!AA681+"h_l!&amp;UX"</f>
        <v>#VALUE!</v>
      </c>
      <c r="HR109" t="e">
        <f>'SurveyRpt_20150223 (1)'!AB681+"h_l!&amp;UY"</f>
        <v>#VALUE!</v>
      </c>
      <c r="HS109" t="e">
        <f>'SurveyRpt_20150223 (1)'!AC681+"h_l!&amp;UZ"</f>
        <v>#VALUE!</v>
      </c>
      <c r="HT109" t="e">
        <f>'SurveyRpt_20150223 (1)'!AD681+"h_l!&amp;U["</f>
        <v>#VALUE!</v>
      </c>
      <c r="HU109" t="e">
        <f>'SurveyRpt_20150223 (1)'!AE681+"h_l!&amp;U\"</f>
        <v>#VALUE!</v>
      </c>
      <c r="HV109" t="e">
        <f>'SurveyRpt_20150223 (1)'!AF681+"h_l!&amp;U]"</f>
        <v>#VALUE!</v>
      </c>
      <c r="HW109" t="e">
        <f>'SurveyRpt_20150223 (1)'!AG681+"h_l!&amp;U^"</f>
        <v>#VALUE!</v>
      </c>
      <c r="HX109" t="e">
        <f>'SurveyRpt_20150223 (1)'!AH681+"h_l!&amp;U_"</f>
        <v>#VALUE!</v>
      </c>
      <c r="HY109" t="e">
        <f>'SurveyRpt_20150223 (1)'!AI681+"h_l!&amp;U`"</f>
        <v>#VALUE!</v>
      </c>
      <c r="HZ109" t="e">
        <f>'SurveyRpt_20150223 (1)'!AJ681+"h_l!&amp;Ua"</f>
        <v>#VALUE!</v>
      </c>
      <c r="IA109" t="e">
        <f>'SurveyRpt_20150223 (1)'!AK681+"h_l!&amp;Ub"</f>
        <v>#VALUE!</v>
      </c>
      <c r="IB109" t="e">
        <f>'SurveyRpt_20150223 (1)'!AL681+"h_l!&amp;Uc"</f>
        <v>#VALUE!</v>
      </c>
      <c r="IC109" t="e">
        <f>'SurveyRpt_20150223 (1)'!AM681+"h_l!&amp;Ud"</f>
        <v>#VALUE!</v>
      </c>
      <c r="ID109" t="e">
        <f>'SurveyRpt_20150223 (1)'!AN681+"h_l!&amp;Ue"</f>
        <v>#VALUE!</v>
      </c>
      <c r="IE109" t="e">
        <f>'SurveyRpt_20150223 (1)'!A682+"h_l!&amp;Uf"</f>
        <v>#VALUE!</v>
      </c>
      <c r="IF109" s="25" t="e">
        <f>'SurveyRpt_20150223 (1)'!B682+"h_l!&amp;Ug"</f>
        <v>#VALUE!</v>
      </c>
      <c r="IG109" t="e">
        <f>'SurveyRpt_20150223 (1)'!C682+"h_l!&amp;Uh"</f>
        <v>#VALUE!</v>
      </c>
      <c r="IH109" s="25" t="e">
        <f>'SurveyRpt_20150223 (1)'!D682+"h_l!&amp;Ui"</f>
        <v>#VALUE!</v>
      </c>
      <c r="II109" t="e">
        <f>'SurveyRpt_20150223 (1)'!E682+"h_l!&amp;Uj"</f>
        <v>#VALUE!</v>
      </c>
      <c r="IJ109" t="e">
        <f>'SurveyRpt_20150223 (1)'!F682+"h_l!&amp;Uk"</f>
        <v>#VALUE!</v>
      </c>
      <c r="IK109" t="e">
        <f>'SurveyRpt_20150223 (1)'!G682+"h_l!&amp;Ul"</f>
        <v>#VALUE!</v>
      </c>
      <c r="IL109" t="e">
        <f>'SurveyRpt_20150223 (1)'!H682+"h_l!&amp;Um"</f>
        <v>#VALUE!</v>
      </c>
      <c r="IM109" t="e">
        <f>'SurveyRpt_20150223 (1)'!I682+"h_l!&amp;Un"</f>
        <v>#VALUE!</v>
      </c>
      <c r="IN109" t="e">
        <f>'SurveyRpt_20150223 (1)'!J682+"h_l!&amp;Uo"</f>
        <v>#VALUE!</v>
      </c>
      <c r="IO109" t="e">
        <f>'SurveyRpt_20150223 (1)'!K682+"h_l!&amp;Up"</f>
        <v>#VALUE!</v>
      </c>
      <c r="IP109" t="e">
        <f>'SurveyRpt_20150223 (1)'!L682+"h_l!&amp;Uq"</f>
        <v>#VALUE!</v>
      </c>
      <c r="IQ109" t="e">
        <f>'SurveyRpt_20150223 (1)'!M682+"h_l!&amp;Ur"</f>
        <v>#VALUE!</v>
      </c>
      <c r="IR109" t="e">
        <f>'SurveyRpt_20150223 (1)'!N682+"h_l!&amp;Us"</f>
        <v>#VALUE!</v>
      </c>
      <c r="IS109" t="e">
        <f>'SurveyRpt_20150223 (1)'!O682+"h_l!&amp;Ut"</f>
        <v>#VALUE!</v>
      </c>
      <c r="IT109" t="e">
        <f>'SurveyRpt_20150223 (1)'!P682+"h_l!&amp;Uu"</f>
        <v>#VALUE!</v>
      </c>
      <c r="IU109" t="e">
        <f>'SurveyRpt_20150223 (1)'!Q682+"h_l!&amp;Uv"</f>
        <v>#VALUE!</v>
      </c>
      <c r="IV109" t="e">
        <f>'SurveyRpt_20150223 (1)'!R682+"h_l!&amp;Uw"</f>
        <v>#VALUE!</v>
      </c>
    </row>
    <row r="110" spans="6:256" x14ac:dyDescent="0.25">
      <c r="F110" t="e">
        <f>'SurveyRpt_20150223 (1)'!S682+"h_l!&amp;Ux"</f>
        <v>#VALUE!</v>
      </c>
      <c r="G110" t="e">
        <f>'SurveyRpt_20150223 (1)'!T682+"h_l!&amp;Uy"</f>
        <v>#VALUE!</v>
      </c>
      <c r="H110" t="e">
        <f>'SurveyRpt_20150223 (1)'!U682+"h_l!&amp;Uz"</f>
        <v>#VALUE!</v>
      </c>
      <c r="I110" t="e">
        <f>'SurveyRpt_20150223 (1)'!V682+"h_l!&amp;U{"</f>
        <v>#VALUE!</v>
      </c>
      <c r="J110" t="e">
        <f>'SurveyRpt_20150223 (1)'!W682+"h_l!&amp;U|"</f>
        <v>#VALUE!</v>
      </c>
      <c r="K110" t="e">
        <f>'SurveyRpt_20150223 (1)'!X682+"h_l!&amp;U}"</f>
        <v>#VALUE!</v>
      </c>
      <c r="L110" t="e">
        <f>'SurveyRpt_20150223 (1)'!Y682+"h_l!&amp;U~"</f>
        <v>#VALUE!</v>
      </c>
      <c r="M110" t="e">
        <f>'SurveyRpt_20150223 (1)'!Z682+"h_l!&amp;V#"</f>
        <v>#VALUE!</v>
      </c>
      <c r="N110" t="e">
        <f>'SurveyRpt_20150223 (1)'!AA682+"h_l!&amp;V$"</f>
        <v>#VALUE!</v>
      </c>
      <c r="O110" t="e">
        <f>'SurveyRpt_20150223 (1)'!AB682+"h_l!&amp;V%"</f>
        <v>#VALUE!</v>
      </c>
      <c r="P110" t="e">
        <f>'SurveyRpt_20150223 (1)'!AC682+"h_l!&amp;V&amp;"</f>
        <v>#VALUE!</v>
      </c>
      <c r="Q110" t="e">
        <f>'SurveyRpt_20150223 (1)'!AD682+"h_l!&amp;V'"</f>
        <v>#VALUE!</v>
      </c>
      <c r="R110" t="e">
        <f>'SurveyRpt_20150223 (1)'!AE682+"h_l!&amp;V("</f>
        <v>#VALUE!</v>
      </c>
      <c r="S110" t="e">
        <f>'SurveyRpt_20150223 (1)'!AF682+"h_l!&amp;V)"</f>
        <v>#VALUE!</v>
      </c>
      <c r="T110" t="e">
        <f>'SurveyRpt_20150223 (1)'!AG682+"h_l!&amp;V."</f>
        <v>#VALUE!</v>
      </c>
      <c r="U110" t="e">
        <f>'SurveyRpt_20150223 (1)'!AH682+"h_l!&amp;V/"</f>
        <v>#VALUE!</v>
      </c>
      <c r="V110" t="e">
        <f>'SurveyRpt_20150223 (1)'!AI682+"h_l!&amp;V0"</f>
        <v>#VALUE!</v>
      </c>
      <c r="W110" t="e">
        <f>'SurveyRpt_20150223 (1)'!AJ682+"h_l!&amp;V1"</f>
        <v>#VALUE!</v>
      </c>
      <c r="X110" t="e">
        <f>'SurveyRpt_20150223 (1)'!AK682+"h_l!&amp;V2"</f>
        <v>#VALUE!</v>
      </c>
      <c r="Y110" t="e">
        <f>'SurveyRpt_20150223 (1)'!AL682+"h_l!&amp;V3"</f>
        <v>#VALUE!</v>
      </c>
      <c r="Z110" t="e">
        <f>'SurveyRpt_20150223 (1)'!AM682+"h_l!&amp;V4"</f>
        <v>#VALUE!</v>
      </c>
      <c r="AA110" t="e">
        <f>'SurveyRpt_20150223 (1)'!AN682+"h_l!&amp;V5"</f>
        <v>#VALUE!</v>
      </c>
      <c r="AB110" t="e">
        <f>'SurveyRpt_20150223 (1)'!A683+"h_l!&amp;V6"</f>
        <v>#VALUE!</v>
      </c>
      <c r="AC110" s="25" t="e">
        <f>'SurveyRpt_20150223 (1)'!B683+"h_l!&amp;V7"</f>
        <v>#VALUE!</v>
      </c>
      <c r="AD110" t="e">
        <f>'SurveyRpt_20150223 (1)'!C683+"h_l!&amp;V8"</f>
        <v>#VALUE!</v>
      </c>
      <c r="AE110" s="25" t="e">
        <f>'SurveyRpt_20150223 (1)'!D683+"h_l!&amp;V9"</f>
        <v>#VALUE!</v>
      </c>
      <c r="AF110" t="e">
        <f>'SurveyRpt_20150223 (1)'!E683+"h_l!&amp;V:"</f>
        <v>#VALUE!</v>
      </c>
      <c r="AG110" t="e">
        <f>'SurveyRpt_20150223 (1)'!F683+"h_l!&amp;V;"</f>
        <v>#VALUE!</v>
      </c>
      <c r="AH110" t="e">
        <f>'SurveyRpt_20150223 (1)'!G683+"h_l!&amp;V&lt;"</f>
        <v>#VALUE!</v>
      </c>
      <c r="AI110" t="e">
        <f>'SurveyRpt_20150223 (1)'!H683+"h_l!&amp;V="</f>
        <v>#VALUE!</v>
      </c>
      <c r="AJ110" t="e">
        <f>'SurveyRpt_20150223 (1)'!I683+"h_l!&amp;V&gt;"</f>
        <v>#VALUE!</v>
      </c>
      <c r="AK110" t="e">
        <f>'SurveyRpt_20150223 (1)'!J683+"h_l!&amp;V?"</f>
        <v>#VALUE!</v>
      </c>
      <c r="AL110" t="e">
        <f>'SurveyRpt_20150223 (1)'!K683+"h_l!&amp;V@"</f>
        <v>#VALUE!</v>
      </c>
      <c r="AM110" t="e">
        <f>'SurveyRpt_20150223 (1)'!L683+"h_l!&amp;VA"</f>
        <v>#VALUE!</v>
      </c>
      <c r="AN110" t="e">
        <f>'SurveyRpt_20150223 (1)'!M683+"h_l!&amp;VB"</f>
        <v>#VALUE!</v>
      </c>
      <c r="AO110" t="e">
        <f>'SurveyRpt_20150223 (1)'!N683+"h_l!&amp;VC"</f>
        <v>#VALUE!</v>
      </c>
      <c r="AP110" t="e">
        <f>'SurveyRpt_20150223 (1)'!O683+"h_l!&amp;VD"</f>
        <v>#VALUE!</v>
      </c>
      <c r="AQ110" t="e">
        <f>'SurveyRpt_20150223 (1)'!P683+"h_l!&amp;VE"</f>
        <v>#VALUE!</v>
      </c>
      <c r="AR110" t="e">
        <f>'SurveyRpt_20150223 (1)'!Q683+"h_l!&amp;VF"</f>
        <v>#VALUE!</v>
      </c>
      <c r="AS110" t="e">
        <f>'SurveyRpt_20150223 (1)'!R683+"h_l!&amp;VG"</f>
        <v>#VALUE!</v>
      </c>
      <c r="AT110" t="e">
        <f>'SurveyRpt_20150223 (1)'!S683+"h_l!&amp;VH"</f>
        <v>#VALUE!</v>
      </c>
      <c r="AU110" t="e">
        <f>'SurveyRpt_20150223 (1)'!T683+"h_l!&amp;VI"</f>
        <v>#VALUE!</v>
      </c>
      <c r="AV110" t="e">
        <f>'SurveyRpt_20150223 (1)'!U683+"h_l!&amp;VJ"</f>
        <v>#VALUE!</v>
      </c>
      <c r="AW110" t="e">
        <f>'SurveyRpt_20150223 (1)'!V683+"h_l!&amp;VK"</f>
        <v>#VALUE!</v>
      </c>
      <c r="AX110" t="e">
        <f>'SurveyRpt_20150223 (1)'!W683+"h_l!&amp;VL"</f>
        <v>#VALUE!</v>
      </c>
      <c r="AY110" t="e">
        <f>'SurveyRpt_20150223 (1)'!X683+"h_l!&amp;VM"</f>
        <v>#VALUE!</v>
      </c>
      <c r="AZ110" t="e">
        <f>'SurveyRpt_20150223 (1)'!Y683+"h_l!&amp;VN"</f>
        <v>#VALUE!</v>
      </c>
      <c r="BA110" t="e">
        <f>'SurveyRpt_20150223 (1)'!Z683+"h_l!&amp;VO"</f>
        <v>#VALUE!</v>
      </c>
      <c r="BB110" t="e">
        <f>'SurveyRpt_20150223 (1)'!AA683+"h_l!&amp;VP"</f>
        <v>#VALUE!</v>
      </c>
      <c r="BC110" t="e">
        <f>'SurveyRpt_20150223 (1)'!AB683+"h_l!&amp;VQ"</f>
        <v>#VALUE!</v>
      </c>
      <c r="BD110" t="e">
        <f>'SurveyRpt_20150223 (1)'!AC683+"h_l!&amp;VR"</f>
        <v>#VALUE!</v>
      </c>
      <c r="BE110" t="e">
        <f>'SurveyRpt_20150223 (1)'!AD683+"h_l!&amp;VS"</f>
        <v>#VALUE!</v>
      </c>
      <c r="BF110" t="e">
        <f>'SurveyRpt_20150223 (1)'!AE683+"h_l!&amp;VT"</f>
        <v>#VALUE!</v>
      </c>
      <c r="BG110" t="e">
        <f>'SurveyRpt_20150223 (1)'!AF683+"h_l!&amp;VU"</f>
        <v>#VALUE!</v>
      </c>
      <c r="BH110" t="e">
        <f>'SurveyRpt_20150223 (1)'!AG683+"h_l!&amp;VV"</f>
        <v>#VALUE!</v>
      </c>
      <c r="BI110" t="e">
        <f>'SurveyRpt_20150223 (1)'!AH683+"h_l!&amp;VW"</f>
        <v>#VALUE!</v>
      </c>
      <c r="BJ110" t="e">
        <f>'SurveyRpt_20150223 (1)'!AI683+"h_l!&amp;VX"</f>
        <v>#VALUE!</v>
      </c>
      <c r="BK110" t="e">
        <f>'SurveyRpt_20150223 (1)'!AJ683+"h_l!&amp;VY"</f>
        <v>#VALUE!</v>
      </c>
      <c r="BL110" t="e">
        <f>'SurveyRpt_20150223 (1)'!AK683+"h_l!&amp;VZ"</f>
        <v>#VALUE!</v>
      </c>
      <c r="BM110" t="e">
        <f>'SurveyRpt_20150223 (1)'!AL683+"h_l!&amp;V["</f>
        <v>#VALUE!</v>
      </c>
      <c r="BN110" t="e">
        <f>'SurveyRpt_20150223 (1)'!AM683+"h_l!&amp;V\"</f>
        <v>#VALUE!</v>
      </c>
      <c r="BO110" t="e">
        <f>'SurveyRpt_20150223 (1)'!AN683+"h_l!&amp;V]"</f>
        <v>#VALUE!</v>
      </c>
      <c r="BP110" t="e">
        <f>'SurveyRpt_20150223 (1)'!A684+"h_l!&amp;V^"</f>
        <v>#VALUE!</v>
      </c>
      <c r="BQ110" s="25" t="e">
        <f>'SurveyRpt_20150223 (1)'!B684+"h_l!&amp;V_"</f>
        <v>#VALUE!</v>
      </c>
      <c r="BR110" t="e">
        <f>'SurveyRpt_20150223 (1)'!C684+"h_l!&amp;V`"</f>
        <v>#VALUE!</v>
      </c>
      <c r="BS110" s="25" t="e">
        <f>'SurveyRpt_20150223 (1)'!D684+"h_l!&amp;Va"</f>
        <v>#VALUE!</v>
      </c>
      <c r="BT110" t="e">
        <f>'SurveyRpt_20150223 (1)'!E684+"h_l!&amp;Vb"</f>
        <v>#VALUE!</v>
      </c>
      <c r="BU110" t="e">
        <f>'SurveyRpt_20150223 (1)'!F684+"h_l!&amp;Vc"</f>
        <v>#VALUE!</v>
      </c>
      <c r="BV110" t="e">
        <f>'SurveyRpt_20150223 (1)'!G684+"h_l!&amp;Vd"</f>
        <v>#VALUE!</v>
      </c>
      <c r="BW110" t="e">
        <f>'SurveyRpt_20150223 (1)'!H684+"h_l!&amp;Ve"</f>
        <v>#VALUE!</v>
      </c>
      <c r="BX110" t="e">
        <f>'SurveyRpt_20150223 (1)'!I684+"h_l!&amp;Vf"</f>
        <v>#VALUE!</v>
      </c>
      <c r="BY110" t="e">
        <f>'SurveyRpt_20150223 (1)'!J684+"h_l!&amp;Vg"</f>
        <v>#VALUE!</v>
      </c>
      <c r="BZ110" t="e">
        <f>'SurveyRpt_20150223 (1)'!K684+"h_l!&amp;Vh"</f>
        <v>#VALUE!</v>
      </c>
      <c r="CA110" t="e">
        <f>'SurveyRpt_20150223 (1)'!L684+"h_l!&amp;Vi"</f>
        <v>#VALUE!</v>
      </c>
      <c r="CB110" t="e">
        <f>'SurveyRpt_20150223 (1)'!M684+"h_l!&amp;Vj"</f>
        <v>#VALUE!</v>
      </c>
      <c r="CC110" t="e">
        <f>'SurveyRpt_20150223 (1)'!N684+"h_l!&amp;Vk"</f>
        <v>#VALUE!</v>
      </c>
      <c r="CD110" t="e">
        <f>'SurveyRpt_20150223 (1)'!O684+"h_l!&amp;Vl"</f>
        <v>#VALUE!</v>
      </c>
      <c r="CE110" t="e">
        <f>'SurveyRpt_20150223 (1)'!P684+"h_l!&amp;Vm"</f>
        <v>#VALUE!</v>
      </c>
      <c r="CF110" t="e">
        <f>'SurveyRpt_20150223 (1)'!Q684+"h_l!&amp;Vn"</f>
        <v>#VALUE!</v>
      </c>
      <c r="CG110" t="e">
        <f>'SurveyRpt_20150223 (1)'!R684+"h_l!&amp;Vo"</f>
        <v>#VALUE!</v>
      </c>
      <c r="CH110" t="e">
        <f>'SurveyRpt_20150223 (1)'!S684+"h_l!&amp;Vp"</f>
        <v>#VALUE!</v>
      </c>
      <c r="CI110" t="e">
        <f>'SurveyRpt_20150223 (1)'!T684+"h_l!&amp;Vq"</f>
        <v>#VALUE!</v>
      </c>
      <c r="CJ110" t="e">
        <f>'SurveyRpt_20150223 (1)'!U684+"h_l!&amp;Vr"</f>
        <v>#VALUE!</v>
      </c>
      <c r="CK110" t="e">
        <f>'SurveyRpt_20150223 (1)'!V684+"h_l!&amp;Vs"</f>
        <v>#VALUE!</v>
      </c>
      <c r="CL110" t="e">
        <f>'SurveyRpt_20150223 (1)'!W684+"h_l!&amp;Vt"</f>
        <v>#VALUE!</v>
      </c>
      <c r="CM110" t="e">
        <f>'SurveyRpt_20150223 (1)'!X684+"h_l!&amp;Vu"</f>
        <v>#VALUE!</v>
      </c>
      <c r="CN110" t="e">
        <f>'SurveyRpt_20150223 (1)'!Y684+"h_l!&amp;Vv"</f>
        <v>#VALUE!</v>
      </c>
      <c r="CO110" t="e">
        <f>'SurveyRpt_20150223 (1)'!Z684+"h_l!&amp;Vw"</f>
        <v>#VALUE!</v>
      </c>
      <c r="CP110" t="e">
        <f>'SurveyRpt_20150223 (1)'!AA684+"h_l!&amp;Vx"</f>
        <v>#VALUE!</v>
      </c>
      <c r="CQ110" t="e">
        <f>'SurveyRpt_20150223 (1)'!AB684+"h_l!&amp;Vy"</f>
        <v>#VALUE!</v>
      </c>
      <c r="CR110" t="e">
        <f>'SurveyRpt_20150223 (1)'!AC684+"h_l!&amp;Vz"</f>
        <v>#VALUE!</v>
      </c>
      <c r="CS110" t="e">
        <f>'SurveyRpt_20150223 (1)'!AD684+"h_l!&amp;V{"</f>
        <v>#VALUE!</v>
      </c>
      <c r="CT110" t="e">
        <f>'SurveyRpt_20150223 (1)'!AE684+"h_l!&amp;V|"</f>
        <v>#VALUE!</v>
      </c>
      <c r="CU110" t="e">
        <f>'SurveyRpt_20150223 (1)'!AF684+"h_l!&amp;V}"</f>
        <v>#VALUE!</v>
      </c>
      <c r="CV110" t="e">
        <f>'SurveyRpt_20150223 (1)'!AG684+"h_l!&amp;V~"</f>
        <v>#VALUE!</v>
      </c>
      <c r="CW110" t="e">
        <f>'SurveyRpt_20150223 (1)'!AH684+"h_l!&amp;W#"</f>
        <v>#VALUE!</v>
      </c>
      <c r="CX110" t="e">
        <f>'SurveyRpt_20150223 (1)'!AI684+"h_l!&amp;W$"</f>
        <v>#VALUE!</v>
      </c>
      <c r="CY110" t="e">
        <f>'SurveyRpt_20150223 (1)'!AJ684+"h_l!&amp;W%"</f>
        <v>#VALUE!</v>
      </c>
      <c r="CZ110" t="e">
        <f>'SurveyRpt_20150223 (1)'!AK684+"h_l!&amp;W&amp;"</f>
        <v>#VALUE!</v>
      </c>
      <c r="DA110" t="e">
        <f>'SurveyRpt_20150223 (1)'!AL684+"h_l!&amp;W'"</f>
        <v>#VALUE!</v>
      </c>
      <c r="DB110" t="e">
        <f>'SurveyRpt_20150223 (1)'!AM684+"h_l!&amp;W("</f>
        <v>#VALUE!</v>
      </c>
      <c r="DC110" t="e">
        <f>'SurveyRpt_20150223 (1)'!AN684+"h_l!&amp;W)"</f>
        <v>#VALUE!</v>
      </c>
      <c r="DD110" t="e">
        <f>'SurveyRpt_20150223 (1)'!A685+"h_l!&amp;W."</f>
        <v>#VALUE!</v>
      </c>
      <c r="DE110" s="25" t="e">
        <f>'SurveyRpt_20150223 (1)'!B685+"h_l!&amp;W/"</f>
        <v>#VALUE!</v>
      </c>
      <c r="DF110" t="e">
        <f>'SurveyRpt_20150223 (1)'!C685+"h_l!&amp;W0"</f>
        <v>#VALUE!</v>
      </c>
      <c r="DG110" s="25" t="e">
        <f>'SurveyRpt_20150223 (1)'!D685+"h_l!&amp;W1"</f>
        <v>#VALUE!</v>
      </c>
      <c r="DH110" t="e">
        <f>'SurveyRpt_20150223 (1)'!E685+"h_l!&amp;W2"</f>
        <v>#VALUE!</v>
      </c>
      <c r="DI110" t="e">
        <f>'SurveyRpt_20150223 (1)'!F685+"h_l!&amp;W3"</f>
        <v>#VALUE!</v>
      </c>
      <c r="DJ110" t="e">
        <f>'SurveyRpt_20150223 (1)'!G685+"h_l!&amp;W4"</f>
        <v>#VALUE!</v>
      </c>
      <c r="DK110" t="e">
        <f>'SurveyRpt_20150223 (1)'!H685+"h_l!&amp;W5"</f>
        <v>#VALUE!</v>
      </c>
      <c r="DL110" t="e">
        <f>'SurveyRpt_20150223 (1)'!I685+"h_l!&amp;W6"</f>
        <v>#VALUE!</v>
      </c>
      <c r="DM110" t="e">
        <f>'SurveyRpt_20150223 (1)'!J685+"h_l!&amp;W7"</f>
        <v>#VALUE!</v>
      </c>
      <c r="DN110" t="e">
        <f>'SurveyRpt_20150223 (1)'!K685+"h_l!&amp;W8"</f>
        <v>#VALUE!</v>
      </c>
      <c r="DO110" t="e">
        <f>'SurveyRpt_20150223 (1)'!L685+"h_l!&amp;W9"</f>
        <v>#VALUE!</v>
      </c>
      <c r="DP110" t="e">
        <f>'SurveyRpt_20150223 (1)'!M685+"h_l!&amp;W:"</f>
        <v>#VALUE!</v>
      </c>
      <c r="DQ110" t="e">
        <f>'SurveyRpt_20150223 (1)'!N685+"h_l!&amp;W;"</f>
        <v>#VALUE!</v>
      </c>
      <c r="DR110" t="e">
        <f>'SurveyRpt_20150223 (1)'!O685+"h_l!&amp;W&lt;"</f>
        <v>#VALUE!</v>
      </c>
      <c r="DS110" t="e">
        <f>'SurveyRpt_20150223 (1)'!P685+"h_l!&amp;W="</f>
        <v>#VALUE!</v>
      </c>
      <c r="DT110" t="e">
        <f>'SurveyRpt_20150223 (1)'!Q685+"h_l!&amp;W&gt;"</f>
        <v>#VALUE!</v>
      </c>
      <c r="DU110" t="e">
        <f>'SurveyRpt_20150223 (1)'!R685+"h_l!&amp;W?"</f>
        <v>#VALUE!</v>
      </c>
      <c r="DV110" t="e">
        <f>'SurveyRpt_20150223 (1)'!S685+"h_l!&amp;W@"</f>
        <v>#VALUE!</v>
      </c>
      <c r="DW110" t="e">
        <f>'SurveyRpt_20150223 (1)'!T685+"h_l!&amp;WA"</f>
        <v>#VALUE!</v>
      </c>
      <c r="DX110" t="e">
        <f>'SurveyRpt_20150223 (1)'!U685+"h_l!&amp;WB"</f>
        <v>#VALUE!</v>
      </c>
      <c r="DY110" t="e">
        <f>'SurveyRpt_20150223 (1)'!V685+"h_l!&amp;WC"</f>
        <v>#VALUE!</v>
      </c>
      <c r="DZ110" t="e">
        <f>'SurveyRpt_20150223 (1)'!W685+"h_l!&amp;WD"</f>
        <v>#VALUE!</v>
      </c>
      <c r="EA110" t="e">
        <f>'SurveyRpt_20150223 (1)'!X685+"h_l!&amp;WE"</f>
        <v>#VALUE!</v>
      </c>
      <c r="EB110" t="e">
        <f>'SurveyRpt_20150223 (1)'!Y685+"h_l!&amp;WF"</f>
        <v>#VALUE!</v>
      </c>
      <c r="EC110" t="e">
        <f>'SurveyRpt_20150223 (1)'!Z685+"h_l!&amp;WG"</f>
        <v>#VALUE!</v>
      </c>
      <c r="ED110" t="e">
        <f>'SurveyRpt_20150223 (1)'!AA685+"h_l!&amp;WH"</f>
        <v>#VALUE!</v>
      </c>
      <c r="EE110" t="e">
        <f>'SurveyRpt_20150223 (1)'!AB685+"h_l!&amp;WI"</f>
        <v>#VALUE!</v>
      </c>
      <c r="EF110" t="e">
        <f>'SurveyRpt_20150223 (1)'!AC685+"h_l!&amp;WJ"</f>
        <v>#VALUE!</v>
      </c>
      <c r="EG110" t="e">
        <f>'SurveyRpt_20150223 (1)'!AD685+"h_l!&amp;WK"</f>
        <v>#VALUE!</v>
      </c>
      <c r="EH110" t="e">
        <f>'SurveyRpt_20150223 (1)'!AE685+"h_l!&amp;WL"</f>
        <v>#VALUE!</v>
      </c>
      <c r="EI110" t="e">
        <f>'SurveyRpt_20150223 (1)'!AF685+"h_l!&amp;WM"</f>
        <v>#VALUE!</v>
      </c>
      <c r="EJ110" t="e">
        <f>'SurveyRpt_20150223 (1)'!AG685+"h_l!&amp;WN"</f>
        <v>#VALUE!</v>
      </c>
      <c r="EK110" t="e">
        <f>'SurveyRpt_20150223 (1)'!AH685+"h_l!&amp;WO"</f>
        <v>#VALUE!</v>
      </c>
      <c r="EL110" t="e">
        <f>'SurveyRpt_20150223 (1)'!AI685+"h_l!&amp;WP"</f>
        <v>#VALUE!</v>
      </c>
      <c r="EM110" t="e">
        <f>'SurveyRpt_20150223 (1)'!AJ685+"h_l!&amp;WQ"</f>
        <v>#VALUE!</v>
      </c>
      <c r="EN110" t="e">
        <f>'SurveyRpt_20150223 (1)'!AK685+"h_l!&amp;WR"</f>
        <v>#VALUE!</v>
      </c>
      <c r="EO110" t="e">
        <f>'SurveyRpt_20150223 (1)'!AL685+"h_l!&amp;WS"</f>
        <v>#VALUE!</v>
      </c>
      <c r="EP110" t="e">
        <f>'SurveyRpt_20150223 (1)'!AM685+"h_l!&amp;WT"</f>
        <v>#VALUE!</v>
      </c>
      <c r="EQ110" t="e">
        <f>'SurveyRpt_20150223 (1)'!AN685+"h_l!&amp;WU"</f>
        <v>#VALUE!</v>
      </c>
      <c r="ER110" t="e">
        <f>'SurveyRpt_20150223 (1)'!A686+"h_l!&amp;WV"</f>
        <v>#VALUE!</v>
      </c>
      <c r="ES110" s="25" t="e">
        <f>'SurveyRpt_20150223 (1)'!B686+"h_l!&amp;WW"</f>
        <v>#VALUE!</v>
      </c>
      <c r="ET110" t="e">
        <f>'SurveyRpt_20150223 (1)'!C686+"h_l!&amp;WX"</f>
        <v>#VALUE!</v>
      </c>
      <c r="EU110" s="25" t="e">
        <f>'SurveyRpt_20150223 (1)'!D686+"h_l!&amp;WY"</f>
        <v>#VALUE!</v>
      </c>
      <c r="EV110" t="e">
        <f>'SurveyRpt_20150223 (1)'!E686+"h_l!&amp;WZ"</f>
        <v>#VALUE!</v>
      </c>
      <c r="EW110" t="e">
        <f>'SurveyRpt_20150223 (1)'!F686+"h_l!&amp;W["</f>
        <v>#VALUE!</v>
      </c>
      <c r="EX110" t="e">
        <f>'SurveyRpt_20150223 (1)'!G686+"h_l!&amp;W\"</f>
        <v>#VALUE!</v>
      </c>
      <c r="EY110" t="e">
        <f>'SurveyRpt_20150223 (1)'!H686+"h_l!&amp;W]"</f>
        <v>#VALUE!</v>
      </c>
      <c r="EZ110" t="e">
        <f>'SurveyRpt_20150223 (1)'!I686+"h_l!&amp;W^"</f>
        <v>#VALUE!</v>
      </c>
      <c r="FA110" t="e">
        <f>'SurveyRpt_20150223 (1)'!J686+"h_l!&amp;W_"</f>
        <v>#VALUE!</v>
      </c>
      <c r="FB110" t="e">
        <f>'SurveyRpt_20150223 (1)'!K686+"h_l!&amp;W`"</f>
        <v>#VALUE!</v>
      </c>
      <c r="FC110" t="e">
        <f>'SurveyRpt_20150223 (1)'!L686+"h_l!&amp;Wa"</f>
        <v>#VALUE!</v>
      </c>
      <c r="FD110" t="e">
        <f>'SurveyRpt_20150223 (1)'!M686+"h_l!&amp;Wb"</f>
        <v>#VALUE!</v>
      </c>
      <c r="FE110" t="e">
        <f>'SurveyRpt_20150223 (1)'!N686+"h_l!&amp;Wc"</f>
        <v>#VALUE!</v>
      </c>
      <c r="FF110" t="e">
        <f>'SurveyRpt_20150223 (1)'!O686+"h_l!&amp;Wd"</f>
        <v>#VALUE!</v>
      </c>
      <c r="FG110" t="e">
        <f>'SurveyRpt_20150223 (1)'!P686+"h_l!&amp;We"</f>
        <v>#VALUE!</v>
      </c>
      <c r="FH110" t="e">
        <f>'SurveyRpt_20150223 (1)'!Q686+"h_l!&amp;Wf"</f>
        <v>#VALUE!</v>
      </c>
      <c r="FI110" t="e">
        <f>'SurveyRpt_20150223 (1)'!R686+"h_l!&amp;Wg"</f>
        <v>#VALUE!</v>
      </c>
      <c r="FJ110" t="e">
        <f>'SurveyRpt_20150223 (1)'!S686+"h_l!&amp;Wh"</f>
        <v>#VALUE!</v>
      </c>
      <c r="FK110" t="e">
        <f>'SurveyRpt_20150223 (1)'!T686+"h_l!&amp;Wi"</f>
        <v>#VALUE!</v>
      </c>
      <c r="FL110" t="e">
        <f>'SurveyRpt_20150223 (1)'!U686+"h_l!&amp;Wj"</f>
        <v>#VALUE!</v>
      </c>
      <c r="FM110" t="e">
        <f>'SurveyRpt_20150223 (1)'!V686+"h_l!&amp;Wk"</f>
        <v>#VALUE!</v>
      </c>
      <c r="FN110" t="e">
        <f>'SurveyRpt_20150223 (1)'!W686+"h_l!&amp;Wl"</f>
        <v>#VALUE!</v>
      </c>
      <c r="FO110" t="e">
        <f>'SurveyRpt_20150223 (1)'!X686+"h_l!&amp;Wm"</f>
        <v>#VALUE!</v>
      </c>
      <c r="FP110" t="e">
        <f>'SurveyRpt_20150223 (1)'!Y686+"h_l!&amp;Wn"</f>
        <v>#VALUE!</v>
      </c>
      <c r="FQ110" t="e">
        <f>'SurveyRpt_20150223 (1)'!Z686+"h_l!&amp;Wo"</f>
        <v>#VALUE!</v>
      </c>
      <c r="FR110" t="e">
        <f>'SurveyRpt_20150223 (1)'!AA686+"h_l!&amp;Wp"</f>
        <v>#VALUE!</v>
      </c>
      <c r="FS110" t="e">
        <f>'SurveyRpt_20150223 (1)'!AB686+"h_l!&amp;Wq"</f>
        <v>#VALUE!</v>
      </c>
      <c r="FT110" t="e">
        <f>'SurveyRpt_20150223 (1)'!AC686+"h_l!&amp;Wr"</f>
        <v>#VALUE!</v>
      </c>
      <c r="FU110" t="e">
        <f>'SurveyRpt_20150223 (1)'!AD686+"h_l!&amp;Ws"</f>
        <v>#VALUE!</v>
      </c>
      <c r="FV110" t="e">
        <f>'SurveyRpt_20150223 (1)'!AE686+"h_l!&amp;Wt"</f>
        <v>#VALUE!</v>
      </c>
      <c r="FW110" t="e">
        <f>'SurveyRpt_20150223 (1)'!AF686+"h_l!&amp;Wu"</f>
        <v>#VALUE!</v>
      </c>
      <c r="FX110" t="e">
        <f>'SurveyRpt_20150223 (1)'!AG686+"h_l!&amp;Wv"</f>
        <v>#VALUE!</v>
      </c>
      <c r="FY110" t="e">
        <f>'SurveyRpt_20150223 (1)'!AH686+"h_l!&amp;Ww"</f>
        <v>#VALUE!</v>
      </c>
      <c r="FZ110" t="e">
        <f>'SurveyRpt_20150223 (1)'!AI686+"h_l!&amp;Wx"</f>
        <v>#VALUE!</v>
      </c>
      <c r="GA110" t="e">
        <f>'SurveyRpt_20150223 (1)'!AJ686+"h_l!&amp;Wy"</f>
        <v>#VALUE!</v>
      </c>
      <c r="GB110" t="e">
        <f>'SurveyRpt_20150223 (1)'!AK686+"h_l!&amp;Wz"</f>
        <v>#VALUE!</v>
      </c>
      <c r="GC110" t="e">
        <f>'SurveyRpt_20150223 (1)'!AL686+"h_l!&amp;W{"</f>
        <v>#VALUE!</v>
      </c>
      <c r="GD110" t="e">
        <f>'SurveyRpt_20150223 (1)'!AM686+"h_l!&amp;W|"</f>
        <v>#VALUE!</v>
      </c>
      <c r="GE110" t="e">
        <f>'SurveyRpt_20150223 (1)'!AN686+"h_l!&amp;W}"</f>
        <v>#VALUE!</v>
      </c>
      <c r="GF110" t="e">
        <f>'SurveyRpt_20150223 (1)'!A687+"h_l!&amp;W~"</f>
        <v>#VALUE!</v>
      </c>
      <c r="GG110" s="25" t="e">
        <f>'SurveyRpt_20150223 (1)'!B687+"h_l!&amp;X#"</f>
        <v>#VALUE!</v>
      </c>
      <c r="GH110" t="e">
        <f>'SurveyRpt_20150223 (1)'!C687+"h_l!&amp;X$"</f>
        <v>#VALUE!</v>
      </c>
      <c r="GI110" s="25" t="e">
        <f>'SurveyRpt_20150223 (1)'!D687+"h_l!&amp;X%"</f>
        <v>#VALUE!</v>
      </c>
      <c r="GJ110" t="e">
        <f>'SurveyRpt_20150223 (1)'!E687+"h_l!&amp;X&amp;"</f>
        <v>#VALUE!</v>
      </c>
      <c r="GK110" t="e">
        <f>'SurveyRpt_20150223 (1)'!F687+"h_l!&amp;X'"</f>
        <v>#VALUE!</v>
      </c>
      <c r="GL110" t="e">
        <f>'SurveyRpt_20150223 (1)'!G687+"h_l!&amp;X("</f>
        <v>#VALUE!</v>
      </c>
      <c r="GM110" t="e">
        <f>'SurveyRpt_20150223 (1)'!H687+"h_l!&amp;X)"</f>
        <v>#VALUE!</v>
      </c>
      <c r="GN110" t="e">
        <f>'SurveyRpt_20150223 (1)'!I687+"h_l!&amp;X."</f>
        <v>#VALUE!</v>
      </c>
      <c r="GO110" t="e">
        <f>'SurveyRpt_20150223 (1)'!J687+"h_l!&amp;X/"</f>
        <v>#VALUE!</v>
      </c>
      <c r="GP110" t="e">
        <f>'SurveyRpt_20150223 (1)'!K687+"h_l!&amp;X0"</f>
        <v>#VALUE!</v>
      </c>
      <c r="GQ110" t="e">
        <f>'SurveyRpt_20150223 (1)'!L687+"h_l!&amp;X1"</f>
        <v>#VALUE!</v>
      </c>
      <c r="GR110" t="e">
        <f>'SurveyRpt_20150223 (1)'!M687+"h_l!&amp;X2"</f>
        <v>#VALUE!</v>
      </c>
      <c r="GS110" t="e">
        <f>'SurveyRpt_20150223 (1)'!N687+"h_l!&amp;X3"</f>
        <v>#VALUE!</v>
      </c>
      <c r="GT110" t="e">
        <f>'SurveyRpt_20150223 (1)'!O687+"h_l!&amp;X4"</f>
        <v>#VALUE!</v>
      </c>
      <c r="GU110" t="e">
        <f>'SurveyRpt_20150223 (1)'!P687+"h_l!&amp;X5"</f>
        <v>#VALUE!</v>
      </c>
      <c r="GV110" t="e">
        <f>'SurveyRpt_20150223 (1)'!Q687+"h_l!&amp;X6"</f>
        <v>#VALUE!</v>
      </c>
      <c r="GW110" t="e">
        <f>'SurveyRpt_20150223 (1)'!R687+"h_l!&amp;X7"</f>
        <v>#VALUE!</v>
      </c>
      <c r="GX110" t="e">
        <f>'SurveyRpt_20150223 (1)'!S687+"h_l!&amp;X8"</f>
        <v>#VALUE!</v>
      </c>
      <c r="GY110" t="e">
        <f>'SurveyRpt_20150223 (1)'!T687+"h_l!&amp;X9"</f>
        <v>#VALUE!</v>
      </c>
      <c r="GZ110" t="e">
        <f>'SurveyRpt_20150223 (1)'!U687+"h_l!&amp;X:"</f>
        <v>#VALUE!</v>
      </c>
      <c r="HA110" t="e">
        <f>'SurveyRpt_20150223 (1)'!V687+"h_l!&amp;X;"</f>
        <v>#VALUE!</v>
      </c>
      <c r="HB110" t="e">
        <f>'SurveyRpt_20150223 (1)'!W687+"h_l!&amp;X&lt;"</f>
        <v>#VALUE!</v>
      </c>
      <c r="HC110" t="e">
        <f>'SurveyRpt_20150223 (1)'!X687+"h_l!&amp;X="</f>
        <v>#VALUE!</v>
      </c>
      <c r="HD110" t="e">
        <f>'SurveyRpt_20150223 (1)'!Y687+"h_l!&amp;X&gt;"</f>
        <v>#VALUE!</v>
      </c>
      <c r="HE110" t="e">
        <f>'SurveyRpt_20150223 (1)'!Z687+"h_l!&amp;X?"</f>
        <v>#VALUE!</v>
      </c>
      <c r="HF110" t="e">
        <f>'SurveyRpt_20150223 (1)'!AA687+"h_l!&amp;X@"</f>
        <v>#VALUE!</v>
      </c>
      <c r="HG110" t="e">
        <f>'SurveyRpt_20150223 (1)'!AB687+"h_l!&amp;XA"</f>
        <v>#VALUE!</v>
      </c>
      <c r="HH110" t="e">
        <f>'SurveyRpt_20150223 (1)'!AC687+"h_l!&amp;XB"</f>
        <v>#VALUE!</v>
      </c>
      <c r="HI110" t="e">
        <f>'SurveyRpt_20150223 (1)'!AD687+"h_l!&amp;XC"</f>
        <v>#VALUE!</v>
      </c>
      <c r="HJ110" t="e">
        <f>'SurveyRpt_20150223 (1)'!AE687+"h_l!&amp;XD"</f>
        <v>#VALUE!</v>
      </c>
      <c r="HK110" t="e">
        <f>'SurveyRpt_20150223 (1)'!AF687+"h_l!&amp;XE"</f>
        <v>#VALUE!</v>
      </c>
      <c r="HL110" t="e">
        <f>'SurveyRpt_20150223 (1)'!AG687+"h_l!&amp;XF"</f>
        <v>#VALUE!</v>
      </c>
      <c r="HM110" t="e">
        <f>'SurveyRpt_20150223 (1)'!AH687+"h_l!&amp;XG"</f>
        <v>#VALUE!</v>
      </c>
      <c r="HN110" t="e">
        <f>'SurveyRpt_20150223 (1)'!AI687+"h_l!&amp;XH"</f>
        <v>#VALUE!</v>
      </c>
      <c r="HO110" t="e">
        <f>'SurveyRpt_20150223 (1)'!AJ687+"h_l!&amp;XI"</f>
        <v>#VALUE!</v>
      </c>
      <c r="HP110" t="e">
        <f>'SurveyRpt_20150223 (1)'!AK687+"h_l!&amp;XJ"</f>
        <v>#VALUE!</v>
      </c>
      <c r="HQ110" t="e">
        <f>'SurveyRpt_20150223 (1)'!AL687+"h_l!&amp;XK"</f>
        <v>#VALUE!</v>
      </c>
      <c r="HR110" t="e">
        <f>'SurveyRpt_20150223 (1)'!AM687+"h_l!&amp;XL"</f>
        <v>#VALUE!</v>
      </c>
      <c r="HS110" t="e">
        <f>'SurveyRpt_20150223 (1)'!AN687+"h_l!&amp;XM"</f>
        <v>#VALUE!</v>
      </c>
      <c r="HT110" t="e">
        <f>'SurveyRpt_20150223 (1)'!A688+"h_l!&amp;XN"</f>
        <v>#VALUE!</v>
      </c>
      <c r="HU110" s="25" t="e">
        <f>'SurveyRpt_20150223 (1)'!B688+"h_l!&amp;XO"</f>
        <v>#VALUE!</v>
      </c>
      <c r="HV110" t="e">
        <f>'SurveyRpt_20150223 (1)'!C688+"h_l!&amp;XP"</f>
        <v>#VALUE!</v>
      </c>
      <c r="HW110" s="25" t="e">
        <f>'SurveyRpt_20150223 (1)'!D688+"h_l!&amp;XQ"</f>
        <v>#VALUE!</v>
      </c>
      <c r="HX110" t="e">
        <f>'SurveyRpt_20150223 (1)'!E688+"h_l!&amp;XR"</f>
        <v>#VALUE!</v>
      </c>
      <c r="HY110" t="e">
        <f>'SurveyRpt_20150223 (1)'!F688+"h_l!&amp;XS"</f>
        <v>#VALUE!</v>
      </c>
      <c r="HZ110" t="e">
        <f>'SurveyRpt_20150223 (1)'!G688+"h_l!&amp;XT"</f>
        <v>#VALUE!</v>
      </c>
      <c r="IA110" t="e">
        <f>'SurveyRpt_20150223 (1)'!H688+"h_l!&amp;XU"</f>
        <v>#VALUE!</v>
      </c>
      <c r="IB110" t="e">
        <f>'SurveyRpt_20150223 (1)'!I688+"h_l!&amp;XV"</f>
        <v>#VALUE!</v>
      </c>
      <c r="IC110" t="e">
        <f>'SurveyRpt_20150223 (1)'!J688+"h_l!&amp;XW"</f>
        <v>#VALUE!</v>
      </c>
      <c r="ID110" t="e">
        <f>'SurveyRpt_20150223 (1)'!K688+"h_l!&amp;XX"</f>
        <v>#VALUE!</v>
      </c>
      <c r="IE110" t="e">
        <f>'SurveyRpt_20150223 (1)'!L688+"h_l!&amp;XY"</f>
        <v>#VALUE!</v>
      </c>
      <c r="IF110" t="e">
        <f>'SurveyRpt_20150223 (1)'!M688+"h_l!&amp;XZ"</f>
        <v>#VALUE!</v>
      </c>
      <c r="IG110" t="e">
        <f>'SurveyRpt_20150223 (1)'!N688+"h_l!&amp;X["</f>
        <v>#VALUE!</v>
      </c>
      <c r="IH110" t="e">
        <f>'SurveyRpt_20150223 (1)'!O688+"h_l!&amp;X\"</f>
        <v>#VALUE!</v>
      </c>
      <c r="II110" t="e">
        <f>'SurveyRpt_20150223 (1)'!P688+"h_l!&amp;X]"</f>
        <v>#VALUE!</v>
      </c>
      <c r="IJ110" t="e">
        <f>'SurveyRpt_20150223 (1)'!Q688+"h_l!&amp;X^"</f>
        <v>#VALUE!</v>
      </c>
      <c r="IK110" t="e">
        <f>'SurveyRpt_20150223 (1)'!R688+"h_l!&amp;X_"</f>
        <v>#VALUE!</v>
      </c>
      <c r="IL110" t="e">
        <f>'SurveyRpt_20150223 (1)'!S688+"h_l!&amp;X`"</f>
        <v>#VALUE!</v>
      </c>
      <c r="IM110" t="e">
        <f>'SurveyRpt_20150223 (1)'!T688+"h_l!&amp;Xa"</f>
        <v>#VALUE!</v>
      </c>
      <c r="IN110" t="e">
        <f>'SurveyRpt_20150223 (1)'!U688+"h_l!&amp;Xb"</f>
        <v>#VALUE!</v>
      </c>
      <c r="IO110" t="e">
        <f>'SurveyRpt_20150223 (1)'!V688+"h_l!&amp;Xc"</f>
        <v>#VALUE!</v>
      </c>
      <c r="IP110" t="e">
        <f>'SurveyRpt_20150223 (1)'!W688+"h_l!&amp;Xd"</f>
        <v>#VALUE!</v>
      </c>
      <c r="IQ110" t="e">
        <f>'SurveyRpt_20150223 (1)'!X688+"h_l!&amp;Xe"</f>
        <v>#VALUE!</v>
      </c>
      <c r="IR110" t="e">
        <f>'SurveyRpt_20150223 (1)'!Y688+"h_l!&amp;Xf"</f>
        <v>#VALUE!</v>
      </c>
      <c r="IS110" t="e">
        <f>'SurveyRpt_20150223 (1)'!Z688+"h_l!&amp;Xg"</f>
        <v>#VALUE!</v>
      </c>
      <c r="IT110" t="e">
        <f>'SurveyRpt_20150223 (1)'!AA688+"h_l!&amp;Xh"</f>
        <v>#VALUE!</v>
      </c>
      <c r="IU110" t="e">
        <f>'SurveyRpt_20150223 (1)'!AB688+"h_l!&amp;Xi"</f>
        <v>#VALUE!</v>
      </c>
      <c r="IV110" t="e">
        <f>'SurveyRpt_20150223 (1)'!AC688+"h_l!&amp;Xj"</f>
        <v>#VALUE!</v>
      </c>
    </row>
    <row r="111" spans="6:256" x14ac:dyDescent="0.25">
      <c r="F111" t="e">
        <f>'SurveyRpt_20150223 (1)'!AD688+"h_l!&amp;Xk"</f>
        <v>#VALUE!</v>
      </c>
      <c r="G111" t="e">
        <f>'SurveyRpt_20150223 (1)'!AE688+"h_l!&amp;Xl"</f>
        <v>#VALUE!</v>
      </c>
      <c r="H111" t="e">
        <f>'SurveyRpt_20150223 (1)'!AF688+"h_l!&amp;Xm"</f>
        <v>#VALUE!</v>
      </c>
      <c r="I111" t="e">
        <f>'SurveyRpt_20150223 (1)'!AG688+"h_l!&amp;Xn"</f>
        <v>#VALUE!</v>
      </c>
      <c r="J111" t="e">
        <f>'SurveyRpt_20150223 (1)'!AH688+"h_l!&amp;Xo"</f>
        <v>#VALUE!</v>
      </c>
      <c r="K111" t="e">
        <f>'SurveyRpt_20150223 (1)'!AI688+"h_l!&amp;Xp"</f>
        <v>#VALUE!</v>
      </c>
      <c r="L111" t="e">
        <f>'SurveyRpt_20150223 (1)'!AJ688+"h_l!&amp;Xq"</f>
        <v>#VALUE!</v>
      </c>
      <c r="M111" t="e">
        <f>'SurveyRpt_20150223 (1)'!AK688+"h_l!&amp;Xr"</f>
        <v>#VALUE!</v>
      </c>
      <c r="N111" t="e">
        <f>'SurveyRpt_20150223 (1)'!AL688+"h_l!&amp;Xs"</f>
        <v>#VALUE!</v>
      </c>
      <c r="O111" t="e">
        <f>'SurveyRpt_20150223 (1)'!AM688+"h_l!&amp;Xt"</f>
        <v>#VALUE!</v>
      </c>
      <c r="P111" t="e">
        <f>'SurveyRpt_20150223 (1)'!AN688+"h_l!&amp;Xu"</f>
        <v>#VALUE!</v>
      </c>
      <c r="Q111" t="e">
        <f>'SurveyRpt_20150223 (1)'!A689+"h_l!&amp;Xv"</f>
        <v>#VALUE!</v>
      </c>
      <c r="R111" s="25" t="e">
        <f>'SurveyRpt_20150223 (1)'!B689+"h_l!&amp;Xw"</f>
        <v>#VALUE!</v>
      </c>
      <c r="S111" t="e">
        <f>'SurveyRpt_20150223 (1)'!C689+"h_l!&amp;Xx"</f>
        <v>#VALUE!</v>
      </c>
      <c r="T111" s="25" t="e">
        <f>'SurveyRpt_20150223 (1)'!D689+"h_l!&amp;Xy"</f>
        <v>#VALUE!</v>
      </c>
      <c r="U111" t="e">
        <f>'SurveyRpt_20150223 (1)'!E689+"h_l!&amp;Xz"</f>
        <v>#VALUE!</v>
      </c>
      <c r="V111" t="e">
        <f>'SurveyRpt_20150223 (1)'!F689+"h_l!&amp;X{"</f>
        <v>#VALUE!</v>
      </c>
      <c r="W111" t="e">
        <f>'SurveyRpt_20150223 (1)'!G689+"h_l!&amp;X|"</f>
        <v>#VALUE!</v>
      </c>
      <c r="X111" t="e">
        <f>'SurveyRpt_20150223 (1)'!H689+"h_l!&amp;X}"</f>
        <v>#VALUE!</v>
      </c>
      <c r="Y111" t="e">
        <f>'SurveyRpt_20150223 (1)'!I689+"h_l!&amp;X~"</f>
        <v>#VALUE!</v>
      </c>
      <c r="Z111" t="e">
        <f>'SurveyRpt_20150223 (1)'!J689+"h_l!&amp;Y#"</f>
        <v>#VALUE!</v>
      </c>
      <c r="AA111" t="e">
        <f>'SurveyRpt_20150223 (1)'!K689+"h_l!&amp;Y$"</f>
        <v>#VALUE!</v>
      </c>
      <c r="AB111" t="e">
        <f>'SurveyRpt_20150223 (1)'!L689+"h_l!&amp;Y%"</f>
        <v>#VALUE!</v>
      </c>
      <c r="AC111" t="e">
        <f>'SurveyRpt_20150223 (1)'!M689+"h_l!&amp;Y&amp;"</f>
        <v>#VALUE!</v>
      </c>
      <c r="AD111" t="e">
        <f>'SurveyRpt_20150223 (1)'!N689+"h_l!&amp;Y'"</f>
        <v>#VALUE!</v>
      </c>
      <c r="AE111" t="e">
        <f>'SurveyRpt_20150223 (1)'!O689+"h_l!&amp;Y("</f>
        <v>#VALUE!</v>
      </c>
      <c r="AF111" t="e">
        <f>'SurveyRpt_20150223 (1)'!P689+"h_l!&amp;Y)"</f>
        <v>#VALUE!</v>
      </c>
      <c r="AG111" t="e">
        <f>'SurveyRpt_20150223 (1)'!Q689+"h_l!&amp;Y."</f>
        <v>#VALUE!</v>
      </c>
      <c r="AH111" t="e">
        <f>'SurveyRpt_20150223 (1)'!R689+"h_l!&amp;Y/"</f>
        <v>#VALUE!</v>
      </c>
      <c r="AI111" t="e">
        <f>'SurveyRpt_20150223 (1)'!S689+"h_l!&amp;Y0"</f>
        <v>#VALUE!</v>
      </c>
      <c r="AJ111" t="e">
        <f>'SurveyRpt_20150223 (1)'!T689+"h_l!&amp;Y1"</f>
        <v>#VALUE!</v>
      </c>
      <c r="AK111" t="e">
        <f>'SurveyRpt_20150223 (1)'!U689+"h_l!&amp;Y2"</f>
        <v>#VALUE!</v>
      </c>
      <c r="AL111" t="e">
        <f>'SurveyRpt_20150223 (1)'!V689+"h_l!&amp;Y3"</f>
        <v>#VALUE!</v>
      </c>
      <c r="AM111" t="e">
        <f>'SurveyRpt_20150223 (1)'!W689+"h_l!&amp;Y4"</f>
        <v>#VALUE!</v>
      </c>
      <c r="AN111" t="e">
        <f>'SurveyRpt_20150223 (1)'!X689+"h_l!&amp;Y5"</f>
        <v>#VALUE!</v>
      </c>
      <c r="AO111" t="e">
        <f>'SurveyRpt_20150223 (1)'!Y689+"h_l!&amp;Y6"</f>
        <v>#VALUE!</v>
      </c>
      <c r="AP111" t="e">
        <f>'SurveyRpt_20150223 (1)'!Z689+"h_l!&amp;Y7"</f>
        <v>#VALUE!</v>
      </c>
      <c r="AQ111" t="e">
        <f>'SurveyRpt_20150223 (1)'!AA689+"h_l!&amp;Y8"</f>
        <v>#VALUE!</v>
      </c>
      <c r="AR111" t="e">
        <f>'SurveyRpt_20150223 (1)'!AB689+"h_l!&amp;Y9"</f>
        <v>#VALUE!</v>
      </c>
      <c r="AS111" t="e">
        <f>'SurveyRpt_20150223 (1)'!AC689+"h_l!&amp;Y:"</f>
        <v>#VALUE!</v>
      </c>
      <c r="AT111" t="e">
        <f>'SurveyRpt_20150223 (1)'!AD689+"h_l!&amp;Y;"</f>
        <v>#VALUE!</v>
      </c>
      <c r="AU111" t="e">
        <f>'SurveyRpt_20150223 (1)'!AE689+"h_l!&amp;Y&lt;"</f>
        <v>#VALUE!</v>
      </c>
      <c r="AV111" t="e">
        <f>'SurveyRpt_20150223 (1)'!AF689+"h_l!&amp;Y="</f>
        <v>#VALUE!</v>
      </c>
      <c r="AW111" t="e">
        <f>'SurveyRpt_20150223 (1)'!AG689+"h_l!&amp;Y&gt;"</f>
        <v>#VALUE!</v>
      </c>
      <c r="AX111" t="e">
        <f>'SurveyRpt_20150223 (1)'!AH689+"h_l!&amp;Y?"</f>
        <v>#VALUE!</v>
      </c>
      <c r="AY111" t="e">
        <f>'SurveyRpt_20150223 (1)'!AI689+"h_l!&amp;Y@"</f>
        <v>#VALUE!</v>
      </c>
      <c r="AZ111" t="e">
        <f>'SurveyRpt_20150223 (1)'!AJ689+"h_l!&amp;YA"</f>
        <v>#VALUE!</v>
      </c>
      <c r="BA111" t="e">
        <f>'SurveyRpt_20150223 (1)'!AK689+"h_l!&amp;YB"</f>
        <v>#VALUE!</v>
      </c>
      <c r="BB111" t="e">
        <f>'SurveyRpt_20150223 (1)'!AL689+"h_l!&amp;YC"</f>
        <v>#VALUE!</v>
      </c>
      <c r="BC111" t="e">
        <f>'SurveyRpt_20150223 (1)'!AM689+"h_l!&amp;YD"</f>
        <v>#VALUE!</v>
      </c>
      <c r="BD111" t="e">
        <f>'SurveyRpt_20150223 (1)'!AN689+"h_l!&amp;YE"</f>
        <v>#VALUE!</v>
      </c>
      <c r="BE111" t="e">
        <f>'SurveyRpt_20150223 (1)'!A690+"h_l!&amp;YF"</f>
        <v>#VALUE!</v>
      </c>
      <c r="BF111" s="25" t="e">
        <f>'SurveyRpt_20150223 (1)'!B690+"h_l!&amp;YG"</f>
        <v>#VALUE!</v>
      </c>
      <c r="BG111" t="e">
        <f>'SurveyRpt_20150223 (1)'!C690+"h_l!&amp;YH"</f>
        <v>#VALUE!</v>
      </c>
      <c r="BH111" s="25" t="e">
        <f>'SurveyRpt_20150223 (1)'!D690+"h_l!&amp;YI"</f>
        <v>#VALUE!</v>
      </c>
      <c r="BI111" t="e">
        <f>'SurveyRpt_20150223 (1)'!E690+"h_l!&amp;YJ"</f>
        <v>#VALUE!</v>
      </c>
      <c r="BJ111" t="e">
        <f>'SurveyRpt_20150223 (1)'!F690+"h_l!&amp;YK"</f>
        <v>#VALUE!</v>
      </c>
      <c r="BK111" t="e">
        <f>'SurveyRpt_20150223 (1)'!G690+"h_l!&amp;YL"</f>
        <v>#VALUE!</v>
      </c>
      <c r="BL111" t="e">
        <f>'SurveyRpt_20150223 (1)'!H690+"h_l!&amp;YM"</f>
        <v>#VALUE!</v>
      </c>
      <c r="BM111" t="e">
        <f>'SurveyRpt_20150223 (1)'!I690+"h_l!&amp;YN"</f>
        <v>#VALUE!</v>
      </c>
      <c r="BN111" t="e">
        <f>'SurveyRpt_20150223 (1)'!J690+"h_l!&amp;YO"</f>
        <v>#VALUE!</v>
      </c>
      <c r="BO111" t="e">
        <f>'SurveyRpt_20150223 (1)'!K690+"h_l!&amp;YP"</f>
        <v>#VALUE!</v>
      </c>
      <c r="BP111" t="e">
        <f>'SurveyRpt_20150223 (1)'!L690+"h_l!&amp;YQ"</f>
        <v>#VALUE!</v>
      </c>
      <c r="BQ111" t="e">
        <f>'SurveyRpt_20150223 (1)'!M690+"h_l!&amp;YR"</f>
        <v>#VALUE!</v>
      </c>
      <c r="BR111" t="e">
        <f>'SurveyRpt_20150223 (1)'!N690+"h_l!&amp;YS"</f>
        <v>#VALUE!</v>
      </c>
      <c r="BS111" t="e">
        <f>'SurveyRpt_20150223 (1)'!O690+"h_l!&amp;YT"</f>
        <v>#VALUE!</v>
      </c>
      <c r="BT111" t="e">
        <f>'SurveyRpt_20150223 (1)'!P690+"h_l!&amp;YU"</f>
        <v>#VALUE!</v>
      </c>
      <c r="BU111" t="e">
        <f>'SurveyRpt_20150223 (1)'!Q690+"h_l!&amp;YV"</f>
        <v>#VALUE!</v>
      </c>
      <c r="BV111" t="e">
        <f>'SurveyRpt_20150223 (1)'!R690+"h_l!&amp;YW"</f>
        <v>#VALUE!</v>
      </c>
      <c r="BW111" t="e">
        <f>'SurveyRpt_20150223 (1)'!S690+"h_l!&amp;YX"</f>
        <v>#VALUE!</v>
      </c>
      <c r="BX111" t="e">
        <f>'SurveyRpt_20150223 (1)'!T690+"h_l!&amp;YY"</f>
        <v>#VALUE!</v>
      </c>
      <c r="BY111" t="e">
        <f>'SurveyRpt_20150223 (1)'!U690+"h_l!&amp;YZ"</f>
        <v>#VALUE!</v>
      </c>
      <c r="BZ111" t="e">
        <f>'SurveyRpt_20150223 (1)'!V690+"h_l!&amp;Y["</f>
        <v>#VALUE!</v>
      </c>
      <c r="CA111" t="e">
        <f>'SurveyRpt_20150223 (1)'!W690+"h_l!&amp;Y\"</f>
        <v>#VALUE!</v>
      </c>
      <c r="CB111" t="e">
        <f>'SurveyRpt_20150223 (1)'!X690+"h_l!&amp;Y]"</f>
        <v>#VALUE!</v>
      </c>
      <c r="CC111" t="e">
        <f>'SurveyRpt_20150223 (1)'!Y690+"h_l!&amp;Y^"</f>
        <v>#VALUE!</v>
      </c>
      <c r="CD111" t="e">
        <f>'SurveyRpt_20150223 (1)'!Z690+"h_l!&amp;Y_"</f>
        <v>#VALUE!</v>
      </c>
      <c r="CE111" t="e">
        <f>'SurveyRpt_20150223 (1)'!AA690+"h_l!&amp;Y`"</f>
        <v>#VALUE!</v>
      </c>
      <c r="CF111" t="e">
        <f>'SurveyRpt_20150223 (1)'!AB690+"h_l!&amp;Ya"</f>
        <v>#VALUE!</v>
      </c>
      <c r="CG111" t="e">
        <f>'SurveyRpt_20150223 (1)'!AC690+"h_l!&amp;Yb"</f>
        <v>#VALUE!</v>
      </c>
      <c r="CH111" t="e">
        <f>'SurveyRpt_20150223 (1)'!AD690+"h_l!&amp;Yc"</f>
        <v>#VALUE!</v>
      </c>
      <c r="CI111" t="e">
        <f>'SurveyRpt_20150223 (1)'!AE690+"h_l!&amp;Yd"</f>
        <v>#VALUE!</v>
      </c>
      <c r="CJ111" t="e">
        <f>'SurveyRpt_20150223 (1)'!AF690+"h_l!&amp;Ye"</f>
        <v>#VALUE!</v>
      </c>
      <c r="CK111" t="e">
        <f>'SurveyRpt_20150223 (1)'!AG690+"h_l!&amp;Yf"</f>
        <v>#VALUE!</v>
      </c>
      <c r="CL111" t="e">
        <f>'SurveyRpt_20150223 (1)'!AH690+"h_l!&amp;Yg"</f>
        <v>#VALUE!</v>
      </c>
      <c r="CM111" t="e">
        <f>'SurveyRpt_20150223 (1)'!AI690+"h_l!&amp;Yh"</f>
        <v>#VALUE!</v>
      </c>
      <c r="CN111" t="e">
        <f>'SurveyRpt_20150223 (1)'!AJ690+"h_l!&amp;Yi"</f>
        <v>#VALUE!</v>
      </c>
      <c r="CO111" t="e">
        <f>'SurveyRpt_20150223 (1)'!AK690+"h_l!&amp;Yj"</f>
        <v>#VALUE!</v>
      </c>
      <c r="CP111" t="e">
        <f>'SurveyRpt_20150223 (1)'!AL690+"h_l!&amp;Yk"</f>
        <v>#VALUE!</v>
      </c>
      <c r="CQ111" t="e">
        <f>'SurveyRpt_20150223 (1)'!AM690+"h_l!&amp;Yl"</f>
        <v>#VALUE!</v>
      </c>
      <c r="CR111" t="e">
        <f>'SurveyRpt_20150223 (1)'!AN690+"h_l!&amp;Ym"</f>
        <v>#VALUE!</v>
      </c>
      <c r="CS111" t="e">
        <f>'SurveyRpt_20150223 (1)'!A691+"h_l!&amp;Yn"</f>
        <v>#VALUE!</v>
      </c>
      <c r="CT111" s="25" t="e">
        <f>'SurveyRpt_20150223 (1)'!B691+"h_l!&amp;Yo"</f>
        <v>#VALUE!</v>
      </c>
      <c r="CU111" t="e">
        <f>'SurveyRpt_20150223 (1)'!C691+"h_l!&amp;Yp"</f>
        <v>#VALUE!</v>
      </c>
      <c r="CV111" s="25" t="e">
        <f>'SurveyRpt_20150223 (1)'!D691+"h_l!&amp;Yq"</f>
        <v>#VALUE!</v>
      </c>
      <c r="CW111" t="e">
        <f>'SurveyRpt_20150223 (1)'!E691+"h_l!&amp;Yr"</f>
        <v>#VALUE!</v>
      </c>
      <c r="CX111" t="e">
        <f>'SurveyRpt_20150223 (1)'!F691+"h_l!&amp;Ys"</f>
        <v>#VALUE!</v>
      </c>
      <c r="CY111" t="e">
        <f>'SurveyRpt_20150223 (1)'!G691+"h_l!&amp;Yt"</f>
        <v>#VALUE!</v>
      </c>
      <c r="CZ111" t="e">
        <f>'SurveyRpt_20150223 (1)'!H691+"h_l!&amp;Yu"</f>
        <v>#VALUE!</v>
      </c>
      <c r="DA111" t="e">
        <f>'SurveyRpt_20150223 (1)'!I691+"h_l!&amp;Yv"</f>
        <v>#VALUE!</v>
      </c>
      <c r="DB111" t="e">
        <f>'SurveyRpt_20150223 (1)'!J691+"h_l!&amp;Yw"</f>
        <v>#VALUE!</v>
      </c>
      <c r="DC111" t="e">
        <f>'SurveyRpt_20150223 (1)'!K691+"h_l!&amp;Yx"</f>
        <v>#VALUE!</v>
      </c>
      <c r="DD111" t="e">
        <f>'SurveyRpt_20150223 (1)'!L691+"h_l!&amp;Yy"</f>
        <v>#VALUE!</v>
      </c>
      <c r="DE111" t="e">
        <f>'SurveyRpt_20150223 (1)'!M691+"h_l!&amp;Yz"</f>
        <v>#VALUE!</v>
      </c>
      <c r="DF111" t="e">
        <f>'SurveyRpt_20150223 (1)'!N691+"h_l!&amp;Y{"</f>
        <v>#VALUE!</v>
      </c>
      <c r="DG111" t="e">
        <f>'SurveyRpt_20150223 (1)'!O691+"h_l!&amp;Y|"</f>
        <v>#VALUE!</v>
      </c>
      <c r="DH111" t="e">
        <f>'SurveyRpt_20150223 (1)'!P691+"h_l!&amp;Y}"</f>
        <v>#VALUE!</v>
      </c>
      <c r="DI111" t="e">
        <f>'SurveyRpt_20150223 (1)'!Q691+"h_l!&amp;Y~"</f>
        <v>#VALUE!</v>
      </c>
      <c r="DJ111" t="e">
        <f>'SurveyRpt_20150223 (1)'!R691+"h_l!&amp;Z#"</f>
        <v>#VALUE!</v>
      </c>
      <c r="DK111" t="e">
        <f>'SurveyRpt_20150223 (1)'!S691+"h_l!&amp;Z$"</f>
        <v>#VALUE!</v>
      </c>
      <c r="DL111" t="e">
        <f>'SurveyRpt_20150223 (1)'!T691+"h_l!&amp;Z%"</f>
        <v>#VALUE!</v>
      </c>
      <c r="DM111" t="e">
        <f>'SurveyRpt_20150223 (1)'!U691+"h_l!&amp;Z&amp;"</f>
        <v>#VALUE!</v>
      </c>
      <c r="DN111" t="e">
        <f>'SurveyRpt_20150223 (1)'!V691+"h_l!&amp;Z'"</f>
        <v>#VALUE!</v>
      </c>
      <c r="DO111" t="e">
        <f>'SurveyRpt_20150223 (1)'!W691+"h_l!&amp;Z("</f>
        <v>#VALUE!</v>
      </c>
      <c r="DP111" t="e">
        <f>'SurveyRpt_20150223 (1)'!X691+"h_l!&amp;Z)"</f>
        <v>#VALUE!</v>
      </c>
      <c r="DQ111" t="e">
        <f>'SurveyRpt_20150223 (1)'!Y691+"h_l!&amp;Z."</f>
        <v>#VALUE!</v>
      </c>
      <c r="DR111" t="e">
        <f>'SurveyRpt_20150223 (1)'!Z691+"h_l!&amp;Z/"</f>
        <v>#VALUE!</v>
      </c>
      <c r="DS111" t="e">
        <f>'SurveyRpt_20150223 (1)'!AA691+"h_l!&amp;Z0"</f>
        <v>#VALUE!</v>
      </c>
      <c r="DT111" t="e">
        <f>'SurveyRpt_20150223 (1)'!AB691+"h_l!&amp;Z1"</f>
        <v>#VALUE!</v>
      </c>
      <c r="DU111" t="e">
        <f>'SurveyRpt_20150223 (1)'!AC691+"h_l!&amp;Z2"</f>
        <v>#VALUE!</v>
      </c>
      <c r="DV111" t="e">
        <f>'SurveyRpt_20150223 (1)'!AD691+"h_l!&amp;Z3"</f>
        <v>#VALUE!</v>
      </c>
      <c r="DW111" t="e">
        <f>'SurveyRpt_20150223 (1)'!AE691+"h_l!&amp;Z4"</f>
        <v>#VALUE!</v>
      </c>
      <c r="DX111" t="e">
        <f>'SurveyRpt_20150223 (1)'!AF691+"h_l!&amp;Z5"</f>
        <v>#VALUE!</v>
      </c>
      <c r="DY111" t="e">
        <f>'SurveyRpt_20150223 (1)'!AG691+"h_l!&amp;Z6"</f>
        <v>#VALUE!</v>
      </c>
      <c r="DZ111" t="e">
        <f>'SurveyRpt_20150223 (1)'!AH691+"h_l!&amp;Z7"</f>
        <v>#VALUE!</v>
      </c>
      <c r="EA111" t="e">
        <f>'SurveyRpt_20150223 (1)'!AI691+"h_l!&amp;Z8"</f>
        <v>#VALUE!</v>
      </c>
      <c r="EB111" t="e">
        <f>'SurveyRpt_20150223 (1)'!AJ691+"h_l!&amp;Z9"</f>
        <v>#VALUE!</v>
      </c>
      <c r="EC111" t="e">
        <f>'SurveyRpt_20150223 (1)'!AK691+"h_l!&amp;Z:"</f>
        <v>#VALUE!</v>
      </c>
      <c r="ED111" t="e">
        <f>'SurveyRpt_20150223 (1)'!AL691+"h_l!&amp;Z;"</f>
        <v>#VALUE!</v>
      </c>
      <c r="EE111" t="e">
        <f>'SurveyRpt_20150223 (1)'!AM691+"h_l!&amp;Z&lt;"</f>
        <v>#VALUE!</v>
      </c>
      <c r="EF111" t="e">
        <f>'SurveyRpt_20150223 (1)'!AN691+"h_l!&amp;Z="</f>
        <v>#VALUE!</v>
      </c>
      <c r="EG111" t="e">
        <f>'SurveyRpt_20150223 (1)'!A692+"h_l!&amp;Z&gt;"</f>
        <v>#VALUE!</v>
      </c>
      <c r="EH111" s="25" t="e">
        <f>'SurveyRpt_20150223 (1)'!B692+"h_l!&amp;Z?"</f>
        <v>#VALUE!</v>
      </c>
      <c r="EI111" t="e">
        <f>'SurveyRpt_20150223 (1)'!C692+"h_l!&amp;Z@"</f>
        <v>#VALUE!</v>
      </c>
      <c r="EJ111" s="25" t="e">
        <f>'SurveyRpt_20150223 (1)'!D692+"h_l!&amp;ZA"</f>
        <v>#VALUE!</v>
      </c>
      <c r="EK111" t="e">
        <f>'SurveyRpt_20150223 (1)'!E692+"h_l!&amp;ZB"</f>
        <v>#VALUE!</v>
      </c>
      <c r="EL111" t="e">
        <f>'SurveyRpt_20150223 (1)'!F692+"h_l!&amp;ZC"</f>
        <v>#VALUE!</v>
      </c>
      <c r="EM111" t="e">
        <f>'SurveyRpt_20150223 (1)'!G692+"h_l!&amp;ZD"</f>
        <v>#VALUE!</v>
      </c>
      <c r="EN111" t="e">
        <f>'SurveyRpt_20150223 (1)'!H692+"h_l!&amp;ZE"</f>
        <v>#VALUE!</v>
      </c>
      <c r="EO111" t="e">
        <f>'SurveyRpt_20150223 (1)'!I692+"h_l!&amp;ZF"</f>
        <v>#VALUE!</v>
      </c>
      <c r="EP111" t="e">
        <f>'SurveyRpt_20150223 (1)'!J692+"h_l!&amp;ZG"</f>
        <v>#VALUE!</v>
      </c>
      <c r="EQ111" t="e">
        <f>'SurveyRpt_20150223 (1)'!K692+"h_l!&amp;ZH"</f>
        <v>#VALUE!</v>
      </c>
      <c r="ER111" t="e">
        <f>'SurveyRpt_20150223 (1)'!L692+"h_l!&amp;ZI"</f>
        <v>#VALUE!</v>
      </c>
      <c r="ES111" t="e">
        <f>'SurveyRpt_20150223 (1)'!M692+"h_l!&amp;ZJ"</f>
        <v>#VALUE!</v>
      </c>
      <c r="ET111" t="e">
        <f>'SurveyRpt_20150223 (1)'!N692+"h_l!&amp;ZK"</f>
        <v>#VALUE!</v>
      </c>
      <c r="EU111" t="e">
        <f>'SurveyRpt_20150223 (1)'!O692+"h_l!&amp;ZL"</f>
        <v>#VALUE!</v>
      </c>
      <c r="EV111" t="e">
        <f>'SurveyRpt_20150223 (1)'!P692+"h_l!&amp;ZM"</f>
        <v>#VALUE!</v>
      </c>
      <c r="EW111" t="e">
        <f>'SurveyRpt_20150223 (1)'!Q692+"h_l!&amp;ZN"</f>
        <v>#VALUE!</v>
      </c>
      <c r="EX111" t="e">
        <f>'SurveyRpt_20150223 (1)'!R692+"h_l!&amp;ZO"</f>
        <v>#VALUE!</v>
      </c>
      <c r="EY111" t="e">
        <f>'SurveyRpt_20150223 (1)'!S692+"h_l!&amp;ZP"</f>
        <v>#VALUE!</v>
      </c>
      <c r="EZ111" t="e">
        <f>'SurveyRpt_20150223 (1)'!T692+"h_l!&amp;ZQ"</f>
        <v>#VALUE!</v>
      </c>
      <c r="FA111" t="e">
        <f>'SurveyRpt_20150223 (1)'!U692+"h_l!&amp;ZR"</f>
        <v>#VALUE!</v>
      </c>
      <c r="FB111" t="e">
        <f>'SurveyRpt_20150223 (1)'!V692+"h_l!&amp;ZS"</f>
        <v>#VALUE!</v>
      </c>
      <c r="FC111" t="e">
        <f>'SurveyRpt_20150223 (1)'!W692+"h_l!&amp;ZT"</f>
        <v>#VALUE!</v>
      </c>
      <c r="FD111" t="e">
        <f>'SurveyRpt_20150223 (1)'!X692+"h_l!&amp;ZU"</f>
        <v>#VALUE!</v>
      </c>
      <c r="FE111" t="e">
        <f>'SurveyRpt_20150223 (1)'!Y692+"h_l!&amp;ZV"</f>
        <v>#VALUE!</v>
      </c>
      <c r="FF111" t="e">
        <f>'SurveyRpt_20150223 (1)'!Z692+"h_l!&amp;ZW"</f>
        <v>#VALUE!</v>
      </c>
      <c r="FG111" t="e">
        <f>'SurveyRpt_20150223 (1)'!AA692+"h_l!&amp;ZX"</f>
        <v>#VALUE!</v>
      </c>
      <c r="FH111" t="e">
        <f>'SurveyRpt_20150223 (1)'!AB692+"h_l!&amp;ZY"</f>
        <v>#VALUE!</v>
      </c>
      <c r="FI111" t="e">
        <f>'SurveyRpt_20150223 (1)'!AC692+"h_l!&amp;ZZ"</f>
        <v>#VALUE!</v>
      </c>
      <c r="FJ111" t="e">
        <f>'SurveyRpt_20150223 (1)'!AD692+"h_l!&amp;Z["</f>
        <v>#VALUE!</v>
      </c>
      <c r="FK111" t="e">
        <f>'SurveyRpt_20150223 (1)'!AE692+"h_l!&amp;Z\"</f>
        <v>#VALUE!</v>
      </c>
      <c r="FL111" t="e">
        <f>'SurveyRpt_20150223 (1)'!AF692+"h_l!&amp;Z]"</f>
        <v>#VALUE!</v>
      </c>
      <c r="FM111" t="e">
        <f>'SurveyRpt_20150223 (1)'!AG692+"h_l!&amp;Z^"</f>
        <v>#VALUE!</v>
      </c>
      <c r="FN111" t="e">
        <f>'SurveyRpt_20150223 (1)'!AH692+"h_l!&amp;Z_"</f>
        <v>#VALUE!</v>
      </c>
      <c r="FO111" t="e">
        <f>'SurveyRpt_20150223 (1)'!AI692+"h_l!&amp;Z`"</f>
        <v>#VALUE!</v>
      </c>
      <c r="FP111" t="e">
        <f>'SurveyRpt_20150223 (1)'!AJ692+"h_l!&amp;Za"</f>
        <v>#VALUE!</v>
      </c>
      <c r="FQ111" t="e">
        <f>'SurveyRpt_20150223 (1)'!AK692+"h_l!&amp;Zb"</f>
        <v>#VALUE!</v>
      </c>
      <c r="FR111" t="e">
        <f>'SurveyRpt_20150223 (1)'!AL692+"h_l!&amp;Zc"</f>
        <v>#VALUE!</v>
      </c>
      <c r="FS111" t="e">
        <f>'SurveyRpt_20150223 (1)'!AM692+"h_l!&amp;Zd"</f>
        <v>#VALUE!</v>
      </c>
      <c r="FT111" t="e">
        <f>'SurveyRpt_20150223 (1)'!AN692+"h_l!&amp;Ze"</f>
        <v>#VALUE!</v>
      </c>
      <c r="FU111" t="e">
        <f>'SurveyRpt_20150223 (1)'!A693+"h_l!&amp;Zf"</f>
        <v>#VALUE!</v>
      </c>
      <c r="FV111" s="25" t="e">
        <f>'SurveyRpt_20150223 (1)'!B693+"h_l!&amp;Zg"</f>
        <v>#VALUE!</v>
      </c>
      <c r="FW111" t="e">
        <f>'SurveyRpt_20150223 (1)'!C693+"h_l!&amp;Zh"</f>
        <v>#VALUE!</v>
      </c>
      <c r="FX111" s="25" t="e">
        <f>'SurveyRpt_20150223 (1)'!D693+"h_l!&amp;Zi"</f>
        <v>#VALUE!</v>
      </c>
      <c r="FY111" t="e">
        <f>'SurveyRpt_20150223 (1)'!E693+"h_l!&amp;Zj"</f>
        <v>#VALUE!</v>
      </c>
      <c r="FZ111" t="e">
        <f>'SurveyRpt_20150223 (1)'!F693+"h_l!&amp;Zk"</f>
        <v>#VALUE!</v>
      </c>
      <c r="GA111" t="e">
        <f>'SurveyRpt_20150223 (1)'!G693+"h_l!&amp;Zl"</f>
        <v>#VALUE!</v>
      </c>
      <c r="GB111" t="e">
        <f>'SurveyRpt_20150223 (1)'!H693+"h_l!&amp;Zm"</f>
        <v>#VALUE!</v>
      </c>
      <c r="GC111" t="e">
        <f>'SurveyRpt_20150223 (1)'!I693+"h_l!&amp;Zn"</f>
        <v>#VALUE!</v>
      </c>
      <c r="GD111" t="e">
        <f>'SurveyRpt_20150223 (1)'!J693+"h_l!&amp;Zo"</f>
        <v>#VALUE!</v>
      </c>
      <c r="GE111" t="e">
        <f>'SurveyRpt_20150223 (1)'!K693+"h_l!&amp;Zp"</f>
        <v>#VALUE!</v>
      </c>
      <c r="GF111" t="e">
        <f>'SurveyRpt_20150223 (1)'!L693+"h_l!&amp;Zq"</f>
        <v>#VALUE!</v>
      </c>
      <c r="GG111" t="e">
        <f>'SurveyRpt_20150223 (1)'!M693+"h_l!&amp;Zr"</f>
        <v>#VALUE!</v>
      </c>
      <c r="GH111" t="e">
        <f>'SurveyRpt_20150223 (1)'!N693+"h_l!&amp;Zs"</f>
        <v>#VALUE!</v>
      </c>
      <c r="GI111" t="e">
        <f>'SurveyRpt_20150223 (1)'!O693+"h_l!&amp;Zt"</f>
        <v>#VALUE!</v>
      </c>
      <c r="GJ111" t="e">
        <f>'SurveyRpt_20150223 (1)'!P693+"h_l!&amp;Zu"</f>
        <v>#VALUE!</v>
      </c>
      <c r="GK111" t="e">
        <f>'SurveyRpt_20150223 (1)'!Q693+"h_l!&amp;Zv"</f>
        <v>#VALUE!</v>
      </c>
      <c r="GL111" t="e">
        <f>'SurveyRpt_20150223 (1)'!R693+"h_l!&amp;Zw"</f>
        <v>#VALUE!</v>
      </c>
      <c r="GM111" t="e">
        <f>'SurveyRpt_20150223 (1)'!S693+"h_l!&amp;Zx"</f>
        <v>#VALUE!</v>
      </c>
      <c r="GN111" t="e">
        <f>'SurveyRpt_20150223 (1)'!T693+"h_l!&amp;Zy"</f>
        <v>#VALUE!</v>
      </c>
      <c r="GO111" t="e">
        <f>'SurveyRpt_20150223 (1)'!U693+"h_l!&amp;Zz"</f>
        <v>#VALUE!</v>
      </c>
      <c r="GP111" t="e">
        <f>'SurveyRpt_20150223 (1)'!V693+"h_l!&amp;Z{"</f>
        <v>#VALUE!</v>
      </c>
      <c r="GQ111" t="e">
        <f>'SurveyRpt_20150223 (1)'!W693+"h_l!&amp;Z|"</f>
        <v>#VALUE!</v>
      </c>
      <c r="GR111" t="e">
        <f>'SurveyRpt_20150223 (1)'!X693+"h_l!&amp;Z}"</f>
        <v>#VALUE!</v>
      </c>
      <c r="GS111" t="e">
        <f>'SurveyRpt_20150223 (1)'!Y693+"h_l!&amp;Z~"</f>
        <v>#VALUE!</v>
      </c>
      <c r="GT111" t="e">
        <f>'SurveyRpt_20150223 (1)'!Z693+"h_l!&amp;[#"</f>
        <v>#VALUE!</v>
      </c>
      <c r="GU111" t="e">
        <f>'SurveyRpt_20150223 (1)'!AA693+"h_l!&amp;[$"</f>
        <v>#VALUE!</v>
      </c>
      <c r="GV111" t="e">
        <f>'SurveyRpt_20150223 (1)'!AB693+"h_l!&amp;[%"</f>
        <v>#VALUE!</v>
      </c>
      <c r="GW111" t="e">
        <f>'SurveyRpt_20150223 (1)'!AC693+"h_l!&amp;[&amp;"</f>
        <v>#VALUE!</v>
      </c>
      <c r="GX111" t="e">
        <f>'SurveyRpt_20150223 (1)'!AD693+"h_l!&amp;['"</f>
        <v>#VALUE!</v>
      </c>
      <c r="GY111" t="e">
        <f>'SurveyRpt_20150223 (1)'!AE693+"h_l!&amp;[("</f>
        <v>#VALUE!</v>
      </c>
      <c r="GZ111" t="e">
        <f>'SurveyRpt_20150223 (1)'!AF693+"h_l!&amp;[)"</f>
        <v>#VALUE!</v>
      </c>
      <c r="HA111" t="e">
        <f>'SurveyRpt_20150223 (1)'!AG693+"h_l!&amp;[."</f>
        <v>#VALUE!</v>
      </c>
      <c r="HB111" t="e">
        <f>'SurveyRpt_20150223 (1)'!AH693+"h_l!&amp;[/"</f>
        <v>#VALUE!</v>
      </c>
      <c r="HC111" t="e">
        <f>'SurveyRpt_20150223 (1)'!AI693+"h_l!&amp;[0"</f>
        <v>#VALUE!</v>
      </c>
      <c r="HD111" t="e">
        <f>'SurveyRpt_20150223 (1)'!AJ693+"h_l!&amp;[1"</f>
        <v>#VALUE!</v>
      </c>
      <c r="HE111" t="e">
        <f>'SurveyRpt_20150223 (1)'!AK693+"h_l!&amp;[2"</f>
        <v>#VALUE!</v>
      </c>
      <c r="HF111" t="e">
        <f>'SurveyRpt_20150223 (1)'!AL693+"h_l!&amp;[3"</f>
        <v>#VALUE!</v>
      </c>
      <c r="HG111" t="e">
        <f>'SurveyRpt_20150223 (1)'!AM693+"h_l!&amp;[4"</f>
        <v>#VALUE!</v>
      </c>
      <c r="HH111" t="e">
        <f>'SurveyRpt_20150223 (1)'!AN693+"h_l!&amp;[5"</f>
        <v>#VALUE!</v>
      </c>
      <c r="HI111" t="e">
        <f>'SurveyRpt_20150223 (1)'!A694+"h_l!&amp;[6"</f>
        <v>#VALUE!</v>
      </c>
      <c r="HJ111" s="25" t="e">
        <f>'SurveyRpt_20150223 (1)'!B694+"h_l!&amp;[7"</f>
        <v>#VALUE!</v>
      </c>
      <c r="HK111" t="e">
        <f>'SurveyRpt_20150223 (1)'!C694+"h_l!&amp;[8"</f>
        <v>#VALUE!</v>
      </c>
      <c r="HL111" s="25" t="e">
        <f>'SurveyRpt_20150223 (1)'!D694+"h_l!&amp;[9"</f>
        <v>#VALUE!</v>
      </c>
      <c r="HM111" t="e">
        <f>'SurveyRpt_20150223 (1)'!E694+"h_l!&amp;[:"</f>
        <v>#VALUE!</v>
      </c>
      <c r="HN111" t="e">
        <f>'SurveyRpt_20150223 (1)'!F694+"h_l!&amp;[;"</f>
        <v>#VALUE!</v>
      </c>
      <c r="HO111" t="e">
        <f>'SurveyRpt_20150223 (1)'!G694+"h_l!&amp;[&lt;"</f>
        <v>#VALUE!</v>
      </c>
      <c r="HP111" t="e">
        <f>'SurveyRpt_20150223 (1)'!H694+"h_l!&amp;[="</f>
        <v>#VALUE!</v>
      </c>
      <c r="HQ111" t="e">
        <f>'SurveyRpt_20150223 (1)'!I694+"h_l!&amp;[&gt;"</f>
        <v>#VALUE!</v>
      </c>
      <c r="HR111" t="e">
        <f>'SurveyRpt_20150223 (1)'!J694+"h_l!&amp;[?"</f>
        <v>#VALUE!</v>
      </c>
      <c r="HS111" t="e">
        <f>'SurveyRpt_20150223 (1)'!K694+"h_l!&amp;[@"</f>
        <v>#VALUE!</v>
      </c>
      <c r="HT111" t="e">
        <f>'SurveyRpt_20150223 (1)'!L694+"h_l!&amp;[A"</f>
        <v>#VALUE!</v>
      </c>
      <c r="HU111" t="e">
        <f>'SurveyRpt_20150223 (1)'!M694+"h_l!&amp;[B"</f>
        <v>#VALUE!</v>
      </c>
      <c r="HV111" t="e">
        <f>'SurveyRpt_20150223 (1)'!N694+"h_l!&amp;[C"</f>
        <v>#VALUE!</v>
      </c>
      <c r="HW111" t="e">
        <f>'SurveyRpt_20150223 (1)'!O694+"h_l!&amp;[D"</f>
        <v>#VALUE!</v>
      </c>
      <c r="HX111" t="e">
        <f>'SurveyRpt_20150223 (1)'!P694+"h_l!&amp;[E"</f>
        <v>#VALUE!</v>
      </c>
      <c r="HY111" t="e">
        <f>'SurveyRpt_20150223 (1)'!Q694+"h_l!&amp;[F"</f>
        <v>#VALUE!</v>
      </c>
      <c r="HZ111" t="e">
        <f>'SurveyRpt_20150223 (1)'!R694+"h_l!&amp;[G"</f>
        <v>#VALUE!</v>
      </c>
      <c r="IA111" t="e">
        <f>'SurveyRpt_20150223 (1)'!S694+"h_l!&amp;[H"</f>
        <v>#VALUE!</v>
      </c>
      <c r="IB111" t="e">
        <f>'SurveyRpt_20150223 (1)'!T694+"h_l!&amp;[I"</f>
        <v>#VALUE!</v>
      </c>
      <c r="IC111" t="e">
        <f>'SurveyRpt_20150223 (1)'!U694+"h_l!&amp;[J"</f>
        <v>#VALUE!</v>
      </c>
      <c r="ID111" t="e">
        <f>'SurveyRpt_20150223 (1)'!V694+"h_l!&amp;[K"</f>
        <v>#VALUE!</v>
      </c>
      <c r="IE111" t="e">
        <f>'SurveyRpt_20150223 (1)'!W694+"h_l!&amp;[L"</f>
        <v>#VALUE!</v>
      </c>
      <c r="IF111" t="e">
        <f>'SurveyRpt_20150223 (1)'!X694+"h_l!&amp;[M"</f>
        <v>#VALUE!</v>
      </c>
      <c r="IG111" t="e">
        <f>'SurveyRpt_20150223 (1)'!Y694+"h_l!&amp;[N"</f>
        <v>#VALUE!</v>
      </c>
      <c r="IH111" t="e">
        <f>'SurveyRpt_20150223 (1)'!Z694+"h_l!&amp;[O"</f>
        <v>#VALUE!</v>
      </c>
      <c r="II111" t="e">
        <f>'SurveyRpt_20150223 (1)'!AA694+"h_l!&amp;[P"</f>
        <v>#VALUE!</v>
      </c>
      <c r="IJ111" t="e">
        <f>'SurveyRpt_20150223 (1)'!AB694+"h_l!&amp;[Q"</f>
        <v>#VALUE!</v>
      </c>
      <c r="IK111" t="e">
        <f>'SurveyRpt_20150223 (1)'!AC694+"h_l!&amp;[R"</f>
        <v>#VALUE!</v>
      </c>
      <c r="IL111" t="e">
        <f>'SurveyRpt_20150223 (1)'!AD694+"h_l!&amp;[S"</f>
        <v>#VALUE!</v>
      </c>
      <c r="IM111" t="e">
        <f>'SurveyRpt_20150223 (1)'!AE694+"h_l!&amp;[T"</f>
        <v>#VALUE!</v>
      </c>
      <c r="IN111" t="e">
        <f>'SurveyRpt_20150223 (1)'!AF694+"h_l!&amp;[U"</f>
        <v>#VALUE!</v>
      </c>
      <c r="IO111" t="e">
        <f>'SurveyRpt_20150223 (1)'!AG694+"h_l!&amp;[V"</f>
        <v>#VALUE!</v>
      </c>
      <c r="IP111" t="e">
        <f>'SurveyRpt_20150223 (1)'!AH694+"h_l!&amp;[W"</f>
        <v>#VALUE!</v>
      </c>
      <c r="IQ111" t="e">
        <f>'SurveyRpt_20150223 (1)'!AI694+"h_l!&amp;[X"</f>
        <v>#VALUE!</v>
      </c>
      <c r="IR111" t="e">
        <f>'SurveyRpt_20150223 (1)'!AJ694+"h_l!&amp;[Y"</f>
        <v>#VALUE!</v>
      </c>
      <c r="IS111" t="e">
        <f>'SurveyRpt_20150223 (1)'!AK694+"h_l!&amp;[Z"</f>
        <v>#VALUE!</v>
      </c>
      <c r="IT111" t="e">
        <f>'SurveyRpt_20150223 (1)'!AL694+"h_l!&amp;[["</f>
        <v>#VALUE!</v>
      </c>
      <c r="IU111" t="e">
        <f>'SurveyRpt_20150223 (1)'!AM694+"h_l!&amp;[\"</f>
        <v>#VALUE!</v>
      </c>
      <c r="IV111" t="e">
        <f>'SurveyRpt_20150223 (1)'!AN694+"h_l!&amp;[]"</f>
        <v>#VALUE!</v>
      </c>
    </row>
    <row r="112" spans="6:256" x14ac:dyDescent="0.25">
      <c r="F112" t="e">
        <f>'SurveyRpt_20150223 (1)'!A695+"h_l!&amp;[^"</f>
        <v>#VALUE!</v>
      </c>
      <c r="G112" s="25" t="e">
        <f>'SurveyRpt_20150223 (1)'!B695+"h_l!&amp;[_"</f>
        <v>#VALUE!</v>
      </c>
      <c r="H112" t="e">
        <f>'SurveyRpt_20150223 (1)'!C695+"h_l!&amp;[`"</f>
        <v>#VALUE!</v>
      </c>
      <c r="I112" s="25" t="e">
        <f>'SurveyRpt_20150223 (1)'!D695+"h_l!&amp;[a"</f>
        <v>#VALUE!</v>
      </c>
      <c r="J112" t="e">
        <f>'SurveyRpt_20150223 (1)'!E695+"h_l!&amp;[b"</f>
        <v>#VALUE!</v>
      </c>
      <c r="K112" t="e">
        <f>'SurveyRpt_20150223 (1)'!F695+"h_l!&amp;[c"</f>
        <v>#VALUE!</v>
      </c>
      <c r="L112" t="e">
        <f>'SurveyRpt_20150223 (1)'!G695+"h_l!&amp;[d"</f>
        <v>#VALUE!</v>
      </c>
      <c r="M112" t="e">
        <f>'SurveyRpt_20150223 (1)'!H695+"h_l!&amp;[e"</f>
        <v>#VALUE!</v>
      </c>
      <c r="N112" t="e">
        <f>'SurveyRpt_20150223 (1)'!I695+"h_l!&amp;[f"</f>
        <v>#VALUE!</v>
      </c>
      <c r="O112" t="e">
        <f>'SurveyRpt_20150223 (1)'!J695+"h_l!&amp;[g"</f>
        <v>#VALUE!</v>
      </c>
      <c r="P112" t="e">
        <f>'SurveyRpt_20150223 (1)'!K695+"h_l!&amp;[h"</f>
        <v>#VALUE!</v>
      </c>
      <c r="Q112" t="e">
        <f>'SurveyRpt_20150223 (1)'!L695+"h_l!&amp;[i"</f>
        <v>#VALUE!</v>
      </c>
      <c r="R112" t="e">
        <f>'SurveyRpt_20150223 (1)'!M695+"h_l!&amp;[j"</f>
        <v>#VALUE!</v>
      </c>
      <c r="S112" t="e">
        <f>'SurveyRpt_20150223 (1)'!N695+"h_l!&amp;[k"</f>
        <v>#VALUE!</v>
      </c>
      <c r="T112" t="e">
        <f>'SurveyRpt_20150223 (1)'!O695+"h_l!&amp;[l"</f>
        <v>#VALUE!</v>
      </c>
      <c r="U112" t="e">
        <f>'SurveyRpt_20150223 (1)'!P695+"h_l!&amp;[m"</f>
        <v>#VALUE!</v>
      </c>
      <c r="V112" t="e">
        <f>'SurveyRpt_20150223 (1)'!Q695+"h_l!&amp;[n"</f>
        <v>#VALUE!</v>
      </c>
      <c r="W112" t="e">
        <f>'SurveyRpt_20150223 (1)'!R695+"h_l!&amp;[o"</f>
        <v>#VALUE!</v>
      </c>
      <c r="X112" t="e">
        <f>'SurveyRpt_20150223 (1)'!S695+"h_l!&amp;[p"</f>
        <v>#VALUE!</v>
      </c>
      <c r="Y112" t="e">
        <f>'SurveyRpt_20150223 (1)'!T695+"h_l!&amp;[q"</f>
        <v>#VALUE!</v>
      </c>
      <c r="Z112" t="e">
        <f>'SurveyRpt_20150223 (1)'!U695+"h_l!&amp;[r"</f>
        <v>#VALUE!</v>
      </c>
      <c r="AA112" t="e">
        <f>'SurveyRpt_20150223 (1)'!V695+"h_l!&amp;[s"</f>
        <v>#VALUE!</v>
      </c>
      <c r="AB112" t="e">
        <f>'SurveyRpt_20150223 (1)'!W695+"h_l!&amp;[t"</f>
        <v>#VALUE!</v>
      </c>
      <c r="AC112" t="e">
        <f>'SurveyRpt_20150223 (1)'!X695+"h_l!&amp;[u"</f>
        <v>#VALUE!</v>
      </c>
      <c r="AD112" t="e">
        <f>'SurveyRpt_20150223 (1)'!Y695+"h_l!&amp;[v"</f>
        <v>#VALUE!</v>
      </c>
      <c r="AE112" t="e">
        <f>'SurveyRpt_20150223 (1)'!Z695+"h_l!&amp;[w"</f>
        <v>#VALUE!</v>
      </c>
      <c r="AF112" t="e">
        <f>'SurveyRpt_20150223 (1)'!AA695+"h_l!&amp;[x"</f>
        <v>#VALUE!</v>
      </c>
      <c r="AG112" t="e">
        <f>'SurveyRpt_20150223 (1)'!AB695+"h_l!&amp;[y"</f>
        <v>#VALUE!</v>
      </c>
      <c r="AH112" t="e">
        <f>'SurveyRpt_20150223 (1)'!AC695+"h_l!&amp;[z"</f>
        <v>#VALUE!</v>
      </c>
      <c r="AI112" t="e">
        <f>'SurveyRpt_20150223 (1)'!AD695+"h_l!&amp;[{"</f>
        <v>#VALUE!</v>
      </c>
      <c r="AJ112" t="e">
        <f>'SurveyRpt_20150223 (1)'!AE695+"h_l!&amp;[|"</f>
        <v>#VALUE!</v>
      </c>
      <c r="AK112" t="e">
        <f>'SurveyRpt_20150223 (1)'!AF695+"h_l!&amp;[}"</f>
        <v>#VALUE!</v>
      </c>
      <c r="AL112" t="e">
        <f>'SurveyRpt_20150223 (1)'!AG695+"h_l!&amp;[~"</f>
        <v>#VALUE!</v>
      </c>
      <c r="AM112" t="e">
        <f>'SurveyRpt_20150223 (1)'!AH695+"h_l!&amp;\#"</f>
        <v>#VALUE!</v>
      </c>
      <c r="AN112" t="e">
        <f>'SurveyRpt_20150223 (1)'!AI695+"h_l!&amp;\$"</f>
        <v>#VALUE!</v>
      </c>
      <c r="AO112" t="e">
        <f>'SurveyRpt_20150223 (1)'!AJ695+"h_l!&amp;\%"</f>
        <v>#VALUE!</v>
      </c>
      <c r="AP112" t="e">
        <f>'SurveyRpt_20150223 (1)'!AK695+"h_l!&amp;\&amp;"</f>
        <v>#VALUE!</v>
      </c>
      <c r="AQ112" t="e">
        <f>'SurveyRpt_20150223 (1)'!AL695+"h_l!&amp;\'"</f>
        <v>#VALUE!</v>
      </c>
      <c r="AR112" t="e">
        <f>'SurveyRpt_20150223 (1)'!AM695+"h_l!&amp;\("</f>
        <v>#VALUE!</v>
      </c>
      <c r="AS112" t="e">
        <f>'SurveyRpt_20150223 (1)'!AN695+"h_l!&amp;\)"</f>
        <v>#VALUE!</v>
      </c>
      <c r="AT112" t="e">
        <f>'SurveyRpt_20150223 (1)'!A696+"h_l!&amp;\."</f>
        <v>#VALUE!</v>
      </c>
      <c r="AU112" s="25" t="e">
        <f>'SurveyRpt_20150223 (1)'!B696+"h_l!&amp;\/"</f>
        <v>#VALUE!</v>
      </c>
      <c r="AV112" t="e">
        <f>'SurveyRpt_20150223 (1)'!C696+"h_l!&amp;\0"</f>
        <v>#VALUE!</v>
      </c>
      <c r="AW112" s="25" t="e">
        <f>'SurveyRpt_20150223 (1)'!D696+"h_l!&amp;\1"</f>
        <v>#VALUE!</v>
      </c>
      <c r="AX112" t="e">
        <f>'SurveyRpt_20150223 (1)'!E696+"h_l!&amp;\2"</f>
        <v>#VALUE!</v>
      </c>
      <c r="AY112" t="e">
        <f>'SurveyRpt_20150223 (1)'!F696+"h_l!&amp;\3"</f>
        <v>#VALUE!</v>
      </c>
      <c r="AZ112" t="e">
        <f>'SurveyRpt_20150223 (1)'!G696+"h_l!&amp;\4"</f>
        <v>#VALUE!</v>
      </c>
      <c r="BA112" t="e">
        <f>'SurveyRpt_20150223 (1)'!H696+"h_l!&amp;\5"</f>
        <v>#VALUE!</v>
      </c>
      <c r="BB112" t="e">
        <f>'SurveyRpt_20150223 (1)'!I696+"h_l!&amp;\6"</f>
        <v>#VALUE!</v>
      </c>
      <c r="BC112" t="e">
        <f>'SurveyRpt_20150223 (1)'!J696+"h_l!&amp;\7"</f>
        <v>#VALUE!</v>
      </c>
      <c r="BD112" t="e">
        <f>'SurveyRpt_20150223 (1)'!K696+"h_l!&amp;\8"</f>
        <v>#VALUE!</v>
      </c>
      <c r="BE112" t="e">
        <f>'SurveyRpt_20150223 (1)'!L696+"h_l!&amp;\9"</f>
        <v>#VALUE!</v>
      </c>
      <c r="BF112" t="e">
        <f>'SurveyRpt_20150223 (1)'!M696+"h_l!&amp;\:"</f>
        <v>#VALUE!</v>
      </c>
      <c r="BG112" t="e">
        <f>'SurveyRpt_20150223 (1)'!N696+"h_l!&amp;\;"</f>
        <v>#VALUE!</v>
      </c>
      <c r="BH112" t="e">
        <f>'SurveyRpt_20150223 (1)'!O696+"h_l!&amp;\&lt;"</f>
        <v>#VALUE!</v>
      </c>
      <c r="BI112" t="e">
        <f>'SurveyRpt_20150223 (1)'!P696+"h_l!&amp;\="</f>
        <v>#VALUE!</v>
      </c>
      <c r="BJ112" t="e">
        <f>'SurveyRpt_20150223 (1)'!Q696+"h_l!&amp;\&gt;"</f>
        <v>#VALUE!</v>
      </c>
      <c r="BK112" t="e">
        <f>'SurveyRpt_20150223 (1)'!R696+"h_l!&amp;\?"</f>
        <v>#VALUE!</v>
      </c>
      <c r="BL112" t="e">
        <f>'SurveyRpt_20150223 (1)'!S696+"h_l!&amp;\@"</f>
        <v>#VALUE!</v>
      </c>
      <c r="BM112" t="e">
        <f>'SurveyRpt_20150223 (1)'!T696+"h_l!&amp;\A"</f>
        <v>#VALUE!</v>
      </c>
      <c r="BN112" t="e">
        <f>'SurveyRpt_20150223 (1)'!U696+"h_l!&amp;\B"</f>
        <v>#VALUE!</v>
      </c>
      <c r="BO112" t="e">
        <f>'SurveyRpt_20150223 (1)'!V696+"h_l!&amp;\C"</f>
        <v>#VALUE!</v>
      </c>
      <c r="BP112" t="e">
        <f>'SurveyRpt_20150223 (1)'!W696+"h_l!&amp;\D"</f>
        <v>#VALUE!</v>
      </c>
      <c r="BQ112" t="e">
        <f>'SurveyRpt_20150223 (1)'!X696+"h_l!&amp;\E"</f>
        <v>#VALUE!</v>
      </c>
      <c r="BR112" t="e">
        <f>'SurveyRpt_20150223 (1)'!Y696+"h_l!&amp;\F"</f>
        <v>#VALUE!</v>
      </c>
      <c r="BS112" t="e">
        <f>'SurveyRpt_20150223 (1)'!Z696+"h_l!&amp;\G"</f>
        <v>#VALUE!</v>
      </c>
      <c r="BT112" t="e">
        <f>'SurveyRpt_20150223 (1)'!AA696+"h_l!&amp;\H"</f>
        <v>#VALUE!</v>
      </c>
      <c r="BU112" t="e">
        <f>'SurveyRpt_20150223 (1)'!AB696+"h_l!&amp;\I"</f>
        <v>#VALUE!</v>
      </c>
      <c r="BV112" t="e">
        <f>'SurveyRpt_20150223 (1)'!AC696+"h_l!&amp;\J"</f>
        <v>#VALUE!</v>
      </c>
      <c r="BW112" t="e">
        <f>'SurveyRpt_20150223 (1)'!AD696+"h_l!&amp;\K"</f>
        <v>#VALUE!</v>
      </c>
      <c r="BX112" t="e">
        <f>'SurveyRpt_20150223 (1)'!AE696+"h_l!&amp;\L"</f>
        <v>#VALUE!</v>
      </c>
      <c r="BY112" t="e">
        <f>'SurveyRpt_20150223 (1)'!AF696+"h_l!&amp;\M"</f>
        <v>#VALUE!</v>
      </c>
      <c r="BZ112" t="e">
        <f>'SurveyRpt_20150223 (1)'!AG696+"h_l!&amp;\N"</f>
        <v>#VALUE!</v>
      </c>
      <c r="CA112" t="e">
        <f>'SurveyRpt_20150223 (1)'!AH696+"h_l!&amp;\O"</f>
        <v>#VALUE!</v>
      </c>
      <c r="CB112" t="e">
        <f>'SurveyRpt_20150223 (1)'!AI696+"h_l!&amp;\P"</f>
        <v>#VALUE!</v>
      </c>
      <c r="CC112" t="e">
        <f>'SurveyRpt_20150223 (1)'!AJ696+"h_l!&amp;\Q"</f>
        <v>#VALUE!</v>
      </c>
      <c r="CD112" t="e">
        <f>'SurveyRpt_20150223 (1)'!AK696+"h_l!&amp;\R"</f>
        <v>#VALUE!</v>
      </c>
      <c r="CE112" t="e">
        <f>'SurveyRpt_20150223 (1)'!AL696+"h_l!&amp;\S"</f>
        <v>#VALUE!</v>
      </c>
      <c r="CF112" t="e">
        <f>'SurveyRpt_20150223 (1)'!AM696+"h_l!&amp;\T"</f>
        <v>#VALUE!</v>
      </c>
      <c r="CG112" t="e">
        <f>'SurveyRpt_20150223 (1)'!AN696+"h_l!&amp;\U"</f>
        <v>#VALUE!</v>
      </c>
      <c r="CH112" t="e">
        <f>'SurveyRpt_20150223 (1)'!A697+"h_l!&amp;\V"</f>
        <v>#VALUE!</v>
      </c>
      <c r="CI112" s="25" t="e">
        <f>'SurveyRpt_20150223 (1)'!B697+"h_l!&amp;\W"</f>
        <v>#VALUE!</v>
      </c>
      <c r="CJ112" t="e">
        <f>'SurveyRpt_20150223 (1)'!C697+"h_l!&amp;\X"</f>
        <v>#VALUE!</v>
      </c>
      <c r="CK112" s="25" t="e">
        <f>'SurveyRpt_20150223 (1)'!D697+"h_l!&amp;\Y"</f>
        <v>#VALUE!</v>
      </c>
      <c r="CL112" t="e">
        <f>'SurveyRpt_20150223 (1)'!E697+"h_l!&amp;\Z"</f>
        <v>#VALUE!</v>
      </c>
      <c r="CM112" t="e">
        <f>'SurveyRpt_20150223 (1)'!F697+"h_l!&amp;\["</f>
        <v>#VALUE!</v>
      </c>
      <c r="CN112" t="e">
        <f>'SurveyRpt_20150223 (1)'!G697+"h_l!&amp;\\"</f>
        <v>#VALUE!</v>
      </c>
      <c r="CO112" t="e">
        <f>'SurveyRpt_20150223 (1)'!H697+"h_l!&amp;\]"</f>
        <v>#VALUE!</v>
      </c>
      <c r="CP112" t="e">
        <f>'SurveyRpt_20150223 (1)'!I697+"h_l!&amp;\^"</f>
        <v>#VALUE!</v>
      </c>
      <c r="CQ112" t="e">
        <f>'SurveyRpt_20150223 (1)'!J697+"h_l!&amp;\_"</f>
        <v>#VALUE!</v>
      </c>
      <c r="CR112" t="e">
        <f>'SurveyRpt_20150223 (1)'!K697+"h_l!&amp;\`"</f>
        <v>#VALUE!</v>
      </c>
      <c r="CS112" t="e">
        <f>'SurveyRpt_20150223 (1)'!L697+"h_l!&amp;\a"</f>
        <v>#VALUE!</v>
      </c>
      <c r="CT112" t="e">
        <f>'SurveyRpt_20150223 (1)'!M697+"h_l!&amp;\b"</f>
        <v>#VALUE!</v>
      </c>
      <c r="CU112" t="e">
        <f>'SurveyRpt_20150223 (1)'!N697+"h_l!&amp;\c"</f>
        <v>#VALUE!</v>
      </c>
      <c r="CV112" t="e">
        <f>'SurveyRpt_20150223 (1)'!O697+"h_l!&amp;\d"</f>
        <v>#VALUE!</v>
      </c>
      <c r="CW112" t="e">
        <f>'SurveyRpt_20150223 (1)'!P697+"h_l!&amp;\e"</f>
        <v>#VALUE!</v>
      </c>
      <c r="CX112" t="e">
        <f>'SurveyRpt_20150223 (1)'!Q697+"h_l!&amp;\f"</f>
        <v>#VALUE!</v>
      </c>
      <c r="CY112" t="e">
        <f>'SurveyRpt_20150223 (1)'!R697+"h_l!&amp;\g"</f>
        <v>#VALUE!</v>
      </c>
      <c r="CZ112" t="e">
        <f>'SurveyRpt_20150223 (1)'!S697+"h_l!&amp;\h"</f>
        <v>#VALUE!</v>
      </c>
      <c r="DA112" t="e">
        <f>'SurveyRpt_20150223 (1)'!T697+"h_l!&amp;\i"</f>
        <v>#VALUE!</v>
      </c>
      <c r="DB112" t="e">
        <f>'SurveyRpt_20150223 (1)'!U697+"h_l!&amp;\j"</f>
        <v>#VALUE!</v>
      </c>
      <c r="DC112" t="e">
        <f>'SurveyRpt_20150223 (1)'!V697+"h_l!&amp;\k"</f>
        <v>#VALUE!</v>
      </c>
      <c r="DD112" t="e">
        <f>'SurveyRpt_20150223 (1)'!W697+"h_l!&amp;\l"</f>
        <v>#VALUE!</v>
      </c>
      <c r="DE112" t="e">
        <f>'SurveyRpt_20150223 (1)'!X697+"h_l!&amp;\m"</f>
        <v>#VALUE!</v>
      </c>
      <c r="DF112" t="e">
        <f>'SurveyRpt_20150223 (1)'!Y697+"h_l!&amp;\n"</f>
        <v>#VALUE!</v>
      </c>
      <c r="DG112" t="e">
        <f>'SurveyRpt_20150223 (1)'!Z697+"h_l!&amp;\o"</f>
        <v>#VALUE!</v>
      </c>
      <c r="DH112" t="e">
        <f>'SurveyRpt_20150223 (1)'!AA697+"h_l!&amp;\p"</f>
        <v>#VALUE!</v>
      </c>
      <c r="DI112" t="e">
        <f>'SurveyRpt_20150223 (1)'!AB697+"h_l!&amp;\q"</f>
        <v>#VALUE!</v>
      </c>
      <c r="DJ112" t="e">
        <f>'SurveyRpt_20150223 (1)'!AC697+"h_l!&amp;\r"</f>
        <v>#VALUE!</v>
      </c>
      <c r="DK112" t="e">
        <f>'SurveyRpt_20150223 (1)'!AD697+"h_l!&amp;\s"</f>
        <v>#VALUE!</v>
      </c>
      <c r="DL112" t="e">
        <f>'SurveyRpt_20150223 (1)'!AE697+"h_l!&amp;\t"</f>
        <v>#VALUE!</v>
      </c>
      <c r="DM112" t="e">
        <f>'SurveyRpt_20150223 (1)'!AF697+"h_l!&amp;\u"</f>
        <v>#VALUE!</v>
      </c>
      <c r="DN112" t="e">
        <f>'SurveyRpt_20150223 (1)'!AG697+"h_l!&amp;\v"</f>
        <v>#VALUE!</v>
      </c>
      <c r="DO112" t="e">
        <f>'SurveyRpt_20150223 (1)'!AH697+"h_l!&amp;\w"</f>
        <v>#VALUE!</v>
      </c>
      <c r="DP112" t="e">
        <f>'SurveyRpt_20150223 (1)'!AI697+"h_l!&amp;\x"</f>
        <v>#VALUE!</v>
      </c>
      <c r="DQ112" t="e">
        <f>'SurveyRpt_20150223 (1)'!AJ697+"h_l!&amp;\y"</f>
        <v>#VALUE!</v>
      </c>
      <c r="DR112" t="e">
        <f>'SurveyRpt_20150223 (1)'!AK697+"h_l!&amp;\z"</f>
        <v>#VALUE!</v>
      </c>
      <c r="DS112" t="e">
        <f>'SurveyRpt_20150223 (1)'!AL697+"h_l!&amp;\{"</f>
        <v>#VALUE!</v>
      </c>
      <c r="DT112" t="e">
        <f>'SurveyRpt_20150223 (1)'!AM697+"h_l!&amp;\|"</f>
        <v>#VALUE!</v>
      </c>
      <c r="DU112" t="e">
        <f>'SurveyRpt_20150223 (1)'!AN697+"h_l!&amp;\}"</f>
        <v>#VALUE!</v>
      </c>
      <c r="DV112" t="e">
        <f>'SurveyRpt_20150223 (1)'!A698+"h_l!&amp;\~"</f>
        <v>#VALUE!</v>
      </c>
      <c r="DW112" s="25" t="e">
        <f>'SurveyRpt_20150223 (1)'!B698+"h_l!&amp;]#"</f>
        <v>#VALUE!</v>
      </c>
      <c r="DX112" t="e">
        <f>'SurveyRpt_20150223 (1)'!C698+"h_l!&amp;]$"</f>
        <v>#VALUE!</v>
      </c>
      <c r="DY112" s="25" t="e">
        <f>'SurveyRpt_20150223 (1)'!D698+"h_l!&amp;]%"</f>
        <v>#VALUE!</v>
      </c>
      <c r="DZ112" t="e">
        <f>'SurveyRpt_20150223 (1)'!E698+"h_l!&amp;]&amp;"</f>
        <v>#VALUE!</v>
      </c>
      <c r="EA112" t="e">
        <f>'SurveyRpt_20150223 (1)'!F698+"h_l!&amp;]'"</f>
        <v>#VALUE!</v>
      </c>
      <c r="EB112" t="e">
        <f>'SurveyRpt_20150223 (1)'!G698+"h_l!&amp;]("</f>
        <v>#VALUE!</v>
      </c>
      <c r="EC112" t="e">
        <f>'SurveyRpt_20150223 (1)'!H698+"h_l!&amp;])"</f>
        <v>#VALUE!</v>
      </c>
      <c r="ED112" t="e">
        <f>'SurveyRpt_20150223 (1)'!I698+"h_l!&amp;]."</f>
        <v>#VALUE!</v>
      </c>
      <c r="EE112" t="e">
        <f>'SurveyRpt_20150223 (1)'!J698+"h_l!&amp;]/"</f>
        <v>#VALUE!</v>
      </c>
      <c r="EF112" t="e">
        <f>'SurveyRpt_20150223 (1)'!K698+"h_l!&amp;]0"</f>
        <v>#VALUE!</v>
      </c>
      <c r="EG112" t="e">
        <f>'SurveyRpt_20150223 (1)'!L698+"h_l!&amp;]1"</f>
        <v>#VALUE!</v>
      </c>
      <c r="EH112" t="e">
        <f>'SurveyRpt_20150223 (1)'!M698+"h_l!&amp;]2"</f>
        <v>#VALUE!</v>
      </c>
      <c r="EI112" t="e">
        <f>'SurveyRpt_20150223 (1)'!N698+"h_l!&amp;]3"</f>
        <v>#VALUE!</v>
      </c>
      <c r="EJ112" t="e">
        <f>'SurveyRpt_20150223 (1)'!O698+"h_l!&amp;]4"</f>
        <v>#VALUE!</v>
      </c>
      <c r="EK112" t="e">
        <f>'SurveyRpt_20150223 (1)'!P698+"h_l!&amp;]5"</f>
        <v>#VALUE!</v>
      </c>
      <c r="EL112" t="e">
        <f>'SurveyRpt_20150223 (1)'!Q698+"h_l!&amp;]6"</f>
        <v>#VALUE!</v>
      </c>
      <c r="EM112" t="e">
        <f>'SurveyRpt_20150223 (1)'!R698+"h_l!&amp;]7"</f>
        <v>#VALUE!</v>
      </c>
      <c r="EN112" t="e">
        <f>'SurveyRpt_20150223 (1)'!S698+"h_l!&amp;]8"</f>
        <v>#VALUE!</v>
      </c>
      <c r="EO112" t="e">
        <f>'SurveyRpt_20150223 (1)'!T698+"h_l!&amp;]9"</f>
        <v>#VALUE!</v>
      </c>
      <c r="EP112" t="e">
        <f>'SurveyRpt_20150223 (1)'!U698+"h_l!&amp;]:"</f>
        <v>#VALUE!</v>
      </c>
      <c r="EQ112" t="e">
        <f>'SurveyRpt_20150223 (1)'!V698+"h_l!&amp;];"</f>
        <v>#VALUE!</v>
      </c>
      <c r="ER112" t="e">
        <f>'SurveyRpt_20150223 (1)'!W698+"h_l!&amp;]&lt;"</f>
        <v>#VALUE!</v>
      </c>
      <c r="ES112" t="e">
        <f>'SurveyRpt_20150223 (1)'!X698+"h_l!&amp;]="</f>
        <v>#VALUE!</v>
      </c>
      <c r="ET112" t="e">
        <f>'SurveyRpt_20150223 (1)'!Y698+"h_l!&amp;]&gt;"</f>
        <v>#VALUE!</v>
      </c>
      <c r="EU112" t="e">
        <f>'SurveyRpt_20150223 (1)'!Z698+"h_l!&amp;]?"</f>
        <v>#VALUE!</v>
      </c>
      <c r="EV112" t="e">
        <f>'SurveyRpt_20150223 (1)'!AA698+"h_l!&amp;]@"</f>
        <v>#VALUE!</v>
      </c>
      <c r="EW112" t="e">
        <f>'SurveyRpt_20150223 (1)'!AB698+"h_l!&amp;]A"</f>
        <v>#VALUE!</v>
      </c>
      <c r="EX112" t="e">
        <f>'SurveyRpt_20150223 (1)'!AC698+"h_l!&amp;]B"</f>
        <v>#VALUE!</v>
      </c>
      <c r="EY112" t="e">
        <f>'SurveyRpt_20150223 (1)'!AD698+"h_l!&amp;]C"</f>
        <v>#VALUE!</v>
      </c>
      <c r="EZ112" t="e">
        <f>'SurveyRpt_20150223 (1)'!AE698+"h_l!&amp;]D"</f>
        <v>#VALUE!</v>
      </c>
      <c r="FA112" t="e">
        <f>'SurveyRpt_20150223 (1)'!AF698+"h_l!&amp;]E"</f>
        <v>#VALUE!</v>
      </c>
      <c r="FB112" t="e">
        <f>'SurveyRpt_20150223 (1)'!AG698+"h_l!&amp;]F"</f>
        <v>#VALUE!</v>
      </c>
      <c r="FC112" t="e">
        <f>'SurveyRpt_20150223 (1)'!AH698+"h_l!&amp;]G"</f>
        <v>#VALUE!</v>
      </c>
      <c r="FD112" t="e">
        <f>'SurveyRpt_20150223 (1)'!AI698+"h_l!&amp;]H"</f>
        <v>#VALUE!</v>
      </c>
      <c r="FE112" t="e">
        <f>'SurveyRpt_20150223 (1)'!AJ698+"h_l!&amp;]I"</f>
        <v>#VALUE!</v>
      </c>
      <c r="FF112" t="e">
        <f>'SurveyRpt_20150223 (1)'!AK698+"h_l!&amp;]J"</f>
        <v>#VALUE!</v>
      </c>
      <c r="FG112" t="e">
        <f>'SurveyRpt_20150223 (1)'!AL698+"h_l!&amp;]K"</f>
        <v>#VALUE!</v>
      </c>
      <c r="FH112" t="e">
        <f>'SurveyRpt_20150223 (1)'!AM698+"h_l!&amp;]L"</f>
        <v>#VALUE!</v>
      </c>
      <c r="FI112" t="e">
        <f>'SurveyRpt_20150223 (1)'!AN698+"h_l!&amp;]M"</f>
        <v>#VALUE!</v>
      </c>
      <c r="FJ112" t="e">
        <f>'SurveyRpt_20150223 (1)'!A699+"h_l!&amp;]N"</f>
        <v>#VALUE!</v>
      </c>
      <c r="FK112" s="25" t="e">
        <f>'SurveyRpt_20150223 (1)'!B699+"h_l!&amp;]O"</f>
        <v>#VALUE!</v>
      </c>
      <c r="FL112" t="e">
        <f>'SurveyRpt_20150223 (1)'!C699+"h_l!&amp;]P"</f>
        <v>#VALUE!</v>
      </c>
      <c r="FM112" s="25" t="e">
        <f>'SurveyRpt_20150223 (1)'!D699+"h_l!&amp;]Q"</f>
        <v>#VALUE!</v>
      </c>
      <c r="FN112" t="e">
        <f>'SurveyRpt_20150223 (1)'!E699+"h_l!&amp;]R"</f>
        <v>#VALUE!</v>
      </c>
      <c r="FO112" t="e">
        <f>'SurveyRpt_20150223 (1)'!F699+"h_l!&amp;]S"</f>
        <v>#VALUE!</v>
      </c>
      <c r="FP112" t="e">
        <f>'SurveyRpt_20150223 (1)'!G699+"h_l!&amp;]T"</f>
        <v>#VALUE!</v>
      </c>
      <c r="FQ112" t="e">
        <f>'SurveyRpt_20150223 (1)'!H699+"h_l!&amp;]U"</f>
        <v>#VALUE!</v>
      </c>
      <c r="FR112" t="e">
        <f>'SurveyRpt_20150223 (1)'!I699+"h_l!&amp;]V"</f>
        <v>#VALUE!</v>
      </c>
      <c r="FS112" t="e">
        <f>'SurveyRpt_20150223 (1)'!J699+"h_l!&amp;]W"</f>
        <v>#VALUE!</v>
      </c>
      <c r="FT112" t="e">
        <f>'SurveyRpt_20150223 (1)'!K699+"h_l!&amp;]X"</f>
        <v>#VALUE!</v>
      </c>
      <c r="FU112" t="e">
        <f>'SurveyRpt_20150223 (1)'!L699+"h_l!&amp;]Y"</f>
        <v>#VALUE!</v>
      </c>
      <c r="FV112" t="e">
        <f>'SurveyRpt_20150223 (1)'!M699+"h_l!&amp;]Z"</f>
        <v>#VALUE!</v>
      </c>
      <c r="FW112" t="e">
        <f>'SurveyRpt_20150223 (1)'!N699+"h_l!&amp;]["</f>
        <v>#VALUE!</v>
      </c>
      <c r="FX112" t="e">
        <f>'SurveyRpt_20150223 (1)'!O699+"h_l!&amp;]\"</f>
        <v>#VALUE!</v>
      </c>
      <c r="FY112" t="e">
        <f>'SurveyRpt_20150223 (1)'!P699+"h_l!&amp;]]"</f>
        <v>#VALUE!</v>
      </c>
      <c r="FZ112" t="e">
        <f>'SurveyRpt_20150223 (1)'!Q699+"h_l!&amp;]^"</f>
        <v>#VALUE!</v>
      </c>
      <c r="GA112" t="e">
        <f>'SurveyRpt_20150223 (1)'!R699+"h_l!&amp;]_"</f>
        <v>#VALUE!</v>
      </c>
      <c r="GB112" t="e">
        <f>'SurveyRpt_20150223 (1)'!S699+"h_l!&amp;]`"</f>
        <v>#VALUE!</v>
      </c>
      <c r="GC112" t="e">
        <f>'SurveyRpt_20150223 (1)'!T699+"h_l!&amp;]a"</f>
        <v>#VALUE!</v>
      </c>
      <c r="GD112" t="e">
        <f>'SurveyRpt_20150223 (1)'!U699+"h_l!&amp;]b"</f>
        <v>#VALUE!</v>
      </c>
      <c r="GE112" t="e">
        <f>'SurveyRpt_20150223 (1)'!V699+"h_l!&amp;]c"</f>
        <v>#VALUE!</v>
      </c>
      <c r="GF112" t="e">
        <f>'SurveyRpt_20150223 (1)'!W699+"h_l!&amp;]d"</f>
        <v>#VALUE!</v>
      </c>
      <c r="GG112" t="e">
        <f>'SurveyRpt_20150223 (1)'!X699+"h_l!&amp;]e"</f>
        <v>#VALUE!</v>
      </c>
      <c r="GH112" t="e">
        <f>'SurveyRpt_20150223 (1)'!Y699+"h_l!&amp;]f"</f>
        <v>#VALUE!</v>
      </c>
      <c r="GI112" t="e">
        <f>'SurveyRpt_20150223 (1)'!Z699+"h_l!&amp;]g"</f>
        <v>#VALUE!</v>
      </c>
      <c r="GJ112" t="e">
        <f>'SurveyRpt_20150223 (1)'!AA699+"h_l!&amp;]h"</f>
        <v>#VALUE!</v>
      </c>
      <c r="GK112" t="e">
        <f>'SurveyRpt_20150223 (1)'!AB699+"h_l!&amp;]i"</f>
        <v>#VALUE!</v>
      </c>
      <c r="GL112" t="e">
        <f>'SurveyRpt_20150223 (1)'!AC699+"h_l!&amp;]j"</f>
        <v>#VALUE!</v>
      </c>
      <c r="GM112" t="e">
        <f>'SurveyRpt_20150223 (1)'!AD699+"h_l!&amp;]k"</f>
        <v>#VALUE!</v>
      </c>
      <c r="GN112" t="e">
        <f>'SurveyRpt_20150223 (1)'!AE699+"h_l!&amp;]l"</f>
        <v>#VALUE!</v>
      </c>
      <c r="GO112" t="e">
        <f>'SurveyRpt_20150223 (1)'!AF699+"h_l!&amp;]m"</f>
        <v>#VALUE!</v>
      </c>
      <c r="GP112" t="e">
        <f>'SurveyRpt_20150223 (1)'!AG699+"h_l!&amp;]n"</f>
        <v>#VALUE!</v>
      </c>
      <c r="GQ112" t="e">
        <f>'SurveyRpt_20150223 (1)'!AH699+"h_l!&amp;]o"</f>
        <v>#VALUE!</v>
      </c>
      <c r="GR112" t="e">
        <f>'SurveyRpt_20150223 (1)'!AI699+"h_l!&amp;]p"</f>
        <v>#VALUE!</v>
      </c>
      <c r="GS112" t="e">
        <f>'SurveyRpt_20150223 (1)'!AJ699+"h_l!&amp;]q"</f>
        <v>#VALUE!</v>
      </c>
      <c r="GT112" t="e">
        <f>'SurveyRpt_20150223 (1)'!AK699+"h_l!&amp;]r"</f>
        <v>#VALUE!</v>
      </c>
      <c r="GU112" t="e">
        <f>'SurveyRpt_20150223 (1)'!AL699+"h_l!&amp;]s"</f>
        <v>#VALUE!</v>
      </c>
      <c r="GV112" t="e">
        <f>'SurveyRpt_20150223 (1)'!AM699+"h_l!&amp;]t"</f>
        <v>#VALUE!</v>
      </c>
      <c r="GW112" t="e">
        <f>'SurveyRpt_20150223 (1)'!AN699+"h_l!&amp;]u"</f>
        <v>#VALUE!</v>
      </c>
      <c r="GX112" t="e">
        <f>'SurveyRpt_20150223 (1)'!A700+"h_l!&amp;]v"</f>
        <v>#VALUE!</v>
      </c>
      <c r="GY112" s="25" t="e">
        <f>'SurveyRpt_20150223 (1)'!B700+"h_l!&amp;]w"</f>
        <v>#VALUE!</v>
      </c>
      <c r="GZ112" t="e">
        <f>'SurveyRpt_20150223 (1)'!C700+"h_l!&amp;]x"</f>
        <v>#VALUE!</v>
      </c>
      <c r="HA112" s="25" t="e">
        <f>'SurveyRpt_20150223 (1)'!D700+"h_l!&amp;]y"</f>
        <v>#VALUE!</v>
      </c>
      <c r="HB112" t="e">
        <f>'SurveyRpt_20150223 (1)'!E700+"h_l!&amp;]z"</f>
        <v>#VALUE!</v>
      </c>
      <c r="HC112" t="e">
        <f>'SurveyRpt_20150223 (1)'!F700+"h_l!&amp;]{"</f>
        <v>#VALUE!</v>
      </c>
      <c r="HD112" t="e">
        <f>'SurveyRpt_20150223 (1)'!G700+"h_l!&amp;]|"</f>
        <v>#VALUE!</v>
      </c>
      <c r="HE112" t="e">
        <f>'SurveyRpt_20150223 (1)'!H700+"h_l!&amp;]}"</f>
        <v>#VALUE!</v>
      </c>
      <c r="HF112" t="e">
        <f>'SurveyRpt_20150223 (1)'!I700+"h_l!&amp;]~"</f>
        <v>#VALUE!</v>
      </c>
      <c r="HG112" t="e">
        <f>'SurveyRpt_20150223 (1)'!J700+"h_l!&amp;^#"</f>
        <v>#VALUE!</v>
      </c>
      <c r="HH112" t="e">
        <f>'SurveyRpt_20150223 (1)'!K700+"h_l!&amp;^$"</f>
        <v>#VALUE!</v>
      </c>
      <c r="HI112" t="e">
        <f>'SurveyRpt_20150223 (1)'!L700+"h_l!&amp;^%"</f>
        <v>#VALUE!</v>
      </c>
      <c r="HJ112" t="e">
        <f>'SurveyRpt_20150223 (1)'!M700+"h_l!&amp;^&amp;"</f>
        <v>#VALUE!</v>
      </c>
      <c r="HK112" t="e">
        <f>'SurveyRpt_20150223 (1)'!N700+"h_l!&amp;^'"</f>
        <v>#VALUE!</v>
      </c>
      <c r="HL112" t="e">
        <f>'SurveyRpt_20150223 (1)'!O700+"h_l!&amp;^("</f>
        <v>#VALUE!</v>
      </c>
      <c r="HM112" t="e">
        <f>'SurveyRpt_20150223 (1)'!P700+"h_l!&amp;^)"</f>
        <v>#VALUE!</v>
      </c>
      <c r="HN112" t="e">
        <f>'SurveyRpt_20150223 (1)'!Q700+"h_l!&amp;^."</f>
        <v>#VALUE!</v>
      </c>
      <c r="HO112" t="e">
        <f>'SurveyRpt_20150223 (1)'!R700+"h_l!&amp;^/"</f>
        <v>#VALUE!</v>
      </c>
      <c r="HP112" t="e">
        <f>'SurveyRpt_20150223 (1)'!S700+"h_l!&amp;^0"</f>
        <v>#VALUE!</v>
      </c>
      <c r="HQ112" t="e">
        <f>'SurveyRpt_20150223 (1)'!T700+"h_l!&amp;^1"</f>
        <v>#VALUE!</v>
      </c>
      <c r="HR112" t="e">
        <f>'SurveyRpt_20150223 (1)'!U700+"h_l!&amp;^2"</f>
        <v>#VALUE!</v>
      </c>
      <c r="HS112" t="e">
        <f>'SurveyRpt_20150223 (1)'!V700+"h_l!&amp;^3"</f>
        <v>#VALUE!</v>
      </c>
      <c r="HT112" t="e">
        <f>'SurveyRpt_20150223 (1)'!W700+"h_l!&amp;^4"</f>
        <v>#VALUE!</v>
      </c>
      <c r="HU112" t="e">
        <f>'SurveyRpt_20150223 (1)'!X700+"h_l!&amp;^5"</f>
        <v>#VALUE!</v>
      </c>
      <c r="HV112" t="e">
        <f>'SurveyRpt_20150223 (1)'!Y700+"h_l!&amp;^6"</f>
        <v>#VALUE!</v>
      </c>
      <c r="HW112" t="e">
        <f>'SurveyRpt_20150223 (1)'!Z700+"h_l!&amp;^7"</f>
        <v>#VALUE!</v>
      </c>
      <c r="HX112" t="e">
        <f>'SurveyRpt_20150223 (1)'!AA700+"h_l!&amp;^8"</f>
        <v>#VALUE!</v>
      </c>
      <c r="HY112" t="e">
        <f>'SurveyRpt_20150223 (1)'!AB700+"h_l!&amp;^9"</f>
        <v>#VALUE!</v>
      </c>
      <c r="HZ112" t="e">
        <f>'SurveyRpt_20150223 (1)'!AC700+"h_l!&amp;^:"</f>
        <v>#VALUE!</v>
      </c>
      <c r="IA112" t="e">
        <f>'SurveyRpt_20150223 (1)'!AD700+"h_l!&amp;^;"</f>
        <v>#VALUE!</v>
      </c>
      <c r="IB112" t="e">
        <f>'SurveyRpt_20150223 (1)'!AE700+"h_l!&amp;^&lt;"</f>
        <v>#VALUE!</v>
      </c>
      <c r="IC112" t="e">
        <f>'SurveyRpt_20150223 (1)'!AF700+"h_l!&amp;^="</f>
        <v>#VALUE!</v>
      </c>
      <c r="ID112" t="e">
        <f>'SurveyRpt_20150223 (1)'!AG700+"h_l!&amp;^&gt;"</f>
        <v>#VALUE!</v>
      </c>
      <c r="IE112" t="e">
        <f>'SurveyRpt_20150223 (1)'!AH700+"h_l!&amp;^?"</f>
        <v>#VALUE!</v>
      </c>
      <c r="IF112" t="e">
        <f>'SurveyRpt_20150223 (1)'!AI700+"h_l!&amp;^@"</f>
        <v>#VALUE!</v>
      </c>
      <c r="IG112" t="e">
        <f>'SurveyRpt_20150223 (1)'!AJ700+"h_l!&amp;^A"</f>
        <v>#VALUE!</v>
      </c>
      <c r="IH112" t="e">
        <f>'SurveyRpt_20150223 (1)'!AK700+"h_l!&amp;^B"</f>
        <v>#VALUE!</v>
      </c>
      <c r="II112" t="e">
        <f>'SurveyRpt_20150223 (1)'!AL700+"h_l!&amp;^C"</f>
        <v>#VALUE!</v>
      </c>
      <c r="IJ112" t="e">
        <f>'SurveyRpt_20150223 (1)'!AM700+"h_l!&amp;^D"</f>
        <v>#VALUE!</v>
      </c>
      <c r="IK112" t="e">
        <f>'SurveyRpt_20150223 (1)'!AN700+"h_l!&amp;^E"</f>
        <v>#VALUE!</v>
      </c>
      <c r="IL112" t="e">
        <f>'SurveyRpt_20150223 (1)'!A701+"h_l!&amp;^F"</f>
        <v>#VALUE!</v>
      </c>
      <c r="IM112" s="25" t="e">
        <f>'SurveyRpt_20150223 (1)'!B701+"h_l!&amp;^G"</f>
        <v>#VALUE!</v>
      </c>
      <c r="IN112" t="e">
        <f>'SurveyRpt_20150223 (1)'!C701+"h_l!&amp;^H"</f>
        <v>#VALUE!</v>
      </c>
      <c r="IO112" s="25" t="e">
        <f>'SurveyRpt_20150223 (1)'!D701+"h_l!&amp;^I"</f>
        <v>#VALUE!</v>
      </c>
      <c r="IP112" t="e">
        <f>'SurveyRpt_20150223 (1)'!E701+"h_l!&amp;^J"</f>
        <v>#VALUE!</v>
      </c>
      <c r="IQ112" t="e">
        <f>'SurveyRpt_20150223 (1)'!F701+"h_l!&amp;^K"</f>
        <v>#VALUE!</v>
      </c>
      <c r="IR112" t="e">
        <f>'SurveyRpt_20150223 (1)'!G701+"h_l!&amp;^L"</f>
        <v>#VALUE!</v>
      </c>
      <c r="IS112" t="e">
        <f>'SurveyRpt_20150223 (1)'!H701+"h_l!&amp;^M"</f>
        <v>#VALUE!</v>
      </c>
      <c r="IT112" t="e">
        <f>'SurveyRpt_20150223 (1)'!I701+"h_l!&amp;^N"</f>
        <v>#VALUE!</v>
      </c>
      <c r="IU112" t="e">
        <f>'SurveyRpt_20150223 (1)'!J701+"h_l!&amp;^O"</f>
        <v>#VALUE!</v>
      </c>
      <c r="IV112" t="e">
        <f>'SurveyRpt_20150223 (1)'!K701+"h_l!&amp;^P"</f>
        <v>#VALUE!</v>
      </c>
    </row>
    <row r="113" spans="6:256" x14ac:dyDescent="0.25">
      <c r="F113" t="e">
        <f>'SurveyRpt_20150223 (1)'!L701+"h_l!&amp;^Q"</f>
        <v>#VALUE!</v>
      </c>
      <c r="G113" t="e">
        <f>'SurveyRpt_20150223 (1)'!M701+"h_l!&amp;^R"</f>
        <v>#VALUE!</v>
      </c>
      <c r="H113" t="e">
        <f>'SurveyRpt_20150223 (1)'!N701+"h_l!&amp;^S"</f>
        <v>#VALUE!</v>
      </c>
      <c r="I113" t="e">
        <f>'SurveyRpt_20150223 (1)'!O701+"h_l!&amp;^T"</f>
        <v>#VALUE!</v>
      </c>
      <c r="J113" t="e">
        <f>'SurveyRpt_20150223 (1)'!P701+"h_l!&amp;^U"</f>
        <v>#VALUE!</v>
      </c>
      <c r="K113" t="e">
        <f>'SurveyRpt_20150223 (1)'!Q701+"h_l!&amp;^V"</f>
        <v>#VALUE!</v>
      </c>
      <c r="L113" t="e">
        <f>'SurveyRpt_20150223 (1)'!R701+"h_l!&amp;^W"</f>
        <v>#VALUE!</v>
      </c>
      <c r="M113" t="e">
        <f>'SurveyRpt_20150223 (1)'!S701+"h_l!&amp;^X"</f>
        <v>#VALUE!</v>
      </c>
      <c r="N113" t="e">
        <f>'SurveyRpt_20150223 (1)'!T701+"h_l!&amp;^Y"</f>
        <v>#VALUE!</v>
      </c>
      <c r="O113" t="e">
        <f>'SurveyRpt_20150223 (1)'!U701+"h_l!&amp;^Z"</f>
        <v>#VALUE!</v>
      </c>
      <c r="P113" t="e">
        <f>'SurveyRpt_20150223 (1)'!V701+"h_l!&amp;^["</f>
        <v>#VALUE!</v>
      </c>
      <c r="Q113" t="e">
        <f>'SurveyRpt_20150223 (1)'!W701+"h_l!&amp;^\"</f>
        <v>#VALUE!</v>
      </c>
      <c r="R113" t="e">
        <f>'SurveyRpt_20150223 (1)'!X701+"h_l!&amp;^]"</f>
        <v>#VALUE!</v>
      </c>
      <c r="S113" t="e">
        <f>'SurveyRpt_20150223 (1)'!Y701+"h_l!&amp;^^"</f>
        <v>#VALUE!</v>
      </c>
      <c r="T113" t="e">
        <f>'SurveyRpt_20150223 (1)'!Z701+"h_l!&amp;^_"</f>
        <v>#VALUE!</v>
      </c>
      <c r="U113" t="e">
        <f>'SurveyRpt_20150223 (1)'!AA701+"h_l!&amp;^`"</f>
        <v>#VALUE!</v>
      </c>
      <c r="V113" t="e">
        <f>'SurveyRpt_20150223 (1)'!AB701+"h_l!&amp;^a"</f>
        <v>#VALUE!</v>
      </c>
      <c r="W113" t="e">
        <f>'SurveyRpt_20150223 (1)'!AC701+"h_l!&amp;^b"</f>
        <v>#VALUE!</v>
      </c>
      <c r="X113" t="e">
        <f>'SurveyRpt_20150223 (1)'!AD701+"h_l!&amp;^c"</f>
        <v>#VALUE!</v>
      </c>
      <c r="Y113" t="e">
        <f>'SurveyRpt_20150223 (1)'!AE701+"h_l!&amp;^d"</f>
        <v>#VALUE!</v>
      </c>
      <c r="Z113" t="e">
        <f>'SurveyRpt_20150223 (1)'!AF701+"h_l!&amp;^e"</f>
        <v>#VALUE!</v>
      </c>
      <c r="AA113" t="e">
        <f>'SurveyRpt_20150223 (1)'!AG701+"h_l!&amp;^f"</f>
        <v>#VALUE!</v>
      </c>
      <c r="AB113" t="e">
        <f>'SurveyRpt_20150223 (1)'!AH701+"h_l!&amp;^g"</f>
        <v>#VALUE!</v>
      </c>
      <c r="AC113" t="e">
        <f>'SurveyRpt_20150223 (1)'!AI701+"h_l!&amp;^h"</f>
        <v>#VALUE!</v>
      </c>
      <c r="AD113" t="e">
        <f>'SurveyRpt_20150223 (1)'!AJ701+"h_l!&amp;^i"</f>
        <v>#VALUE!</v>
      </c>
      <c r="AE113" t="e">
        <f>'SurveyRpt_20150223 (1)'!AK701+"h_l!&amp;^j"</f>
        <v>#VALUE!</v>
      </c>
      <c r="AF113" t="e">
        <f>'SurveyRpt_20150223 (1)'!AL701+"h_l!&amp;^k"</f>
        <v>#VALUE!</v>
      </c>
      <c r="AG113" t="e">
        <f>'SurveyRpt_20150223 (1)'!AM701+"h_l!&amp;^l"</f>
        <v>#VALUE!</v>
      </c>
      <c r="AH113" t="e">
        <f>'SurveyRpt_20150223 (1)'!AN701+"h_l!&amp;^m"</f>
        <v>#VALUE!</v>
      </c>
      <c r="AI113" t="e">
        <f>'SurveyRpt_20150223 (1)'!A702+"h_l!&amp;^n"</f>
        <v>#VALUE!</v>
      </c>
      <c r="AJ113" s="25" t="e">
        <f>'SurveyRpt_20150223 (1)'!B702+"h_l!&amp;^o"</f>
        <v>#VALUE!</v>
      </c>
      <c r="AK113" t="e">
        <f>'SurveyRpt_20150223 (1)'!C702+"h_l!&amp;^p"</f>
        <v>#VALUE!</v>
      </c>
      <c r="AL113" s="25" t="e">
        <f>'SurveyRpt_20150223 (1)'!D702+"h_l!&amp;^q"</f>
        <v>#VALUE!</v>
      </c>
      <c r="AM113" t="e">
        <f>'SurveyRpt_20150223 (1)'!E702+"h_l!&amp;^r"</f>
        <v>#VALUE!</v>
      </c>
      <c r="AN113" t="e">
        <f>'SurveyRpt_20150223 (1)'!F702+"h_l!&amp;^s"</f>
        <v>#VALUE!</v>
      </c>
      <c r="AO113" t="e">
        <f>'SurveyRpt_20150223 (1)'!G702+"h_l!&amp;^t"</f>
        <v>#VALUE!</v>
      </c>
      <c r="AP113" t="e">
        <f>'SurveyRpt_20150223 (1)'!H702+"h_l!&amp;^u"</f>
        <v>#VALUE!</v>
      </c>
      <c r="AQ113" t="e">
        <f>'SurveyRpt_20150223 (1)'!I702+"h_l!&amp;^v"</f>
        <v>#VALUE!</v>
      </c>
      <c r="AR113" t="e">
        <f>'SurveyRpt_20150223 (1)'!J702+"h_l!&amp;^w"</f>
        <v>#VALUE!</v>
      </c>
      <c r="AS113" t="e">
        <f>'SurveyRpt_20150223 (1)'!K702+"h_l!&amp;^x"</f>
        <v>#VALUE!</v>
      </c>
      <c r="AT113" t="e">
        <f>'SurveyRpt_20150223 (1)'!L702+"h_l!&amp;^y"</f>
        <v>#VALUE!</v>
      </c>
      <c r="AU113" t="e">
        <f>'SurveyRpt_20150223 (1)'!M702+"h_l!&amp;^z"</f>
        <v>#VALUE!</v>
      </c>
      <c r="AV113" t="e">
        <f>'SurveyRpt_20150223 (1)'!N702+"h_l!&amp;^{"</f>
        <v>#VALUE!</v>
      </c>
      <c r="AW113" t="e">
        <f>'SurveyRpt_20150223 (1)'!O702+"h_l!&amp;^|"</f>
        <v>#VALUE!</v>
      </c>
      <c r="AX113" t="e">
        <f>'SurveyRpt_20150223 (1)'!P702+"h_l!&amp;^}"</f>
        <v>#VALUE!</v>
      </c>
      <c r="AY113" t="e">
        <f>'SurveyRpt_20150223 (1)'!Q702+"h_l!&amp;^~"</f>
        <v>#VALUE!</v>
      </c>
      <c r="AZ113" t="e">
        <f>'SurveyRpt_20150223 (1)'!R702+"h_l!&amp;_#"</f>
        <v>#VALUE!</v>
      </c>
      <c r="BA113" t="e">
        <f>'SurveyRpt_20150223 (1)'!S702+"h_l!&amp;_$"</f>
        <v>#VALUE!</v>
      </c>
      <c r="BB113" t="e">
        <f>'SurveyRpt_20150223 (1)'!T702+"h_l!&amp;_%"</f>
        <v>#VALUE!</v>
      </c>
      <c r="BC113" t="e">
        <f>'SurveyRpt_20150223 (1)'!U702+"h_l!&amp;_&amp;"</f>
        <v>#VALUE!</v>
      </c>
      <c r="BD113" t="e">
        <f>'SurveyRpt_20150223 (1)'!V702+"h_l!&amp;_'"</f>
        <v>#VALUE!</v>
      </c>
      <c r="BE113" t="e">
        <f>'SurveyRpt_20150223 (1)'!W702+"h_l!&amp;_("</f>
        <v>#VALUE!</v>
      </c>
      <c r="BF113" t="e">
        <f>'SurveyRpt_20150223 (1)'!X702+"h_l!&amp;_)"</f>
        <v>#VALUE!</v>
      </c>
      <c r="BG113" t="e">
        <f>'SurveyRpt_20150223 (1)'!Y702+"h_l!&amp;_."</f>
        <v>#VALUE!</v>
      </c>
      <c r="BH113" t="e">
        <f>'SurveyRpt_20150223 (1)'!Z702+"h_l!&amp;_/"</f>
        <v>#VALUE!</v>
      </c>
      <c r="BI113" t="e">
        <f>'SurveyRpt_20150223 (1)'!AA702+"h_l!&amp;_0"</f>
        <v>#VALUE!</v>
      </c>
      <c r="BJ113" t="e">
        <f>'SurveyRpt_20150223 (1)'!AB702+"h_l!&amp;_1"</f>
        <v>#VALUE!</v>
      </c>
      <c r="BK113" t="e">
        <f>'SurveyRpt_20150223 (1)'!AC702+"h_l!&amp;_2"</f>
        <v>#VALUE!</v>
      </c>
      <c r="BL113" t="e">
        <f>'SurveyRpt_20150223 (1)'!AD702+"h_l!&amp;_3"</f>
        <v>#VALUE!</v>
      </c>
      <c r="BM113" t="e">
        <f>'SurveyRpt_20150223 (1)'!AE702+"h_l!&amp;_4"</f>
        <v>#VALUE!</v>
      </c>
      <c r="BN113" t="e">
        <f>'SurveyRpt_20150223 (1)'!AF702+"h_l!&amp;_5"</f>
        <v>#VALUE!</v>
      </c>
      <c r="BO113" t="e">
        <f>'SurveyRpt_20150223 (1)'!AG702+"h_l!&amp;_6"</f>
        <v>#VALUE!</v>
      </c>
      <c r="BP113" t="e">
        <f>'SurveyRpt_20150223 (1)'!AH702+"h_l!&amp;_7"</f>
        <v>#VALUE!</v>
      </c>
      <c r="BQ113" t="e">
        <f>'SurveyRpt_20150223 (1)'!AI702+"h_l!&amp;_8"</f>
        <v>#VALUE!</v>
      </c>
      <c r="BR113" t="e">
        <f>'SurveyRpt_20150223 (1)'!AJ702+"h_l!&amp;_9"</f>
        <v>#VALUE!</v>
      </c>
      <c r="BS113" t="e">
        <f>'SurveyRpt_20150223 (1)'!AK702+"h_l!&amp;_:"</f>
        <v>#VALUE!</v>
      </c>
      <c r="BT113" t="e">
        <f>'SurveyRpt_20150223 (1)'!AL702+"h_l!&amp;_;"</f>
        <v>#VALUE!</v>
      </c>
      <c r="BU113" t="e">
        <f>'SurveyRpt_20150223 (1)'!AM702+"h_l!&amp;_&lt;"</f>
        <v>#VALUE!</v>
      </c>
      <c r="BV113" t="e">
        <f>'SurveyRpt_20150223 (1)'!AN702+"h_l!&amp;_="</f>
        <v>#VALUE!</v>
      </c>
      <c r="BW113" t="e">
        <f>'SurveyRpt_20150223 (1)'!A703+"h_l!&amp;_&gt;"</f>
        <v>#VALUE!</v>
      </c>
      <c r="BX113" s="25" t="e">
        <f>'SurveyRpt_20150223 (1)'!B703+"h_l!&amp;_?"</f>
        <v>#VALUE!</v>
      </c>
      <c r="BY113" t="e">
        <f>'SurveyRpt_20150223 (1)'!C703+"h_l!&amp;_@"</f>
        <v>#VALUE!</v>
      </c>
      <c r="BZ113" s="25" t="e">
        <f>'SurveyRpt_20150223 (1)'!D703+"h_l!&amp;_A"</f>
        <v>#VALUE!</v>
      </c>
      <c r="CA113" t="e">
        <f>'SurveyRpt_20150223 (1)'!E703+"h_l!&amp;_B"</f>
        <v>#VALUE!</v>
      </c>
      <c r="CB113" t="e">
        <f>'SurveyRpt_20150223 (1)'!F703+"h_l!&amp;_C"</f>
        <v>#VALUE!</v>
      </c>
      <c r="CC113" t="e">
        <f>'SurveyRpt_20150223 (1)'!G703+"h_l!&amp;_D"</f>
        <v>#VALUE!</v>
      </c>
      <c r="CD113" t="e">
        <f>'SurveyRpt_20150223 (1)'!H703+"h_l!&amp;_E"</f>
        <v>#VALUE!</v>
      </c>
      <c r="CE113" t="e">
        <f>'SurveyRpt_20150223 (1)'!I703+"h_l!&amp;_F"</f>
        <v>#VALUE!</v>
      </c>
      <c r="CF113" t="e">
        <f>'SurveyRpt_20150223 (1)'!J703+"h_l!&amp;_G"</f>
        <v>#VALUE!</v>
      </c>
      <c r="CG113" t="e">
        <f>'SurveyRpt_20150223 (1)'!K703+"h_l!&amp;_H"</f>
        <v>#VALUE!</v>
      </c>
      <c r="CH113" t="e">
        <f>'SurveyRpt_20150223 (1)'!L703+"h_l!&amp;_I"</f>
        <v>#VALUE!</v>
      </c>
      <c r="CI113" t="e">
        <f>'SurveyRpt_20150223 (1)'!M703+"h_l!&amp;_J"</f>
        <v>#VALUE!</v>
      </c>
      <c r="CJ113" t="e">
        <f>'SurveyRpt_20150223 (1)'!N703+"h_l!&amp;_K"</f>
        <v>#VALUE!</v>
      </c>
      <c r="CK113" t="e">
        <f>'SurveyRpt_20150223 (1)'!O703+"h_l!&amp;_L"</f>
        <v>#VALUE!</v>
      </c>
      <c r="CL113" t="e">
        <f>'SurveyRpt_20150223 (1)'!P703+"h_l!&amp;_M"</f>
        <v>#VALUE!</v>
      </c>
      <c r="CM113" t="e">
        <f>'SurveyRpt_20150223 (1)'!Q703+"h_l!&amp;_N"</f>
        <v>#VALUE!</v>
      </c>
      <c r="CN113" t="e">
        <f>'SurveyRpt_20150223 (1)'!R703+"h_l!&amp;_O"</f>
        <v>#VALUE!</v>
      </c>
      <c r="CO113" t="e">
        <f>'SurveyRpt_20150223 (1)'!S703+"h_l!&amp;_P"</f>
        <v>#VALUE!</v>
      </c>
      <c r="CP113" t="e">
        <f>'SurveyRpt_20150223 (1)'!T703+"h_l!&amp;_Q"</f>
        <v>#VALUE!</v>
      </c>
      <c r="CQ113" t="e">
        <f>'SurveyRpt_20150223 (1)'!U703+"h_l!&amp;_R"</f>
        <v>#VALUE!</v>
      </c>
      <c r="CR113" t="e">
        <f>'SurveyRpt_20150223 (1)'!V703+"h_l!&amp;_S"</f>
        <v>#VALUE!</v>
      </c>
      <c r="CS113" t="e">
        <f>'SurveyRpt_20150223 (1)'!W703+"h_l!&amp;_T"</f>
        <v>#VALUE!</v>
      </c>
      <c r="CT113" t="e">
        <f>'SurveyRpt_20150223 (1)'!X703+"h_l!&amp;_U"</f>
        <v>#VALUE!</v>
      </c>
      <c r="CU113" t="e">
        <f>'SurveyRpt_20150223 (1)'!Y703+"h_l!&amp;_V"</f>
        <v>#VALUE!</v>
      </c>
      <c r="CV113" t="e">
        <f>'SurveyRpt_20150223 (1)'!Z703+"h_l!&amp;_W"</f>
        <v>#VALUE!</v>
      </c>
      <c r="CW113" t="e">
        <f>'SurveyRpt_20150223 (1)'!AA703+"h_l!&amp;_X"</f>
        <v>#VALUE!</v>
      </c>
      <c r="CX113" t="e">
        <f>'SurveyRpt_20150223 (1)'!AB703+"h_l!&amp;_Y"</f>
        <v>#VALUE!</v>
      </c>
      <c r="CY113" t="e">
        <f>'SurveyRpt_20150223 (1)'!AC703+"h_l!&amp;_Z"</f>
        <v>#VALUE!</v>
      </c>
      <c r="CZ113" t="e">
        <f>'SurveyRpt_20150223 (1)'!AD703+"h_l!&amp;_["</f>
        <v>#VALUE!</v>
      </c>
      <c r="DA113" t="e">
        <f>'SurveyRpt_20150223 (1)'!AE703+"h_l!&amp;_\"</f>
        <v>#VALUE!</v>
      </c>
      <c r="DB113" t="e">
        <f>'SurveyRpt_20150223 (1)'!AF703+"h_l!&amp;_]"</f>
        <v>#VALUE!</v>
      </c>
      <c r="DC113" t="e">
        <f>'SurveyRpt_20150223 (1)'!AG703+"h_l!&amp;_^"</f>
        <v>#VALUE!</v>
      </c>
      <c r="DD113" t="e">
        <f>'SurveyRpt_20150223 (1)'!AH703+"h_l!&amp;__"</f>
        <v>#VALUE!</v>
      </c>
      <c r="DE113" t="e">
        <f>'SurveyRpt_20150223 (1)'!AI703+"h_l!&amp;_`"</f>
        <v>#VALUE!</v>
      </c>
      <c r="DF113" t="e">
        <f>'SurveyRpt_20150223 (1)'!AJ703+"h_l!&amp;_a"</f>
        <v>#VALUE!</v>
      </c>
      <c r="DG113" t="e">
        <f>'SurveyRpt_20150223 (1)'!AK703+"h_l!&amp;_b"</f>
        <v>#VALUE!</v>
      </c>
      <c r="DH113" t="e">
        <f>'SurveyRpt_20150223 (1)'!AL703+"h_l!&amp;_c"</f>
        <v>#VALUE!</v>
      </c>
      <c r="DI113" t="e">
        <f>'SurveyRpt_20150223 (1)'!AM703+"h_l!&amp;_d"</f>
        <v>#VALUE!</v>
      </c>
      <c r="DJ113" t="e">
        <f>'SurveyRpt_20150223 (1)'!AN703+"h_l!&amp;_e"</f>
        <v>#VALUE!</v>
      </c>
      <c r="DK113" t="e">
        <f>'SurveyRpt_20150223 (1)'!A704+"h_l!&amp;_f"</f>
        <v>#VALUE!</v>
      </c>
      <c r="DL113" s="25" t="e">
        <f>'SurveyRpt_20150223 (1)'!B704+"h_l!&amp;_g"</f>
        <v>#VALUE!</v>
      </c>
      <c r="DM113" t="e">
        <f>'SurveyRpt_20150223 (1)'!C704+"h_l!&amp;_h"</f>
        <v>#VALUE!</v>
      </c>
      <c r="DN113" s="25" t="e">
        <f>'SurveyRpt_20150223 (1)'!D704+"h_l!&amp;_i"</f>
        <v>#VALUE!</v>
      </c>
      <c r="DO113" t="e">
        <f>'SurveyRpt_20150223 (1)'!E704+"h_l!&amp;_j"</f>
        <v>#VALUE!</v>
      </c>
      <c r="DP113" t="e">
        <f>'SurveyRpt_20150223 (1)'!F704+"h_l!&amp;_k"</f>
        <v>#VALUE!</v>
      </c>
      <c r="DQ113" t="e">
        <f>'SurveyRpt_20150223 (1)'!G704+"h_l!&amp;_l"</f>
        <v>#VALUE!</v>
      </c>
      <c r="DR113" t="e">
        <f>'SurveyRpt_20150223 (1)'!H704+"h_l!&amp;_m"</f>
        <v>#VALUE!</v>
      </c>
      <c r="DS113" t="e">
        <f>'SurveyRpt_20150223 (1)'!I704+"h_l!&amp;_n"</f>
        <v>#VALUE!</v>
      </c>
      <c r="DT113" t="e">
        <f>'SurveyRpt_20150223 (1)'!J704+"h_l!&amp;_o"</f>
        <v>#VALUE!</v>
      </c>
      <c r="DU113" t="e">
        <f>'SurveyRpt_20150223 (1)'!K704+"h_l!&amp;_p"</f>
        <v>#VALUE!</v>
      </c>
      <c r="DV113" t="e">
        <f>'SurveyRpt_20150223 (1)'!L704+"h_l!&amp;_q"</f>
        <v>#VALUE!</v>
      </c>
      <c r="DW113" t="e">
        <f>'SurveyRpt_20150223 (1)'!M704+"h_l!&amp;_r"</f>
        <v>#VALUE!</v>
      </c>
      <c r="DX113" t="e">
        <f>'SurveyRpt_20150223 (1)'!N704+"h_l!&amp;_s"</f>
        <v>#VALUE!</v>
      </c>
      <c r="DY113" t="e">
        <f>'SurveyRpt_20150223 (1)'!O704+"h_l!&amp;_t"</f>
        <v>#VALUE!</v>
      </c>
      <c r="DZ113" t="e">
        <f>'SurveyRpt_20150223 (1)'!P704+"h_l!&amp;_u"</f>
        <v>#VALUE!</v>
      </c>
      <c r="EA113" t="e">
        <f>'SurveyRpt_20150223 (1)'!Q704+"h_l!&amp;_v"</f>
        <v>#VALUE!</v>
      </c>
      <c r="EB113" t="e">
        <f>'SurveyRpt_20150223 (1)'!R704+"h_l!&amp;_w"</f>
        <v>#VALUE!</v>
      </c>
      <c r="EC113" t="e">
        <f>'SurveyRpt_20150223 (1)'!S704+"h_l!&amp;_x"</f>
        <v>#VALUE!</v>
      </c>
      <c r="ED113" t="e">
        <f>'SurveyRpt_20150223 (1)'!T704+"h_l!&amp;_y"</f>
        <v>#VALUE!</v>
      </c>
      <c r="EE113" t="e">
        <f>'SurveyRpt_20150223 (1)'!U704+"h_l!&amp;_z"</f>
        <v>#VALUE!</v>
      </c>
      <c r="EF113" t="e">
        <f>'SurveyRpt_20150223 (1)'!V704+"h_l!&amp;_{"</f>
        <v>#VALUE!</v>
      </c>
      <c r="EG113" t="e">
        <f>'SurveyRpt_20150223 (1)'!W704+"h_l!&amp;_|"</f>
        <v>#VALUE!</v>
      </c>
      <c r="EH113" t="e">
        <f>'SurveyRpt_20150223 (1)'!X704+"h_l!&amp;_}"</f>
        <v>#VALUE!</v>
      </c>
      <c r="EI113" t="e">
        <f>'SurveyRpt_20150223 (1)'!Y704+"h_l!&amp;_~"</f>
        <v>#VALUE!</v>
      </c>
      <c r="EJ113" t="e">
        <f>'SurveyRpt_20150223 (1)'!Z704+"h_l!&amp;`#"</f>
        <v>#VALUE!</v>
      </c>
      <c r="EK113" t="e">
        <f>'SurveyRpt_20150223 (1)'!AA704+"h_l!&amp;`$"</f>
        <v>#VALUE!</v>
      </c>
      <c r="EL113" t="e">
        <f>'SurveyRpt_20150223 (1)'!AB704+"h_l!&amp;`%"</f>
        <v>#VALUE!</v>
      </c>
      <c r="EM113" t="e">
        <f>'SurveyRpt_20150223 (1)'!AC704+"h_l!&amp;`&amp;"</f>
        <v>#VALUE!</v>
      </c>
      <c r="EN113" t="e">
        <f>'SurveyRpt_20150223 (1)'!AD704+"h_l!&amp;`'"</f>
        <v>#VALUE!</v>
      </c>
      <c r="EO113" t="e">
        <f>'SurveyRpt_20150223 (1)'!AE704+"h_l!&amp;`("</f>
        <v>#VALUE!</v>
      </c>
      <c r="EP113" t="e">
        <f>'SurveyRpt_20150223 (1)'!AF704+"h_l!&amp;`)"</f>
        <v>#VALUE!</v>
      </c>
      <c r="EQ113" t="e">
        <f>'SurveyRpt_20150223 (1)'!AG704+"h_l!&amp;`."</f>
        <v>#VALUE!</v>
      </c>
      <c r="ER113" t="e">
        <f>'SurveyRpt_20150223 (1)'!AH704+"h_l!&amp;`/"</f>
        <v>#VALUE!</v>
      </c>
      <c r="ES113" t="e">
        <f>'SurveyRpt_20150223 (1)'!AI704+"h_l!&amp;`0"</f>
        <v>#VALUE!</v>
      </c>
      <c r="ET113" t="e">
        <f>'SurveyRpt_20150223 (1)'!AJ704+"h_l!&amp;`1"</f>
        <v>#VALUE!</v>
      </c>
      <c r="EU113" t="e">
        <f>'SurveyRpt_20150223 (1)'!AK704+"h_l!&amp;`2"</f>
        <v>#VALUE!</v>
      </c>
      <c r="EV113" t="e">
        <f>'SurveyRpt_20150223 (1)'!AL704+"h_l!&amp;`3"</f>
        <v>#VALUE!</v>
      </c>
      <c r="EW113" t="e">
        <f>'SurveyRpt_20150223 (1)'!AM704+"h_l!&amp;`4"</f>
        <v>#VALUE!</v>
      </c>
      <c r="EX113" t="e">
        <f>'SurveyRpt_20150223 (1)'!AN704+"h_l!&amp;`5"</f>
        <v>#VALUE!</v>
      </c>
      <c r="EY113" t="e">
        <f>'SurveyRpt_20150223 (1)'!A705+"h_l!&amp;`6"</f>
        <v>#VALUE!</v>
      </c>
      <c r="EZ113" s="25" t="e">
        <f>'SurveyRpt_20150223 (1)'!B705+"h_l!&amp;`7"</f>
        <v>#VALUE!</v>
      </c>
      <c r="FA113" t="e">
        <f>'SurveyRpt_20150223 (1)'!C705+"h_l!&amp;`8"</f>
        <v>#VALUE!</v>
      </c>
      <c r="FB113" s="25" t="e">
        <f>'SurveyRpt_20150223 (1)'!D705+"h_l!&amp;`9"</f>
        <v>#VALUE!</v>
      </c>
      <c r="FC113" t="e">
        <f>'SurveyRpt_20150223 (1)'!E705+"h_l!&amp;`:"</f>
        <v>#VALUE!</v>
      </c>
      <c r="FD113" t="e">
        <f>'SurveyRpt_20150223 (1)'!F705+"h_l!&amp;`;"</f>
        <v>#VALUE!</v>
      </c>
      <c r="FE113" t="e">
        <f>'SurveyRpt_20150223 (1)'!G705+"h_l!&amp;`&lt;"</f>
        <v>#VALUE!</v>
      </c>
      <c r="FF113" t="e">
        <f>'SurveyRpt_20150223 (1)'!H705+"h_l!&amp;`="</f>
        <v>#VALUE!</v>
      </c>
      <c r="FG113" t="e">
        <f>'SurveyRpt_20150223 (1)'!I705+"h_l!&amp;`&gt;"</f>
        <v>#VALUE!</v>
      </c>
      <c r="FH113" t="e">
        <f>'SurveyRpt_20150223 (1)'!J705+"h_l!&amp;`?"</f>
        <v>#VALUE!</v>
      </c>
      <c r="FI113" t="e">
        <f>'SurveyRpt_20150223 (1)'!K705+"h_l!&amp;`@"</f>
        <v>#VALUE!</v>
      </c>
      <c r="FJ113" t="e">
        <f>'SurveyRpt_20150223 (1)'!L705+"h_l!&amp;`A"</f>
        <v>#VALUE!</v>
      </c>
      <c r="FK113" t="e">
        <f>'SurveyRpt_20150223 (1)'!M705+"h_l!&amp;`B"</f>
        <v>#VALUE!</v>
      </c>
      <c r="FL113" t="e">
        <f>'SurveyRpt_20150223 (1)'!N705+"h_l!&amp;`C"</f>
        <v>#VALUE!</v>
      </c>
      <c r="FM113" t="e">
        <f>'SurveyRpt_20150223 (1)'!O705+"h_l!&amp;`D"</f>
        <v>#VALUE!</v>
      </c>
      <c r="FN113" t="e">
        <f>'SurveyRpt_20150223 (1)'!P705+"h_l!&amp;`E"</f>
        <v>#VALUE!</v>
      </c>
      <c r="FO113" t="e">
        <f>'SurveyRpt_20150223 (1)'!Q705+"h_l!&amp;`F"</f>
        <v>#VALUE!</v>
      </c>
      <c r="FP113" t="e">
        <f>'SurveyRpt_20150223 (1)'!R705+"h_l!&amp;`G"</f>
        <v>#VALUE!</v>
      </c>
      <c r="FQ113" t="e">
        <f>'SurveyRpt_20150223 (1)'!S705+"h_l!&amp;`H"</f>
        <v>#VALUE!</v>
      </c>
      <c r="FR113" t="e">
        <f>'SurveyRpt_20150223 (1)'!T705+"h_l!&amp;`I"</f>
        <v>#VALUE!</v>
      </c>
      <c r="FS113" t="e">
        <f>'SurveyRpt_20150223 (1)'!U705+"h_l!&amp;`J"</f>
        <v>#VALUE!</v>
      </c>
      <c r="FT113" t="e">
        <f>'SurveyRpt_20150223 (1)'!V705+"h_l!&amp;`K"</f>
        <v>#VALUE!</v>
      </c>
      <c r="FU113" t="e">
        <f>'SurveyRpt_20150223 (1)'!W705+"h_l!&amp;`L"</f>
        <v>#VALUE!</v>
      </c>
      <c r="FV113" t="e">
        <f>'SurveyRpt_20150223 (1)'!X705+"h_l!&amp;`M"</f>
        <v>#VALUE!</v>
      </c>
      <c r="FW113" t="e">
        <f>'SurveyRpt_20150223 (1)'!Y705+"h_l!&amp;`N"</f>
        <v>#VALUE!</v>
      </c>
      <c r="FX113" t="e">
        <f>'SurveyRpt_20150223 (1)'!Z705+"h_l!&amp;`O"</f>
        <v>#VALUE!</v>
      </c>
      <c r="FY113" t="e">
        <f>'SurveyRpt_20150223 (1)'!AA705+"h_l!&amp;`P"</f>
        <v>#VALUE!</v>
      </c>
      <c r="FZ113" t="e">
        <f>'SurveyRpt_20150223 (1)'!AB705+"h_l!&amp;`Q"</f>
        <v>#VALUE!</v>
      </c>
      <c r="GA113" t="e">
        <f>'SurveyRpt_20150223 (1)'!AC705+"h_l!&amp;`R"</f>
        <v>#VALUE!</v>
      </c>
      <c r="GB113" t="e">
        <f>'SurveyRpt_20150223 (1)'!AD705+"h_l!&amp;`S"</f>
        <v>#VALUE!</v>
      </c>
      <c r="GC113" t="e">
        <f>'SurveyRpt_20150223 (1)'!AE705+"h_l!&amp;`T"</f>
        <v>#VALUE!</v>
      </c>
      <c r="GD113" t="e">
        <f>'SurveyRpt_20150223 (1)'!AF705+"h_l!&amp;`U"</f>
        <v>#VALUE!</v>
      </c>
      <c r="GE113" t="e">
        <f>'SurveyRpt_20150223 (1)'!AG705+"h_l!&amp;`V"</f>
        <v>#VALUE!</v>
      </c>
      <c r="GF113" t="e">
        <f>'SurveyRpt_20150223 (1)'!AH705+"h_l!&amp;`W"</f>
        <v>#VALUE!</v>
      </c>
      <c r="GG113" t="e">
        <f>'SurveyRpt_20150223 (1)'!AI705+"h_l!&amp;`X"</f>
        <v>#VALUE!</v>
      </c>
      <c r="GH113" t="e">
        <f>'SurveyRpt_20150223 (1)'!AJ705+"h_l!&amp;`Y"</f>
        <v>#VALUE!</v>
      </c>
      <c r="GI113" t="e">
        <f>'SurveyRpt_20150223 (1)'!AK705+"h_l!&amp;`Z"</f>
        <v>#VALUE!</v>
      </c>
      <c r="GJ113" t="e">
        <f>'SurveyRpt_20150223 (1)'!AL705+"h_l!&amp;`["</f>
        <v>#VALUE!</v>
      </c>
      <c r="GK113" t="e">
        <f>'SurveyRpt_20150223 (1)'!AM705+"h_l!&amp;`\"</f>
        <v>#VALUE!</v>
      </c>
      <c r="GL113" t="e">
        <f>'SurveyRpt_20150223 (1)'!AN705+"h_l!&amp;`]"</f>
        <v>#VALUE!</v>
      </c>
      <c r="GM113" t="e">
        <f>'SurveyRpt_20150223 (1)'!A706+"h_l!&amp;`^"</f>
        <v>#VALUE!</v>
      </c>
      <c r="GN113" s="25" t="e">
        <f>'SurveyRpt_20150223 (1)'!B706+"h_l!&amp;`_"</f>
        <v>#VALUE!</v>
      </c>
      <c r="GO113" t="e">
        <f>'SurveyRpt_20150223 (1)'!C706+"h_l!&amp;``"</f>
        <v>#VALUE!</v>
      </c>
      <c r="GP113" s="25" t="e">
        <f>'SurveyRpt_20150223 (1)'!D706+"h_l!&amp;`a"</f>
        <v>#VALUE!</v>
      </c>
      <c r="GQ113" t="e">
        <f>'SurveyRpt_20150223 (1)'!E706+"h_l!&amp;`b"</f>
        <v>#VALUE!</v>
      </c>
      <c r="GR113" t="e">
        <f>'SurveyRpt_20150223 (1)'!F706+"h_l!&amp;`c"</f>
        <v>#VALUE!</v>
      </c>
      <c r="GS113" t="e">
        <f>'SurveyRpt_20150223 (1)'!G706+"h_l!&amp;`d"</f>
        <v>#VALUE!</v>
      </c>
      <c r="GT113" t="e">
        <f>'SurveyRpt_20150223 (1)'!H706+"h_l!&amp;`e"</f>
        <v>#VALUE!</v>
      </c>
      <c r="GU113" t="e">
        <f>'SurveyRpt_20150223 (1)'!I706+"h_l!&amp;`f"</f>
        <v>#VALUE!</v>
      </c>
      <c r="GV113" t="e">
        <f>'SurveyRpt_20150223 (1)'!J706+"h_l!&amp;`g"</f>
        <v>#VALUE!</v>
      </c>
      <c r="GW113" t="e">
        <f>'SurveyRpt_20150223 (1)'!K706+"h_l!&amp;`h"</f>
        <v>#VALUE!</v>
      </c>
      <c r="GX113" t="e">
        <f>'SurveyRpt_20150223 (1)'!L706+"h_l!&amp;`i"</f>
        <v>#VALUE!</v>
      </c>
      <c r="GY113" t="e">
        <f>'SurveyRpt_20150223 (1)'!M706+"h_l!&amp;`j"</f>
        <v>#VALUE!</v>
      </c>
      <c r="GZ113" t="e">
        <f>'SurveyRpt_20150223 (1)'!N706+"h_l!&amp;`k"</f>
        <v>#VALUE!</v>
      </c>
      <c r="HA113" t="e">
        <f>'SurveyRpt_20150223 (1)'!O706+"h_l!&amp;`l"</f>
        <v>#VALUE!</v>
      </c>
      <c r="HB113" t="e">
        <f>'SurveyRpt_20150223 (1)'!P706+"h_l!&amp;`m"</f>
        <v>#VALUE!</v>
      </c>
      <c r="HC113" t="e">
        <f>'SurveyRpt_20150223 (1)'!Q706+"h_l!&amp;`n"</f>
        <v>#VALUE!</v>
      </c>
      <c r="HD113" t="e">
        <f>'SurveyRpt_20150223 (1)'!R706+"h_l!&amp;`o"</f>
        <v>#VALUE!</v>
      </c>
      <c r="HE113" t="e">
        <f>'SurveyRpt_20150223 (1)'!S706+"h_l!&amp;`p"</f>
        <v>#VALUE!</v>
      </c>
      <c r="HF113" t="e">
        <f>'SurveyRpt_20150223 (1)'!T706+"h_l!&amp;`q"</f>
        <v>#VALUE!</v>
      </c>
      <c r="HG113" t="e">
        <f>'SurveyRpt_20150223 (1)'!U706+"h_l!&amp;`r"</f>
        <v>#VALUE!</v>
      </c>
      <c r="HH113" t="e">
        <f>'SurveyRpt_20150223 (1)'!V706+"h_l!&amp;`s"</f>
        <v>#VALUE!</v>
      </c>
      <c r="HI113" t="e">
        <f>'SurveyRpt_20150223 (1)'!W706+"h_l!&amp;`t"</f>
        <v>#VALUE!</v>
      </c>
      <c r="HJ113" t="e">
        <f>'SurveyRpt_20150223 (1)'!X706+"h_l!&amp;`u"</f>
        <v>#VALUE!</v>
      </c>
      <c r="HK113" t="e">
        <f>'SurveyRpt_20150223 (1)'!Y706+"h_l!&amp;`v"</f>
        <v>#VALUE!</v>
      </c>
      <c r="HL113" t="e">
        <f>'SurveyRpt_20150223 (1)'!Z706+"h_l!&amp;`w"</f>
        <v>#VALUE!</v>
      </c>
      <c r="HM113" t="e">
        <f>'SurveyRpt_20150223 (1)'!AA706+"h_l!&amp;`x"</f>
        <v>#VALUE!</v>
      </c>
      <c r="HN113" t="e">
        <f>'SurveyRpt_20150223 (1)'!AB706+"h_l!&amp;`y"</f>
        <v>#VALUE!</v>
      </c>
      <c r="HO113" t="e">
        <f>'SurveyRpt_20150223 (1)'!AC706+"h_l!&amp;`z"</f>
        <v>#VALUE!</v>
      </c>
      <c r="HP113" t="e">
        <f>'SurveyRpt_20150223 (1)'!AD706+"h_l!&amp;`{"</f>
        <v>#VALUE!</v>
      </c>
      <c r="HQ113" t="e">
        <f>'SurveyRpt_20150223 (1)'!AE706+"h_l!&amp;`|"</f>
        <v>#VALUE!</v>
      </c>
      <c r="HR113" t="e">
        <f>'SurveyRpt_20150223 (1)'!AF706+"h_l!&amp;`}"</f>
        <v>#VALUE!</v>
      </c>
      <c r="HS113" t="e">
        <f>'SurveyRpt_20150223 (1)'!AG706+"h_l!&amp;`~"</f>
        <v>#VALUE!</v>
      </c>
      <c r="HT113" t="e">
        <f>'SurveyRpt_20150223 (1)'!AH706+"h_l!&amp;a#"</f>
        <v>#VALUE!</v>
      </c>
      <c r="HU113" t="e">
        <f>'SurveyRpt_20150223 (1)'!AI706+"h_l!&amp;a$"</f>
        <v>#VALUE!</v>
      </c>
      <c r="HV113" t="e">
        <f>'SurveyRpt_20150223 (1)'!AJ706+"h_l!&amp;a%"</f>
        <v>#VALUE!</v>
      </c>
      <c r="HW113" t="e">
        <f>'SurveyRpt_20150223 (1)'!AK706+"h_l!&amp;a&amp;"</f>
        <v>#VALUE!</v>
      </c>
      <c r="HX113" t="e">
        <f>'SurveyRpt_20150223 (1)'!AL706+"h_l!&amp;a'"</f>
        <v>#VALUE!</v>
      </c>
      <c r="HY113" t="e">
        <f>'SurveyRpt_20150223 (1)'!AM706+"h_l!&amp;a("</f>
        <v>#VALUE!</v>
      </c>
      <c r="HZ113" t="e">
        <f>'SurveyRpt_20150223 (1)'!AN706+"h_l!&amp;a)"</f>
        <v>#VALUE!</v>
      </c>
      <c r="IA113" t="e">
        <f>'SurveyRpt_20150223 (1)'!A707+"h_l!&amp;a."</f>
        <v>#VALUE!</v>
      </c>
      <c r="IB113" s="25" t="e">
        <f>'SurveyRpt_20150223 (1)'!B707+"h_l!&amp;a/"</f>
        <v>#VALUE!</v>
      </c>
      <c r="IC113" t="e">
        <f>'SurveyRpt_20150223 (1)'!C707+"h_l!&amp;a0"</f>
        <v>#VALUE!</v>
      </c>
      <c r="ID113" s="25" t="e">
        <f>'SurveyRpt_20150223 (1)'!D707+"h_l!&amp;a1"</f>
        <v>#VALUE!</v>
      </c>
      <c r="IE113" t="e">
        <f>'SurveyRpt_20150223 (1)'!E707+"h_l!&amp;a2"</f>
        <v>#VALUE!</v>
      </c>
      <c r="IF113" t="e">
        <f>'SurveyRpt_20150223 (1)'!F707+"h_l!&amp;a3"</f>
        <v>#VALUE!</v>
      </c>
      <c r="IG113" t="e">
        <f>'SurveyRpt_20150223 (1)'!G707+"h_l!&amp;a4"</f>
        <v>#VALUE!</v>
      </c>
      <c r="IH113" t="e">
        <f>'SurveyRpt_20150223 (1)'!H707+"h_l!&amp;a5"</f>
        <v>#VALUE!</v>
      </c>
      <c r="II113" t="e">
        <f>'SurveyRpt_20150223 (1)'!I707+"h_l!&amp;a6"</f>
        <v>#VALUE!</v>
      </c>
      <c r="IJ113" t="e">
        <f>'SurveyRpt_20150223 (1)'!J707+"h_l!&amp;a7"</f>
        <v>#VALUE!</v>
      </c>
      <c r="IK113" t="e">
        <f>'SurveyRpt_20150223 (1)'!K707+"h_l!&amp;a8"</f>
        <v>#VALUE!</v>
      </c>
      <c r="IL113" t="e">
        <f>'SurveyRpt_20150223 (1)'!L707+"h_l!&amp;a9"</f>
        <v>#VALUE!</v>
      </c>
      <c r="IM113" t="e">
        <f>'SurveyRpt_20150223 (1)'!M707+"h_l!&amp;a:"</f>
        <v>#VALUE!</v>
      </c>
      <c r="IN113" t="e">
        <f>'SurveyRpt_20150223 (1)'!N707+"h_l!&amp;a;"</f>
        <v>#VALUE!</v>
      </c>
      <c r="IO113" t="e">
        <f>'SurveyRpt_20150223 (1)'!O707+"h_l!&amp;a&lt;"</f>
        <v>#VALUE!</v>
      </c>
      <c r="IP113" t="e">
        <f>'SurveyRpt_20150223 (1)'!P707+"h_l!&amp;a="</f>
        <v>#VALUE!</v>
      </c>
      <c r="IQ113" t="e">
        <f>'SurveyRpt_20150223 (1)'!Q707+"h_l!&amp;a&gt;"</f>
        <v>#VALUE!</v>
      </c>
      <c r="IR113" t="e">
        <f>'SurveyRpt_20150223 (1)'!R707+"h_l!&amp;a?"</f>
        <v>#VALUE!</v>
      </c>
      <c r="IS113" t="e">
        <f>'SurveyRpt_20150223 (1)'!S707+"h_l!&amp;a@"</f>
        <v>#VALUE!</v>
      </c>
      <c r="IT113" t="e">
        <f>'SurveyRpt_20150223 (1)'!T707+"h_l!&amp;aA"</f>
        <v>#VALUE!</v>
      </c>
      <c r="IU113" t="e">
        <f>'SurveyRpt_20150223 (1)'!U707+"h_l!&amp;aB"</f>
        <v>#VALUE!</v>
      </c>
      <c r="IV113" t="e">
        <f>'SurveyRpt_20150223 (1)'!V707+"h_l!&amp;aC"</f>
        <v>#VALUE!</v>
      </c>
    </row>
    <row r="114" spans="6:256" x14ac:dyDescent="0.25">
      <c r="F114" t="e">
        <f>'SurveyRpt_20150223 (1)'!W707+"h_l!&amp;aD"</f>
        <v>#VALUE!</v>
      </c>
      <c r="G114" t="e">
        <f>'SurveyRpt_20150223 (1)'!X707+"h_l!&amp;aE"</f>
        <v>#VALUE!</v>
      </c>
      <c r="H114" t="e">
        <f>'SurveyRpt_20150223 (1)'!Y707+"h_l!&amp;aF"</f>
        <v>#VALUE!</v>
      </c>
      <c r="I114" t="e">
        <f>'SurveyRpt_20150223 (1)'!Z707+"h_l!&amp;aG"</f>
        <v>#VALUE!</v>
      </c>
      <c r="J114" t="e">
        <f>'SurveyRpt_20150223 (1)'!AA707+"h_l!&amp;aH"</f>
        <v>#VALUE!</v>
      </c>
      <c r="K114" t="e">
        <f>'SurveyRpt_20150223 (1)'!AB707+"h_l!&amp;aI"</f>
        <v>#VALUE!</v>
      </c>
      <c r="L114" t="e">
        <f>'SurveyRpt_20150223 (1)'!AC707+"h_l!&amp;aJ"</f>
        <v>#VALUE!</v>
      </c>
      <c r="M114" t="e">
        <f>'SurveyRpt_20150223 (1)'!AD707+"h_l!&amp;aK"</f>
        <v>#VALUE!</v>
      </c>
      <c r="N114" t="e">
        <f>'SurveyRpt_20150223 (1)'!AE707+"h_l!&amp;aL"</f>
        <v>#VALUE!</v>
      </c>
      <c r="O114" t="e">
        <f>'SurveyRpt_20150223 (1)'!AF707+"h_l!&amp;aM"</f>
        <v>#VALUE!</v>
      </c>
      <c r="P114" t="e">
        <f>'SurveyRpt_20150223 (1)'!AG707+"h_l!&amp;aN"</f>
        <v>#VALUE!</v>
      </c>
      <c r="Q114" t="e">
        <f>'SurveyRpt_20150223 (1)'!AH707+"h_l!&amp;aO"</f>
        <v>#VALUE!</v>
      </c>
      <c r="R114" t="e">
        <f>'SurveyRpt_20150223 (1)'!AI707+"h_l!&amp;aP"</f>
        <v>#VALUE!</v>
      </c>
      <c r="S114" t="e">
        <f>'SurveyRpt_20150223 (1)'!AJ707+"h_l!&amp;aQ"</f>
        <v>#VALUE!</v>
      </c>
      <c r="T114" t="e">
        <f>'SurveyRpt_20150223 (1)'!AK707+"h_l!&amp;aR"</f>
        <v>#VALUE!</v>
      </c>
      <c r="U114" t="e">
        <f>'SurveyRpt_20150223 (1)'!AL707+"h_l!&amp;aS"</f>
        <v>#VALUE!</v>
      </c>
      <c r="V114" t="e">
        <f>'SurveyRpt_20150223 (1)'!AM707+"h_l!&amp;aT"</f>
        <v>#VALUE!</v>
      </c>
      <c r="W114" t="e">
        <f>'SurveyRpt_20150223 (1)'!AN707+"h_l!&amp;aU"</f>
        <v>#VALUE!</v>
      </c>
      <c r="X114" t="e">
        <f>'SurveyRpt_20150223 (1)'!A708+"h_l!&amp;aV"</f>
        <v>#VALUE!</v>
      </c>
      <c r="Y114" s="25" t="e">
        <f>'SurveyRpt_20150223 (1)'!B708+"h_l!&amp;aW"</f>
        <v>#VALUE!</v>
      </c>
      <c r="Z114" t="e">
        <f>'SurveyRpt_20150223 (1)'!C708+"h_l!&amp;aX"</f>
        <v>#VALUE!</v>
      </c>
      <c r="AA114" s="25" t="e">
        <f>'SurveyRpt_20150223 (1)'!D708+"h_l!&amp;aY"</f>
        <v>#VALUE!</v>
      </c>
      <c r="AB114" t="e">
        <f>'SurveyRpt_20150223 (1)'!E708+"h_l!&amp;aZ"</f>
        <v>#VALUE!</v>
      </c>
      <c r="AC114" t="e">
        <f>'SurveyRpt_20150223 (1)'!F708+"h_l!&amp;a["</f>
        <v>#VALUE!</v>
      </c>
      <c r="AD114" t="e">
        <f>'SurveyRpt_20150223 (1)'!G708+"h_l!&amp;a\"</f>
        <v>#VALUE!</v>
      </c>
      <c r="AE114" t="e">
        <f>'SurveyRpt_20150223 (1)'!H708+"h_l!&amp;a]"</f>
        <v>#VALUE!</v>
      </c>
      <c r="AF114" t="e">
        <f>'SurveyRpt_20150223 (1)'!I708+"h_l!&amp;a^"</f>
        <v>#VALUE!</v>
      </c>
      <c r="AG114" t="e">
        <f>'SurveyRpt_20150223 (1)'!J708+"h_l!&amp;a_"</f>
        <v>#VALUE!</v>
      </c>
      <c r="AH114" t="e">
        <f>'SurveyRpt_20150223 (1)'!K708+"h_l!&amp;a`"</f>
        <v>#VALUE!</v>
      </c>
      <c r="AI114" t="e">
        <f>'SurveyRpt_20150223 (1)'!L708+"h_l!&amp;aa"</f>
        <v>#VALUE!</v>
      </c>
      <c r="AJ114" t="e">
        <f>'SurveyRpt_20150223 (1)'!M708+"h_l!&amp;ab"</f>
        <v>#VALUE!</v>
      </c>
      <c r="AK114" t="e">
        <f>'SurveyRpt_20150223 (1)'!N708+"h_l!&amp;ac"</f>
        <v>#VALUE!</v>
      </c>
      <c r="AL114" t="e">
        <f>'SurveyRpt_20150223 (1)'!O708+"h_l!&amp;ad"</f>
        <v>#VALUE!</v>
      </c>
      <c r="AM114" t="e">
        <f>'SurveyRpt_20150223 (1)'!P708+"h_l!&amp;ae"</f>
        <v>#VALUE!</v>
      </c>
      <c r="AN114" t="e">
        <f>'SurveyRpt_20150223 (1)'!Q708+"h_l!&amp;af"</f>
        <v>#VALUE!</v>
      </c>
      <c r="AO114" t="e">
        <f>'SurveyRpt_20150223 (1)'!R708+"h_l!&amp;ag"</f>
        <v>#VALUE!</v>
      </c>
      <c r="AP114" t="e">
        <f>'SurveyRpt_20150223 (1)'!S708+"h_l!&amp;ah"</f>
        <v>#VALUE!</v>
      </c>
      <c r="AQ114" t="e">
        <f>'SurveyRpt_20150223 (1)'!T708+"h_l!&amp;ai"</f>
        <v>#VALUE!</v>
      </c>
      <c r="AR114" t="e">
        <f>'SurveyRpt_20150223 (1)'!U708+"h_l!&amp;aj"</f>
        <v>#VALUE!</v>
      </c>
      <c r="AS114" t="e">
        <f>'SurveyRpt_20150223 (1)'!V708+"h_l!&amp;ak"</f>
        <v>#VALUE!</v>
      </c>
      <c r="AT114" t="e">
        <f>'SurveyRpt_20150223 (1)'!W708+"h_l!&amp;al"</f>
        <v>#VALUE!</v>
      </c>
      <c r="AU114" t="e">
        <f>'SurveyRpt_20150223 (1)'!X708+"h_l!&amp;am"</f>
        <v>#VALUE!</v>
      </c>
      <c r="AV114" t="e">
        <f>'SurveyRpt_20150223 (1)'!Y708+"h_l!&amp;an"</f>
        <v>#VALUE!</v>
      </c>
      <c r="AW114" t="e">
        <f>'SurveyRpt_20150223 (1)'!Z708+"h_l!&amp;ao"</f>
        <v>#VALUE!</v>
      </c>
      <c r="AX114" t="e">
        <f>'SurveyRpt_20150223 (1)'!AA708+"h_l!&amp;ap"</f>
        <v>#VALUE!</v>
      </c>
      <c r="AY114" t="e">
        <f>'SurveyRpt_20150223 (1)'!AB708+"h_l!&amp;aq"</f>
        <v>#VALUE!</v>
      </c>
      <c r="AZ114" t="e">
        <f>'SurveyRpt_20150223 (1)'!AC708+"h_l!&amp;ar"</f>
        <v>#VALUE!</v>
      </c>
      <c r="BA114" t="e">
        <f>'SurveyRpt_20150223 (1)'!AD708+"h_l!&amp;as"</f>
        <v>#VALUE!</v>
      </c>
      <c r="BB114" t="e">
        <f>'SurveyRpt_20150223 (1)'!AE708+"h_l!&amp;at"</f>
        <v>#VALUE!</v>
      </c>
      <c r="BC114" t="e">
        <f>'SurveyRpt_20150223 (1)'!AF708+"h_l!&amp;au"</f>
        <v>#VALUE!</v>
      </c>
      <c r="BD114" t="e">
        <f>'SurveyRpt_20150223 (1)'!AG708+"h_l!&amp;av"</f>
        <v>#VALUE!</v>
      </c>
      <c r="BE114" t="e">
        <f>'SurveyRpt_20150223 (1)'!AH708+"h_l!&amp;aw"</f>
        <v>#VALUE!</v>
      </c>
      <c r="BF114" t="e">
        <f>'SurveyRpt_20150223 (1)'!AI708+"h_l!&amp;ax"</f>
        <v>#VALUE!</v>
      </c>
      <c r="BG114" t="e">
        <f>'SurveyRpt_20150223 (1)'!AJ708+"h_l!&amp;ay"</f>
        <v>#VALUE!</v>
      </c>
      <c r="BH114" t="e">
        <f>'SurveyRpt_20150223 (1)'!AK708+"h_l!&amp;az"</f>
        <v>#VALUE!</v>
      </c>
      <c r="BI114" t="e">
        <f>'SurveyRpt_20150223 (1)'!AL708+"h_l!&amp;a{"</f>
        <v>#VALUE!</v>
      </c>
      <c r="BJ114" t="e">
        <f>'SurveyRpt_20150223 (1)'!AM708+"h_l!&amp;a|"</f>
        <v>#VALUE!</v>
      </c>
      <c r="BK114" t="e">
        <f>'SurveyRpt_20150223 (1)'!AN708+"h_l!&amp;a}"</f>
        <v>#VALUE!</v>
      </c>
      <c r="BL114" t="e">
        <f>'SurveyRpt_20150223 (1)'!A709+"h_l!&amp;a~"</f>
        <v>#VALUE!</v>
      </c>
      <c r="BM114" s="25" t="e">
        <f>'SurveyRpt_20150223 (1)'!B709+"h_l!&amp;b#"</f>
        <v>#VALUE!</v>
      </c>
      <c r="BN114" t="e">
        <f>'SurveyRpt_20150223 (1)'!C709+"h_l!&amp;b$"</f>
        <v>#VALUE!</v>
      </c>
      <c r="BO114" s="25" t="e">
        <f>'SurveyRpt_20150223 (1)'!D709+"h_l!&amp;b%"</f>
        <v>#VALUE!</v>
      </c>
      <c r="BP114" t="e">
        <f>'SurveyRpt_20150223 (1)'!E709+"h_l!&amp;b&amp;"</f>
        <v>#VALUE!</v>
      </c>
      <c r="BQ114" t="e">
        <f>'SurveyRpt_20150223 (1)'!F709+"h_l!&amp;b'"</f>
        <v>#VALUE!</v>
      </c>
      <c r="BR114" t="e">
        <f>'SurveyRpt_20150223 (1)'!G709+"h_l!&amp;b("</f>
        <v>#VALUE!</v>
      </c>
      <c r="BS114" t="e">
        <f>'SurveyRpt_20150223 (1)'!H709+"h_l!&amp;b)"</f>
        <v>#VALUE!</v>
      </c>
      <c r="BT114" t="e">
        <f>'SurveyRpt_20150223 (1)'!I709+"h_l!&amp;b."</f>
        <v>#VALUE!</v>
      </c>
      <c r="BU114" t="e">
        <f>'SurveyRpt_20150223 (1)'!J709+"h_l!&amp;b/"</f>
        <v>#VALUE!</v>
      </c>
      <c r="BV114" t="e">
        <f>'SurveyRpt_20150223 (1)'!K709+"h_l!&amp;b0"</f>
        <v>#VALUE!</v>
      </c>
      <c r="BW114" t="e">
        <f>'SurveyRpt_20150223 (1)'!L709+"h_l!&amp;b1"</f>
        <v>#VALUE!</v>
      </c>
      <c r="BX114" t="e">
        <f>'SurveyRpt_20150223 (1)'!M709+"h_l!&amp;b2"</f>
        <v>#VALUE!</v>
      </c>
      <c r="BY114" t="e">
        <f>'SurveyRpt_20150223 (1)'!N709+"h_l!&amp;b3"</f>
        <v>#VALUE!</v>
      </c>
      <c r="BZ114" t="e">
        <f>'SurveyRpt_20150223 (1)'!O709+"h_l!&amp;b4"</f>
        <v>#VALUE!</v>
      </c>
      <c r="CA114" t="e">
        <f>'SurveyRpt_20150223 (1)'!P709+"h_l!&amp;b5"</f>
        <v>#VALUE!</v>
      </c>
      <c r="CB114" t="e">
        <f>'SurveyRpt_20150223 (1)'!Q709+"h_l!&amp;b6"</f>
        <v>#VALUE!</v>
      </c>
      <c r="CC114" t="e">
        <f>'SurveyRpt_20150223 (1)'!R709+"h_l!&amp;b7"</f>
        <v>#VALUE!</v>
      </c>
      <c r="CD114" t="e">
        <f>'SurveyRpt_20150223 (1)'!S709+"h_l!&amp;b8"</f>
        <v>#VALUE!</v>
      </c>
      <c r="CE114" t="e">
        <f>'SurveyRpt_20150223 (1)'!T709+"h_l!&amp;b9"</f>
        <v>#VALUE!</v>
      </c>
      <c r="CF114" t="e">
        <f>'SurveyRpt_20150223 (1)'!U709+"h_l!&amp;b:"</f>
        <v>#VALUE!</v>
      </c>
      <c r="CG114" t="e">
        <f>'SurveyRpt_20150223 (1)'!V709+"h_l!&amp;b;"</f>
        <v>#VALUE!</v>
      </c>
      <c r="CH114" t="e">
        <f>'SurveyRpt_20150223 (1)'!W709+"h_l!&amp;b&lt;"</f>
        <v>#VALUE!</v>
      </c>
      <c r="CI114" t="e">
        <f>'SurveyRpt_20150223 (1)'!X709+"h_l!&amp;b="</f>
        <v>#VALUE!</v>
      </c>
      <c r="CJ114" t="e">
        <f>'SurveyRpt_20150223 (1)'!Y709+"h_l!&amp;b&gt;"</f>
        <v>#VALUE!</v>
      </c>
      <c r="CK114" t="e">
        <f>'SurveyRpt_20150223 (1)'!Z709+"h_l!&amp;b?"</f>
        <v>#VALUE!</v>
      </c>
      <c r="CL114" t="e">
        <f>'SurveyRpt_20150223 (1)'!AA709+"h_l!&amp;b@"</f>
        <v>#VALUE!</v>
      </c>
      <c r="CM114" t="e">
        <f>'SurveyRpt_20150223 (1)'!AB709+"h_l!&amp;bA"</f>
        <v>#VALUE!</v>
      </c>
      <c r="CN114" t="e">
        <f>'SurveyRpt_20150223 (1)'!AC709+"h_l!&amp;bB"</f>
        <v>#VALUE!</v>
      </c>
      <c r="CO114" t="e">
        <f>'SurveyRpt_20150223 (1)'!AD709+"h_l!&amp;bC"</f>
        <v>#VALUE!</v>
      </c>
      <c r="CP114" t="e">
        <f>'SurveyRpt_20150223 (1)'!AE709+"h_l!&amp;bD"</f>
        <v>#VALUE!</v>
      </c>
      <c r="CQ114" t="e">
        <f>'SurveyRpt_20150223 (1)'!AF709+"h_l!&amp;bE"</f>
        <v>#VALUE!</v>
      </c>
      <c r="CR114" t="e">
        <f>'SurveyRpt_20150223 (1)'!AG709+"h_l!&amp;bF"</f>
        <v>#VALUE!</v>
      </c>
      <c r="CS114" t="e">
        <f>'SurveyRpt_20150223 (1)'!AH709+"h_l!&amp;bG"</f>
        <v>#VALUE!</v>
      </c>
      <c r="CT114" t="e">
        <f>'SurveyRpt_20150223 (1)'!AI709+"h_l!&amp;bH"</f>
        <v>#VALUE!</v>
      </c>
      <c r="CU114" t="e">
        <f>'SurveyRpt_20150223 (1)'!AJ709+"h_l!&amp;bI"</f>
        <v>#VALUE!</v>
      </c>
      <c r="CV114" t="e">
        <f>'SurveyRpt_20150223 (1)'!AK709+"h_l!&amp;bJ"</f>
        <v>#VALUE!</v>
      </c>
      <c r="CW114" t="e">
        <f>'SurveyRpt_20150223 (1)'!AL709+"h_l!&amp;bK"</f>
        <v>#VALUE!</v>
      </c>
      <c r="CX114" t="e">
        <f>'SurveyRpt_20150223 (1)'!AM709+"h_l!&amp;bL"</f>
        <v>#VALUE!</v>
      </c>
      <c r="CY114" t="e">
        <f>'SurveyRpt_20150223 (1)'!AN709+"h_l!&amp;bM"</f>
        <v>#VALUE!</v>
      </c>
      <c r="CZ114" t="e">
        <f>'SurveyRpt_20150223 (1)'!A710+"h_l!&amp;bN"</f>
        <v>#VALUE!</v>
      </c>
      <c r="DA114" s="25" t="e">
        <f>'SurveyRpt_20150223 (1)'!B710+"h_l!&amp;bO"</f>
        <v>#VALUE!</v>
      </c>
      <c r="DB114" t="e">
        <f>'SurveyRpt_20150223 (1)'!C710+"h_l!&amp;bP"</f>
        <v>#VALUE!</v>
      </c>
      <c r="DC114" s="25" t="e">
        <f>'SurveyRpt_20150223 (1)'!D710+"h_l!&amp;bQ"</f>
        <v>#VALUE!</v>
      </c>
      <c r="DD114" t="e">
        <f>'SurveyRpt_20150223 (1)'!E710+"h_l!&amp;bR"</f>
        <v>#VALUE!</v>
      </c>
      <c r="DE114" t="e">
        <f>'SurveyRpt_20150223 (1)'!F710+"h_l!&amp;bS"</f>
        <v>#VALUE!</v>
      </c>
      <c r="DF114" t="e">
        <f>'SurveyRpt_20150223 (1)'!G710+"h_l!&amp;bT"</f>
        <v>#VALUE!</v>
      </c>
      <c r="DG114" t="e">
        <f>'SurveyRpt_20150223 (1)'!H710+"h_l!&amp;bU"</f>
        <v>#VALUE!</v>
      </c>
      <c r="DH114" t="e">
        <f>'SurveyRpt_20150223 (1)'!I710+"h_l!&amp;bV"</f>
        <v>#VALUE!</v>
      </c>
      <c r="DI114" t="e">
        <f>'SurveyRpt_20150223 (1)'!J710+"h_l!&amp;bW"</f>
        <v>#VALUE!</v>
      </c>
      <c r="DJ114" t="e">
        <f>'SurveyRpt_20150223 (1)'!K710+"h_l!&amp;bX"</f>
        <v>#VALUE!</v>
      </c>
      <c r="DK114" t="e">
        <f>'SurveyRpt_20150223 (1)'!L710+"h_l!&amp;bY"</f>
        <v>#VALUE!</v>
      </c>
      <c r="DL114" t="e">
        <f>'SurveyRpt_20150223 (1)'!M710+"h_l!&amp;bZ"</f>
        <v>#VALUE!</v>
      </c>
      <c r="DM114" t="e">
        <f>'SurveyRpt_20150223 (1)'!N710+"h_l!&amp;b["</f>
        <v>#VALUE!</v>
      </c>
      <c r="DN114" t="e">
        <f>'SurveyRpt_20150223 (1)'!O710+"h_l!&amp;b\"</f>
        <v>#VALUE!</v>
      </c>
      <c r="DO114" t="e">
        <f>'SurveyRpt_20150223 (1)'!P710+"h_l!&amp;b]"</f>
        <v>#VALUE!</v>
      </c>
      <c r="DP114" t="e">
        <f>'SurveyRpt_20150223 (1)'!Q710+"h_l!&amp;b^"</f>
        <v>#VALUE!</v>
      </c>
      <c r="DQ114" t="e">
        <f>'SurveyRpt_20150223 (1)'!R710+"h_l!&amp;b_"</f>
        <v>#VALUE!</v>
      </c>
      <c r="DR114" t="e">
        <f>'SurveyRpt_20150223 (1)'!S710+"h_l!&amp;b`"</f>
        <v>#VALUE!</v>
      </c>
      <c r="DS114" t="e">
        <f>'SurveyRpt_20150223 (1)'!T710+"h_l!&amp;ba"</f>
        <v>#VALUE!</v>
      </c>
      <c r="DT114" t="e">
        <f>'SurveyRpt_20150223 (1)'!U710+"h_l!&amp;bb"</f>
        <v>#VALUE!</v>
      </c>
      <c r="DU114" t="e">
        <f>'SurveyRpt_20150223 (1)'!V710+"h_l!&amp;bc"</f>
        <v>#VALUE!</v>
      </c>
      <c r="DV114" t="e">
        <f>'SurveyRpt_20150223 (1)'!W710+"h_l!&amp;bd"</f>
        <v>#VALUE!</v>
      </c>
      <c r="DW114" t="e">
        <f>'SurveyRpt_20150223 (1)'!X710+"h_l!&amp;be"</f>
        <v>#VALUE!</v>
      </c>
      <c r="DX114" t="e">
        <f>'SurveyRpt_20150223 (1)'!Y710+"h_l!&amp;bf"</f>
        <v>#VALUE!</v>
      </c>
      <c r="DY114" t="e">
        <f>'SurveyRpt_20150223 (1)'!Z710+"h_l!&amp;bg"</f>
        <v>#VALUE!</v>
      </c>
      <c r="DZ114" t="e">
        <f>'SurveyRpt_20150223 (1)'!AA710+"h_l!&amp;bh"</f>
        <v>#VALUE!</v>
      </c>
      <c r="EA114" t="e">
        <f>'SurveyRpt_20150223 (1)'!AB710+"h_l!&amp;bi"</f>
        <v>#VALUE!</v>
      </c>
      <c r="EB114" t="e">
        <f>'SurveyRpt_20150223 (1)'!AC710+"h_l!&amp;bj"</f>
        <v>#VALUE!</v>
      </c>
      <c r="EC114" t="e">
        <f>'SurveyRpt_20150223 (1)'!AD710+"h_l!&amp;bk"</f>
        <v>#VALUE!</v>
      </c>
      <c r="ED114" t="e">
        <f>'SurveyRpt_20150223 (1)'!AE710+"h_l!&amp;bl"</f>
        <v>#VALUE!</v>
      </c>
      <c r="EE114" t="e">
        <f>'SurveyRpt_20150223 (1)'!AF710+"h_l!&amp;bm"</f>
        <v>#VALUE!</v>
      </c>
      <c r="EF114" t="e">
        <f>'SurveyRpt_20150223 (1)'!AG710+"h_l!&amp;bn"</f>
        <v>#VALUE!</v>
      </c>
      <c r="EG114" t="e">
        <f>'SurveyRpt_20150223 (1)'!AH710+"h_l!&amp;bo"</f>
        <v>#VALUE!</v>
      </c>
      <c r="EH114" t="e">
        <f>'SurveyRpt_20150223 (1)'!AI710+"h_l!&amp;bp"</f>
        <v>#VALUE!</v>
      </c>
      <c r="EI114" t="e">
        <f>'SurveyRpt_20150223 (1)'!AJ710+"h_l!&amp;bq"</f>
        <v>#VALUE!</v>
      </c>
      <c r="EJ114" t="e">
        <f>'SurveyRpt_20150223 (1)'!AK710+"h_l!&amp;br"</f>
        <v>#VALUE!</v>
      </c>
      <c r="EK114" t="e">
        <f>'SurveyRpt_20150223 (1)'!AL710+"h_l!&amp;bs"</f>
        <v>#VALUE!</v>
      </c>
      <c r="EL114" t="e">
        <f>'SurveyRpt_20150223 (1)'!AM710+"h_l!&amp;bt"</f>
        <v>#VALUE!</v>
      </c>
      <c r="EM114" t="e">
        <f>'SurveyRpt_20150223 (1)'!AN710+"h_l!&amp;bu"</f>
        <v>#VALUE!</v>
      </c>
      <c r="EN114" t="e">
        <f>'SurveyRpt_20150223 (1)'!A711+"h_l!&amp;bv"</f>
        <v>#VALUE!</v>
      </c>
      <c r="EO114" s="25" t="e">
        <f>'SurveyRpt_20150223 (1)'!B711+"h_l!&amp;bw"</f>
        <v>#VALUE!</v>
      </c>
      <c r="EP114" t="e">
        <f>'SurveyRpt_20150223 (1)'!C711+"h_l!&amp;bx"</f>
        <v>#VALUE!</v>
      </c>
      <c r="EQ114" s="25" t="e">
        <f>'SurveyRpt_20150223 (1)'!D711+"h_l!&amp;by"</f>
        <v>#VALUE!</v>
      </c>
      <c r="ER114" t="e">
        <f>'SurveyRpt_20150223 (1)'!E711+"h_l!&amp;bz"</f>
        <v>#VALUE!</v>
      </c>
      <c r="ES114" t="e">
        <f>'SurveyRpt_20150223 (1)'!F711+"h_l!&amp;b{"</f>
        <v>#VALUE!</v>
      </c>
      <c r="ET114" t="e">
        <f>'SurveyRpt_20150223 (1)'!G711+"h_l!&amp;b|"</f>
        <v>#VALUE!</v>
      </c>
      <c r="EU114" t="e">
        <f>'SurveyRpt_20150223 (1)'!H711+"h_l!&amp;b}"</f>
        <v>#VALUE!</v>
      </c>
      <c r="EV114" t="e">
        <f>'SurveyRpt_20150223 (1)'!I711+"h_l!&amp;b~"</f>
        <v>#VALUE!</v>
      </c>
      <c r="EW114" t="e">
        <f>'SurveyRpt_20150223 (1)'!J711+"h_l!&amp;c#"</f>
        <v>#VALUE!</v>
      </c>
      <c r="EX114" t="e">
        <f>'SurveyRpt_20150223 (1)'!K711+"h_l!&amp;c$"</f>
        <v>#VALUE!</v>
      </c>
      <c r="EY114" t="e">
        <f>'SurveyRpt_20150223 (1)'!L711+"h_l!&amp;c%"</f>
        <v>#VALUE!</v>
      </c>
      <c r="EZ114" t="e">
        <f>'SurveyRpt_20150223 (1)'!M711+"h_l!&amp;c&amp;"</f>
        <v>#VALUE!</v>
      </c>
      <c r="FA114" t="e">
        <f>'SurveyRpt_20150223 (1)'!N711+"h_l!&amp;c'"</f>
        <v>#VALUE!</v>
      </c>
      <c r="FB114" t="e">
        <f>'SurveyRpt_20150223 (1)'!O711+"h_l!&amp;c("</f>
        <v>#VALUE!</v>
      </c>
      <c r="FC114" t="e">
        <f>'SurveyRpt_20150223 (1)'!P711+"h_l!&amp;c)"</f>
        <v>#VALUE!</v>
      </c>
      <c r="FD114" t="e">
        <f>'SurveyRpt_20150223 (1)'!Q711+"h_l!&amp;c."</f>
        <v>#VALUE!</v>
      </c>
      <c r="FE114" t="e">
        <f>'SurveyRpt_20150223 (1)'!R711+"h_l!&amp;c/"</f>
        <v>#VALUE!</v>
      </c>
      <c r="FF114" t="e">
        <f>'SurveyRpt_20150223 (1)'!S711+"h_l!&amp;c0"</f>
        <v>#VALUE!</v>
      </c>
      <c r="FG114" t="e">
        <f>'SurveyRpt_20150223 (1)'!T711+"h_l!&amp;c1"</f>
        <v>#VALUE!</v>
      </c>
      <c r="FH114" t="e">
        <f>'SurveyRpt_20150223 (1)'!U711+"h_l!&amp;c2"</f>
        <v>#VALUE!</v>
      </c>
      <c r="FI114" t="e">
        <f>'SurveyRpt_20150223 (1)'!V711+"h_l!&amp;c3"</f>
        <v>#VALUE!</v>
      </c>
      <c r="FJ114" t="e">
        <f>'SurveyRpt_20150223 (1)'!W711+"h_l!&amp;c4"</f>
        <v>#VALUE!</v>
      </c>
      <c r="FK114" t="e">
        <f>'SurveyRpt_20150223 (1)'!X711+"h_l!&amp;c5"</f>
        <v>#VALUE!</v>
      </c>
      <c r="FL114" t="e">
        <f>'SurveyRpt_20150223 (1)'!Y711+"h_l!&amp;c6"</f>
        <v>#VALUE!</v>
      </c>
      <c r="FM114" t="e">
        <f>'SurveyRpt_20150223 (1)'!Z711+"h_l!&amp;c7"</f>
        <v>#VALUE!</v>
      </c>
      <c r="FN114" t="e">
        <f>'SurveyRpt_20150223 (1)'!AA711+"h_l!&amp;c8"</f>
        <v>#VALUE!</v>
      </c>
      <c r="FO114" t="e">
        <f>'SurveyRpt_20150223 (1)'!AB711+"h_l!&amp;c9"</f>
        <v>#VALUE!</v>
      </c>
      <c r="FP114" t="e">
        <f>'SurveyRpt_20150223 (1)'!AC711+"h_l!&amp;c:"</f>
        <v>#VALUE!</v>
      </c>
      <c r="FQ114" t="e">
        <f>'SurveyRpt_20150223 (1)'!AD711+"h_l!&amp;c;"</f>
        <v>#VALUE!</v>
      </c>
      <c r="FR114" t="e">
        <f>'SurveyRpt_20150223 (1)'!AE711+"h_l!&amp;c&lt;"</f>
        <v>#VALUE!</v>
      </c>
      <c r="FS114" t="e">
        <f>'SurveyRpt_20150223 (1)'!AF711+"h_l!&amp;c="</f>
        <v>#VALUE!</v>
      </c>
      <c r="FT114" t="e">
        <f>'SurveyRpt_20150223 (1)'!AG711+"h_l!&amp;c&gt;"</f>
        <v>#VALUE!</v>
      </c>
      <c r="FU114" t="e">
        <f>'SurveyRpt_20150223 (1)'!AH711+"h_l!&amp;c?"</f>
        <v>#VALUE!</v>
      </c>
      <c r="FV114" t="e">
        <f>'SurveyRpt_20150223 (1)'!AI711+"h_l!&amp;c@"</f>
        <v>#VALUE!</v>
      </c>
      <c r="FW114" t="e">
        <f>'SurveyRpt_20150223 (1)'!AJ711+"h_l!&amp;cA"</f>
        <v>#VALUE!</v>
      </c>
      <c r="FX114" t="e">
        <f>'SurveyRpt_20150223 (1)'!AK711+"h_l!&amp;cB"</f>
        <v>#VALUE!</v>
      </c>
      <c r="FY114" t="e">
        <f>'SurveyRpt_20150223 (1)'!AL711+"h_l!&amp;cC"</f>
        <v>#VALUE!</v>
      </c>
      <c r="FZ114" t="e">
        <f>'SurveyRpt_20150223 (1)'!AM711+"h_l!&amp;cD"</f>
        <v>#VALUE!</v>
      </c>
      <c r="GA114" t="e">
        <f>'SurveyRpt_20150223 (1)'!AN711+"h_l!&amp;cE"</f>
        <v>#VALUE!</v>
      </c>
      <c r="GB114" t="e">
        <f>'SurveyRpt_20150223 (1)'!A712+"h_l!&amp;cF"</f>
        <v>#VALUE!</v>
      </c>
      <c r="GC114" s="25" t="e">
        <f>'SurveyRpt_20150223 (1)'!B712+"h_l!&amp;cG"</f>
        <v>#VALUE!</v>
      </c>
      <c r="GD114" t="e">
        <f>'SurveyRpt_20150223 (1)'!C712+"h_l!&amp;cH"</f>
        <v>#VALUE!</v>
      </c>
      <c r="GE114" s="25" t="e">
        <f>'SurveyRpt_20150223 (1)'!D712+"h_l!&amp;cI"</f>
        <v>#VALUE!</v>
      </c>
      <c r="GF114" t="e">
        <f>'SurveyRpt_20150223 (1)'!E712+"h_l!&amp;cJ"</f>
        <v>#VALUE!</v>
      </c>
      <c r="GG114" t="e">
        <f>'SurveyRpt_20150223 (1)'!F712+"h_l!&amp;cK"</f>
        <v>#VALUE!</v>
      </c>
      <c r="GH114" t="e">
        <f>'SurveyRpt_20150223 (1)'!G712+"h_l!&amp;cL"</f>
        <v>#VALUE!</v>
      </c>
      <c r="GI114" t="e">
        <f>'SurveyRpt_20150223 (1)'!H712+"h_l!&amp;cM"</f>
        <v>#VALUE!</v>
      </c>
      <c r="GJ114" t="e">
        <f>'SurveyRpt_20150223 (1)'!I712+"h_l!&amp;cN"</f>
        <v>#VALUE!</v>
      </c>
      <c r="GK114" t="e">
        <f>'SurveyRpt_20150223 (1)'!J712+"h_l!&amp;cO"</f>
        <v>#VALUE!</v>
      </c>
      <c r="GL114" t="e">
        <f>'SurveyRpt_20150223 (1)'!K712+"h_l!&amp;cP"</f>
        <v>#VALUE!</v>
      </c>
      <c r="GM114" t="e">
        <f>'SurveyRpt_20150223 (1)'!L712+"h_l!&amp;cQ"</f>
        <v>#VALUE!</v>
      </c>
      <c r="GN114" t="e">
        <f>'SurveyRpt_20150223 (1)'!M712+"h_l!&amp;cR"</f>
        <v>#VALUE!</v>
      </c>
      <c r="GO114" t="e">
        <f>'SurveyRpt_20150223 (1)'!N712+"h_l!&amp;cS"</f>
        <v>#VALUE!</v>
      </c>
      <c r="GP114" t="e">
        <f>'SurveyRpt_20150223 (1)'!O712+"h_l!&amp;cT"</f>
        <v>#VALUE!</v>
      </c>
      <c r="GQ114" t="e">
        <f>'SurveyRpt_20150223 (1)'!P712+"h_l!&amp;cU"</f>
        <v>#VALUE!</v>
      </c>
      <c r="GR114" t="e">
        <f>'SurveyRpt_20150223 (1)'!Q712+"h_l!&amp;cV"</f>
        <v>#VALUE!</v>
      </c>
      <c r="GS114" t="e">
        <f>'SurveyRpt_20150223 (1)'!R712+"h_l!&amp;cW"</f>
        <v>#VALUE!</v>
      </c>
      <c r="GT114" t="e">
        <f>'SurveyRpt_20150223 (1)'!S712+"h_l!&amp;cX"</f>
        <v>#VALUE!</v>
      </c>
      <c r="GU114" t="e">
        <f>'SurveyRpt_20150223 (1)'!T712+"h_l!&amp;cY"</f>
        <v>#VALUE!</v>
      </c>
      <c r="GV114" t="e">
        <f>'SurveyRpt_20150223 (1)'!U712+"h_l!&amp;cZ"</f>
        <v>#VALUE!</v>
      </c>
      <c r="GW114" t="e">
        <f>'SurveyRpt_20150223 (1)'!V712+"h_l!&amp;c["</f>
        <v>#VALUE!</v>
      </c>
      <c r="GX114" t="e">
        <f>'SurveyRpt_20150223 (1)'!W712+"h_l!&amp;c\"</f>
        <v>#VALUE!</v>
      </c>
      <c r="GY114" t="e">
        <f>'SurveyRpt_20150223 (1)'!X712+"h_l!&amp;c]"</f>
        <v>#VALUE!</v>
      </c>
      <c r="GZ114" t="e">
        <f>'SurveyRpt_20150223 (1)'!Y712+"h_l!&amp;c^"</f>
        <v>#VALUE!</v>
      </c>
      <c r="HA114" t="e">
        <f>'SurveyRpt_20150223 (1)'!Z712+"h_l!&amp;c_"</f>
        <v>#VALUE!</v>
      </c>
      <c r="HB114" t="e">
        <f>'SurveyRpt_20150223 (1)'!AA712+"h_l!&amp;c`"</f>
        <v>#VALUE!</v>
      </c>
      <c r="HC114" t="e">
        <f>'SurveyRpt_20150223 (1)'!AB712+"h_l!&amp;ca"</f>
        <v>#VALUE!</v>
      </c>
      <c r="HD114" t="e">
        <f>'SurveyRpt_20150223 (1)'!AC712+"h_l!&amp;cb"</f>
        <v>#VALUE!</v>
      </c>
      <c r="HE114" t="e">
        <f>'SurveyRpt_20150223 (1)'!AD712+"h_l!&amp;cc"</f>
        <v>#VALUE!</v>
      </c>
      <c r="HF114" t="e">
        <f>'SurveyRpt_20150223 (1)'!AE712+"h_l!&amp;cd"</f>
        <v>#VALUE!</v>
      </c>
      <c r="HG114" t="e">
        <f>'SurveyRpt_20150223 (1)'!AF712+"h_l!&amp;ce"</f>
        <v>#VALUE!</v>
      </c>
      <c r="HH114" t="e">
        <f>'SurveyRpt_20150223 (1)'!AG712+"h_l!&amp;cf"</f>
        <v>#VALUE!</v>
      </c>
      <c r="HI114" t="e">
        <f>'SurveyRpt_20150223 (1)'!AH712+"h_l!&amp;cg"</f>
        <v>#VALUE!</v>
      </c>
      <c r="HJ114" t="e">
        <f>'SurveyRpt_20150223 (1)'!AI712+"h_l!&amp;ch"</f>
        <v>#VALUE!</v>
      </c>
      <c r="HK114" t="e">
        <f>'SurveyRpt_20150223 (1)'!AJ712+"h_l!&amp;ci"</f>
        <v>#VALUE!</v>
      </c>
      <c r="HL114" t="e">
        <f>'SurveyRpt_20150223 (1)'!AK712+"h_l!&amp;cj"</f>
        <v>#VALUE!</v>
      </c>
      <c r="HM114" t="e">
        <f>'SurveyRpt_20150223 (1)'!AL712+"h_l!&amp;ck"</f>
        <v>#VALUE!</v>
      </c>
      <c r="HN114" t="e">
        <f>'SurveyRpt_20150223 (1)'!AM712+"h_l!&amp;cl"</f>
        <v>#VALUE!</v>
      </c>
      <c r="HO114" t="e">
        <f>'SurveyRpt_20150223 (1)'!AN712+"h_l!&amp;cm"</f>
        <v>#VALUE!</v>
      </c>
      <c r="HP114" t="e">
        <f>'SurveyRpt_20150223 (1)'!A713+"h_l!&amp;cn"</f>
        <v>#VALUE!</v>
      </c>
      <c r="HQ114" s="25" t="e">
        <f>'SurveyRpt_20150223 (1)'!B713+"h_l!&amp;co"</f>
        <v>#VALUE!</v>
      </c>
      <c r="HR114" t="e">
        <f>'SurveyRpt_20150223 (1)'!C713+"h_l!&amp;cp"</f>
        <v>#VALUE!</v>
      </c>
      <c r="HS114" s="25" t="e">
        <f>'SurveyRpt_20150223 (1)'!D713+"h_l!&amp;cq"</f>
        <v>#VALUE!</v>
      </c>
      <c r="HT114" t="e">
        <f>'SurveyRpt_20150223 (1)'!E713+"h_l!&amp;cr"</f>
        <v>#VALUE!</v>
      </c>
      <c r="HU114" t="e">
        <f>'SurveyRpt_20150223 (1)'!F713+"h_l!&amp;cs"</f>
        <v>#VALUE!</v>
      </c>
      <c r="HV114" t="e">
        <f>'SurveyRpt_20150223 (1)'!G713+"h_l!&amp;ct"</f>
        <v>#VALUE!</v>
      </c>
      <c r="HW114" t="e">
        <f>'SurveyRpt_20150223 (1)'!H713+"h_l!&amp;cu"</f>
        <v>#VALUE!</v>
      </c>
      <c r="HX114" t="e">
        <f>'SurveyRpt_20150223 (1)'!I713+"h_l!&amp;cv"</f>
        <v>#VALUE!</v>
      </c>
      <c r="HY114" t="e">
        <f>'SurveyRpt_20150223 (1)'!J713+"h_l!&amp;cw"</f>
        <v>#VALUE!</v>
      </c>
      <c r="HZ114" t="e">
        <f>'SurveyRpt_20150223 (1)'!K713+"h_l!&amp;cx"</f>
        <v>#VALUE!</v>
      </c>
      <c r="IA114" t="e">
        <f>'SurveyRpt_20150223 (1)'!L713+"h_l!&amp;cy"</f>
        <v>#VALUE!</v>
      </c>
      <c r="IB114" t="e">
        <f>'SurveyRpt_20150223 (1)'!M713+"h_l!&amp;cz"</f>
        <v>#VALUE!</v>
      </c>
      <c r="IC114" t="e">
        <f>'SurveyRpt_20150223 (1)'!N713+"h_l!&amp;c{"</f>
        <v>#VALUE!</v>
      </c>
      <c r="ID114" t="e">
        <f>'SurveyRpt_20150223 (1)'!O713+"h_l!&amp;c|"</f>
        <v>#VALUE!</v>
      </c>
      <c r="IE114" t="e">
        <f>'SurveyRpt_20150223 (1)'!P713+"h_l!&amp;c}"</f>
        <v>#VALUE!</v>
      </c>
      <c r="IF114" t="e">
        <f>'SurveyRpt_20150223 (1)'!Q713+"h_l!&amp;c~"</f>
        <v>#VALUE!</v>
      </c>
      <c r="IG114" t="e">
        <f>'SurveyRpt_20150223 (1)'!R713+"h_l!&amp;d#"</f>
        <v>#VALUE!</v>
      </c>
      <c r="IH114" t="e">
        <f>'SurveyRpt_20150223 (1)'!S713+"h_l!&amp;d$"</f>
        <v>#VALUE!</v>
      </c>
      <c r="II114" t="e">
        <f>'SurveyRpt_20150223 (1)'!T713+"h_l!&amp;d%"</f>
        <v>#VALUE!</v>
      </c>
      <c r="IJ114" t="e">
        <f>'SurveyRpt_20150223 (1)'!U713+"h_l!&amp;d&amp;"</f>
        <v>#VALUE!</v>
      </c>
      <c r="IK114" t="e">
        <f>'SurveyRpt_20150223 (1)'!V713+"h_l!&amp;d'"</f>
        <v>#VALUE!</v>
      </c>
      <c r="IL114" t="e">
        <f>'SurveyRpt_20150223 (1)'!W713+"h_l!&amp;d("</f>
        <v>#VALUE!</v>
      </c>
      <c r="IM114" t="e">
        <f>'SurveyRpt_20150223 (1)'!X713+"h_l!&amp;d)"</f>
        <v>#VALUE!</v>
      </c>
      <c r="IN114" t="e">
        <f>'SurveyRpt_20150223 (1)'!Y713+"h_l!&amp;d."</f>
        <v>#VALUE!</v>
      </c>
      <c r="IO114" t="e">
        <f>'SurveyRpt_20150223 (1)'!Z713+"h_l!&amp;d/"</f>
        <v>#VALUE!</v>
      </c>
      <c r="IP114" t="e">
        <f>'SurveyRpt_20150223 (1)'!AA713+"h_l!&amp;d0"</f>
        <v>#VALUE!</v>
      </c>
      <c r="IQ114" t="e">
        <f>'SurveyRpt_20150223 (1)'!AB713+"h_l!&amp;d1"</f>
        <v>#VALUE!</v>
      </c>
      <c r="IR114" t="e">
        <f>'SurveyRpt_20150223 (1)'!AC713+"h_l!&amp;d2"</f>
        <v>#VALUE!</v>
      </c>
      <c r="IS114" t="e">
        <f>'SurveyRpt_20150223 (1)'!AD713+"h_l!&amp;d3"</f>
        <v>#VALUE!</v>
      </c>
      <c r="IT114" t="e">
        <f>'SurveyRpt_20150223 (1)'!AE713+"h_l!&amp;d4"</f>
        <v>#VALUE!</v>
      </c>
      <c r="IU114" t="e">
        <f>'SurveyRpt_20150223 (1)'!AF713+"h_l!&amp;d5"</f>
        <v>#VALUE!</v>
      </c>
      <c r="IV114" t="e">
        <f>'SurveyRpt_20150223 (1)'!AG713+"h_l!&amp;d6"</f>
        <v>#VALUE!</v>
      </c>
    </row>
    <row r="115" spans="6:256" x14ac:dyDescent="0.25">
      <c r="F115" t="e">
        <f>'SurveyRpt_20150223 (1)'!AH713+"h_l!&amp;d7"</f>
        <v>#VALUE!</v>
      </c>
      <c r="G115" t="e">
        <f>'SurveyRpt_20150223 (1)'!AI713+"h_l!&amp;d8"</f>
        <v>#VALUE!</v>
      </c>
      <c r="H115" t="e">
        <f>'SurveyRpt_20150223 (1)'!AJ713+"h_l!&amp;d9"</f>
        <v>#VALUE!</v>
      </c>
      <c r="I115" t="e">
        <f>'SurveyRpt_20150223 (1)'!AK713+"h_l!&amp;d:"</f>
        <v>#VALUE!</v>
      </c>
      <c r="J115" t="e">
        <f>'SurveyRpt_20150223 (1)'!AL713+"h_l!&amp;d;"</f>
        <v>#VALUE!</v>
      </c>
      <c r="K115" t="e">
        <f>'SurveyRpt_20150223 (1)'!AM713+"h_l!&amp;d&lt;"</f>
        <v>#VALUE!</v>
      </c>
      <c r="L115" t="e">
        <f>'SurveyRpt_20150223 (1)'!AN713+"h_l!&amp;d="</f>
        <v>#VALUE!</v>
      </c>
      <c r="M115" t="e">
        <f>'SurveyRpt_20150223 (1)'!A714+"h_l!&amp;d&gt;"</f>
        <v>#VALUE!</v>
      </c>
      <c r="N115" s="25" t="e">
        <f>'SurveyRpt_20150223 (1)'!B714+"h_l!&amp;d?"</f>
        <v>#VALUE!</v>
      </c>
      <c r="O115" t="e">
        <f>'SurveyRpt_20150223 (1)'!C714+"h_l!&amp;d@"</f>
        <v>#VALUE!</v>
      </c>
      <c r="P115" s="25" t="e">
        <f>'SurveyRpt_20150223 (1)'!D714+"h_l!&amp;dA"</f>
        <v>#VALUE!</v>
      </c>
      <c r="Q115" t="e">
        <f>'SurveyRpt_20150223 (1)'!E714+"h_l!&amp;dB"</f>
        <v>#VALUE!</v>
      </c>
      <c r="R115" t="e">
        <f>'SurveyRpt_20150223 (1)'!F714+"h_l!&amp;dC"</f>
        <v>#VALUE!</v>
      </c>
      <c r="S115" t="e">
        <f>'SurveyRpt_20150223 (1)'!G714+"h_l!&amp;dD"</f>
        <v>#VALUE!</v>
      </c>
      <c r="T115" t="e">
        <f>'SurveyRpt_20150223 (1)'!H714+"h_l!&amp;dE"</f>
        <v>#VALUE!</v>
      </c>
      <c r="U115" t="e">
        <f>'SurveyRpt_20150223 (1)'!I714+"h_l!&amp;dF"</f>
        <v>#VALUE!</v>
      </c>
      <c r="V115" t="e">
        <f>'SurveyRpt_20150223 (1)'!J714+"h_l!&amp;dG"</f>
        <v>#VALUE!</v>
      </c>
      <c r="W115" t="e">
        <f>'SurveyRpt_20150223 (1)'!K714+"h_l!&amp;dH"</f>
        <v>#VALUE!</v>
      </c>
      <c r="X115" t="e">
        <f>'SurveyRpt_20150223 (1)'!L714+"h_l!&amp;dI"</f>
        <v>#VALUE!</v>
      </c>
      <c r="Y115" t="e">
        <f>'SurveyRpt_20150223 (1)'!M714+"h_l!&amp;dJ"</f>
        <v>#VALUE!</v>
      </c>
      <c r="Z115" t="e">
        <f>'SurveyRpt_20150223 (1)'!N714+"h_l!&amp;dK"</f>
        <v>#VALUE!</v>
      </c>
      <c r="AA115" t="e">
        <f>'SurveyRpt_20150223 (1)'!O714+"h_l!&amp;dL"</f>
        <v>#VALUE!</v>
      </c>
      <c r="AB115" t="e">
        <f>'SurveyRpt_20150223 (1)'!P714+"h_l!&amp;dM"</f>
        <v>#VALUE!</v>
      </c>
      <c r="AC115" t="e">
        <f>'SurveyRpt_20150223 (1)'!Q714+"h_l!&amp;dN"</f>
        <v>#VALUE!</v>
      </c>
      <c r="AD115" t="e">
        <f>'SurveyRpt_20150223 (1)'!R714+"h_l!&amp;dO"</f>
        <v>#VALUE!</v>
      </c>
      <c r="AE115" t="e">
        <f>'SurveyRpt_20150223 (1)'!S714+"h_l!&amp;dP"</f>
        <v>#VALUE!</v>
      </c>
      <c r="AF115" t="e">
        <f>'SurveyRpt_20150223 (1)'!T714+"h_l!&amp;dQ"</f>
        <v>#VALUE!</v>
      </c>
      <c r="AG115" t="e">
        <f>'SurveyRpt_20150223 (1)'!U714+"h_l!&amp;dR"</f>
        <v>#VALUE!</v>
      </c>
      <c r="AH115" t="e">
        <f>'SurveyRpt_20150223 (1)'!V714+"h_l!&amp;dS"</f>
        <v>#VALUE!</v>
      </c>
      <c r="AI115" t="e">
        <f>'SurveyRpt_20150223 (1)'!W714+"h_l!&amp;dT"</f>
        <v>#VALUE!</v>
      </c>
      <c r="AJ115" t="e">
        <f>'SurveyRpt_20150223 (1)'!X714+"h_l!&amp;dU"</f>
        <v>#VALUE!</v>
      </c>
      <c r="AK115" t="e">
        <f>'SurveyRpt_20150223 (1)'!Y714+"h_l!&amp;dV"</f>
        <v>#VALUE!</v>
      </c>
      <c r="AL115" t="e">
        <f>'SurveyRpt_20150223 (1)'!Z714+"h_l!&amp;dW"</f>
        <v>#VALUE!</v>
      </c>
      <c r="AM115" t="e">
        <f>'SurveyRpt_20150223 (1)'!AA714+"h_l!&amp;dX"</f>
        <v>#VALUE!</v>
      </c>
      <c r="AN115" t="e">
        <f>'SurveyRpt_20150223 (1)'!AB714+"h_l!&amp;dY"</f>
        <v>#VALUE!</v>
      </c>
      <c r="AO115" t="e">
        <f>'SurveyRpt_20150223 (1)'!AC714+"h_l!&amp;dZ"</f>
        <v>#VALUE!</v>
      </c>
      <c r="AP115" t="e">
        <f>'SurveyRpt_20150223 (1)'!AD714+"h_l!&amp;d["</f>
        <v>#VALUE!</v>
      </c>
      <c r="AQ115" t="e">
        <f>'SurveyRpt_20150223 (1)'!AE714+"h_l!&amp;d\"</f>
        <v>#VALUE!</v>
      </c>
      <c r="AR115" t="e">
        <f>'SurveyRpt_20150223 (1)'!AF714+"h_l!&amp;d]"</f>
        <v>#VALUE!</v>
      </c>
      <c r="AS115" t="e">
        <f>'SurveyRpt_20150223 (1)'!AG714+"h_l!&amp;d^"</f>
        <v>#VALUE!</v>
      </c>
      <c r="AT115" t="e">
        <f>'SurveyRpt_20150223 (1)'!AH714+"h_l!&amp;d_"</f>
        <v>#VALUE!</v>
      </c>
      <c r="AU115" t="e">
        <f>'SurveyRpt_20150223 (1)'!AI714+"h_l!&amp;d`"</f>
        <v>#VALUE!</v>
      </c>
      <c r="AV115" t="e">
        <f>'SurveyRpt_20150223 (1)'!AJ714+"h_l!&amp;da"</f>
        <v>#VALUE!</v>
      </c>
      <c r="AW115" t="e">
        <f>'SurveyRpt_20150223 (1)'!AK714+"h_l!&amp;db"</f>
        <v>#VALUE!</v>
      </c>
      <c r="AX115" t="e">
        <f>'SurveyRpt_20150223 (1)'!AL714+"h_l!&amp;dc"</f>
        <v>#VALUE!</v>
      </c>
      <c r="AY115" t="e">
        <f>'SurveyRpt_20150223 (1)'!AM714+"h_l!&amp;dd"</f>
        <v>#VALUE!</v>
      </c>
      <c r="AZ115" t="e">
        <f>'SurveyRpt_20150223 (1)'!AN714+"h_l!&amp;de"</f>
        <v>#VALUE!</v>
      </c>
      <c r="BA115" t="e">
        <f>'SurveyRpt_20150223 (1)'!A715+"h_l!&amp;df"</f>
        <v>#VALUE!</v>
      </c>
      <c r="BB115" s="25" t="e">
        <f>'SurveyRpt_20150223 (1)'!B715+"h_l!&amp;dg"</f>
        <v>#VALUE!</v>
      </c>
      <c r="BC115" t="e">
        <f>'SurveyRpt_20150223 (1)'!C715+"h_l!&amp;dh"</f>
        <v>#VALUE!</v>
      </c>
      <c r="BD115" s="25" t="e">
        <f>'SurveyRpt_20150223 (1)'!D715+"h_l!&amp;di"</f>
        <v>#VALUE!</v>
      </c>
      <c r="BE115" t="e">
        <f>'SurveyRpt_20150223 (1)'!E715+"h_l!&amp;dj"</f>
        <v>#VALUE!</v>
      </c>
      <c r="BF115" t="e">
        <f>'SurveyRpt_20150223 (1)'!F715+"h_l!&amp;dk"</f>
        <v>#VALUE!</v>
      </c>
      <c r="BG115" t="e">
        <f>'SurveyRpt_20150223 (1)'!G715+"h_l!&amp;dl"</f>
        <v>#VALUE!</v>
      </c>
      <c r="BH115" t="e">
        <f>'SurveyRpt_20150223 (1)'!H715+"h_l!&amp;dm"</f>
        <v>#VALUE!</v>
      </c>
      <c r="BI115" t="e">
        <f>'SurveyRpt_20150223 (1)'!I715+"h_l!&amp;dn"</f>
        <v>#VALUE!</v>
      </c>
      <c r="BJ115" t="e">
        <f>'SurveyRpt_20150223 (1)'!J715+"h_l!&amp;do"</f>
        <v>#VALUE!</v>
      </c>
      <c r="BK115" t="e">
        <f>'SurveyRpt_20150223 (1)'!K715+"h_l!&amp;dp"</f>
        <v>#VALUE!</v>
      </c>
      <c r="BL115" t="e">
        <f>'SurveyRpt_20150223 (1)'!L715+"h_l!&amp;dq"</f>
        <v>#VALUE!</v>
      </c>
      <c r="BM115" t="e">
        <f>'SurveyRpt_20150223 (1)'!M715+"h_l!&amp;dr"</f>
        <v>#VALUE!</v>
      </c>
      <c r="BN115" t="e">
        <f>'SurveyRpt_20150223 (1)'!N715+"h_l!&amp;ds"</f>
        <v>#VALUE!</v>
      </c>
      <c r="BO115" t="e">
        <f>'SurveyRpt_20150223 (1)'!O715+"h_l!&amp;dt"</f>
        <v>#VALUE!</v>
      </c>
      <c r="BP115" t="e">
        <f>'SurveyRpt_20150223 (1)'!P715+"h_l!&amp;du"</f>
        <v>#VALUE!</v>
      </c>
      <c r="BQ115" t="e">
        <f>'SurveyRpt_20150223 (1)'!Q715+"h_l!&amp;dv"</f>
        <v>#VALUE!</v>
      </c>
      <c r="BR115" t="e">
        <f>'SurveyRpt_20150223 (1)'!R715+"h_l!&amp;dw"</f>
        <v>#VALUE!</v>
      </c>
      <c r="BS115" t="e">
        <f>'SurveyRpt_20150223 (1)'!S715+"h_l!&amp;dx"</f>
        <v>#VALUE!</v>
      </c>
      <c r="BT115" t="e">
        <f>'SurveyRpt_20150223 (1)'!T715+"h_l!&amp;dy"</f>
        <v>#VALUE!</v>
      </c>
      <c r="BU115" t="e">
        <f>'SurveyRpt_20150223 (1)'!U715+"h_l!&amp;dz"</f>
        <v>#VALUE!</v>
      </c>
      <c r="BV115" t="e">
        <f>'SurveyRpt_20150223 (1)'!V715+"h_l!&amp;d{"</f>
        <v>#VALUE!</v>
      </c>
      <c r="BW115" t="e">
        <f>'SurveyRpt_20150223 (1)'!W715+"h_l!&amp;d|"</f>
        <v>#VALUE!</v>
      </c>
      <c r="BX115" t="e">
        <f>'SurveyRpt_20150223 (1)'!X715+"h_l!&amp;d}"</f>
        <v>#VALUE!</v>
      </c>
      <c r="BY115" t="e">
        <f>'SurveyRpt_20150223 (1)'!Y715+"h_l!&amp;d~"</f>
        <v>#VALUE!</v>
      </c>
      <c r="BZ115" t="e">
        <f>'SurveyRpt_20150223 (1)'!Z715+"h_l!&amp;e#"</f>
        <v>#VALUE!</v>
      </c>
      <c r="CA115" t="e">
        <f>'SurveyRpt_20150223 (1)'!AA715+"h_l!&amp;e$"</f>
        <v>#VALUE!</v>
      </c>
      <c r="CB115" t="e">
        <f>'SurveyRpt_20150223 (1)'!AB715+"h_l!&amp;e%"</f>
        <v>#VALUE!</v>
      </c>
      <c r="CC115" t="e">
        <f>'SurveyRpt_20150223 (1)'!AC715+"h_l!&amp;e&amp;"</f>
        <v>#VALUE!</v>
      </c>
      <c r="CD115" t="e">
        <f>'SurveyRpt_20150223 (1)'!AD715+"h_l!&amp;e'"</f>
        <v>#VALUE!</v>
      </c>
      <c r="CE115" t="e">
        <f>'SurveyRpt_20150223 (1)'!AE715+"h_l!&amp;e("</f>
        <v>#VALUE!</v>
      </c>
      <c r="CF115" t="e">
        <f>'SurveyRpt_20150223 (1)'!AF715+"h_l!&amp;e)"</f>
        <v>#VALUE!</v>
      </c>
      <c r="CG115" t="e">
        <f>'SurveyRpt_20150223 (1)'!AG715+"h_l!&amp;e."</f>
        <v>#VALUE!</v>
      </c>
      <c r="CH115" t="e">
        <f>'SurveyRpt_20150223 (1)'!AH715+"h_l!&amp;e/"</f>
        <v>#VALUE!</v>
      </c>
      <c r="CI115" t="e">
        <f>'SurveyRpt_20150223 (1)'!AI715+"h_l!&amp;e0"</f>
        <v>#VALUE!</v>
      </c>
      <c r="CJ115" t="e">
        <f>'SurveyRpt_20150223 (1)'!AJ715+"h_l!&amp;e1"</f>
        <v>#VALUE!</v>
      </c>
      <c r="CK115" t="e">
        <f>'SurveyRpt_20150223 (1)'!AK715+"h_l!&amp;e2"</f>
        <v>#VALUE!</v>
      </c>
      <c r="CL115" t="e">
        <f>'SurveyRpt_20150223 (1)'!AL715+"h_l!&amp;e3"</f>
        <v>#VALUE!</v>
      </c>
      <c r="CM115" t="e">
        <f>'SurveyRpt_20150223 (1)'!AM715+"h_l!&amp;e4"</f>
        <v>#VALUE!</v>
      </c>
      <c r="CN115" t="e">
        <f>'SurveyRpt_20150223 (1)'!AN715+"h_l!&amp;e5"</f>
        <v>#VALUE!</v>
      </c>
      <c r="CO115" t="e">
        <f>'SurveyRpt_20150223 (1)'!A716+"h_l!&amp;e6"</f>
        <v>#VALUE!</v>
      </c>
      <c r="CP115" s="25" t="e">
        <f>'SurveyRpt_20150223 (1)'!B716+"h_l!&amp;e7"</f>
        <v>#VALUE!</v>
      </c>
      <c r="CQ115" t="e">
        <f>'SurveyRpt_20150223 (1)'!C716+"h_l!&amp;e8"</f>
        <v>#VALUE!</v>
      </c>
      <c r="CR115" s="25" t="e">
        <f>'SurveyRpt_20150223 (1)'!D716+"h_l!&amp;e9"</f>
        <v>#VALUE!</v>
      </c>
      <c r="CS115" t="e">
        <f>'SurveyRpt_20150223 (1)'!E716+"h_l!&amp;e:"</f>
        <v>#VALUE!</v>
      </c>
      <c r="CT115" t="e">
        <f>'SurveyRpt_20150223 (1)'!F716+"h_l!&amp;e;"</f>
        <v>#VALUE!</v>
      </c>
      <c r="CU115" t="e">
        <f>'SurveyRpt_20150223 (1)'!G716+"h_l!&amp;e&lt;"</f>
        <v>#VALUE!</v>
      </c>
      <c r="CV115" t="e">
        <f>'SurveyRpt_20150223 (1)'!H716+"h_l!&amp;e="</f>
        <v>#VALUE!</v>
      </c>
      <c r="CW115" t="e">
        <f>'SurveyRpt_20150223 (1)'!I716+"h_l!&amp;e&gt;"</f>
        <v>#VALUE!</v>
      </c>
      <c r="CX115" t="e">
        <f>'SurveyRpt_20150223 (1)'!J716+"h_l!&amp;e?"</f>
        <v>#VALUE!</v>
      </c>
      <c r="CY115" t="e">
        <f>'SurveyRpt_20150223 (1)'!K716+"h_l!&amp;e@"</f>
        <v>#VALUE!</v>
      </c>
      <c r="CZ115" t="e">
        <f>'SurveyRpt_20150223 (1)'!L716+"h_l!&amp;eA"</f>
        <v>#VALUE!</v>
      </c>
      <c r="DA115" t="e">
        <f>'SurveyRpt_20150223 (1)'!M716+"h_l!&amp;eB"</f>
        <v>#VALUE!</v>
      </c>
      <c r="DB115" t="e">
        <f>'SurveyRpt_20150223 (1)'!N716+"h_l!&amp;eC"</f>
        <v>#VALUE!</v>
      </c>
      <c r="DC115" t="e">
        <f>'SurveyRpt_20150223 (1)'!O716+"h_l!&amp;eD"</f>
        <v>#VALUE!</v>
      </c>
      <c r="DD115" t="e">
        <f>'SurveyRpt_20150223 (1)'!P716+"h_l!&amp;eE"</f>
        <v>#VALUE!</v>
      </c>
      <c r="DE115" t="e">
        <f>'SurveyRpt_20150223 (1)'!Q716+"h_l!&amp;eF"</f>
        <v>#VALUE!</v>
      </c>
      <c r="DF115" t="e">
        <f>'SurveyRpt_20150223 (1)'!R716+"h_l!&amp;eG"</f>
        <v>#VALUE!</v>
      </c>
      <c r="DG115" t="e">
        <f>'SurveyRpt_20150223 (1)'!S716+"h_l!&amp;eH"</f>
        <v>#VALUE!</v>
      </c>
      <c r="DH115" t="e">
        <f>'SurveyRpt_20150223 (1)'!T716+"h_l!&amp;eI"</f>
        <v>#VALUE!</v>
      </c>
      <c r="DI115" t="e">
        <f>'SurveyRpt_20150223 (1)'!U716+"h_l!&amp;eJ"</f>
        <v>#VALUE!</v>
      </c>
      <c r="DJ115" t="e">
        <f>'SurveyRpt_20150223 (1)'!V716+"h_l!&amp;eK"</f>
        <v>#VALUE!</v>
      </c>
      <c r="DK115" t="e">
        <f>'SurveyRpt_20150223 (1)'!W716+"h_l!&amp;eL"</f>
        <v>#VALUE!</v>
      </c>
      <c r="DL115" t="e">
        <f>'SurveyRpt_20150223 (1)'!X716+"h_l!&amp;eM"</f>
        <v>#VALUE!</v>
      </c>
      <c r="DM115" t="e">
        <f>'SurveyRpt_20150223 (1)'!Y716+"h_l!&amp;eN"</f>
        <v>#VALUE!</v>
      </c>
      <c r="DN115" t="e">
        <f>'SurveyRpt_20150223 (1)'!Z716+"h_l!&amp;eO"</f>
        <v>#VALUE!</v>
      </c>
      <c r="DO115" t="e">
        <f>'SurveyRpt_20150223 (1)'!AA716+"h_l!&amp;eP"</f>
        <v>#VALUE!</v>
      </c>
      <c r="DP115" t="e">
        <f>'SurveyRpt_20150223 (1)'!AB716+"h_l!&amp;eQ"</f>
        <v>#VALUE!</v>
      </c>
      <c r="DQ115" t="e">
        <f>'SurveyRpt_20150223 (1)'!AC716+"h_l!&amp;eR"</f>
        <v>#VALUE!</v>
      </c>
      <c r="DR115" t="e">
        <f>'SurveyRpt_20150223 (1)'!AD716+"h_l!&amp;eS"</f>
        <v>#VALUE!</v>
      </c>
      <c r="DS115" t="e">
        <f>'SurveyRpt_20150223 (1)'!AE716+"h_l!&amp;eT"</f>
        <v>#VALUE!</v>
      </c>
      <c r="DT115" t="e">
        <f>'SurveyRpt_20150223 (1)'!AF716+"h_l!&amp;eU"</f>
        <v>#VALUE!</v>
      </c>
      <c r="DU115" t="e">
        <f>'SurveyRpt_20150223 (1)'!AG716+"h_l!&amp;eV"</f>
        <v>#VALUE!</v>
      </c>
      <c r="DV115" t="e">
        <f>'SurveyRpt_20150223 (1)'!AH716+"h_l!&amp;eW"</f>
        <v>#VALUE!</v>
      </c>
      <c r="DW115" t="e">
        <f>'SurveyRpt_20150223 (1)'!AI716+"h_l!&amp;eX"</f>
        <v>#VALUE!</v>
      </c>
      <c r="DX115" t="e">
        <f>'SurveyRpt_20150223 (1)'!AJ716+"h_l!&amp;eY"</f>
        <v>#VALUE!</v>
      </c>
      <c r="DY115" t="e">
        <f>'SurveyRpt_20150223 (1)'!AK716+"h_l!&amp;eZ"</f>
        <v>#VALUE!</v>
      </c>
      <c r="DZ115" t="e">
        <f>'SurveyRpt_20150223 (1)'!AL716+"h_l!&amp;e["</f>
        <v>#VALUE!</v>
      </c>
      <c r="EA115" t="e">
        <f>'SurveyRpt_20150223 (1)'!AM716+"h_l!&amp;e\"</f>
        <v>#VALUE!</v>
      </c>
      <c r="EB115" t="e">
        <f>'SurveyRpt_20150223 (1)'!AN716+"h_l!&amp;e]"</f>
        <v>#VALUE!</v>
      </c>
      <c r="EC115" t="e">
        <f>'SurveyRpt_20150223 (1)'!A717+"h_l!&amp;e^"</f>
        <v>#VALUE!</v>
      </c>
      <c r="ED115" s="25" t="e">
        <f>'SurveyRpt_20150223 (1)'!B717+"h_l!&amp;e_"</f>
        <v>#VALUE!</v>
      </c>
      <c r="EE115" t="e">
        <f>'SurveyRpt_20150223 (1)'!C717+"h_l!&amp;e`"</f>
        <v>#VALUE!</v>
      </c>
      <c r="EF115" s="25" t="e">
        <f>'SurveyRpt_20150223 (1)'!D717+"h_l!&amp;ea"</f>
        <v>#VALUE!</v>
      </c>
      <c r="EG115" t="e">
        <f>'SurveyRpt_20150223 (1)'!E717+"h_l!&amp;eb"</f>
        <v>#VALUE!</v>
      </c>
      <c r="EH115" t="e">
        <f>'SurveyRpt_20150223 (1)'!F717+"h_l!&amp;ec"</f>
        <v>#VALUE!</v>
      </c>
      <c r="EI115" t="e">
        <f>'SurveyRpt_20150223 (1)'!G717+"h_l!&amp;ed"</f>
        <v>#VALUE!</v>
      </c>
      <c r="EJ115" t="e">
        <f>'SurveyRpt_20150223 (1)'!H717+"h_l!&amp;ee"</f>
        <v>#VALUE!</v>
      </c>
      <c r="EK115" t="e">
        <f>'SurveyRpt_20150223 (1)'!I717+"h_l!&amp;ef"</f>
        <v>#VALUE!</v>
      </c>
      <c r="EL115" t="e">
        <f>'SurveyRpt_20150223 (1)'!J717+"h_l!&amp;eg"</f>
        <v>#VALUE!</v>
      </c>
      <c r="EM115" t="e">
        <f>'SurveyRpt_20150223 (1)'!K717+"h_l!&amp;eh"</f>
        <v>#VALUE!</v>
      </c>
      <c r="EN115" t="e">
        <f>'SurveyRpt_20150223 (1)'!L717+"h_l!&amp;ei"</f>
        <v>#VALUE!</v>
      </c>
      <c r="EO115" t="e">
        <f>'SurveyRpt_20150223 (1)'!M717+"h_l!&amp;ej"</f>
        <v>#VALUE!</v>
      </c>
      <c r="EP115" t="e">
        <f>'SurveyRpt_20150223 (1)'!N717+"h_l!&amp;ek"</f>
        <v>#VALUE!</v>
      </c>
      <c r="EQ115" t="e">
        <f>'SurveyRpt_20150223 (1)'!O717+"h_l!&amp;el"</f>
        <v>#VALUE!</v>
      </c>
      <c r="ER115" t="e">
        <f>'SurveyRpt_20150223 (1)'!P717+"h_l!&amp;em"</f>
        <v>#VALUE!</v>
      </c>
      <c r="ES115" t="e">
        <f>'SurveyRpt_20150223 (1)'!Q717+"h_l!&amp;en"</f>
        <v>#VALUE!</v>
      </c>
      <c r="ET115" t="e">
        <f>'SurveyRpt_20150223 (1)'!R717+"h_l!&amp;eo"</f>
        <v>#VALUE!</v>
      </c>
      <c r="EU115" t="e">
        <f>'SurveyRpt_20150223 (1)'!S717+"h_l!&amp;ep"</f>
        <v>#VALUE!</v>
      </c>
      <c r="EV115" t="e">
        <f>'SurveyRpt_20150223 (1)'!T717+"h_l!&amp;eq"</f>
        <v>#VALUE!</v>
      </c>
      <c r="EW115" t="e">
        <f>'SurveyRpt_20150223 (1)'!U717+"h_l!&amp;er"</f>
        <v>#VALUE!</v>
      </c>
      <c r="EX115" t="e">
        <f>'SurveyRpt_20150223 (1)'!V717+"h_l!&amp;es"</f>
        <v>#VALUE!</v>
      </c>
      <c r="EY115" t="e">
        <f>'SurveyRpt_20150223 (1)'!W717+"h_l!&amp;et"</f>
        <v>#VALUE!</v>
      </c>
      <c r="EZ115" t="e">
        <f>'SurveyRpt_20150223 (1)'!X717+"h_l!&amp;eu"</f>
        <v>#VALUE!</v>
      </c>
      <c r="FA115" t="e">
        <f>'SurveyRpt_20150223 (1)'!Y717+"h_l!&amp;ev"</f>
        <v>#VALUE!</v>
      </c>
      <c r="FB115" t="e">
        <f>'SurveyRpt_20150223 (1)'!Z717+"h_l!&amp;ew"</f>
        <v>#VALUE!</v>
      </c>
      <c r="FC115" t="e">
        <f>'SurveyRpt_20150223 (1)'!AA717+"h_l!&amp;ex"</f>
        <v>#VALUE!</v>
      </c>
      <c r="FD115" t="e">
        <f>'SurveyRpt_20150223 (1)'!AB717+"h_l!&amp;ey"</f>
        <v>#VALUE!</v>
      </c>
      <c r="FE115" t="e">
        <f>'SurveyRpt_20150223 (1)'!AC717+"h_l!&amp;ez"</f>
        <v>#VALUE!</v>
      </c>
      <c r="FF115" t="e">
        <f>'SurveyRpt_20150223 (1)'!AD717+"h_l!&amp;e{"</f>
        <v>#VALUE!</v>
      </c>
      <c r="FG115" t="e">
        <f>'SurveyRpt_20150223 (1)'!AE717+"h_l!&amp;e|"</f>
        <v>#VALUE!</v>
      </c>
      <c r="FH115" t="e">
        <f>'SurveyRpt_20150223 (1)'!AF717+"h_l!&amp;e}"</f>
        <v>#VALUE!</v>
      </c>
      <c r="FI115" t="e">
        <f>'SurveyRpt_20150223 (1)'!AG717+"h_l!&amp;e~"</f>
        <v>#VALUE!</v>
      </c>
      <c r="FJ115" t="e">
        <f>'SurveyRpt_20150223 (1)'!AH717+"h_l!&amp;f#"</f>
        <v>#VALUE!</v>
      </c>
      <c r="FK115" t="e">
        <f>'SurveyRpt_20150223 (1)'!AI717+"h_l!&amp;f$"</f>
        <v>#VALUE!</v>
      </c>
      <c r="FL115" t="e">
        <f>'SurveyRpt_20150223 (1)'!AJ717+"h_l!&amp;f%"</f>
        <v>#VALUE!</v>
      </c>
      <c r="FM115" t="e">
        <f>'SurveyRpt_20150223 (1)'!AK717+"h_l!&amp;f&amp;"</f>
        <v>#VALUE!</v>
      </c>
      <c r="FN115" t="e">
        <f>'SurveyRpt_20150223 (1)'!AL717+"h_l!&amp;f'"</f>
        <v>#VALUE!</v>
      </c>
      <c r="FO115" t="e">
        <f>'SurveyRpt_20150223 (1)'!AM717+"h_l!&amp;f("</f>
        <v>#VALUE!</v>
      </c>
      <c r="FP115" t="e">
        <f>'SurveyRpt_20150223 (1)'!AN717+"h_l!&amp;f)"</f>
        <v>#VALUE!</v>
      </c>
      <c r="FQ115" t="e">
        <f>'SurveyRpt_20150223 (1)'!A718+"h_l!&amp;f."</f>
        <v>#VALUE!</v>
      </c>
      <c r="FR115" s="25" t="e">
        <f>'SurveyRpt_20150223 (1)'!B718+"h_l!&amp;f/"</f>
        <v>#VALUE!</v>
      </c>
      <c r="FS115" t="e">
        <f>'SurveyRpt_20150223 (1)'!C718+"h_l!&amp;f0"</f>
        <v>#VALUE!</v>
      </c>
      <c r="FT115" s="25" t="e">
        <f>'SurveyRpt_20150223 (1)'!D718+"h_l!&amp;f1"</f>
        <v>#VALUE!</v>
      </c>
      <c r="FU115" t="e">
        <f>'SurveyRpt_20150223 (1)'!E718+"h_l!&amp;f2"</f>
        <v>#VALUE!</v>
      </c>
      <c r="FV115" t="e">
        <f>'SurveyRpt_20150223 (1)'!F718+"h_l!&amp;f3"</f>
        <v>#VALUE!</v>
      </c>
      <c r="FW115" t="e">
        <f>'SurveyRpt_20150223 (1)'!G718+"h_l!&amp;f4"</f>
        <v>#VALUE!</v>
      </c>
      <c r="FX115" t="e">
        <f>'SurveyRpt_20150223 (1)'!H718+"h_l!&amp;f5"</f>
        <v>#VALUE!</v>
      </c>
      <c r="FY115" t="e">
        <f>'SurveyRpt_20150223 (1)'!I718+"h_l!&amp;f6"</f>
        <v>#VALUE!</v>
      </c>
      <c r="FZ115" t="e">
        <f>'SurveyRpt_20150223 (1)'!J718+"h_l!&amp;f7"</f>
        <v>#VALUE!</v>
      </c>
      <c r="GA115" t="e">
        <f>'SurveyRpt_20150223 (1)'!K718+"h_l!&amp;f8"</f>
        <v>#VALUE!</v>
      </c>
      <c r="GB115" t="e">
        <f>'SurveyRpt_20150223 (1)'!L718+"h_l!&amp;f9"</f>
        <v>#VALUE!</v>
      </c>
      <c r="GC115" t="e">
        <f>'SurveyRpt_20150223 (1)'!M718+"h_l!&amp;f:"</f>
        <v>#VALUE!</v>
      </c>
      <c r="GD115" t="e">
        <f>'SurveyRpt_20150223 (1)'!N718+"h_l!&amp;f;"</f>
        <v>#VALUE!</v>
      </c>
      <c r="GE115" t="e">
        <f>'SurveyRpt_20150223 (1)'!O718+"h_l!&amp;f&lt;"</f>
        <v>#VALUE!</v>
      </c>
      <c r="GF115" t="e">
        <f>'SurveyRpt_20150223 (1)'!P718+"h_l!&amp;f="</f>
        <v>#VALUE!</v>
      </c>
      <c r="GG115" t="e">
        <f>'SurveyRpt_20150223 (1)'!Q718+"h_l!&amp;f&gt;"</f>
        <v>#VALUE!</v>
      </c>
      <c r="GH115" t="e">
        <f>'SurveyRpt_20150223 (1)'!R718+"h_l!&amp;f?"</f>
        <v>#VALUE!</v>
      </c>
      <c r="GI115" t="e">
        <f>'SurveyRpt_20150223 (1)'!S718+"h_l!&amp;f@"</f>
        <v>#VALUE!</v>
      </c>
      <c r="GJ115" t="e">
        <f>'SurveyRpt_20150223 (1)'!T718+"h_l!&amp;fA"</f>
        <v>#VALUE!</v>
      </c>
      <c r="GK115" t="e">
        <f>'SurveyRpt_20150223 (1)'!U718+"h_l!&amp;fB"</f>
        <v>#VALUE!</v>
      </c>
      <c r="GL115" t="e">
        <f>'SurveyRpt_20150223 (1)'!V718+"h_l!&amp;fC"</f>
        <v>#VALUE!</v>
      </c>
      <c r="GM115" t="e">
        <f>'SurveyRpt_20150223 (1)'!W718+"h_l!&amp;fD"</f>
        <v>#VALUE!</v>
      </c>
      <c r="GN115" t="e">
        <f>'SurveyRpt_20150223 (1)'!X718+"h_l!&amp;fE"</f>
        <v>#VALUE!</v>
      </c>
      <c r="GO115" t="e">
        <f>'SurveyRpt_20150223 (1)'!Y718+"h_l!&amp;fF"</f>
        <v>#VALUE!</v>
      </c>
      <c r="GP115" t="e">
        <f>'SurveyRpt_20150223 (1)'!Z718+"h_l!&amp;fG"</f>
        <v>#VALUE!</v>
      </c>
      <c r="GQ115" t="e">
        <f>'SurveyRpt_20150223 (1)'!AA718+"h_l!&amp;fH"</f>
        <v>#VALUE!</v>
      </c>
      <c r="GR115" t="e">
        <f>'SurveyRpt_20150223 (1)'!AB718+"h_l!&amp;fI"</f>
        <v>#VALUE!</v>
      </c>
      <c r="GS115" t="e">
        <f>'SurveyRpt_20150223 (1)'!AC718+"h_l!&amp;fJ"</f>
        <v>#VALUE!</v>
      </c>
      <c r="GT115" t="e">
        <f>'SurveyRpt_20150223 (1)'!AD718+"h_l!&amp;fK"</f>
        <v>#VALUE!</v>
      </c>
      <c r="GU115" t="e">
        <f>'SurveyRpt_20150223 (1)'!AE718+"h_l!&amp;fL"</f>
        <v>#VALUE!</v>
      </c>
      <c r="GV115" t="e">
        <f>'SurveyRpt_20150223 (1)'!AF718+"h_l!&amp;fM"</f>
        <v>#VALUE!</v>
      </c>
      <c r="GW115" t="e">
        <f>'SurveyRpt_20150223 (1)'!AG718+"h_l!&amp;fN"</f>
        <v>#VALUE!</v>
      </c>
      <c r="GX115" t="e">
        <f>'SurveyRpt_20150223 (1)'!AH718+"h_l!&amp;fO"</f>
        <v>#VALUE!</v>
      </c>
      <c r="GY115" t="e">
        <f>'SurveyRpt_20150223 (1)'!AI718+"h_l!&amp;fP"</f>
        <v>#VALUE!</v>
      </c>
      <c r="GZ115" t="e">
        <f>'SurveyRpt_20150223 (1)'!AJ718+"h_l!&amp;fQ"</f>
        <v>#VALUE!</v>
      </c>
      <c r="HA115" t="e">
        <f>'SurveyRpt_20150223 (1)'!AK718+"h_l!&amp;fR"</f>
        <v>#VALUE!</v>
      </c>
      <c r="HB115" t="e">
        <f>'SurveyRpt_20150223 (1)'!AL718+"h_l!&amp;fS"</f>
        <v>#VALUE!</v>
      </c>
      <c r="HC115" t="e">
        <f>'SurveyRpt_20150223 (1)'!AM718+"h_l!&amp;fT"</f>
        <v>#VALUE!</v>
      </c>
      <c r="HD115" t="e">
        <f>'SurveyRpt_20150223 (1)'!AN718+"h_l!&amp;fU"</f>
        <v>#VALUE!</v>
      </c>
      <c r="HE115" t="e">
        <f>'SurveyRpt_20150223 (1)'!A719+"h_l!&amp;fV"</f>
        <v>#VALUE!</v>
      </c>
      <c r="HF115" s="25" t="e">
        <f>'SurveyRpt_20150223 (1)'!B719+"h_l!&amp;fW"</f>
        <v>#VALUE!</v>
      </c>
      <c r="HG115" t="e">
        <f>'SurveyRpt_20150223 (1)'!C719+"h_l!&amp;fX"</f>
        <v>#VALUE!</v>
      </c>
      <c r="HH115" s="25" t="e">
        <f>'SurveyRpt_20150223 (1)'!D719+"h_l!&amp;fY"</f>
        <v>#VALUE!</v>
      </c>
      <c r="HI115" t="e">
        <f>'SurveyRpt_20150223 (1)'!E719+"h_l!&amp;fZ"</f>
        <v>#VALUE!</v>
      </c>
      <c r="HJ115" t="e">
        <f>'SurveyRpt_20150223 (1)'!F719+"h_l!&amp;f["</f>
        <v>#VALUE!</v>
      </c>
      <c r="HK115" t="e">
        <f>'SurveyRpt_20150223 (1)'!G719+"h_l!&amp;f\"</f>
        <v>#VALUE!</v>
      </c>
      <c r="HL115" t="e">
        <f>'SurveyRpt_20150223 (1)'!H719+"h_l!&amp;f]"</f>
        <v>#VALUE!</v>
      </c>
      <c r="HM115" t="e">
        <f>'SurveyRpt_20150223 (1)'!I719+"h_l!&amp;f^"</f>
        <v>#VALUE!</v>
      </c>
      <c r="HN115" t="e">
        <f>'SurveyRpt_20150223 (1)'!J719+"h_l!&amp;f_"</f>
        <v>#VALUE!</v>
      </c>
      <c r="HO115" t="e">
        <f>'SurveyRpt_20150223 (1)'!K719+"h_l!&amp;f`"</f>
        <v>#VALUE!</v>
      </c>
      <c r="HP115" t="e">
        <f>'SurveyRpt_20150223 (1)'!L719+"h_l!&amp;fa"</f>
        <v>#VALUE!</v>
      </c>
      <c r="HQ115" t="e">
        <f>'SurveyRpt_20150223 (1)'!M719+"h_l!&amp;fb"</f>
        <v>#VALUE!</v>
      </c>
      <c r="HR115" t="e">
        <f>'SurveyRpt_20150223 (1)'!N719+"h_l!&amp;fc"</f>
        <v>#VALUE!</v>
      </c>
      <c r="HS115" t="e">
        <f>'SurveyRpt_20150223 (1)'!O719+"h_l!&amp;fd"</f>
        <v>#VALUE!</v>
      </c>
      <c r="HT115" t="e">
        <f>'SurveyRpt_20150223 (1)'!P719+"h_l!&amp;fe"</f>
        <v>#VALUE!</v>
      </c>
      <c r="HU115" t="e">
        <f>'SurveyRpt_20150223 (1)'!Q719+"h_l!&amp;ff"</f>
        <v>#VALUE!</v>
      </c>
      <c r="HV115" t="e">
        <f>'SurveyRpt_20150223 (1)'!R719+"h_l!&amp;fg"</f>
        <v>#VALUE!</v>
      </c>
      <c r="HW115" t="e">
        <f>'SurveyRpt_20150223 (1)'!S719+"h_l!&amp;fh"</f>
        <v>#VALUE!</v>
      </c>
      <c r="HX115" t="e">
        <f>'SurveyRpt_20150223 (1)'!T719+"h_l!&amp;fi"</f>
        <v>#VALUE!</v>
      </c>
      <c r="HY115" t="e">
        <f>'SurveyRpt_20150223 (1)'!U719+"h_l!&amp;fj"</f>
        <v>#VALUE!</v>
      </c>
      <c r="HZ115" t="e">
        <f>'SurveyRpt_20150223 (1)'!V719+"h_l!&amp;fk"</f>
        <v>#VALUE!</v>
      </c>
      <c r="IA115" t="e">
        <f>'SurveyRpt_20150223 (1)'!W719+"h_l!&amp;fl"</f>
        <v>#VALUE!</v>
      </c>
      <c r="IB115" t="e">
        <f>'SurveyRpt_20150223 (1)'!X719+"h_l!&amp;fm"</f>
        <v>#VALUE!</v>
      </c>
      <c r="IC115" t="e">
        <f>'SurveyRpt_20150223 (1)'!Y719+"h_l!&amp;fn"</f>
        <v>#VALUE!</v>
      </c>
      <c r="ID115" t="e">
        <f>'SurveyRpt_20150223 (1)'!Z719+"h_l!&amp;fo"</f>
        <v>#VALUE!</v>
      </c>
      <c r="IE115" t="e">
        <f>'SurveyRpt_20150223 (1)'!AA719+"h_l!&amp;fp"</f>
        <v>#VALUE!</v>
      </c>
      <c r="IF115" t="e">
        <f>'SurveyRpt_20150223 (1)'!AB719+"h_l!&amp;fq"</f>
        <v>#VALUE!</v>
      </c>
      <c r="IG115" t="e">
        <f>'SurveyRpt_20150223 (1)'!AC719+"h_l!&amp;fr"</f>
        <v>#VALUE!</v>
      </c>
      <c r="IH115" t="e">
        <f>'SurveyRpt_20150223 (1)'!AD719+"h_l!&amp;fs"</f>
        <v>#VALUE!</v>
      </c>
      <c r="II115" t="e">
        <f>'SurveyRpt_20150223 (1)'!AE719+"h_l!&amp;ft"</f>
        <v>#VALUE!</v>
      </c>
      <c r="IJ115" t="e">
        <f>'SurveyRpt_20150223 (1)'!AF719+"h_l!&amp;fu"</f>
        <v>#VALUE!</v>
      </c>
      <c r="IK115" t="e">
        <f>'SurveyRpt_20150223 (1)'!AG719+"h_l!&amp;fv"</f>
        <v>#VALUE!</v>
      </c>
      <c r="IL115" t="e">
        <f>'SurveyRpt_20150223 (1)'!AH719+"h_l!&amp;fw"</f>
        <v>#VALUE!</v>
      </c>
      <c r="IM115" t="e">
        <f>'SurveyRpt_20150223 (1)'!AI719+"h_l!&amp;fx"</f>
        <v>#VALUE!</v>
      </c>
      <c r="IN115" t="e">
        <f>'SurveyRpt_20150223 (1)'!AJ719+"h_l!&amp;fy"</f>
        <v>#VALUE!</v>
      </c>
      <c r="IO115" t="e">
        <f>'SurveyRpt_20150223 (1)'!AK719+"h_l!&amp;fz"</f>
        <v>#VALUE!</v>
      </c>
      <c r="IP115" t="e">
        <f>'SurveyRpt_20150223 (1)'!AL719+"h_l!&amp;f{"</f>
        <v>#VALUE!</v>
      </c>
      <c r="IQ115" t="e">
        <f>'SurveyRpt_20150223 (1)'!AM719+"h_l!&amp;f|"</f>
        <v>#VALUE!</v>
      </c>
      <c r="IR115" t="e">
        <f>'SurveyRpt_20150223 (1)'!AN719+"h_l!&amp;f}"</f>
        <v>#VALUE!</v>
      </c>
      <c r="IS115" t="e">
        <f>'SurveyRpt_20150223 (1)'!A720+"h_l!&amp;f~"</f>
        <v>#VALUE!</v>
      </c>
      <c r="IT115" s="25" t="e">
        <f>'SurveyRpt_20150223 (1)'!B720+"h_l!&amp;g#"</f>
        <v>#VALUE!</v>
      </c>
      <c r="IU115" t="e">
        <f>'SurveyRpt_20150223 (1)'!C720+"h_l!&amp;g$"</f>
        <v>#VALUE!</v>
      </c>
      <c r="IV115" s="25" t="e">
        <f>'SurveyRpt_20150223 (1)'!D720+"h_l!&amp;g%"</f>
        <v>#VALUE!</v>
      </c>
    </row>
    <row r="116" spans="6:256" x14ac:dyDescent="0.25">
      <c r="F116" t="e">
        <f>'SurveyRpt_20150223 (1)'!E720+"h_l!&amp;g&amp;"</f>
        <v>#VALUE!</v>
      </c>
      <c r="G116" t="e">
        <f>'SurveyRpt_20150223 (1)'!F720+"h_l!&amp;g'"</f>
        <v>#VALUE!</v>
      </c>
      <c r="H116" t="e">
        <f>'SurveyRpt_20150223 (1)'!G720+"h_l!&amp;g("</f>
        <v>#VALUE!</v>
      </c>
      <c r="I116" t="e">
        <f>'SurveyRpt_20150223 (1)'!H720+"h_l!&amp;g)"</f>
        <v>#VALUE!</v>
      </c>
      <c r="J116" t="e">
        <f>'SurveyRpt_20150223 (1)'!I720+"h_l!&amp;g."</f>
        <v>#VALUE!</v>
      </c>
      <c r="K116" t="e">
        <f>'SurveyRpt_20150223 (1)'!J720+"h_l!&amp;g/"</f>
        <v>#VALUE!</v>
      </c>
      <c r="L116" t="e">
        <f>'SurveyRpt_20150223 (1)'!K720+"h_l!&amp;g0"</f>
        <v>#VALUE!</v>
      </c>
      <c r="M116" t="e">
        <f>'SurveyRpt_20150223 (1)'!L720+"h_l!&amp;g1"</f>
        <v>#VALUE!</v>
      </c>
      <c r="N116" t="e">
        <f>'SurveyRpt_20150223 (1)'!M720+"h_l!&amp;g2"</f>
        <v>#VALUE!</v>
      </c>
      <c r="O116" t="e">
        <f>'SurveyRpt_20150223 (1)'!N720+"h_l!&amp;g3"</f>
        <v>#VALUE!</v>
      </c>
      <c r="P116" t="e">
        <f>'SurveyRpt_20150223 (1)'!O720+"h_l!&amp;g4"</f>
        <v>#VALUE!</v>
      </c>
      <c r="Q116" t="e">
        <f>'SurveyRpt_20150223 (1)'!P720+"h_l!&amp;g5"</f>
        <v>#VALUE!</v>
      </c>
      <c r="R116" t="e">
        <f>'SurveyRpt_20150223 (1)'!Q720+"h_l!&amp;g6"</f>
        <v>#VALUE!</v>
      </c>
      <c r="S116" t="e">
        <f>'SurveyRpt_20150223 (1)'!R720+"h_l!&amp;g7"</f>
        <v>#VALUE!</v>
      </c>
      <c r="T116" t="e">
        <f>'SurveyRpt_20150223 (1)'!S720+"h_l!&amp;g8"</f>
        <v>#VALUE!</v>
      </c>
      <c r="U116" t="e">
        <f>'SurveyRpt_20150223 (1)'!T720+"h_l!&amp;g9"</f>
        <v>#VALUE!</v>
      </c>
      <c r="V116" t="e">
        <f>'SurveyRpt_20150223 (1)'!U720+"h_l!&amp;g:"</f>
        <v>#VALUE!</v>
      </c>
      <c r="W116" t="e">
        <f>'SurveyRpt_20150223 (1)'!V720+"h_l!&amp;g;"</f>
        <v>#VALUE!</v>
      </c>
      <c r="X116" t="e">
        <f>'SurveyRpt_20150223 (1)'!W720+"h_l!&amp;g&lt;"</f>
        <v>#VALUE!</v>
      </c>
      <c r="Y116" t="e">
        <f>'SurveyRpt_20150223 (1)'!X720+"h_l!&amp;g="</f>
        <v>#VALUE!</v>
      </c>
      <c r="Z116" t="e">
        <f>'SurveyRpt_20150223 (1)'!Y720+"h_l!&amp;g&gt;"</f>
        <v>#VALUE!</v>
      </c>
      <c r="AA116" t="e">
        <f>'SurveyRpt_20150223 (1)'!Z720+"h_l!&amp;g?"</f>
        <v>#VALUE!</v>
      </c>
      <c r="AB116" t="e">
        <f>'SurveyRpt_20150223 (1)'!AA720+"h_l!&amp;g@"</f>
        <v>#VALUE!</v>
      </c>
      <c r="AC116" t="e">
        <f>'SurveyRpt_20150223 (1)'!AB720+"h_l!&amp;gA"</f>
        <v>#VALUE!</v>
      </c>
      <c r="AD116" t="e">
        <f>'SurveyRpt_20150223 (1)'!AC720+"h_l!&amp;gB"</f>
        <v>#VALUE!</v>
      </c>
      <c r="AE116" t="e">
        <f>'SurveyRpt_20150223 (1)'!AD720+"h_l!&amp;gC"</f>
        <v>#VALUE!</v>
      </c>
      <c r="AF116" t="e">
        <f>'SurveyRpt_20150223 (1)'!AE720+"h_l!&amp;gD"</f>
        <v>#VALUE!</v>
      </c>
      <c r="AG116" t="e">
        <f>'SurveyRpt_20150223 (1)'!AF720+"h_l!&amp;gE"</f>
        <v>#VALUE!</v>
      </c>
      <c r="AH116" t="e">
        <f>'SurveyRpt_20150223 (1)'!AG720+"h_l!&amp;gF"</f>
        <v>#VALUE!</v>
      </c>
      <c r="AI116" t="e">
        <f>'SurveyRpt_20150223 (1)'!AH720+"h_l!&amp;gG"</f>
        <v>#VALUE!</v>
      </c>
      <c r="AJ116" t="e">
        <f>'SurveyRpt_20150223 (1)'!AI720+"h_l!&amp;gH"</f>
        <v>#VALUE!</v>
      </c>
      <c r="AK116" t="e">
        <f>'SurveyRpt_20150223 (1)'!AJ720+"h_l!&amp;gI"</f>
        <v>#VALUE!</v>
      </c>
      <c r="AL116" t="e">
        <f>'SurveyRpt_20150223 (1)'!AK720+"h_l!&amp;gJ"</f>
        <v>#VALUE!</v>
      </c>
      <c r="AM116" t="e">
        <f>'SurveyRpt_20150223 (1)'!AL720+"h_l!&amp;gK"</f>
        <v>#VALUE!</v>
      </c>
      <c r="AN116" t="e">
        <f>'SurveyRpt_20150223 (1)'!AM720+"h_l!&amp;gL"</f>
        <v>#VALUE!</v>
      </c>
      <c r="AO116" t="e">
        <f>'SurveyRpt_20150223 (1)'!AN720+"h_l!&amp;gM"</f>
        <v>#VALUE!</v>
      </c>
      <c r="AP116" t="e">
        <f>'SurveyRpt_20150223 (1)'!A721+"h_l!&amp;gN"</f>
        <v>#VALUE!</v>
      </c>
      <c r="AQ116" s="25" t="e">
        <f>'SurveyRpt_20150223 (1)'!B721+"h_l!&amp;gO"</f>
        <v>#VALUE!</v>
      </c>
      <c r="AR116" t="e">
        <f>'SurveyRpt_20150223 (1)'!C721+"h_l!&amp;gP"</f>
        <v>#VALUE!</v>
      </c>
      <c r="AS116" s="25" t="e">
        <f>'SurveyRpt_20150223 (1)'!D721+"h_l!&amp;gQ"</f>
        <v>#VALUE!</v>
      </c>
      <c r="AT116" t="e">
        <f>'SurveyRpt_20150223 (1)'!E721+"h_l!&amp;gR"</f>
        <v>#VALUE!</v>
      </c>
      <c r="AU116" t="e">
        <f>'SurveyRpt_20150223 (1)'!F721+"h_l!&amp;gS"</f>
        <v>#VALUE!</v>
      </c>
      <c r="AV116" t="e">
        <f>'SurveyRpt_20150223 (1)'!G721+"h_l!&amp;gT"</f>
        <v>#VALUE!</v>
      </c>
      <c r="AW116" t="e">
        <f>'SurveyRpt_20150223 (1)'!H721+"h_l!&amp;gU"</f>
        <v>#VALUE!</v>
      </c>
      <c r="AX116" t="e">
        <f>'SurveyRpt_20150223 (1)'!I721+"h_l!&amp;gV"</f>
        <v>#VALUE!</v>
      </c>
      <c r="AY116" t="e">
        <f>'SurveyRpt_20150223 (1)'!J721+"h_l!&amp;gW"</f>
        <v>#VALUE!</v>
      </c>
      <c r="AZ116" t="e">
        <f>'SurveyRpt_20150223 (1)'!K721+"h_l!&amp;gX"</f>
        <v>#VALUE!</v>
      </c>
      <c r="BA116" t="e">
        <f>'SurveyRpt_20150223 (1)'!L721+"h_l!&amp;gY"</f>
        <v>#VALUE!</v>
      </c>
      <c r="BB116" t="e">
        <f>'SurveyRpt_20150223 (1)'!M721+"h_l!&amp;gZ"</f>
        <v>#VALUE!</v>
      </c>
      <c r="BC116" t="e">
        <f>'SurveyRpt_20150223 (1)'!N721+"h_l!&amp;g["</f>
        <v>#VALUE!</v>
      </c>
      <c r="BD116" t="e">
        <f>'SurveyRpt_20150223 (1)'!O721+"h_l!&amp;g\"</f>
        <v>#VALUE!</v>
      </c>
      <c r="BE116" t="e">
        <f>'SurveyRpt_20150223 (1)'!P721+"h_l!&amp;g]"</f>
        <v>#VALUE!</v>
      </c>
      <c r="BF116" t="e">
        <f>'SurveyRpt_20150223 (1)'!Q721+"h_l!&amp;g^"</f>
        <v>#VALUE!</v>
      </c>
      <c r="BG116" t="e">
        <f>'SurveyRpt_20150223 (1)'!R721+"h_l!&amp;g_"</f>
        <v>#VALUE!</v>
      </c>
      <c r="BH116" t="e">
        <f>'SurveyRpt_20150223 (1)'!S721+"h_l!&amp;g`"</f>
        <v>#VALUE!</v>
      </c>
      <c r="BI116" t="e">
        <f>'SurveyRpt_20150223 (1)'!T721+"h_l!&amp;ga"</f>
        <v>#VALUE!</v>
      </c>
      <c r="BJ116" t="e">
        <f>'SurveyRpt_20150223 (1)'!U721+"h_l!&amp;gb"</f>
        <v>#VALUE!</v>
      </c>
      <c r="BK116" t="e">
        <f>'SurveyRpt_20150223 (1)'!V721+"h_l!&amp;gc"</f>
        <v>#VALUE!</v>
      </c>
      <c r="BL116" t="e">
        <f>'SurveyRpt_20150223 (1)'!W721+"h_l!&amp;gd"</f>
        <v>#VALUE!</v>
      </c>
      <c r="BM116" t="e">
        <f>'SurveyRpt_20150223 (1)'!X721+"h_l!&amp;ge"</f>
        <v>#VALUE!</v>
      </c>
      <c r="BN116" t="e">
        <f>'SurveyRpt_20150223 (1)'!Y721+"h_l!&amp;gf"</f>
        <v>#VALUE!</v>
      </c>
      <c r="BO116" t="e">
        <f>'SurveyRpt_20150223 (1)'!Z721+"h_l!&amp;gg"</f>
        <v>#VALUE!</v>
      </c>
      <c r="BP116" t="e">
        <f>'SurveyRpt_20150223 (1)'!AA721+"h_l!&amp;gh"</f>
        <v>#VALUE!</v>
      </c>
      <c r="BQ116" t="e">
        <f>'SurveyRpt_20150223 (1)'!AB721+"h_l!&amp;gi"</f>
        <v>#VALUE!</v>
      </c>
      <c r="BR116" t="e">
        <f>'SurveyRpt_20150223 (1)'!AC721+"h_l!&amp;gj"</f>
        <v>#VALUE!</v>
      </c>
      <c r="BS116" t="e">
        <f>'SurveyRpt_20150223 (1)'!AD721+"h_l!&amp;gk"</f>
        <v>#VALUE!</v>
      </c>
      <c r="BT116" t="e">
        <f>'SurveyRpt_20150223 (1)'!AE721+"h_l!&amp;gl"</f>
        <v>#VALUE!</v>
      </c>
      <c r="BU116" t="e">
        <f>'SurveyRpt_20150223 (1)'!AF721+"h_l!&amp;gm"</f>
        <v>#VALUE!</v>
      </c>
      <c r="BV116" t="e">
        <f>'SurveyRpt_20150223 (1)'!AG721+"h_l!&amp;gn"</f>
        <v>#VALUE!</v>
      </c>
      <c r="BW116" t="e">
        <f>'SurveyRpt_20150223 (1)'!AH721+"h_l!&amp;go"</f>
        <v>#VALUE!</v>
      </c>
      <c r="BX116" t="e">
        <f>'SurveyRpt_20150223 (1)'!AI721+"h_l!&amp;gp"</f>
        <v>#VALUE!</v>
      </c>
      <c r="BY116" t="e">
        <f>'SurveyRpt_20150223 (1)'!AJ721+"h_l!&amp;gq"</f>
        <v>#VALUE!</v>
      </c>
      <c r="BZ116" t="e">
        <f>'SurveyRpt_20150223 (1)'!AK721+"h_l!&amp;gr"</f>
        <v>#VALUE!</v>
      </c>
      <c r="CA116" t="e">
        <f>'SurveyRpt_20150223 (1)'!AL721+"h_l!&amp;gs"</f>
        <v>#VALUE!</v>
      </c>
      <c r="CB116" t="e">
        <f>'SurveyRpt_20150223 (1)'!AM721+"h_l!&amp;gt"</f>
        <v>#VALUE!</v>
      </c>
      <c r="CC116" t="e">
        <f>'SurveyRpt_20150223 (1)'!AN721+"h_l!&amp;gu"</f>
        <v>#VALUE!</v>
      </c>
      <c r="CD116" t="e">
        <f>'SurveyRpt_20150223 (1)'!A722+"h_l!&amp;gv"</f>
        <v>#VALUE!</v>
      </c>
      <c r="CE116" s="25" t="e">
        <f>'SurveyRpt_20150223 (1)'!B722+"h_l!&amp;gw"</f>
        <v>#VALUE!</v>
      </c>
      <c r="CF116" t="e">
        <f>'SurveyRpt_20150223 (1)'!C722+"h_l!&amp;gx"</f>
        <v>#VALUE!</v>
      </c>
      <c r="CG116" s="25" t="e">
        <f>'SurveyRpt_20150223 (1)'!D722+"h_l!&amp;gy"</f>
        <v>#VALUE!</v>
      </c>
      <c r="CH116" t="e">
        <f>'SurveyRpt_20150223 (1)'!E722+"h_l!&amp;gz"</f>
        <v>#VALUE!</v>
      </c>
      <c r="CI116" t="e">
        <f>'SurveyRpt_20150223 (1)'!F722+"h_l!&amp;g{"</f>
        <v>#VALUE!</v>
      </c>
      <c r="CJ116" t="e">
        <f>'SurveyRpt_20150223 (1)'!G722+"h_l!&amp;g|"</f>
        <v>#VALUE!</v>
      </c>
      <c r="CK116" t="e">
        <f>'SurveyRpt_20150223 (1)'!H722+"h_l!&amp;g}"</f>
        <v>#VALUE!</v>
      </c>
      <c r="CL116" t="e">
        <f>'SurveyRpt_20150223 (1)'!I722+"h_l!&amp;g~"</f>
        <v>#VALUE!</v>
      </c>
      <c r="CM116" t="e">
        <f>'SurveyRpt_20150223 (1)'!J722+"h_l!&amp;h#"</f>
        <v>#VALUE!</v>
      </c>
      <c r="CN116" t="e">
        <f>'SurveyRpt_20150223 (1)'!K722+"h_l!&amp;h$"</f>
        <v>#VALUE!</v>
      </c>
      <c r="CO116" t="e">
        <f>'SurveyRpt_20150223 (1)'!L722+"h_l!&amp;h%"</f>
        <v>#VALUE!</v>
      </c>
      <c r="CP116" t="e">
        <f>'SurveyRpt_20150223 (1)'!M722+"h_l!&amp;h&amp;"</f>
        <v>#VALUE!</v>
      </c>
      <c r="CQ116" t="e">
        <f>'SurveyRpt_20150223 (1)'!N722+"h_l!&amp;h'"</f>
        <v>#VALUE!</v>
      </c>
      <c r="CR116" t="e">
        <f>'SurveyRpt_20150223 (1)'!O722+"h_l!&amp;h("</f>
        <v>#VALUE!</v>
      </c>
      <c r="CS116" t="e">
        <f>'SurveyRpt_20150223 (1)'!P722+"h_l!&amp;h)"</f>
        <v>#VALUE!</v>
      </c>
      <c r="CT116" t="e">
        <f>'SurveyRpt_20150223 (1)'!Q722+"h_l!&amp;h."</f>
        <v>#VALUE!</v>
      </c>
      <c r="CU116" t="e">
        <f>'SurveyRpt_20150223 (1)'!R722+"h_l!&amp;h/"</f>
        <v>#VALUE!</v>
      </c>
      <c r="CV116" t="e">
        <f>'SurveyRpt_20150223 (1)'!S722+"h_l!&amp;h0"</f>
        <v>#VALUE!</v>
      </c>
      <c r="CW116" t="e">
        <f>'SurveyRpt_20150223 (1)'!T722+"h_l!&amp;h1"</f>
        <v>#VALUE!</v>
      </c>
      <c r="CX116" t="e">
        <f>'SurveyRpt_20150223 (1)'!U722+"h_l!&amp;h2"</f>
        <v>#VALUE!</v>
      </c>
      <c r="CY116" t="e">
        <f>'SurveyRpt_20150223 (1)'!V722+"h_l!&amp;h3"</f>
        <v>#VALUE!</v>
      </c>
      <c r="CZ116" t="e">
        <f>'SurveyRpt_20150223 (1)'!W722+"h_l!&amp;h4"</f>
        <v>#VALUE!</v>
      </c>
      <c r="DA116" t="e">
        <f>'SurveyRpt_20150223 (1)'!X722+"h_l!&amp;h5"</f>
        <v>#VALUE!</v>
      </c>
      <c r="DB116" t="e">
        <f>'SurveyRpt_20150223 (1)'!Y722+"h_l!&amp;h6"</f>
        <v>#VALUE!</v>
      </c>
      <c r="DC116" t="e">
        <f>'SurveyRpt_20150223 (1)'!Z722+"h_l!&amp;h7"</f>
        <v>#VALUE!</v>
      </c>
      <c r="DD116" t="e">
        <f>'SurveyRpt_20150223 (1)'!AA722+"h_l!&amp;h8"</f>
        <v>#VALUE!</v>
      </c>
      <c r="DE116" t="e">
        <f>'SurveyRpt_20150223 (1)'!AB722+"h_l!&amp;h9"</f>
        <v>#VALUE!</v>
      </c>
      <c r="DF116" t="e">
        <f>'SurveyRpt_20150223 (1)'!AC722+"h_l!&amp;h:"</f>
        <v>#VALUE!</v>
      </c>
      <c r="DG116" t="e">
        <f>'SurveyRpt_20150223 (1)'!AD722+"h_l!&amp;h;"</f>
        <v>#VALUE!</v>
      </c>
      <c r="DH116" t="e">
        <f>'SurveyRpt_20150223 (1)'!AE722+"h_l!&amp;h&lt;"</f>
        <v>#VALUE!</v>
      </c>
      <c r="DI116" t="e">
        <f>'SurveyRpt_20150223 (1)'!AF722+"h_l!&amp;h="</f>
        <v>#VALUE!</v>
      </c>
      <c r="DJ116" t="e">
        <f>'SurveyRpt_20150223 (1)'!AG722+"h_l!&amp;h&gt;"</f>
        <v>#VALUE!</v>
      </c>
      <c r="DK116" t="e">
        <f>'SurveyRpt_20150223 (1)'!AH722+"h_l!&amp;h?"</f>
        <v>#VALUE!</v>
      </c>
      <c r="DL116" t="e">
        <f>'SurveyRpt_20150223 (1)'!AI722+"h_l!&amp;h@"</f>
        <v>#VALUE!</v>
      </c>
      <c r="DM116" t="e">
        <f>'SurveyRpt_20150223 (1)'!AJ722+"h_l!&amp;hA"</f>
        <v>#VALUE!</v>
      </c>
      <c r="DN116" t="e">
        <f>'SurveyRpt_20150223 (1)'!AK722+"h_l!&amp;hB"</f>
        <v>#VALUE!</v>
      </c>
      <c r="DO116" t="e">
        <f>'SurveyRpt_20150223 (1)'!AL722+"h_l!&amp;hC"</f>
        <v>#VALUE!</v>
      </c>
      <c r="DP116" t="e">
        <f>'SurveyRpt_20150223 (1)'!AM722+"h_l!&amp;hD"</f>
        <v>#VALUE!</v>
      </c>
      <c r="DQ116" t="e">
        <f>'SurveyRpt_20150223 (1)'!AN722+"h_l!&amp;hE"</f>
        <v>#VALUE!</v>
      </c>
      <c r="DR116" t="e">
        <f>'SurveyRpt_20150223 (1)'!A723+"h_l!&amp;hF"</f>
        <v>#VALUE!</v>
      </c>
      <c r="DS116" s="25" t="e">
        <f>'SurveyRpt_20150223 (1)'!B723+"h_l!&amp;hG"</f>
        <v>#VALUE!</v>
      </c>
      <c r="DT116" t="e">
        <f>'SurveyRpt_20150223 (1)'!C723+"h_l!&amp;hH"</f>
        <v>#VALUE!</v>
      </c>
      <c r="DU116" s="25" t="e">
        <f>'SurveyRpt_20150223 (1)'!D723+"h_l!&amp;hI"</f>
        <v>#VALUE!</v>
      </c>
      <c r="DV116" t="e">
        <f>'SurveyRpt_20150223 (1)'!E723+"h_l!&amp;hJ"</f>
        <v>#VALUE!</v>
      </c>
      <c r="DW116" t="e">
        <f>'SurveyRpt_20150223 (1)'!F723+"h_l!&amp;hK"</f>
        <v>#VALUE!</v>
      </c>
      <c r="DX116" t="e">
        <f>'SurveyRpt_20150223 (1)'!G723+"h_l!&amp;hL"</f>
        <v>#VALUE!</v>
      </c>
      <c r="DY116" t="e">
        <f>'SurveyRpt_20150223 (1)'!H723+"h_l!&amp;hM"</f>
        <v>#VALUE!</v>
      </c>
      <c r="DZ116" t="e">
        <f>'SurveyRpt_20150223 (1)'!I723+"h_l!&amp;hN"</f>
        <v>#VALUE!</v>
      </c>
      <c r="EA116" t="e">
        <f>'SurveyRpt_20150223 (1)'!J723+"h_l!&amp;hO"</f>
        <v>#VALUE!</v>
      </c>
      <c r="EB116" t="e">
        <f>'SurveyRpt_20150223 (1)'!K723+"h_l!&amp;hP"</f>
        <v>#VALUE!</v>
      </c>
      <c r="EC116" t="e">
        <f>'SurveyRpt_20150223 (1)'!L723+"h_l!&amp;hQ"</f>
        <v>#VALUE!</v>
      </c>
      <c r="ED116" t="e">
        <f>'SurveyRpt_20150223 (1)'!M723+"h_l!&amp;hR"</f>
        <v>#VALUE!</v>
      </c>
      <c r="EE116" t="e">
        <f>'SurveyRpt_20150223 (1)'!N723+"h_l!&amp;hS"</f>
        <v>#VALUE!</v>
      </c>
      <c r="EF116" t="e">
        <f>'SurveyRpt_20150223 (1)'!O723+"h_l!&amp;hT"</f>
        <v>#VALUE!</v>
      </c>
      <c r="EG116" t="e">
        <f>'SurveyRpt_20150223 (1)'!P723+"h_l!&amp;hU"</f>
        <v>#VALUE!</v>
      </c>
      <c r="EH116" t="e">
        <f>'SurveyRpt_20150223 (1)'!Q723+"h_l!&amp;hV"</f>
        <v>#VALUE!</v>
      </c>
      <c r="EI116" t="e">
        <f>'SurveyRpt_20150223 (1)'!R723+"h_l!&amp;hW"</f>
        <v>#VALUE!</v>
      </c>
      <c r="EJ116" t="e">
        <f>'SurveyRpt_20150223 (1)'!S723+"h_l!&amp;hX"</f>
        <v>#VALUE!</v>
      </c>
      <c r="EK116" t="e">
        <f>'SurveyRpt_20150223 (1)'!T723+"h_l!&amp;hY"</f>
        <v>#VALUE!</v>
      </c>
      <c r="EL116" t="e">
        <f>'SurveyRpt_20150223 (1)'!U723+"h_l!&amp;hZ"</f>
        <v>#VALUE!</v>
      </c>
      <c r="EM116" t="e">
        <f>'SurveyRpt_20150223 (1)'!V723+"h_l!&amp;h["</f>
        <v>#VALUE!</v>
      </c>
      <c r="EN116" t="e">
        <f>'SurveyRpt_20150223 (1)'!W723+"h_l!&amp;h\"</f>
        <v>#VALUE!</v>
      </c>
      <c r="EO116" t="e">
        <f>'SurveyRpt_20150223 (1)'!X723+"h_l!&amp;h]"</f>
        <v>#VALUE!</v>
      </c>
      <c r="EP116" t="e">
        <f>'SurveyRpt_20150223 (1)'!Y723+"h_l!&amp;h^"</f>
        <v>#VALUE!</v>
      </c>
      <c r="EQ116" t="e">
        <f>'SurveyRpt_20150223 (1)'!Z723+"h_l!&amp;h_"</f>
        <v>#VALUE!</v>
      </c>
      <c r="ER116" t="e">
        <f>'SurveyRpt_20150223 (1)'!AA723+"h_l!&amp;h`"</f>
        <v>#VALUE!</v>
      </c>
      <c r="ES116" t="e">
        <f>'SurveyRpt_20150223 (1)'!AB723+"h_l!&amp;ha"</f>
        <v>#VALUE!</v>
      </c>
      <c r="ET116" t="e">
        <f>'SurveyRpt_20150223 (1)'!AC723+"h_l!&amp;hb"</f>
        <v>#VALUE!</v>
      </c>
      <c r="EU116" t="e">
        <f>'SurveyRpt_20150223 (1)'!AD723+"h_l!&amp;hc"</f>
        <v>#VALUE!</v>
      </c>
      <c r="EV116" t="e">
        <f>'SurveyRpt_20150223 (1)'!AE723+"h_l!&amp;hd"</f>
        <v>#VALUE!</v>
      </c>
      <c r="EW116" t="e">
        <f>'SurveyRpt_20150223 (1)'!AF723+"h_l!&amp;he"</f>
        <v>#VALUE!</v>
      </c>
      <c r="EX116" t="e">
        <f>'SurveyRpt_20150223 (1)'!AG723+"h_l!&amp;hf"</f>
        <v>#VALUE!</v>
      </c>
      <c r="EY116" t="e">
        <f>'SurveyRpt_20150223 (1)'!AH723+"h_l!&amp;hg"</f>
        <v>#VALUE!</v>
      </c>
      <c r="EZ116" t="e">
        <f>'SurveyRpt_20150223 (1)'!AI723+"h_l!&amp;hh"</f>
        <v>#VALUE!</v>
      </c>
      <c r="FA116" t="e">
        <f>'SurveyRpt_20150223 (1)'!AJ723+"h_l!&amp;hi"</f>
        <v>#VALUE!</v>
      </c>
      <c r="FB116" t="e">
        <f>'SurveyRpt_20150223 (1)'!AK723+"h_l!&amp;hj"</f>
        <v>#VALUE!</v>
      </c>
      <c r="FC116" t="e">
        <f>'SurveyRpt_20150223 (1)'!AL723+"h_l!&amp;hk"</f>
        <v>#VALUE!</v>
      </c>
      <c r="FD116" t="e">
        <f>'SurveyRpt_20150223 (1)'!AM723+"h_l!&amp;hl"</f>
        <v>#VALUE!</v>
      </c>
      <c r="FE116" t="e">
        <f>'SurveyRpt_20150223 (1)'!AN723+"h_l!&amp;hm"</f>
        <v>#VALUE!</v>
      </c>
      <c r="FF116" t="e">
        <f>'SurveyRpt_20150223 (1)'!A724+"h_l!&amp;hn"</f>
        <v>#VALUE!</v>
      </c>
      <c r="FG116" s="25" t="e">
        <f>'SurveyRpt_20150223 (1)'!B724+"h_l!&amp;ho"</f>
        <v>#VALUE!</v>
      </c>
      <c r="FH116" t="e">
        <f>'SurveyRpt_20150223 (1)'!C724+"h_l!&amp;hp"</f>
        <v>#VALUE!</v>
      </c>
      <c r="FI116" s="25" t="e">
        <f>'SurveyRpt_20150223 (1)'!D724+"h_l!&amp;hq"</f>
        <v>#VALUE!</v>
      </c>
      <c r="FJ116" t="e">
        <f>'SurveyRpt_20150223 (1)'!E724+"h_l!&amp;hr"</f>
        <v>#VALUE!</v>
      </c>
      <c r="FK116" t="e">
        <f>'SurveyRpt_20150223 (1)'!F724+"h_l!&amp;hs"</f>
        <v>#VALUE!</v>
      </c>
      <c r="FL116" t="e">
        <f>'SurveyRpt_20150223 (1)'!G724+"h_l!&amp;ht"</f>
        <v>#VALUE!</v>
      </c>
      <c r="FM116" t="e">
        <f>'SurveyRpt_20150223 (1)'!H724+"h_l!&amp;hu"</f>
        <v>#VALUE!</v>
      </c>
      <c r="FN116" t="e">
        <f>'SurveyRpt_20150223 (1)'!I724+"h_l!&amp;hv"</f>
        <v>#VALUE!</v>
      </c>
      <c r="FO116" t="e">
        <f>'SurveyRpt_20150223 (1)'!J724+"h_l!&amp;hw"</f>
        <v>#VALUE!</v>
      </c>
      <c r="FP116" t="e">
        <f>'SurveyRpt_20150223 (1)'!K724+"h_l!&amp;hx"</f>
        <v>#VALUE!</v>
      </c>
      <c r="FQ116" t="e">
        <f>'SurveyRpt_20150223 (1)'!L724+"h_l!&amp;hy"</f>
        <v>#VALUE!</v>
      </c>
      <c r="FR116" t="e">
        <f>'SurveyRpt_20150223 (1)'!M724+"h_l!&amp;hz"</f>
        <v>#VALUE!</v>
      </c>
      <c r="FS116" t="e">
        <f>'SurveyRpt_20150223 (1)'!N724+"h_l!&amp;h{"</f>
        <v>#VALUE!</v>
      </c>
      <c r="FT116" t="e">
        <f>'SurveyRpt_20150223 (1)'!O724+"h_l!&amp;h|"</f>
        <v>#VALUE!</v>
      </c>
      <c r="FU116" t="e">
        <f>'SurveyRpt_20150223 (1)'!P724+"h_l!&amp;h}"</f>
        <v>#VALUE!</v>
      </c>
      <c r="FV116" t="e">
        <f>'SurveyRpt_20150223 (1)'!Q724+"h_l!&amp;h~"</f>
        <v>#VALUE!</v>
      </c>
      <c r="FW116" t="e">
        <f>'SurveyRpt_20150223 (1)'!R724+"h_l!&amp;i#"</f>
        <v>#VALUE!</v>
      </c>
      <c r="FX116" t="e">
        <f>'SurveyRpt_20150223 (1)'!S724+"h_l!&amp;i$"</f>
        <v>#VALUE!</v>
      </c>
      <c r="FY116" t="e">
        <f>'SurveyRpt_20150223 (1)'!T724+"h_l!&amp;i%"</f>
        <v>#VALUE!</v>
      </c>
      <c r="FZ116" t="e">
        <f>'SurveyRpt_20150223 (1)'!U724+"h_l!&amp;i&amp;"</f>
        <v>#VALUE!</v>
      </c>
      <c r="GA116" t="e">
        <f>'SurveyRpt_20150223 (1)'!V724+"h_l!&amp;i'"</f>
        <v>#VALUE!</v>
      </c>
      <c r="GB116" t="e">
        <f>'SurveyRpt_20150223 (1)'!W724+"h_l!&amp;i("</f>
        <v>#VALUE!</v>
      </c>
      <c r="GC116" t="e">
        <f>'SurveyRpt_20150223 (1)'!X724+"h_l!&amp;i)"</f>
        <v>#VALUE!</v>
      </c>
      <c r="GD116" t="e">
        <f>'SurveyRpt_20150223 (1)'!Y724+"h_l!&amp;i."</f>
        <v>#VALUE!</v>
      </c>
      <c r="GE116" t="e">
        <f>'SurveyRpt_20150223 (1)'!Z724+"h_l!&amp;i/"</f>
        <v>#VALUE!</v>
      </c>
      <c r="GF116" t="e">
        <f>'SurveyRpt_20150223 (1)'!AA724+"h_l!&amp;i0"</f>
        <v>#VALUE!</v>
      </c>
      <c r="GG116" t="e">
        <f>'SurveyRpt_20150223 (1)'!AB724+"h_l!&amp;i1"</f>
        <v>#VALUE!</v>
      </c>
      <c r="GH116" t="e">
        <f>'SurveyRpt_20150223 (1)'!AC724+"h_l!&amp;i2"</f>
        <v>#VALUE!</v>
      </c>
      <c r="GI116" t="e">
        <f>'SurveyRpt_20150223 (1)'!AD724+"h_l!&amp;i3"</f>
        <v>#VALUE!</v>
      </c>
      <c r="GJ116" t="e">
        <f>'SurveyRpt_20150223 (1)'!AE724+"h_l!&amp;i4"</f>
        <v>#VALUE!</v>
      </c>
      <c r="GK116" t="e">
        <f>'SurveyRpt_20150223 (1)'!AF724+"h_l!&amp;i5"</f>
        <v>#VALUE!</v>
      </c>
      <c r="GL116" t="e">
        <f>'SurveyRpt_20150223 (1)'!AG724+"h_l!&amp;i6"</f>
        <v>#VALUE!</v>
      </c>
      <c r="GM116" t="e">
        <f>'SurveyRpt_20150223 (1)'!AH724+"h_l!&amp;i7"</f>
        <v>#VALUE!</v>
      </c>
      <c r="GN116" t="e">
        <f>'SurveyRpt_20150223 (1)'!AI724+"h_l!&amp;i8"</f>
        <v>#VALUE!</v>
      </c>
      <c r="GO116" t="e">
        <f>'SurveyRpt_20150223 (1)'!AJ724+"h_l!&amp;i9"</f>
        <v>#VALUE!</v>
      </c>
      <c r="GP116" t="e">
        <f>'SurveyRpt_20150223 (1)'!AK724+"h_l!&amp;i:"</f>
        <v>#VALUE!</v>
      </c>
      <c r="GQ116" t="e">
        <f>'SurveyRpt_20150223 (1)'!AL724+"h_l!&amp;i;"</f>
        <v>#VALUE!</v>
      </c>
      <c r="GR116" t="e">
        <f>'SurveyRpt_20150223 (1)'!AM724+"h_l!&amp;i&lt;"</f>
        <v>#VALUE!</v>
      </c>
      <c r="GS116" t="e">
        <f>'SurveyRpt_20150223 (1)'!AN724+"h_l!&amp;i="</f>
        <v>#VALUE!</v>
      </c>
      <c r="GT116" t="e">
        <f>'SurveyRpt_20150223 (1)'!A725+"h_l!&amp;i&gt;"</f>
        <v>#VALUE!</v>
      </c>
      <c r="GU116" s="25" t="e">
        <f>'SurveyRpt_20150223 (1)'!B725+"h_l!&amp;i?"</f>
        <v>#VALUE!</v>
      </c>
      <c r="GV116" t="e">
        <f>'SurveyRpt_20150223 (1)'!C725+"h_l!&amp;i@"</f>
        <v>#VALUE!</v>
      </c>
      <c r="GW116" s="25" t="e">
        <f>'SurveyRpt_20150223 (1)'!D725+"h_l!&amp;iA"</f>
        <v>#VALUE!</v>
      </c>
      <c r="GX116" t="e">
        <f>'SurveyRpt_20150223 (1)'!E725+"h_l!&amp;iB"</f>
        <v>#VALUE!</v>
      </c>
      <c r="GY116" t="e">
        <f>'SurveyRpt_20150223 (1)'!F725+"h_l!&amp;iC"</f>
        <v>#VALUE!</v>
      </c>
      <c r="GZ116" t="e">
        <f>'SurveyRpt_20150223 (1)'!G725+"h_l!&amp;iD"</f>
        <v>#VALUE!</v>
      </c>
      <c r="HA116" t="e">
        <f>'SurveyRpt_20150223 (1)'!H725+"h_l!&amp;iE"</f>
        <v>#VALUE!</v>
      </c>
      <c r="HB116" t="e">
        <f>'SurveyRpt_20150223 (1)'!I725+"h_l!&amp;iF"</f>
        <v>#VALUE!</v>
      </c>
      <c r="HC116" t="e">
        <f>'SurveyRpt_20150223 (1)'!J725+"h_l!&amp;iG"</f>
        <v>#VALUE!</v>
      </c>
      <c r="HD116" t="e">
        <f>'SurveyRpt_20150223 (1)'!K725+"h_l!&amp;iH"</f>
        <v>#VALUE!</v>
      </c>
      <c r="HE116" t="e">
        <f>'SurveyRpt_20150223 (1)'!L725+"h_l!&amp;iI"</f>
        <v>#VALUE!</v>
      </c>
      <c r="HF116" t="e">
        <f>'SurveyRpt_20150223 (1)'!M725+"h_l!&amp;iJ"</f>
        <v>#VALUE!</v>
      </c>
      <c r="HG116" t="e">
        <f>'SurveyRpt_20150223 (1)'!N725+"h_l!&amp;iK"</f>
        <v>#VALUE!</v>
      </c>
      <c r="HH116" t="e">
        <f>'SurveyRpt_20150223 (1)'!O725+"h_l!&amp;iL"</f>
        <v>#VALUE!</v>
      </c>
      <c r="HI116" t="e">
        <f>'SurveyRpt_20150223 (1)'!P725+"h_l!&amp;iM"</f>
        <v>#VALUE!</v>
      </c>
      <c r="HJ116" t="e">
        <f>'SurveyRpt_20150223 (1)'!Q725+"h_l!&amp;iN"</f>
        <v>#VALUE!</v>
      </c>
      <c r="HK116" t="e">
        <f>'SurveyRpt_20150223 (1)'!R725+"h_l!&amp;iO"</f>
        <v>#VALUE!</v>
      </c>
      <c r="HL116" t="e">
        <f>'SurveyRpt_20150223 (1)'!S725+"h_l!&amp;iP"</f>
        <v>#VALUE!</v>
      </c>
      <c r="HM116" t="e">
        <f>'SurveyRpt_20150223 (1)'!T725+"h_l!&amp;iQ"</f>
        <v>#VALUE!</v>
      </c>
      <c r="HN116" t="e">
        <f>'SurveyRpt_20150223 (1)'!U725+"h_l!&amp;iR"</f>
        <v>#VALUE!</v>
      </c>
      <c r="HO116" t="e">
        <f>'SurveyRpt_20150223 (1)'!V725+"h_l!&amp;iS"</f>
        <v>#VALUE!</v>
      </c>
      <c r="HP116" t="e">
        <f>'SurveyRpt_20150223 (1)'!W725+"h_l!&amp;iT"</f>
        <v>#VALUE!</v>
      </c>
      <c r="HQ116" t="e">
        <f>'SurveyRpt_20150223 (1)'!X725+"h_l!&amp;iU"</f>
        <v>#VALUE!</v>
      </c>
      <c r="HR116" t="e">
        <f>'SurveyRpt_20150223 (1)'!Y725+"h_l!&amp;iV"</f>
        <v>#VALUE!</v>
      </c>
      <c r="HS116" t="e">
        <f>'SurveyRpt_20150223 (1)'!Z725+"h_l!&amp;iW"</f>
        <v>#VALUE!</v>
      </c>
      <c r="HT116" t="e">
        <f>'SurveyRpt_20150223 (1)'!AA725+"h_l!&amp;iX"</f>
        <v>#VALUE!</v>
      </c>
      <c r="HU116" t="e">
        <f>'SurveyRpt_20150223 (1)'!AB725+"h_l!&amp;iY"</f>
        <v>#VALUE!</v>
      </c>
      <c r="HV116" t="e">
        <f>'SurveyRpt_20150223 (1)'!AC725+"h_l!&amp;iZ"</f>
        <v>#VALUE!</v>
      </c>
      <c r="HW116" t="e">
        <f>'SurveyRpt_20150223 (1)'!AD725+"h_l!&amp;i["</f>
        <v>#VALUE!</v>
      </c>
      <c r="HX116" t="e">
        <f>'SurveyRpt_20150223 (1)'!AE725+"h_l!&amp;i\"</f>
        <v>#VALUE!</v>
      </c>
      <c r="HY116" t="e">
        <f>'SurveyRpt_20150223 (1)'!AF725+"h_l!&amp;i]"</f>
        <v>#VALUE!</v>
      </c>
      <c r="HZ116" t="e">
        <f>'SurveyRpt_20150223 (1)'!AG725+"h_l!&amp;i^"</f>
        <v>#VALUE!</v>
      </c>
      <c r="IA116" t="e">
        <f>'SurveyRpt_20150223 (1)'!AH725+"h_l!&amp;i_"</f>
        <v>#VALUE!</v>
      </c>
      <c r="IB116" t="e">
        <f>'SurveyRpt_20150223 (1)'!AI725+"h_l!&amp;i`"</f>
        <v>#VALUE!</v>
      </c>
      <c r="IC116" t="e">
        <f>'SurveyRpt_20150223 (1)'!AJ725+"h_l!&amp;ia"</f>
        <v>#VALUE!</v>
      </c>
      <c r="ID116" t="e">
        <f>'SurveyRpt_20150223 (1)'!AK725+"h_l!&amp;ib"</f>
        <v>#VALUE!</v>
      </c>
      <c r="IE116" t="e">
        <f>'SurveyRpt_20150223 (1)'!AL725+"h_l!&amp;ic"</f>
        <v>#VALUE!</v>
      </c>
      <c r="IF116" t="e">
        <f>'SurveyRpt_20150223 (1)'!AM725+"h_l!&amp;id"</f>
        <v>#VALUE!</v>
      </c>
      <c r="IG116" t="e">
        <f>'SurveyRpt_20150223 (1)'!AN725+"h_l!&amp;ie"</f>
        <v>#VALUE!</v>
      </c>
      <c r="IH116" t="e">
        <f>'SurveyRpt_20150223 (1)'!A726+"h_l!&amp;if"</f>
        <v>#VALUE!</v>
      </c>
      <c r="II116" s="25" t="e">
        <f>'SurveyRpt_20150223 (1)'!B726+"h_l!&amp;ig"</f>
        <v>#VALUE!</v>
      </c>
      <c r="IJ116" t="e">
        <f>'SurveyRpt_20150223 (1)'!C726+"h_l!&amp;ih"</f>
        <v>#VALUE!</v>
      </c>
      <c r="IK116" s="25" t="e">
        <f>'SurveyRpt_20150223 (1)'!D726+"h_l!&amp;ii"</f>
        <v>#VALUE!</v>
      </c>
      <c r="IL116" t="e">
        <f>'SurveyRpt_20150223 (1)'!E726+"h_l!&amp;ij"</f>
        <v>#VALUE!</v>
      </c>
      <c r="IM116" t="e">
        <f>'SurveyRpt_20150223 (1)'!F726+"h_l!&amp;ik"</f>
        <v>#VALUE!</v>
      </c>
      <c r="IN116" t="e">
        <f>'SurveyRpt_20150223 (1)'!G726+"h_l!&amp;il"</f>
        <v>#VALUE!</v>
      </c>
      <c r="IO116" t="e">
        <f>'SurveyRpt_20150223 (1)'!H726+"h_l!&amp;im"</f>
        <v>#VALUE!</v>
      </c>
      <c r="IP116" t="e">
        <f>'SurveyRpt_20150223 (1)'!I726+"h_l!&amp;in"</f>
        <v>#VALUE!</v>
      </c>
      <c r="IQ116" t="e">
        <f>'SurveyRpt_20150223 (1)'!J726+"h_l!&amp;io"</f>
        <v>#VALUE!</v>
      </c>
      <c r="IR116" t="e">
        <f>'SurveyRpt_20150223 (1)'!K726+"h_l!&amp;ip"</f>
        <v>#VALUE!</v>
      </c>
      <c r="IS116" t="e">
        <f>'SurveyRpt_20150223 (1)'!L726+"h_l!&amp;iq"</f>
        <v>#VALUE!</v>
      </c>
      <c r="IT116" t="e">
        <f>'SurveyRpt_20150223 (1)'!M726+"h_l!&amp;ir"</f>
        <v>#VALUE!</v>
      </c>
      <c r="IU116" t="e">
        <f>'SurveyRpt_20150223 (1)'!N726+"h_l!&amp;is"</f>
        <v>#VALUE!</v>
      </c>
      <c r="IV116" t="e">
        <f>'SurveyRpt_20150223 (1)'!O726+"h_l!&amp;it"</f>
        <v>#VALUE!</v>
      </c>
    </row>
    <row r="117" spans="6:256" x14ac:dyDescent="0.25">
      <c r="F117" t="e">
        <f>'SurveyRpt_20150223 (1)'!P726+"h_l!&amp;iu"</f>
        <v>#VALUE!</v>
      </c>
      <c r="G117" t="e">
        <f>'SurveyRpt_20150223 (1)'!Q726+"h_l!&amp;iv"</f>
        <v>#VALUE!</v>
      </c>
      <c r="H117" t="e">
        <f>'SurveyRpt_20150223 (1)'!R726+"h_l!&amp;iw"</f>
        <v>#VALUE!</v>
      </c>
      <c r="I117" t="e">
        <f>'SurveyRpt_20150223 (1)'!S726+"h_l!&amp;ix"</f>
        <v>#VALUE!</v>
      </c>
      <c r="J117" t="e">
        <f>'SurveyRpt_20150223 (1)'!T726+"h_l!&amp;iy"</f>
        <v>#VALUE!</v>
      </c>
      <c r="K117" t="e">
        <f>'SurveyRpt_20150223 (1)'!U726+"h_l!&amp;iz"</f>
        <v>#VALUE!</v>
      </c>
      <c r="L117" t="e">
        <f>'SurveyRpt_20150223 (1)'!V726+"h_l!&amp;i{"</f>
        <v>#VALUE!</v>
      </c>
      <c r="M117" t="e">
        <f>'SurveyRpt_20150223 (1)'!W726+"h_l!&amp;i|"</f>
        <v>#VALUE!</v>
      </c>
      <c r="N117" t="e">
        <f>'SurveyRpt_20150223 (1)'!X726+"h_l!&amp;i}"</f>
        <v>#VALUE!</v>
      </c>
      <c r="O117" t="e">
        <f>'SurveyRpt_20150223 (1)'!Y726+"h_l!&amp;i~"</f>
        <v>#VALUE!</v>
      </c>
      <c r="P117" t="e">
        <f>'SurveyRpt_20150223 (1)'!Z726+"h_l!&amp;j#"</f>
        <v>#VALUE!</v>
      </c>
      <c r="Q117" t="e">
        <f>'SurveyRpt_20150223 (1)'!AA726+"h_l!&amp;j$"</f>
        <v>#VALUE!</v>
      </c>
      <c r="R117" t="e">
        <f>'SurveyRpt_20150223 (1)'!AB726+"h_l!&amp;j%"</f>
        <v>#VALUE!</v>
      </c>
      <c r="S117" t="e">
        <f>'SurveyRpt_20150223 (1)'!AC726+"h_l!&amp;j&amp;"</f>
        <v>#VALUE!</v>
      </c>
      <c r="T117" t="e">
        <f>'SurveyRpt_20150223 (1)'!AD726+"h_l!&amp;j'"</f>
        <v>#VALUE!</v>
      </c>
      <c r="U117" t="e">
        <f>'SurveyRpt_20150223 (1)'!AE726+"h_l!&amp;j("</f>
        <v>#VALUE!</v>
      </c>
      <c r="V117" t="e">
        <f>'SurveyRpt_20150223 (1)'!AF726+"h_l!&amp;j)"</f>
        <v>#VALUE!</v>
      </c>
      <c r="W117" t="e">
        <f>'SurveyRpt_20150223 (1)'!AG726+"h_l!&amp;j."</f>
        <v>#VALUE!</v>
      </c>
      <c r="X117" t="e">
        <f>'SurveyRpt_20150223 (1)'!AH726+"h_l!&amp;j/"</f>
        <v>#VALUE!</v>
      </c>
      <c r="Y117" t="e">
        <f>'SurveyRpt_20150223 (1)'!AI726+"h_l!&amp;j0"</f>
        <v>#VALUE!</v>
      </c>
      <c r="Z117" t="e">
        <f>'SurveyRpt_20150223 (1)'!AJ726+"h_l!&amp;j1"</f>
        <v>#VALUE!</v>
      </c>
      <c r="AA117" t="e">
        <f>'SurveyRpt_20150223 (1)'!AK726+"h_l!&amp;j2"</f>
        <v>#VALUE!</v>
      </c>
      <c r="AB117" t="e">
        <f>'SurveyRpt_20150223 (1)'!AL726+"h_l!&amp;j3"</f>
        <v>#VALUE!</v>
      </c>
      <c r="AC117" t="e">
        <f>'SurveyRpt_20150223 (1)'!AM726+"h_l!&amp;j4"</f>
        <v>#VALUE!</v>
      </c>
      <c r="AD117" t="e">
        <f>'SurveyRpt_20150223 (1)'!AN726+"h_l!&amp;j5"</f>
        <v>#VALUE!</v>
      </c>
      <c r="AE117" t="e">
        <f>'SurveyRpt_20150223 (1)'!A727+"h_l!&amp;j6"</f>
        <v>#VALUE!</v>
      </c>
      <c r="AF117" s="25" t="e">
        <f>'SurveyRpt_20150223 (1)'!B727+"h_l!&amp;j7"</f>
        <v>#VALUE!</v>
      </c>
      <c r="AG117" t="e">
        <f>'SurveyRpt_20150223 (1)'!C727+"h_l!&amp;j8"</f>
        <v>#VALUE!</v>
      </c>
      <c r="AH117" s="25" t="e">
        <f>'SurveyRpt_20150223 (1)'!D727+"h_l!&amp;j9"</f>
        <v>#VALUE!</v>
      </c>
      <c r="AI117" t="e">
        <f>'SurveyRpt_20150223 (1)'!E727+"h_l!&amp;j:"</f>
        <v>#VALUE!</v>
      </c>
      <c r="AJ117" t="e">
        <f>'SurveyRpt_20150223 (1)'!F727+"h_l!&amp;j;"</f>
        <v>#VALUE!</v>
      </c>
      <c r="AK117" t="e">
        <f>'SurveyRpt_20150223 (1)'!G727+"h_l!&amp;j&lt;"</f>
        <v>#VALUE!</v>
      </c>
      <c r="AL117" t="e">
        <f>'SurveyRpt_20150223 (1)'!H727+"h_l!&amp;j="</f>
        <v>#VALUE!</v>
      </c>
      <c r="AM117" t="e">
        <f>'SurveyRpt_20150223 (1)'!I727+"h_l!&amp;j&gt;"</f>
        <v>#VALUE!</v>
      </c>
      <c r="AN117" t="e">
        <f>'SurveyRpt_20150223 (1)'!J727+"h_l!&amp;j?"</f>
        <v>#VALUE!</v>
      </c>
      <c r="AO117" t="e">
        <f>'SurveyRpt_20150223 (1)'!K727+"h_l!&amp;j@"</f>
        <v>#VALUE!</v>
      </c>
      <c r="AP117" t="e">
        <f>'SurveyRpt_20150223 (1)'!L727+"h_l!&amp;jA"</f>
        <v>#VALUE!</v>
      </c>
      <c r="AQ117" t="e">
        <f>'SurveyRpt_20150223 (1)'!M727+"h_l!&amp;jB"</f>
        <v>#VALUE!</v>
      </c>
      <c r="AR117" t="e">
        <f>'SurveyRpt_20150223 (1)'!N727+"h_l!&amp;jC"</f>
        <v>#VALUE!</v>
      </c>
      <c r="AS117" t="e">
        <f>'SurveyRpt_20150223 (1)'!O727+"h_l!&amp;jD"</f>
        <v>#VALUE!</v>
      </c>
      <c r="AT117" t="e">
        <f>'SurveyRpt_20150223 (1)'!P727+"h_l!&amp;jE"</f>
        <v>#VALUE!</v>
      </c>
      <c r="AU117" t="e">
        <f>'SurveyRpt_20150223 (1)'!Q727+"h_l!&amp;jF"</f>
        <v>#VALUE!</v>
      </c>
      <c r="AV117" t="e">
        <f>'SurveyRpt_20150223 (1)'!R727+"h_l!&amp;jG"</f>
        <v>#VALUE!</v>
      </c>
      <c r="AW117" t="e">
        <f>'SurveyRpt_20150223 (1)'!S727+"h_l!&amp;jH"</f>
        <v>#VALUE!</v>
      </c>
      <c r="AX117" t="e">
        <f>'SurveyRpt_20150223 (1)'!T727+"h_l!&amp;jI"</f>
        <v>#VALUE!</v>
      </c>
      <c r="AY117" t="e">
        <f>'SurveyRpt_20150223 (1)'!U727+"h_l!&amp;jJ"</f>
        <v>#VALUE!</v>
      </c>
      <c r="AZ117" t="e">
        <f>'SurveyRpt_20150223 (1)'!V727+"h_l!&amp;jK"</f>
        <v>#VALUE!</v>
      </c>
      <c r="BA117" t="e">
        <f>'SurveyRpt_20150223 (1)'!W727+"h_l!&amp;jL"</f>
        <v>#VALUE!</v>
      </c>
      <c r="BB117" t="e">
        <f>'SurveyRpt_20150223 (1)'!X727+"h_l!&amp;jM"</f>
        <v>#VALUE!</v>
      </c>
      <c r="BC117" t="e">
        <f>'SurveyRpt_20150223 (1)'!Y727+"h_l!&amp;jN"</f>
        <v>#VALUE!</v>
      </c>
      <c r="BD117" t="e">
        <f>'SurveyRpt_20150223 (1)'!Z727+"h_l!&amp;jO"</f>
        <v>#VALUE!</v>
      </c>
      <c r="BE117" t="e">
        <f>'SurveyRpt_20150223 (1)'!AA727+"h_l!&amp;jP"</f>
        <v>#VALUE!</v>
      </c>
      <c r="BF117" t="e">
        <f>'SurveyRpt_20150223 (1)'!AB727+"h_l!&amp;jQ"</f>
        <v>#VALUE!</v>
      </c>
      <c r="BG117" t="e">
        <f>'SurveyRpt_20150223 (1)'!AC727+"h_l!&amp;jR"</f>
        <v>#VALUE!</v>
      </c>
      <c r="BH117" t="e">
        <f>'SurveyRpt_20150223 (1)'!AD727+"h_l!&amp;jS"</f>
        <v>#VALUE!</v>
      </c>
      <c r="BI117" t="e">
        <f>'SurveyRpt_20150223 (1)'!AE727+"h_l!&amp;jT"</f>
        <v>#VALUE!</v>
      </c>
      <c r="BJ117" t="e">
        <f>'SurveyRpt_20150223 (1)'!AF727+"h_l!&amp;jU"</f>
        <v>#VALUE!</v>
      </c>
      <c r="BK117" t="e">
        <f>'SurveyRpt_20150223 (1)'!AG727+"h_l!&amp;jV"</f>
        <v>#VALUE!</v>
      </c>
      <c r="BL117" t="e">
        <f>'SurveyRpt_20150223 (1)'!AH727+"h_l!&amp;jW"</f>
        <v>#VALUE!</v>
      </c>
      <c r="BM117" t="e">
        <f>'SurveyRpt_20150223 (1)'!AI727+"h_l!&amp;jX"</f>
        <v>#VALUE!</v>
      </c>
      <c r="BN117" t="e">
        <f>'SurveyRpt_20150223 (1)'!AJ727+"h_l!&amp;jY"</f>
        <v>#VALUE!</v>
      </c>
      <c r="BO117" t="e">
        <f>'SurveyRpt_20150223 (1)'!AK727+"h_l!&amp;jZ"</f>
        <v>#VALUE!</v>
      </c>
      <c r="BP117" t="e">
        <f>'SurveyRpt_20150223 (1)'!AL727+"h_l!&amp;j["</f>
        <v>#VALUE!</v>
      </c>
      <c r="BQ117" t="e">
        <f>'SurveyRpt_20150223 (1)'!AM727+"h_l!&amp;j\"</f>
        <v>#VALUE!</v>
      </c>
      <c r="BR117" t="e">
        <f>'SurveyRpt_20150223 (1)'!AN727+"h_l!&amp;j]"</f>
        <v>#VALUE!</v>
      </c>
      <c r="BS117" t="e">
        <f>'SurveyRpt_20150223 (1)'!A728+"h_l!&amp;j^"</f>
        <v>#VALUE!</v>
      </c>
      <c r="BT117" s="25" t="e">
        <f>'SurveyRpt_20150223 (1)'!B728+"h_l!&amp;j_"</f>
        <v>#VALUE!</v>
      </c>
      <c r="BU117" t="e">
        <f>'SurveyRpt_20150223 (1)'!C728+"h_l!&amp;j`"</f>
        <v>#VALUE!</v>
      </c>
      <c r="BV117" s="25" t="e">
        <f>'SurveyRpt_20150223 (1)'!D728+"h_l!&amp;ja"</f>
        <v>#VALUE!</v>
      </c>
      <c r="BW117" t="e">
        <f>'SurveyRpt_20150223 (1)'!E728+"h_l!&amp;jb"</f>
        <v>#VALUE!</v>
      </c>
      <c r="BX117" t="e">
        <f>'SurveyRpt_20150223 (1)'!F728+"h_l!&amp;jc"</f>
        <v>#VALUE!</v>
      </c>
      <c r="BY117" t="e">
        <f>'SurveyRpt_20150223 (1)'!G728+"h_l!&amp;jd"</f>
        <v>#VALUE!</v>
      </c>
      <c r="BZ117" t="e">
        <f>'SurveyRpt_20150223 (1)'!H728+"h_l!&amp;je"</f>
        <v>#VALUE!</v>
      </c>
      <c r="CA117" t="e">
        <f>'SurveyRpt_20150223 (1)'!I728+"h_l!&amp;jf"</f>
        <v>#VALUE!</v>
      </c>
      <c r="CB117" t="e">
        <f>'SurveyRpt_20150223 (1)'!J728+"h_l!&amp;jg"</f>
        <v>#VALUE!</v>
      </c>
      <c r="CC117" t="e">
        <f>'SurveyRpt_20150223 (1)'!K728+"h_l!&amp;jh"</f>
        <v>#VALUE!</v>
      </c>
      <c r="CD117" t="e">
        <f>'SurveyRpt_20150223 (1)'!L728+"h_l!&amp;ji"</f>
        <v>#VALUE!</v>
      </c>
      <c r="CE117" t="e">
        <f>'SurveyRpt_20150223 (1)'!M728+"h_l!&amp;jj"</f>
        <v>#VALUE!</v>
      </c>
      <c r="CF117" t="e">
        <f>'SurveyRpt_20150223 (1)'!N728+"h_l!&amp;jk"</f>
        <v>#VALUE!</v>
      </c>
      <c r="CG117" t="e">
        <f>'SurveyRpt_20150223 (1)'!O728+"h_l!&amp;jl"</f>
        <v>#VALUE!</v>
      </c>
      <c r="CH117" t="e">
        <f>'SurveyRpt_20150223 (1)'!P728+"h_l!&amp;jm"</f>
        <v>#VALUE!</v>
      </c>
      <c r="CI117" t="e">
        <f>'SurveyRpt_20150223 (1)'!Q728+"h_l!&amp;jn"</f>
        <v>#VALUE!</v>
      </c>
      <c r="CJ117" t="e">
        <f>'SurveyRpt_20150223 (1)'!R728+"h_l!&amp;jo"</f>
        <v>#VALUE!</v>
      </c>
      <c r="CK117" t="e">
        <f>'SurveyRpt_20150223 (1)'!S728+"h_l!&amp;jp"</f>
        <v>#VALUE!</v>
      </c>
      <c r="CL117" t="e">
        <f>'SurveyRpt_20150223 (1)'!T728+"h_l!&amp;jq"</f>
        <v>#VALUE!</v>
      </c>
      <c r="CM117" t="e">
        <f>'SurveyRpt_20150223 (1)'!U728+"h_l!&amp;jr"</f>
        <v>#VALUE!</v>
      </c>
      <c r="CN117" t="e">
        <f>'SurveyRpt_20150223 (1)'!V728+"h_l!&amp;js"</f>
        <v>#VALUE!</v>
      </c>
      <c r="CO117" t="e">
        <f>'SurveyRpt_20150223 (1)'!W728+"h_l!&amp;jt"</f>
        <v>#VALUE!</v>
      </c>
      <c r="CP117" t="e">
        <f>'SurveyRpt_20150223 (1)'!X728+"h_l!&amp;ju"</f>
        <v>#VALUE!</v>
      </c>
      <c r="CQ117" t="e">
        <f>'SurveyRpt_20150223 (1)'!Y728+"h_l!&amp;jv"</f>
        <v>#VALUE!</v>
      </c>
      <c r="CR117" t="e">
        <f>'SurveyRpt_20150223 (1)'!Z728+"h_l!&amp;jw"</f>
        <v>#VALUE!</v>
      </c>
      <c r="CS117" t="e">
        <f>'SurveyRpt_20150223 (1)'!AA728+"h_l!&amp;jx"</f>
        <v>#VALUE!</v>
      </c>
      <c r="CT117" t="e">
        <f>'SurveyRpt_20150223 (1)'!AB728+"h_l!&amp;jy"</f>
        <v>#VALUE!</v>
      </c>
      <c r="CU117" t="e">
        <f>'SurveyRpt_20150223 (1)'!AC728+"h_l!&amp;jz"</f>
        <v>#VALUE!</v>
      </c>
      <c r="CV117" t="e">
        <f>'SurveyRpt_20150223 (1)'!AD728+"h_l!&amp;j{"</f>
        <v>#VALUE!</v>
      </c>
      <c r="CW117" t="e">
        <f>'SurveyRpt_20150223 (1)'!AE728+"h_l!&amp;j|"</f>
        <v>#VALUE!</v>
      </c>
      <c r="CX117" t="e">
        <f>'SurveyRpt_20150223 (1)'!AF728+"h_l!&amp;j}"</f>
        <v>#VALUE!</v>
      </c>
      <c r="CY117" t="e">
        <f>'SurveyRpt_20150223 (1)'!AG728+"h_l!&amp;j~"</f>
        <v>#VALUE!</v>
      </c>
      <c r="CZ117" t="e">
        <f>'SurveyRpt_20150223 (1)'!AH728+"h_l!&amp;k#"</f>
        <v>#VALUE!</v>
      </c>
      <c r="DA117" t="e">
        <f>'SurveyRpt_20150223 (1)'!AI728+"h_l!&amp;k$"</f>
        <v>#VALUE!</v>
      </c>
      <c r="DB117" t="e">
        <f>'SurveyRpt_20150223 (1)'!AJ728+"h_l!&amp;k%"</f>
        <v>#VALUE!</v>
      </c>
      <c r="DC117" t="e">
        <f>'SurveyRpt_20150223 (1)'!AK728+"h_l!&amp;k&amp;"</f>
        <v>#VALUE!</v>
      </c>
      <c r="DD117" t="e">
        <f>'SurveyRpt_20150223 (1)'!AL728+"h_l!&amp;k'"</f>
        <v>#VALUE!</v>
      </c>
      <c r="DE117" t="e">
        <f>'SurveyRpt_20150223 (1)'!AM728+"h_l!&amp;k("</f>
        <v>#VALUE!</v>
      </c>
      <c r="DF117" t="e">
        <f>'SurveyRpt_20150223 (1)'!AN728+"h_l!&amp;k)"</f>
        <v>#VALUE!</v>
      </c>
      <c r="DG117" t="e">
        <f>'SurveyRpt_20150223 (1)'!A729+"h_l!&amp;k."</f>
        <v>#VALUE!</v>
      </c>
      <c r="DH117" s="25" t="e">
        <f>'SurveyRpt_20150223 (1)'!B729+"h_l!&amp;k/"</f>
        <v>#VALUE!</v>
      </c>
      <c r="DI117" t="e">
        <f>'SurveyRpt_20150223 (1)'!C729+"h_l!&amp;k0"</f>
        <v>#VALUE!</v>
      </c>
      <c r="DJ117" s="25" t="e">
        <f>'SurveyRpt_20150223 (1)'!D729+"h_l!&amp;k1"</f>
        <v>#VALUE!</v>
      </c>
      <c r="DK117" t="e">
        <f>'SurveyRpt_20150223 (1)'!E729+"h_l!&amp;k2"</f>
        <v>#VALUE!</v>
      </c>
      <c r="DL117" t="e">
        <f>'SurveyRpt_20150223 (1)'!F729+"h_l!&amp;k3"</f>
        <v>#VALUE!</v>
      </c>
      <c r="DM117" t="e">
        <f>'SurveyRpt_20150223 (1)'!G729+"h_l!&amp;k4"</f>
        <v>#VALUE!</v>
      </c>
      <c r="DN117" t="e">
        <f>'SurveyRpt_20150223 (1)'!H729+"h_l!&amp;k5"</f>
        <v>#VALUE!</v>
      </c>
      <c r="DO117" t="e">
        <f>'SurveyRpt_20150223 (1)'!I729+"h_l!&amp;k6"</f>
        <v>#VALUE!</v>
      </c>
      <c r="DP117" t="e">
        <f>'SurveyRpt_20150223 (1)'!J729+"h_l!&amp;k7"</f>
        <v>#VALUE!</v>
      </c>
      <c r="DQ117" t="e">
        <f>'SurveyRpt_20150223 (1)'!K729+"h_l!&amp;k8"</f>
        <v>#VALUE!</v>
      </c>
      <c r="DR117" t="e">
        <f>'SurveyRpt_20150223 (1)'!L729+"h_l!&amp;k9"</f>
        <v>#VALUE!</v>
      </c>
      <c r="DS117" t="e">
        <f>'SurveyRpt_20150223 (1)'!M729+"h_l!&amp;k:"</f>
        <v>#VALUE!</v>
      </c>
      <c r="DT117" t="e">
        <f>'SurveyRpt_20150223 (1)'!N729+"h_l!&amp;k;"</f>
        <v>#VALUE!</v>
      </c>
      <c r="DU117" t="e">
        <f>'SurveyRpt_20150223 (1)'!O729+"h_l!&amp;k&lt;"</f>
        <v>#VALUE!</v>
      </c>
      <c r="DV117" t="e">
        <f>'SurveyRpt_20150223 (1)'!P729+"h_l!&amp;k="</f>
        <v>#VALUE!</v>
      </c>
      <c r="DW117" t="e">
        <f>'SurveyRpt_20150223 (1)'!Q729+"h_l!&amp;k&gt;"</f>
        <v>#VALUE!</v>
      </c>
      <c r="DX117" t="e">
        <f>'SurveyRpt_20150223 (1)'!R729+"h_l!&amp;k?"</f>
        <v>#VALUE!</v>
      </c>
      <c r="DY117" t="e">
        <f>'SurveyRpt_20150223 (1)'!S729+"h_l!&amp;k@"</f>
        <v>#VALUE!</v>
      </c>
      <c r="DZ117" t="e">
        <f>'SurveyRpt_20150223 (1)'!T729+"h_l!&amp;kA"</f>
        <v>#VALUE!</v>
      </c>
      <c r="EA117" t="e">
        <f>'SurveyRpt_20150223 (1)'!U729+"h_l!&amp;kB"</f>
        <v>#VALUE!</v>
      </c>
      <c r="EB117" t="e">
        <f>'SurveyRpt_20150223 (1)'!V729+"h_l!&amp;kC"</f>
        <v>#VALUE!</v>
      </c>
      <c r="EC117" t="e">
        <f>'SurveyRpt_20150223 (1)'!W729+"h_l!&amp;kD"</f>
        <v>#VALUE!</v>
      </c>
      <c r="ED117" t="e">
        <f>'SurveyRpt_20150223 (1)'!X729+"h_l!&amp;kE"</f>
        <v>#VALUE!</v>
      </c>
      <c r="EE117" t="e">
        <f>'SurveyRpt_20150223 (1)'!Y729+"h_l!&amp;kF"</f>
        <v>#VALUE!</v>
      </c>
      <c r="EF117" t="e">
        <f>'SurveyRpt_20150223 (1)'!Z729+"h_l!&amp;kG"</f>
        <v>#VALUE!</v>
      </c>
      <c r="EG117" t="e">
        <f>'SurveyRpt_20150223 (1)'!AA729+"h_l!&amp;kH"</f>
        <v>#VALUE!</v>
      </c>
      <c r="EH117" t="e">
        <f>'SurveyRpt_20150223 (1)'!AB729+"h_l!&amp;kI"</f>
        <v>#VALUE!</v>
      </c>
      <c r="EI117" t="e">
        <f>'SurveyRpt_20150223 (1)'!AC729+"h_l!&amp;kJ"</f>
        <v>#VALUE!</v>
      </c>
      <c r="EJ117" t="e">
        <f>'SurveyRpt_20150223 (1)'!AD729+"h_l!&amp;kK"</f>
        <v>#VALUE!</v>
      </c>
      <c r="EK117" t="e">
        <f>'SurveyRpt_20150223 (1)'!AE729+"h_l!&amp;kL"</f>
        <v>#VALUE!</v>
      </c>
      <c r="EL117" t="e">
        <f>'SurveyRpt_20150223 (1)'!AF729+"h_l!&amp;kM"</f>
        <v>#VALUE!</v>
      </c>
      <c r="EM117" t="e">
        <f>'SurveyRpt_20150223 (1)'!AG729+"h_l!&amp;kN"</f>
        <v>#VALUE!</v>
      </c>
      <c r="EN117" t="e">
        <f>'SurveyRpt_20150223 (1)'!AH729+"h_l!&amp;kO"</f>
        <v>#VALUE!</v>
      </c>
      <c r="EO117" t="e">
        <f>'SurveyRpt_20150223 (1)'!AI729+"h_l!&amp;kP"</f>
        <v>#VALUE!</v>
      </c>
      <c r="EP117" t="e">
        <f>'SurveyRpt_20150223 (1)'!AJ729+"h_l!&amp;kQ"</f>
        <v>#VALUE!</v>
      </c>
      <c r="EQ117" t="e">
        <f>'SurveyRpt_20150223 (1)'!AK729+"h_l!&amp;kR"</f>
        <v>#VALUE!</v>
      </c>
      <c r="ER117" t="e">
        <f>'SurveyRpt_20150223 (1)'!AL729+"h_l!&amp;kS"</f>
        <v>#VALUE!</v>
      </c>
      <c r="ES117" t="e">
        <f>'SurveyRpt_20150223 (1)'!AM729+"h_l!&amp;kT"</f>
        <v>#VALUE!</v>
      </c>
      <c r="ET117" t="e">
        <f>'SurveyRpt_20150223 (1)'!AN729+"h_l!&amp;kU"</f>
        <v>#VALUE!</v>
      </c>
      <c r="EU117" t="e">
        <f>'SurveyRpt_20150223 (1)'!A730+"h_l!&amp;kV"</f>
        <v>#VALUE!</v>
      </c>
      <c r="EV117" s="25" t="e">
        <f>'SurveyRpt_20150223 (1)'!B730+"h_l!&amp;kW"</f>
        <v>#VALUE!</v>
      </c>
      <c r="EW117" t="e">
        <f>'SurveyRpt_20150223 (1)'!C730+"h_l!&amp;kX"</f>
        <v>#VALUE!</v>
      </c>
      <c r="EX117" s="25" t="e">
        <f>'SurveyRpt_20150223 (1)'!D730+"h_l!&amp;kY"</f>
        <v>#VALUE!</v>
      </c>
      <c r="EY117" t="e">
        <f>'SurveyRpt_20150223 (1)'!E730+"h_l!&amp;kZ"</f>
        <v>#VALUE!</v>
      </c>
      <c r="EZ117" t="e">
        <f>'SurveyRpt_20150223 (1)'!F730+"h_l!&amp;k["</f>
        <v>#VALUE!</v>
      </c>
      <c r="FA117" t="e">
        <f>'SurveyRpt_20150223 (1)'!G730+"h_l!&amp;k\"</f>
        <v>#VALUE!</v>
      </c>
      <c r="FB117" t="e">
        <f>'SurveyRpt_20150223 (1)'!H730+"h_l!&amp;k]"</f>
        <v>#VALUE!</v>
      </c>
      <c r="FC117" t="e">
        <f>'SurveyRpt_20150223 (1)'!I730+"h_l!&amp;k^"</f>
        <v>#VALUE!</v>
      </c>
      <c r="FD117" t="e">
        <f>'SurveyRpt_20150223 (1)'!J730+"h_l!&amp;k_"</f>
        <v>#VALUE!</v>
      </c>
      <c r="FE117" t="e">
        <f>'SurveyRpt_20150223 (1)'!K730+"h_l!&amp;k`"</f>
        <v>#VALUE!</v>
      </c>
      <c r="FF117" t="e">
        <f>'SurveyRpt_20150223 (1)'!L730+"h_l!&amp;ka"</f>
        <v>#VALUE!</v>
      </c>
      <c r="FG117" t="e">
        <f>'SurveyRpt_20150223 (1)'!M730+"h_l!&amp;kb"</f>
        <v>#VALUE!</v>
      </c>
      <c r="FH117" t="e">
        <f>'SurveyRpt_20150223 (1)'!N730+"h_l!&amp;kc"</f>
        <v>#VALUE!</v>
      </c>
      <c r="FI117" t="e">
        <f>'SurveyRpt_20150223 (1)'!O730+"h_l!&amp;kd"</f>
        <v>#VALUE!</v>
      </c>
      <c r="FJ117" t="e">
        <f>'SurveyRpt_20150223 (1)'!P730+"h_l!&amp;ke"</f>
        <v>#VALUE!</v>
      </c>
      <c r="FK117" t="e">
        <f>'SurveyRpt_20150223 (1)'!Q730+"h_l!&amp;kf"</f>
        <v>#VALUE!</v>
      </c>
      <c r="FL117" t="e">
        <f>'SurveyRpt_20150223 (1)'!R730+"h_l!&amp;kg"</f>
        <v>#VALUE!</v>
      </c>
      <c r="FM117" t="e">
        <f>'SurveyRpt_20150223 (1)'!S730+"h_l!&amp;kh"</f>
        <v>#VALUE!</v>
      </c>
      <c r="FN117" t="e">
        <f>'SurveyRpt_20150223 (1)'!T730+"h_l!&amp;ki"</f>
        <v>#VALUE!</v>
      </c>
      <c r="FO117" t="e">
        <f>'SurveyRpt_20150223 (1)'!U730+"h_l!&amp;kj"</f>
        <v>#VALUE!</v>
      </c>
      <c r="FP117" t="e">
        <f>'SurveyRpt_20150223 (1)'!V730+"h_l!&amp;kk"</f>
        <v>#VALUE!</v>
      </c>
      <c r="FQ117" t="e">
        <f>'SurveyRpt_20150223 (1)'!W730+"h_l!&amp;kl"</f>
        <v>#VALUE!</v>
      </c>
      <c r="FR117" t="e">
        <f>'SurveyRpt_20150223 (1)'!X730+"h_l!&amp;km"</f>
        <v>#VALUE!</v>
      </c>
      <c r="FS117" t="e">
        <f>'SurveyRpt_20150223 (1)'!Y730+"h_l!&amp;kn"</f>
        <v>#VALUE!</v>
      </c>
      <c r="FT117" t="e">
        <f>'SurveyRpt_20150223 (1)'!Z730+"h_l!&amp;ko"</f>
        <v>#VALUE!</v>
      </c>
      <c r="FU117" t="e">
        <f>'SurveyRpt_20150223 (1)'!AA730+"h_l!&amp;kp"</f>
        <v>#VALUE!</v>
      </c>
      <c r="FV117" t="e">
        <f>'SurveyRpt_20150223 (1)'!AB730+"h_l!&amp;kq"</f>
        <v>#VALUE!</v>
      </c>
      <c r="FW117" t="e">
        <f>'SurveyRpt_20150223 (1)'!AC730+"h_l!&amp;kr"</f>
        <v>#VALUE!</v>
      </c>
      <c r="FX117" t="e">
        <f>'SurveyRpt_20150223 (1)'!AD730+"h_l!&amp;ks"</f>
        <v>#VALUE!</v>
      </c>
      <c r="FY117" t="e">
        <f>'SurveyRpt_20150223 (1)'!AE730+"h_l!&amp;kt"</f>
        <v>#VALUE!</v>
      </c>
      <c r="FZ117" t="e">
        <f>'SurveyRpt_20150223 (1)'!AF730+"h_l!&amp;ku"</f>
        <v>#VALUE!</v>
      </c>
      <c r="GA117" t="e">
        <f>'SurveyRpt_20150223 (1)'!AG730+"h_l!&amp;kv"</f>
        <v>#VALUE!</v>
      </c>
      <c r="GB117" t="e">
        <f>'SurveyRpt_20150223 (1)'!AH730+"h_l!&amp;kw"</f>
        <v>#VALUE!</v>
      </c>
      <c r="GC117" t="e">
        <f>'SurveyRpt_20150223 (1)'!AI730+"h_l!&amp;kx"</f>
        <v>#VALUE!</v>
      </c>
      <c r="GD117" t="e">
        <f>'SurveyRpt_20150223 (1)'!AJ730+"h_l!&amp;ky"</f>
        <v>#VALUE!</v>
      </c>
      <c r="GE117" t="e">
        <f>'SurveyRpt_20150223 (1)'!AK730+"h_l!&amp;kz"</f>
        <v>#VALUE!</v>
      </c>
      <c r="GF117" t="e">
        <f>'SurveyRpt_20150223 (1)'!AL730+"h_l!&amp;k{"</f>
        <v>#VALUE!</v>
      </c>
      <c r="GG117" t="e">
        <f>'SurveyRpt_20150223 (1)'!AM730+"h_l!&amp;k|"</f>
        <v>#VALUE!</v>
      </c>
      <c r="GH117" t="e">
        <f>'SurveyRpt_20150223 (1)'!AN730+"h_l!&amp;k}"</f>
        <v>#VALUE!</v>
      </c>
      <c r="GI117" t="e">
        <f>'SurveyRpt_20150223 (1)'!A731+"h_l!&amp;k~"</f>
        <v>#VALUE!</v>
      </c>
      <c r="GJ117" s="25" t="e">
        <f>'SurveyRpt_20150223 (1)'!B731+"h_l!&amp;l#"</f>
        <v>#VALUE!</v>
      </c>
      <c r="GK117" t="e">
        <f>'SurveyRpt_20150223 (1)'!C731+"h_l!&amp;l$"</f>
        <v>#VALUE!</v>
      </c>
      <c r="GL117" s="25" t="e">
        <f>'SurveyRpt_20150223 (1)'!D731+"h_l!&amp;l%"</f>
        <v>#VALUE!</v>
      </c>
      <c r="GM117" t="e">
        <f>'SurveyRpt_20150223 (1)'!E731+"h_l!&amp;l&amp;"</f>
        <v>#VALUE!</v>
      </c>
      <c r="GN117" t="e">
        <f>'SurveyRpt_20150223 (1)'!F731+"h_l!&amp;l'"</f>
        <v>#VALUE!</v>
      </c>
      <c r="GO117" t="e">
        <f>'SurveyRpt_20150223 (1)'!G731+"h_l!&amp;l("</f>
        <v>#VALUE!</v>
      </c>
      <c r="GP117" t="e">
        <f>'SurveyRpt_20150223 (1)'!H731+"h_l!&amp;l)"</f>
        <v>#VALUE!</v>
      </c>
      <c r="GQ117" t="e">
        <f>'SurveyRpt_20150223 (1)'!I731+"h_l!&amp;l."</f>
        <v>#VALUE!</v>
      </c>
      <c r="GR117" t="e">
        <f>'SurveyRpt_20150223 (1)'!J731+"h_l!&amp;l/"</f>
        <v>#VALUE!</v>
      </c>
      <c r="GS117" t="e">
        <f>'SurveyRpt_20150223 (1)'!K731+"h_l!&amp;l0"</f>
        <v>#VALUE!</v>
      </c>
      <c r="GT117" t="e">
        <f>'SurveyRpt_20150223 (1)'!L731+"h_l!&amp;l1"</f>
        <v>#VALUE!</v>
      </c>
      <c r="GU117" t="e">
        <f>'SurveyRpt_20150223 (1)'!M731+"h_l!&amp;l2"</f>
        <v>#VALUE!</v>
      </c>
      <c r="GV117" t="e">
        <f>'SurveyRpt_20150223 (1)'!N731+"h_l!&amp;l3"</f>
        <v>#VALUE!</v>
      </c>
      <c r="GW117" t="e">
        <f>'SurveyRpt_20150223 (1)'!O731+"h_l!&amp;l4"</f>
        <v>#VALUE!</v>
      </c>
      <c r="GX117" t="e">
        <f>'SurveyRpt_20150223 (1)'!P731+"h_l!&amp;l5"</f>
        <v>#VALUE!</v>
      </c>
      <c r="GY117" t="e">
        <f>'SurveyRpt_20150223 (1)'!Q731+"h_l!&amp;l6"</f>
        <v>#VALUE!</v>
      </c>
      <c r="GZ117" t="e">
        <f>'SurveyRpt_20150223 (1)'!R731+"h_l!&amp;l7"</f>
        <v>#VALUE!</v>
      </c>
      <c r="HA117" t="e">
        <f>'SurveyRpt_20150223 (1)'!S731+"h_l!&amp;l8"</f>
        <v>#VALUE!</v>
      </c>
      <c r="HB117" t="e">
        <f>'SurveyRpt_20150223 (1)'!T731+"h_l!&amp;l9"</f>
        <v>#VALUE!</v>
      </c>
      <c r="HC117" t="e">
        <f>'SurveyRpt_20150223 (1)'!U731+"h_l!&amp;l:"</f>
        <v>#VALUE!</v>
      </c>
      <c r="HD117" t="e">
        <f>'SurveyRpt_20150223 (1)'!V731+"h_l!&amp;l;"</f>
        <v>#VALUE!</v>
      </c>
      <c r="HE117" t="e">
        <f>'SurveyRpt_20150223 (1)'!W731+"h_l!&amp;l&lt;"</f>
        <v>#VALUE!</v>
      </c>
      <c r="HF117" t="e">
        <f>'SurveyRpt_20150223 (1)'!X731+"h_l!&amp;l="</f>
        <v>#VALUE!</v>
      </c>
      <c r="HG117" t="e">
        <f>'SurveyRpt_20150223 (1)'!Y731+"h_l!&amp;l&gt;"</f>
        <v>#VALUE!</v>
      </c>
      <c r="HH117" t="e">
        <f>'SurveyRpt_20150223 (1)'!Z731+"h_l!&amp;l?"</f>
        <v>#VALUE!</v>
      </c>
      <c r="HI117" t="e">
        <f>'SurveyRpt_20150223 (1)'!AA731+"h_l!&amp;l@"</f>
        <v>#VALUE!</v>
      </c>
      <c r="HJ117" t="e">
        <f>'SurveyRpt_20150223 (1)'!AB731+"h_l!&amp;lA"</f>
        <v>#VALUE!</v>
      </c>
      <c r="HK117" t="e">
        <f>'SurveyRpt_20150223 (1)'!AC731+"h_l!&amp;lB"</f>
        <v>#VALUE!</v>
      </c>
      <c r="HL117" t="e">
        <f>'SurveyRpt_20150223 (1)'!AD731+"h_l!&amp;lC"</f>
        <v>#VALUE!</v>
      </c>
      <c r="HM117" t="e">
        <f>'SurveyRpt_20150223 (1)'!AE731+"h_l!&amp;lD"</f>
        <v>#VALUE!</v>
      </c>
      <c r="HN117" t="e">
        <f>'SurveyRpt_20150223 (1)'!AF731+"h_l!&amp;lE"</f>
        <v>#VALUE!</v>
      </c>
      <c r="HO117" t="e">
        <f>'SurveyRpt_20150223 (1)'!AG731+"h_l!&amp;lF"</f>
        <v>#VALUE!</v>
      </c>
      <c r="HP117" t="e">
        <f>'SurveyRpt_20150223 (1)'!AH731+"h_l!&amp;lG"</f>
        <v>#VALUE!</v>
      </c>
      <c r="HQ117" t="e">
        <f>'SurveyRpt_20150223 (1)'!AI731+"h_l!&amp;lH"</f>
        <v>#VALUE!</v>
      </c>
      <c r="HR117" t="e">
        <f>'SurveyRpt_20150223 (1)'!AJ731+"h_l!&amp;lI"</f>
        <v>#VALUE!</v>
      </c>
      <c r="HS117" t="e">
        <f>'SurveyRpt_20150223 (1)'!AK731+"h_l!&amp;lJ"</f>
        <v>#VALUE!</v>
      </c>
      <c r="HT117" t="e">
        <f>'SurveyRpt_20150223 (1)'!AL731+"h_l!&amp;lK"</f>
        <v>#VALUE!</v>
      </c>
      <c r="HU117" t="e">
        <f>'SurveyRpt_20150223 (1)'!AM731+"h_l!&amp;lL"</f>
        <v>#VALUE!</v>
      </c>
      <c r="HV117" t="e">
        <f>'SurveyRpt_20150223 (1)'!AN731+"h_l!&amp;lM"</f>
        <v>#VALUE!</v>
      </c>
      <c r="HW117" t="e">
        <f>'SurveyRpt_20150223 (1)'!A732+"h_l!&amp;lN"</f>
        <v>#VALUE!</v>
      </c>
      <c r="HX117" s="25" t="e">
        <f>'SurveyRpt_20150223 (1)'!B732+"h_l!&amp;lO"</f>
        <v>#VALUE!</v>
      </c>
      <c r="HY117" t="e">
        <f>'SurveyRpt_20150223 (1)'!C732+"h_l!&amp;lP"</f>
        <v>#VALUE!</v>
      </c>
      <c r="HZ117" s="25" t="e">
        <f>'SurveyRpt_20150223 (1)'!D732+"h_l!&amp;lQ"</f>
        <v>#VALUE!</v>
      </c>
      <c r="IA117" t="e">
        <f>'SurveyRpt_20150223 (1)'!E732+"h_l!&amp;lR"</f>
        <v>#VALUE!</v>
      </c>
      <c r="IB117" t="e">
        <f>'SurveyRpt_20150223 (1)'!F732+"h_l!&amp;lS"</f>
        <v>#VALUE!</v>
      </c>
      <c r="IC117" t="e">
        <f>'SurveyRpt_20150223 (1)'!G732+"h_l!&amp;lT"</f>
        <v>#VALUE!</v>
      </c>
      <c r="ID117" t="e">
        <f>'SurveyRpt_20150223 (1)'!H732+"h_l!&amp;lU"</f>
        <v>#VALUE!</v>
      </c>
      <c r="IE117" t="e">
        <f>'SurveyRpt_20150223 (1)'!I732+"h_l!&amp;lV"</f>
        <v>#VALUE!</v>
      </c>
      <c r="IF117" t="e">
        <f>'SurveyRpt_20150223 (1)'!J732+"h_l!&amp;lW"</f>
        <v>#VALUE!</v>
      </c>
      <c r="IG117" t="e">
        <f>'SurveyRpt_20150223 (1)'!K732+"h_l!&amp;lX"</f>
        <v>#VALUE!</v>
      </c>
      <c r="IH117" t="e">
        <f>'SurveyRpt_20150223 (1)'!L732+"h_l!&amp;lY"</f>
        <v>#VALUE!</v>
      </c>
      <c r="II117" t="e">
        <f>'SurveyRpt_20150223 (1)'!M732+"h_l!&amp;lZ"</f>
        <v>#VALUE!</v>
      </c>
      <c r="IJ117" t="e">
        <f>'SurveyRpt_20150223 (1)'!N732+"h_l!&amp;l["</f>
        <v>#VALUE!</v>
      </c>
      <c r="IK117" t="e">
        <f>'SurveyRpt_20150223 (1)'!O732+"h_l!&amp;l\"</f>
        <v>#VALUE!</v>
      </c>
      <c r="IL117" t="e">
        <f>'SurveyRpt_20150223 (1)'!P732+"h_l!&amp;l]"</f>
        <v>#VALUE!</v>
      </c>
      <c r="IM117" t="e">
        <f>'SurveyRpt_20150223 (1)'!Q732+"h_l!&amp;l^"</f>
        <v>#VALUE!</v>
      </c>
      <c r="IN117" t="e">
        <f>'SurveyRpt_20150223 (1)'!R732+"h_l!&amp;l_"</f>
        <v>#VALUE!</v>
      </c>
      <c r="IO117" t="e">
        <f>'SurveyRpt_20150223 (1)'!S732+"h_l!&amp;l`"</f>
        <v>#VALUE!</v>
      </c>
      <c r="IP117" t="e">
        <f>'SurveyRpt_20150223 (1)'!T732+"h_l!&amp;la"</f>
        <v>#VALUE!</v>
      </c>
      <c r="IQ117" t="e">
        <f>'SurveyRpt_20150223 (1)'!U732+"h_l!&amp;lb"</f>
        <v>#VALUE!</v>
      </c>
      <c r="IR117" t="e">
        <f>'SurveyRpt_20150223 (1)'!V732+"h_l!&amp;lc"</f>
        <v>#VALUE!</v>
      </c>
      <c r="IS117" t="e">
        <f>'SurveyRpt_20150223 (1)'!W732+"h_l!&amp;ld"</f>
        <v>#VALUE!</v>
      </c>
      <c r="IT117" t="e">
        <f>'SurveyRpt_20150223 (1)'!X732+"h_l!&amp;le"</f>
        <v>#VALUE!</v>
      </c>
      <c r="IU117" t="e">
        <f>'SurveyRpt_20150223 (1)'!Y732+"h_l!&amp;lf"</f>
        <v>#VALUE!</v>
      </c>
      <c r="IV117" t="e">
        <f>'SurveyRpt_20150223 (1)'!Z732+"h_l!&amp;lg"</f>
        <v>#VALUE!</v>
      </c>
    </row>
    <row r="118" spans="6:256" x14ac:dyDescent="0.25">
      <c r="F118" t="e">
        <f>'SurveyRpt_20150223 (1)'!AA732+"h_l!&amp;lh"</f>
        <v>#VALUE!</v>
      </c>
      <c r="G118" t="e">
        <f>'SurveyRpt_20150223 (1)'!AB732+"h_l!&amp;li"</f>
        <v>#VALUE!</v>
      </c>
      <c r="H118" t="e">
        <f>'SurveyRpt_20150223 (1)'!AC732+"h_l!&amp;lj"</f>
        <v>#VALUE!</v>
      </c>
      <c r="I118" t="e">
        <f>'SurveyRpt_20150223 (1)'!AD732+"h_l!&amp;lk"</f>
        <v>#VALUE!</v>
      </c>
      <c r="J118" t="e">
        <f>'SurveyRpt_20150223 (1)'!AE732+"h_l!&amp;ll"</f>
        <v>#VALUE!</v>
      </c>
      <c r="K118" t="e">
        <f>'SurveyRpt_20150223 (1)'!AF732+"h_l!&amp;lm"</f>
        <v>#VALUE!</v>
      </c>
      <c r="L118" t="e">
        <f>'SurveyRpt_20150223 (1)'!AG732+"h_l!&amp;ln"</f>
        <v>#VALUE!</v>
      </c>
      <c r="M118" t="e">
        <f>'SurveyRpt_20150223 (1)'!AH732+"h_l!&amp;lo"</f>
        <v>#VALUE!</v>
      </c>
      <c r="N118" t="e">
        <f>'SurveyRpt_20150223 (1)'!AI732+"h_l!&amp;lp"</f>
        <v>#VALUE!</v>
      </c>
      <c r="O118" t="e">
        <f>'SurveyRpt_20150223 (1)'!AJ732+"h_l!&amp;lq"</f>
        <v>#VALUE!</v>
      </c>
      <c r="P118" t="e">
        <f>'SurveyRpt_20150223 (1)'!AK732+"h_l!&amp;lr"</f>
        <v>#VALUE!</v>
      </c>
      <c r="Q118" t="e">
        <f>'SurveyRpt_20150223 (1)'!AL732+"h_l!&amp;ls"</f>
        <v>#VALUE!</v>
      </c>
      <c r="R118" t="e">
        <f>'SurveyRpt_20150223 (1)'!AM732+"h_l!&amp;lt"</f>
        <v>#VALUE!</v>
      </c>
      <c r="S118" t="e">
        <f>'SurveyRpt_20150223 (1)'!AN732+"h_l!&amp;lu"</f>
        <v>#VALUE!</v>
      </c>
      <c r="T118" t="e">
        <f>'SurveyRpt_20150223 (1)'!A733+"h_l!&amp;lv"</f>
        <v>#VALUE!</v>
      </c>
      <c r="U118" s="25" t="e">
        <f>'SurveyRpt_20150223 (1)'!B733+"h_l!&amp;lw"</f>
        <v>#VALUE!</v>
      </c>
      <c r="V118" t="e">
        <f>'SurveyRpt_20150223 (1)'!C733+"h_l!&amp;lx"</f>
        <v>#VALUE!</v>
      </c>
      <c r="W118" s="25" t="e">
        <f>'SurveyRpt_20150223 (1)'!D733+"h_l!&amp;ly"</f>
        <v>#VALUE!</v>
      </c>
      <c r="X118" t="e">
        <f>'SurveyRpt_20150223 (1)'!E733+"h_l!&amp;lz"</f>
        <v>#VALUE!</v>
      </c>
      <c r="Y118" t="e">
        <f>'SurveyRpt_20150223 (1)'!F733+"h_l!&amp;l{"</f>
        <v>#VALUE!</v>
      </c>
      <c r="Z118" t="e">
        <f>'SurveyRpt_20150223 (1)'!G733+"h_l!&amp;l|"</f>
        <v>#VALUE!</v>
      </c>
      <c r="AA118" t="e">
        <f>'SurveyRpt_20150223 (1)'!H733+"h_l!&amp;l}"</f>
        <v>#VALUE!</v>
      </c>
      <c r="AB118" t="e">
        <f>'SurveyRpt_20150223 (1)'!I733+"h_l!&amp;l~"</f>
        <v>#VALUE!</v>
      </c>
      <c r="AC118" t="e">
        <f>'SurveyRpt_20150223 (1)'!J733+"h_l!&amp;m#"</f>
        <v>#VALUE!</v>
      </c>
      <c r="AD118" t="e">
        <f>'SurveyRpt_20150223 (1)'!K733+"h_l!&amp;m$"</f>
        <v>#VALUE!</v>
      </c>
      <c r="AE118" t="e">
        <f>'SurveyRpt_20150223 (1)'!L733+"h_l!&amp;m%"</f>
        <v>#VALUE!</v>
      </c>
      <c r="AF118" t="e">
        <f>'SurveyRpt_20150223 (1)'!M733+"h_l!&amp;m&amp;"</f>
        <v>#VALUE!</v>
      </c>
      <c r="AG118" t="e">
        <f>'SurveyRpt_20150223 (1)'!N733+"h_l!&amp;m'"</f>
        <v>#VALUE!</v>
      </c>
      <c r="AH118" t="e">
        <f>'SurveyRpt_20150223 (1)'!O733+"h_l!&amp;m("</f>
        <v>#VALUE!</v>
      </c>
      <c r="AI118" t="e">
        <f>'SurveyRpt_20150223 (1)'!P733+"h_l!&amp;m)"</f>
        <v>#VALUE!</v>
      </c>
      <c r="AJ118" t="e">
        <f>'SurveyRpt_20150223 (1)'!Q733+"h_l!&amp;m."</f>
        <v>#VALUE!</v>
      </c>
      <c r="AK118" t="e">
        <f>'SurveyRpt_20150223 (1)'!R733+"h_l!&amp;m/"</f>
        <v>#VALUE!</v>
      </c>
      <c r="AL118" t="e">
        <f>'SurveyRpt_20150223 (1)'!S733+"h_l!&amp;m0"</f>
        <v>#VALUE!</v>
      </c>
      <c r="AM118" t="e">
        <f>'SurveyRpt_20150223 (1)'!T733+"h_l!&amp;m1"</f>
        <v>#VALUE!</v>
      </c>
      <c r="AN118" t="e">
        <f>'SurveyRpt_20150223 (1)'!U733+"h_l!&amp;m2"</f>
        <v>#VALUE!</v>
      </c>
      <c r="AO118" t="e">
        <f>'SurveyRpt_20150223 (1)'!V733+"h_l!&amp;m3"</f>
        <v>#VALUE!</v>
      </c>
      <c r="AP118" t="e">
        <f>'SurveyRpt_20150223 (1)'!W733+"h_l!&amp;m4"</f>
        <v>#VALUE!</v>
      </c>
      <c r="AQ118" t="e">
        <f>'SurveyRpt_20150223 (1)'!X733+"h_l!&amp;m5"</f>
        <v>#VALUE!</v>
      </c>
      <c r="AR118" t="e">
        <f>'SurveyRpt_20150223 (1)'!Y733+"h_l!&amp;m6"</f>
        <v>#VALUE!</v>
      </c>
      <c r="AS118" t="e">
        <f>'SurveyRpt_20150223 (1)'!Z733+"h_l!&amp;m7"</f>
        <v>#VALUE!</v>
      </c>
      <c r="AT118" t="e">
        <f>'SurveyRpt_20150223 (1)'!AA733+"h_l!&amp;m8"</f>
        <v>#VALUE!</v>
      </c>
      <c r="AU118" t="e">
        <f>'SurveyRpt_20150223 (1)'!AB733+"h_l!&amp;m9"</f>
        <v>#VALUE!</v>
      </c>
      <c r="AV118" t="e">
        <f>'SurveyRpt_20150223 (1)'!AC733+"h_l!&amp;m:"</f>
        <v>#VALUE!</v>
      </c>
      <c r="AW118" t="e">
        <f>'SurveyRpt_20150223 (1)'!AD733+"h_l!&amp;m;"</f>
        <v>#VALUE!</v>
      </c>
      <c r="AX118" t="e">
        <f>'SurveyRpt_20150223 (1)'!AE733+"h_l!&amp;m&lt;"</f>
        <v>#VALUE!</v>
      </c>
      <c r="AY118" t="e">
        <f>'SurveyRpt_20150223 (1)'!AF733+"h_l!&amp;m="</f>
        <v>#VALUE!</v>
      </c>
      <c r="AZ118" t="e">
        <f>'SurveyRpt_20150223 (1)'!AG733+"h_l!&amp;m&gt;"</f>
        <v>#VALUE!</v>
      </c>
      <c r="BA118" t="e">
        <f>'SurveyRpt_20150223 (1)'!AH733+"h_l!&amp;m?"</f>
        <v>#VALUE!</v>
      </c>
      <c r="BB118" t="e">
        <f>'SurveyRpt_20150223 (1)'!AI733+"h_l!&amp;m@"</f>
        <v>#VALUE!</v>
      </c>
      <c r="BC118" t="e">
        <f>'SurveyRpt_20150223 (1)'!AJ733+"h_l!&amp;mA"</f>
        <v>#VALUE!</v>
      </c>
      <c r="BD118" t="e">
        <f>'SurveyRpt_20150223 (1)'!AK733+"h_l!&amp;mB"</f>
        <v>#VALUE!</v>
      </c>
      <c r="BE118" t="e">
        <f>'SurveyRpt_20150223 (1)'!AL733+"h_l!&amp;mC"</f>
        <v>#VALUE!</v>
      </c>
      <c r="BF118" t="e">
        <f>'SurveyRpt_20150223 (1)'!AM733+"h_l!&amp;mD"</f>
        <v>#VALUE!</v>
      </c>
      <c r="BG118" t="e">
        <f>'SurveyRpt_20150223 (1)'!AN733+"h_l!&amp;mE"</f>
        <v>#VALUE!</v>
      </c>
      <c r="BH118" t="e">
        <f>'SurveyRpt_20150223 (1)'!A734+"h_l!&amp;mF"</f>
        <v>#VALUE!</v>
      </c>
      <c r="BI118" s="25" t="e">
        <f>'SurveyRpt_20150223 (1)'!B734+"h_l!&amp;mG"</f>
        <v>#VALUE!</v>
      </c>
      <c r="BJ118" t="e">
        <f>'SurveyRpt_20150223 (1)'!C734+"h_l!&amp;mH"</f>
        <v>#VALUE!</v>
      </c>
      <c r="BK118" s="25" t="e">
        <f>'SurveyRpt_20150223 (1)'!D734+"h_l!&amp;mI"</f>
        <v>#VALUE!</v>
      </c>
      <c r="BL118" t="e">
        <f>'SurveyRpt_20150223 (1)'!E734+"h_l!&amp;mJ"</f>
        <v>#VALUE!</v>
      </c>
      <c r="BM118" t="e">
        <f>'SurveyRpt_20150223 (1)'!F734+"h_l!&amp;mK"</f>
        <v>#VALUE!</v>
      </c>
      <c r="BN118" t="e">
        <f>'SurveyRpt_20150223 (1)'!G734+"h_l!&amp;mL"</f>
        <v>#VALUE!</v>
      </c>
      <c r="BO118" t="e">
        <f>'SurveyRpt_20150223 (1)'!H734+"h_l!&amp;mM"</f>
        <v>#VALUE!</v>
      </c>
      <c r="BP118" t="e">
        <f>'SurveyRpt_20150223 (1)'!I734+"h_l!&amp;mN"</f>
        <v>#VALUE!</v>
      </c>
      <c r="BQ118" t="e">
        <f>'SurveyRpt_20150223 (1)'!J734+"h_l!&amp;mO"</f>
        <v>#VALUE!</v>
      </c>
      <c r="BR118" t="e">
        <f>'SurveyRpt_20150223 (1)'!K734+"h_l!&amp;mP"</f>
        <v>#VALUE!</v>
      </c>
      <c r="BS118" t="e">
        <f>'SurveyRpt_20150223 (1)'!L734+"h_l!&amp;mQ"</f>
        <v>#VALUE!</v>
      </c>
      <c r="BT118" t="e">
        <f>'SurveyRpt_20150223 (1)'!M734+"h_l!&amp;mR"</f>
        <v>#VALUE!</v>
      </c>
      <c r="BU118" t="e">
        <f>'SurveyRpt_20150223 (1)'!N734+"h_l!&amp;mS"</f>
        <v>#VALUE!</v>
      </c>
      <c r="BV118" t="e">
        <f>'SurveyRpt_20150223 (1)'!O734+"h_l!&amp;mT"</f>
        <v>#VALUE!</v>
      </c>
      <c r="BW118" t="e">
        <f>'SurveyRpt_20150223 (1)'!P734+"h_l!&amp;mU"</f>
        <v>#VALUE!</v>
      </c>
      <c r="BX118" t="e">
        <f>'SurveyRpt_20150223 (1)'!Q734+"h_l!&amp;mV"</f>
        <v>#VALUE!</v>
      </c>
      <c r="BY118" t="e">
        <f>'SurveyRpt_20150223 (1)'!R734+"h_l!&amp;mW"</f>
        <v>#VALUE!</v>
      </c>
      <c r="BZ118" t="e">
        <f>'SurveyRpt_20150223 (1)'!S734+"h_l!&amp;mX"</f>
        <v>#VALUE!</v>
      </c>
      <c r="CA118" t="e">
        <f>'SurveyRpt_20150223 (1)'!T734+"h_l!&amp;mY"</f>
        <v>#VALUE!</v>
      </c>
      <c r="CB118" t="e">
        <f>'SurveyRpt_20150223 (1)'!U734+"h_l!&amp;mZ"</f>
        <v>#VALUE!</v>
      </c>
      <c r="CC118" t="e">
        <f>'SurveyRpt_20150223 (1)'!V734+"h_l!&amp;m["</f>
        <v>#VALUE!</v>
      </c>
      <c r="CD118" t="e">
        <f>'SurveyRpt_20150223 (1)'!W734+"h_l!&amp;m\"</f>
        <v>#VALUE!</v>
      </c>
      <c r="CE118" t="e">
        <f>'SurveyRpt_20150223 (1)'!X734+"h_l!&amp;m]"</f>
        <v>#VALUE!</v>
      </c>
      <c r="CF118" t="e">
        <f>'SurveyRpt_20150223 (1)'!Y734+"h_l!&amp;m^"</f>
        <v>#VALUE!</v>
      </c>
      <c r="CG118" t="e">
        <f>'SurveyRpt_20150223 (1)'!Z734+"h_l!&amp;m_"</f>
        <v>#VALUE!</v>
      </c>
      <c r="CH118" t="e">
        <f>'SurveyRpt_20150223 (1)'!AA734+"h_l!&amp;m`"</f>
        <v>#VALUE!</v>
      </c>
      <c r="CI118" t="e">
        <f>'SurveyRpt_20150223 (1)'!AB734+"h_l!&amp;ma"</f>
        <v>#VALUE!</v>
      </c>
      <c r="CJ118" t="e">
        <f>'SurveyRpt_20150223 (1)'!AC734+"h_l!&amp;mb"</f>
        <v>#VALUE!</v>
      </c>
      <c r="CK118" t="e">
        <f>'SurveyRpt_20150223 (1)'!AD734+"h_l!&amp;mc"</f>
        <v>#VALUE!</v>
      </c>
      <c r="CL118" t="e">
        <f>'SurveyRpt_20150223 (1)'!AE734+"h_l!&amp;md"</f>
        <v>#VALUE!</v>
      </c>
      <c r="CM118" t="e">
        <f>'SurveyRpt_20150223 (1)'!AF734+"h_l!&amp;me"</f>
        <v>#VALUE!</v>
      </c>
      <c r="CN118" t="e">
        <f>'SurveyRpt_20150223 (1)'!AG734+"h_l!&amp;mf"</f>
        <v>#VALUE!</v>
      </c>
      <c r="CO118" t="e">
        <f>'SurveyRpt_20150223 (1)'!AH734+"h_l!&amp;mg"</f>
        <v>#VALUE!</v>
      </c>
      <c r="CP118" t="e">
        <f>'SurveyRpt_20150223 (1)'!AI734+"h_l!&amp;mh"</f>
        <v>#VALUE!</v>
      </c>
      <c r="CQ118" t="e">
        <f>'SurveyRpt_20150223 (1)'!AJ734+"h_l!&amp;mi"</f>
        <v>#VALUE!</v>
      </c>
      <c r="CR118" t="e">
        <f>'SurveyRpt_20150223 (1)'!AK734+"h_l!&amp;mj"</f>
        <v>#VALUE!</v>
      </c>
      <c r="CS118" t="e">
        <f>'SurveyRpt_20150223 (1)'!AL734+"h_l!&amp;mk"</f>
        <v>#VALUE!</v>
      </c>
      <c r="CT118" t="e">
        <f>'SurveyRpt_20150223 (1)'!AM734+"h_l!&amp;ml"</f>
        <v>#VALUE!</v>
      </c>
      <c r="CU118" t="e">
        <f>'SurveyRpt_20150223 (1)'!AN734+"h_l!&amp;mm"</f>
        <v>#VALUE!</v>
      </c>
      <c r="CV118" t="e">
        <f>'SurveyRpt_20150223 (1)'!A735+"h_l!&amp;mn"</f>
        <v>#VALUE!</v>
      </c>
      <c r="CW118" s="25" t="e">
        <f>'SurveyRpt_20150223 (1)'!B735+"h_l!&amp;mo"</f>
        <v>#VALUE!</v>
      </c>
      <c r="CX118" t="e">
        <f>'SurveyRpt_20150223 (1)'!C735+"h_l!&amp;mp"</f>
        <v>#VALUE!</v>
      </c>
      <c r="CY118" s="25" t="e">
        <f>'SurveyRpt_20150223 (1)'!D735+"h_l!&amp;mq"</f>
        <v>#VALUE!</v>
      </c>
      <c r="CZ118" t="e">
        <f>'SurveyRpt_20150223 (1)'!E735+"h_l!&amp;mr"</f>
        <v>#VALUE!</v>
      </c>
      <c r="DA118" t="e">
        <f>'SurveyRpt_20150223 (1)'!F735+"h_l!&amp;ms"</f>
        <v>#VALUE!</v>
      </c>
      <c r="DB118" t="e">
        <f>'SurveyRpt_20150223 (1)'!G735+"h_l!&amp;mt"</f>
        <v>#VALUE!</v>
      </c>
      <c r="DC118" t="e">
        <f>'SurveyRpt_20150223 (1)'!H735+"h_l!&amp;mu"</f>
        <v>#VALUE!</v>
      </c>
      <c r="DD118" t="e">
        <f>'SurveyRpt_20150223 (1)'!I735+"h_l!&amp;mv"</f>
        <v>#VALUE!</v>
      </c>
      <c r="DE118" t="e">
        <f>'SurveyRpt_20150223 (1)'!J735+"h_l!&amp;mw"</f>
        <v>#VALUE!</v>
      </c>
      <c r="DF118" t="e">
        <f>'SurveyRpt_20150223 (1)'!K735+"h_l!&amp;mx"</f>
        <v>#VALUE!</v>
      </c>
      <c r="DG118" t="e">
        <f>'SurveyRpt_20150223 (1)'!L735+"h_l!&amp;my"</f>
        <v>#VALUE!</v>
      </c>
      <c r="DH118" t="e">
        <f>'SurveyRpt_20150223 (1)'!M735+"h_l!&amp;mz"</f>
        <v>#VALUE!</v>
      </c>
      <c r="DI118" t="e">
        <f>'SurveyRpt_20150223 (1)'!N735+"h_l!&amp;m{"</f>
        <v>#VALUE!</v>
      </c>
      <c r="DJ118" t="e">
        <f>'SurveyRpt_20150223 (1)'!O735+"h_l!&amp;m|"</f>
        <v>#VALUE!</v>
      </c>
      <c r="DK118" t="e">
        <f>'SurveyRpt_20150223 (1)'!P735+"h_l!&amp;m}"</f>
        <v>#VALUE!</v>
      </c>
      <c r="DL118" t="e">
        <f>'SurveyRpt_20150223 (1)'!Q735+"h_l!&amp;m~"</f>
        <v>#VALUE!</v>
      </c>
      <c r="DM118" t="e">
        <f>'SurveyRpt_20150223 (1)'!R735+"h_l!&amp;n#"</f>
        <v>#VALUE!</v>
      </c>
      <c r="DN118" t="e">
        <f>'SurveyRpt_20150223 (1)'!S735+"h_l!&amp;n$"</f>
        <v>#VALUE!</v>
      </c>
      <c r="DO118" t="e">
        <f>'SurveyRpt_20150223 (1)'!T735+"h_l!&amp;n%"</f>
        <v>#VALUE!</v>
      </c>
      <c r="DP118" t="e">
        <f>'SurveyRpt_20150223 (1)'!U735+"h_l!&amp;n&amp;"</f>
        <v>#VALUE!</v>
      </c>
      <c r="DQ118" t="e">
        <f>'SurveyRpt_20150223 (1)'!V735+"h_l!&amp;n'"</f>
        <v>#VALUE!</v>
      </c>
      <c r="DR118" t="e">
        <f>'SurveyRpt_20150223 (1)'!W735+"h_l!&amp;n("</f>
        <v>#VALUE!</v>
      </c>
      <c r="DS118" t="e">
        <f>'SurveyRpt_20150223 (1)'!X735+"h_l!&amp;n)"</f>
        <v>#VALUE!</v>
      </c>
      <c r="DT118" t="e">
        <f>'SurveyRpt_20150223 (1)'!Y735+"h_l!&amp;n."</f>
        <v>#VALUE!</v>
      </c>
      <c r="DU118" t="e">
        <f>'SurveyRpt_20150223 (1)'!Z735+"h_l!&amp;n/"</f>
        <v>#VALUE!</v>
      </c>
      <c r="DV118" t="e">
        <f>'SurveyRpt_20150223 (1)'!AA735+"h_l!&amp;n0"</f>
        <v>#VALUE!</v>
      </c>
      <c r="DW118" t="e">
        <f>'SurveyRpt_20150223 (1)'!AB735+"h_l!&amp;n1"</f>
        <v>#VALUE!</v>
      </c>
      <c r="DX118" t="e">
        <f>'SurveyRpt_20150223 (1)'!AC735+"h_l!&amp;n2"</f>
        <v>#VALUE!</v>
      </c>
      <c r="DY118" t="e">
        <f>'SurveyRpt_20150223 (1)'!AD735+"h_l!&amp;n3"</f>
        <v>#VALUE!</v>
      </c>
      <c r="DZ118" t="e">
        <f>'SurveyRpt_20150223 (1)'!AE735+"h_l!&amp;n4"</f>
        <v>#VALUE!</v>
      </c>
      <c r="EA118" t="e">
        <f>'SurveyRpt_20150223 (1)'!AF735+"h_l!&amp;n5"</f>
        <v>#VALUE!</v>
      </c>
      <c r="EB118" t="e">
        <f>'SurveyRpt_20150223 (1)'!AG735+"h_l!&amp;n6"</f>
        <v>#VALUE!</v>
      </c>
      <c r="EC118" t="e">
        <f>'SurveyRpt_20150223 (1)'!AH735+"h_l!&amp;n7"</f>
        <v>#VALUE!</v>
      </c>
      <c r="ED118" t="e">
        <f>'SurveyRpt_20150223 (1)'!AI735+"h_l!&amp;n8"</f>
        <v>#VALUE!</v>
      </c>
      <c r="EE118" t="e">
        <f>'SurveyRpt_20150223 (1)'!AJ735+"h_l!&amp;n9"</f>
        <v>#VALUE!</v>
      </c>
      <c r="EF118" t="e">
        <f>'SurveyRpt_20150223 (1)'!AK735+"h_l!&amp;n:"</f>
        <v>#VALUE!</v>
      </c>
      <c r="EG118" t="e">
        <f>'SurveyRpt_20150223 (1)'!AL735+"h_l!&amp;n;"</f>
        <v>#VALUE!</v>
      </c>
      <c r="EH118" t="e">
        <f>'SurveyRpt_20150223 (1)'!AM735+"h_l!&amp;n&lt;"</f>
        <v>#VALUE!</v>
      </c>
      <c r="EI118" t="e">
        <f>'SurveyRpt_20150223 (1)'!AN735+"h_l!&amp;n="</f>
        <v>#VALUE!</v>
      </c>
      <c r="EJ118" t="e">
        <f>'Compiled Agents'!A:A*"h_l!&amp;n&gt;"</f>
        <v>#VALUE!</v>
      </c>
      <c r="EK118" t="e">
        <f>'Compiled Agents'!B:B*"h_l!&amp;n?"</f>
        <v>#VALUE!</v>
      </c>
      <c r="EL118" t="e">
        <f>'Compiled Agents'!C:C*"h_l!&amp;n@"</f>
        <v>#VALUE!</v>
      </c>
      <c r="EM118" t="e">
        <f>'Compiled Agents'!E:E*"h_l!&amp;nA"</f>
        <v>#VALUE!</v>
      </c>
      <c r="EN118" t="e">
        <f>'Compiled Agents'!F:F*"h_l!&amp;nB"</f>
        <v>#VALUE!</v>
      </c>
      <c r="EO118" t="e">
        <f>'Compiled Agents'!G:G*"h_l!&amp;nC"</f>
        <v>#VALUE!</v>
      </c>
      <c r="EP118" t="e">
        <f>'Compiled Agents'!H:H*"h_l!&amp;nD"</f>
        <v>#VALUE!</v>
      </c>
      <c r="EQ118" t="e">
        <f>'Compiled Agents'!I:I*"h_l!&amp;nE"</f>
        <v>#VALUE!</v>
      </c>
      <c r="ER118" t="e">
        <f>'Compiled Agents'!J:J*"h_l!&amp;nF"</f>
        <v>#VALUE!</v>
      </c>
      <c r="ES118" t="e">
        <f>'Compiled Agents'!K:K*"h_l!&amp;nG"</f>
        <v>#VALUE!</v>
      </c>
      <c r="ET118" t="e">
        <f>'Compiled Agents'!L:L*"h_l!&amp;nH"</f>
        <v>#VALUE!</v>
      </c>
      <c r="EU118" t="e">
        <f>'Compiled Agents'!M:M*"h_l!&amp;nI"</f>
        <v>#VALUE!</v>
      </c>
      <c r="EV118" t="e">
        <f>'Compiled Agents'!N:N*"h_l!&amp;nJ"</f>
        <v>#VALUE!</v>
      </c>
      <c r="EW118" t="e">
        <f>'Compiled Agents'!O:O*"h_l!&amp;nK"</f>
        <v>#VALUE!</v>
      </c>
      <c r="EX118" t="e">
        <f>'Compiled Agents'!P:P*"h_l!&amp;nL"</f>
        <v>#VALUE!</v>
      </c>
      <c r="EY118" t="e">
        <f>'Compiled Agents'!Q:Q*"h_l!&amp;nM"</f>
        <v>#VALUE!</v>
      </c>
      <c r="EZ118" t="e">
        <f>'Compiled Agents'!R:R*"h_l!&amp;nN"</f>
        <v>#VALUE!</v>
      </c>
      <c r="FA118" t="e">
        <f>'Compiled Agents'!S:S*"h_l!&amp;nO"</f>
        <v>#VALUE!</v>
      </c>
      <c r="FB118" t="e">
        <f>'Compiled Agents'!T:T*"h_l!&amp;nP"</f>
        <v>#VALUE!</v>
      </c>
      <c r="FC118" t="e">
        <f>'Compiled Agents'!U:U*"h_l!&amp;nQ"</f>
        <v>#VALUE!</v>
      </c>
      <c r="FD118" t="e">
        <f>'Compiled Agents'!V:V*"h_l!&amp;nR"</f>
        <v>#VALUE!</v>
      </c>
      <c r="FE118" t="e">
        <f>'Compiled Agents'!W:W*"h_l!&amp;nS"</f>
        <v>#VALUE!</v>
      </c>
      <c r="FF118" t="e">
        <f>'Compiled Agents'!X:X*"h_l!&amp;nT"</f>
        <v>#VALUE!</v>
      </c>
      <c r="FG118" t="e">
        <f>'Compiled Agents'!Y:Y*"h_l!&amp;nU"</f>
        <v>#VALUE!</v>
      </c>
      <c r="FH118" t="e">
        <f>'Compiled Agents'!Z:Z*"h_l!&amp;nV"</f>
        <v>#VALUE!</v>
      </c>
      <c r="FI118" t="e">
        <f>'Compiled Agents'!AA:AA*"h_l!&amp;nW"</f>
        <v>#VALUE!</v>
      </c>
      <c r="FJ118" t="e">
        <f>'Compiled Agents'!AB:AB*"h_l!&amp;nX"</f>
        <v>#VALUE!</v>
      </c>
      <c r="FK118" t="e">
        <f>'Compiled Agents'!AC:AC*"h_l!&amp;nY"</f>
        <v>#VALUE!</v>
      </c>
      <c r="FL118" t="e">
        <f>'Compiled Agents'!AD:AD*"h_l!&amp;nZ"</f>
        <v>#VALUE!</v>
      </c>
      <c r="FM118" t="e">
        <f>'Compiled Agents'!AE:AE*"h_l!&amp;n["</f>
        <v>#VALUE!</v>
      </c>
      <c r="FN118" t="e">
        <f>'Compiled Agents'!AF:AF*"h_l!&amp;n\"</f>
        <v>#VALUE!</v>
      </c>
      <c r="FO118" t="e">
        <f>'Compiled Agents'!AG:AG*"h_l!&amp;n]"</f>
        <v>#VALUE!</v>
      </c>
      <c r="FP118" t="e">
        <f>'Compiled Agents'!AH:AH*"h_l!&amp;n^"</f>
        <v>#VALUE!</v>
      </c>
      <c r="FQ118" t="e">
        <f>'Compiled Agents'!AI:AI*"h_l!&amp;n_"</f>
        <v>#VALUE!</v>
      </c>
      <c r="FR118" t="e">
        <f>'Compiled Agents'!AJ:AJ*"h_l!&amp;n`"</f>
        <v>#VALUE!</v>
      </c>
      <c r="FS118" t="e">
        <f>'Compiled Agents'!AK:AK*"h_l!&amp;na"</f>
        <v>#VALUE!</v>
      </c>
      <c r="FT118" t="e">
        <f>'Compiled Agents'!AL:AL*"h_l!&amp;nb"</f>
        <v>#VALUE!</v>
      </c>
      <c r="FU118" t="e">
        <f>'Compiled Agents'!AM:AM*"h_l!&amp;nc"</f>
        <v>#VALUE!</v>
      </c>
      <c r="FV118" t="e">
        <f>'Compiled Agents'!AN:AN*"h_l!&amp;nd"</f>
        <v>#VALUE!</v>
      </c>
      <c r="FW118" t="e">
        <f>'Compiled Agents'!AO:AO*"h_l!&amp;ne"</f>
        <v>#VALUE!</v>
      </c>
      <c r="FX118" t="e">
        <f>'Compiled Agents'!AP:AP*"h_l!&amp;nf"</f>
        <v>#VALUE!</v>
      </c>
      <c r="FY118" t="e">
        <f>'Compiled Agents'!AQ:AQ*"h_l!&amp;ng"</f>
        <v>#VALUE!</v>
      </c>
      <c r="FZ118" t="e">
        <f>'Compiled Agents'!AR:AR*"h_l!&amp;nh"</f>
        <v>#VALUE!</v>
      </c>
      <c r="GA118" t="e">
        <f>'Compiled Agents'!AS:AS*"h_l!&amp;ni"</f>
        <v>#VALUE!</v>
      </c>
      <c r="GB118" t="e">
        <f>'Compiled Agents'!AT:AT*"h_l!&amp;nj"</f>
        <v>#VALUE!</v>
      </c>
      <c r="GC118" t="e">
        <f>'Compiled Agents'!AU:AU*"h_l!&amp;nk"</f>
        <v>#VALUE!</v>
      </c>
      <c r="GD118" t="e">
        <f>'Compiled Agents'!AV:AV*"h_l!&amp;nl"</f>
        <v>#VALUE!</v>
      </c>
      <c r="GE118" t="e">
        <f>'Compiled Agents'!AW:AW*"h_l!&amp;nm"</f>
        <v>#VALUE!</v>
      </c>
      <c r="GF118" t="e">
        <f>'Compiled Agents'!AX:AX*"h_l!&amp;nn"</f>
        <v>#VALUE!</v>
      </c>
      <c r="GG118" t="e">
        <f>'Compiled Agents'!AY:AY*"h_l!&amp;no"</f>
        <v>#VALUE!</v>
      </c>
      <c r="GH118" t="e">
        <f>'Compiled Agents'!AZ:AZ*"h_l!&amp;np"</f>
        <v>#VALUE!</v>
      </c>
      <c r="GI118" t="e">
        <f>'Compiled Agents'!BA:BA*"h_l!&amp;nq"</f>
        <v>#VALUE!</v>
      </c>
      <c r="GJ118" t="e">
        <f>'Compiled Agents'!BB:BB*"h_l!&amp;nr"</f>
        <v>#VALUE!</v>
      </c>
      <c r="GK118" t="e">
        <f>'Compiled Agents'!BC:BC*"h_l!&amp;ns"</f>
        <v>#VALUE!</v>
      </c>
      <c r="GL118" t="e">
        <f>'Compiled Agents'!BD:BD*"h_l!&amp;nt"</f>
        <v>#VALUE!</v>
      </c>
      <c r="GM118" t="e">
        <f>'Compiled Agents'!BE:BE*"h_l!&amp;nu"</f>
        <v>#VALUE!</v>
      </c>
      <c r="GN118" t="e">
        <f>'Compiled Agents'!BF:BF*"h_l!&amp;nv"</f>
        <v>#VALUE!</v>
      </c>
      <c r="GO118" t="e">
        <f>'Compiled Agents'!1:1-"h_l!&amp;nw"</f>
        <v>#VALUE!</v>
      </c>
      <c r="GP118" t="e">
        <f>'Compiled Agents'!2:2-"h_l!&amp;nx"</f>
        <v>#VALUE!</v>
      </c>
      <c r="GQ118" t="e">
        <f>'Compiled Agents'!#REF!-"h_l!&amp;ny"</f>
        <v>#REF!</v>
      </c>
      <c r="GR118" t="e">
        <f>'Compiled Agents'!3:3-"h_l!&amp;nz"</f>
        <v>#VALUE!</v>
      </c>
      <c r="GS118" t="e">
        <f>'Compiled Agents'!#REF!-"h_l!&amp;n{"</f>
        <v>#REF!</v>
      </c>
      <c r="GT118" t="e">
        <f>'Compiled Agents'!4:4-"h_l!&amp;n|"</f>
        <v>#VALUE!</v>
      </c>
      <c r="GU118" t="e">
        <f>'Compiled Agents'!#REF!-"h_l!&amp;n}"</f>
        <v>#REF!</v>
      </c>
      <c r="GV118" t="e">
        <f>'Compiled Agents'!5:5-"h_l!&amp;n~"</f>
        <v>#VALUE!</v>
      </c>
      <c r="GW118" t="e">
        <f>'Compiled Agents'!#REF!-"h_l!&amp;o#"</f>
        <v>#REF!</v>
      </c>
      <c r="GX118" t="e">
        <f>'Compiled Agents'!6:6-"h_l!&amp;o$"</f>
        <v>#VALUE!</v>
      </c>
      <c r="GY118" t="e">
        <f>'Compiled Agents'!#REF!-"h_l!&amp;o%"</f>
        <v>#REF!</v>
      </c>
      <c r="GZ118" t="e">
        <f>'Compiled Agents'!7:7-"h_l!&amp;o&amp;"</f>
        <v>#VALUE!</v>
      </c>
      <c r="HA118" t="e">
        <f>'Compiled Agents'!#REF!-"h_l!&amp;o'"</f>
        <v>#REF!</v>
      </c>
      <c r="HB118" t="e">
        <f>'Compiled Agents'!8:8-"h_l!&amp;o("</f>
        <v>#VALUE!</v>
      </c>
      <c r="HC118" t="e">
        <f>'Compiled Agents'!#REF!-"h_l!&amp;o)"</f>
        <v>#REF!</v>
      </c>
      <c r="HD118" t="e">
        <f>'Compiled Agents'!9:9-"h_l!&amp;o."</f>
        <v>#VALUE!</v>
      </c>
      <c r="HE118" t="e">
        <f>'Compiled Agents'!#REF!-"h_l!&amp;o/"</f>
        <v>#REF!</v>
      </c>
      <c r="HF118" t="e">
        <f>'Compiled Agents'!10:10-"h_l!&amp;o0"</f>
        <v>#VALUE!</v>
      </c>
      <c r="HG118" t="e">
        <f>'Compiled Agents'!#REF!-"h_l!&amp;o1"</f>
        <v>#REF!</v>
      </c>
      <c r="HH118" t="e">
        <f>'Compiled Agents'!11:11-"h_l!&amp;o2"</f>
        <v>#VALUE!</v>
      </c>
      <c r="HI118" t="e">
        <f>'Compiled Agents'!#REF!-"h_l!&amp;o3"</f>
        <v>#REF!</v>
      </c>
      <c r="HJ118" t="e">
        <f>'Compiled Agents'!12:12-"h_l!&amp;o4"</f>
        <v>#VALUE!</v>
      </c>
      <c r="HK118" t="e">
        <f>'Compiled Agents'!#REF!-"h_l!&amp;o5"</f>
        <v>#REF!</v>
      </c>
      <c r="HL118" t="e">
        <f>'Compiled Agents'!13:13-"h_l!&amp;o6"</f>
        <v>#VALUE!</v>
      </c>
      <c r="HM118" t="e">
        <f>'Compiled Agents'!#REF!-"h_l!&amp;o7"</f>
        <v>#REF!</v>
      </c>
      <c r="HN118" t="e">
        <f>'Compiled Agents'!14:14-"h_l!&amp;o8"</f>
        <v>#VALUE!</v>
      </c>
      <c r="HO118" t="e">
        <f>'Compiled Agents'!#REF!-"h_l!&amp;o9"</f>
        <v>#REF!</v>
      </c>
      <c r="HP118" t="e">
        <f>'Compiled Agents'!15:15-"h_l!&amp;o:"</f>
        <v>#VALUE!</v>
      </c>
      <c r="HQ118" t="e">
        <f>'Compiled Agents'!#REF!-"h_l!&amp;o;"</f>
        <v>#REF!</v>
      </c>
      <c r="HR118" t="e">
        <f>'Compiled Agents'!16:16-"h_l!&amp;o&lt;"</f>
        <v>#VALUE!</v>
      </c>
      <c r="HS118" t="e">
        <f>'Compiled Agents'!#REF!-"h_l!&amp;o="</f>
        <v>#REF!</v>
      </c>
      <c r="HT118" t="e">
        <f>'Compiled Agents'!17:17-"h_l!&amp;o&gt;"</f>
        <v>#VALUE!</v>
      </c>
      <c r="HU118" t="e">
        <f>'Compiled Agents'!#REF!-"h_l!&amp;o?"</f>
        <v>#REF!</v>
      </c>
      <c r="HV118" t="e">
        <f>'Compiled Agents'!18:18-"h_l!&amp;o@"</f>
        <v>#VALUE!</v>
      </c>
      <c r="HW118" t="e">
        <f>'Compiled Agents'!#REF!-"h_l!&amp;oA"</f>
        <v>#REF!</v>
      </c>
      <c r="HX118" t="e">
        <f>'Compiled Agents'!19:19-"h_l!&amp;oB"</f>
        <v>#VALUE!</v>
      </c>
      <c r="HY118" t="e">
        <f>'Compiled Agents'!#REF!-"h_l!&amp;oC"</f>
        <v>#REF!</v>
      </c>
      <c r="HZ118" t="e">
        <f>'Compiled Agents'!20:20-"h_l!&amp;oD"</f>
        <v>#VALUE!</v>
      </c>
      <c r="IA118" t="e">
        <f>'Compiled Agents'!#REF!-"h_l!&amp;oE"</f>
        <v>#REF!</v>
      </c>
      <c r="IB118" t="e">
        <f>'Compiled Agents'!21:21-"h_l!&amp;oF"</f>
        <v>#VALUE!</v>
      </c>
      <c r="IC118" t="e">
        <f>'Compiled Agents'!#REF!-"h_l!&amp;oG"</f>
        <v>#REF!</v>
      </c>
      <c r="ID118" t="e">
        <f>'Compiled Agents'!22:22-"h_l!&amp;oH"</f>
        <v>#VALUE!</v>
      </c>
      <c r="IE118" t="e">
        <f>'Compiled Agents'!#REF!-"h_l!&amp;oI"</f>
        <v>#REF!</v>
      </c>
      <c r="IF118" t="e">
        <f>'Compiled Agents'!23:23-"h_l!&amp;oJ"</f>
        <v>#VALUE!</v>
      </c>
      <c r="IG118" t="e">
        <f>'Compiled Agents'!#REF!-"h_l!&amp;oK"</f>
        <v>#REF!</v>
      </c>
      <c r="IH118" t="e">
        <f>'Compiled Agents'!24:24-"h_l!&amp;oL"</f>
        <v>#VALUE!</v>
      </c>
      <c r="II118" t="e">
        <f>'Compiled Agents'!#REF!-"h_l!&amp;oM"</f>
        <v>#REF!</v>
      </c>
      <c r="IJ118" t="e">
        <f>'Compiled Agents'!25:25-"h_l!&amp;oN"</f>
        <v>#VALUE!</v>
      </c>
      <c r="IK118" t="e">
        <f>'Compiled Agents'!#REF!-"h_l!&amp;oO"</f>
        <v>#REF!</v>
      </c>
      <c r="IL118" t="e">
        <f>'Compiled Agents'!26:26-"h_l!&amp;oP"</f>
        <v>#VALUE!</v>
      </c>
      <c r="IM118" t="e">
        <f>'Compiled Agents'!#REF!-"h_l!&amp;oQ"</f>
        <v>#REF!</v>
      </c>
      <c r="IN118" t="e">
        <f>'Compiled Agents'!27:27-"h_l!&amp;oR"</f>
        <v>#VALUE!</v>
      </c>
      <c r="IO118" t="e">
        <f>'Compiled Agents'!#REF!-"h_l!&amp;oS"</f>
        <v>#REF!</v>
      </c>
      <c r="IP118" t="e">
        <f>'Compiled Agents'!28:28-"h_l!&amp;oT"</f>
        <v>#VALUE!</v>
      </c>
      <c r="IQ118" t="e">
        <f>'Compiled Agents'!#REF!-"h_l!&amp;oU"</f>
        <v>#REF!</v>
      </c>
      <c r="IR118" t="e">
        <f>'Compiled Agents'!29:29-"h_l!&amp;oV"</f>
        <v>#VALUE!</v>
      </c>
      <c r="IS118" t="e">
        <f>'Compiled Agents'!#REF!-"h_l!&amp;oW"</f>
        <v>#REF!</v>
      </c>
      <c r="IT118" t="e">
        <f>'Compiled Agents'!30:30-"h_l!&amp;oX"</f>
        <v>#VALUE!</v>
      </c>
      <c r="IU118" t="e">
        <f>'Compiled Agents'!#REF!-"h_l!&amp;oY"</f>
        <v>#REF!</v>
      </c>
      <c r="IV118" t="e">
        <f>'Compiled Agents'!31:31-"h_l!&amp;oZ"</f>
        <v>#VALUE!</v>
      </c>
    </row>
    <row r="119" spans="6:256" x14ac:dyDescent="0.25">
      <c r="F119" t="e">
        <f>'Compiled Agents'!#REF!-"h_l!&amp;o["</f>
        <v>#REF!</v>
      </c>
      <c r="G119" t="e">
        <f>'Compiled Agents'!32:32-"h_l!&amp;o\"</f>
        <v>#VALUE!</v>
      </c>
      <c r="H119" t="e">
        <f>'Compiled Agents'!#REF!-"h_l!&amp;o]"</f>
        <v>#REF!</v>
      </c>
      <c r="I119" t="e">
        <f>'Compiled Agents'!33:33-"h_l!&amp;o^"</f>
        <v>#VALUE!</v>
      </c>
      <c r="J119" t="e">
        <f>'Compiled Agents'!#REF!-"h_l!&amp;o_"</f>
        <v>#REF!</v>
      </c>
      <c r="K119" t="e">
        <f>'Compiled Agents'!34:34-"h_l!&amp;o`"</f>
        <v>#VALUE!</v>
      </c>
      <c r="L119" t="e">
        <f>'Compiled Agents'!#REF!-"h_l!&amp;oa"</f>
        <v>#REF!</v>
      </c>
      <c r="M119" t="e">
        <f>'Compiled Agents'!35:35-"h_l!&amp;ob"</f>
        <v>#VALUE!</v>
      </c>
      <c r="N119" t="e">
        <f>'Compiled Agents'!#REF!-"h_l!&amp;oc"</f>
        <v>#REF!</v>
      </c>
      <c r="O119" t="e">
        <f>'Compiled Agents'!36:36-"h_l!&amp;od"</f>
        <v>#VALUE!</v>
      </c>
      <c r="P119" t="e">
        <f>'Compiled Agents'!#REF!-"h_l!&amp;oe"</f>
        <v>#REF!</v>
      </c>
      <c r="Q119" t="e">
        <f>'Compiled Agents'!37:37-"h_l!&amp;of"</f>
        <v>#VALUE!</v>
      </c>
      <c r="R119" t="e">
        <f>'Compiled Agents'!#REF!-"h_l!&amp;og"</f>
        <v>#REF!</v>
      </c>
      <c r="S119" t="e">
        <f>'Compiled Agents'!38:38-"h_l!&amp;oh"</f>
        <v>#VALUE!</v>
      </c>
      <c r="T119" t="e">
        <f>'Compiled Agents'!#REF!-"h_l!&amp;oi"</f>
        <v>#REF!</v>
      </c>
      <c r="U119" t="e">
        <f>'Compiled Agents'!39:39-"h_l!&amp;oj"</f>
        <v>#VALUE!</v>
      </c>
      <c r="V119" t="e">
        <f>'Compiled Agents'!#REF!-"h_l!&amp;ok"</f>
        <v>#REF!</v>
      </c>
      <c r="W119" t="e">
        <f>'Compiled Agents'!40:40-"h_l!&amp;ol"</f>
        <v>#VALUE!</v>
      </c>
      <c r="X119" t="e">
        <f>'Compiled Agents'!#REF!-"h_l!&amp;om"</f>
        <v>#REF!</v>
      </c>
      <c r="Y119" t="e">
        <f>'Compiled Agents'!41:41-"h_l!&amp;on"</f>
        <v>#VALUE!</v>
      </c>
      <c r="Z119" t="e">
        <f>'Compiled Agents'!#REF!-"h_l!&amp;oo"</f>
        <v>#REF!</v>
      </c>
      <c r="AA119" t="e">
        <f>'Compiled Agents'!42:42-"h_l!&amp;op"</f>
        <v>#VALUE!</v>
      </c>
      <c r="AB119" t="e">
        <f>'Compiled Agents'!#REF!-"h_l!&amp;oq"</f>
        <v>#REF!</v>
      </c>
      <c r="AC119" t="e">
        <f>'Compiled Agents'!43:43-"h_l!&amp;or"</f>
        <v>#VALUE!</v>
      </c>
      <c r="AD119" t="e">
        <f>'Compiled Agents'!#REF!-"h_l!&amp;os"</f>
        <v>#REF!</v>
      </c>
      <c r="AE119" t="e">
        <f>'Compiled Agents'!44:44-"h_l!&amp;ot"</f>
        <v>#VALUE!</v>
      </c>
      <c r="AF119" t="e">
        <f>'Compiled Agents'!45:45-"h_l!&amp;ou"</f>
        <v>#VALUE!</v>
      </c>
      <c r="AG119" t="e">
        <f>'Compiled Agents'!46:46-"h_l!&amp;ov"</f>
        <v>#VALUE!</v>
      </c>
      <c r="AH119" t="e">
        <f>'Compiled Agents'!47:47-"h_l!&amp;ow"</f>
        <v>#VALUE!</v>
      </c>
      <c r="AI119" t="e">
        <f>'Compiled Agents'!48:48-"h_l!&amp;ox"</f>
        <v>#VALUE!</v>
      </c>
      <c r="AJ119" t="e">
        <f>'Compiled Agents'!49:49-"h_l!&amp;oy"</f>
        <v>#VALUE!</v>
      </c>
      <c r="AK119" t="e">
        <f>'Compiled Agents'!50:50-"h_l!&amp;oz"</f>
        <v>#VALUE!</v>
      </c>
      <c r="AL119" t="e">
        <f>'Compiled Agents'!51:51-"h_l!&amp;o{"</f>
        <v>#VALUE!</v>
      </c>
      <c r="AM119" t="e">
        <f>'Compiled Agents'!52:52-"h_l!&amp;o|"</f>
        <v>#VALUE!</v>
      </c>
      <c r="AN119" t="e">
        <f>'Compiled Agents'!53:53-"h_l!&amp;o}"</f>
        <v>#VALUE!</v>
      </c>
      <c r="AO119" t="e">
        <f>'Compiled Agents'!54:54-"h_l!&amp;o~"</f>
        <v>#VALUE!</v>
      </c>
      <c r="AP119" t="e">
        <f>'Compiled Agents'!55:55-"h_l!&amp;p#"</f>
        <v>#VALUE!</v>
      </c>
      <c r="AQ119" t="e">
        <f>'Compiled Agents'!56:56-"h_l!&amp;p$"</f>
        <v>#VALUE!</v>
      </c>
      <c r="AR119" t="e">
        <f>'Compiled Agents'!57:57-"h_l!&amp;p%"</f>
        <v>#VALUE!</v>
      </c>
      <c r="AS119" t="e">
        <f>'Compiled Agents'!58:58-"h_l!&amp;p&amp;"</f>
        <v>#VALUE!</v>
      </c>
      <c r="AT119" t="e">
        <f>'Compiled Agents'!59:59-"h_l!&amp;p'"</f>
        <v>#VALUE!</v>
      </c>
      <c r="AU119" t="e">
        <f>'Compiled Agents'!60:60-"h_l!&amp;p("</f>
        <v>#VALUE!</v>
      </c>
      <c r="AV119" t="e">
        <f>'Compiled Agents'!61:61-"h_l!&amp;p)"</f>
        <v>#VALUE!</v>
      </c>
      <c r="AW119" t="e">
        <f>'Compiled Agents'!62:62-"h_l!&amp;p."</f>
        <v>#VALUE!</v>
      </c>
      <c r="AX119" t="e">
        <f>'Compiled Agents'!63:63-"h_l!&amp;p/"</f>
        <v>#VALUE!</v>
      </c>
      <c r="AY119" t="e">
        <f>'Compiled Agents'!64:64-"h_l!&amp;p0"</f>
        <v>#VALUE!</v>
      </c>
      <c r="AZ119" t="e">
        <f>'Compiled Agents'!65:65-"h_l!&amp;p1"</f>
        <v>#VALUE!</v>
      </c>
      <c r="BA119" t="e">
        <f>'Compiled Agents'!66:66-"h_l!&amp;p2"</f>
        <v>#VALUE!</v>
      </c>
      <c r="BB119" t="e">
        <f>'Compiled Agents'!67:67-"h_l!&amp;p3"</f>
        <v>#VALUE!</v>
      </c>
      <c r="BC119" t="e">
        <f>'Compiled Agents'!68:68-"h_l!&amp;p4"</f>
        <v>#VALUE!</v>
      </c>
      <c r="BD119" t="e">
        <f>'Compiled Agents'!69:69-"h_l!&amp;p5"</f>
        <v>#VALUE!</v>
      </c>
      <c r="BE119" t="e">
        <f>'Compiled Agents'!70:70-"h_l!&amp;p6"</f>
        <v>#VALUE!</v>
      </c>
      <c r="BF119" t="e">
        <f>'Compiled Agents'!71:71-"h_l!&amp;p7"</f>
        <v>#VALUE!</v>
      </c>
      <c r="BG119" t="e">
        <f>'Compiled Agents'!72:72-"h_l!&amp;p8"</f>
        <v>#VALUE!</v>
      </c>
      <c r="BH119" t="e">
        <f>'Compiled Agents'!73:73-"h_l!&amp;p9"</f>
        <v>#VALUE!</v>
      </c>
      <c r="BI119" t="e">
        <f>'Compiled Agents'!74:74-"h_l!&amp;p:"</f>
        <v>#VALUE!</v>
      </c>
      <c r="BJ119" t="e">
        <f>'Compiled Agents'!75:75-"h_l!&amp;p;"</f>
        <v>#VALUE!</v>
      </c>
      <c r="BK119" t="e">
        <f>'Compiled Agents'!76:76-"h_l!&amp;p&lt;"</f>
        <v>#VALUE!</v>
      </c>
      <c r="BL119" t="e">
        <f>'Compiled Agents'!77:77-"h_l!&amp;p="</f>
        <v>#VALUE!</v>
      </c>
      <c r="BM119" t="e">
        <f>'Compiled Agents'!78:78-"h_l!&amp;p&gt;"</f>
        <v>#VALUE!</v>
      </c>
      <c r="BN119" t="e">
        <f>'Compiled Agents'!79:79-"h_l!&amp;p?"</f>
        <v>#VALUE!</v>
      </c>
      <c r="BO119" t="e">
        <f>'Compiled Agents'!80:80-"h_l!&amp;p@"</f>
        <v>#VALUE!</v>
      </c>
      <c r="BP119" t="e">
        <f>'Compiled Agents'!81:81-"h_l!&amp;pA"</f>
        <v>#VALUE!</v>
      </c>
      <c r="BQ119" t="e">
        <f>'Compiled Agents'!82:82-"h_l!&amp;pB"</f>
        <v>#VALUE!</v>
      </c>
      <c r="BR119" t="e">
        <f>'Compiled Agents'!83:83-"h_l!&amp;pC"</f>
        <v>#VALUE!</v>
      </c>
      <c r="BS119" t="e">
        <f>'Compiled Agents'!84:84-"h_l!&amp;pD"</f>
        <v>#VALUE!</v>
      </c>
      <c r="BT119" t="e">
        <f>'Compiled Agents'!85:85-"h_l!&amp;pE"</f>
        <v>#VALUE!</v>
      </c>
      <c r="BU119" t="e">
        <f>'Compiled Agents'!86:86-"h_l!&amp;pF"</f>
        <v>#VALUE!</v>
      </c>
      <c r="BV119" t="e">
        <f>'Compiled Agents'!87:87-"h_l!&amp;pG"</f>
        <v>#VALUE!</v>
      </c>
      <c r="BW119" t="e">
        <f>'Compiled Agents'!88:88-"h_l!&amp;pH"</f>
        <v>#VALUE!</v>
      </c>
      <c r="BX119" t="e">
        <f>'Compiled Agents'!89:89-"h_l!&amp;pI"</f>
        <v>#VALUE!</v>
      </c>
      <c r="BY119" t="e">
        <f>'Compiled Agents'!90:90-"h_l!&amp;pJ"</f>
        <v>#VALUE!</v>
      </c>
      <c r="BZ119" t="e">
        <f>'Compiled Agents'!91:91-"h_l!&amp;pK"</f>
        <v>#VALUE!</v>
      </c>
      <c r="CA119" t="e">
        <f>'Compiled Agents'!92:92-"h_l!&amp;pL"</f>
        <v>#VALUE!</v>
      </c>
      <c r="CB119" t="e">
        <f>'Compiled Agents'!93:93-"h_l!&amp;pM"</f>
        <v>#VALUE!</v>
      </c>
      <c r="CC119" t="e">
        <f>'Compiled Agents'!94:94-"h_l!&amp;pN"</f>
        <v>#VALUE!</v>
      </c>
      <c r="CD119" t="e">
        <f>'Compiled Agents'!95:95-"h_l!&amp;pO"</f>
        <v>#VALUE!</v>
      </c>
      <c r="CE119" t="e">
        <f>'Compiled Agents'!96:96-"h_l!&amp;pP"</f>
        <v>#VALUE!</v>
      </c>
      <c r="CF119" t="e">
        <f>'Compiled Agents'!97:97-"h_l!&amp;pQ"</f>
        <v>#VALUE!</v>
      </c>
      <c r="CG119" t="e">
        <f>'Compiled Agents'!98:98-"h_l!&amp;pR"</f>
        <v>#VALUE!</v>
      </c>
      <c r="CH119" t="e">
        <f>'Compiled Agents'!99:99-"h_l!&amp;pS"</f>
        <v>#VALUE!</v>
      </c>
      <c r="CI119" t="e">
        <f>'Compiled Agents'!100:100-"h_l!&amp;pT"</f>
        <v>#VALUE!</v>
      </c>
      <c r="CJ119" t="e">
        <f>'Compiled Agents'!101:101-"h_l!&amp;pU"</f>
        <v>#VALUE!</v>
      </c>
      <c r="CK119" t="e">
        <f>'Compiled Agents'!102:102-"h_l!&amp;pV"</f>
        <v>#VALUE!</v>
      </c>
      <c r="CL119" t="e">
        <f>'Compiled Agents'!103:103-"h_l!&amp;pW"</f>
        <v>#VALUE!</v>
      </c>
      <c r="CM119" t="e">
        <f>'Compiled Agents'!104:104-"h_l!&amp;pX"</f>
        <v>#VALUE!</v>
      </c>
      <c r="CN119" t="e">
        <f>'Compiled Agents'!105:105-"h_l!&amp;pY"</f>
        <v>#VALUE!</v>
      </c>
      <c r="CO119" t="e">
        <f>'Compiled Agents'!106:106-"h_l!&amp;pZ"</f>
        <v>#VALUE!</v>
      </c>
      <c r="CP119" t="e">
        <f>'Compiled Agents'!107:107-"h_l!&amp;p["</f>
        <v>#VALUE!</v>
      </c>
      <c r="CQ119" t="e">
        <f>'Compiled Agents'!108:108-"h_l!&amp;p\"</f>
        <v>#VALUE!</v>
      </c>
      <c r="CR119" t="e">
        <f>'Compiled Agents'!109:109-"h_l!&amp;p]"</f>
        <v>#VALUE!</v>
      </c>
      <c r="CS119" t="e">
        <f>'Compiled Agents'!110:110-"h_l!&amp;p^"</f>
        <v>#VALUE!</v>
      </c>
      <c r="CT119" t="e">
        <f>'Compiled Agents'!111:111-"h_l!&amp;p_"</f>
        <v>#VALUE!</v>
      </c>
      <c r="CU119" t="e">
        <f>'Compiled Agents'!112:112-"h_l!&amp;p`"</f>
        <v>#VALUE!</v>
      </c>
      <c r="CV119" t="e">
        <f>'Compiled Agents'!113:113-"h_l!&amp;pa"</f>
        <v>#VALUE!</v>
      </c>
      <c r="CW119" t="e">
        <f>'Compiled Agents'!114:114-"h_l!&amp;pb"</f>
        <v>#VALUE!</v>
      </c>
      <c r="CX119" t="e">
        <f>'Compiled Agents'!115:115-"h_l!&amp;pc"</f>
        <v>#VALUE!</v>
      </c>
      <c r="CY119" t="e">
        <f>'Compiled Agents'!116:116-"h_l!&amp;pd"</f>
        <v>#VALUE!</v>
      </c>
      <c r="CZ119" t="e">
        <f>'Compiled Agents'!117:117-"h_l!&amp;pe"</f>
        <v>#VALUE!</v>
      </c>
      <c r="DA119" t="e">
        <f>'Compiled Agents'!118:118-"h_l!&amp;pf"</f>
        <v>#VALUE!</v>
      </c>
      <c r="DB119" t="e">
        <f>'Compiled Agents'!119:119-"h_l!&amp;pg"</f>
        <v>#VALUE!</v>
      </c>
      <c r="DC119" t="e">
        <f>'Compiled Agents'!120:120-"h_l!&amp;ph"</f>
        <v>#VALUE!</v>
      </c>
      <c r="DD119" t="e">
        <f>'Compiled Agents'!121:121-"h_l!&amp;pi"</f>
        <v>#VALUE!</v>
      </c>
      <c r="DE119" t="e">
        <f>'Compiled Agents'!122:122-"h_l!&amp;pj"</f>
        <v>#VALUE!</v>
      </c>
      <c r="DF119" t="e">
        <f>'Compiled Agents'!123:123-"h_l!&amp;pk"</f>
        <v>#VALUE!</v>
      </c>
      <c r="DG119" t="e">
        <f>'Compiled Agents'!124:124-"h_l!&amp;pl"</f>
        <v>#VALUE!</v>
      </c>
      <c r="DH119" t="e">
        <f>'Compiled Agents'!125:125-"h_l!&amp;pm"</f>
        <v>#VALUE!</v>
      </c>
      <c r="DI119" t="e">
        <f>'Compiled Agents'!126:126-"h_l!&amp;pn"</f>
        <v>#VALUE!</v>
      </c>
      <c r="DJ119" t="e">
        <f>'Compiled Agents'!127:127-"h_l!&amp;po"</f>
        <v>#VALUE!</v>
      </c>
      <c r="DK119" t="e">
        <f>'Compiled Agents'!128:128-"h_l!&amp;pp"</f>
        <v>#VALUE!</v>
      </c>
      <c r="DL119" t="e">
        <f>'Compiled Agents'!129:129-"h_l!&amp;pq"</f>
        <v>#VALUE!</v>
      </c>
      <c r="DM119" t="e">
        <f>'Compiled Agents'!130:130-"h_l!&amp;pr"</f>
        <v>#VALUE!</v>
      </c>
      <c r="DN119" t="e">
        <f>'Compiled Agents'!131:131-"h_l!&amp;ps"</f>
        <v>#VALUE!</v>
      </c>
      <c r="DO119" t="e">
        <f>'Compiled Agents'!132:132-"h_l!&amp;pt"</f>
        <v>#VALUE!</v>
      </c>
      <c r="DP119" t="e">
        <f>'Compiled Agents'!133:133-"h_l!&amp;pu"</f>
        <v>#VALUE!</v>
      </c>
      <c r="DQ119" t="e">
        <f>'Compiled Agents'!134:134-"h_l!&amp;pv"</f>
        <v>#VALUE!</v>
      </c>
      <c r="DR119" t="e">
        <f>'Compiled Agents'!135:135-"h_l!&amp;pw"</f>
        <v>#VALUE!</v>
      </c>
      <c r="DS119" t="e">
        <f>'Compiled Agents'!136:136-"h_l!&amp;px"</f>
        <v>#VALUE!</v>
      </c>
      <c r="DT119" t="e">
        <f>'Compiled Agents'!137:137-"h_l!&amp;py"</f>
        <v>#VALUE!</v>
      </c>
      <c r="DU119" t="e">
        <f>'Compiled Agents'!138:138-"h_l!&amp;pz"</f>
        <v>#VALUE!</v>
      </c>
      <c r="DV119" t="e">
        <f>'Compiled Agents'!139:139-"h_l!&amp;p{"</f>
        <v>#VALUE!</v>
      </c>
      <c r="DW119" t="e">
        <f>'Compiled Agents'!140:140-"h_l!&amp;p|"</f>
        <v>#VALUE!</v>
      </c>
      <c r="DX119" t="e">
        <f>'Compiled Agents'!141:141-"h_l!&amp;p}"</f>
        <v>#VALUE!</v>
      </c>
      <c r="DY119" t="e">
        <f>'Compiled Agents'!142:142-"h_l!&amp;p~"</f>
        <v>#VALUE!</v>
      </c>
      <c r="DZ119" t="e">
        <f>'Compiled Agents'!143:143-"h_l!&amp;q#"</f>
        <v>#VALUE!</v>
      </c>
      <c r="EA119" t="e">
        <f>'Compiled Agents'!144:144-"h_l!&amp;q$"</f>
        <v>#VALUE!</v>
      </c>
      <c r="EB119" t="e">
        <f>'Compiled Agents'!145:145-"h_l!&amp;q%"</f>
        <v>#VALUE!</v>
      </c>
      <c r="EC119" t="e">
        <f>'Compiled Agents'!146:146-"h_l!&amp;q&amp;"</f>
        <v>#VALUE!</v>
      </c>
      <c r="ED119" t="e">
        <f>'Compiled Agents'!147:147-"h_l!&amp;q'"</f>
        <v>#VALUE!</v>
      </c>
      <c r="EE119" t="e">
        <f>'Compiled Agents'!148:148-"h_l!&amp;q("</f>
        <v>#VALUE!</v>
      </c>
      <c r="EF119" t="e">
        <f>'Compiled Agents'!149:149-"h_l!&amp;q)"</f>
        <v>#VALUE!</v>
      </c>
      <c r="EG119" t="e">
        <f>'Compiled Agents'!150:150-"h_l!&amp;q."</f>
        <v>#VALUE!</v>
      </c>
      <c r="EH119" t="e">
        <f>'Compiled Agents'!151:151-"h_l!&amp;q/"</f>
        <v>#VALUE!</v>
      </c>
      <c r="EI119" t="e">
        <f>'Compiled Agents'!152:152-"h_l!&amp;q0"</f>
        <v>#VALUE!</v>
      </c>
      <c r="EJ119" t="e">
        <f>'Compiled Agents'!153:153-"h_l!&amp;q1"</f>
        <v>#VALUE!</v>
      </c>
      <c r="EK119" t="e">
        <f>'Compiled Agents'!154:154-"h_l!&amp;q2"</f>
        <v>#VALUE!</v>
      </c>
      <c r="EL119" t="e">
        <f>'Compiled Agents'!155:155-"h_l!&amp;q3"</f>
        <v>#VALUE!</v>
      </c>
      <c r="EM119" t="e">
        <f>'Compiled Agents'!156:156-"h_l!&amp;q4"</f>
        <v>#VALUE!</v>
      </c>
      <c r="EN119" t="e">
        <f>'Compiled Agents'!157:157-"h_l!&amp;q5"</f>
        <v>#VALUE!</v>
      </c>
      <c r="EO119" t="e">
        <f>'Compiled Agents'!158:158-"h_l!&amp;q6"</f>
        <v>#VALUE!</v>
      </c>
      <c r="EP119" t="e">
        <f>'Compiled Agents'!159:159-"h_l!&amp;q7"</f>
        <v>#VALUE!</v>
      </c>
      <c r="EQ119" t="e">
        <f>'Compiled Agents'!160:160-"h_l!&amp;q8"</f>
        <v>#VALUE!</v>
      </c>
      <c r="ER119" t="e">
        <f>'Compiled Agents'!161:161-"h_l!&amp;q9"</f>
        <v>#VALUE!</v>
      </c>
      <c r="ES119" t="e">
        <f>'Compiled Agents'!162:162-"h_l!&amp;q:"</f>
        <v>#VALUE!</v>
      </c>
      <c r="ET119" t="e">
        <f>'Compiled Agents'!163:163-"h_l!&amp;q;"</f>
        <v>#VALUE!</v>
      </c>
      <c r="EU119" t="e">
        <f>'Compiled Agents'!164:164-"h_l!&amp;q&lt;"</f>
        <v>#VALUE!</v>
      </c>
      <c r="EV119" t="e">
        <f>'Compiled Agents'!165:165-"h_l!&amp;q="</f>
        <v>#VALUE!</v>
      </c>
      <c r="EW119" t="e">
        <f>'Compiled Agents'!166:166-"h_l!&amp;q&gt;"</f>
        <v>#VALUE!</v>
      </c>
      <c r="EX119" t="e">
        <f>'Compiled Agents'!167:167-"h_l!&amp;q?"</f>
        <v>#VALUE!</v>
      </c>
      <c r="EY119" t="e">
        <f>'Compiled Agents'!168:168-"h_l!&amp;q@"</f>
        <v>#VALUE!</v>
      </c>
      <c r="EZ119" t="e">
        <f>'Compiled Agents'!169:169-"h_l!&amp;qA"</f>
        <v>#VALUE!</v>
      </c>
      <c r="FA119" t="e">
        <f>'Compiled Agents'!170:170-"h_l!&amp;qB"</f>
        <v>#VALUE!</v>
      </c>
      <c r="FB119" t="e">
        <f>'Compiled Agents'!171:171-"h_l!&amp;qC"</f>
        <v>#VALUE!</v>
      </c>
      <c r="FC119" t="e">
        <f>'Compiled Agents'!172:172-"h_l!&amp;qD"</f>
        <v>#VALUE!</v>
      </c>
      <c r="FD119" t="e">
        <f>'Compiled Agents'!173:173-"h_l!&amp;qE"</f>
        <v>#VALUE!</v>
      </c>
      <c r="FE119" t="e">
        <f>'Compiled Agents'!174:174-"h_l!&amp;qF"</f>
        <v>#VALUE!</v>
      </c>
      <c r="FF119" t="e">
        <f>'Compiled Agents'!175:175-"h_l!&amp;qG"</f>
        <v>#VALUE!</v>
      </c>
      <c r="FG119" t="e">
        <f>'Compiled Agents'!176:176-"h_l!&amp;qH"</f>
        <v>#VALUE!</v>
      </c>
      <c r="FH119" t="e">
        <f>'Compiled Agents'!177:177-"h_l!&amp;qI"</f>
        <v>#VALUE!</v>
      </c>
      <c r="FI119" t="e">
        <f>'Compiled Agents'!178:178-"h_l!&amp;qJ"</f>
        <v>#VALUE!</v>
      </c>
      <c r="FJ119" t="e">
        <f>'Compiled Agents'!179:179-"h_l!&amp;qK"</f>
        <v>#VALUE!</v>
      </c>
      <c r="FK119" t="e">
        <f>'Compiled Agents'!180:180-"h_l!&amp;qL"</f>
        <v>#VALUE!</v>
      </c>
      <c r="FL119" t="e">
        <f>'Compiled Agents'!181:181-"h_l!&amp;qM"</f>
        <v>#VALUE!</v>
      </c>
      <c r="FM119" t="e">
        <f>'Compiled Agents'!182:182-"h_l!&amp;qN"</f>
        <v>#VALUE!</v>
      </c>
      <c r="FN119" t="e">
        <f>'Compiled Agents'!183:183-"h_l!&amp;qO"</f>
        <v>#VALUE!</v>
      </c>
      <c r="FO119" t="e">
        <f>'Compiled Agents'!184:184-"h_l!&amp;qP"</f>
        <v>#VALUE!</v>
      </c>
      <c r="FP119" t="e">
        <f>'Compiled Agents'!185:185-"h_l!&amp;qQ"</f>
        <v>#VALUE!</v>
      </c>
      <c r="FQ119" t="e">
        <f>'Compiled Agents'!186:186-"h_l!&amp;qR"</f>
        <v>#VALUE!</v>
      </c>
      <c r="FR119" t="e">
        <f>'Compiled Agents'!187:187-"h_l!&amp;qS"</f>
        <v>#VALUE!</v>
      </c>
      <c r="FS119" t="e">
        <f>'Compiled Agents'!188:188-"h_l!&amp;qT"</f>
        <v>#VALUE!</v>
      </c>
      <c r="FT119" t="e">
        <f>'Compiled Agents'!189:189-"h_l!&amp;qU"</f>
        <v>#VALUE!</v>
      </c>
      <c r="FU119" t="e">
        <f>'Compiled Agents'!190:190-"h_l!&amp;qV"</f>
        <v>#VALUE!</v>
      </c>
      <c r="FV119" t="e">
        <f>'Compiled Agents'!191:191-"h_l!&amp;qW"</f>
        <v>#VALUE!</v>
      </c>
      <c r="FW119" t="e">
        <f>'Compiled Agents'!192:192-"h_l!&amp;qX"</f>
        <v>#VALUE!</v>
      </c>
      <c r="FX119" t="e">
        <f>'Compiled Agents'!193:193-"h_l!&amp;qY"</f>
        <v>#VALUE!</v>
      </c>
      <c r="FY119" t="e">
        <f>'Compiled Agents'!194:194-"h_l!&amp;qZ"</f>
        <v>#VALUE!</v>
      </c>
      <c r="FZ119" t="e">
        <f>'Compiled Agents'!195:195-"h_l!&amp;q["</f>
        <v>#VALUE!</v>
      </c>
      <c r="GA119" t="e">
        <f>'Compiled Agents'!196:196-"h_l!&amp;q\"</f>
        <v>#VALUE!</v>
      </c>
      <c r="GB119" t="e">
        <f>'Compiled Agents'!197:197-"h_l!&amp;q]"</f>
        <v>#VALUE!</v>
      </c>
      <c r="GC119" t="e">
        <f>'Compiled Agents'!198:198-"h_l!&amp;q^"</f>
        <v>#VALUE!</v>
      </c>
      <c r="GD119" t="e">
        <f>'Compiled Agents'!199:199-"h_l!&amp;q_"</f>
        <v>#VALUE!</v>
      </c>
      <c r="GE119" t="e">
        <f>'Compiled Agents'!200:200-"h_l!&amp;q`"</f>
        <v>#VALUE!</v>
      </c>
      <c r="GF119" t="e">
        <f>'Compiled Agents'!201:201-"h_l!&amp;qa"</f>
        <v>#VALUE!</v>
      </c>
      <c r="GG119" t="e">
        <f>'Compiled Agents'!202:202-"h_l!&amp;qb"</f>
        <v>#VALUE!</v>
      </c>
      <c r="GH119" t="e">
        <f>'Compiled Agents'!203:203-"h_l!&amp;qc"</f>
        <v>#VALUE!</v>
      </c>
      <c r="GI119" t="e">
        <f>'Compiled Agents'!204:204-"h_l!&amp;qd"</f>
        <v>#VALUE!</v>
      </c>
      <c r="GJ119" t="e">
        <f>'Compiled Agents'!205:205-"h_l!&amp;qe"</f>
        <v>#VALUE!</v>
      </c>
      <c r="GK119" t="e">
        <f>'Compiled Agents'!206:206-"h_l!&amp;qf"</f>
        <v>#VALUE!</v>
      </c>
      <c r="GL119" t="e">
        <f>'Compiled Agents'!207:207-"h_l!&amp;qg"</f>
        <v>#VALUE!</v>
      </c>
      <c r="GM119" t="e">
        <f>'Compiled Agents'!208:208-"h_l!&amp;qh"</f>
        <v>#VALUE!</v>
      </c>
      <c r="GN119" t="e">
        <f>'Compiled Agents'!209:209-"h_l!&amp;qi"</f>
        <v>#VALUE!</v>
      </c>
      <c r="GO119" t="e">
        <f>'Compiled Agents'!210:210-"h_l!&amp;qj"</f>
        <v>#VALUE!</v>
      </c>
      <c r="GP119" t="e">
        <f>'Compiled Agents'!211:211-"h_l!&amp;qk"</f>
        <v>#VALUE!</v>
      </c>
      <c r="GQ119" t="e">
        <f>'Compiled Agents'!212:212-"h_l!&amp;ql"</f>
        <v>#VALUE!</v>
      </c>
      <c r="GR119" t="e">
        <f>'Compiled Agents'!213:213-"h_l!&amp;qm"</f>
        <v>#VALUE!</v>
      </c>
      <c r="GS119" t="e">
        <f>'Compiled Agents'!214:214-"h_l!&amp;qn"</f>
        <v>#VALUE!</v>
      </c>
      <c r="GT119" t="e">
        <f>'Compiled Agents'!215:215-"h_l!&amp;qo"</f>
        <v>#VALUE!</v>
      </c>
      <c r="GU119" t="e">
        <f>'Compiled Agents'!216:216-"h_l!&amp;qp"</f>
        <v>#VALUE!</v>
      </c>
      <c r="GV119" t="e">
        <f>'Compiled Agents'!217:217-"h_l!&amp;qq"</f>
        <v>#VALUE!</v>
      </c>
      <c r="GW119" t="e">
        <f>'Compiled Agents'!218:218-"h_l!&amp;qr"</f>
        <v>#VALUE!</v>
      </c>
      <c r="GX119" t="e">
        <f>'Compiled Agents'!219:219-"h_l!&amp;qs"</f>
        <v>#VALUE!</v>
      </c>
      <c r="GY119" t="e">
        <f>'Compiled Agents'!220:220-"h_l!&amp;qt"</f>
        <v>#VALUE!</v>
      </c>
      <c r="GZ119" t="e">
        <f>'Compiled Agents'!221:221-"h_l!&amp;qu"</f>
        <v>#VALUE!</v>
      </c>
      <c r="HA119" t="e">
        <f>'Compiled Agents'!222:222-"h_l!&amp;qv"</f>
        <v>#VALUE!</v>
      </c>
      <c r="HB119" t="e">
        <f>'Compiled Agents'!223:223-"h_l!&amp;qw"</f>
        <v>#VALUE!</v>
      </c>
      <c r="HC119" t="e">
        <f>'Compiled Agents'!224:224-"h_l!&amp;qx"</f>
        <v>#VALUE!</v>
      </c>
      <c r="HD119" t="e">
        <f>'Compiled Agents'!225:225-"h_l!&amp;qy"</f>
        <v>#VALUE!</v>
      </c>
      <c r="HE119" t="e">
        <f>'Compiled Agents'!226:226-"h_l!&amp;qz"</f>
        <v>#VALUE!</v>
      </c>
      <c r="HF119" t="e">
        <f>'Compiled Agents'!227:227-"h_l!&amp;q{"</f>
        <v>#VALUE!</v>
      </c>
      <c r="HG119" t="e">
        <f>'Compiled Agents'!228:228-"h_l!&amp;q|"</f>
        <v>#VALUE!</v>
      </c>
      <c r="HH119" t="e">
        <f>'Compiled Agents'!229:229-"h_l!&amp;q}"</f>
        <v>#VALUE!</v>
      </c>
      <c r="HI119" t="e">
        <f>'Compiled Agents'!230:230-"h_l!&amp;q~"</f>
        <v>#VALUE!</v>
      </c>
      <c r="HJ119" t="e">
        <f>'Compiled Agents'!231:231-"h_l!&amp;r#"</f>
        <v>#VALUE!</v>
      </c>
      <c r="HK119" t="e">
        <f>'Compiled Agents'!232:232-"h_l!&amp;r$"</f>
        <v>#VALUE!</v>
      </c>
      <c r="HL119" t="e">
        <f>'Compiled Agents'!233:233-"h_l!&amp;r%"</f>
        <v>#VALUE!</v>
      </c>
      <c r="HM119" t="e">
        <f>'Compiled Agents'!234:234-"h_l!&amp;r&amp;"</f>
        <v>#VALUE!</v>
      </c>
      <c r="HN119" t="e">
        <f>'Compiled Agents'!235:235-"h_l!&amp;r'"</f>
        <v>#VALUE!</v>
      </c>
      <c r="HO119" t="e">
        <f>'Compiled Agents'!236:236-"h_l!&amp;r("</f>
        <v>#VALUE!</v>
      </c>
      <c r="HP119" t="e">
        <f>'Compiled Agents'!237:237-"h_l!&amp;r)"</f>
        <v>#VALUE!</v>
      </c>
      <c r="HQ119" t="e">
        <f>'Compiled Agents'!238:238-"h_l!&amp;r."</f>
        <v>#VALUE!</v>
      </c>
      <c r="HR119" t="e">
        <f>'Compiled Agents'!239:239-"h_l!&amp;r/"</f>
        <v>#VALUE!</v>
      </c>
      <c r="HS119" t="e">
        <f>'Compiled Agents'!240:240-"h_l!&amp;r0"</f>
        <v>#VALUE!</v>
      </c>
      <c r="HT119" t="e">
        <f>'Compiled Agents'!241:241-"h_l!&amp;r1"</f>
        <v>#VALUE!</v>
      </c>
      <c r="HU119" t="e">
        <f>'Compiled Agents'!242:242-"h_l!&amp;r2"</f>
        <v>#VALUE!</v>
      </c>
      <c r="HV119" t="e">
        <f>'Compiled Agents'!243:243-"h_l!&amp;r3"</f>
        <v>#VALUE!</v>
      </c>
      <c r="HW119" t="e">
        <f>'Compiled Agents'!244:244-"h_l!&amp;r4"</f>
        <v>#VALUE!</v>
      </c>
      <c r="HX119" t="e">
        <f>'Compiled Agents'!245:245-"h_l!&amp;r5"</f>
        <v>#VALUE!</v>
      </c>
      <c r="HY119" t="e">
        <f>'Compiled Agents'!246:246-"h_l!&amp;r6"</f>
        <v>#VALUE!</v>
      </c>
      <c r="HZ119" t="e">
        <f>'Compiled Agents'!247:247-"h_l!&amp;r7"</f>
        <v>#VALUE!</v>
      </c>
      <c r="IA119" t="e">
        <f>'Compiled Agents'!248:248-"h_l!&amp;r8"</f>
        <v>#VALUE!</v>
      </c>
      <c r="IB119" t="e">
        <f>'Compiled Agents'!249:249-"h_l!&amp;r9"</f>
        <v>#VALUE!</v>
      </c>
      <c r="IC119" t="e">
        <f>'Compiled Agents'!250:250-"h_l!&amp;r:"</f>
        <v>#VALUE!</v>
      </c>
      <c r="ID119" t="e">
        <f>'Compiled Agents'!251:251-"h_l!&amp;r;"</f>
        <v>#VALUE!</v>
      </c>
      <c r="IE119" t="e">
        <f>'Compiled Agents'!252:252-"h_l!&amp;r&lt;"</f>
        <v>#VALUE!</v>
      </c>
      <c r="IF119" t="e">
        <f>'Compiled Agents'!253:253-"h_l!&amp;r="</f>
        <v>#VALUE!</v>
      </c>
      <c r="IG119" t="e">
        <f>'Compiled Agents'!254:254-"h_l!&amp;r&gt;"</f>
        <v>#VALUE!</v>
      </c>
      <c r="IH119" t="e">
        <f>'Compiled Agents'!255:255-"h_l!&amp;r?"</f>
        <v>#VALUE!</v>
      </c>
      <c r="II119" t="e">
        <f>'Compiled Agents'!256:256-"h_l!&amp;r@"</f>
        <v>#VALUE!</v>
      </c>
      <c r="IJ119" t="e">
        <f>'Compiled Agents'!257:257-"h_l!&amp;rA"</f>
        <v>#VALUE!</v>
      </c>
      <c r="IK119" t="e">
        <f>'Compiled Agents'!258:258-"h_l!&amp;rB"</f>
        <v>#VALUE!</v>
      </c>
      <c r="IL119" t="e">
        <f>'Compiled Agents'!259:259-"h_l!&amp;rC"</f>
        <v>#VALUE!</v>
      </c>
      <c r="IM119" t="e">
        <f>'Compiled Agents'!260:260-"h_l!&amp;rD"</f>
        <v>#VALUE!</v>
      </c>
      <c r="IN119" t="e">
        <f>'Compiled Agents'!261:261-"h_l!&amp;rE"</f>
        <v>#VALUE!</v>
      </c>
      <c r="IO119" t="e">
        <f>'Compiled Agents'!262:262-"h_l!&amp;rF"</f>
        <v>#VALUE!</v>
      </c>
      <c r="IP119" t="e">
        <f>'Compiled Agents'!263:263-"h_l!&amp;rG"</f>
        <v>#VALUE!</v>
      </c>
      <c r="IQ119" t="e">
        <f>'Compiled Agents'!264:264-"h_l!&amp;rH"</f>
        <v>#VALUE!</v>
      </c>
      <c r="IR119" t="e">
        <f>'Compiled Agents'!265:265-"h_l!&amp;rI"</f>
        <v>#VALUE!</v>
      </c>
      <c r="IS119" t="e">
        <f>'Compiled Agents'!266:266-"h_l!&amp;rJ"</f>
        <v>#VALUE!</v>
      </c>
      <c r="IT119" t="e">
        <f>'Compiled Agents'!267:267-"h_l!&amp;rK"</f>
        <v>#VALUE!</v>
      </c>
      <c r="IU119" t="e">
        <f>'Compiled Agents'!268:268-"h_l!&amp;rL"</f>
        <v>#VALUE!</v>
      </c>
      <c r="IV119" t="e">
        <f>'Compiled Agents'!269:269-"h_l!&amp;rM"</f>
        <v>#VALUE!</v>
      </c>
    </row>
    <row r="120" spans="6:256" x14ac:dyDescent="0.25">
      <c r="F120" t="e">
        <f>'Compiled Agents'!270:270-"h_l!&amp;rN"</f>
        <v>#VALUE!</v>
      </c>
      <c r="G120" t="e">
        <f>'Compiled Agents'!271:271-"h_l!&amp;rO"</f>
        <v>#VALUE!</v>
      </c>
      <c r="H120" t="e">
        <f>'Compiled Agents'!272:272-"h_l!&amp;rP"</f>
        <v>#VALUE!</v>
      </c>
      <c r="I120" t="e">
        <f>'Compiled Agents'!273:273-"h_l!&amp;rQ"</f>
        <v>#VALUE!</v>
      </c>
      <c r="J120" t="e">
        <f>'Compiled Agents'!274:274-"h_l!&amp;rR"</f>
        <v>#VALUE!</v>
      </c>
      <c r="K120" t="e">
        <f>'Compiled Agents'!275:275-"h_l!&amp;rS"</f>
        <v>#VALUE!</v>
      </c>
      <c r="L120" t="e">
        <f>'Compiled Agents'!276:276-"h_l!&amp;rT"</f>
        <v>#VALUE!</v>
      </c>
      <c r="M120" t="e">
        <f>'Compiled Agents'!277:277-"h_l!&amp;rU"</f>
        <v>#VALUE!</v>
      </c>
      <c r="N120" t="e">
        <f>'Compiled Agents'!278:278-"h_l!&amp;rV"</f>
        <v>#VALUE!</v>
      </c>
      <c r="O120" t="e">
        <f>'Compiled Agents'!279:279-"h_l!&amp;rW"</f>
        <v>#VALUE!</v>
      </c>
      <c r="P120" t="e">
        <f>'Compiled Agents'!280:280-"h_l!&amp;rX"</f>
        <v>#VALUE!</v>
      </c>
      <c r="Q120" t="e">
        <f>'Compiled Agents'!281:281-"h_l!&amp;rY"</f>
        <v>#VALUE!</v>
      </c>
      <c r="R120" t="e">
        <f>'Compiled Agents'!282:282-"h_l!&amp;rZ"</f>
        <v>#VALUE!</v>
      </c>
      <c r="S120" t="e">
        <f>'Compiled Agents'!283:283-"h_l!&amp;r["</f>
        <v>#VALUE!</v>
      </c>
      <c r="T120" t="e">
        <f>'Compiled Agents'!284:284-"h_l!&amp;r\"</f>
        <v>#VALUE!</v>
      </c>
      <c r="U120" t="e">
        <f>'Compiled Agents'!285:285-"h_l!&amp;r]"</f>
        <v>#VALUE!</v>
      </c>
      <c r="V120" t="e">
        <f>'Compiled Agents'!286:286-"h_l!&amp;r^"</f>
        <v>#VALUE!</v>
      </c>
      <c r="W120" t="e">
        <f>'Compiled Agents'!287:287-"h_l!&amp;r_"</f>
        <v>#VALUE!</v>
      </c>
      <c r="X120" t="e">
        <f>'Compiled Agents'!288:288-"h_l!&amp;r`"</f>
        <v>#VALUE!</v>
      </c>
      <c r="Y120" t="e">
        <f>'Compiled Agents'!289:289-"h_l!&amp;ra"</f>
        <v>#VALUE!</v>
      </c>
      <c r="Z120" t="e">
        <f>'Compiled Agents'!290:290-"h_l!&amp;rb"</f>
        <v>#VALUE!</v>
      </c>
      <c r="AA120" t="e">
        <f>'Compiled Agents'!291:291-"h_l!&amp;rc"</f>
        <v>#VALUE!</v>
      </c>
      <c r="AB120" t="e">
        <f>'Compiled Agents'!292:292-"h_l!&amp;rd"</f>
        <v>#VALUE!</v>
      </c>
      <c r="AC120" t="e">
        <f>'Compiled Agents'!293:293-"h_l!&amp;re"</f>
        <v>#VALUE!</v>
      </c>
      <c r="AD120" t="e">
        <f>'Compiled Agents'!294:294-"h_l!&amp;rf"</f>
        <v>#VALUE!</v>
      </c>
      <c r="AE120" t="e">
        <f>'Compiled Agents'!295:295-"h_l!&amp;rg"</f>
        <v>#VALUE!</v>
      </c>
      <c r="AF120" t="e">
        <f>'Compiled Agents'!296:296-"h_l!&amp;rh"</f>
        <v>#VALUE!</v>
      </c>
      <c r="AG120" t="e">
        <f>'Compiled Agents'!297:297-"h_l!&amp;ri"</f>
        <v>#VALUE!</v>
      </c>
      <c r="AH120" t="e">
        <f>'Compiled Agents'!298:298-"h_l!&amp;rj"</f>
        <v>#VALUE!</v>
      </c>
      <c r="AI120" t="e">
        <f>'Compiled Agents'!299:299-"h_l!&amp;rk"</f>
        <v>#VALUE!</v>
      </c>
      <c r="AJ120" t="e">
        <f>'Compiled Agents'!300:300-"h_l!&amp;rl"</f>
        <v>#VALUE!</v>
      </c>
      <c r="AK120" t="e">
        <f>'Compiled Agents'!301:301-"h_l!&amp;rm"</f>
        <v>#VALUE!</v>
      </c>
      <c r="AL120" t="e">
        <f>'Compiled Agents'!302:302-"h_l!&amp;rn"</f>
        <v>#VALUE!</v>
      </c>
      <c r="AM120" t="e">
        <f>'Compiled Agents'!303:303-"h_l!&amp;ro"</f>
        <v>#VALUE!</v>
      </c>
      <c r="AN120" t="e">
        <f>'Compiled Agents'!304:304-"h_l!&amp;rp"</f>
        <v>#VALUE!</v>
      </c>
      <c r="AO120" t="e">
        <f>'Compiled Agents'!305:305-"h_l!&amp;rq"</f>
        <v>#VALUE!</v>
      </c>
      <c r="AP120" t="e">
        <f>'Compiled Agents'!306:306-"h_l!&amp;rr"</f>
        <v>#VALUE!</v>
      </c>
      <c r="AQ120" t="e">
        <f>'Compiled Agents'!307:307-"h_l!&amp;rs"</f>
        <v>#VALUE!</v>
      </c>
      <c r="AR120" t="e">
        <f>'Compiled Agents'!308:308-"h_l!&amp;rt"</f>
        <v>#VALUE!</v>
      </c>
      <c r="AS120" t="e">
        <f>'Compiled Agents'!309:309-"h_l!&amp;ru"</f>
        <v>#VALUE!</v>
      </c>
      <c r="AT120" t="e">
        <f>'Compiled Agents'!310:310-"h_l!&amp;rv"</f>
        <v>#VALUE!</v>
      </c>
      <c r="AU120" t="e">
        <f>'Compiled Agents'!311:311-"h_l!&amp;rw"</f>
        <v>#VALUE!</v>
      </c>
      <c r="AV120" t="e">
        <f>'Compiled Agents'!312:312-"h_l!&amp;rx"</f>
        <v>#VALUE!</v>
      </c>
      <c r="AW120" t="e">
        <f>'Compiled Agents'!313:313-"h_l!&amp;ry"</f>
        <v>#VALUE!</v>
      </c>
      <c r="AX120" t="e">
        <f>'Compiled Agents'!314:314-"h_l!&amp;rz"</f>
        <v>#VALUE!</v>
      </c>
      <c r="AY120" t="e">
        <f>'Compiled Agents'!315:315-"h_l!&amp;r{"</f>
        <v>#VALUE!</v>
      </c>
      <c r="AZ120" t="e">
        <f>'Compiled Agents'!316:316-"h_l!&amp;r|"</f>
        <v>#VALUE!</v>
      </c>
      <c r="BA120" t="e">
        <f>'Compiled Agents'!317:317-"h_l!&amp;r}"</f>
        <v>#VALUE!</v>
      </c>
      <c r="BB120" t="e">
        <f>'Compiled Agents'!318:318-"h_l!&amp;r~"</f>
        <v>#VALUE!</v>
      </c>
      <c r="BC120" t="e">
        <f>'Compiled Agents'!319:319-"h_l!&amp;s#"</f>
        <v>#VALUE!</v>
      </c>
      <c r="BD120" t="e">
        <f>'Compiled Agents'!320:320-"h_l!&amp;s$"</f>
        <v>#VALUE!</v>
      </c>
      <c r="BE120" t="e">
        <f>'Compiled Agents'!321:321-"h_l!&amp;s%"</f>
        <v>#VALUE!</v>
      </c>
      <c r="BF120" t="e">
        <f>'Compiled Agents'!322:322-"h_l!&amp;s&amp;"</f>
        <v>#VALUE!</v>
      </c>
      <c r="BG120" t="e">
        <f>'Compiled Agents'!323:323-"h_l!&amp;s'"</f>
        <v>#VALUE!</v>
      </c>
      <c r="BH120" t="e">
        <f>'Compiled Agents'!324:324-"h_l!&amp;s("</f>
        <v>#VALUE!</v>
      </c>
      <c r="BI120" t="e">
        <f>'Compiled Agents'!325:325-"h_l!&amp;s)"</f>
        <v>#VALUE!</v>
      </c>
      <c r="BJ120" t="e">
        <f>'Compiled Agents'!326:326-"h_l!&amp;s."</f>
        <v>#VALUE!</v>
      </c>
      <c r="BK120" t="e">
        <f>'Compiled Agents'!327:327-"h_l!&amp;s/"</f>
        <v>#VALUE!</v>
      </c>
      <c r="BL120" t="e">
        <f>'Compiled Agents'!328:328-"h_l!&amp;s0"</f>
        <v>#VALUE!</v>
      </c>
      <c r="BM120" t="e">
        <f>'Compiled Agents'!329:329-"h_l!&amp;s1"</f>
        <v>#VALUE!</v>
      </c>
      <c r="BN120" t="e">
        <f>'Compiled Agents'!330:330-"h_l!&amp;s2"</f>
        <v>#VALUE!</v>
      </c>
      <c r="BO120" t="e">
        <f>'Compiled Agents'!331:331-"h_l!&amp;s3"</f>
        <v>#VALUE!</v>
      </c>
      <c r="BP120" t="e">
        <f>'Compiled Agents'!332:332-"h_l!&amp;s4"</f>
        <v>#VALUE!</v>
      </c>
      <c r="BQ120" t="e">
        <f>'Compiled Agents'!333:333-"h_l!&amp;s5"</f>
        <v>#VALUE!</v>
      </c>
      <c r="BR120" t="e">
        <f>'Compiled Agents'!334:334-"h_l!&amp;s6"</f>
        <v>#VALUE!</v>
      </c>
      <c r="BS120" t="e">
        <f>'Compiled Agents'!335:335-"h_l!&amp;s7"</f>
        <v>#VALUE!</v>
      </c>
      <c r="BT120" t="e">
        <f>'Compiled Agents'!336:336-"h_l!&amp;s8"</f>
        <v>#VALUE!</v>
      </c>
      <c r="BU120" t="e">
        <f>'Compiled Agents'!337:337-"h_l!&amp;s9"</f>
        <v>#VALUE!</v>
      </c>
      <c r="BV120" t="e">
        <f>'Compiled Agents'!338:338-"h_l!&amp;s:"</f>
        <v>#VALUE!</v>
      </c>
      <c r="BW120" t="e">
        <f>'Compiled Agents'!339:339-"h_l!&amp;s;"</f>
        <v>#VALUE!</v>
      </c>
      <c r="BX120" t="e">
        <f>'Compiled Agents'!340:340-"h_l!&amp;s&lt;"</f>
        <v>#VALUE!</v>
      </c>
      <c r="BY120" t="e">
        <f>'Compiled Agents'!341:341-"h_l!&amp;s="</f>
        <v>#VALUE!</v>
      </c>
      <c r="BZ120" t="e">
        <f>'Compiled Agents'!342:342-"h_l!&amp;s&gt;"</f>
        <v>#VALUE!</v>
      </c>
      <c r="CA120" t="e">
        <f>'Compiled Agents'!343:343-"h_l!&amp;s?"</f>
        <v>#VALUE!</v>
      </c>
      <c r="CB120" t="e">
        <f>'Compiled Agents'!344:344-"h_l!&amp;s@"</f>
        <v>#VALUE!</v>
      </c>
      <c r="CC120" t="e">
        <f>'Compiled Agents'!345:345-"h_l!&amp;sA"</f>
        <v>#VALUE!</v>
      </c>
      <c r="CD120" t="e">
        <f>'Compiled Agents'!346:346-"h_l!&amp;sB"</f>
        <v>#VALUE!</v>
      </c>
      <c r="CE120" t="e">
        <f>'Compiled Agents'!347:347-"h_l!&amp;sC"</f>
        <v>#VALUE!</v>
      </c>
      <c r="CF120" t="e">
        <f>'Compiled Agents'!348:348-"h_l!&amp;sD"</f>
        <v>#VALUE!</v>
      </c>
      <c r="CG120" t="e">
        <f>'Compiled Agents'!349:349-"h_l!&amp;sE"</f>
        <v>#VALUE!</v>
      </c>
      <c r="CH120" t="e">
        <f>'Compiled Agents'!350:350-"h_l!&amp;sF"</f>
        <v>#VALUE!</v>
      </c>
      <c r="CI120" t="e">
        <f>'Compiled Agents'!351:351-"h_l!&amp;sG"</f>
        <v>#VALUE!</v>
      </c>
      <c r="CJ120" t="e">
        <f>'Compiled Agents'!352:352-"h_l!&amp;sH"</f>
        <v>#VALUE!</v>
      </c>
      <c r="CK120" t="e">
        <f>'Compiled Agents'!353:353-"h_l!&amp;sI"</f>
        <v>#VALUE!</v>
      </c>
      <c r="CL120" t="e">
        <f>'Compiled Agents'!354:354-"h_l!&amp;sJ"</f>
        <v>#VALUE!</v>
      </c>
      <c r="CM120" t="e">
        <f>'Compiled Agents'!355:355-"h_l!&amp;sK"</f>
        <v>#VALUE!</v>
      </c>
      <c r="CN120" t="e">
        <f>'Compiled Agents'!356:356-"h_l!&amp;sL"</f>
        <v>#VALUE!</v>
      </c>
      <c r="CO120" t="e">
        <f>'Compiled Agents'!357:357-"h_l!&amp;sM"</f>
        <v>#VALUE!</v>
      </c>
      <c r="CP120" t="e">
        <f>'Compiled Agents'!358:358-"h_l!&amp;sN"</f>
        <v>#VALUE!</v>
      </c>
      <c r="CQ120" t="e">
        <f>'Compiled Agents'!359:359-"h_l!&amp;sO"</f>
        <v>#VALUE!</v>
      </c>
      <c r="CR120" t="e">
        <f>'Compiled Agents'!360:360-"h_l!&amp;sP"</f>
        <v>#VALUE!</v>
      </c>
      <c r="CS120" t="e">
        <f>'Compiled Agents'!361:361-"h_l!&amp;sQ"</f>
        <v>#VALUE!</v>
      </c>
      <c r="CT120" t="e">
        <f>'Compiled Agents'!362:362-"h_l!&amp;sR"</f>
        <v>#VALUE!</v>
      </c>
      <c r="CU120" t="e">
        <f>'Compiled Agents'!363:363-"h_l!&amp;sS"</f>
        <v>#VALUE!</v>
      </c>
      <c r="CV120" t="e">
        <f>'Compiled Agents'!364:364-"h_l!&amp;sT"</f>
        <v>#VALUE!</v>
      </c>
      <c r="CW120" t="e">
        <f>'Compiled Agents'!365:365-"h_l!&amp;sU"</f>
        <v>#VALUE!</v>
      </c>
      <c r="CX120" t="e">
        <f>'Compiled Agents'!366:366-"h_l!&amp;sV"</f>
        <v>#VALUE!</v>
      </c>
      <c r="CY120" t="e">
        <f>'Compiled Agents'!367:367-"h_l!&amp;sW"</f>
        <v>#VALUE!</v>
      </c>
      <c r="CZ120" t="e">
        <f>'Compiled Agents'!368:368-"h_l!&amp;sX"</f>
        <v>#VALUE!</v>
      </c>
      <c r="DA120" t="e">
        <f>'Compiled Agents'!369:369-"h_l!&amp;sY"</f>
        <v>#VALUE!</v>
      </c>
      <c r="DB120" t="e">
        <f>'Compiled Agents'!370:370-"h_l!&amp;sZ"</f>
        <v>#VALUE!</v>
      </c>
      <c r="DC120" t="e">
        <f>'Compiled Agents'!371:371-"h_l!&amp;s["</f>
        <v>#VALUE!</v>
      </c>
      <c r="DD120" t="e">
        <f>'Compiled Agents'!372:372-"h_l!&amp;s\"</f>
        <v>#VALUE!</v>
      </c>
      <c r="DE120" t="e">
        <f>'Compiled Agents'!373:373-"h_l!&amp;s]"</f>
        <v>#VALUE!</v>
      </c>
      <c r="DF120" t="e">
        <f>'Compiled Agents'!374:374-"h_l!&amp;s^"</f>
        <v>#VALUE!</v>
      </c>
      <c r="DG120" t="e">
        <f>'Compiled Agents'!375:375-"h_l!&amp;s_"</f>
        <v>#VALUE!</v>
      </c>
      <c r="DH120" t="e">
        <f>'Compiled Agents'!376:376-"h_l!&amp;s`"</f>
        <v>#VALUE!</v>
      </c>
      <c r="DI120" t="e">
        <f>'Compiled Agents'!377:377-"h_l!&amp;sa"</f>
        <v>#VALUE!</v>
      </c>
      <c r="DJ120" t="e">
        <f>'Compiled Agents'!378:378-"h_l!&amp;sb"</f>
        <v>#VALUE!</v>
      </c>
      <c r="DK120" t="e">
        <f>'Compiled Agents'!379:379-"h_l!&amp;sc"</f>
        <v>#VALUE!</v>
      </c>
      <c r="DL120" t="e">
        <f>'Compiled Agents'!380:380-"h_l!&amp;sd"</f>
        <v>#VALUE!</v>
      </c>
      <c r="DM120" t="e">
        <f>'Compiled Agents'!381:381-"h_l!&amp;se"</f>
        <v>#VALUE!</v>
      </c>
      <c r="DN120" t="e">
        <f>'Compiled Agents'!382:382-"h_l!&amp;sf"</f>
        <v>#VALUE!</v>
      </c>
      <c r="DO120" t="e">
        <f>'Compiled Agents'!383:383-"h_l!&amp;sg"</f>
        <v>#VALUE!</v>
      </c>
      <c r="DP120" t="e">
        <f>'Compiled Agents'!384:384-"h_l!&amp;sh"</f>
        <v>#VALUE!</v>
      </c>
      <c r="DQ120" t="e">
        <f>'Compiled Agents'!385:385-"h_l!&amp;si"</f>
        <v>#VALUE!</v>
      </c>
      <c r="DR120" t="e">
        <f>'Compiled Agents'!386:386-"h_l!&amp;sj"</f>
        <v>#VALUE!</v>
      </c>
      <c r="DS120" t="e">
        <f>'Compiled Agents'!387:387-"h_l!&amp;sk"</f>
        <v>#VALUE!</v>
      </c>
      <c r="DT120" t="e">
        <f>'Compiled Agents'!388:388-"h_l!&amp;sl"</f>
        <v>#VALUE!</v>
      </c>
      <c r="DU120" t="e">
        <f>'Compiled Agents'!389:389-"h_l!&amp;sm"</f>
        <v>#VALUE!</v>
      </c>
      <c r="DV120" t="e">
        <f>'Compiled Agents'!390:390-"h_l!&amp;sn"</f>
        <v>#VALUE!</v>
      </c>
      <c r="DW120" t="e">
        <f>'Compiled Agents'!391:391-"h_l!&amp;so"</f>
        <v>#VALUE!</v>
      </c>
      <c r="DX120" t="e">
        <f>'Compiled Agents'!392:392-"h_l!&amp;sp"</f>
        <v>#VALUE!</v>
      </c>
      <c r="DY120" t="e">
        <f>'Compiled Agents'!393:393-"h_l!&amp;sq"</f>
        <v>#VALUE!</v>
      </c>
      <c r="DZ120" t="e">
        <f>'Compiled Agents'!394:394-"h_l!&amp;sr"</f>
        <v>#VALUE!</v>
      </c>
      <c r="EA120" t="e">
        <f>'Compiled Agents'!395:395-"h_l!&amp;ss"</f>
        <v>#VALUE!</v>
      </c>
      <c r="EB120" t="e">
        <f>'Compiled Agents'!396:396-"h_l!&amp;st"</f>
        <v>#VALUE!</v>
      </c>
      <c r="EC120" t="e">
        <f>'Compiled Agents'!397:397-"h_l!&amp;su"</f>
        <v>#VALUE!</v>
      </c>
      <c r="ED120" t="e">
        <f>'Compiled Agents'!398:398-"h_l!&amp;sv"</f>
        <v>#VALUE!</v>
      </c>
      <c r="EE120" t="e">
        <f>'Compiled Agents'!399:399-"h_l!&amp;sw"</f>
        <v>#VALUE!</v>
      </c>
      <c r="EF120" t="e">
        <f>'Compiled Agents'!400:400-"h_l!&amp;sx"</f>
        <v>#VALUE!</v>
      </c>
      <c r="EG120" t="e">
        <f>'Compiled Agents'!401:401-"h_l!&amp;sy"</f>
        <v>#VALUE!</v>
      </c>
      <c r="EH120" t="e">
        <f>'Compiled Agents'!402:402-"h_l!&amp;sz"</f>
        <v>#VALUE!</v>
      </c>
      <c r="EI120" t="e">
        <f>'Compiled Agents'!403:403-"h_l!&amp;s{"</f>
        <v>#VALUE!</v>
      </c>
      <c r="EJ120" t="e">
        <f>'Compiled Agents'!404:404-"h_l!&amp;s|"</f>
        <v>#VALUE!</v>
      </c>
      <c r="EK120" t="e">
        <f>'Compiled Agents'!405:405-"h_l!&amp;s}"</f>
        <v>#VALUE!</v>
      </c>
      <c r="EL120" t="e">
        <f>'Compiled Agents'!406:406-"h_l!&amp;s~"</f>
        <v>#VALUE!</v>
      </c>
      <c r="EM120" t="e">
        <f>'Compiled Agents'!407:407-"h_l!&amp;t#"</f>
        <v>#VALUE!</v>
      </c>
      <c r="EN120" t="e">
        <f>'Compiled Agents'!408:408-"h_l!&amp;t$"</f>
        <v>#VALUE!</v>
      </c>
      <c r="EO120" t="e">
        <f>'Compiled Agents'!409:409-"h_l!&amp;t%"</f>
        <v>#VALUE!</v>
      </c>
      <c r="EP120" t="e">
        <f>'Compiled Agents'!410:410-"h_l!&amp;t&amp;"</f>
        <v>#VALUE!</v>
      </c>
      <c r="EQ120" t="e">
        <f>'Compiled Agents'!411:411-"h_l!&amp;t'"</f>
        <v>#VALUE!</v>
      </c>
      <c r="ER120" t="e">
        <f>'Compiled Agents'!412:412-"h_l!&amp;t("</f>
        <v>#VALUE!</v>
      </c>
      <c r="ES120" t="e">
        <f>'Compiled Agents'!413:413-"h_l!&amp;t)"</f>
        <v>#VALUE!</v>
      </c>
      <c r="ET120" t="e">
        <f>'Compiled Agents'!414:414-"h_l!&amp;t."</f>
        <v>#VALUE!</v>
      </c>
      <c r="EU120" t="e">
        <f>'Compiled Agents'!415:415-"h_l!&amp;t/"</f>
        <v>#VALUE!</v>
      </c>
      <c r="EV120" t="e">
        <f>'Compiled Agents'!416:416-"h_l!&amp;t0"</f>
        <v>#VALUE!</v>
      </c>
      <c r="EW120" t="e">
        <f>'Compiled Agents'!417:417-"h_l!&amp;t1"</f>
        <v>#VALUE!</v>
      </c>
      <c r="EX120" t="e">
        <f>'Compiled Agents'!418:418-"h_l!&amp;t2"</f>
        <v>#VALUE!</v>
      </c>
      <c r="EY120" t="e">
        <f>'Compiled Agents'!419:419-"h_l!&amp;t3"</f>
        <v>#VALUE!</v>
      </c>
      <c r="EZ120" t="e">
        <f>'Compiled Agents'!420:420-"h_l!&amp;t4"</f>
        <v>#VALUE!</v>
      </c>
      <c r="FA120" t="e">
        <f>'Compiled Agents'!421:421-"h_l!&amp;t5"</f>
        <v>#VALUE!</v>
      </c>
      <c r="FB120" t="e">
        <f>'Compiled Agents'!422:422-"h_l!&amp;t6"</f>
        <v>#VALUE!</v>
      </c>
      <c r="FC120" t="e">
        <f>'Compiled Agents'!423:423-"h_l!&amp;t7"</f>
        <v>#VALUE!</v>
      </c>
      <c r="FD120" t="e">
        <f>'Compiled Agents'!424:424-"h_l!&amp;t8"</f>
        <v>#VALUE!</v>
      </c>
      <c r="FE120" t="e">
        <f>'Compiled Agents'!425:425-"h_l!&amp;t9"</f>
        <v>#VALUE!</v>
      </c>
      <c r="FF120" t="e">
        <f>'Compiled Agents'!426:426-"h_l!&amp;t:"</f>
        <v>#VALUE!</v>
      </c>
      <c r="FG120" t="e">
        <f>'Compiled Agents'!427:427-"h_l!&amp;t;"</f>
        <v>#VALUE!</v>
      </c>
      <c r="FH120" t="e">
        <f>'Compiled Agents'!428:428-"h_l!&amp;t&lt;"</f>
        <v>#VALUE!</v>
      </c>
      <c r="FI120" t="e">
        <f>'Compiled Agents'!429:429-"h_l!&amp;t="</f>
        <v>#VALUE!</v>
      </c>
      <c r="FJ120" t="e">
        <f>'Compiled Agents'!430:430-"h_l!&amp;t&gt;"</f>
        <v>#VALUE!</v>
      </c>
      <c r="FK120" t="e">
        <f>'Compiled Agents'!431:431-"h_l!&amp;t?"</f>
        <v>#VALUE!</v>
      </c>
      <c r="FL120" t="e">
        <f>'Compiled Agents'!432:432-"h_l!&amp;t@"</f>
        <v>#VALUE!</v>
      </c>
      <c r="FM120" t="e">
        <f>'Compiled Agents'!433:433-"h_l!&amp;tA"</f>
        <v>#VALUE!</v>
      </c>
      <c r="FN120" t="e">
        <f>'Compiled Agents'!434:434-"h_l!&amp;tB"</f>
        <v>#VALUE!</v>
      </c>
      <c r="FO120" t="e">
        <f>'Compiled Agents'!435:435-"h_l!&amp;tC"</f>
        <v>#VALUE!</v>
      </c>
      <c r="FP120" t="e">
        <f>'Compiled Agents'!436:436-"h_l!&amp;tD"</f>
        <v>#VALUE!</v>
      </c>
      <c r="FQ120" t="e">
        <f>'Compiled Agents'!437:437-"h_l!&amp;tE"</f>
        <v>#VALUE!</v>
      </c>
      <c r="FR120" t="e">
        <f>'Compiled Agents'!438:438-"h_l!&amp;tF"</f>
        <v>#VALUE!</v>
      </c>
      <c r="FS120" t="e">
        <f>'Compiled Agents'!439:439-"h_l!&amp;tG"</f>
        <v>#VALUE!</v>
      </c>
      <c r="FT120" t="e">
        <f>'Compiled Agents'!440:440-"h_l!&amp;tH"</f>
        <v>#VALUE!</v>
      </c>
      <c r="FU120" t="e">
        <f>'Compiled Agents'!441:441-"h_l!&amp;tI"</f>
        <v>#VALUE!</v>
      </c>
      <c r="FV120" t="e">
        <f>'Compiled Agents'!442:442-"h_l!&amp;tJ"</f>
        <v>#VALUE!</v>
      </c>
      <c r="FW120" t="e">
        <f>'Compiled Agents'!443:443-"h_l!&amp;tK"</f>
        <v>#VALUE!</v>
      </c>
      <c r="FX120" t="e">
        <f>'Compiled Agents'!444:444-"h_l!&amp;tL"</f>
        <v>#VALUE!</v>
      </c>
      <c r="FY120" t="e">
        <f>'Compiled Agents'!445:445-"h_l!&amp;tM"</f>
        <v>#VALUE!</v>
      </c>
      <c r="FZ120" t="e">
        <f>'Compiled Agents'!446:446-"h_l!&amp;tN"</f>
        <v>#VALUE!</v>
      </c>
      <c r="GA120" t="e">
        <f>'Compiled Agents'!447:447-"h_l!&amp;tO"</f>
        <v>#VALUE!</v>
      </c>
      <c r="GB120" t="e">
        <f>'Compiled Agents'!448:448-"h_l!&amp;tP"</f>
        <v>#VALUE!</v>
      </c>
      <c r="GC120" t="e">
        <f>'Compiled Agents'!449:449-"h_l!&amp;tQ"</f>
        <v>#VALUE!</v>
      </c>
      <c r="GD120" t="e">
        <f>'Compiled Agents'!450:450-"h_l!&amp;tR"</f>
        <v>#VALUE!</v>
      </c>
      <c r="GE120" t="e">
        <f>'Compiled Agents'!451:451-"h_l!&amp;tS"</f>
        <v>#VALUE!</v>
      </c>
      <c r="GF120" t="e">
        <f>'Compiled Agents'!452:452-"h_l!&amp;tT"</f>
        <v>#VALUE!</v>
      </c>
      <c r="GG120" t="e">
        <f>'Compiled Agents'!453:453-"h_l!&amp;tU"</f>
        <v>#VALUE!</v>
      </c>
      <c r="GH120" t="e">
        <f>'Compiled Agents'!454:454-"h_l!&amp;tV"</f>
        <v>#VALUE!</v>
      </c>
      <c r="GI120" t="e">
        <f>'Compiled Agents'!455:455-"h_l!&amp;tW"</f>
        <v>#VALUE!</v>
      </c>
      <c r="GJ120" t="e">
        <f>'Compiled Agents'!456:456-"h_l!&amp;tX"</f>
        <v>#VALUE!</v>
      </c>
      <c r="GK120" t="e">
        <f>'Compiled Agents'!457:457-"h_l!&amp;tY"</f>
        <v>#VALUE!</v>
      </c>
      <c r="GL120" t="e">
        <f>'Compiled Agents'!458:458-"h_l!&amp;tZ"</f>
        <v>#VALUE!</v>
      </c>
      <c r="GM120" t="e">
        <f>'Compiled Agents'!459:459-"h_l!&amp;t["</f>
        <v>#VALUE!</v>
      </c>
      <c r="GN120" t="e">
        <f>'Compiled Agents'!460:460-"h_l!&amp;t\"</f>
        <v>#VALUE!</v>
      </c>
      <c r="GO120" t="e">
        <f>'Compiled Agents'!461:461-"h_l!&amp;t]"</f>
        <v>#VALUE!</v>
      </c>
      <c r="GP120" t="e">
        <f>'Compiled Agents'!462:462-"h_l!&amp;t^"</f>
        <v>#VALUE!</v>
      </c>
      <c r="GQ120" t="e">
        <f>'Compiled Agents'!463:463-"h_l!&amp;t_"</f>
        <v>#VALUE!</v>
      </c>
      <c r="GR120" t="e">
        <f>'Compiled Agents'!464:464-"h_l!&amp;t`"</f>
        <v>#VALUE!</v>
      </c>
      <c r="GS120" t="e">
        <f>'Compiled Agents'!465:465-"h_l!&amp;ta"</f>
        <v>#VALUE!</v>
      </c>
      <c r="GT120" t="e">
        <f>'Compiled Agents'!466:466-"h_l!&amp;tb"</f>
        <v>#VALUE!</v>
      </c>
      <c r="GU120" t="e">
        <f>'Compiled Agents'!467:467-"h_l!&amp;tc"</f>
        <v>#VALUE!</v>
      </c>
      <c r="GV120" t="e">
        <f>'Compiled Agents'!468:468-"h_l!&amp;td"</f>
        <v>#VALUE!</v>
      </c>
      <c r="GW120" t="e">
        <f>'Compiled Agents'!469:469-"h_l!&amp;te"</f>
        <v>#VALUE!</v>
      </c>
      <c r="GX120" t="e">
        <f>'Compiled Agents'!470:470-"h_l!&amp;tf"</f>
        <v>#VALUE!</v>
      </c>
      <c r="GY120" t="e">
        <f>'Compiled Agents'!471:471-"h_l!&amp;tg"</f>
        <v>#VALUE!</v>
      </c>
      <c r="GZ120" t="e">
        <f>'Compiled Agents'!472:472-"h_l!&amp;th"</f>
        <v>#VALUE!</v>
      </c>
      <c r="HA120" t="e">
        <f>'Compiled Agents'!473:473-"h_l!&amp;ti"</f>
        <v>#VALUE!</v>
      </c>
      <c r="HB120" t="e">
        <f>'Compiled Agents'!474:474-"h_l!&amp;tj"</f>
        <v>#VALUE!</v>
      </c>
      <c r="HC120" t="e">
        <f>'Compiled Agents'!475:475-"h_l!&amp;tk"</f>
        <v>#VALUE!</v>
      </c>
      <c r="HD120" t="e">
        <f>'Compiled Agents'!476:476-"h_l!&amp;tl"</f>
        <v>#VALUE!</v>
      </c>
      <c r="HE120" t="e">
        <f>'Compiled Agents'!477:477-"h_l!&amp;tm"</f>
        <v>#VALUE!</v>
      </c>
      <c r="HF120" t="e">
        <f>'Compiled Agents'!478:478-"h_l!&amp;tn"</f>
        <v>#VALUE!</v>
      </c>
      <c r="HG120" t="e">
        <f>'Compiled Agents'!479:479-"h_l!&amp;to"</f>
        <v>#VALUE!</v>
      </c>
      <c r="HH120" t="e">
        <f>'Compiled Agents'!480:480-"h_l!&amp;tp"</f>
        <v>#VALUE!</v>
      </c>
      <c r="HI120" t="e">
        <f>'Compiled Agents'!481:481-"h_l!&amp;tq"</f>
        <v>#VALUE!</v>
      </c>
      <c r="HJ120" t="e">
        <f>'Compiled Agents'!482:482-"h_l!&amp;tr"</f>
        <v>#VALUE!</v>
      </c>
      <c r="HK120" t="e">
        <f>'Compiled Agents'!483:483-"h_l!&amp;ts"</f>
        <v>#VALUE!</v>
      </c>
      <c r="HL120" t="e">
        <f>'Compiled Agents'!484:484-"h_l!&amp;tt"</f>
        <v>#VALUE!</v>
      </c>
      <c r="HM120" t="e">
        <f>'Compiled Agents'!485:485-"h_l!&amp;tu"</f>
        <v>#VALUE!</v>
      </c>
      <c r="HN120" t="e">
        <f>'Compiled Agents'!486:486-"h_l!&amp;tv"</f>
        <v>#VALUE!</v>
      </c>
      <c r="HO120" t="e">
        <f>'Compiled Agents'!487:487-"h_l!&amp;tw"</f>
        <v>#VALUE!</v>
      </c>
      <c r="HP120" t="e">
        <f>'Compiled Agents'!488:488-"h_l!&amp;tx"</f>
        <v>#VALUE!</v>
      </c>
      <c r="HQ120" t="e">
        <f>'Compiled Agents'!489:489-"h_l!&amp;ty"</f>
        <v>#VALUE!</v>
      </c>
      <c r="HR120" t="e">
        <f>'Compiled Agents'!490:490-"h_l!&amp;tz"</f>
        <v>#VALUE!</v>
      </c>
      <c r="HS120" t="e">
        <f>'Compiled Agents'!491:491-"h_l!&amp;t{"</f>
        <v>#VALUE!</v>
      </c>
      <c r="HT120" t="e">
        <f>'Compiled Agents'!492:492-"h_l!&amp;t|"</f>
        <v>#VALUE!</v>
      </c>
      <c r="HU120" t="e">
        <f>'Compiled Agents'!493:493-"h_l!&amp;t}"</f>
        <v>#VALUE!</v>
      </c>
      <c r="HV120" t="e">
        <f>'Compiled Agents'!494:494-"h_l!&amp;t~"</f>
        <v>#VALUE!</v>
      </c>
      <c r="HW120" t="e">
        <f>'Compiled Agents'!495:495-"h_l!&amp;u#"</f>
        <v>#VALUE!</v>
      </c>
      <c r="HX120" t="e">
        <f>'Compiled Agents'!496:496-"h_l!&amp;u$"</f>
        <v>#VALUE!</v>
      </c>
      <c r="HY120" t="e">
        <f>'Compiled Agents'!497:497-"h_l!&amp;u%"</f>
        <v>#VALUE!</v>
      </c>
      <c r="HZ120" t="e">
        <f>'Compiled Agents'!498:498-"h_l!&amp;u&amp;"</f>
        <v>#VALUE!</v>
      </c>
      <c r="IA120" t="e">
        <f>'Compiled Agents'!499:499-"h_l!&amp;u'"</f>
        <v>#VALUE!</v>
      </c>
      <c r="IB120" t="e">
        <f>'Compiled Agents'!500:500-"h_l!&amp;u("</f>
        <v>#VALUE!</v>
      </c>
      <c r="IC120" t="e">
        <f>'Compiled Agents'!501:501-"h_l!&amp;u)"</f>
        <v>#VALUE!</v>
      </c>
      <c r="ID120" t="e">
        <f>'Compiled Agents'!502:502-"h_l!&amp;u."</f>
        <v>#VALUE!</v>
      </c>
      <c r="IE120" t="e">
        <f>'Compiled Agents'!503:503-"h_l!&amp;u/"</f>
        <v>#VALUE!</v>
      </c>
      <c r="IF120" t="e">
        <f>'Compiled Agents'!504:504-"h_l!&amp;u0"</f>
        <v>#VALUE!</v>
      </c>
      <c r="IG120" t="e">
        <f>'Compiled Agents'!505:505-"h_l!&amp;u1"</f>
        <v>#VALUE!</v>
      </c>
      <c r="IH120" t="e">
        <f>'Compiled Agents'!506:506-"h_l!&amp;u2"</f>
        <v>#VALUE!</v>
      </c>
      <c r="II120" t="e">
        <f>'Compiled Agents'!507:507-"h_l!&amp;u3"</f>
        <v>#VALUE!</v>
      </c>
      <c r="IJ120" t="e">
        <f>'Compiled Agents'!508:508-"h_l!&amp;u4"</f>
        <v>#VALUE!</v>
      </c>
      <c r="IK120" t="e">
        <f>'Compiled Agents'!509:509-"h_l!&amp;u5"</f>
        <v>#VALUE!</v>
      </c>
      <c r="IL120" t="e">
        <f>'Compiled Agents'!510:510-"h_l!&amp;u6"</f>
        <v>#VALUE!</v>
      </c>
      <c r="IM120" t="e">
        <f>'Compiled Agents'!511:511-"h_l!&amp;u7"</f>
        <v>#VALUE!</v>
      </c>
      <c r="IN120" t="e">
        <f>'Compiled Agents'!512:512-"h_l!&amp;u8"</f>
        <v>#VALUE!</v>
      </c>
      <c r="IO120" t="e">
        <f>'Compiled Agents'!513:513-"h_l!&amp;u9"</f>
        <v>#VALUE!</v>
      </c>
      <c r="IP120" t="e">
        <f>'Compiled Agents'!514:514-"h_l!&amp;u:"</f>
        <v>#VALUE!</v>
      </c>
      <c r="IQ120" t="e">
        <f>'Compiled Agents'!515:515-"h_l!&amp;u;"</f>
        <v>#VALUE!</v>
      </c>
      <c r="IR120" t="e">
        <f>'Compiled Agents'!516:516-"h_l!&amp;u&lt;"</f>
        <v>#VALUE!</v>
      </c>
      <c r="IS120" t="e">
        <f>'Compiled Agents'!517:517-"h_l!&amp;u="</f>
        <v>#VALUE!</v>
      </c>
      <c r="IT120" t="e">
        <f>'Compiled Agents'!518:518-"h_l!&amp;u&gt;"</f>
        <v>#VALUE!</v>
      </c>
      <c r="IU120" t="e">
        <f>'Compiled Agents'!519:519-"h_l!&amp;u?"</f>
        <v>#VALUE!</v>
      </c>
      <c r="IV120" t="e">
        <f>'Compiled Agents'!520:520-"h_l!&amp;u@"</f>
        <v>#VALUE!</v>
      </c>
    </row>
    <row r="121" spans="6:256" x14ac:dyDescent="0.25">
      <c r="F121" t="e">
        <f>'Compiled Agents'!521:521-"h_l!&amp;uA"</f>
        <v>#VALUE!</v>
      </c>
      <c r="G121" t="e">
        <f>'Compiled Agents'!522:522-"h_l!&amp;uB"</f>
        <v>#VALUE!</v>
      </c>
      <c r="H121" t="e">
        <f>'Compiled Agents'!523:523-"h_l!&amp;uC"</f>
        <v>#VALUE!</v>
      </c>
      <c r="I121" t="e">
        <f>'Compiled Agents'!524:524-"h_l!&amp;uD"</f>
        <v>#VALUE!</v>
      </c>
      <c r="J121" t="e">
        <f>'Compiled Agents'!525:525-"h_l!&amp;uE"</f>
        <v>#VALUE!</v>
      </c>
      <c r="K121" t="e">
        <f>'Compiled Agents'!526:526-"h_l!&amp;uF"</f>
        <v>#VALUE!</v>
      </c>
      <c r="L121" t="e">
        <f>'Compiled Agents'!527:527-"h_l!&amp;uG"</f>
        <v>#VALUE!</v>
      </c>
      <c r="M121" t="e">
        <f>'Compiled Agents'!528:528-"h_l!&amp;uH"</f>
        <v>#VALUE!</v>
      </c>
      <c r="N121" t="e">
        <f>'Compiled Agents'!529:529-"h_l!&amp;uI"</f>
        <v>#VALUE!</v>
      </c>
      <c r="O121" t="e">
        <f>'Compiled Agents'!530:530-"h_l!&amp;uJ"</f>
        <v>#VALUE!</v>
      </c>
      <c r="P121" t="e">
        <f>'Compiled Agents'!531:531-"h_l!&amp;uK"</f>
        <v>#VALUE!</v>
      </c>
      <c r="Q121" t="e">
        <f>'Compiled Agents'!532:532-"h_l!&amp;uL"</f>
        <v>#VALUE!</v>
      </c>
      <c r="R121" t="e">
        <f>'Compiled Agents'!533:533-"h_l!&amp;uM"</f>
        <v>#VALUE!</v>
      </c>
      <c r="S121" t="e">
        <f>'Compiled Agents'!534:534-"h_l!&amp;uN"</f>
        <v>#VALUE!</v>
      </c>
      <c r="T121" t="e">
        <f>'Compiled Agents'!535:535-"h_l!&amp;uO"</f>
        <v>#VALUE!</v>
      </c>
      <c r="U121" t="e">
        <f>'Compiled Agents'!536:536-"h_l!&amp;uP"</f>
        <v>#VALUE!</v>
      </c>
      <c r="V121" t="e">
        <f>'Compiled Agents'!537:537-"h_l!&amp;uQ"</f>
        <v>#VALUE!</v>
      </c>
      <c r="W121" t="e">
        <f>'Compiled Agents'!538:538-"h_l!&amp;uR"</f>
        <v>#VALUE!</v>
      </c>
      <c r="X121" t="e">
        <f>'Compiled Agents'!539:539-"h_l!&amp;uS"</f>
        <v>#VALUE!</v>
      </c>
      <c r="Y121" t="e">
        <f>'Compiled Agents'!540:540-"h_l!&amp;uT"</f>
        <v>#VALUE!</v>
      </c>
      <c r="Z121" t="e">
        <f>'Compiled Agents'!541:541-"h_l!&amp;uU"</f>
        <v>#VALUE!</v>
      </c>
      <c r="AA121" t="e">
        <f>'Compiled Agents'!542:542-"h_l!&amp;uV"</f>
        <v>#VALUE!</v>
      </c>
      <c r="AB121" t="e">
        <f>'Compiled Agents'!543:543-"h_l!&amp;uW"</f>
        <v>#VALUE!</v>
      </c>
      <c r="AC121" t="e">
        <f>'Compiled Agents'!544:544-"h_l!&amp;uX"</f>
        <v>#VALUE!</v>
      </c>
      <c r="AD121" t="e">
        <f>'Compiled Agents'!545:545-"h_l!&amp;uY"</f>
        <v>#VALUE!</v>
      </c>
      <c r="AE121" t="e">
        <f>'Compiled Agents'!546:546-"h_l!&amp;uZ"</f>
        <v>#VALUE!</v>
      </c>
      <c r="AF121" t="e">
        <f>'Compiled Agents'!547:547-"h_l!&amp;u["</f>
        <v>#VALUE!</v>
      </c>
      <c r="AG121" t="e">
        <f>'Compiled Agents'!548:548-"h_l!&amp;u\"</f>
        <v>#VALUE!</v>
      </c>
      <c r="AH121" t="e">
        <f>'Compiled Agents'!549:549-"h_l!&amp;u]"</f>
        <v>#VALUE!</v>
      </c>
      <c r="AI121" t="e">
        <f>'Compiled Agents'!550:550-"h_l!&amp;u^"</f>
        <v>#VALUE!</v>
      </c>
      <c r="AJ121" t="e">
        <f>'Compiled Agents'!551:551-"h_l!&amp;u_"</f>
        <v>#VALUE!</v>
      </c>
      <c r="AK121" t="e">
        <f>'Compiled Agents'!552:552-"h_l!&amp;u`"</f>
        <v>#VALUE!</v>
      </c>
      <c r="AL121" t="e">
        <f>'Compiled Agents'!553:553-"h_l!&amp;ua"</f>
        <v>#VALUE!</v>
      </c>
      <c r="AM121" t="e">
        <f>'Compiled Agents'!554:554-"h_l!&amp;ub"</f>
        <v>#VALUE!</v>
      </c>
      <c r="AN121" t="e">
        <f>'Compiled Agents'!555:555-"h_l!&amp;uc"</f>
        <v>#VALUE!</v>
      </c>
      <c r="AO121" t="e">
        <f>'Compiled Agents'!556:556-"h_l!&amp;ud"</f>
        <v>#VALUE!</v>
      </c>
      <c r="AP121" t="e">
        <f>'Compiled Agents'!557:557-"h_l!&amp;ue"</f>
        <v>#VALUE!</v>
      </c>
      <c r="AQ121" t="e">
        <f>'Compiled Agents'!558:558-"h_l!&amp;uf"</f>
        <v>#VALUE!</v>
      </c>
      <c r="AR121" t="e">
        <f>'Compiled Agents'!559:559-"h_l!&amp;ug"</f>
        <v>#VALUE!</v>
      </c>
      <c r="AS121" t="e">
        <f>'Compiled Agents'!560:560-"h_l!&amp;uh"</f>
        <v>#VALUE!</v>
      </c>
      <c r="AT121" t="e">
        <f>'Compiled Agents'!561:561-"h_l!&amp;ui"</f>
        <v>#VALUE!</v>
      </c>
      <c r="AU121" t="e">
        <f>'Compiled Agents'!562:562-"h_l!&amp;uj"</f>
        <v>#VALUE!</v>
      </c>
      <c r="AV121" t="e">
        <f>'Compiled Agents'!563:563-"h_l!&amp;uk"</f>
        <v>#VALUE!</v>
      </c>
      <c r="AW121" t="e">
        <f>'Compiled Agents'!564:564-"h_l!&amp;ul"</f>
        <v>#VALUE!</v>
      </c>
      <c r="AX121" t="e">
        <f>'Compiled Agents'!565:565-"h_l!&amp;um"</f>
        <v>#VALUE!</v>
      </c>
      <c r="AY121" t="e">
        <f>'Compiled Agents'!566:566-"h_l!&amp;un"</f>
        <v>#VALUE!</v>
      </c>
      <c r="AZ121" t="e">
        <f>'Compiled Agents'!567:567-"h_l!&amp;uo"</f>
        <v>#VALUE!</v>
      </c>
      <c r="BA121" t="e">
        <f>'Compiled Agents'!568:568-"h_l!&amp;up"</f>
        <v>#VALUE!</v>
      </c>
      <c r="BB121" t="e">
        <f>'Compiled Agents'!569:569-"h_l!&amp;uq"</f>
        <v>#VALUE!</v>
      </c>
      <c r="BC121" t="e">
        <f>'Compiled Agents'!570:570-"h_l!&amp;ur"</f>
        <v>#VALUE!</v>
      </c>
      <c r="BD121" t="e">
        <f>'Compiled Agents'!571:571-"h_l!&amp;us"</f>
        <v>#VALUE!</v>
      </c>
      <c r="BE121" t="e">
        <f>'Compiled Agents'!572:572-"h_l!&amp;ut"</f>
        <v>#VALUE!</v>
      </c>
      <c r="BF121" t="e">
        <f>'Compiled Agents'!573:573-"h_l!&amp;uu"</f>
        <v>#VALUE!</v>
      </c>
      <c r="BG121" t="e">
        <f>'Compiled Agents'!574:574-"h_l!&amp;uv"</f>
        <v>#VALUE!</v>
      </c>
      <c r="BH121" t="e">
        <f>'Compiled Agents'!575:575-"h_l!&amp;uw"</f>
        <v>#VALUE!</v>
      </c>
      <c r="BI121" t="e">
        <f>'Compiled Agents'!576:576-"h_l!&amp;ux"</f>
        <v>#VALUE!</v>
      </c>
      <c r="BJ121" t="e">
        <f>'Compiled Agents'!577:577-"h_l!&amp;uy"</f>
        <v>#VALUE!</v>
      </c>
      <c r="BK121" t="e">
        <f>'Compiled Agents'!578:578-"h_l!&amp;uz"</f>
        <v>#VALUE!</v>
      </c>
      <c r="BL121" t="e">
        <f>'Compiled Agents'!579:579-"h_l!&amp;u{"</f>
        <v>#VALUE!</v>
      </c>
      <c r="BM121" t="e">
        <f>'Compiled Agents'!580:580-"h_l!&amp;u|"</f>
        <v>#VALUE!</v>
      </c>
      <c r="BN121" t="e">
        <f>'Compiled Agents'!581:581-"h_l!&amp;u}"</f>
        <v>#VALUE!</v>
      </c>
      <c r="BO121" t="e">
        <f>'Compiled Agents'!582:582-"h_l!&amp;u~"</f>
        <v>#VALUE!</v>
      </c>
      <c r="BP121" t="e">
        <f>'Compiled Agents'!583:583-"h_l!&amp;v#"</f>
        <v>#VALUE!</v>
      </c>
      <c r="BQ121" t="e">
        <f>'Compiled Agents'!584:584-"h_l!&amp;v$"</f>
        <v>#VALUE!</v>
      </c>
      <c r="BR121" t="e">
        <f>'Compiled Agents'!585:585-"h_l!&amp;v%"</f>
        <v>#VALUE!</v>
      </c>
      <c r="BS121" t="e">
        <f>'Compiled Agents'!586:586-"h_l!&amp;v&amp;"</f>
        <v>#VALUE!</v>
      </c>
      <c r="BT121" t="e">
        <f>'Compiled Agents'!587:587-"h_l!&amp;v'"</f>
        <v>#VALUE!</v>
      </c>
      <c r="BU121" t="e">
        <f>'Compiled Agents'!588:588-"h_l!&amp;v("</f>
        <v>#VALUE!</v>
      </c>
      <c r="BV121" t="e">
        <f>'Compiled Agents'!589:589-"h_l!&amp;v)"</f>
        <v>#VALUE!</v>
      </c>
      <c r="BW121" t="e">
        <f>'Compiled Agents'!590:590-"h_l!&amp;v."</f>
        <v>#VALUE!</v>
      </c>
      <c r="BX121" t="e">
        <f>'Compiled Agents'!591:591-"h_l!&amp;v/"</f>
        <v>#VALUE!</v>
      </c>
      <c r="BY121" t="e">
        <f>'Compiled Agents'!592:592-"h_l!&amp;v0"</f>
        <v>#VALUE!</v>
      </c>
      <c r="BZ121" t="e">
        <f>'Compiled Agents'!593:593-"h_l!&amp;v1"</f>
        <v>#VALUE!</v>
      </c>
      <c r="CA121" t="e">
        <f>'Compiled Agents'!594:594-"h_l!&amp;v2"</f>
        <v>#VALUE!</v>
      </c>
      <c r="CB121" t="e">
        <f>'Compiled Agents'!595:595-"h_l!&amp;v3"</f>
        <v>#VALUE!</v>
      </c>
      <c r="CC121" t="e">
        <f>'Compiled Agents'!596:596-"h_l!&amp;v4"</f>
        <v>#VALUE!</v>
      </c>
      <c r="CD121" t="e">
        <f>'Compiled Agents'!597:597-"h_l!&amp;v5"</f>
        <v>#VALUE!</v>
      </c>
      <c r="CE121" t="e">
        <f>'Compiled Agents'!598:598-"h_l!&amp;v6"</f>
        <v>#VALUE!</v>
      </c>
      <c r="CF121" t="e">
        <f>'Compiled Agents'!599:599-"h_l!&amp;v7"</f>
        <v>#VALUE!</v>
      </c>
      <c r="CG121" t="e">
        <f>'Compiled Agents'!600:600-"h_l!&amp;v8"</f>
        <v>#VALUE!</v>
      </c>
      <c r="CH121" t="e">
        <f>'Compiled Agents'!601:601-"h_l!&amp;v9"</f>
        <v>#VALUE!</v>
      </c>
      <c r="CI121" t="e">
        <f>'Compiled Agents'!602:602-"h_l!&amp;v:"</f>
        <v>#VALUE!</v>
      </c>
      <c r="CJ121" t="e">
        <f>'Compiled Agents'!603:603-"h_l!&amp;v;"</f>
        <v>#VALUE!</v>
      </c>
      <c r="CK121" t="e">
        <f>'Compiled Agents'!604:604-"h_l!&amp;v&lt;"</f>
        <v>#VALUE!</v>
      </c>
      <c r="CL121" t="e">
        <f>'Compiled Agents'!605:605-"h_l!&amp;v="</f>
        <v>#VALUE!</v>
      </c>
      <c r="CM121" t="e">
        <f>'Compiled Agents'!606:606-"h_l!&amp;v&gt;"</f>
        <v>#VALUE!</v>
      </c>
      <c r="CN121" t="e">
        <f>'Compiled Agents'!607:607-"h_l!&amp;v?"</f>
        <v>#VALUE!</v>
      </c>
      <c r="CO121" t="e">
        <f>'Compiled Agents'!608:608-"h_l!&amp;v@"</f>
        <v>#VALUE!</v>
      </c>
      <c r="CP121" t="e">
        <f>'Compiled Agents'!609:609-"h_l!&amp;vA"</f>
        <v>#VALUE!</v>
      </c>
      <c r="CQ121" t="e">
        <f>'Compiled Agents'!610:610-"h_l!&amp;vB"</f>
        <v>#VALUE!</v>
      </c>
      <c r="CR121" t="e">
        <f>'Compiled Agents'!611:611-"h_l!&amp;vC"</f>
        <v>#VALUE!</v>
      </c>
      <c r="CS121" t="e">
        <f>'Compiled Agents'!612:612-"h_l!&amp;vD"</f>
        <v>#VALUE!</v>
      </c>
      <c r="CT121" t="e">
        <f>'Compiled Agents'!613:613-"h_l!&amp;vE"</f>
        <v>#VALUE!</v>
      </c>
      <c r="CU121" t="e">
        <f>'Compiled Agents'!614:614-"h_l!&amp;vF"</f>
        <v>#VALUE!</v>
      </c>
      <c r="CV121" t="e">
        <f>'Compiled Agents'!615:615-"h_l!&amp;vG"</f>
        <v>#VALUE!</v>
      </c>
      <c r="CW121" t="e">
        <f>'Compiled Agents'!616:616-"h_l!&amp;vH"</f>
        <v>#VALUE!</v>
      </c>
      <c r="CX121" t="e">
        <f>'Compiled Agents'!617:617-"h_l!&amp;vI"</f>
        <v>#VALUE!</v>
      </c>
      <c r="CY121" t="e">
        <f>'Compiled Agents'!618:618-"h_l!&amp;vJ"</f>
        <v>#VALUE!</v>
      </c>
      <c r="CZ121" t="e">
        <f>'Compiled Agents'!619:619-"h_l!&amp;vK"</f>
        <v>#VALUE!</v>
      </c>
      <c r="DA121" t="e">
        <f>'Compiled Agents'!620:620-"h_l!&amp;vL"</f>
        <v>#VALUE!</v>
      </c>
      <c r="DB121" t="e">
        <f>'Compiled Agents'!621:621-"h_l!&amp;vM"</f>
        <v>#VALUE!</v>
      </c>
      <c r="DC121" t="e">
        <f>'Compiled Agents'!622:622-"h_l!&amp;vN"</f>
        <v>#VALUE!</v>
      </c>
      <c r="DD121" t="e">
        <f>'Compiled Agents'!623:623-"h_l!&amp;vO"</f>
        <v>#VALUE!</v>
      </c>
      <c r="DE121" t="e">
        <f>'Compiled Agents'!624:624-"h_l!&amp;vP"</f>
        <v>#VALUE!</v>
      </c>
      <c r="DF121" t="e">
        <f>'Compiled Agents'!625:625-"h_l!&amp;vQ"</f>
        <v>#VALUE!</v>
      </c>
      <c r="DG121" t="e">
        <f>'Compiled Agents'!626:626-"h_l!&amp;vR"</f>
        <v>#VALUE!</v>
      </c>
      <c r="DH121" t="e">
        <f>'Compiled Agents'!627:627-"h_l!&amp;vS"</f>
        <v>#VALUE!</v>
      </c>
      <c r="DI121" t="e">
        <f>'Compiled Agents'!628:628-"h_l!&amp;vT"</f>
        <v>#VALUE!</v>
      </c>
      <c r="DJ121" t="e">
        <f>'Compiled Agents'!629:629-"h_l!&amp;vU"</f>
        <v>#VALUE!</v>
      </c>
      <c r="DK121" t="e">
        <f>'Compiled Agents'!630:630-"h_l!&amp;vV"</f>
        <v>#VALUE!</v>
      </c>
      <c r="DL121" t="e">
        <f>'Compiled Agents'!631:631-"h_l!&amp;vW"</f>
        <v>#VALUE!</v>
      </c>
      <c r="DM121" t="e">
        <f>'Compiled Agents'!632:632-"h_l!&amp;vX"</f>
        <v>#VALUE!</v>
      </c>
      <c r="DN121" t="e">
        <f>'Compiled Agents'!633:633-"h_l!&amp;vY"</f>
        <v>#VALUE!</v>
      </c>
      <c r="DO121" t="e">
        <f>'Compiled Agents'!634:634-"h_l!&amp;vZ"</f>
        <v>#VALUE!</v>
      </c>
      <c r="DP121" t="e">
        <f>'Compiled Agents'!635:635-"h_l!&amp;v["</f>
        <v>#VALUE!</v>
      </c>
      <c r="DQ121" t="e">
        <f>'Compiled Agents'!636:636-"h_l!&amp;v\"</f>
        <v>#VALUE!</v>
      </c>
      <c r="DR121" t="e">
        <f>'Compiled Agents'!637:637-"h_l!&amp;v]"</f>
        <v>#VALUE!</v>
      </c>
      <c r="DS121" t="e">
        <f>'Compiled Agents'!638:638-"h_l!&amp;v^"</f>
        <v>#VALUE!</v>
      </c>
      <c r="DT121" t="e">
        <f>'Compiled Agents'!639:639-"h_l!&amp;v_"</f>
        <v>#VALUE!</v>
      </c>
      <c r="DU121" t="e">
        <f>'Compiled Agents'!640:640-"h_l!&amp;v`"</f>
        <v>#VALUE!</v>
      </c>
      <c r="DV121" t="e">
        <f>'Compiled Agents'!641:641-"h_l!&amp;va"</f>
        <v>#VALUE!</v>
      </c>
      <c r="DW121" t="e">
        <f>'Compiled Agents'!642:642-"h_l!&amp;vb"</f>
        <v>#VALUE!</v>
      </c>
      <c r="DX121" t="e">
        <f>'Compiled Agents'!643:643-"h_l!&amp;vc"</f>
        <v>#VALUE!</v>
      </c>
      <c r="DY121" t="e">
        <f>'Compiled Agents'!644:644-"h_l!&amp;vd"</f>
        <v>#VALUE!</v>
      </c>
      <c r="DZ121" t="e">
        <f>'Compiled Agents'!645:645-"h_l!&amp;ve"</f>
        <v>#VALUE!</v>
      </c>
      <c r="EA121" t="e">
        <f>'Compiled Agents'!646:646-"h_l!&amp;vf"</f>
        <v>#VALUE!</v>
      </c>
      <c r="EB121" t="e">
        <f>'Compiled Agents'!647:647-"h_l!&amp;vg"</f>
        <v>#VALUE!</v>
      </c>
      <c r="EC121" t="e">
        <f>'Compiled Agents'!648:648-"h_l!&amp;vh"</f>
        <v>#VALUE!</v>
      </c>
      <c r="ED121" t="e">
        <f>'Compiled Agents'!649:649-"h_l!&amp;vi"</f>
        <v>#VALUE!</v>
      </c>
      <c r="EE121" t="e">
        <f>'Compiled Agents'!650:650-"h_l!&amp;vj"</f>
        <v>#VALUE!</v>
      </c>
      <c r="EF121" t="e">
        <f>'Compiled Agents'!651:651-"h_l!&amp;vk"</f>
        <v>#VALUE!</v>
      </c>
      <c r="EG121" t="e">
        <f>'Compiled Agents'!652:652-"h_l!&amp;vl"</f>
        <v>#VALUE!</v>
      </c>
      <c r="EH121" t="e">
        <f>'Compiled Agents'!653:653-"h_l!&amp;vm"</f>
        <v>#VALUE!</v>
      </c>
      <c r="EI121" t="e">
        <f>'Compiled Agents'!654:654-"h_l!&amp;vn"</f>
        <v>#VALUE!</v>
      </c>
      <c r="EJ121" t="e">
        <f>'Compiled Agents'!655:655-"h_l!&amp;vo"</f>
        <v>#VALUE!</v>
      </c>
      <c r="EK121" t="e">
        <f>'Compiled Agents'!656:656-"h_l!&amp;vp"</f>
        <v>#VALUE!</v>
      </c>
      <c r="EL121" t="e">
        <f>'Compiled Agents'!657:657-"h_l!&amp;vq"</f>
        <v>#VALUE!</v>
      </c>
      <c r="EM121" t="e">
        <f>'Compiled Agents'!658:658-"h_l!&amp;vr"</f>
        <v>#VALUE!</v>
      </c>
      <c r="EN121" t="e">
        <f>'Compiled Agents'!659:659-"h_l!&amp;vs"</f>
        <v>#VALUE!</v>
      </c>
      <c r="EO121" t="e">
        <f>'Compiled Agents'!660:660-"h_l!&amp;vt"</f>
        <v>#VALUE!</v>
      </c>
      <c r="EP121" t="e">
        <f>'Compiled Agents'!661:661-"h_l!&amp;vu"</f>
        <v>#VALUE!</v>
      </c>
      <c r="EQ121" t="e">
        <f>'Compiled Agents'!662:662-"h_l!&amp;vv"</f>
        <v>#VALUE!</v>
      </c>
      <c r="ER121" t="e">
        <f>'Compiled Agents'!663:663-"h_l!&amp;vw"</f>
        <v>#VALUE!</v>
      </c>
      <c r="ES121" t="e">
        <f>'Compiled Agents'!664:664-"h_l!&amp;vx"</f>
        <v>#VALUE!</v>
      </c>
      <c r="ET121" t="e">
        <f>'Compiled Agents'!665:665-"h_l!&amp;vy"</f>
        <v>#VALUE!</v>
      </c>
      <c r="EU121" t="e">
        <f>'Compiled Agents'!666:666-"h_l!&amp;vz"</f>
        <v>#VALUE!</v>
      </c>
      <c r="EV121" t="e">
        <f>'Compiled Agents'!667:667-"h_l!&amp;v{"</f>
        <v>#VALUE!</v>
      </c>
      <c r="EW121" t="e">
        <f>'Compiled Agents'!668:668-"h_l!&amp;v|"</f>
        <v>#VALUE!</v>
      </c>
      <c r="EX121" t="e">
        <f>'Compiled Agents'!669:669-"h_l!&amp;v}"</f>
        <v>#VALUE!</v>
      </c>
      <c r="EY121" t="e">
        <f>'Compiled Agents'!670:670-"h_l!&amp;v~"</f>
        <v>#VALUE!</v>
      </c>
      <c r="EZ121" t="e">
        <f>'Compiled Agents'!671:671-"h_l!&amp;w#"</f>
        <v>#VALUE!</v>
      </c>
      <c r="FA121" t="e">
        <f>'Compiled Agents'!672:672-"h_l!&amp;w$"</f>
        <v>#VALUE!</v>
      </c>
      <c r="FB121" t="e">
        <f>'Compiled Agents'!673:673-"h_l!&amp;w%"</f>
        <v>#VALUE!</v>
      </c>
      <c r="FC121" t="e">
        <f>'Compiled Agents'!674:674-"h_l!&amp;w&amp;"</f>
        <v>#VALUE!</v>
      </c>
      <c r="FD121" t="e">
        <f>'Compiled Agents'!675:675-"h_l!&amp;w'"</f>
        <v>#VALUE!</v>
      </c>
      <c r="FE121" t="e">
        <f>'Compiled Agents'!676:676-"h_l!&amp;w("</f>
        <v>#VALUE!</v>
      </c>
      <c r="FF121" t="e">
        <f>'Compiled Agents'!677:677-"h_l!&amp;w)"</f>
        <v>#VALUE!</v>
      </c>
      <c r="FG121" t="e">
        <f>'Compiled Agents'!678:678-"h_l!&amp;w."</f>
        <v>#VALUE!</v>
      </c>
      <c r="FH121" t="e">
        <f>'Compiled Agents'!679:679-"h_l!&amp;w/"</f>
        <v>#VALUE!</v>
      </c>
      <c r="FI121" t="e">
        <f>'Compiled Agents'!680:680-"h_l!&amp;w0"</f>
        <v>#VALUE!</v>
      </c>
      <c r="FJ121" t="e">
        <f>'Compiled Agents'!681:681-"h_l!&amp;w1"</f>
        <v>#VALUE!</v>
      </c>
      <c r="FK121" t="e">
        <f>'Compiled Agents'!682:682-"h_l!&amp;w2"</f>
        <v>#VALUE!</v>
      </c>
      <c r="FL121" t="e">
        <f>'Compiled Agents'!683:683-"h_l!&amp;w3"</f>
        <v>#VALUE!</v>
      </c>
      <c r="FM121" t="e">
        <f>'Compiled Agents'!684:684-"h_l!&amp;w4"</f>
        <v>#VALUE!</v>
      </c>
      <c r="FN121" t="e">
        <f>'Compiled Agents'!685:685-"h_l!&amp;w5"</f>
        <v>#VALUE!</v>
      </c>
      <c r="FO121" t="e">
        <f>'Compiled Agents'!686:686-"h_l!&amp;w6"</f>
        <v>#VALUE!</v>
      </c>
      <c r="FP121" t="e">
        <f>'Compiled Agents'!687:687-"h_l!&amp;w7"</f>
        <v>#VALUE!</v>
      </c>
      <c r="FQ121" t="e">
        <f>'Compiled Agents'!688:688-"h_l!&amp;w8"</f>
        <v>#VALUE!</v>
      </c>
      <c r="FR121" t="e">
        <f>'Compiled Agents'!689:689-"h_l!&amp;w9"</f>
        <v>#VALUE!</v>
      </c>
      <c r="FS121" t="e">
        <f>'Compiled Agents'!690:690-"h_l!&amp;w:"</f>
        <v>#VALUE!</v>
      </c>
      <c r="FT121" t="e">
        <f>'Compiled Agents'!691:691-"h_l!&amp;w;"</f>
        <v>#VALUE!</v>
      </c>
      <c r="FU121" t="e">
        <f>'Compiled Agents'!692:692-"h_l!&amp;w&lt;"</f>
        <v>#VALUE!</v>
      </c>
      <c r="FV121" t="e">
        <f>'Compiled Agents'!693:693-"h_l!&amp;w="</f>
        <v>#VALUE!</v>
      </c>
      <c r="FW121" t="e">
        <f>'Compiled Agents'!694:694-"h_l!&amp;w&gt;"</f>
        <v>#VALUE!</v>
      </c>
      <c r="FX121" t="e">
        <f>'Compiled Agents'!695:695-"h_l!&amp;w?"</f>
        <v>#VALUE!</v>
      </c>
      <c r="FY121" t="e">
        <f>'Compiled Agents'!696:696-"h_l!&amp;w@"</f>
        <v>#VALUE!</v>
      </c>
      <c r="FZ121" t="e">
        <f>'Compiled Agents'!697:697-"h_l!&amp;wA"</f>
        <v>#VALUE!</v>
      </c>
      <c r="GA121" t="e">
        <f>'Compiled Agents'!698:698-"h_l!&amp;wB"</f>
        <v>#VALUE!</v>
      </c>
      <c r="GB121" t="e">
        <f>'Compiled Agents'!699:699-"h_l!&amp;wC"</f>
        <v>#VALUE!</v>
      </c>
      <c r="GC121" t="e">
        <f>'Compiled Agents'!700:700-"h_l!&amp;wD"</f>
        <v>#VALUE!</v>
      </c>
      <c r="GD121" t="e">
        <f>'Compiled Agents'!701:701-"h_l!&amp;wE"</f>
        <v>#VALUE!</v>
      </c>
      <c r="GE121" t="e">
        <f>'Compiled Agents'!702:702-"h_l!&amp;wF"</f>
        <v>#VALUE!</v>
      </c>
      <c r="GF121" t="e">
        <f>'Compiled Agents'!703:703-"h_l!&amp;wG"</f>
        <v>#VALUE!</v>
      </c>
      <c r="GG121" t="e">
        <f>'Compiled Agents'!704:704-"h_l!&amp;wH"</f>
        <v>#VALUE!</v>
      </c>
      <c r="GH121" t="e">
        <f>'Compiled Agents'!705:705-"h_l!&amp;wI"</f>
        <v>#VALUE!</v>
      </c>
      <c r="GI121" t="e">
        <f>'Compiled Agents'!706:706-"h_l!&amp;wJ"</f>
        <v>#VALUE!</v>
      </c>
      <c r="GJ121" t="e">
        <f>'Compiled Agents'!707:707-"h_l!&amp;wK"</f>
        <v>#VALUE!</v>
      </c>
      <c r="GK121" t="e">
        <f>'Compiled Agents'!708:708-"h_l!&amp;wL"</f>
        <v>#VALUE!</v>
      </c>
      <c r="GL121" t="e">
        <f>'Compiled Agents'!709:709-"h_l!&amp;wM"</f>
        <v>#VALUE!</v>
      </c>
      <c r="GM121" t="e">
        <f>'Compiled Agents'!710:710-"h_l!&amp;wN"</f>
        <v>#VALUE!</v>
      </c>
      <c r="GN121" t="e">
        <f>'Compiled Agents'!711:711-"h_l!&amp;wO"</f>
        <v>#VALUE!</v>
      </c>
      <c r="GO121" t="e">
        <f>'Compiled Agents'!712:712-"h_l!&amp;wP"</f>
        <v>#VALUE!</v>
      </c>
      <c r="GP121" t="e">
        <f>'Compiled Agents'!713:713-"h_l!&amp;wQ"</f>
        <v>#VALUE!</v>
      </c>
      <c r="GQ121" t="e">
        <f>'Compiled Agents'!714:714-"h_l!&amp;wR"</f>
        <v>#VALUE!</v>
      </c>
      <c r="GR121" t="e">
        <f>'Compiled Agents'!715:715-"h_l!&amp;wS"</f>
        <v>#VALUE!</v>
      </c>
      <c r="GS121" t="e">
        <f>'Compiled Agents'!716:716-"h_l!&amp;wT"</f>
        <v>#VALUE!</v>
      </c>
      <c r="GT121" t="e">
        <f>'Compiled Agents'!717:717-"h_l!&amp;wU"</f>
        <v>#VALUE!</v>
      </c>
      <c r="GU121" t="e">
        <f>'Compiled Agents'!718:718-"h_l!&amp;wV"</f>
        <v>#VALUE!</v>
      </c>
      <c r="GV121" t="e">
        <f>'Compiled Agents'!719:719-"h_l!&amp;wW"</f>
        <v>#VALUE!</v>
      </c>
      <c r="GW121" t="e">
        <f>'Compiled Agents'!720:720-"h_l!&amp;wX"</f>
        <v>#VALUE!</v>
      </c>
      <c r="GX121" t="e">
        <f>'Compiled Agents'!721:721-"h_l!&amp;wY"</f>
        <v>#VALUE!</v>
      </c>
      <c r="GY121" t="e">
        <f>'Compiled Agents'!722:722-"h_l!&amp;wZ"</f>
        <v>#VALUE!</v>
      </c>
      <c r="GZ121" t="e">
        <f>'Compiled Agents'!723:723-"h_l!&amp;w["</f>
        <v>#VALUE!</v>
      </c>
      <c r="HA121" t="e">
        <f>'Compiled Agents'!724:724-"h_l!&amp;w\"</f>
        <v>#VALUE!</v>
      </c>
      <c r="HB121" t="e">
        <f>'Compiled Agents'!725:725-"h_l!&amp;w]"</f>
        <v>#VALUE!</v>
      </c>
      <c r="HC121" t="e">
        <f>'Compiled Agents'!726:726-"h_l!&amp;w^"</f>
        <v>#VALUE!</v>
      </c>
      <c r="HD121" t="e">
        <f>'Compiled Agents'!727:727-"h_l!&amp;w_"</f>
        <v>#VALUE!</v>
      </c>
      <c r="HE121" t="e">
        <f>'Compiled Agents'!728:728-"h_l!&amp;w`"</f>
        <v>#VALUE!</v>
      </c>
      <c r="HF121" t="e">
        <f>'Compiled Agents'!729:729-"h_l!&amp;wa"</f>
        <v>#VALUE!</v>
      </c>
      <c r="HG121" t="e">
        <f>'Compiled Agents'!730:730-"h_l!&amp;wb"</f>
        <v>#VALUE!</v>
      </c>
      <c r="HH121" t="e">
        <f>'Compiled Agents'!731:731-"h_l!&amp;wc"</f>
        <v>#VALUE!</v>
      </c>
      <c r="HI121" t="e">
        <f>'Compiled Agents'!732:732-"h_l!&amp;wd"</f>
        <v>#VALUE!</v>
      </c>
      <c r="HJ121" t="e">
        <f>'Compiled Agents'!733:733-"h_l!&amp;we"</f>
        <v>#VALUE!</v>
      </c>
      <c r="HK121" t="e">
        <f>'Compiled Agents'!734:734-"h_l!&amp;wf"</f>
        <v>#VALUE!</v>
      </c>
      <c r="HL121" t="e">
        <f>'Compiled Agents'!735:735-"h_l!&amp;wg"</f>
        <v>#VALUE!</v>
      </c>
      <c r="HM121" t="e">
        <f>'Compiled Agents'!736:736-"h_l!&amp;wh"</f>
        <v>#VALUE!</v>
      </c>
      <c r="HN121" t="e">
        <f>'Compiled Agents'!737:737-"h_l!&amp;wi"</f>
        <v>#VALUE!</v>
      </c>
      <c r="HO121" t="e">
        <f>'Compiled Agents'!738:738-"h_l!&amp;wj"</f>
        <v>#VALUE!</v>
      </c>
      <c r="HP121" t="e">
        <f>'Compiled Agents'!739:739-"h_l!&amp;wk"</f>
        <v>#VALUE!</v>
      </c>
      <c r="HQ121" t="e">
        <f>'Compiled Agents'!740:740-"h_l!&amp;wl"</f>
        <v>#VALUE!</v>
      </c>
      <c r="HR121" t="e">
        <f>'Compiled Agents'!741:741-"h_l!&amp;wm"</f>
        <v>#VALUE!</v>
      </c>
      <c r="HS121" t="e">
        <f>'Compiled Agents'!742:742-"h_l!&amp;wn"</f>
        <v>#VALUE!</v>
      </c>
      <c r="HT121" t="e">
        <f>'Compiled Agents'!743:743-"h_l!&amp;wo"</f>
        <v>#VALUE!</v>
      </c>
      <c r="HU121" t="e">
        <f>'Compiled Agents'!744:744-"h_l!&amp;wp"</f>
        <v>#VALUE!</v>
      </c>
      <c r="HV121" t="e">
        <f>'Compiled Agents'!745:745-"h_l!&amp;wq"</f>
        <v>#VALUE!</v>
      </c>
      <c r="HW121" t="e">
        <f>'Compiled Agents'!746:746-"h_l!&amp;wr"</f>
        <v>#VALUE!</v>
      </c>
      <c r="HX121" t="e">
        <f>'Compiled Agents'!747:747-"h_l!&amp;ws"</f>
        <v>#VALUE!</v>
      </c>
      <c r="HY121" t="e">
        <f>'Compiled Agents'!748:748-"h_l!&amp;wt"</f>
        <v>#VALUE!</v>
      </c>
      <c r="HZ121" t="e">
        <f>'Compiled Agents'!749:749-"h_l!&amp;wu"</f>
        <v>#VALUE!</v>
      </c>
      <c r="IA121" t="e">
        <f>'Compiled Agents'!750:750-"h_l!&amp;wv"</f>
        <v>#VALUE!</v>
      </c>
      <c r="IB121" t="e">
        <f>'Compiled Agents'!751:751-"h_l!&amp;ww"</f>
        <v>#VALUE!</v>
      </c>
      <c r="IC121" t="e">
        <f>'Compiled Agents'!752:752-"h_l!&amp;wx"</f>
        <v>#VALUE!</v>
      </c>
      <c r="ID121" t="e">
        <f>'Compiled Agents'!753:753-"h_l!&amp;wy"</f>
        <v>#VALUE!</v>
      </c>
      <c r="IE121" t="e">
        <f>'Compiled Agents'!754:754-"h_l!&amp;wz"</f>
        <v>#VALUE!</v>
      </c>
      <c r="IF121" t="e">
        <f>'Compiled Agents'!755:755-"h_l!&amp;w{"</f>
        <v>#VALUE!</v>
      </c>
      <c r="IG121" t="e">
        <f>'Compiled Agents'!756:756-"h_l!&amp;w|"</f>
        <v>#VALUE!</v>
      </c>
      <c r="IH121" t="e">
        <f>'Compiled Agents'!757:757-"h_l!&amp;w}"</f>
        <v>#VALUE!</v>
      </c>
      <c r="II121" t="e">
        <f>'Compiled Agents'!758:758-"h_l!&amp;w~"</f>
        <v>#VALUE!</v>
      </c>
      <c r="IJ121" t="e">
        <f>'Compiled Agents'!759:759-"h_l!&amp;x#"</f>
        <v>#VALUE!</v>
      </c>
      <c r="IK121" t="e">
        <f>'Compiled Agents'!760:760-"h_l!&amp;x$"</f>
        <v>#VALUE!</v>
      </c>
      <c r="IL121" t="e">
        <f>'Compiled Agents'!761:761-"h_l!&amp;x%"</f>
        <v>#VALUE!</v>
      </c>
      <c r="IM121" t="e">
        <f>'Compiled Agents'!762:762-"h_l!&amp;x&amp;"</f>
        <v>#VALUE!</v>
      </c>
      <c r="IN121" t="e">
        <f>'Compiled Agents'!763:763-"h_l!&amp;x'"</f>
        <v>#VALUE!</v>
      </c>
      <c r="IO121" t="e">
        <f>'Compiled Agents'!764:764-"h_l!&amp;x("</f>
        <v>#VALUE!</v>
      </c>
      <c r="IP121" t="e">
        <f>'Compiled Agents'!765:765-"h_l!&amp;x)"</f>
        <v>#VALUE!</v>
      </c>
      <c r="IQ121" t="e">
        <f>'Compiled Agents'!766:766-"h_l!&amp;x."</f>
        <v>#VALUE!</v>
      </c>
      <c r="IR121" t="e">
        <f>'Compiled Agents'!767:767-"h_l!&amp;x/"</f>
        <v>#VALUE!</v>
      </c>
      <c r="IS121" t="e">
        <f>'Compiled Agents'!768:768-"h_l!&amp;x0"</f>
        <v>#VALUE!</v>
      </c>
      <c r="IT121" t="e">
        <f>'Compiled Agents'!769:769-"h_l!&amp;x1"</f>
        <v>#VALUE!</v>
      </c>
      <c r="IU121" t="e">
        <f>'Compiled Agents'!770:770-"h_l!&amp;x2"</f>
        <v>#VALUE!</v>
      </c>
      <c r="IV121" t="e">
        <f>'Compiled Agents'!771:771-"h_l!&amp;x3"</f>
        <v>#VALUE!</v>
      </c>
    </row>
    <row r="122" spans="6:256" x14ac:dyDescent="0.25">
      <c r="F122" t="e">
        <f>'Compiled Agents'!772:772-"h_l!&amp;x4"</f>
        <v>#VALUE!</v>
      </c>
      <c r="G122" t="e">
        <f>'Compiled Agents'!773:773-"h_l!&amp;x5"</f>
        <v>#VALUE!</v>
      </c>
      <c r="H122" t="e">
        <f>'Compiled Agents'!774:774-"h_l!&amp;x6"</f>
        <v>#VALUE!</v>
      </c>
      <c r="I122" t="e">
        <f>'Compiled Agents'!775:775-"h_l!&amp;x7"</f>
        <v>#VALUE!</v>
      </c>
      <c r="J122" t="e">
        <f>'Compiled Agents'!776:776-"h_l!&amp;x8"</f>
        <v>#VALUE!</v>
      </c>
      <c r="K122" t="e">
        <f>'Compiled Agents'!777:777-"h_l!&amp;x9"</f>
        <v>#VALUE!</v>
      </c>
      <c r="L122" t="e">
        <f>'Compiled Agents'!778:778-"h_l!&amp;x:"</f>
        <v>#VALUE!</v>
      </c>
      <c r="M122" t="e">
        <f>'Compiled Agents'!779:779-"h_l!&amp;x;"</f>
        <v>#VALUE!</v>
      </c>
      <c r="N122" t="e">
        <f>'Compiled Agents'!780:780-"h_l!&amp;x&lt;"</f>
        <v>#VALUE!</v>
      </c>
      <c r="O122" t="e">
        <f>'Compiled Agents'!781:781-"h_l!&amp;x="</f>
        <v>#VALUE!</v>
      </c>
      <c r="P122" t="e">
        <f>'Compiled Agents'!782:782-"h_l!&amp;x&gt;"</f>
        <v>#VALUE!</v>
      </c>
      <c r="Q122" t="e">
        <f>'Compiled Agents'!783:783-"h_l!&amp;x?"</f>
        <v>#VALUE!</v>
      </c>
      <c r="R122" t="e">
        <f>'Compiled Agents'!784:784-"h_l!&amp;x@"</f>
        <v>#VALUE!</v>
      </c>
      <c r="S122" t="e">
        <f>'Compiled Agents'!785:785-"h_l!&amp;xA"</f>
        <v>#VALUE!</v>
      </c>
      <c r="T122" t="e">
        <f>'Compiled Agents'!786:786-"h_l!&amp;xB"</f>
        <v>#VALUE!</v>
      </c>
      <c r="U122" t="e">
        <f>'Compiled Agents'!787:787-"h_l!&amp;xC"</f>
        <v>#VALUE!</v>
      </c>
      <c r="V122" t="e">
        <f>'Compiled Agents'!788:788-"h_l!&amp;xD"</f>
        <v>#VALUE!</v>
      </c>
      <c r="W122" t="e">
        <f>'Compiled Agents'!789:789-"h_l!&amp;xE"</f>
        <v>#VALUE!</v>
      </c>
      <c r="X122" t="e">
        <f>'Compiled Agents'!790:790-"h_l!&amp;xF"</f>
        <v>#VALUE!</v>
      </c>
      <c r="Y122" t="e">
        <f>'Compiled Agents'!791:791-"h_l!&amp;xG"</f>
        <v>#VALUE!</v>
      </c>
      <c r="Z122" t="e">
        <f>'Compiled Agents'!792:792-"h_l!&amp;xH"</f>
        <v>#VALUE!</v>
      </c>
      <c r="AA122" t="e">
        <f>'Compiled Agents'!793:793-"h_l!&amp;xI"</f>
        <v>#VALUE!</v>
      </c>
      <c r="AB122" t="e">
        <f>'Compiled Agents'!794:794-"h_l!&amp;xJ"</f>
        <v>#VALUE!</v>
      </c>
      <c r="AC122" t="e">
        <f>'Compiled Agents'!795:795-"h_l!&amp;xK"</f>
        <v>#VALUE!</v>
      </c>
      <c r="AD122" t="e">
        <f>'Compiled Agents'!796:796-"h_l!&amp;xL"</f>
        <v>#VALUE!</v>
      </c>
      <c r="AE122" t="e">
        <f>'Compiled Agents'!797:797-"h_l!&amp;xM"</f>
        <v>#VALUE!</v>
      </c>
      <c r="AF122" t="e">
        <f>'Compiled Agents'!798:798-"h_l!&amp;xN"</f>
        <v>#VALUE!</v>
      </c>
      <c r="AG122" t="e">
        <f>'Compiled Agents'!799:799-"h_l!&amp;xO"</f>
        <v>#VALUE!</v>
      </c>
      <c r="AH122" t="e">
        <f>'Compiled Agents'!800:800-"h_l!&amp;xP"</f>
        <v>#VALUE!</v>
      </c>
      <c r="AI122" t="e">
        <f>'Compiled Agents'!801:801-"h_l!&amp;xQ"</f>
        <v>#VALUE!</v>
      </c>
      <c r="AJ122" t="e">
        <f>'Compiled Agents'!802:802-"h_l!&amp;xR"</f>
        <v>#VALUE!</v>
      </c>
      <c r="AK122" t="e">
        <f>'Compiled Agents'!803:803-"h_l!&amp;xS"</f>
        <v>#VALUE!</v>
      </c>
      <c r="AL122" t="e">
        <f>'Compiled Agents'!804:804-"h_l!&amp;xT"</f>
        <v>#VALUE!</v>
      </c>
      <c r="AM122" t="e">
        <f>'Compiled Agents'!805:805-"h_l!&amp;xU"</f>
        <v>#VALUE!</v>
      </c>
      <c r="AN122" t="e">
        <f>'Compiled Agents'!806:806-"h_l!&amp;xV"</f>
        <v>#VALUE!</v>
      </c>
      <c r="AO122" t="e">
        <f>'Compiled Agents'!807:807-"h_l!&amp;xW"</f>
        <v>#VALUE!</v>
      </c>
      <c r="AP122" t="e">
        <f>'Compiled Agents'!808:808-"h_l!&amp;xX"</f>
        <v>#VALUE!</v>
      </c>
      <c r="AQ122" t="e">
        <f>'Compiled Agents'!809:809-"h_l!&amp;xY"</f>
        <v>#VALUE!</v>
      </c>
      <c r="AR122" t="e">
        <f>'Compiled Agents'!810:810-"h_l!&amp;xZ"</f>
        <v>#VALUE!</v>
      </c>
      <c r="AS122" t="e">
        <f>'Compiled Agents'!811:811-"h_l!&amp;x["</f>
        <v>#VALUE!</v>
      </c>
      <c r="AT122" t="e">
        <f>'Compiled Agents'!812:812-"h_l!&amp;x\"</f>
        <v>#VALUE!</v>
      </c>
      <c r="AU122" t="e">
        <f>'Compiled Agents'!813:813-"h_l!&amp;x]"</f>
        <v>#VALUE!</v>
      </c>
      <c r="AV122" t="e">
        <f>'Compiled Agents'!814:814-"h_l!&amp;x^"</f>
        <v>#VALUE!</v>
      </c>
      <c r="AW122" t="e">
        <f>'Compiled Agents'!815:815-"h_l!&amp;x_"</f>
        <v>#VALUE!</v>
      </c>
      <c r="AX122" t="e">
        <f>'Compiled Agents'!816:816-"h_l!&amp;x`"</f>
        <v>#VALUE!</v>
      </c>
      <c r="AY122" t="e">
        <f>'Compiled Agents'!817:817-"h_l!&amp;xa"</f>
        <v>#VALUE!</v>
      </c>
      <c r="AZ122" t="e">
        <f>'Compiled Agents'!818:818-"h_l!&amp;xb"</f>
        <v>#VALUE!</v>
      </c>
      <c r="BA122" t="e">
        <f>'Compiled Agents'!819:819-"h_l!&amp;xc"</f>
        <v>#VALUE!</v>
      </c>
      <c r="BB122" t="e">
        <f>'Compiled Agents'!820:820-"h_l!&amp;xd"</f>
        <v>#VALUE!</v>
      </c>
      <c r="BC122" t="e">
        <f>'Compiled Agents'!821:821-"h_l!&amp;xe"</f>
        <v>#VALUE!</v>
      </c>
      <c r="BD122" t="e">
        <f>'Compiled Agents'!822:822-"h_l!&amp;xf"</f>
        <v>#VALUE!</v>
      </c>
      <c r="BE122" t="e">
        <f>'Compiled Agents'!823:823-"h_l!&amp;xg"</f>
        <v>#VALUE!</v>
      </c>
      <c r="BF122" t="e">
        <f>'Compiled Agents'!824:824-"h_l!&amp;xh"</f>
        <v>#VALUE!</v>
      </c>
      <c r="BG122" t="e">
        <f>'Compiled Agents'!825:825-"h_l!&amp;xi"</f>
        <v>#VALUE!</v>
      </c>
      <c r="BH122" t="e">
        <f>'Compiled Agents'!826:826-"h_l!&amp;xj"</f>
        <v>#VALUE!</v>
      </c>
      <c r="BI122" t="e">
        <f>'Compiled Agents'!827:827-"h_l!&amp;xk"</f>
        <v>#VALUE!</v>
      </c>
      <c r="BJ122" t="e">
        <f>'Compiled Agents'!828:828-"h_l!&amp;xl"</f>
        <v>#VALUE!</v>
      </c>
      <c r="BK122" t="e">
        <f>'Compiled Agents'!829:829-"h_l!&amp;xm"</f>
        <v>#VALUE!</v>
      </c>
      <c r="BL122" t="e">
        <f>'Compiled Agents'!830:830-"h_l!&amp;xn"</f>
        <v>#VALUE!</v>
      </c>
      <c r="BM122" t="e">
        <f>'Compiled Agents'!831:831-"h_l!&amp;xo"</f>
        <v>#VALUE!</v>
      </c>
      <c r="BN122" t="e">
        <f>'Compiled Agents'!832:832-"h_l!&amp;xp"</f>
        <v>#VALUE!</v>
      </c>
      <c r="BO122" t="e">
        <f>'Compiled Agents'!833:833-"h_l!&amp;xq"</f>
        <v>#VALUE!</v>
      </c>
      <c r="BP122" t="e">
        <f>'Compiled Agents'!834:834-"h_l!&amp;xr"</f>
        <v>#VALUE!</v>
      </c>
      <c r="BQ122" t="e">
        <f>'Compiled Agents'!835:835-"h_l!&amp;xs"</f>
        <v>#VALUE!</v>
      </c>
      <c r="BR122" t="e">
        <f>'Compiled Agents'!836:836-"h_l!&amp;xt"</f>
        <v>#VALUE!</v>
      </c>
      <c r="BS122" t="e">
        <f>'Compiled Agents'!837:837-"h_l!&amp;xu"</f>
        <v>#VALUE!</v>
      </c>
      <c r="BT122" t="e">
        <f>'Compiled Agents'!838:838-"h_l!&amp;xv"</f>
        <v>#VALUE!</v>
      </c>
      <c r="BU122" t="e">
        <f>'Compiled Agents'!839:839-"h_l!&amp;xw"</f>
        <v>#VALUE!</v>
      </c>
      <c r="BV122" t="e">
        <f>'Compiled Agents'!840:840-"h_l!&amp;xx"</f>
        <v>#VALUE!</v>
      </c>
      <c r="BW122" t="e">
        <f>'Compiled Agents'!841:841-"h_l!&amp;xy"</f>
        <v>#VALUE!</v>
      </c>
      <c r="BX122" t="e">
        <f>'Compiled Agents'!842:842-"h_l!&amp;xz"</f>
        <v>#VALUE!</v>
      </c>
      <c r="BY122" t="e">
        <f>'Compiled Agents'!843:843-"h_l!&amp;x{"</f>
        <v>#VALUE!</v>
      </c>
      <c r="BZ122" t="e">
        <f>'Compiled Agents'!844:844-"h_l!&amp;x|"</f>
        <v>#VALUE!</v>
      </c>
      <c r="CA122" t="e">
        <f>'Compiled Agents'!845:845-"h_l!&amp;x}"</f>
        <v>#VALUE!</v>
      </c>
      <c r="CB122" t="e">
        <f>'Compiled Agents'!846:846-"h_l!&amp;x~"</f>
        <v>#VALUE!</v>
      </c>
      <c r="CC122" t="e">
        <f>'Compiled Agents'!847:847-"h_l!&amp;y#"</f>
        <v>#VALUE!</v>
      </c>
      <c r="CD122" t="e">
        <f>'Compiled Agents'!848:848-"h_l!&amp;y$"</f>
        <v>#VALUE!</v>
      </c>
      <c r="CE122" t="e">
        <f>'Compiled Agents'!849:849-"h_l!&amp;y%"</f>
        <v>#VALUE!</v>
      </c>
      <c r="CF122" t="e">
        <f>'Compiled Agents'!850:850-"h_l!&amp;y&amp;"</f>
        <v>#VALUE!</v>
      </c>
      <c r="CG122" t="e">
        <f>'Compiled Agents'!851:851-"h_l!&amp;y'"</f>
        <v>#VALUE!</v>
      </c>
      <c r="CH122" t="e">
        <f>'Compiled Agents'!852:852-"h_l!&amp;y("</f>
        <v>#VALUE!</v>
      </c>
      <c r="CI122" t="e">
        <f>'Compiled Agents'!853:853-"h_l!&amp;y)"</f>
        <v>#VALUE!</v>
      </c>
      <c r="CJ122" t="e">
        <f>'Compiled Agents'!854:854-"h_l!&amp;y."</f>
        <v>#VALUE!</v>
      </c>
      <c r="CK122" t="e">
        <f>'Compiled Agents'!855:855-"h_l!&amp;y/"</f>
        <v>#VALUE!</v>
      </c>
      <c r="CL122" t="e">
        <f>'Compiled Agents'!856:856-"h_l!&amp;y0"</f>
        <v>#VALUE!</v>
      </c>
      <c r="CM122" t="e">
        <f>'Compiled Agents'!857:857-"h_l!&amp;y1"</f>
        <v>#VALUE!</v>
      </c>
      <c r="CN122" t="e">
        <f>'Compiled Agents'!858:858-"h_l!&amp;y2"</f>
        <v>#VALUE!</v>
      </c>
      <c r="CO122" t="e">
        <f>'Compiled Agents'!859:859-"h_l!&amp;y3"</f>
        <v>#VALUE!</v>
      </c>
      <c r="CP122" t="e">
        <f>'Compiled Agents'!860:860-"h_l!&amp;y4"</f>
        <v>#VALUE!</v>
      </c>
      <c r="CQ122" t="e">
        <f>'Compiled Agents'!861:861-"h_l!&amp;y5"</f>
        <v>#VALUE!</v>
      </c>
      <c r="CR122" t="e">
        <f>'Compiled Agents'!862:862-"h_l!&amp;y6"</f>
        <v>#VALUE!</v>
      </c>
      <c r="CS122" t="e">
        <f>'Compiled Agents'!863:863-"h_l!&amp;y7"</f>
        <v>#VALUE!</v>
      </c>
      <c r="CT122" t="e">
        <f>'Compiled Agents'!864:864-"h_l!&amp;y8"</f>
        <v>#VALUE!</v>
      </c>
      <c r="CU122" t="e">
        <f>'Compiled Agents'!865:865-"h_l!&amp;y9"</f>
        <v>#VALUE!</v>
      </c>
      <c r="CV122" t="e">
        <f>'Compiled Agents'!866:866-"h_l!&amp;y:"</f>
        <v>#VALUE!</v>
      </c>
      <c r="CW122" t="e">
        <f>'Compiled Agents'!867:867-"h_l!&amp;y;"</f>
        <v>#VALUE!</v>
      </c>
      <c r="CX122" t="e">
        <f>'Compiled Agents'!868:868-"h_l!&amp;y&lt;"</f>
        <v>#VALUE!</v>
      </c>
      <c r="CY122" t="e">
        <f>'Compiled Agents'!869:869-"h_l!&amp;y="</f>
        <v>#VALUE!</v>
      </c>
      <c r="CZ122" t="e">
        <f>'Compiled Agents'!870:870-"h_l!&amp;y&gt;"</f>
        <v>#VALUE!</v>
      </c>
      <c r="DA122" t="e">
        <f>'Compiled Agents'!871:871-"h_l!&amp;y?"</f>
        <v>#VALUE!</v>
      </c>
      <c r="DB122" t="e">
        <f>'Compiled Agents'!872:872-"h_l!&amp;y@"</f>
        <v>#VALUE!</v>
      </c>
      <c r="DC122" t="e">
        <f>'Compiled Agents'!873:873-"h_l!&amp;yA"</f>
        <v>#VALUE!</v>
      </c>
      <c r="DD122" t="e">
        <f>'Compiled Agents'!874:874-"h_l!&amp;yB"</f>
        <v>#VALUE!</v>
      </c>
      <c r="DE122" t="e">
        <f>'Compiled Agents'!875:875-"h_l!&amp;yC"</f>
        <v>#VALUE!</v>
      </c>
      <c r="DF122" t="e">
        <f>'Compiled Agents'!876:876-"h_l!&amp;yD"</f>
        <v>#VALUE!</v>
      </c>
      <c r="DG122" t="e">
        <f>'Compiled Agents'!877:877-"h_l!&amp;yE"</f>
        <v>#VALUE!</v>
      </c>
      <c r="DH122" t="e">
        <f>'Compiled Agents'!878:878-"h_l!&amp;yF"</f>
        <v>#VALUE!</v>
      </c>
      <c r="DI122" t="e">
        <f>'Compiled Agents'!879:879-"h_l!&amp;yG"</f>
        <v>#VALUE!</v>
      </c>
      <c r="DJ122" t="e">
        <f>'Compiled Agents'!880:880-"h_l!&amp;yH"</f>
        <v>#VALUE!</v>
      </c>
      <c r="DK122" t="e">
        <f>'Compiled Agents'!881:881-"h_l!&amp;yI"</f>
        <v>#VALUE!</v>
      </c>
      <c r="DL122" t="e">
        <f>'Compiled Agents'!882:882-"h_l!&amp;yJ"</f>
        <v>#VALUE!</v>
      </c>
      <c r="DM122" t="e">
        <f>'Compiled Agents'!883:883-"h_l!&amp;yK"</f>
        <v>#VALUE!</v>
      </c>
      <c r="DN122" t="e">
        <f>'Compiled Agents'!884:884-"h_l!&amp;yL"</f>
        <v>#VALUE!</v>
      </c>
      <c r="DO122" t="e">
        <f>'Compiled Agents'!885:885-"h_l!&amp;yM"</f>
        <v>#VALUE!</v>
      </c>
      <c r="DP122" t="e">
        <f>'Compiled Agents'!886:886-"h_l!&amp;yN"</f>
        <v>#VALUE!</v>
      </c>
      <c r="DQ122" t="e">
        <f>'Compiled Agents'!887:887-"h_l!&amp;yO"</f>
        <v>#VALUE!</v>
      </c>
      <c r="DR122" t="e">
        <f>'Compiled Agents'!888:888-"h_l!&amp;yP"</f>
        <v>#VALUE!</v>
      </c>
      <c r="DS122" t="e">
        <f>'Compiled Agents'!889:889-"h_l!&amp;yQ"</f>
        <v>#VALUE!</v>
      </c>
      <c r="DT122" t="e">
        <f>'Compiled Agents'!890:890-"h_l!&amp;yR"</f>
        <v>#VALUE!</v>
      </c>
      <c r="DU122" t="e">
        <f>'Compiled Agents'!891:891-"h_l!&amp;yS"</f>
        <v>#VALUE!</v>
      </c>
      <c r="DV122" t="e">
        <f>'Compiled Agents'!892:892-"h_l!&amp;yT"</f>
        <v>#VALUE!</v>
      </c>
      <c r="DW122" t="e">
        <f>'Compiled Agents'!893:893-"h_l!&amp;yU"</f>
        <v>#VALUE!</v>
      </c>
      <c r="DX122" t="e">
        <f>'Compiled Agents'!894:894-"h_l!&amp;yV"</f>
        <v>#VALUE!</v>
      </c>
      <c r="DY122" t="e">
        <f>'Compiled Agents'!895:895-"h_l!&amp;yW"</f>
        <v>#VALUE!</v>
      </c>
      <c r="DZ122" t="e">
        <f>'Compiled Agents'!896:896-"h_l!&amp;yX"</f>
        <v>#VALUE!</v>
      </c>
      <c r="EA122" t="e">
        <f>'Compiled Agents'!897:897-"h_l!&amp;yY"</f>
        <v>#VALUE!</v>
      </c>
      <c r="EB122" t="e">
        <f>'Compiled Agents'!898:898-"h_l!&amp;yZ"</f>
        <v>#VALUE!</v>
      </c>
      <c r="EC122" t="e">
        <f>'Compiled Agents'!899:899-"h_l!&amp;y["</f>
        <v>#VALUE!</v>
      </c>
      <c r="ED122" t="e">
        <f>'Compiled Agents'!900:900-"h_l!&amp;y\"</f>
        <v>#VALUE!</v>
      </c>
      <c r="EE122" t="e">
        <f>'Compiled Agents'!901:901-"h_l!&amp;y]"</f>
        <v>#VALUE!</v>
      </c>
      <c r="EF122" t="e">
        <f>'Compiled Agents'!902:902-"h_l!&amp;y^"</f>
        <v>#VALUE!</v>
      </c>
      <c r="EG122" t="e">
        <f>'Compiled Agents'!903:903-"h_l!&amp;y_"</f>
        <v>#VALUE!</v>
      </c>
      <c r="EH122" t="e">
        <f>'Compiled Agents'!904:904-"h_l!&amp;y`"</f>
        <v>#VALUE!</v>
      </c>
      <c r="EI122" t="e">
        <f>'Compiled Agents'!905:905-"h_l!&amp;ya"</f>
        <v>#VALUE!</v>
      </c>
      <c r="EJ122" t="e">
        <f>'Compiled Agents'!906:906-"h_l!&amp;yb"</f>
        <v>#VALUE!</v>
      </c>
      <c r="EK122" t="e">
        <f>'Compiled Agents'!907:907-"h_l!&amp;yc"</f>
        <v>#VALUE!</v>
      </c>
      <c r="EL122" t="e">
        <f>'Compiled Agents'!908:908-"h_l!&amp;yd"</f>
        <v>#VALUE!</v>
      </c>
      <c r="EM122" t="e">
        <f>'Compiled Agents'!909:909-"h_l!&amp;ye"</f>
        <v>#VALUE!</v>
      </c>
      <c r="EN122" t="e">
        <f>'Compiled Agents'!910:910-"h_l!&amp;yf"</f>
        <v>#VALUE!</v>
      </c>
      <c r="EO122" t="e">
        <f>'Compiled Agents'!911:911-"h_l!&amp;yg"</f>
        <v>#VALUE!</v>
      </c>
      <c r="EP122" t="e">
        <f>'Compiled Agents'!912:912-"h_l!&amp;yh"</f>
        <v>#VALUE!</v>
      </c>
      <c r="EQ122" t="e">
        <f>'Compiled Agents'!913:913-"h_l!&amp;yi"</f>
        <v>#VALUE!</v>
      </c>
      <c r="ER122" t="e">
        <f>'Compiled Agents'!914:914-"h_l!&amp;yj"</f>
        <v>#VALUE!</v>
      </c>
      <c r="ES122" t="e">
        <f>'Compiled Agents'!915:915-"h_l!&amp;yk"</f>
        <v>#VALUE!</v>
      </c>
      <c r="ET122" t="e">
        <f>'Compiled Agents'!916:916-"h_l!&amp;yl"</f>
        <v>#VALUE!</v>
      </c>
      <c r="EU122" t="e">
        <f>'Compiled Agents'!917:917-"h_l!&amp;ym"</f>
        <v>#VALUE!</v>
      </c>
      <c r="EV122" t="e">
        <f>'Compiled Agents'!918:918-"h_l!&amp;yn"</f>
        <v>#VALUE!</v>
      </c>
      <c r="EW122" t="e">
        <f>'Compiled Agents'!919:919-"h_l!&amp;yo"</f>
        <v>#VALUE!</v>
      </c>
      <c r="EX122" t="e">
        <f>'Compiled Agents'!920:920-"h_l!&amp;yp"</f>
        <v>#VALUE!</v>
      </c>
      <c r="EY122" t="e">
        <f>'Compiled Agents'!921:921-"h_l!&amp;yq"</f>
        <v>#VALUE!</v>
      </c>
      <c r="EZ122" t="e">
        <f>'Compiled Agents'!922:922-"h_l!&amp;yr"</f>
        <v>#VALUE!</v>
      </c>
      <c r="FA122" t="e">
        <f>'Compiled Agents'!923:923-"h_l!&amp;ys"</f>
        <v>#VALUE!</v>
      </c>
      <c r="FB122" t="e">
        <f>'Compiled Agents'!924:924-"h_l!&amp;yt"</f>
        <v>#VALUE!</v>
      </c>
      <c r="FC122" t="e">
        <f>'Compiled Agents'!925:925-"h_l!&amp;yu"</f>
        <v>#VALUE!</v>
      </c>
      <c r="FD122" t="e">
        <f>'Compiled Agents'!926:926-"h_l!&amp;yv"</f>
        <v>#VALUE!</v>
      </c>
      <c r="FE122" t="e">
        <f>'Compiled Agents'!927:927-"h_l!&amp;yw"</f>
        <v>#VALUE!</v>
      </c>
      <c r="FF122" t="e">
        <f>'Compiled Agents'!928:928-"h_l!&amp;yx"</f>
        <v>#VALUE!</v>
      </c>
      <c r="FG122" t="e">
        <f>'Compiled Agents'!929:929-"h_l!&amp;yy"</f>
        <v>#VALUE!</v>
      </c>
      <c r="FH122" t="e">
        <f>'Compiled Agents'!930:930-"h_l!&amp;yz"</f>
        <v>#VALUE!</v>
      </c>
      <c r="FI122" t="e">
        <f>'Compiled Agents'!931:931-"h_l!&amp;y{"</f>
        <v>#VALUE!</v>
      </c>
      <c r="FJ122" t="e">
        <f>'Compiled Agents'!932:932-"h_l!&amp;y|"</f>
        <v>#VALUE!</v>
      </c>
      <c r="FK122" t="e">
        <f>'Compiled Agents'!933:933-"h_l!&amp;y}"</f>
        <v>#VALUE!</v>
      </c>
      <c r="FL122" t="e">
        <f>'Compiled Agents'!934:934-"h_l!&amp;y~"</f>
        <v>#VALUE!</v>
      </c>
      <c r="FM122" t="e">
        <f>'Compiled Agents'!935:935-"h_l!&amp;z#"</f>
        <v>#VALUE!</v>
      </c>
      <c r="FN122" t="e">
        <f>'Compiled Agents'!936:936-"h_l!&amp;z$"</f>
        <v>#VALUE!</v>
      </c>
      <c r="FO122" t="e">
        <f>'Compiled Agents'!937:937-"h_l!&amp;z%"</f>
        <v>#VALUE!</v>
      </c>
      <c r="FP122" t="e">
        <f>'Compiled Agents'!938:938-"h_l!&amp;z&amp;"</f>
        <v>#VALUE!</v>
      </c>
      <c r="FQ122" t="e">
        <f>'Compiled Agents'!939:939-"h_l!&amp;z'"</f>
        <v>#VALUE!</v>
      </c>
      <c r="FR122" t="e">
        <f>'Compiled Agents'!940:940-"h_l!&amp;z("</f>
        <v>#VALUE!</v>
      </c>
      <c r="FS122" t="e">
        <f>'Compiled Agents'!941:941-"h_l!&amp;z)"</f>
        <v>#VALUE!</v>
      </c>
      <c r="FT122" t="e">
        <f>'Compiled Agents'!942:942-"h_l!&amp;z."</f>
        <v>#VALUE!</v>
      </c>
      <c r="FU122" t="e">
        <f>'Compiled Agents'!943:943-"h_l!&amp;z/"</f>
        <v>#VALUE!</v>
      </c>
      <c r="FV122" t="e">
        <f>'Compiled Agents'!944:944-"h_l!&amp;z0"</f>
        <v>#VALUE!</v>
      </c>
      <c r="FW122" t="e">
        <f>'Compiled Agents'!945:945-"h_l!&amp;z1"</f>
        <v>#VALUE!</v>
      </c>
      <c r="FX122" t="e">
        <f>'Compiled Agents'!946:946-"h_l!&amp;z2"</f>
        <v>#VALUE!</v>
      </c>
      <c r="FY122" t="e">
        <f>'Compiled Agents'!947:947-"h_l!&amp;z3"</f>
        <v>#VALUE!</v>
      </c>
      <c r="FZ122" t="e">
        <f>'Compiled Agents'!948:948-"h_l!&amp;z4"</f>
        <v>#VALUE!</v>
      </c>
      <c r="GA122" t="e">
        <f>'Compiled Agents'!949:949-"h_l!&amp;z5"</f>
        <v>#VALUE!</v>
      </c>
      <c r="GB122" t="e">
        <f>'Compiled Agents'!950:950-"h_l!&amp;z6"</f>
        <v>#VALUE!</v>
      </c>
      <c r="GC122" t="e">
        <f>'Compiled Agents'!951:951-"h_l!&amp;z7"</f>
        <v>#VALUE!</v>
      </c>
      <c r="GD122" t="e">
        <f>'Compiled Agents'!952:952-"h_l!&amp;z8"</f>
        <v>#VALUE!</v>
      </c>
      <c r="GE122" t="e">
        <f>'Compiled Agents'!953:953-"h_l!&amp;z9"</f>
        <v>#VALUE!</v>
      </c>
      <c r="GF122" t="e">
        <f>'Compiled Agents'!954:954-"h_l!&amp;z:"</f>
        <v>#VALUE!</v>
      </c>
      <c r="GG122" t="e">
        <f>'Compiled Agents'!955:955-"h_l!&amp;z;"</f>
        <v>#VALUE!</v>
      </c>
      <c r="GH122" t="e">
        <f>'Compiled Agents'!956:956-"h_l!&amp;z&lt;"</f>
        <v>#VALUE!</v>
      </c>
      <c r="GI122" t="e">
        <f>'Compiled Agents'!957:957-"h_l!&amp;z="</f>
        <v>#VALUE!</v>
      </c>
      <c r="GJ122" t="e">
        <f>'Compiled Agents'!958:958-"h_l!&amp;z&gt;"</f>
        <v>#VALUE!</v>
      </c>
      <c r="GK122" t="e">
        <f>'Compiled Agents'!959:959-"h_l!&amp;z?"</f>
        <v>#VALUE!</v>
      </c>
      <c r="GL122" t="e">
        <f>'Compiled Agents'!960:960-"h_l!&amp;z@"</f>
        <v>#VALUE!</v>
      </c>
      <c r="GM122" t="e">
        <f>'Compiled Agents'!961:961-"h_l!&amp;zA"</f>
        <v>#VALUE!</v>
      </c>
      <c r="GN122" t="e">
        <f>'Compiled Agents'!962:962-"h_l!&amp;zB"</f>
        <v>#VALUE!</v>
      </c>
      <c r="GO122" t="e">
        <f>'Compiled Agents'!963:963-"h_l!&amp;zC"</f>
        <v>#VALUE!</v>
      </c>
      <c r="GP122" t="e">
        <f>'Compiled Agents'!964:964-"h_l!&amp;zD"</f>
        <v>#VALUE!</v>
      </c>
      <c r="GQ122" t="e">
        <f>'Compiled Agents'!965:965-"h_l!&amp;zE"</f>
        <v>#VALUE!</v>
      </c>
      <c r="GR122" t="e">
        <f>'Compiled Agents'!966:966-"h_l!&amp;zF"</f>
        <v>#VALUE!</v>
      </c>
      <c r="GS122" t="e">
        <f>'Compiled Agents'!967:967-"h_l!&amp;zG"</f>
        <v>#VALUE!</v>
      </c>
      <c r="GT122" t="e">
        <f>'Compiled Agents'!968:968-"h_l!&amp;zH"</f>
        <v>#VALUE!</v>
      </c>
      <c r="GU122" t="e">
        <f>'Compiled Agents'!969:969-"h_l!&amp;zI"</f>
        <v>#VALUE!</v>
      </c>
      <c r="GV122" t="e">
        <f>'Compiled Agents'!970:970-"h_l!&amp;zJ"</f>
        <v>#VALUE!</v>
      </c>
      <c r="GW122" t="e">
        <f>'Compiled Agents'!971:971-"h_l!&amp;zK"</f>
        <v>#VALUE!</v>
      </c>
      <c r="GX122" t="e">
        <f>'Compiled Agents'!972:972-"h_l!&amp;zL"</f>
        <v>#VALUE!</v>
      </c>
      <c r="GY122" t="e">
        <f>'Compiled Agents'!973:973-"h_l!&amp;zM"</f>
        <v>#VALUE!</v>
      </c>
      <c r="GZ122" t="e">
        <f>'Compiled Agents'!974:974-"h_l!&amp;zN"</f>
        <v>#VALUE!</v>
      </c>
      <c r="HA122" t="e">
        <f>'Compiled Agents'!975:975-"h_l!&amp;zO"</f>
        <v>#VALUE!</v>
      </c>
      <c r="HB122" t="e">
        <f>'Compiled Agents'!976:976-"h_l!&amp;zP"</f>
        <v>#VALUE!</v>
      </c>
      <c r="HC122" t="e">
        <f>'Compiled Agents'!977:977-"h_l!&amp;zQ"</f>
        <v>#VALUE!</v>
      </c>
      <c r="HD122" t="e">
        <f>'Compiled Agents'!978:978-"h_l!&amp;zR"</f>
        <v>#VALUE!</v>
      </c>
      <c r="HE122" t="e">
        <f>'Compiled Agents'!979:979-"h_l!&amp;zS"</f>
        <v>#VALUE!</v>
      </c>
      <c r="HF122" t="e">
        <f>'Compiled Agents'!980:980-"h_l!&amp;zT"</f>
        <v>#VALUE!</v>
      </c>
      <c r="HG122" t="e">
        <f>'Compiled Agents'!981:981-"h_l!&amp;zU"</f>
        <v>#VALUE!</v>
      </c>
      <c r="HH122" t="e">
        <f>'Compiled Agents'!982:982-"h_l!&amp;zV"</f>
        <v>#VALUE!</v>
      </c>
      <c r="HI122" t="e">
        <f>'Compiled Agents'!983:983-"h_l!&amp;zW"</f>
        <v>#VALUE!</v>
      </c>
      <c r="HJ122" t="e">
        <f>'Compiled Agents'!984:984-"h_l!&amp;zX"</f>
        <v>#VALUE!</v>
      </c>
      <c r="HK122" t="e">
        <f>'Compiled Agents'!985:985-"h_l!&amp;zY"</f>
        <v>#VALUE!</v>
      </c>
      <c r="HL122" t="e">
        <f>'Compiled Agents'!986:986-"h_l!&amp;zZ"</f>
        <v>#VALUE!</v>
      </c>
      <c r="HM122" t="e">
        <f>'Compiled Agents'!987:987-"h_l!&amp;z["</f>
        <v>#VALUE!</v>
      </c>
      <c r="HN122" t="e">
        <f>'Compiled Agents'!988:988-"h_l!&amp;z\"</f>
        <v>#VALUE!</v>
      </c>
      <c r="HO122" t="e">
        <f>'Compiled Agents'!989:989-"h_l!&amp;z]"</f>
        <v>#VALUE!</v>
      </c>
      <c r="HP122" t="e">
        <f>'Compiled Agents'!990:990-"h_l!&amp;z^"</f>
        <v>#VALUE!</v>
      </c>
      <c r="HQ122" t="e">
        <f>'Compiled Agents'!991:991-"h_l!&amp;z_"</f>
        <v>#VALUE!</v>
      </c>
      <c r="HR122" t="e">
        <f>'Compiled Agents'!992:992-"h_l!&amp;z`"</f>
        <v>#VALUE!</v>
      </c>
      <c r="HS122" t="e">
        <f>'Compiled Agents'!993:993-"h_l!&amp;za"</f>
        <v>#VALUE!</v>
      </c>
      <c r="HT122" t="e">
        <f>'Compiled Agents'!994:994-"h_l!&amp;zb"</f>
        <v>#VALUE!</v>
      </c>
      <c r="HU122" t="e">
        <f>'Compiled Agents'!995:995-"h_l!&amp;zc"</f>
        <v>#VALUE!</v>
      </c>
      <c r="HV122" t="e">
        <f>'Compiled Agents'!996:996-"h_l!&amp;zd"</f>
        <v>#VALUE!</v>
      </c>
      <c r="HW122" t="e">
        <f>'Compiled Agents'!997:997-"h_l!&amp;ze"</f>
        <v>#VALUE!</v>
      </c>
      <c r="HX122" t="e">
        <f>'Compiled Agents'!998:998-"h_l!&amp;zf"</f>
        <v>#VALUE!</v>
      </c>
      <c r="HY122" t="e">
        <f>'Compiled Agents'!999:999-"h_l!&amp;zg"</f>
        <v>#VALUE!</v>
      </c>
      <c r="HZ122" t="e">
        <f>'Compiled Agents'!1000:1000-"h_l!&amp;zh"</f>
        <v>#VALUE!</v>
      </c>
      <c r="IA122" t="e">
        <f>'Compiled Agents'!1001:1001-"h_l!&amp;zi"</f>
        <v>#VALUE!</v>
      </c>
      <c r="IB122" t="e">
        <f>'Compiled Agents'!1002:1002-"h_l!&amp;zj"</f>
        <v>#VALUE!</v>
      </c>
      <c r="IC122" t="e">
        <f>'Compiled Agents'!1003:1003-"h_l!&amp;zk"</f>
        <v>#VALUE!</v>
      </c>
      <c r="ID122" t="e">
        <f>'Compiled Agents'!1004:1004-"h_l!&amp;zl"</f>
        <v>#VALUE!</v>
      </c>
      <c r="IE122" t="e">
        <f>'Compiled Agents'!1005:1005-"h_l!&amp;zm"</f>
        <v>#VALUE!</v>
      </c>
      <c r="IF122" t="e">
        <f>'Compiled Agents'!1006:1006-"h_l!&amp;zn"</f>
        <v>#VALUE!</v>
      </c>
      <c r="IG122" t="e">
        <f>'Compiled Agents'!1007:1007-"h_l!&amp;zo"</f>
        <v>#VALUE!</v>
      </c>
      <c r="IH122" t="e">
        <f>'Compiled Agents'!1008:1008-"h_l!&amp;zp"</f>
        <v>#VALUE!</v>
      </c>
      <c r="II122" t="e">
        <f>'Compiled Agents'!1009:1009-"h_l!&amp;zq"</f>
        <v>#VALUE!</v>
      </c>
      <c r="IJ122" t="e">
        <f>'Compiled Agents'!1010:1010-"h_l!&amp;zr"</f>
        <v>#VALUE!</v>
      </c>
      <c r="IK122" t="e">
        <f>'Compiled Agents'!1011:1011-"h_l!&amp;zs"</f>
        <v>#VALUE!</v>
      </c>
      <c r="IL122" t="e">
        <f>'Compiled Agents'!1012:1012-"h_l!&amp;zt"</f>
        <v>#VALUE!</v>
      </c>
      <c r="IM122" t="e">
        <f>'Compiled Agents'!1013:1013-"h_l!&amp;zu"</f>
        <v>#VALUE!</v>
      </c>
      <c r="IN122" t="e">
        <f>'Compiled Agents'!1014:1014-"h_l!&amp;zv"</f>
        <v>#VALUE!</v>
      </c>
      <c r="IO122" t="e">
        <f>'Compiled Agents'!1015:1015-"h_l!&amp;zw"</f>
        <v>#VALUE!</v>
      </c>
      <c r="IP122" t="e">
        <f>'Compiled Agents'!1016:1016-"h_l!&amp;zx"</f>
        <v>#VALUE!</v>
      </c>
      <c r="IQ122" t="e">
        <f>'Compiled Agents'!1017:1017-"h_l!&amp;zy"</f>
        <v>#VALUE!</v>
      </c>
      <c r="IR122" t="e">
        <f>'Compiled Agents'!1018:1018-"h_l!&amp;zz"</f>
        <v>#VALUE!</v>
      </c>
      <c r="IS122" t="e">
        <f>'Compiled Agents'!1019:1019-"h_l!&amp;z{"</f>
        <v>#VALUE!</v>
      </c>
      <c r="IT122" t="e">
        <f>'Compiled Agents'!1020:1020-"h_l!&amp;z|"</f>
        <v>#VALUE!</v>
      </c>
      <c r="IU122" t="e">
        <f>'Compiled Agents'!1021:1021-"h_l!&amp;z}"</f>
        <v>#VALUE!</v>
      </c>
      <c r="IV122" t="e">
        <f>'Compiled Agents'!1022:1022-"h_l!&amp;z~"</f>
        <v>#VALUE!</v>
      </c>
    </row>
    <row r="123" spans="6:256" x14ac:dyDescent="0.25">
      <c r="F123" t="e">
        <f>'Compiled Agents'!1023:1023-"h_l!&amp;{#"</f>
        <v>#VALUE!</v>
      </c>
      <c r="G123" t="e">
        <f>'Compiled Agents'!1024:1024-"h_l!&amp;{$"</f>
        <v>#VALUE!</v>
      </c>
      <c r="H123" t="e">
        <f>'Compiled Agents'!1025:1025-"h_l!&amp;{%"</f>
        <v>#VALUE!</v>
      </c>
      <c r="I123" t="e">
        <f>'Compiled Agents'!1026:1026-"h_l!&amp;{&amp;"</f>
        <v>#VALUE!</v>
      </c>
      <c r="J123" t="e">
        <f>'Compiled Agents'!1027:1027-"h_l!&amp;{'"</f>
        <v>#VALUE!</v>
      </c>
      <c r="K123" t="e">
        <f>'Compiled Agents'!1028:1028-"h_l!&amp;{("</f>
        <v>#VALUE!</v>
      </c>
      <c r="L123" t="e">
        <f>'Compiled Agents'!1029:1029-"h_l!&amp;{)"</f>
        <v>#VALUE!</v>
      </c>
      <c r="M123" t="e">
        <f>'Compiled Agents'!1030:1030-"h_l!&amp;{."</f>
        <v>#VALUE!</v>
      </c>
      <c r="N123" t="e">
        <f>'Compiled Agents'!1031:1031-"h_l!&amp;{/"</f>
        <v>#VALUE!</v>
      </c>
      <c r="O123" t="e">
        <f>'Compiled Agents'!1032:1032-"h_l!&amp;{0"</f>
        <v>#VALUE!</v>
      </c>
      <c r="P123" t="e">
        <f>'Compiled Agents'!1033:1033-"h_l!&amp;{1"</f>
        <v>#VALUE!</v>
      </c>
      <c r="Q123" t="e">
        <f>'Compiled Agents'!1034:1034-"h_l!&amp;{2"</f>
        <v>#VALUE!</v>
      </c>
      <c r="R123" t="e">
        <f>'Compiled Agents'!1035:1035-"h_l!&amp;{3"</f>
        <v>#VALUE!</v>
      </c>
      <c r="S123" t="e">
        <f>'Compiled Agents'!1036:1036-"h_l!&amp;{4"</f>
        <v>#VALUE!</v>
      </c>
      <c r="T123" t="e">
        <f>'Compiled Agents'!1037:1037-"h_l!&amp;{5"</f>
        <v>#VALUE!</v>
      </c>
      <c r="U123" t="e">
        <f>'Compiled Agents'!1038:1038-"h_l!&amp;{6"</f>
        <v>#VALUE!</v>
      </c>
      <c r="V123" t="e">
        <f>'Compiled Agents'!1039:1039-"h_l!&amp;{7"</f>
        <v>#VALUE!</v>
      </c>
      <c r="W123" t="e">
        <f>'Compiled Agents'!1040:1040-"h_l!&amp;{8"</f>
        <v>#VALUE!</v>
      </c>
      <c r="X123" t="e">
        <f>'Compiled Agents'!1041:1041-"h_l!&amp;{9"</f>
        <v>#VALUE!</v>
      </c>
      <c r="Y123" t="e">
        <f>'Compiled Agents'!1042:1042-"h_l!&amp;{:"</f>
        <v>#VALUE!</v>
      </c>
      <c r="Z123" t="e">
        <f>'Compiled Agents'!1043:1043-"h_l!&amp;{;"</f>
        <v>#VALUE!</v>
      </c>
      <c r="AA123" t="e">
        <f>'Compiled Agents'!1044:1044-"h_l!&amp;{&lt;"</f>
        <v>#VALUE!</v>
      </c>
      <c r="AB123" t="e">
        <f>'Compiled Agents'!1045:1045-"h_l!&amp;{="</f>
        <v>#VALUE!</v>
      </c>
      <c r="AC123" t="e">
        <f>'Compiled Agents'!1046:1046-"h_l!&amp;{&gt;"</f>
        <v>#VALUE!</v>
      </c>
      <c r="AD123" t="e">
        <f>'Compiled Agents'!1047:1047-"h_l!&amp;{?"</f>
        <v>#VALUE!</v>
      </c>
      <c r="AE123" t="e">
        <f>'Compiled Agents'!1048:1048-"h_l!&amp;{@"</f>
        <v>#VALUE!</v>
      </c>
      <c r="AF123" t="e">
        <f>'Compiled Agents'!1049:1049-"h_l!&amp;{A"</f>
        <v>#VALUE!</v>
      </c>
      <c r="AG123" t="e">
        <f>'Compiled Agents'!1050:1050-"h_l!&amp;{B"</f>
        <v>#VALUE!</v>
      </c>
      <c r="AH123" t="e">
        <f>'Compiled Agents'!1051:1051-"h_l!&amp;{C"</f>
        <v>#VALUE!</v>
      </c>
      <c r="AI123" t="e">
        <f>'Compiled Agents'!1052:1052-"h_l!&amp;{D"</f>
        <v>#VALUE!</v>
      </c>
      <c r="AJ123" t="e">
        <f>'Compiled Agents'!1053:1053-"h_l!&amp;{E"</f>
        <v>#VALUE!</v>
      </c>
      <c r="AK123" t="e">
        <f>'Compiled Agents'!1054:1054-"h_l!&amp;{F"</f>
        <v>#VALUE!</v>
      </c>
      <c r="AL123" t="e">
        <f>'Compiled Agents'!1055:1055-"h_l!&amp;{G"</f>
        <v>#VALUE!</v>
      </c>
      <c r="AM123" t="e">
        <f>'Compiled Agents'!1056:1056-"h_l!&amp;{H"</f>
        <v>#VALUE!</v>
      </c>
      <c r="AN123" t="e">
        <f>'Compiled Agents'!1057:1057-"h_l!&amp;{I"</f>
        <v>#VALUE!</v>
      </c>
      <c r="AO123" t="e">
        <f>'Compiled Agents'!1058:1058-"h_l!&amp;{J"</f>
        <v>#VALUE!</v>
      </c>
      <c r="AP123" t="e">
        <f>'Compiled Agents'!1059:1059-"h_l!&amp;{K"</f>
        <v>#VALUE!</v>
      </c>
      <c r="AQ123" t="e">
        <f>'Compiled Agents'!1060:1060-"h_l!&amp;{L"</f>
        <v>#VALUE!</v>
      </c>
      <c r="AR123" t="e">
        <f>'Compiled Agents'!1061:1061-"h_l!&amp;{M"</f>
        <v>#VALUE!</v>
      </c>
      <c r="AS123" t="e">
        <f>'Compiled Agents'!1062:1062-"h_l!&amp;{N"</f>
        <v>#VALUE!</v>
      </c>
      <c r="AT123" t="e">
        <f>'Compiled Agents'!1063:1063-"h_l!&amp;{O"</f>
        <v>#VALUE!</v>
      </c>
      <c r="AU123" t="e">
        <f>'Compiled Agents'!1064:1064-"h_l!&amp;{P"</f>
        <v>#VALUE!</v>
      </c>
      <c r="AV123" t="e">
        <f>'Compiled Agents'!1065:1065-"h_l!&amp;{Q"</f>
        <v>#VALUE!</v>
      </c>
      <c r="AW123" t="e">
        <f>'Compiled Agents'!1066:1066-"h_l!&amp;{R"</f>
        <v>#VALUE!</v>
      </c>
      <c r="AX123" t="e">
        <f>'Compiled Agents'!1067:1067-"h_l!&amp;{S"</f>
        <v>#VALUE!</v>
      </c>
      <c r="AY123" t="e">
        <f>'Compiled Agents'!1068:1068-"h_l!&amp;{T"</f>
        <v>#VALUE!</v>
      </c>
      <c r="AZ123" t="e">
        <f>'Compiled Agents'!1069:1069-"h_l!&amp;{U"</f>
        <v>#VALUE!</v>
      </c>
      <c r="BA123" t="e">
        <f>'Compiled Agents'!1070:1070-"h_l!&amp;{V"</f>
        <v>#VALUE!</v>
      </c>
      <c r="BB123" t="e">
        <f>'Compiled Agents'!1071:1071-"h_l!&amp;{W"</f>
        <v>#VALUE!</v>
      </c>
      <c r="BC123" t="e">
        <f>'Compiled Agents'!1072:1072-"h_l!&amp;{X"</f>
        <v>#VALUE!</v>
      </c>
      <c r="BD123" t="e">
        <f>'Compiled Agents'!1073:1073-"h_l!&amp;{Y"</f>
        <v>#VALUE!</v>
      </c>
      <c r="BE123" t="e">
        <f>'Compiled Agents'!1074:1074-"h_l!&amp;{Z"</f>
        <v>#VALUE!</v>
      </c>
      <c r="BF123" t="e">
        <f>'Compiled Agents'!1075:1075-"h_l!&amp;{["</f>
        <v>#VALUE!</v>
      </c>
      <c r="BG123" t="e">
        <f>'Compiled Agents'!1076:1076-"h_l!&amp;{\"</f>
        <v>#VALUE!</v>
      </c>
      <c r="BH123" t="e">
        <f>'Compiled Agents'!1077:1077-"h_l!&amp;{]"</f>
        <v>#VALUE!</v>
      </c>
      <c r="BI123" t="e">
        <f>'Compiled Agents'!1078:1078-"h_l!&amp;{^"</f>
        <v>#VALUE!</v>
      </c>
      <c r="BJ123" t="e">
        <f>'Compiled Agents'!1079:1079-"h_l!&amp;{_"</f>
        <v>#VALUE!</v>
      </c>
      <c r="BK123" t="e">
        <f>'Compiled Agents'!1080:1080-"h_l!&amp;{`"</f>
        <v>#VALUE!</v>
      </c>
      <c r="BL123" t="e">
        <f>'Compiled Agents'!1081:1081-"h_l!&amp;{a"</f>
        <v>#VALUE!</v>
      </c>
      <c r="BM123" t="e">
        <f>'Compiled Agents'!1082:1082-"h_l!&amp;{b"</f>
        <v>#VALUE!</v>
      </c>
      <c r="BN123" t="e">
        <f>'Compiled Agents'!1083:1083-"h_l!&amp;{c"</f>
        <v>#VALUE!</v>
      </c>
      <c r="BO123" t="e">
        <f>'Compiled Agents'!1084:1084-"h_l!&amp;{d"</f>
        <v>#VALUE!</v>
      </c>
      <c r="BP123" t="e">
        <f>'Compiled Agents'!1085:1085-"h_l!&amp;{e"</f>
        <v>#VALUE!</v>
      </c>
      <c r="BQ123" t="e">
        <f>'Compiled Agents'!1086:1086-"h_l!&amp;{f"</f>
        <v>#VALUE!</v>
      </c>
      <c r="BR123" t="e">
        <f>'Compiled Agents'!1087:1087-"h_l!&amp;{g"</f>
        <v>#VALUE!</v>
      </c>
      <c r="BS123" t="e">
        <f>'Compiled Agents'!1088:1088-"h_l!&amp;{h"</f>
        <v>#VALUE!</v>
      </c>
      <c r="BT123" t="e">
        <f>'Compiled Agents'!1089:1089-"h_l!&amp;{i"</f>
        <v>#VALUE!</v>
      </c>
      <c r="BU123" t="e">
        <f>'Compiled Agents'!1090:1090-"h_l!&amp;{j"</f>
        <v>#VALUE!</v>
      </c>
      <c r="BV123" t="e">
        <f>'Compiled Agents'!1091:1091-"h_l!&amp;{k"</f>
        <v>#VALUE!</v>
      </c>
      <c r="BW123" t="e">
        <f>'Compiled Agents'!1092:1092-"h_l!&amp;{l"</f>
        <v>#VALUE!</v>
      </c>
      <c r="BX123" t="e">
        <f>'Compiled Agents'!1093:1093-"h_l!&amp;{m"</f>
        <v>#VALUE!</v>
      </c>
      <c r="BY123" t="e">
        <f>'Compiled Agents'!1094:1094-"h_l!&amp;{n"</f>
        <v>#VALUE!</v>
      </c>
      <c r="BZ123" t="e">
        <f>'Compiled Agents'!1095:1095-"h_l!&amp;{o"</f>
        <v>#VALUE!</v>
      </c>
      <c r="CA123" t="e">
        <f>'Compiled Agents'!1096:1096-"h_l!&amp;{p"</f>
        <v>#VALUE!</v>
      </c>
      <c r="CB123" t="e">
        <f>'Compiled Agents'!1097:1097-"h_l!&amp;{q"</f>
        <v>#VALUE!</v>
      </c>
      <c r="CC123" t="e">
        <f>'Compiled Agents'!1098:1098-"h_l!&amp;{r"</f>
        <v>#VALUE!</v>
      </c>
      <c r="CD123" t="e">
        <f>'Compiled Agents'!1099:1099-"h_l!&amp;{s"</f>
        <v>#VALUE!</v>
      </c>
      <c r="CE123" t="e">
        <f>'Compiled Agents'!1100:1100-"h_l!&amp;{t"</f>
        <v>#VALUE!</v>
      </c>
      <c r="CF123" t="e">
        <f>'Compiled Agents'!1101:1101-"h_l!&amp;{u"</f>
        <v>#VALUE!</v>
      </c>
      <c r="CG123" t="e">
        <f>'Compiled Agents'!1102:1102-"h_l!&amp;{v"</f>
        <v>#VALUE!</v>
      </c>
      <c r="CH123" t="e">
        <f>'Compiled Agents'!1103:1103-"h_l!&amp;{w"</f>
        <v>#VALUE!</v>
      </c>
      <c r="CI123" t="e">
        <f>'Compiled Agents'!1104:1104-"h_l!&amp;{x"</f>
        <v>#VALUE!</v>
      </c>
      <c r="CJ123" t="e">
        <f>'Compiled Agents'!1105:1105-"h_l!&amp;{y"</f>
        <v>#VALUE!</v>
      </c>
      <c r="CK123" t="e">
        <f>'Compiled Agents'!1106:1106-"h_l!&amp;{z"</f>
        <v>#VALUE!</v>
      </c>
      <c r="CL123" t="e">
        <f>'Compiled Agents'!1107:1107-"h_l!&amp;{{"</f>
        <v>#VALUE!</v>
      </c>
      <c r="CM123" t="e">
        <f>'Compiled Agents'!1108:1108-"h_l!&amp;{|"</f>
        <v>#VALUE!</v>
      </c>
      <c r="CN123" t="e">
        <f>'Compiled Agents'!1109:1109-"h_l!&amp;{}"</f>
        <v>#VALUE!</v>
      </c>
      <c r="CO123" t="e">
        <f>'Compiled Agents'!1110:1110-"h_l!&amp;{~"</f>
        <v>#VALUE!</v>
      </c>
      <c r="CP123" t="e">
        <f>'Compiled Agents'!1111:1111-"h_l!&amp;|#"</f>
        <v>#VALUE!</v>
      </c>
      <c r="CQ123" t="e">
        <f>'Compiled Agents'!1112:1112-"h_l!&amp;|$"</f>
        <v>#VALUE!</v>
      </c>
      <c r="CR123" t="e">
        <f>'Compiled Agents'!1113:1113-"h_l!&amp;|%"</f>
        <v>#VALUE!</v>
      </c>
      <c r="CS123" t="e">
        <f>'Compiled Agents'!1114:1114-"h_l!&amp;|&amp;"</f>
        <v>#VALUE!</v>
      </c>
      <c r="CT123" t="e">
        <f>'Compiled Agents'!1115:1115-"h_l!&amp;|'"</f>
        <v>#VALUE!</v>
      </c>
      <c r="CU123" t="e">
        <f>'Compiled Agents'!1116:1116-"h_l!&amp;|("</f>
        <v>#VALUE!</v>
      </c>
      <c r="CV123" t="e">
        <f>'Compiled Agents'!1117:1117-"h_l!&amp;|)"</f>
        <v>#VALUE!</v>
      </c>
      <c r="CW123" t="e">
        <f>'Compiled Agents'!1118:1118-"h_l!&amp;|."</f>
        <v>#VALUE!</v>
      </c>
      <c r="CX123" t="e">
        <f>'Compiled Agents'!1119:1119-"h_l!&amp;|/"</f>
        <v>#VALUE!</v>
      </c>
      <c r="CY123" t="e">
        <f>'Compiled Agents'!1120:1120-"h_l!&amp;|0"</f>
        <v>#VALUE!</v>
      </c>
      <c r="CZ123" t="e">
        <f>'Compiled Agents'!1121:1121-"h_l!&amp;|1"</f>
        <v>#VALUE!</v>
      </c>
      <c r="DA123" t="e">
        <f>'Compiled Agents'!1122:1122-"h_l!&amp;|2"</f>
        <v>#VALUE!</v>
      </c>
      <c r="DB123" t="e">
        <f>'Compiled Agents'!1123:1123-"h_l!&amp;|3"</f>
        <v>#VALUE!</v>
      </c>
      <c r="DC123" t="e">
        <f>'Compiled Agents'!1124:1124-"h_l!&amp;|4"</f>
        <v>#VALUE!</v>
      </c>
      <c r="DD123" t="e">
        <f>'Compiled Agents'!1125:1125-"h_l!&amp;|5"</f>
        <v>#VALUE!</v>
      </c>
      <c r="DE123" t="e">
        <f>'Compiled Agents'!1126:1126-"h_l!&amp;|6"</f>
        <v>#VALUE!</v>
      </c>
      <c r="DF123" t="e">
        <f>'Compiled Agents'!1127:1127-"h_l!&amp;|7"</f>
        <v>#VALUE!</v>
      </c>
      <c r="DG123" t="e">
        <f>'Compiled Agents'!1128:1128-"h_l!&amp;|8"</f>
        <v>#VALUE!</v>
      </c>
      <c r="DH123" t="e">
        <f>'Compiled Agents'!1129:1129-"h_l!&amp;|9"</f>
        <v>#VALUE!</v>
      </c>
      <c r="DI123" t="e">
        <f>'Compiled Agents'!1130:1130-"h_l!&amp;|:"</f>
        <v>#VALUE!</v>
      </c>
      <c r="DJ123" t="e">
        <f>'Compiled Agents'!1131:1131-"h_l!&amp;|;"</f>
        <v>#VALUE!</v>
      </c>
      <c r="DK123" t="e">
        <f>'Compiled Agents'!1132:1132-"h_l!&amp;|&lt;"</f>
        <v>#VALUE!</v>
      </c>
      <c r="DL123" t="e">
        <f>'Compiled Agents'!1133:1133-"h_l!&amp;|="</f>
        <v>#VALUE!</v>
      </c>
      <c r="DM123" t="e">
        <f>'Compiled Agents'!1134:1134-"h_l!&amp;|&gt;"</f>
        <v>#VALUE!</v>
      </c>
      <c r="DN123" t="e">
        <f>'Compiled Agents'!1135:1135-"h_l!&amp;|?"</f>
        <v>#VALUE!</v>
      </c>
      <c r="DO123" t="e">
        <f>'Compiled Agents'!1136:1136-"h_l!&amp;|@"</f>
        <v>#VALUE!</v>
      </c>
      <c r="DP123" t="e">
        <f>'Compiled Agents'!1137:1137-"h_l!&amp;|A"</f>
        <v>#VALUE!</v>
      </c>
      <c r="DQ123" t="e">
        <f>'Compiled Agents'!1138:1138-"h_l!&amp;|B"</f>
        <v>#VALUE!</v>
      </c>
      <c r="DR123" t="e">
        <f>'Compiled Agents'!1139:1139-"h_l!&amp;|C"</f>
        <v>#VALUE!</v>
      </c>
      <c r="DS123" t="e">
        <f>'Compiled Agents'!1140:1140-"h_l!&amp;|D"</f>
        <v>#VALUE!</v>
      </c>
      <c r="DT123" t="e">
        <f>'Compiled Agents'!1141:1141-"h_l!&amp;|E"</f>
        <v>#VALUE!</v>
      </c>
      <c r="DU123" t="e">
        <f>'Compiled Agents'!1142:1142-"h_l!&amp;|F"</f>
        <v>#VALUE!</v>
      </c>
      <c r="DV123" t="e">
        <f>'Compiled Agents'!1143:1143-"h_l!&amp;|G"</f>
        <v>#VALUE!</v>
      </c>
      <c r="DW123" t="e">
        <f>'Compiled Agents'!1144:1144-"h_l!&amp;|H"</f>
        <v>#VALUE!</v>
      </c>
      <c r="DX123" t="e">
        <f>'Compiled Agents'!1145:1145-"h_l!&amp;|I"</f>
        <v>#VALUE!</v>
      </c>
      <c r="DY123" t="e">
        <f>'Compiled Agents'!1146:1146-"h_l!&amp;|J"</f>
        <v>#VALUE!</v>
      </c>
      <c r="DZ123" t="e">
        <f>'Compiled Agents'!1147:1147-"h_l!&amp;|K"</f>
        <v>#VALUE!</v>
      </c>
      <c r="EA123" t="e">
        <f>'Compiled Agents'!1148:1148-"h_l!&amp;|L"</f>
        <v>#VALUE!</v>
      </c>
      <c r="EB123" t="e">
        <f>'Compiled Agents'!1149:1149-"h_l!&amp;|M"</f>
        <v>#VALUE!</v>
      </c>
      <c r="EC123" t="e">
        <f>'Compiled Agents'!1150:1150-"h_l!&amp;|N"</f>
        <v>#VALUE!</v>
      </c>
      <c r="ED123" t="e">
        <f>'Compiled Agents'!1151:1151-"h_l!&amp;|O"</f>
        <v>#VALUE!</v>
      </c>
      <c r="EE123" t="e">
        <f>'Compiled Agents'!1152:1152-"h_l!&amp;|P"</f>
        <v>#VALUE!</v>
      </c>
      <c r="EF123" t="e">
        <f>'Compiled Agents'!1153:1153-"h_l!&amp;|Q"</f>
        <v>#VALUE!</v>
      </c>
      <c r="EG123" t="e">
        <f>'Compiled Agents'!1154:1154-"h_l!&amp;|R"</f>
        <v>#VALUE!</v>
      </c>
      <c r="EH123" t="e">
        <f>'Compiled Agents'!1155:1155-"h_l!&amp;|S"</f>
        <v>#VALUE!</v>
      </c>
      <c r="EI123" t="e">
        <f>'Compiled Agents'!1156:1156-"h_l!&amp;|T"</f>
        <v>#VALUE!</v>
      </c>
      <c r="EJ123" t="e">
        <f>'Compiled Agents'!1157:1157-"h_l!&amp;|U"</f>
        <v>#VALUE!</v>
      </c>
      <c r="EK123" t="e">
        <f>'Compiled Agents'!1158:1158-"h_l!&amp;|V"</f>
        <v>#VALUE!</v>
      </c>
      <c r="EL123" t="e">
        <f>'Compiled Agents'!1159:1159-"h_l!&amp;|W"</f>
        <v>#VALUE!</v>
      </c>
      <c r="EM123" t="e">
        <f>'Compiled Agents'!1160:1160-"h_l!&amp;|X"</f>
        <v>#VALUE!</v>
      </c>
      <c r="EN123" t="e">
        <f>'Compiled Agents'!1161:1161-"h_l!&amp;|Y"</f>
        <v>#VALUE!</v>
      </c>
      <c r="EO123" t="e">
        <f>'Compiled Agents'!1162:1162-"h_l!&amp;|Z"</f>
        <v>#VALUE!</v>
      </c>
      <c r="EP123" t="e">
        <f>'Compiled Agents'!1163:1163-"h_l!&amp;|["</f>
        <v>#VALUE!</v>
      </c>
      <c r="EQ123" t="e">
        <f>'Compiled Agents'!1164:1164-"h_l!&amp;|\"</f>
        <v>#VALUE!</v>
      </c>
      <c r="ER123" t="e">
        <f>'Compiled Agents'!1165:1165-"h_l!&amp;|]"</f>
        <v>#VALUE!</v>
      </c>
      <c r="ES123" t="e">
        <f>'Compiled Agents'!1166:1166-"h_l!&amp;|^"</f>
        <v>#VALUE!</v>
      </c>
      <c r="ET123" t="e">
        <f>'Compiled Agents'!1167:1167-"h_l!&amp;|_"</f>
        <v>#VALUE!</v>
      </c>
      <c r="EU123" t="e">
        <f>'Compiled Agents'!1168:1168-"h_l!&amp;|`"</f>
        <v>#VALUE!</v>
      </c>
      <c r="EV123" t="e">
        <f>'Compiled Agents'!1169:1169-"h_l!&amp;|a"</f>
        <v>#VALUE!</v>
      </c>
      <c r="EW123" t="e">
        <f>'Compiled Agents'!1170:1170-"h_l!&amp;|b"</f>
        <v>#VALUE!</v>
      </c>
      <c r="EX123" t="e">
        <f>'Compiled Agents'!1171:1171-"h_l!&amp;|c"</f>
        <v>#VALUE!</v>
      </c>
      <c r="EY123" t="e">
        <f>'Compiled Agents'!1172:1172-"h_l!&amp;|d"</f>
        <v>#VALUE!</v>
      </c>
      <c r="EZ123" t="e">
        <f>'Compiled Agents'!1173:1173-"h_l!&amp;|e"</f>
        <v>#VALUE!</v>
      </c>
      <c r="FA123" t="e">
        <f>'Compiled Agents'!1174:1174-"h_l!&amp;|f"</f>
        <v>#VALUE!</v>
      </c>
      <c r="FB123" t="e">
        <f>'Compiled Agents'!1175:1175-"h_l!&amp;|g"</f>
        <v>#VALUE!</v>
      </c>
      <c r="FC123" t="e">
        <f>'Compiled Agents'!1176:1176-"h_l!&amp;|h"</f>
        <v>#VALUE!</v>
      </c>
      <c r="FD123" t="e">
        <f>'Compiled Agents'!1177:1177-"h_l!&amp;|i"</f>
        <v>#VALUE!</v>
      </c>
      <c r="FE123" t="e">
        <f>'Compiled Agents'!1178:1178-"h_l!&amp;|j"</f>
        <v>#VALUE!</v>
      </c>
      <c r="FF123" t="e">
        <f>'Compiled Agents'!1179:1179-"h_l!&amp;|k"</f>
        <v>#VALUE!</v>
      </c>
      <c r="FG123" t="e">
        <f>'Compiled Agents'!1180:1180-"h_l!&amp;|l"</f>
        <v>#VALUE!</v>
      </c>
      <c r="FH123" t="e">
        <f>'Compiled Agents'!1181:1181-"h_l!&amp;|m"</f>
        <v>#VALUE!</v>
      </c>
      <c r="FI123" t="e">
        <f>'Compiled Agents'!1182:1182-"h_l!&amp;|n"</f>
        <v>#VALUE!</v>
      </c>
      <c r="FJ123" t="e">
        <f>'Compiled Agents'!1183:1183-"h_l!&amp;|o"</f>
        <v>#VALUE!</v>
      </c>
      <c r="FK123" t="e">
        <f>'Compiled Agents'!1184:1184-"h_l!&amp;|p"</f>
        <v>#VALUE!</v>
      </c>
      <c r="FL123" t="e">
        <f>'Compiled Agents'!1185:1185-"h_l!&amp;|q"</f>
        <v>#VALUE!</v>
      </c>
      <c r="FM123" t="e">
        <f>'Compiled Agents'!1186:1186-"h_l!&amp;|r"</f>
        <v>#VALUE!</v>
      </c>
      <c r="FN123" t="e">
        <f>'Compiled Agents'!1187:1187-"h_l!&amp;|s"</f>
        <v>#VALUE!</v>
      </c>
      <c r="FO123" t="e">
        <f>'Compiled Agents'!1188:1188-"h_l!&amp;|t"</f>
        <v>#VALUE!</v>
      </c>
      <c r="FP123" t="e">
        <f>'Compiled Agents'!1189:1189-"h_l!&amp;|u"</f>
        <v>#VALUE!</v>
      </c>
      <c r="FQ123" t="e">
        <f>'Compiled Agents'!1190:1190-"h_l!&amp;|v"</f>
        <v>#VALUE!</v>
      </c>
      <c r="FR123" t="e">
        <f>'Compiled Agents'!1191:1191-"h_l!&amp;|w"</f>
        <v>#VALUE!</v>
      </c>
      <c r="FS123" t="e">
        <f>'Compiled Agents'!1192:1192-"h_l!&amp;|x"</f>
        <v>#VALUE!</v>
      </c>
      <c r="FT123" t="e">
        <f>'Compiled Agents'!1193:1193-"h_l!&amp;|y"</f>
        <v>#VALUE!</v>
      </c>
      <c r="FU123" t="e">
        <f>'Compiled Agents'!1194:1194-"h_l!&amp;|z"</f>
        <v>#VALUE!</v>
      </c>
      <c r="FV123" t="e">
        <f>'Compiled Agents'!1195:1195-"h_l!&amp;|{"</f>
        <v>#VALUE!</v>
      </c>
      <c r="FW123" t="e">
        <f>'Compiled Agents'!1196:1196-"h_l!&amp;||"</f>
        <v>#VALUE!</v>
      </c>
      <c r="FX123" t="e">
        <f>'Compiled Agents'!1197:1197-"h_l!&amp;|}"</f>
        <v>#VALUE!</v>
      </c>
      <c r="FY123" t="e">
        <f>'Compiled Agents'!1198:1198-"h_l!&amp;|~"</f>
        <v>#VALUE!</v>
      </c>
      <c r="FZ123" t="e">
        <f>'Compiled Agents'!1199:1199-"h_l!&amp;}#"</f>
        <v>#VALUE!</v>
      </c>
      <c r="GA123" t="e">
        <f>'Compiled Agents'!1200:1200-"h_l!&amp;}$"</f>
        <v>#VALUE!</v>
      </c>
      <c r="GB123" t="e">
        <f>'Compiled Agents'!1201:1201-"h_l!&amp;}%"</f>
        <v>#VALUE!</v>
      </c>
      <c r="GC123" t="e">
        <f>'Compiled Agents'!1202:1202-"h_l!&amp;}&amp;"</f>
        <v>#VALUE!</v>
      </c>
      <c r="GD123" t="e">
        <f>'Compiled Agents'!1203:1203-"h_l!&amp;}'"</f>
        <v>#VALUE!</v>
      </c>
      <c r="GE123" t="e">
        <f>'Compiled Agents'!1204:1204-"h_l!&amp;}("</f>
        <v>#VALUE!</v>
      </c>
      <c r="GF123" t="e">
        <f>'Compiled Agents'!1205:1205-"h_l!&amp;})"</f>
        <v>#VALUE!</v>
      </c>
      <c r="GG123" t="e">
        <f>'Compiled Agents'!1206:1206-"h_l!&amp;}."</f>
        <v>#VALUE!</v>
      </c>
      <c r="GH123" t="e">
        <f>'Compiled Agents'!1207:1207-"h_l!&amp;}/"</f>
        <v>#VALUE!</v>
      </c>
      <c r="GI123" t="e">
        <f>'Compiled Agents'!1208:1208-"h_l!&amp;}0"</f>
        <v>#VALUE!</v>
      </c>
      <c r="GJ123" t="e">
        <f>'Compiled Agents'!1209:1209-"h_l!&amp;}1"</f>
        <v>#VALUE!</v>
      </c>
      <c r="GK123" t="e">
        <f>'Compiled Agents'!1210:1210-"h_l!&amp;}2"</f>
        <v>#VALUE!</v>
      </c>
      <c r="GL123" t="e">
        <f>'Compiled Agents'!1211:1211-"h_l!&amp;}3"</f>
        <v>#VALUE!</v>
      </c>
      <c r="GM123" t="e">
        <f>'Compiled Agents'!1212:1212-"h_l!&amp;}4"</f>
        <v>#VALUE!</v>
      </c>
      <c r="GN123" t="e">
        <f>'Compiled Agents'!1213:1213-"h_l!&amp;}5"</f>
        <v>#VALUE!</v>
      </c>
      <c r="GO123" t="e">
        <f>'Compiled Agents'!1214:1214-"h_l!&amp;}6"</f>
        <v>#VALUE!</v>
      </c>
      <c r="GP123" t="e">
        <f>'Compiled Agents'!1215:1215-"h_l!&amp;}7"</f>
        <v>#VALUE!</v>
      </c>
      <c r="GQ123" t="e">
        <f>'Compiled Agents'!1216:1216-"h_l!&amp;}8"</f>
        <v>#VALUE!</v>
      </c>
      <c r="GR123" t="e">
        <f>'Compiled Agents'!1217:1217-"h_l!&amp;}9"</f>
        <v>#VALUE!</v>
      </c>
      <c r="GS123" t="e">
        <f>'Compiled Agents'!1218:1218-"h_l!&amp;}:"</f>
        <v>#VALUE!</v>
      </c>
      <c r="GT123" t="e">
        <f>'Compiled Agents'!1219:1219-"h_l!&amp;};"</f>
        <v>#VALUE!</v>
      </c>
      <c r="GU123" t="e">
        <f>'Compiled Agents'!1220:1220-"h_l!&amp;}&lt;"</f>
        <v>#VALUE!</v>
      </c>
      <c r="GV123" t="e">
        <f>'Compiled Agents'!1221:1221-"h_l!&amp;}="</f>
        <v>#VALUE!</v>
      </c>
      <c r="GW123" t="e">
        <f>'Compiled Agents'!1222:1222-"h_l!&amp;}&gt;"</f>
        <v>#VALUE!</v>
      </c>
      <c r="GX123" t="e">
        <f>'Compiled Agents'!1223:1223-"h_l!&amp;}?"</f>
        <v>#VALUE!</v>
      </c>
      <c r="GY123" t="e">
        <f>'Compiled Agents'!1224:1224-"h_l!&amp;}@"</f>
        <v>#VALUE!</v>
      </c>
      <c r="GZ123" t="e">
        <f>'Compiled Agents'!1225:1225-"h_l!&amp;}A"</f>
        <v>#VALUE!</v>
      </c>
      <c r="HA123" t="e">
        <f>'Compiled Agents'!1226:1226-"h_l!&amp;}B"</f>
        <v>#VALUE!</v>
      </c>
      <c r="HB123" t="e">
        <f>'Compiled Agents'!1227:1227-"h_l!&amp;}C"</f>
        <v>#VALUE!</v>
      </c>
      <c r="HC123" t="e">
        <f>'Compiled Agents'!1228:1228-"h_l!&amp;}D"</f>
        <v>#VALUE!</v>
      </c>
      <c r="HD123" t="e">
        <f>'Compiled Agents'!1229:1229-"h_l!&amp;}E"</f>
        <v>#VALUE!</v>
      </c>
      <c r="HE123" t="e">
        <f>'Compiled Agents'!1230:1230-"h_l!&amp;}F"</f>
        <v>#VALUE!</v>
      </c>
      <c r="HF123" t="e">
        <f>'Compiled Agents'!1231:1231-"h_l!&amp;}G"</f>
        <v>#VALUE!</v>
      </c>
      <c r="HG123" t="e">
        <f>'Compiled Agents'!1232:1232-"h_l!&amp;}H"</f>
        <v>#VALUE!</v>
      </c>
      <c r="HH123" t="e">
        <f>'Compiled Agents'!1233:1233-"h_l!&amp;}I"</f>
        <v>#VALUE!</v>
      </c>
      <c r="HI123" t="e">
        <f>'Compiled Agents'!1234:1234-"h_l!&amp;}J"</f>
        <v>#VALUE!</v>
      </c>
      <c r="HJ123" t="e">
        <f>'Compiled Agents'!1235:1235-"h_l!&amp;}K"</f>
        <v>#VALUE!</v>
      </c>
      <c r="HK123" t="e">
        <f>'Compiled Agents'!1236:1236-"h_l!&amp;}L"</f>
        <v>#VALUE!</v>
      </c>
      <c r="HL123" t="e">
        <f>'Compiled Agents'!1237:1237-"h_l!&amp;}M"</f>
        <v>#VALUE!</v>
      </c>
      <c r="HM123" t="e">
        <f>'Compiled Agents'!1238:1238-"h_l!&amp;}N"</f>
        <v>#VALUE!</v>
      </c>
      <c r="HN123" t="e">
        <f>'Compiled Agents'!1239:1239-"h_l!&amp;}O"</f>
        <v>#VALUE!</v>
      </c>
      <c r="HO123" t="e">
        <f>'Compiled Agents'!1240:1240-"h_l!&amp;}P"</f>
        <v>#VALUE!</v>
      </c>
      <c r="HP123" t="e">
        <f>'Compiled Agents'!1241:1241-"h_l!&amp;}Q"</f>
        <v>#VALUE!</v>
      </c>
      <c r="HQ123" t="e">
        <f>'Compiled Agents'!1242:1242-"h_l!&amp;}R"</f>
        <v>#VALUE!</v>
      </c>
      <c r="HR123" t="e">
        <f>'Compiled Agents'!1243:1243-"h_l!&amp;}S"</f>
        <v>#VALUE!</v>
      </c>
      <c r="HS123" t="e">
        <f>'Compiled Agents'!1244:1244-"h_l!&amp;}T"</f>
        <v>#VALUE!</v>
      </c>
      <c r="HT123" t="e">
        <f>'Compiled Agents'!1245:1245-"h_l!&amp;}U"</f>
        <v>#VALUE!</v>
      </c>
      <c r="HU123" t="e">
        <f>'Compiled Agents'!1246:1246-"h_l!&amp;}V"</f>
        <v>#VALUE!</v>
      </c>
      <c r="HV123" t="e">
        <f>'Compiled Agents'!1247:1247-"h_l!&amp;}W"</f>
        <v>#VALUE!</v>
      </c>
      <c r="HW123" t="e">
        <f>'Compiled Agents'!1248:1248-"h_l!&amp;}X"</f>
        <v>#VALUE!</v>
      </c>
      <c r="HX123" t="e">
        <f>'Compiled Agents'!1249:1249-"h_l!&amp;}Y"</f>
        <v>#VALUE!</v>
      </c>
      <c r="HY123" t="e">
        <f>'Compiled Agents'!1250:1250-"h_l!&amp;}Z"</f>
        <v>#VALUE!</v>
      </c>
      <c r="HZ123" t="e">
        <f>'Compiled Agents'!1251:1251-"h_l!&amp;}["</f>
        <v>#VALUE!</v>
      </c>
      <c r="IA123" t="e">
        <f>'Compiled Agents'!1252:1252-"h_l!&amp;}\"</f>
        <v>#VALUE!</v>
      </c>
      <c r="IB123" t="e">
        <f>'Compiled Agents'!1253:1253-"h_l!&amp;}]"</f>
        <v>#VALUE!</v>
      </c>
      <c r="IC123" t="e">
        <f>'Compiled Agents'!1254:1254-"h_l!&amp;}^"</f>
        <v>#VALUE!</v>
      </c>
      <c r="ID123" t="e">
        <f>'Compiled Agents'!1255:1255-"h_l!&amp;}_"</f>
        <v>#VALUE!</v>
      </c>
      <c r="IE123" t="e">
        <f>'Compiled Agents'!1256:1256-"h_l!&amp;}`"</f>
        <v>#VALUE!</v>
      </c>
      <c r="IF123" t="e">
        <f>'Compiled Agents'!1257:1257-"h_l!&amp;}a"</f>
        <v>#VALUE!</v>
      </c>
      <c r="IG123" t="e">
        <f>'Compiled Agents'!1258:1258-"h_l!&amp;}b"</f>
        <v>#VALUE!</v>
      </c>
      <c r="IH123" t="e">
        <f>'Compiled Agents'!1259:1259-"h_l!&amp;}c"</f>
        <v>#VALUE!</v>
      </c>
      <c r="II123" t="e">
        <f>'Compiled Agents'!1260:1260-"h_l!&amp;}d"</f>
        <v>#VALUE!</v>
      </c>
      <c r="IJ123" t="e">
        <f>'Compiled Agents'!1261:1261-"h_l!&amp;}e"</f>
        <v>#VALUE!</v>
      </c>
      <c r="IK123" t="e">
        <f>'Compiled Agents'!1262:1262-"h_l!&amp;}f"</f>
        <v>#VALUE!</v>
      </c>
      <c r="IL123" t="e">
        <f>'Compiled Agents'!1263:1263-"h_l!&amp;}g"</f>
        <v>#VALUE!</v>
      </c>
      <c r="IM123" t="e">
        <f>'Compiled Agents'!1264:1264-"h_l!&amp;}h"</f>
        <v>#VALUE!</v>
      </c>
      <c r="IN123" t="e">
        <f>'Compiled Agents'!1265:1265-"h_l!&amp;}i"</f>
        <v>#VALUE!</v>
      </c>
      <c r="IO123" t="e">
        <f>'Compiled Agents'!1266:1266-"h_l!&amp;}j"</f>
        <v>#VALUE!</v>
      </c>
      <c r="IP123" t="e">
        <f>'Compiled Agents'!1267:1267-"h_l!&amp;}k"</f>
        <v>#VALUE!</v>
      </c>
      <c r="IQ123" t="e">
        <f>'Compiled Agents'!1268:1268-"h_l!&amp;}l"</f>
        <v>#VALUE!</v>
      </c>
      <c r="IR123" t="e">
        <f>'Compiled Agents'!1269:1269-"h_l!&amp;}m"</f>
        <v>#VALUE!</v>
      </c>
      <c r="IS123" t="e">
        <f>'Compiled Agents'!1270:1270-"h_l!&amp;}n"</f>
        <v>#VALUE!</v>
      </c>
      <c r="IT123" t="e">
        <f>'Compiled Agents'!1271:1271-"h_l!&amp;}o"</f>
        <v>#VALUE!</v>
      </c>
      <c r="IU123" t="e">
        <f>'Compiled Agents'!1272:1272-"h_l!&amp;}p"</f>
        <v>#VALUE!</v>
      </c>
      <c r="IV123" t="e">
        <f>'Compiled Agents'!1273:1273-"h_l!&amp;}q"</f>
        <v>#VALUE!</v>
      </c>
    </row>
    <row r="124" spans="6:256" x14ac:dyDescent="0.25">
      <c r="F124" t="e">
        <f>'Compiled Agents'!1274:1274-"h_l!&amp;}r"</f>
        <v>#VALUE!</v>
      </c>
      <c r="G124" t="e">
        <f>'Compiled Agents'!1275:1275-"h_l!&amp;}s"</f>
        <v>#VALUE!</v>
      </c>
      <c r="H124" t="e">
        <f>'Compiled Agents'!1276:1276-"h_l!&amp;}t"</f>
        <v>#VALUE!</v>
      </c>
      <c r="I124" t="e">
        <f>'Compiled Agents'!1277:1277-"h_l!&amp;}u"</f>
        <v>#VALUE!</v>
      </c>
      <c r="J124" t="e">
        <f>'Compiled Agents'!1278:1278-"h_l!&amp;}v"</f>
        <v>#VALUE!</v>
      </c>
      <c r="K124" t="e">
        <f>'Compiled Agents'!1279:1279-"h_l!&amp;}w"</f>
        <v>#VALUE!</v>
      </c>
      <c r="L124" t="e">
        <f>'Compiled Agents'!1280:1280-"h_l!&amp;}x"</f>
        <v>#VALUE!</v>
      </c>
      <c r="M124" t="e">
        <f>'Compiled Agents'!1281:1281-"h_l!&amp;}y"</f>
        <v>#VALUE!</v>
      </c>
      <c r="N124" t="e">
        <f>'Compiled Agents'!1282:1282-"h_l!&amp;}z"</f>
        <v>#VALUE!</v>
      </c>
      <c r="O124" t="e">
        <f>'Compiled Agents'!1283:1283-"h_l!&amp;}{"</f>
        <v>#VALUE!</v>
      </c>
      <c r="P124" t="e">
        <f>'Compiled Agents'!1284:1284-"h_l!&amp;}|"</f>
        <v>#VALUE!</v>
      </c>
      <c r="Q124" t="e">
        <f>'Compiled Agents'!1285:1285-"h_l!&amp;}}"</f>
        <v>#VALUE!</v>
      </c>
      <c r="R124" t="e">
        <f>'Compiled Agents'!1286:1286-"h_l!&amp;}~"</f>
        <v>#VALUE!</v>
      </c>
      <c r="S124" t="e">
        <f>'Compiled Agents'!1287:1287-"h_l!&amp;~#"</f>
        <v>#VALUE!</v>
      </c>
      <c r="T124" t="e">
        <f>'Compiled Agents'!1288:1288-"h_l!&amp;~$"</f>
        <v>#VALUE!</v>
      </c>
      <c r="U124" t="e">
        <f>'Compiled Agents'!1289:1289-"h_l!&amp;~%"</f>
        <v>#VALUE!</v>
      </c>
      <c r="V124" t="e">
        <f>'Compiled Agents'!1290:1290-"h_l!&amp;~&amp;"</f>
        <v>#VALUE!</v>
      </c>
      <c r="W124" t="e">
        <f>'Compiled Agents'!1291:1291-"h_l!&amp;~'"</f>
        <v>#VALUE!</v>
      </c>
      <c r="X124" t="e">
        <f>'Compiled Agents'!1292:1292-"h_l!&amp;~("</f>
        <v>#VALUE!</v>
      </c>
      <c r="Y124" t="e">
        <f>'Compiled Agents'!1293:1293-"h_l!&amp;~)"</f>
        <v>#VALUE!</v>
      </c>
      <c r="Z124" t="e">
        <f>'Compiled Agents'!1294:1294-"h_l!&amp;~."</f>
        <v>#VALUE!</v>
      </c>
      <c r="AA124" t="e">
        <f>'Compiled Agents'!1295:1295-"h_l!&amp;~/"</f>
        <v>#VALUE!</v>
      </c>
      <c r="AB124" t="e">
        <f>'Compiled Agents'!1296:1296-"h_l!&amp;~0"</f>
        <v>#VALUE!</v>
      </c>
      <c r="AC124" t="e">
        <f>'Compiled Agents'!1297:1297-"h_l!&amp;~1"</f>
        <v>#VALUE!</v>
      </c>
      <c r="AD124" t="e">
        <f>'Compiled Agents'!1298:1298-"h_l!&amp;~2"</f>
        <v>#VALUE!</v>
      </c>
      <c r="AE124" t="e">
        <f>'Compiled Agents'!1299:1299-"h_l!&amp;~3"</f>
        <v>#VALUE!</v>
      </c>
      <c r="AF124" t="e">
        <f>'Compiled Agents'!1300:1300-"h_l!&amp;~4"</f>
        <v>#VALUE!</v>
      </c>
      <c r="AG124" t="e">
        <f>'Compiled Agents'!1301:1301-"h_l!&amp;~5"</f>
        <v>#VALUE!</v>
      </c>
      <c r="AH124" t="e">
        <f>'Compiled Agents'!1302:1302-"h_l!&amp;~6"</f>
        <v>#VALUE!</v>
      </c>
      <c r="AI124" t="e">
        <f>'Compiled Agents'!1303:1303-"h_l!&amp;~7"</f>
        <v>#VALUE!</v>
      </c>
      <c r="AJ124" t="e">
        <f>'Compiled Agents'!1304:1304-"h_l!&amp;~8"</f>
        <v>#VALUE!</v>
      </c>
      <c r="AK124" t="e">
        <f>'Compiled Agents'!1305:1305-"h_l!&amp;~9"</f>
        <v>#VALUE!</v>
      </c>
      <c r="AL124" t="e">
        <f>'Compiled Agents'!1306:1306-"h_l!&amp;~:"</f>
        <v>#VALUE!</v>
      </c>
      <c r="AM124" t="e">
        <f>'Compiled Agents'!1307:1307-"h_l!&amp;~;"</f>
        <v>#VALUE!</v>
      </c>
      <c r="AN124" t="e">
        <f>'Compiled Agents'!1308:1308-"h_l!&amp;~&lt;"</f>
        <v>#VALUE!</v>
      </c>
      <c r="AO124" t="e">
        <f>'Compiled Agents'!1309:1309-"h_l!&amp;~="</f>
        <v>#VALUE!</v>
      </c>
      <c r="AP124" t="e">
        <f>'Compiled Agents'!1310:1310-"h_l!&amp;~&gt;"</f>
        <v>#VALUE!</v>
      </c>
      <c r="AQ124" t="e">
        <f>'Compiled Agents'!1311:1311-"h_l!&amp;~?"</f>
        <v>#VALUE!</v>
      </c>
      <c r="AR124" t="e">
        <f>'Compiled Agents'!1312:1312-"h_l!&amp;~@"</f>
        <v>#VALUE!</v>
      </c>
      <c r="AS124" t="e">
        <f>'Compiled Agents'!1313:1313-"h_l!&amp;~A"</f>
        <v>#VALUE!</v>
      </c>
      <c r="AT124" t="e">
        <f>'Compiled Agents'!1314:1314-"h_l!&amp;~B"</f>
        <v>#VALUE!</v>
      </c>
      <c r="AU124" t="e">
        <f>'Compiled Agents'!1315:1315-"h_l!&amp;~C"</f>
        <v>#VALUE!</v>
      </c>
      <c r="AV124" t="e">
        <f>'Compiled Agents'!1316:1316-"h_l!&amp;~D"</f>
        <v>#VALUE!</v>
      </c>
      <c r="AW124" t="e">
        <f>'Compiled Agents'!1317:1317-"h_l!&amp;~E"</f>
        <v>#VALUE!</v>
      </c>
      <c r="AX124" t="e">
        <f>'Compiled Agents'!1318:1318-"h_l!&amp;~F"</f>
        <v>#VALUE!</v>
      </c>
      <c r="AY124" t="e">
        <f>'Compiled Agents'!1319:1319-"h_l!&amp;~G"</f>
        <v>#VALUE!</v>
      </c>
      <c r="AZ124" t="e">
        <f>'Compiled Agents'!1320:1320-"h_l!&amp;~H"</f>
        <v>#VALUE!</v>
      </c>
      <c r="BA124" t="e">
        <f>'Compiled Agents'!1321:1321-"h_l!&amp;~I"</f>
        <v>#VALUE!</v>
      </c>
      <c r="BB124" t="e">
        <f>'Compiled Agents'!1322:1322-"h_l!&amp;~J"</f>
        <v>#VALUE!</v>
      </c>
      <c r="BC124" t="e">
        <f>'Compiled Agents'!1323:1323-"h_l!&amp;~K"</f>
        <v>#VALUE!</v>
      </c>
      <c r="BD124" t="e">
        <f>'Compiled Agents'!1324:1324-"h_l!&amp;~L"</f>
        <v>#VALUE!</v>
      </c>
      <c r="BE124" t="e">
        <f>'Compiled Agents'!1325:1325-"h_l!&amp;~M"</f>
        <v>#VALUE!</v>
      </c>
      <c r="BF124" t="e">
        <f>'Compiled Agents'!1326:1326-"h_l!&amp;~N"</f>
        <v>#VALUE!</v>
      </c>
      <c r="BG124" t="e">
        <f>'Compiled Agents'!1327:1327-"h_l!&amp;~O"</f>
        <v>#VALUE!</v>
      </c>
      <c r="BH124" t="e">
        <f>'Compiled Agents'!1328:1328-"h_l!&amp;~P"</f>
        <v>#VALUE!</v>
      </c>
      <c r="BI124" t="e">
        <f>'Compiled Agents'!1329:1329-"h_l!&amp;~Q"</f>
        <v>#VALUE!</v>
      </c>
      <c r="BJ124" t="e">
        <f>'Compiled Agents'!1330:1330-"h_l!&amp;~R"</f>
        <v>#VALUE!</v>
      </c>
      <c r="BK124" t="e">
        <f>'Compiled Agents'!1331:1331-"h_l!&amp;~S"</f>
        <v>#VALUE!</v>
      </c>
      <c r="BL124" t="e">
        <f>'Compiled Agents'!1332:1332-"h_l!&amp;~T"</f>
        <v>#VALUE!</v>
      </c>
      <c r="BM124" t="e">
        <f>'Compiled Agents'!1333:1333-"h_l!&amp;~U"</f>
        <v>#VALUE!</v>
      </c>
      <c r="BN124" t="e">
        <f>'Compiled Agents'!1334:1334-"h_l!&amp;~V"</f>
        <v>#VALUE!</v>
      </c>
      <c r="BO124" t="e">
        <f>'Compiled Agents'!1335:1335-"h_l!&amp;~W"</f>
        <v>#VALUE!</v>
      </c>
      <c r="BP124" t="e">
        <f>'Compiled Agents'!1336:1336-"h_l!&amp;~X"</f>
        <v>#VALUE!</v>
      </c>
      <c r="BQ124" t="e">
        <f>'Compiled Agents'!1337:1337-"h_l!&amp;~Y"</f>
        <v>#VALUE!</v>
      </c>
      <c r="BR124" t="e">
        <f>'Compiled Agents'!1338:1338-"h_l!&amp;~Z"</f>
        <v>#VALUE!</v>
      </c>
      <c r="BS124" t="e">
        <f>'Compiled Agents'!1339:1339-"h_l!&amp;~["</f>
        <v>#VALUE!</v>
      </c>
      <c r="BT124" t="e">
        <f>'Compiled Agents'!1340:1340-"h_l!&amp;~\"</f>
        <v>#VALUE!</v>
      </c>
      <c r="BU124" t="e">
        <f>'Compiled Agents'!1341:1341-"h_l!&amp;~]"</f>
        <v>#VALUE!</v>
      </c>
      <c r="BV124" t="e">
        <f>'Compiled Agents'!1342:1342-"h_l!&amp;~^"</f>
        <v>#VALUE!</v>
      </c>
      <c r="BW124" t="e">
        <f>'Compiled Agents'!1343:1343-"h_l!&amp;~_"</f>
        <v>#VALUE!</v>
      </c>
      <c r="BX124" t="e">
        <f>'Compiled Agents'!1344:1344-"h_l!&amp;~`"</f>
        <v>#VALUE!</v>
      </c>
      <c r="BY124" t="e">
        <f>'Compiled Agents'!1345:1345-"h_l!&amp;~a"</f>
        <v>#VALUE!</v>
      </c>
      <c r="BZ124" t="e">
        <f>'Compiled Agents'!1346:1346-"h_l!&amp;~b"</f>
        <v>#VALUE!</v>
      </c>
      <c r="CA124" t="e">
        <f>'Compiled Agents'!1347:1347-"h_l!&amp;~c"</f>
        <v>#VALUE!</v>
      </c>
      <c r="CB124" t="e">
        <f>'Compiled Agents'!1348:1348-"h_l!&amp;~d"</f>
        <v>#VALUE!</v>
      </c>
      <c r="CC124" t="e">
        <f>'Compiled Agents'!1349:1349-"h_l!&amp;~e"</f>
        <v>#VALUE!</v>
      </c>
      <c r="CD124" t="e">
        <f>'Compiled Agents'!1350:1350-"h_l!&amp;~f"</f>
        <v>#VALUE!</v>
      </c>
      <c r="CE124" t="e">
        <f>'Compiled Agents'!1351:1351-"h_l!&amp;~g"</f>
        <v>#VALUE!</v>
      </c>
      <c r="CF124" t="e">
        <f>'Compiled Agents'!1352:1352-"h_l!&amp;~h"</f>
        <v>#VALUE!</v>
      </c>
      <c r="CG124" t="e">
        <f>'Compiled Agents'!1353:1353-"h_l!&amp;~i"</f>
        <v>#VALUE!</v>
      </c>
      <c r="CH124" t="e">
        <f>'Compiled Agents'!1354:1354-"h_l!&amp;~j"</f>
        <v>#VALUE!</v>
      </c>
      <c r="CI124" t="e">
        <f>'Compiled Agents'!1355:1355-"h_l!&amp;~k"</f>
        <v>#VALUE!</v>
      </c>
      <c r="CJ124" t="e">
        <f>'Compiled Agents'!1356:1356-"h_l!&amp;~l"</f>
        <v>#VALUE!</v>
      </c>
      <c r="CK124" t="e">
        <f>'Compiled Agents'!1357:1357-"h_l!&amp;~m"</f>
        <v>#VALUE!</v>
      </c>
      <c r="CL124" t="e">
        <f>'Compiled Agents'!1358:1358-"h_l!&amp;~n"</f>
        <v>#VALUE!</v>
      </c>
      <c r="CM124" t="e">
        <f>'Compiled Agents'!1359:1359-"h_l!&amp;~o"</f>
        <v>#VALUE!</v>
      </c>
      <c r="CN124" t="e">
        <f>'Compiled Agents'!1360:1360-"h_l!&amp;~p"</f>
        <v>#VALUE!</v>
      </c>
      <c r="CO124" t="e">
        <f>'Compiled Agents'!1361:1361-"h_l!&amp;~q"</f>
        <v>#VALUE!</v>
      </c>
      <c r="CP124" t="e">
        <f>'Compiled Agents'!1362:1362-"h_l!&amp;~r"</f>
        <v>#VALUE!</v>
      </c>
      <c r="CQ124" t="e">
        <f>'Compiled Agents'!1363:1363-"h_l!&amp;~s"</f>
        <v>#VALUE!</v>
      </c>
      <c r="CR124" t="e">
        <f>'Compiled Agents'!1364:1364-"h_l!&amp;~t"</f>
        <v>#VALUE!</v>
      </c>
      <c r="CS124" t="e">
        <f>'Compiled Agents'!1365:1365-"h_l!&amp;~u"</f>
        <v>#VALUE!</v>
      </c>
      <c r="CT124" t="e">
        <f>'Compiled Agents'!1366:1366-"h_l!&amp;~v"</f>
        <v>#VALUE!</v>
      </c>
      <c r="CU124" t="e">
        <f>'Compiled Agents'!1367:1367-"h_l!&amp;~w"</f>
        <v>#VALUE!</v>
      </c>
      <c r="CV124" t="e">
        <f>'Compiled Agents'!1368:1368-"h_l!&amp;~x"</f>
        <v>#VALUE!</v>
      </c>
      <c r="CW124" t="e">
        <f>'Compiled Agents'!1369:1369-"h_l!&amp;~y"</f>
        <v>#VALUE!</v>
      </c>
      <c r="CX124" t="e">
        <f>'Compiled Agents'!1370:1370-"h_l!&amp;~z"</f>
        <v>#VALUE!</v>
      </c>
      <c r="CY124" t="e">
        <f>'Compiled Agents'!1371:1371-"h_l!&amp;~{"</f>
        <v>#VALUE!</v>
      </c>
      <c r="CZ124" t="e">
        <f>'Compiled Agents'!1372:1372-"h_l!&amp;~|"</f>
        <v>#VALUE!</v>
      </c>
      <c r="DA124" t="e">
        <f>'Compiled Agents'!1373:1373-"h_l!&amp;~}"</f>
        <v>#VALUE!</v>
      </c>
      <c r="DB124" t="e">
        <f>'Compiled Agents'!1374:1374-"h_l!&amp;~~"</f>
        <v>#VALUE!</v>
      </c>
      <c r="DC124" t="e">
        <f>'Compiled Agents'!1375:1375-"h_l!'##"</f>
        <v>#VALUE!</v>
      </c>
      <c r="DD124" t="e">
        <f>'Compiled Agents'!1376:1376-"h_l!'#$"</f>
        <v>#VALUE!</v>
      </c>
      <c r="DE124" t="e">
        <f>'Compiled Agents'!1377:1377-"h_l!'#%"</f>
        <v>#VALUE!</v>
      </c>
      <c r="DF124" t="e">
        <f>'Compiled Agents'!1378:1378-"h_l!'#&amp;"</f>
        <v>#VALUE!</v>
      </c>
      <c r="DG124" t="e">
        <f>'Compiled Agents'!1379:1379-"h_l!'#'"</f>
        <v>#VALUE!</v>
      </c>
      <c r="DH124" t="e">
        <f>'Compiled Agents'!1380:1380-"h_l!'#("</f>
        <v>#VALUE!</v>
      </c>
      <c r="DI124" t="e">
        <f>'Compiled Agents'!1381:1381-"h_l!'#)"</f>
        <v>#VALUE!</v>
      </c>
      <c r="DJ124" t="e">
        <f>'Compiled Agents'!1382:1382-"h_l!'#."</f>
        <v>#VALUE!</v>
      </c>
      <c r="DK124" t="e">
        <f>'Compiled Agents'!1383:1383-"h_l!'#/"</f>
        <v>#VALUE!</v>
      </c>
      <c r="DL124" t="e">
        <f>'Compiled Agents'!1384:1384-"h_l!'#0"</f>
        <v>#VALUE!</v>
      </c>
      <c r="DM124" t="e">
        <f>'Compiled Agents'!1385:1385-"h_l!'#1"</f>
        <v>#VALUE!</v>
      </c>
      <c r="DN124" t="e">
        <f>'Compiled Agents'!1386:1386-"h_l!'#2"</f>
        <v>#VALUE!</v>
      </c>
      <c r="DO124" t="e">
        <f>'Compiled Agents'!1387:1387-"h_l!'#3"</f>
        <v>#VALUE!</v>
      </c>
      <c r="DP124" t="e">
        <f>'Compiled Agents'!1388:1388-"h_l!'#4"</f>
        <v>#VALUE!</v>
      </c>
      <c r="DQ124" t="e">
        <f>'Compiled Agents'!1389:1389-"h_l!'#5"</f>
        <v>#VALUE!</v>
      </c>
      <c r="DR124" t="e">
        <f>'Compiled Agents'!1390:1390-"h_l!'#6"</f>
        <v>#VALUE!</v>
      </c>
      <c r="DS124" t="e">
        <f>'Compiled Agents'!1391:1391-"h_l!'#7"</f>
        <v>#VALUE!</v>
      </c>
      <c r="DT124" t="e">
        <f>'Compiled Agents'!1392:1392-"h_l!'#8"</f>
        <v>#VALUE!</v>
      </c>
      <c r="DU124" t="e">
        <f>'Compiled Agents'!1393:1393-"h_l!'#9"</f>
        <v>#VALUE!</v>
      </c>
      <c r="DV124" t="e">
        <f>'Compiled Agents'!1394:1394-"h_l!'#:"</f>
        <v>#VALUE!</v>
      </c>
      <c r="DW124" t="e">
        <f>'Compiled Agents'!1395:1395-"h_l!'#;"</f>
        <v>#VALUE!</v>
      </c>
      <c r="DX124" t="e">
        <f>'Compiled Agents'!1396:1396-"h_l!'#&lt;"</f>
        <v>#VALUE!</v>
      </c>
      <c r="DY124" t="e">
        <f>'Compiled Agents'!1397:1397-"h_l!'#="</f>
        <v>#VALUE!</v>
      </c>
      <c r="DZ124" t="e">
        <f>'Compiled Agents'!1398:1398-"h_l!'#&gt;"</f>
        <v>#VALUE!</v>
      </c>
      <c r="EA124" t="e">
        <f>'Compiled Agents'!1399:1399-"h_l!'#?"</f>
        <v>#VALUE!</v>
      </c>
      <c r="EB124" t="e">
        <f>'Compiled Agents'!1400:1400-"h_l!'#@"</f>
        <v>#VALUE!</v>
      </c>
      <c r="EC124" t="e">
        <f>'Compiled Agents'!1401:1401-"h_l!'#A"</f>
        <v>#VALUE!</v>
      </c>
      <c r="ED124" t="e">
        <f>'Compiled Agents'!1402:1402-"h_l!'#B"</f>
        <v>#VALUE!</v>
      </c>
      <c r="EE124" t="e">
        <f>'Compiled Agents'!1403:1403-"h_l!'#C"</f>
        <v>#VALUE!</v>
      </c>
      <c r="EF124" t="e">
        <f>'Compiled Agents'!1404:1404-"h_l!'#D"</f>
        <v>#VALUE!</v>
      </c>
      <c r="EG124" t="e">
        <f>'Compiled Agents'!1405:1405-"h_l!'#E"</f>
        <v>#VALUE!</v>
      </c>
      <c r="EH124" t="e">
        <f>'Compiled Agents'!1406:1406-"h_l!'#F"</f>
        <v>#VALUE!</v>
      </c>
      <c r="EI124" t="e">
        <f>'Compiled Agents'!1407:1407-"h_l!'#G"</f>
        <v>#VALUE!</v>
      </c>
      <c r="EJ124" t="e">
        <f>'Compiled Agents'!1408:1408-"h_l!'#H"</f>
        <v>#VALUE!</v>
      </c>
      <c r="EK124" t="e">
        <f>'Compiled Agents'!1409:1409-"h_l!'#I"</f>
        <v>#VALUE!</v>
      </c>
      <c r="EL124" t="e">
        <f>'Compiled Agents'!1410:1410-"h_l!'#J"</f>
        <v>#VALUE!</v>
      </c>
      <c r="EM124" t="e">
        <f>'Compiled Agents'!1411:1411-"h_l!'#K"</f>
        <v>#VALUE!</v>
      </c>
      <c r="EN124" t="e">
        <f>'Compiled Agents'!1412:1412-"h_l!'#L"</f>
        <v>#VALUE!</v>
      </c>
      <c r="EO124" t="e">
        <f>'Compiled Agents'!1413:1413-"h_l!'#M"</f>
        <v>#VALUE!</v>
      </c>
      <c r="EP124" t="e">
        <f>'Compiled Agents'!1414:1414-"h_l!'#N"</f>
        <v>#VALUE!</v>
      </c>
      <c r="EQ124" t="e">
        <f>'Compiled Agents'!1415:1415-"h_l!'#O"</f>
        <v>#VALUE!</v>
      </c>
      <c r="ER124" t="e">
        <f>'Compiled Agents'!1416:1416-"h_l!'#P"</f>
        <v>#VALUE!</v>
      </c>
      <c r="ES124" t="e">
        <f>'Compiled Agents'!1417:1417-"h_l!'#Q"</f>
        <v>#VALUE!</v>
      </c>
      <c r="ET124" t="e">
        <f>'Compiled Agents'!1418:1418-"h_l!'#R"</f>
        <v>#VALUE!</v>
      </c>
      <c r="EU124" t="e">
        <f>'Compiled Agents'!1419:1419-"h_l!'#S"</f>
        <v>#VALUE!</v>
      </c>
      <c r="EV124" t="e">
        <f>'Compiled Agents'!1420:1420-"h_l!'#T"</f>
        <v>#VALUE!</v>
      </c>
      <c r="EW124" t="e">
        <f>'Compiled Agents'!1421:1421-"h_l!'#U"</f>
        <v>#VALUE!</v>
      </c>
      <c r="EX124" t="e">
        <f>'Compiled Agents'!1422:1422-"h_l!'#V"</f>
        <v>#VALUE!</v>
      </c>
      <c r="EY124" t="e">
        <f>'Compiled Agents'!1423:1423-"h_l!'#W"</f>
        <v>#VALUE!</v>
      </c>
      <c r="EZ124" t="e">
        <f>'Compiled Agents'!1424:1424-"h_l!'#X"</f>
        <v>#VALUE!</v>
      </c>
      <c r="FA124" t="e">
        <f>'Compiled Agents'!1425:1425-"h_l!'#Y"</f>
        <v>#VALUE!</v>
      </c>
      <c r="FB124" t="e">
        <f>'Compiled Agents'!1426:1426-"h_l!'#Z"</f>
        <v>#VALUE!</v>
      </c>
      <c r="FC124" t="e">
        <f>'Compiled Agents'!1427:1427-"h_l!'#["</f>
        <v>#VALUE!</v>
      </c>
      <c r="FD124" t="e">
        <f>'Compiled Agents'!1428:1428-"h_l!'#\"</f>
        <v>#VALUE!</v>
      </c>
      <c r="FE124" t="e">
        <f>'Compiled Agents'!1429:1429-"h_l!'#]"</f>
        <v>#VALUE!</v>
      </c>
      <c r="FF124" t="e">
        <f>'Compiled Agents'!1430:1430-"h_l!'#^"</f>
        <v>#VALUE!</v>
      </c>
      <c r="FG124" t="e">
        <f>'Compiled Agents'!1431:1431-"h_l!'#_"</f>
        <v>#VALUE!</v>
      </c>
      <c r="FH124" t="e">
        <f>'Compiled Agents'!1432:1432-"h_l!'#`"</f>
        <v>#VALUE!</v>
      </c>
      <c r="FI124" t="e">
        <f>'Compiled Agents'!1433:1433-"h_l!'#a"</f>
        <v>#VALUE!</v>
      </c>
      <c r="FJ124" t="e">
        <f>'Compiled Agents'!1434:1434-"h_l!'#b"</f>
        <v>#VALUE!</v>
      </c>
      <c r="FK124" t="e">
        <f>'Compiled Agents'!1435:1435-"h_l!'#c"</f>
        <v>#VALUE!</v>
      </c>
      <c r="FL124" t="e">
        <f>'Compiled Agents'!1436:1436-"h_l!'#d"</f>
        <v>#VALUE!</v>
      </c>
      <c r="FM124" t="e">
        <f>'Compiled Agents'!1437:1437-"h_l!'#e"</f>
        <v>#VALUE!</v>
      </c>
      <c r="FN124" t="e">
        <f>'Compiled Agents'!1438:1438-"h_l!'#f"</f>
        <v>#VALUE!</v>
      </c>
      <c r="FO124" t="e">
        <f>'Compiled Agents'!1439:1439-"h_l!'#g"</f>
        <v>#VALUE!</v>
      </c>
      <c r="FP124" t="e">
        <f>'Compiled Agents'!1440:1440-"h_l!'#h"</f>
        <v>#VALUE!</v>
      </c>
      <c r="FQ124" t="e">
        <f>'Compiled Agents'!1441:1441-"h_l!'#i"</f>
        <v>#VALUE!</v>
      </c>
      <c r="FR124" t="e">
        <f>'Compiled Agents'!1442:1442-"h_l!'#j"</f>
        <v>#VALUE!</v>
      </c>
      <c r="FS124" t="e">
        <f>'Compiled Agents'!1443:1443-"h_l!'#k"</f>
        <v>#VALUE!</v>
      </c>
      <c r="FT124" t="e">
        <f>'Compiled Agents'!1444:1444-"h_l!'#l"</f>
        <v>#VALUE!</v>
      </c>
      <c r="FU124" t="e">
        <f>'Compiled Agents'!1445:1445-"h_l!'#m"</f>
        <v>#VALUE!</v>
      </c>
      <c r="FV124" t="e">
        <f>'Compiled Agents'!1446:1446-"h_l!'#n"</f>
        <v>#VALUE!</v>
      </c>
      <c r="FW124" t="e">
        <f>'Compiled Agents'!1447:1447-"h_l!'#o"</f>
        <v>#VALUE!</v>
      </c>
      <c r="FX124" t="e">
        <f>'Compiled Agents'!1448:1448-"h_l!'#p"</f>
        <v>#VALUE!</v>
      </c>
      <c r="FY124" t="e">
        <f>'Compiled Agents'!1449:1449-"h_l!'#q"</f>
        <v>#VALUE!</v>
      </c>
      <c r="FZ124" t="e">
        <f>'Compiled Agents'!1450:1450-"h_l!'#r"</f>
        <v>#VALUE!</v>
      </c>
      <c r="GA124" t="e">
        <f>'Compiled Agents'!1451:1451-"h_l!'#s"</f>
        <v>#VALUE!</v>
      </c>
      <c r="GB124" t="e">
        <f>'Compiled Agents'!1452:1452-"h_l!'#t"</f>
        <v>#VALUE!</v>
      </c>
      <c r="GC124" t="e">
        <f>'Compiled Agents'!1453:1453-"h_l!'#u"</f>
        <v>#VALUE!</v>
      </c>
      <c r="GD124" t="e">
        <f>'Compiled Agents'!1454:1454-"h_l!'#v"</f>
        <v>#VALUE!</v>
      </c>
      <c r="GE124" t="e">
        <f>'Compiled Agents'!1455:1455-"h_l!'#w"</f>
        <v>#VALUE!</v>
      </c>
      <c r="GF124" t="e">
        <f>'Compiled Agents'!1456:1456-"h_l!'#x"</f>
        <v>#VALUE!</v>
      </c>
      <c r="GG124" t="e">
        <f>'Compiled Agents'!1457:1457-"h_l!'#y"</f>
        <v>#VALUE!</v>
      </c>
      <c r="GH124" t="e">
        <f>'Compiled Agents'!1458:1458-"h_l!'#z"</f>
        <v>#VALUE!</v>
      </c>
      <c r="GI124" t="e">
        <f>'Compiled Agents'!1459:1459-"h_l!'#{"</f>
        <v>#VALUE!</v>
      </c>
      <c r="GJ124" t="e">
        <f>'Compiled Agents'!1460:1460-"h_l!'#|"</f>
        <v>#VALUE!</v>
      </c>
      <c r="GK124" t="e">
        <f>'Compiled Agents'!1461:1461-"h_l!'#}"</f>
        <v>#VALUE!</v>
      </c>
      <c r="GL124" t="e">
        <f>'Compiled Agents'!1462:1462-"h_l!'#~"</f>
        <v>#VALUE!</v>
      </c>
      <c r="GM124" t="e">
        <f>'Compiled Agents'!1463:1463-"h_l!'$#"</f>
        <v>#VALUE!</v>
      </c>
      <c r="GN124" t="e">
        <f>'Compiled Agents'!1464:1464-"h_l!'$$"</f>
        <v>#VALUE!</v>
      </c>
      <c r="GO124" t="e">
        <f>'Compiled Agents'!1465:1465-"h_l!'$%"</f>
        <v>#VALUE!</v>
      </c>
      <c r="GP124" t="e">
        <f>'Compiled Agents'!1466:1466-"h_l!'$&amp;"</f>
        <v>#VALUE!</v>
      </c>
      <c r="GQ124" t="e">
        <f>'Compiled Agents'!1467:1467-"h_l!'$'"</f>
        <v>#VALUE!</v>
      </c>
      <c r="GR124" t="e">
        <f>'Compiled Agents'!1468:1468-"h_l!'$("</f>
        <v>#VALUE!</v>
      </c>
      <c r="GS124" t="e">
        <f>'Compiled Agents'!1469:1469-"h_l!'$)"</f>
        <v>#VALUE!</v>
      </c>
      <c r="GT124" t="e">
        <f>'Compiled Agents'!1470:1470-"h_l!'$."</f>
        <v>#VALUE!</v>
      </c>
      <c r="GU124" t="e">
        <f>'Compiled Agents'!1471:1471-"h_l!'$/"</f>
        <v>#VALUE!</v>
      </c>
      <c r="GV124" t="e">
        <f>'Compiled Agents'!1472:1472-"h_l!'$0"</f>
        <v>#VALUE!</v>
      </c>
      <c r="GW124" t="e">
        <f>'Compiled Agents'!1473:1473-"h_l!'$1"</f>
        <v>#VALUE!</v>
      </c>
      <c r="GX124" t="e">
        <f>'Compiled Agents'!1474:1474-"h_l!'$2"</f>
        <v>#VALUE!</v>
      </c>
      <c r="GY124" t="e">
        <f>'Compiled Agents'!1475:1475-"h_l!'$3"</f>
        <v>#VALUE!</v>
      </c>
      <c r="GZ124" t="e">
        <f>'Compiled Agents'!1476:1476-"h_l!'$4"</f>
        <v>#VALUE!</v>
      </c>
      <c r="HA124" t="e">
        <f>'Compiled Agents'!1477:1477-"h_l!'$5"</f>
        <v>#VALUE!</v>
      </c>
      <c r="HB124" t="e">
        <f>'Compiled Agents'!1478:1478-"h_l!'$6"</f>
        <v>#VALUE!</v>
      </c>
      <c r="HC124" t="e">
        <f>'Compiled Agents'!1479:1479-"h_l!'$7"</f>
        <v>#VALUE!</v>
      </c>
      <c r="HD124" t="e">
        <f>'Compiled Agents'!1480:1480-"h_l!'$8"</f>
        <v>#VALUE!</v>
      </c>
      <c r="HE124" t="e">
        <f>'Compiled Agents'!1481:1481-"h_l!'$9"</f>
        <v>#VALUE!</v>
      </c>
      <c r="HF124" t="e">
        <f>'Compiled Agents'!1482:1482-"h_l!'$:"</f>
        <v>#VALUE!</v>
      </c>
      <c r="HG124" t="e">
        <f>'Compiled Agents'!1483:1483-"h_l!'$;"</f>
        <v>#VALUE!</v>
      </c>
      <c r="HH124" t="e">
        <f>'Compiled Agents'!1484:1484-"h_l!'$&lt;"</f>
        <v>#VALUE!</v>
      </c>
      <c r="HI124" t="e">
        <f>'Compiled Agents'!1485:1485-"h_l!'$="</f>
        <v>#VALUE!</v>
      </c>
      <c r="HJ124" t="e">
        <f>'Compiled Agents'!1486:1486-"h_l!'$&gt;"</f>
        <v>#VALUE!</v>
      </c>
      <c r="HK124" t="e">
        <f>'Compiled Agents'!1487:1487-"h_l!'$?"</f>
        <v>#VALUE!</v>
      </c>
      <c r="HL124" t="e">
        <f>'Compiled Agents'!1488:1488-"h_l!'$@"</f>
        <v>#VALUE!</v>
      </c>
      <c r="HM124" t="e">
        <f>'Compiled Agents'!1489:1489-"h_l!'$A"</f>
        <v>#VALUE!</v>
      </c>
      <c r="HN124" t="e">
        <f>'Compiled Agents'!1490:1490-"h_l!'$B"</f>
        <v>#VALUE!</v>
      </c>
      <c r="HO124" t="e">
        <f>'Compiled Agents'!1491:1491-"h_l!'$C"</f>
        <v>#VALUE!</v>
      </c>
      <c r="HP124" t="e">
        <f>'Compiled Agents'!1492:1492-"h_l!'$D"</f>
        <v>#VALUE!</v>
      </c>
      <c r="HQ124" t="e">
        <f>'Compiled Agents'!1493:1493-"h_l!'$E"</f>
        <v>#VALUE!</v>
      </c>
      <c r="HR124" t="e">
        <f>'Compiled Agents'!1494:1494-"h_l!'$F"</f>
        <v>#VALUE!</v>
      </c>
      <c r="HS124" t="e">
        <f>'Compiled Agents'!1495:1495-"h_l!'$G"</f>
        <v>#VALUE!</v>
      </c>
      <c r="HT124" t="e">
        <f>'Compiled Agents'!1496:1496-"h_l!'$H"</f>
        <v>#VALUE!</v>
      </c>
      <c r="HU124" t="e">
        <f>'Compiled Agents'!1497:1497-"h_l!'$I"</f>
        <v>#VALUE!</v>
      </c>
      <c r="HV124" t="e">
        <f>'Compiled Agents'!1498:1498-"h_l!'$J"</f>
        <v>#VALUE!</v>
      </c>
      <c r="HW124" t="e">
        <f>'Compiled Agents'!1499:1499-"h_l!'$K"</f>
        <v>#VALUE!</v>
      </c>
      <c r="HX124" t="e">
        <f>'Compiled Agents'!1500:1500-"h_l!'$L"</f>
        <v>#VALUE!</v>
      </c>
      <c r="HY124" t="e">
        <f>'Compiled Agents'!1501:1501-"h_l!'$M"</f>
        <v>#VALUE!</v>
      </c>
      <c r="HZ124" t="e">
        <f>'Compiled Agents'!1502:1502-"h_l!'$N"</f>
        <v>#VALUE!</v>
      </c>
      <c r="IA124" t="e">
        <f>'Compiled Agents'!1503:1503-"h_l!'$O"</f>
        <v>#VALUE!</v>
      </c>
      <c r="IB124" t="e">
        <f>'Compiled Agents'!1504:1504-"h_l!'$P"</f>
        <v>#VALUE!</v>
      </c>
      <c r="IC124" t="e">
        <f>'Compiled Agents'!1505:1505-"h_l!'$Q"</f>
        <v>#VALUE!</v>
      </c>
      <c r="ID124" t="e">
        <f>'Compiled Agents'!1506:1506-"h_l!'$R"</f>
        <v>#VALUE!</v>
      </c>
      <c r="IE124" t="e">
        <f>'Compiled Agents'!1507:1507-"h_l!'$S"</f>
        <v>#VALUE!</v>
      </c>
      <c r="IF124" t="e">
        <f>'Compiled Agents'!1508:1508-"h_l!'$T"</f>
        <v>#VALUE!</v>
      </c>
      <c r="IG124" t="e">
        <f>'Compiled Agents'!1509:1509-"h_l!'$U"</f>
        <v>#VALUE!</v>
      </c>
      <c r="IH124" t="e">
        <f>'Compiled Agents'!1510:1510-"h_l!'$V"</f>
        <v>#VALUE!</v>
      </c>
      <c r="II124" t="e">
        <f>'Compiled Agents'!1511:1511-"h_l!'$W"</f>
        <v>#VALUE!</v>
      </c>
      <c r="IJ124" t="e">
        <f>'Compiled Agents'!1512:1512-"h_l!'$X"</f>
        <v>#VALUE!</v>
      </c>
      <c r="IK124" t="e">
        <f>'Compiled Agents'!1513:1513-"h_l!'$Y"</f>
        <v>#VALUE!</v>
      </c>
      <c r="IL124" t="e">
        <f>'Compiled Agents'!1514:1514-"h_l!'$Z"</f>
        <v>#VALUE!</v>
      </c>
      <c r="IM124" t="e">
        <f>'Compiled Agents'!1515:1515-"h_l!'$["</f>
        <v>#VALUE!</v>
      </c>
      <c r="IN124" t="e">
        <f>'Compiled Agents'!1516:1516-"h_l!'$\"</f>
        <v>#VALUE!</v>
      </c>
      <c r="IO124" t="e">
        <f>'Compiled Agents'!1517:1517-"h_l!'$]"</f>
        <v>#VALUE!</v>
      </c>
      <c r="IP124" t="e">
        <f>'Compiled Agents'!1518:1518-"h_l!'$^"</f>
        <v>#VALUE!</v>
      </c>
      <c r="IQ124" t="e">
        <f>'Compiled Agents'!1519:1519-"h_l!'$_"</f>
        <v>#VALUE!</v>
      </c>
      <c r="IR124" t="e">
        <f>'Compiled Agents'!1520:1520-"h_l!'$`"</f>
        <v>#VALUE!</v>
      </c>
      <c r="IS124" t="e">
        <f>'Compiled Agents'!1521:1521-"h_l!'$a"</f>
        <v>#VALUE!</v>
      </c>
      <c r="IT124" t="e">
        <f>'Compiled Agents'!1522:1522-"h_l!'$b"</f>
        <v>#VALUE!</v>
      </c>
      <c r="IU124" t="e">
        <f>'Compiled Agents'!1523:1523-"h_l!'$c"</f>
        <v>#VALUE!</v>
      </c>
      <c r="IV124" t="e">
        <f>'Compiled Agents'!1524:1524-"h_l!'$d"</f>
        <v>#VALUE!</v>
      </c>
    </row>
    <row r="125" spans="6:256" x14ac:dyDescent="0.25">
      <c r="F125" t="e">
        <f>'Compiled Agents'!1525:1525-"h_l!'$e"</f>
        <v>#VALUE!</v>
      </c>
      <c r="G125" t="e">
        <f>'Compiled Agents'!1526:1526-"h_l!'$f"</f>
        <v>#VALUE!</v>
      </c>
      <c r="H125" t="e">
        <f>'Compiled Agents'!1527:1527-"h_l!'$g"</f>
        <v>#VALUE!</v>
      </c>
      <c r="I125" t="e">
        <f>'Compiled Agents'!1528:1528-"h_l!'$h"</f>
        <v>#VALUE!</v>
      </c>
      <c r="J125" t="e">
        <f>'Compiled Agents'!1529:1529-"h_l!'$i"</f>
        <v>#VALUE!</v>
      </c>
      <c r="K125" t="e">
        <f>'Compiled Agents'!1530:1530-"h_l!'$j"</f>
        <v>#VALUE!</v>
      </c>
      <c r="L125" t="e">
        <f>'Compiled Agents'!1531:1531-"h_l!'$k"</f>
        <v>#VALUE!</v>
      </c>
      <c r="M125" t="e">
        <f>'Compiled Agents'!1532:1532-"h_l!'$l"</f>
        <v>#VALUE!</v>
      </c>
      <c r="N125" t="e">
        <f>'Compiled Agents'!1533:1533-"h_l!'$m"</f>
        <v>#VALUE!</v>
      </c>
      <c r="O125" t="e">
        <f>'Compiled Agents'!1534:1534-"h_l!'$n"</f>
        <v>#VALUE!</v>
      </c>
      <c r="P125" t="e">
        <f>'Compiled Agents'!1535:1535-"h_l!'$o"</f>
        <v>#VALUE!</v>
      </c>
      <c r="Q125" t="e">
        <f>'Compiled Agents'!1536:1536-"h_l!'$p"</f>
        <v>#VALUE!</v>
      </c>
      <c r="R125" t="e">
        <f>'Compiled Agents'!1537:1537-"h_l!'$q"</f>
        <v>#VALUE!</v>
      </c>
      <c r="S125" t="e">
        <f>'Compiled Agents'!1538:1538-"h_l!'$r"</f>
        <v>#VALUE!</v>
      </c>
      <c r="T125" t="e">
        <f>'Compiled Agents'!1539:1539-"h_l!'$s"</f>
        <v>#VALUE!</v>
      </c>
      <c r="U125" t="e">
        <f>'Compiled Agents'!1540:1540-"h_l!'$t"</f>
        <v>#VALUE!</v>
      </c>
      <c r="V125" t="e">
        <f>'Compiled Agents'!1541:1541-"h_l!'$u"</f>
        <v>#VALUE!</v>
      </c>
      <c r="W125" t="e">
        <f>'Compiled Agents'!1542:1542-"h_l!'$v"</f>
        <v>#VALUE!</v>
      </c>
      <c r="X125" t="e">
        <f>'Compiled Agents'!1543:1543-"h_l!'$w"</f>
        <v>#VALUE!</v>
      </c>
      <c r="Y125" t="e">
        <f>'Compiled Agents'!1544:1544-"h_l!'$x"</f>
        <v>#VALUE!</v>
      </c>
      <c r="Z125" t="e">
        <f>'Compiled Agents'!1545:1545-"h_l!'$y"</f>
        <v>#VALUE!</v>
      </c>
      <c r="AA125" t="e">
        <f>'Compiled Agents'!1546:1546-"h_l!'$z"</f>
        <v>#VALUE!</v>
      </c>
      <c r="AB125" t="e">
        <f>'Compiled Agents'!1547:1547-"h_l!'${"</f>
        <v>#VALUE!</v>
      </c>
      <c r="AC125" t="e">
        <f>'Compiled Agents'!1548:1548-"h_l!'$|"</f>
        <v>#VALUE!</v>
      </c>
      <c r="AD125" t="e">
        <f>'Compiled Agents'!1549:1549-"h_l!'$}"</f>
        <v>#VALUE!</v>
      </c>
      <c r="AE125" t="e">
        <f>'Compiled Agents'!1550:1550-"h_l!'$~"</f>
        <v>#VALUE!</v>
      </c>
      <c r="AF125" t="e">
        <f>'Compiled Agents'!1551:1551-"h_l!'%#"</f>
        <v>#VALUE!</v>
      </c>
      <c r="AG125" t="e">
        <f>'Compiled Agents'!1552:1552-"h_l!'%$"</f>
        <v>#VALUE!</v>
      </c>
      <c r="AH125" t="e">
        <f>'Compiled Agents'!1553:1553-"h_l!'%%"</f>
        <v>#VALUE!</v>
      </c>
      <c r="AI125" t="e">
        <f>'Compiled Agents'!1554:1554-"h_l!'%&amp;"</f>
        <v>#VALUE!</v>
      </c>
      <c r="AJ125" t="e">
        <f>'Compiled Agents'!1555:1555-"h_l!'%'"</f>
        <v>#VALUE!</v>
      </c>
      <c r="AK125" t="e">
        <f>'Compiled Agents'!1556:1556-"h_l!'%("</f>
        <v>#VALUE!</v>
      </c>
      <c r="AL125" t="e">
        <f>'Compiled Agents'!1557:1557-"h_l!'%)"</f>
        <v>#VALUE!</v>
      </c>
      <c r="AM125" t="e">
        <f>'Compiled Agents'!1558:1558-"h_l!'%."</f>
        <v>#VALUE!</v>
      </c>
      <c r="AN125" t="e">
        <f>'Compiled Agents'!1559:1559-"h_l!'%/"</f>
        <v>#VALUE!</v>
      </c>
      <c r="AO125" t="e">
        <f>'Compiled Agents'!1560:1560-"h_l!'%0"</f>
        <v>#VALUE!</v>
      </c>
      <c r="AP125" t="e">
        <f>'Compiled Agents'!1561:1561-"h_l!'%1"</f>
        <v>#VALUE!</v>
      </c>
      <c r="AQ125" t="e">
        <f>'Compiled Agents'!1562:1562-"h_l!'%2"</f>
        <v>#VALUE!</v>
      </c>
      <c r="AR125" t="e">
        <f>'Compiled Agents'!1563:1563-"h_l!'%3"</f>
        <v>#VALUE!</v>
      </c>
      <c r="AS125" t="e">
        <f>'Compiled Agents'!1564:1564-"h_l!'%4"</f>
        <v>#VALUE!</v>
      </c>
      <c r="AT125" t="e">
        <f>'Compiled Agents'!1565:1565-"h_l!'%5"</f>
        <v>#VALUE!</v>
      </c>
      <c r="AU125" t="e">
        <f>'Compiled Agents'!1566:1566-"h_l!'%6"</f>
        <v>#VALUE!</v>
      </c>
      <c r="AV125" t="e">
        <f>'Compiled Agents'!1567:1567-"h_l!'%7"</f>
        <v>#VALUE!</v>
      </c>
      <c r="AW125" t="e">
        <f>'Compiled Agents'!1568:1568-"h_l!'%8"</f>
        <v>#VALUE!</v>
      </c>
      <c r="AX125" t="e">
        <f>'Compiled Agents'!1569:1569-"h_l!'%9"</f>
        <v>#VALUE!</v>
      </c>
      <c r="AY125" t="e">
        <f>'Compiled Agents'!1570:1570-"h_l!'%:"</f>
        <v>#VALUE!</v>
      </c>
      <c r="AZ125" t="e">
        <f>'Compiled Agents'!1571:1571-"h_l!'%;"</f>
        <v>#VALUE!</v>
      </c>
      <c r="BA125" t="e">
        <f>'Compiled Agents'!1572:1572-"h_l!'%&lt;"</f>
        <v>#VALUE!</v>
      </c>
      <c r="BB125" t="e">
        <f>'Compiled Agents'!1573:1573-"h_l!'%="</f>
        <v>#VALUE!</v>
      </c>
      <c r="BC125" t="e">
        <f>'Compiled Agents'!1574:1574-"h_l!'%&gt;"</f>
        <v>#VALUE!</v>
      </c>
      <c r="BD125" t="e">
        <f>'Compiled Agents'!1575:1575-"h_l!'%?"</f>
        <v>#VALUE!</v>
      </c>
      <c r="BE125" t="e">
        <f>'Compiled Agents'!1576:1576-"h_l!'%@"</f>
        <v>#VALUE!</v>
      </c>
      <c r="BF125" t="e">
        <f>'Compiled Agents'!1577:1577-"h_l!'%A"</f>
        <v>#VALUE!</v>
      </c>
      <c r="BG125" t="e">
        <f>'Compiled Agents'!1578:1578-"h_l!'%B"</f>
        <v>#VALUE!</v>
      </c>
      <c r="BH125" t="e">
        <f>'Compiled Agents'!1579:1579-"h_l!'%C"</f>
        <v>#VALUE!</v>
      </c>
      <c r="BI125" t="e">
        <f>'Compiled Agents'!1580:1580-"h_l!'%D"</f>
        <v>#VALUE!</v>
      </c>
      <c r="BJ125" t="e">
        <f>'Compiled Agents'!1581:1581-"h_l!'%E"</f>
        <v>#VALUE!</v>
      </c>
      <c r="BK125" t="e">
        <f>'Compiled Agents'!1582:1582-"h_l!'%F"</f>
        <v>#VALUE!</v>
      </c>
      <c r="BL125" t="e">
        <f>'Compiled Agents'!1583:1583-"h_l!'%G"</f>
        <v>#VALUE!</v>
      </c>
      <c r="BM125" t="e">
        <f>'Compiled Agents'!1584:1584-"h_l!'%H"</f>
        <v>#VALUE!</v>
      </c>
      <c r="BN125" t="e">
        <f>'Compiled Agents'!1585:1585-"h_l!'%I"</f>
        <v>#VALUE!</v>
      </c>
      <c r="BO125" t="e">
        <f>'Compiled Agents'!1586:1586-"h_l!'%J"</f>
        <v>#VALUE!</v>
      </c>
      <c r="BP125" t="e">
        <f>'Compiled Agents'!1587:1587-"h_l!'%K"</f>
        <v>#VALUE!</v>
      </c>
      <c r="BQ125" t="e">
        <f>'Compiled Agents'!1588:1588-"h_l!'%L"</f>
        <v>#VALUE!</v>
      </c>
      <c r="BR125" t="e">
        <f>'Compiled Agents'!1589:1589-"h_l!'%M"</f>
        <v>#VALUE!</v>
      </c>
      <c r="BS125" t="e">
        <f>'Compiled Agents'!1590:1590-"h_l!'%N"</f>
        <v>#VALUE!</v>
      </c>
      <c r="BT125" t="e">
        <f>'Compiled Agents'!1591:1591-"h_l!'%O"</f>
        <v>#VALUE!</v>
      </c>
      <c r="BU125" t="e">
        <f>'Compiled Agents'!1592:1592-"h_l!'%P"</f>
        <v>#VALUE!</v>
      </c>
      <c r="BV125" t="e">
        <f>'Compiled Agents'!1593:1593-"h_l!'%Q"</f>
        <v>#VALUE!</v>
      </c>
      <c r="BW125" t="e">
        <f>'Compiled Agents'!1594:1594-"h_l!'%R"</f>
        <v>#VALUE!</v>
      </c>
      <c r="BX125" t="e">
        <f>'Compiled Agents'!1595:1595-"h_l!'%S"</f>
        <v>#VALUE!</v>
      </c>
      <c r="BY125" t="e">
        <f>'Compiled Agents'!1596:1596-"h_l!'%T"</f>
        <v>#VALUE!</v>
      </c>
      <c r="BZ125" t="e">
        <f>'Compiled Agents'!1597:1597-"h_l!'%U"</f>
        <v>#VALUE!</v>
      </c>
      <c r="CA125" t="e">
        <f>'Compiled Agents'!1598:1598-"h_l!'%V"</f>
        <v>#VALUE!</v>
      </c>
      <c r="CB125" t="e">
        <f>'Compiled Agents'!1599:1599-"h_l!'%W"</f>
        <v>#VALUE!</v>
      </c>
      <c r="CC125" t="e">
        <f>'Compiled Agents'!1600:1600-"h_l!'%X"</f>
        <v>#VALUE!</v>
      </c>
      <c r="CD125" t="e">
        <f>'Compiled Agents'!1601:1601-"h_l!'%Y"</f>
        <v>#VALUE!</v>
      </c>
      <c r="CE125" t="e">
        <f>'Compiled Agents'!1602:1602-"h_l!'%Z"</f>
        <v>#VALUE!</v>
      </c>
      <c r="CF125" t="e">
        <f>'Compiled Agents'!1603:1603-"h_l!'%["</f>
        <v>#VALUE!</v>
      </c>
      <c r="CG125" t="e">
        <f>'Compiled Agents'!1604:1604-"h_l!'%\"</f>
        <v>#VALUE!</v>
      </c>
      <c r="CH125" t="e">
        <f>'Compiled Agents'!1605:1605-"h_l!'%]"</f>
        <v>#VALUE!</v>
      </c>
      <c r="CI125" t="e">
        <f>'Compiled Agents'!1606:1606-"h_l!'%^"</f>
        <v>#VALUE!</v>
      </c>
      <c r="CJ125" t="e">
        <f>'Compiled Agents'!1607:1607-"h_l!'%_"</f>
        <v>#VALUE!</v>
      </c>
      <c r="CK125" t="e">
        <f>'Compiled Agents'!1608:1608-"h_l!'%`"</f>
        <v>#VALUE!</v>
      </c>
      <c r="CL125" t="e">
        <f>'Compiled Agents'!1609:1609-"h_l!'%a"</f>
        <v>#VALUE!</v>
      </c>
      <c r="CM125" t="e">
        <f>'Compiled Agents'!1610:1610-"h_l!'%b"</f>
        <v>#VALUE!</v>
      </c>
      <c r="CN125" t="e">
        <f>'Compiled Agents'!1611:1611-"h_l!'%c"</f>
        <v>#VALUE!</v>
      </c>
      <c r="CO125" t="e">
        <f>'Compiled Agents'!1612:1612-"h_l!'%d"</f>
        <v>#VALUE!</v>
      </c>
      <c r="CP125" t="e">
        <f>'Compiled Agents'!1613:1613-"h_l!'%e"</f>
        <v>#VALUE!</v>
      </c>
      <c r="CQ125" t="e">
        <f>'Compiled Agents'!1614:1614-"h_l!'%f"</f>
        <v>#VALUE!</v>
      </c>
      <c r="CR125" t="e">
        <f>'Compiled Agents'!1615:1615-"h_l!'%g"</f>
        <v>#VALUE!</v>
      </c>
      <c r="CS125" t="e">
        <f>'Compiled Agents'!1616:1616-"h_l!'%h"</f>
        <v>#VALUE!</v>
      </c>
      <c r="CT125" t="e">
        <f>'Compiled Agents'!1617:1617-"h_l!'%i"</f>
        <v>#VALUE!</v>
      </c>
      <c r="CU125" t="e">
        <f>'Compiled Agents'!1618:1618-"h_l!'%j"</f>
        <v>#VALUE!</v>
      </c>
      <c r="CV125" t="e">
        <f>'Compiled Agents'!1619:1619-"h_l!'%k"</f>
        <v>#VALUE!</v>
      </c>
      <c r="CW125" t="e">
        <f>'Compiled Agents'!1620:1620-"h_l!'%l"</f>
        <v>#VALUE!</v>
      </c>
      <c r="CX125" t="e">
        <f>'Compiled Agents'!1621:1621-"h_l!'%m"</f>
        <v>#VALUE!</v>
      </c>
      <c r="CY125" t="e">
        <f>'Compiled Agents'!1622:1622-"h_l!'%n"</f>
        <v>#VALUE!</v>
      </c>
      <c r="CZ125" t="e">
        <f>'Compiled Agents'!1623:1623-"h_l!'%o"</f>
        <v>#VALUE!</v>
      </c>
      <c r="DA125" t="e">
        <f>'Compiled Agents'!1624:1624-"h_l!'%p"</f>
        <v>#VALUE!</v>
      </c>
      <c r="DB125" t="e">
        <f>'Compiled Agents'!1625:1625-"h_l!'%q"</f>
        <v>#VALUE!</v>
      </c>
      <c r="DC125" t="e">
        <f>'Compiled Agents'!1626:1626-"h_l!'%r"</f>
        <v>#VALUE!</v>
      </c>
      <c r="DD125" t="e">
        <f>'Compiled Agents'!1627:1627-"h_l!'%s"</f>
        <v>#VALUE!</v>
      </c>
      <c r="DE125" t="e">
        <f>'Compiled Agents'!1628:1628-"h_l!'%t"</f>
        <v>#VALUE!</v>
      </c>
      <c r="DF125" t="e">
        <f>'Compiled Agents'!1629:1629-"h_l!'%u"</f>
        <v>#VALUE!</v>
      </c>
      <c r="DG125" t="e">
        <f>'Compiled Agents'!1630:1630-"h_l!'%v"</f>
        <v>#VALUE!</v>
      </c>
      <c r="DH125" t="e">
        <f>'Compiled Agents'!1631:1631-"h_l!'%w"</f>
        <v>#VALUE!</v>
      </c>
      <c r="DI125" t="e">
        <f>'Compiled Agents'!1632:1632-"h_l!'%x"</f>
        <v>#VALUE!</v>
      </c>
      <c r="DJ125" t="e">
        <f>'Compiled Agents'!1633:1633-"h_l!'%y"</f>
        <v>#VALUE!</v>
      </c>
      <c r="DK125" t="e">
        <f>'Compiled Agents'!1634:1634-"h_l!'%z"</f>
        <v>#VALUE!</v>
      </c>
      <c r="DL125" t="e">
        <f>'Compiled Agents'!1635:1635-"h_l!'%{"</f>
        <v>#VALUE!</v>
      </c>
      <c r="DM125" t="e">
        <f>'Compiled Agents'!1636:1636-"h_l!'%|"</f>
        <v>#VALUE!</v>
      </c>
      <c r="DN125" t="e">
        <f>'Compiled Agents'!1637:1637-"h_l!'%}"</f>
        <v>#VALUE!</v>
      </c>
      <c r="DO125" t="e">
        <f>'Compiled Agents'!1638:1638-"h_l!'%~"</f>
        <v>#VALUE!</v>
      </c>
      <c r="DP125" t="e">
        <f>'Compiled Agents'!1639:1639-"h_l!'&amp;#"</f>
        <v>#VALUE!</v>
      </c>
      <c r="DQ125" t="e">
        <f>'Compiled Agents'!A1+"h_l!'&amp;$"</f>
        <v>#VALUE!</v>
      </c>
      <c r="DR125" t="e">
        <f>'Compiled Agents'!B1+"h_l!'&amp;%"</f>
        <v>#VALUE!</v>
      </c>
      <c r="DS125" t="e">
        <f>'Compiled Agents'!C1+"h_l!'&amp;&amp;"</f>
        <v>#VALUE!</v>
      </c>
      <c r="DT125" t="e">
        <f>'Compiled Agents'!E1+"h_l!'&amp;'"</f>
        <v>#VALUE!</v>
      </c>
      <c r="DU125" t="e">
        <f>'Compiled Agents'!F1+"h_l!'&amp;("</f>
        <v>#VALUE!</v>
      </c>
      <c r="DV125" t="e">
        <f>'Compiled Agents'!G1+"h_l!'&amp;)"</f>
        <v>#VALUE!</v>
      </c>
      <c r="DW125" t="e">
        <f>'Compiled Agents'!H1+"h_l!'&amp;."</f>
        <v>#VALUE!</v>
      </c>
      <c r="DX125" t="e">
        <f>'Compiled Agents'!A2+"h_l!'&amp;/"</f>
        <v>#VALUE!</v>
      </c>
      <c r="DY125" t="e">
        <f>'Compiled Agents'!B2+"h_l!'&amp;0"</f>
        <v>#VALUE!</v>
      </c>
      <c r="DZ125" t="e">
        <f>'Compiled Agents'!C2+"h_l!'&amp;1"</f>
        <v>#VALUE!</v>
      </c>
      <c r="EA125" t="e">
        <f>'Compiled Agents'!E2+"h_l!'&amp;2"</f>
        <v>#VALUE!</v>
      </c>
      <c r="EB125" t="e">
        <f>'Compiled Agents'!F2+"h_l!'&amp;3"</f>
        <v>#VALUE!</v>
      </c>
      <c r="EC125" t="e">
        <f>'Compiled Agents'!G2+"h_l!'&amp;4"</f>
        <v>#VALUE!</v>
      </c>
      <c r="ED125" t="e">
        <f>'Compiled Agents'!H2+"h_l!'&amp;5"</f>
        <v>#VALUE!</v>
      </c>
      <c r="EE125" t="e">
        <f>'Compiled Agents'!#REF!+"h_l!'&amp;6"</f>
        <v>#REF!</v>
      </c>
      <c r="EF125" t="e">
        <f>'Compiled Agents'!#REF!+"h_l!'&amp;7"</f>
        <v>#REF!</v>
      </c>
      <c r="EG125" t="e">
        <f>'Compiled Agents'!#REF!+"h_l!'&amp;8"</f>
        <v>#REF!</v>
      </c>
      <c r="EH125" t="e">
        <f>'Compiled Agents'!#REF!+"h_l!'&amp;9"</f>
        <v>#REF!</v>
      </c>
      <c r="EI125" t="e">
        <f>'Compiled Agents'!#REF!+"h_l!'&amp;:"</f>
        <v>#REF!</v>
      </c>
      <c r="EJ125" t="e">
        <f>'Compiled Agents'!#REF!+"h_l!'&amp;;"</f>
        <v>#REF!</v>
      </c>
      <c r="EK125" t="e">
        <f>'Compiled Agents'!#REF!+"h_l!'&amp;&lt;"</f>
        <v>#REF!</v>
      </c>
      <c r="EL125" t="e">
        <f>'Compiled Agents'!A3+"h_l!'&amp;="</f>
        <v>#VALUE!</v>
      </c>
      <c r="EM125" t="e">
        <f>'Compiled Agents'!B3+"h_l!'&amp;&gt;"</f>
        <v>#VALUE!</v>
      </c>
      <c r="EN125" t="e">
        <f>'Compiled Agents'!C3+"h_l!'&amp;?"</f>
        <v>#VALUE!</v>
      </c>
      <c r="EO125" t="e">
        <f>'Compiled Agents'!E3+"h_l!'&amp;@"</f>
        <v>#VALUE!</v>
      </c>
      <c r="EP125" t="e">
        <f>'Compiled Agents'!F3+"h_l!'&amp;A"</f>
        <v>#VALUE!</v>
      </c>
      <c r="EQ125" t="e">
        <f>'Compiled Agents'!G3+"h_l!'&amp;B"</f>
        <v>#VALUE!</v>
      </c>
      <c r="ER125" t="e">
        <f>'Compiled Agents'!H3+"h_l!'&amp;C"</f>
        <v>#VALUE!</v>
      </c>
      <c r="ES125" t="e">
        <f>'Compiled Agents'!#REF!+"h_l!'&amp;D"</f>
        <v>#REF!</v>
      </c>
      <c r="ET125" t="e">
        <f>'Compiled Agents'!#REF!+"h_l!'&amp;E"</f>
        <v>#REF!</v>
      </c>
      <c r="EU125" t="e">
        <f>'Compiled Agents'!#REF!+"h_l!'&amp;F"</f>
        <v>#REF!</v>
      </c>
      <c r="EV125" t="e">
        <f>'Compiled Agents'!#REF!+"h_l!'&amp;G"</f>
        <v>#REF!</v>
      </c>
      <c r="EW125" t="e">
        <f>'Compiled Agents'!#REF!+"h_l!'&amp;H"</f>
        <v>#REF!</v>
      </c>
      <c r="EX125" t="e">
        <f>'Compiled Agents'!#REF!+"h_l!'&amp;I"</f>
        <v>#REF!</v>
      </c>
      <c r="EY125" t="e">
        <f>'Compiled Agents'!#REF!+"h_l!'&amp;J"</f>
        <v>#REF!</v>
      </c>
      <c r="EZ125" t="e">
        <f>'Compiled Agents'!A4+"h_l!'&amp;K"</f>
        <v>#VALUE!</v>
      </c>
      <c r="FA125" t="e">
        <f>'Compiled Agents'!B4+"h_l!'&amp;L"</f>
        <v>#VALUE!</v>
      </c>
      <c r="FB125" t="e">
        <f>'Compiled Agents'!C4+"h_l!'&amp;M"</f>
        <v>#VALUE!</v>
      </c>
      <c r="FC125" t="e">
        <f>'Compiled Agents'!E4+"h_l!'&amp;N"</f>
        <v>#VALUE!</v>
      </c>
      <c r="FD125" t="e">
        <f>'Compiled Agents'!F4+"h_l!'&amp;O"</f>
        <v>#VALUE!</v>
      </c>
      <c r="FE125" t="e">
        <f>'Compiled Agents'!G4+"h_l!'&amp;P"</f>
        <v>#VALUE!</v>
      </c>
      <c r="FF125" t="e">
        <f>'Compiled Agents'!H4+"h_l!'&amp;Q"</f>
        <v>#VALUE!</v>
      </c>
      <c r="FG125" t="e">
        <f>'Compiled Agents'!#REF!+"h_l!'&amp;R"</f>
        <v>#REF!</v>
      </c>
      <c r="FH125" t="e">
        <f>'Compiled Agents'!#REF!+"h_l!'&amp;S"</f>
        <v>#REF!</v>
      </c>
      <c r="FI125" t="e">
        <f>'Compiled Agents'!#REF!+"h_l!'&amp;T"</f>
        <v>#REF!</v>
      </c>
      <c r="FJ125" t="e">
        <f>'Compiled Agents'!#REF!+"h_l!'&amp;U"</f>
        <v>#REF!</v>
      </c>
      <c r="FK125" t="e">
        <f>'Compiled Agents'!#REF!+"h_l!'&amp;V"</f>
        <v>#REF!</v>
      </c>
      <c r="FL125" t="e">
        <f>'Compiled Agents'!#REF!+"h_l!'&amp;W"</f>
        <v>#REF!</v>
      </c>
      <c r="FM125" t="e">
        <f>'Compiled Agents'!#REF!+"h_l!'&amp;X"</f>
        <v>#REF!</v>
      </c>
      <c r="FN125" t="e">
        <f>'Compiled Agents'!A5+"h_l!'&amp;Y"</f>
        <v>#VALUE!</v>
      </c>
      <c r="FO125" t="e">
        <f>'Compiled Agents'!B5+"h_l!'&amp;Z"</f>
        <v>#VALUE!</v>
      </c>
      <c r="FP125" t="e">
        <f>'Compiled Agents'!C5+"h_l!'&amp;["</f>
        <v>#VALUE!</v>
      </c>
      <c r="FQ125" t="e">
        <f>'Compiled Agents'!E5+"h_l!'&amp;\"</f>
        <v>#VALUE!</v>
      </c>
      <c r="FR125" t="e">
        <f>'Compiled Agents'!F5+"h_l!'&amp;]"</f>
        <v>#VALUE!</v>
      </c>
      <c r="FS125" t="e">
        <f>'Compiled Agents'!G5+"h_l!'&amp;^"</f>
        <v>#VALUE!</v>
      </c>
      <c r="FT125" t="e">
        <f>'Compiled Agents'!H5+"h_l!'&amp;_"</f>
        <v>#VALUE!</v>
      </c>
      <c r="FU125" t="e">
        <f>'Compiled Agents'!#REF!+"h_l!'&amp;`"</f>
        <v>#REF!</v>
      </c>
      <c r="FV125" t="e">
        <f>'Compiled Agents'!#REF!+"h_l!'&amp;a"</f>
        <v>#REF!</v>
      </c>
      <c r="FW125" t="e">
        <f>'Compiled Agents'!#REF!+"h_l!'&amp;b"</f>
        <v>#REF!</v>
      </c>
      <c r="FX125" t="e">
        <f>'Compiled Agents'!#REF!+"h_l!'&amp;c"</f>
        <v>#REF!</v>
      </c>
      <c r="FY125" t="e">
        <f>'Compiled Agents'!#REF!+"h_l!'&amp;d"</f>
        <v>#REF!</v>
      </c>
      <c r="FZ125" t="e">
        <f>'Compiled Agents'!#REF!+"h_l!'&amp;e"</f>
        <v>#REF!</v>
      </c>
      <c r="GA125" t="e">
        <f>'Compiled Agents'!#REF!+"h_l!'&amp;f"</f>
        <v>#REF!</v>
      </c>
      <c r="GB125" t="e">
        <f>'Compiled Agents'!A6+"h_l!'&amp;g"</f>
        <v>#VALUE!</v>
      </c>
      <c r="GC125" t="e">
        <f>'Compiled Agents'!B6+"h_l!'&amp;h"</f>
        <v>#VALUE!</v>
      </c>
      <c r="GD125" t="e">
        <f>'Compiled Agents'!C6+"h_l!'&amp;i"</f>
        <v>#VALUE!</v>
      </c>
      <c r="GE125" t="e">
        <f>'Compiled Agents'!E6+"h_l!'&amp;j"</f>
        <v>#VALUE!</v>
      </c>
      <c r="GF125" t="e">
        <f>'Compiled Agents'!F6+"h_l!'&amp;k"</f>
        <v>#VALUE!</v>
      </c>
      <c r="GG125" t="e">
        <f>'Compiled Agents'!G6+"h_l!'&amp;l"</f>
        <v>#VALUE!</v>
      </c>
      <c r="GH125" t="e">
        <f>'Compiled Agents'!H6+"h_l!'&amp;m"</f>
        <v>#VALUE!</v>
      </c>
      <c r="GI125" t="e">
        <f>'Compiled Agents'!#REF!+"h_l!'&amp;n"</f>
        <v>#REF!</v>
      </c>
      <c r="GJ125" t="e">
        <f>'Compiled Agents'!#REF!+"h_l!'&amp;o"</f>
        <v>#REF!</v>
      </c>
      <c r="GK125" t="e">
        <f>'Compiled Agents'!#REF!+"h_l!'&amp;p"</f>
        <v>#REF!</v>
      </c>
      <c r="GL125" t="e">
        <f>'Compiled Agents'!#REF!+"h_l!'&amp;q"</f>
        <v>#REF!</v>
      </c>
      <c r="GM125" t="e">
        <f>'Compiled Agents'!#REF!+"h_l!'&amp;r"</f>
        <v>#REF!</v>
      </c>
      <c r="GN125" t="e">
        <f>'Compiled Agents'!#REF!+"h_l!'&amp;s"</f>
        <v>#REF!</v>
      </c>
      <c r="GO125" t="e">
        <f>'Compiled Agents'!#REF!+"h_l!'&amp;t"</f>
        <v>#REF!</v>
      </c>
      <c r="GP125" t="e">
        <f>'Compiled Agents'!A7+"h_l!'&amp;u"</f>
        <v>#VALUE!</v>
      </c>
      <c r="GQ125" t="e">
        <f>'Compiled Agents'!B7+"h_l!'&amp;v"</f>
        <v>#VALUE!</v>
      </c>
      <c r="GR125" t="e">
        <f>'Compiled Agents'!C7+"h_l!'&amp;w"</f>
        <v>#VALUE!</v>
      </c>
      <c r="GS125" t="e">
        <f>'Compiled Agents'!E7+"h_l!'&amp;x"</f>
        <v>#VALUE!</v>
      </c>
      <c r="GT125" t="e">
        <f>'Compiled Agents'!F7+"h_l!'&amp;y"</f>
        <v>#VALUE!</v>
      </c>
      <c r="GU125" t="e">
        <f>'Compiled Agents'!G7+"h_l!'&amp;z"</f>
        <v>#VALUE!</v>
      </c>
      <c r="GV125" t="e">
        <f>'Compiled Agents'!H7+"h_l!'&amp;{"</f>
        <v>#VALUE!</v>
      </c>
      <c r="GW125" t="e">
        <f>'Compiled Agents'!#REF!+"h_l!'&amp;|"</f>
        <v>#REF!</v>
      </c>
      <c r="GX125" t="e">
        <f>'Compiled Agents'!#REF!+"h_l!'&amp;}"</f>
        <v>#REF!</v>
      </c>
      <c r="GY125" t="e">
        <f>'Compiled Agents'!#REF!+"h_l!'&amp;~"</f>
        <v>#REF!</v>
      </c>
      <c r="GZ125" t="e">
        <f>'Compiled Agents'!#REF!+"h_l!''#"</f>
        <v>#REF!</v>
      </c>
      <c r="HA125" t="e">
        <f>'Compiled Agents'!#REF!+"h_l!''$"</f>
        <v>#REF!</v>
      </c>
      <c r="HB125" t="e">
        <f>'Compiled Agents'!#REF!+"h_l!''%"</f>
        <v>#REF!</v>
      </c>
      <c r="HC125" t="e">
        <f>'Compiled Agents'!#REF!+"h_l!''&amp;"</f>
        <v>#REF!</v>
      </c>
      <c r="HD125" t="e">
        <f>'Compiled Agents'!A8+"h_l!'''"</f>
        <v>#VALUE!</v>
      </c>
      <c r="HE125" t="e">
        <f>'Compiled Agents'!B8+"h_l!''("</f>
        <v>#VALUE!</v>
      </c>
      <c r="HF125" t="e">
        <f>'Compiled Agents'!C8+"h_l!'')"</f>
        <v>#VALUE!</v>
      </c>
      <c r="HG125" t="e">
        <f>'Compiled Agents'!E8+"h_l!''."</f>
        <v>#VALUE!</v>
      </c>
      <c r="HH125" t="e">
        <f>'Compiled Agents'!F8+"h_l!''/"</f>
        <v>#VALUE!</v>
      </c>
      <c r="HI125" t="e">
        <f>'Compiled Agents'!G8+"h_l!''0"</f>
        <v>#VALUE!</v>
      </c>
      <c r="HJ125" t="e">
        <f>'Compiled Agents'!H8+"h_l!''1"</f>
        <v>#VALUE!</v>
      </c>
      <c r="HK125" t="e">
        <f>'Compiled Agents'!#REF!+"h_l!''2"</f>
        <v>#REF!</v>
      </c>
      <c r="HL125" t="e">
        <f>'Compiled Agents'!#REF!+"h_l!''3"</f>
        <v>#REF!</v>
      </c>
      <c r="HM125" t="e">
        <f>'Compiled Agents'!#REF!+"h_l!''4"</f>
        <v>#REF!</v>
      </c>
      <c r="HN125" t="e">
        <f>'Compiled Agents'!#REF!+"h_l!''5"</f>
        <v>#REF!</v>
      </c>
      <c r="HO125" t="e">
        <f>'Compiled Agents'!#REF!+"h_l!''6"</f>
        <v>#REF!</v>
      </c>
      <c r="HP125" t="e">
        <f>'Compiled Agents'!#REF!+"h_l!''7"</f>
        <v>#REF!</v>
      </c>
      <c r="HQ125" t="e">
        <f>'Compiled Agents'!#REF!+"h_l!''8"</f>
        <v>#REF!</v>
      </c>
      <c r="HR125" t="e">
        <f>'Compiled Agents'!A9+"h_l!''9"</f>
        <v>#VALUE!</v>
      </c>
      <c r="HS125" t="e">
        <f>'Compiled Agents'!B9+"h_l!'':"</f>
        <v>#VALUE!</v>
      </c>
      <c r="HT125" t="e">
        <f>'Compiled Agents'!C9+"h_l!'';"</f>
        <v>#VALUE!</v>
      </c>
      <c r="HU125" t="e">
        <f>'Compiled Agents'!E9+"h_l!''&lt;"</f>
        <v>#VALUE!</v>
      </c>
      <c r="HV125" t="e">
        <f>'Compiled Agents'!F9+"h_l!''="</f>
        <v>#VALUE!</v>
      </c>
      <c r="HW125" t="e">
        <f>'Compiled Agents'!G9+"h_l!''&gt;"</f>
        <v>#VALUE!</v>
      </c>
      <c r="HX125" t="e">
        <f>'Compiled Agents'!H9+"h_l!''?"</f>
        <v>#VALUE!</v>
      </c>
      <c r="HY125" t="e">
        <f>'Compiled Agents'!#REF!+"h_l!''@"</f>
        <v>#REF!</v>
      </c>
      <c r="HZ125" t="e">
        <f>'Compiled Agents'!#REF!+"h_l!''A"</f>
        <v>#REF!</v>
      </c>
      <c r="IA125" t="e">
        <f>'Compiled Agents'!#REF!+"h_l!''B"</f>
        <v>#REF!</v>
      </c>
      <c r="IB125" t="e">
        <f>'Compiled Agents'!#REF!+"h_l!''C"</f>
        <v>#REF!</v>
      </c>
      <c r="IC125" t="e">
        <f>'Compiled Agents'!#REF!+"h_l!''D"</f>
        <v>#REF!</v>
      </c>
      <c r="ID125" t="e">
        <f>'Compiled Agents'!#REF!+"h_l!''E"</f>
        <v>#REF!</v>
      </c>
      <c r="IE125" t="e">
        <f>'Compiled Agents'!#REF!+"h_l!''F"</f>
        <v>#REF!</v>
      </c>
      <c r="IF125" t="e">
        <f>'Compiled Agents'!A10+"h_l!''G"</f>
        <v>#VALUE!</v>
      </c>
      <c r="IG125" t="e">
        <f>'Compiled Agents'!B10+"h_l!''H"</f>
        <v>#VALUE!</v>
      </c>
      <c r="IH125" t="e">
        <f>'Compiled Agents'!C10+"h_l!''I"</f>
        <v>#VALUE!</v>
      </c>
      <c r="II125" t="e">
        <f>'Compiled Agents'!E10+"h_l!''J"</f>
        <v>#VALUE!</v>
      </c>
      <c r="IJ125" t="e">
        <f>'Compiled Agents'!F10+"h_l!''K"</f>
        <v>#VALUE!</v>
      </c>
      <c r="IK125" t="e">
        <f>'Compiled Agents'!G10+"h_l!''L"</f>
        <v>#VALUE!</v>
      </c>
      <c r="IL125" t="e">
        <f>'Compiled Agents'!H10+"h_l!''M"</f>
        <v>#VALUE!</v>
      </c>
      <c r="IM125" t="e">
        <f>'Compiled Agents'!#REF!+"h_l!''N"</f>
        <v>#REF!</v>
      </c>
      <c r="IN125" t="e">
        <f>'Compiled Agents'!#REF!+"h_l!''O"</f>
        <v>#REF!</v>
      </c>
      <c r="IO125" t="e">
        <f>'Compiled Agents'!#REF!+"h_l!''P"</f>
        <v>#REF!</v>
      </c>
      <c r="IP125" t="e">
        <f>'Compiled Agents'!#REF!+"h_l!''Q"</f>
        <v>#REF!</v>
      </c>
      <c r="IQ125" t="e">
        <f>'Compiled Agents'!#REF!+"h_l!''R"</f>
        <v>#REF!</v>
      </c>
      <c r="IR125" t="e">
        <f>'Compiled Agents'!#REF!+"h_l!''S"</f>
        <v>#REF!</v>
      </c>
      <c r="IS125" t="e">
        <f>'Compiled Agents'!#REF!+"h_l!''T"</f>
        <v>#REF!</v>
      </c>
      <c r="IT125" t="e">
        <f>'Compiled Agents'!A11+"h_l!''U"</f>
        <v>#VALUE!</v>
      </c>
      <c r="IU125" t="e">
        <f>'Compiled Agents'!B11+"h_l!''V"</f>
        <v>#VALUE!</v>
      </c>
      <c r="IV125" t="e">
        <f>'Compiled Agents'!C11+"h_l!''W"</f>
        <v>#VALUE!</v>
      </c>
    </row>
    <row r="126" spans="6:256" x14ac:dyDescent="0.25">
      <c r="F126" t="e">
        <f>'Compiled Agents'!E11+"h_l!''X"</f>
        <v>#VALUE!</v>
      </c>
      <c r="G126" t="e">
        <f>'Compiled Agents'!F11+"h_l!''Y"</f>
        <v>#VALUE!</v>
      </c>
      <c r="H126" t="e">
        <f>'Compiled Agents'!G11+"h_l!''Z"</f>
        <v>#VALUE!</v>
      </c>
      <c r="I126" t="e">
        <f>'Compiled Agents'!H11+"h_l!''["</f>
        <v>#VALUE!</v>
      </c>
      <c r="J126" t="e">
        <f>'Compiled Agents'!#REF!+"h_l!''\"</f>
        <v>#REF!</v>
      </c>
      <c r="K126" t="e">
        <f>'Compiled Agents'!#REF!+"h_l!'']"</f>
        <v>#REF!</v>
      </c>
      <c r="L126" t="e">
        <f>'Compiled Agents'!#REF!+"h_l!''^"</f>
        <v>#REF!</v>
      </c>
      <c r="M126" t="e">
        <f>'Compiled Agents'!#REF!+"h_l!''_"</f>
        <v>#REF!</v>
      </c>
      <c r="N126" t="e">
        <f>'Compiled Agents'!#REF!+"h_l!''`"</f>
        <v>#REF!</v>
      </c>
      <c r="O126" t="e">
        <f>'Compiled Agents'!#REF!+"h_l!''a"</f>
        <v>#REF!</v>
      </c>
      <c r="P126" t="e">
        <f>'Compiled Agents'!#REF!+"h_l!''b"</f>
        <v>#REF!</v>
      </c>
      <c r="Q126" t="e">
        <f>'Compiled Agents'!A12+"h_l!''c"</f>
        <v>#VALUE!</v>
      </c>
      <c r="R126" t="e">
        <f>'Compiled Agents'!B12+"h_l!''d"</f>
        <v>#VALUE!</v>
      </c>
      <c r="S126" t="e">
        <f>'Compiled Agents'!C12+"h_l!''e"</f>
        <v>#VALUE!</v>
      </c>
      <c r="T126" t="e">
        <f>'Compiled Agents'!E12+"h_l!''f"</f>
        <v>#VALUE!</v>
      </c>
      <c r="U126" t="e">
        <f>'Compiled Agents'!F12+"h_l!''g"</f>
        <v>#VALUE!</v>
      </c>
      <c r="V126" t="e">
        <f>'Compiled Agents'!G12+"h_l!''h"</f>
        <v>#VALUE!</v>
      </c>
      <c r="W126" t="e">
        <f>'Compiled Agents'!H12+"h_l!''i"</f>
        <v>#VALUE!</v>
      </c>
      <c r="X126" t="e">
        <f>'Compiled Agents'!#REF!+"h_l!''j"</f>
        <v>#REF!</v>
      </c>
      <c r="Y126" t="e">
        <f>'Compiled Agents'!#REF!+"h_l!''k"</f>
        <v>#REF!</v>
      </c>
      <c r="Z126" t="e">
        <f>'Compiled Agents'!#REF!+"h_l!''l"</f>
        <v>#REF!</v>
      </c>
      <c r="AA126" t="e">
        <f>'Compiled Agents'!#REF!+"h_l!''m"</f>
        <v>#REF!</v>
      </c>
      <c r="AB126" t="e">
        <f>'Compiled Agents'!#REF!+"h_l!''n"</f>
        <v>#REF!</v>
      </c>
      <c r="AC126" t="e">
        <f>'Compiled Agents'!#REF!+"h_l!''o"</f>
        <v>#REF!</v>
      </c>
      <c r="AD126" t="e">
        <f>'Compiled Agents'!#REF!+"h_l!''p"</f>
        <v>#REF!</v>
      </c>
      <c r="AE126" t="e">
        <f>'Compiled Agents'!A13+"h_l!''q"</f>
        <v>#VALUE!</v>
      </c>
      <c r="AF126" t="e">
        <f>'Compiled Agents'!B13+"h_l!''r"</f>
        <v>#VALUE!</v>
      </c>
      <c r="AG126" t="e">
        <f>'Compiled Agents'!C13+"h_l!''s"</f>
        <v>#VALUE!</v>
      </c>
      <c r="AH126" t="e">
        <f>'Compiled Agents'!E13+"h_l!''t"</f>
        <v>#VALUE!</v>
      </c>
      <c r="AI126" t="e">
        <f>'Compiled Agents'!F13+"h_l!''u"</f>
        <v>#VALUE!</v>
      </c>
      <c r="AJ126" t="e">
        <f>'Compiled Agents'!G13+"h_l!''v"</f>
        <v>#VALUE!</v>
      </c>
      <c r="AK126" t="e">
        <f>'Compiled Agents'!H13+"h_l!''w"</f>
        <v>#VALUE!</v>
      </c>
      <c r="AL126" t="e">
        <f>'Compiled Agents'!#REF!+"h_l!''x"</f>
        <v>#REF!</v>
      </c>
      <c r="AM126" t="e">
        <f>'Compiled Agents'!#REF!+"h_l!''y"</f>
        <v>#REF!</v>
      </c>
      <c r="AN126" t="e">
        <f>'Compiled Agents'!#REF!+"h_l!''z"</f>
        <v>#REF!</v>
      </c>
      <c r="AO126" t="e">
        <f>'Compiled Agents'!#REF!+"h_l!''{"</f>
        <v>#REF!</v>
      </c>
      <c r="AP126" t="e">
        <f>'Compiled Agents'!#REF!+"h_l!''|"</f>
        <v>#REF!</v>
      </c>
      <c r="AQ126" t="e">
        <f>'Compiled Agents'!#REF!+"h_l!''}"</f>
        <v>#REF!</v>
      </c>
      <c r="AR126" t="e">
        <f>'Compiled Agents'!#REF!+"h_l!''~"</f>
        <v>#REF!</v>
      </c>
      <c r="AS126" t="e">
        <f>'Compiled Agents'!A14+"h_l!'(#"</f>
        <v>#VALUE!</v>
      </c>
      <c r="AT126" t="e">
        <f>'Compiled Agents'!B14+"h_l!'($"</f>
        <v>#VALUE!</v>
      </c>
      <c r="AU126" t="e">
        <f>'Compiled Agents'!C14+"h_l!'(%"</f>
        <v>#VALUE!</v>
      </c>
      <c r="AV126" t="e">
        <f>'Compiled Agents'!E14+"h_l!'(&amp;"</f>
        <v>#VALUE!</v>
      </c>
      <c r="AW126" t="e">
        <f>'Compiled Agents'!F14+"h_l!'('"</f>
        <v>#VALUE!</v>
      </c>
      <c r="AX126" t="e">
        <f>'Compiled Agents'!G14+"h_l!'(("</f>
        <v>#VALUE!</v>
      </c>
      <c r="AY126" t="e">
        <f>'Compiled Agents'!H14+"h_l!'()"</f>
        <v>#VALUE!</v>
      </c>
      <c r="AZ126" t="e">
        <f>'Compiled Agents'!#REF!+"h_l!'(."</f>
        <v>#REF!</v>
      </c>
      <c r="BA126" t="e">
        <f>'Compiled Agents'!#REF!+"h_l!'(/"</f>
        <v>#REF!</v>
      </c>
      <c r="BB126" t="e">
        <f>'Compiled Agents'!#REF!+"h_l!'(0"</f>
        <v>#REF!</v>
      </c>
      <c r="BC126" t="e">
        <f>'Compiled Agents'!#REF!+"h_l!'(1"</f>
        <v>#REF!</v>
      </c>
      <c r="BD126" t="e">
        <f>'Compiled Agents'!#REF!+"h_l!'(2"</f>
        <v>#REF!</v>
      </c>
      <c r="BE126" t="e">
        <f>'Compiled Agents'!#REF!+"h_l!'(3"</f>
        <v>#REF!</v>
      </c>
      <c r="BF126" t="e">
        <f>'Compiled Agents'!#REF!+"h_l!'(4"</f>
        <v>#REF!</v>
      </c>
      <c r="BG126" t="e">
        <f>'Compiled Agents'!A15+"h_l!'(5"</f>
        <v>#VALUE!</v>
      </c>
      <c r="BH126" t="e">
        <f>'Compiled Agents'!B15+"h_l!'(6"</f>
        <v>#VALUE!</v>
      </c>
      <c r="BI126" t="e">
        <f>'Compiled Agents'!C15+"h_l!'(7"</f>
        <v>#VALUE!</v>
      </c>
      <c r="BJ126" t="e">
        <f>'Compiled Agents'!E15+"h_l!'(8"</f>
        <v>#VALUE!</v>
      </c>
      <c r="BK126" t="e">
        <f>'Compiled Agents'!F15+"h_l!'(9"</f>
        <v>#VALUE!</v>
      </c>
      <c r="BL126" t="e">
        <f>'Compiled Agents'!G15+"h_l!'(:"</f>
        <v>#VALUE!</v>
      </c>
      <c r="BM126" t="e">
        <f>'Compiled Agents'!H15+"h_l!'(;"</f>
        <v>#VALUE!</v>
      </c>
      <c r="BN126" t="e">
        <f>'Compiled Agents'!#REF!+"h_l!'(&lt;"</f>
        <v>#REF!</v>
      </c>
      <c r="BO126" t="e">
        <f>'Compiled Agents'!#REF!+"h_l!'(="</f>
        <v>#REF!</v>
      </c>
      <c r="BP126" t="e">
        <f>'Compiled Agents'!#REF!+"h_l!'(&gt;"</f>
        <v>#REF!</v>
      </c>
      <c r="BQ126" t="e">
        <f>'Compiled Agents'!#REF!+"h_l!'(?"</f>
        <v>#REF!</v>
      </c>
      <c r="BR126" t="e">
        <f>'Compiled Agents'!#REF!+"h_l!'(@"</f>
        <v>#REF!</v>
      </c>
      <c r="BS126" t="e">
        <f>'Compiled Agents'!#REF!+"h_l!'(A"</f>
        <v>#REF!</v>
      </c>
      <c r="BT126" t="e">
        <f>'Compiled Agents'!#REF!+"h_l!'(B"</f>
        <v>#REF!</v>
      </c>
      <c r="BU126" t="e">
        <f>'Compiled Agents'!A16+"h_l!'(C"</f>
        <v>#VALUE!</v>
      </c>
      <c r="BV126" t="e">
        <f>'Compiled Agents'!B16+"h_l!'(D"</f>
        <v>#VALUE!</v>
      </c>
      <c r="BW126" t="e">
        <f>'Compiled Agents'!C16+"h_l!'(E"</f>
        <v>#VALUE!</v>
      </c>
      <c r="BX126" t="e">
        <f>'Compiled Agents'!E16+"h_l!'(F"</f>
        <v>#VALUE!</v>
      </c>
      <c r="BY126" t="e">
        <f>'Compiled Agents'!F16+"h_l!'(G"</f>
        <v>#VALUE!</v>
      </c>
      <c r="BZ126" t="e">
        <f>'Compiled Agents'!G16+"h_l!'(H"</f>
        <v>#VALUE!</v>
      </c>
      <c r="CA126" t="e">
        <f>'Compiled Agents'!H16+"h_l!'(I"</f>
        <v>#VALUE!</v>
      </c>
      <c r="CB126" t="e">
        <f>'Compiled Agents'!#REF!+"h_l!'(J"</f>
        <v>#REF!</v>
      </c>
      <c r="CC126" t="e">
        <f>'Compiled Agents'!#REF!+"h_l!'(K"</f>
        <v>#REF!</v>
      </c>
      <c r="CD126" t="e">
        <f>'Compiled Agents'!#REF!+"h_l!'(L"</f>
        <v>#REF!</v>
      </c>
      <c r="CE126" t="e">
        <f>'Compiled Agents'!#REF!+"h_l!'(M"</f>
        <v>#REF!</v>
      </c>
      <c r="CF126" t="e">
        <f>'Compiled Agents'!#REF!+"h_l!'(N"</f>
        <v>#REF!</v>
      </c>
      <c r="CG126" t="e">
        <f>'Compiled Agents'!#REF!+"h_l!'(O"</f>
        <v>#REF!</v>
      </c>
      <c r="CH126" t="e">
        <f>'Compiled Agents'!#REF!+"h_l!'(P"</f>
        <v>#REF!</v>
      </c>
      <c r="CI126" t="e">
        <f>'Compiled Agents'!A17+"h_l!'(Q"</f>
        <v>#VALUE!</v>
      </c>
      <c r="CJ126" t="e">
        <f>'Compiled Agents'!B17+"h_l!'(R"</f>
        <v>#VALUE!</v>
      </c>
      <c r="CK126" t="e">
        <f>'Compiled Agents'!C17+"h_l!'(S"</f>
        <v>#VALUE!</v>
      </c>
      <c r="CL126" t="e">
        <f>'Compiled Agents'!E17+"h_l!'(T"</f>
        <v>#VALUE!</v>
      </c>
      <c r="CM126" t="e">
        <f>'Compiled Agents'!F17+"h_l!'(U"</f>
        <v>#VALUE!</v>
      </c>
      <c r="CN126" t="e">
        <f>'Compiled Agents'!G17+"h_l!'(V"</f>
        <v>#VALUE!</v>
      </c>
      <c r="CO126" t="e">
        <f>'Compiled Agents'!H17+"h_l!'(W"</f>
        <v>#VALUE!</v>
      </c>
      <c r="CP126" t="e">
        <f>'Compiled Agents'!#REF!+"h_l!'(X"</f>
        <v>#REF!</v>
      </c>
      <c r="CQ126" t="e">
        <f>'Compiled Agents'!#REF!+"h_l!'(Y"</f>
        <v>#REF!</v>
      </c>
      <c r="CR126" t="e">
        <f>'Compiled Agents'!#REF!+"h_l!'(Z"</f>
        <v>#REF!</v>
      </c>
      <c r="CS126" t="e">
        <f>'Compiled Agents'!#REF!+"h_l!'(["</f>
        <v>#REF!</v>
      </c>
      <c r="CT126" t="e">
        <f>'Compiled Agents'!#REF!+"h_l!'(\"</f>
        <v>#REF!</v>
      </c>
      <c r="CU126" t="e">
        <f>'Compiled Agents'!#REF!+"h_l!'(]"</f>
        <v>#REF!</v>
      </c>
      <c r="CV126" t="e">
        <f>'Compiled Agents'!#REF!+"h_l!'(^"</f>
        <v>#REF!</v>
      </c>
      <c r="CW126" t="e">
        <f>'Compiled Agents'!A18+"h_l!'(_"</f>
        <v>#VALUE!</v>
      </c>
      <c r="CX126" t="e">
        <f>'Compiled Agents'!B18+"h_l!'(`"</f>
        <v>#VALUE!</v>
      </c>
      <c r="CY126" t="e">
        <f>'Compiled Agents'!C18+"h_l!'(a"</f>
        <v>#VALUE!</v>
      </c>
      <c r="CZ126" t="e">
        <f>'Compiled Agents'!E18+"h_l!'(b"</f>
        <v>#VALUE!</v>
      </c>
      <c r="DA126" t="e">
        <f>'Compiled Agents'!F18+"h_l!'(c"</f>
        <v>#VALUE!</v>
      </c>
      <c r="DB126" t="e">
        <f>'Compiled Agents'!G18+"h_l!'(d"</f>
        <v>#VALUE!</v>
      </c>
      <c r="DC126" t="e">
        <f>'Compiled Agents'!H18+"h_l!'(e"</f>
        <v>#VALUE!</v>
      </c>
      <c r="DD126" t="e">
        <f>'Compiled Agents'!#REF!+"h_l!'(f"</f>
        <v>#REF!</v>
      </c>
      <c r="DE126" t="e">
        <f>'Compiled Agents'!#REF!+"h_l!'(g"</f>
        <v>#REF!</v>
      </c>
      <c r="DF126" t="e">
        <f>'Compiled Agents'!#REF!+"h_l!'(h"</f>
        <v>#REF!</v>
      </c>
      <c r="DG126" t="e">
        <f>'Compiled Agents'!#REF!+"h_l!'(i"</f>
        <v>#REF!</v>
      </c>
      <c r="DH126" t="e">
        <f>'Compiled Agents'!#REF!+"h_l!'(j"</f>
        <v>#REF!</v>
      </c>
      <c r="DI126" t="e">
        <f>'Compiled Agents'!#REF!+"h_l!'(k"</f>
        <v>#REF!</v>
      </c>
      <c r="DJ126" t="e">
        <f>'Compiled Agents'!#REF!+"h_l!'(l"</f>
        <v>#REF!</v>
      </c>
      <c r="DK126" t="e">
        <f>'Compiled Agents'!A19+"h_l!'(m"</f>
        <v>#VALUE!</v>
      </c>
      <c r="DL126" t="e">
        <f>'Compiled Agents'!B19+"h_l!'(n"</f>
        <v>#VALUE!</v>
      </c>
      <c r="DM126" t="e">
        <f>'Compiled Agents'!C19+"h_l!'(o"</f>
        <v>#VALUE!</v>
      </c>
      <c r="DN126" t="e">
        <f>'Compiled Agents'!E19+"h_l!'(p"</f>
        <v>#VALUE!</v>
      </c>
      <c r="DO126" t="e">
        <f>'Compiled Agents'!F19+"h_l!'(q"</f>
        <v>#VALUE!</v>
      </c>
      <c r="DP126" t="e">
        <f>'Compiled Agents'!G19+"h_l!'(r"</f>
        <v>#VALUE!</v>
      </c>
      <c r="DQ126" t="e">
        <f>'Compiled Agents'!H19+"h_l!'(s"</f>
        <v>#VALUE!</v>
      </c>
      <c r="DR126" t="e">
        <f>'Compiled Agents'!#REF!+"h_l!'(t"</f>
        <v>#REF!</v>
      </c>
      <c r="DS126" t="e">
        <f>'Compiled Agents'!#REF!+"h_l!'(u"</f>
        <v>#REF!</v>
      </c>
      <c r="DT126" t="e">
        <f>'Compiled Agents'!#REF!+"h_l!'(v"</f>
        <v>#REF!</v>
      </c>
      <c r="DU126" t="e">
        <f>'Compiled Agents'!#REF!+"h_l!'(w"</f>
        <v>#REF!</v>
      </c>
      <c r="DV126" t="e">
        <f>'Compiled Agents'!#REF!+"h_l!'(x"</f>
        <v>#REF!</v>
      </c>
      <c r="DW126" t="e">
        <f>'Compiled Agents'!#REF!+"h_l!'(y"</f>
        <v>#REF!</v>
      </c>
      <c r="DX126" t="e">
        <f>'Compiled Agents'!#REF!+"h_l!'(z"</f>
        <v>#REF!</v>
      </c>
      <c r="DY126" t="e">
        <f>'Compiled Agents'!A20+"h_l!'({"</f>
        <v>#VALUE!</v>
      </c>
      <c r="DZ126" t="e">
        <f>'Compiled Agents'!B20+"h_l!'(|"</f>
        <v>#VALUE!</v>
      </c>
      <c r="EA126" t="e">
        <f>'Compiled Agents'!C20+"h_l!'(}"</f>
        <v>#VALUE!</v>
      </c>
      <c r="EB126" t="e">
        <f>'Compiled Agents'!E20+"h_l!'(~"</f>
        <v>#VALUE!</v>
      </c>
      <c r="EC126" t="e">
        <f>'Compiled Agents'!F20+"h_l!')#"</f>
        <v>#VALUE!</v>
      </c>
      <c r="ED126" t="e">
        <f>'Compiled Agents'!G20+"h_l!')$"</f>
        <v>#VALUE!</v>
      </c>
      <c r="EE126" t="e">
        <f>'Compiled Agents'!H20+"h_l!')%"</f>
        <v>#VALUE!</v>
      </c>
      <c r="EF126" t="e">
        <f>'Compiled Agents'!#REF!+"h_l!')&amp;"</f>
        <v>#REF!</v>
      </c>
      <c r="EG126" t="e">
        <f>'Compiled Agents'!#REF!+"h_l!')'"</f>
        <v>#REF!</v>
      </c>
      <c r="EH126" t="e">
        <f>'Compiled Agents'!#REF!+"h_l!')("</f>
        <v>#REF!</v>
      </c>
      <c r="EI126" t="e">
        <f>'Compiled Agents'!#REF!+"h_l!'))"</f>
        <v>#REF!</v>
      </c>
      <c r="EJ126" t="e">
        <f>'Compiled Agents'!#REF!+"h_l!')."</f>
        <v>#REF!</v>
      </c>
      <c r="EK126" t="e">
        <f>'Compiled Agents'!#REF!+"h_l!')/"</f>
        <v>#REF!</v>
      </c>
      <c r="EL126" t="e">
        <f>'Compiled Agents'!#REF!+"h_l!')0"</f>
        <v>#REF!</v>
      </c>
      <c r="EM126" t="e">
        <f>'Compiled Agents'!A21+"h_l!')1"</f>
        <v>#VALUE!</v>
      </c>
      <c r="EN126" t="e">
        <f>'Compiled Agents'!B21+"h_l!')2"</f>
        <v>#VALUE!</v>
      </c>
      <c r="EO126" t="e">
        <f>'Compiled Agents'!C21+"h_l!')3"</f>
        <v>#VALUE!</v>
      </c>
      <c r="EP126" t="e">
        <f>'Compiled Agents'!E21+"h_l!')4"</f>
        <v>#VALUE!</v>
      </c>
      <c r="EQ126" t="e">
        <f>'Compiled Agents'!F21+"h_l!')5"</f>
        <v>#VALUE!</v>
      </c>
      <c r="ER126" t="e">
        <f>'Compiled Agents'!G21+"h_l!')6"</f>
        <v>#VALUE!</v>
      </c>
      <c r="ES126" t="e">
        <f>'Compiled Agents'!H21+"h_l!')7"</f>
        <v>#VALUE!</v>
      </c>
      <c r="ET126" t="e">
        <f>'Compiled Agents'!#REF!+"h_l!')8"</f>
        <v>#REF!</v>
      </c>
      <c r="EU126" t="e">
        <f>'Compiled Agents'!#REF!+"h_l!')9"</f>
        <v>#REF!</v>
      </c>
      <c r="EV126" t="e">
        <f>'Compiled Agents'!#REF!+"h_l!'):"</f>
        <v>#REF!</v>
      </c>
      <c r="EW126" t="e">
        <f>'Compiled Agents'!#REF!+"h_l!');"</f>
        <v>#REF!</v>
      </c>
      <c r="EX126" t="e">
        <f>'Compiled Agents'!#REF!+"h_l!')&lt;"</f>
        <v>#REF!</v>
      </c>
      <c r="EY126" t="e">
        <f>'Compiled Agents'!#REF!+"h_l!')="</f>
        <v>#REF!</v>
      </c>
      <c r="EZ126" t="e">
        <f>'Compiled Agents'!#REF!+"h_l!')&gt;"</f>
        <v>#REF!</v>
      </c>
      <c r="FA126" t="e">
        <f>'Compiled Agents'!A22+"h_l!')?"</f>
        <v>#VALUE!</v>
      </c>
      <c r="FB126" t="e">
        <f>'Compiled Agents'!B22+"h_l!')@"</f>
        <v>#VALUE!</v>
      </c>
      <c r="FC126" t="e">
        <f>'Compiled Agents'!C22+"h_l!')A"</f>
        <v>#VALUE!</v>
      </c>
      <c r="FD126" t="e">
        <f>'Compiled Agents'!E22+"h_l!')B"</f>
        <v>#VALUE!</v>
      </c>
      <c r="FE126" t="e">
        <f>'Compiled Agents'!F22+"h_l!')C"</f>
        <v>#VALUE!</v>
      </c>
      <c r="FF126" t="e">
        <f>'Compiled Agents'!G22+"h_l!')D"</f>
        <v>#VALUE!</v>
      </c>
      <c r="FG126" t="e">
        <f>'Compiled Agents'!H22+"h_l!')E"</f>
        <v>#VALUE!</v>
      </c>
      <c r="FH126" t="e">
        <f>'Compiled Agents'!#REF!+"h_l!')F"</f>
        <v>#REF!</v>
      </c>
      <c r="FI126" t="e">
        <f>'Compiled Agents'!#REF!+"h_l!')G"</f>
        <v>#REF!</v>
      </c>
      <c r="FJ126" t="e">
        <f>'Compiled Agents'!#REF!+"h_l!')H"</f>
        <v>#REF!</v>
      </c>
      <c r="FK126" t="e">
        <f>'Compiled Agents'!#REF!+"h_l!')I"</f>
        <v>#REF!</v>
      </c>
      <c r="FL126" t="e">
        <f>'Compiled Agents'!#REF!+"h_l!')J"</f>
        <v>#REF!</v>
      </c>
      <c r="FM126" t="e">
        <f>'Compiled Agents'!#REF!+"h_l!')K"</f>
        <v>#REF!</v>
      </c>
      <c r="FN126" t="e">
        <f>'Compiled Agents'!#REF!+"h_l!')L"</f>
        <v>#REF!</v>
      </c>
      <c r="FO126" t="e">
        <f>'Compiled Agents'!A23+"h_l!')M"</f>
        <v>#VALUE!</v>
      </c>
      <c r="FP126" t="e">
        <f>'Compiled Agents'!B23+"h_l!')N"</f>
        <v>#VALUE!</v>
      </c>
      <c r="FQ126" t="e">
        <f>'Compiled Agents'!C23+"h_l!')O"</f>
        <v>#VALUE!</v>
      </c>
      <c r="FR126" t="e">
        <f>'Compiled Agents'!E23+"h_l!')P"</f>
        <v>#VALUE!</v>
      </c>
      <c r="FS126" t="e">
        <f>'Compiled Agents'!F23+"h_l!')Q"</f>
        <v>#VALUE!</v>
      </c>
      <c r="FT126" t="e">
        <f>'Compiled Agents'!G23+"h_l!')R"</f>
        <v>#VALUE!</v>
      </c>
      <c r="FU126" t="e">
        <f>'Compiled Agents'!H23+"h_l!')S"</f>
        <v>#VALUE!</v>
      </c>
      <c r="FV126" t="e">
        <f>'Compiled Agents'!#REF!+"h_l!')T"</f>
        <v>#REF!</v>
      </c>
      <c r="FW126" t="e">
        <f>'Compiled Agents'!#REF!+"h_l!')U"</f>
        <v>#REF!</v>
      </c>
      <c r="FX126" t="e">
        <f>'Compiled Agents'!#REF!+"h_l!')V"</f>
        <v>#REF!</v>
      </c>
      <c r="FY126" t="e">
        <f>'Compiled Agents'!#REF!+"h_l!')W"</f>
        <v>#REF!</v>
      </c>
      <c r="FZ126" t="e">
        <f>'Compiled Agents'!#REF!+"h_l!')X"</f>
        <v>#REF!</v>
      </c>
      <c r="GA126" t="e">
        <f>'Compiled Agents'!#REF!+"h_l!')Y"</f>
        <v>#REF!</v>
      </c>
      <c r="GB126" t="e">
        <f>'Compiled Agents'!#REF!+"h_l!')Z"</f>
        <v>#REF!</v>
      </c>
      <c r="GC126" t="e">
        <f>'Compiled Agents'!A24+"h_l!')["</f>
        <v>#VALUE!</v>
      </c>
      <c r="GD126" t="e">
        <f>'Compiled Agents'!B24+"h_l!')\"</f>
        <v>#VALUE!</v>
      </c>
      <c r="GE126" t="e">
        <f>'Compiled Agents'!C24+"h_l!')]"</f>
        <v>#VALUE!</v>
      </c>
      <c r="GF126" t="e">
        <f>'Compiled Agents'!E24+"h_l!')^"</f>
        <v>#VALUE!</v>
      </c>
      <c r="GG126" t="e">
        <f>'Compiled Agents'!F24+"h_l!')_"</f>
        <v>#VALUE!</v>
      </c>
      <c r="GH126" t="e">
        <f>'Compiled Agents'!G24+"h_l!')`"</f>
        <v>#VALUE!</v>
      </c>
      <c r="GI126" t="e">
        <f>'Compiled Agents'!H24+"h_l!')a"</f>
        <v>#VALUE!</v>
      </c>
      <c r="GJ126" t="e">
        <f>'Compiled Agents'!#REF!+"h_l!')b"</f>
        <v>#REF!</v>
      </c>
      <c r="GK126" t="e">
        <f>'Compiled Agents'!#REF!+"h_l!')c"</f>
        <v>#REF!</v>
      </c>
      <c r="GL126" t="e">
        <f>'Compiled Agents'!#REF!+"h_l!')d"</f>
        <v>#REF!</v>
      </c>
      <c r="GM126" t="e">
        <f>'Compiled Agents'!#REF!+"h_l!')e"</f>
        <v>#REF!</v>
      </c>
      <c r="GN126" t="e">
        <f>'Compiled Agents'!#REF!+"h_l!')f"</f>
        <v>#REF!</v>
      </c>
      <c r="GO126" t="e">
        <f>'Compiled Agents'!#REF!+"h_l!')g"</f>
        <v>#REF!</v>
      </c>
      <c r="GP126" t="e">
        <f>'Compiled Agents'!#REF!+"h_l!')h"</f>
        <v>#REF!</v>
      </c>
      <c r="GQ126" t="e">
        <f>'Compiled Agents'!A25+"h_l!')i"</f>
        <v>#VALUE!</v>
      </c>
      <c r="GR126" t="e">
        <f>'Compiled Agents'!B25+"h_l!')j"</f>
        <v>#VALUE!</v>
      </c>
      <c r="GS126" t="e">
        <f>'Compiled Agents'!C25+"h_l!')k"</f>
        <v>#VALUE!</v>
      </c>
      <c r="GT126" t="e">
        <f>'Compiled Agents'!E25+"h_l!')l"</f>
        <v>#VALUE!</v>
      </c>
      <c r="GU126" t="e">
        <f>'Compiled Agents'!F25+"h_l!')m"</f>
        <v>#VALUE!</v>
      </c>
      <c r="GV126" t="e">
        <f>'Compiled Agents'!G25+"h_l!')n"</f>
        <v>#VALUE!</v>
      </c>
      <c r="GW126" t="e">
        <f>'Compiled Agents'!H25+"h_l!')o"</f>
        <v>#VALUE!</v>
      </c>
      <c r="GX126" t="e">
        <f>'Compiled Agents'!#REF!+"h_l!')p"</f>
        <v>#REF!</v>
      </c>
      <c r="GY126" t="e">
        <f>'Compiled Agents'!#REF!+"h_l!')q"</f>
        <v>#REF!</v>
      </c>
      <c r="GZ126" t="e">
        <f>'Compiled Agents'!#REF!+"h_l!')r"</f>
        <v>#REF!</v>
      </c>
      <c r="HA126" t="e">
        <f>'Compiled Agents'!#REF!+"h_l!')s"</f>
        <v>#REF!</v>
      </c>
      <c r="HB126" t="e">
        <f>'Compiled Agents'!#REF!+"h_l!')t"</f>
        <v>#REF!</v>
      </c>
      <c r="HC126" t="e">
        <f>'Compiled Agents'!#REF!+"h_l!')u"</f>
        <v>#REF!</v>
      </c>
      <c r="HD126" t="e">
        <f>'Compiled Agents'!#REF!+"h_l!')v"</f>
        <v>#REF!</v>
      </c>
      <c r="HE126" t="e">
        <f>'Compiled Agents'!A26+"h_l!')w"</f>
        <v>#VALUE!</v>
      </c>
      <c r="HF126" t="e">
        <f>'Compiled Agents'!B26+"h_l!')x"</f>
        <v>#VALUE!</v>
      </c>
      <c r="HG126" t="e">
        <f>'Compiled Agents'!C26+"h_l!')y"</f>
        <v>#VALUE!</v>
      </c>
      <c r="HH126" t="e">
        <f>'Compiled Agents'!E26+"h_l!')z"</f>
        <v>#VALUE!</v>
      </c>
      <c r="HI126" t="e">
        <f>'Compiled Agents'!F26+"h_l!'){"</f>
        <v>#VALUE!</v>
      </c>
      <c r="HJ126" t="e">
        <f>'Compiled Agents'!G26+"h_l!')|"</f>
        <v>#VALUE!</v>
      </c>
      <c r="HK126" t="e">
        <f>'Compiled Agents'!H26+"h_l!')}"</f>
        <v>#VALUE!</v>
      </c>
      <c r="HL126" t="e">
        <f>'Compiled Agents'!#REF!+"h_l!')~"</f>
        <v>#REF!</v>
      </c>
      <c r="HM126" t="e">
        <f>'Compiled Agents'!#REF!+"h_l!'.#"</f>
        <v>#REF!</v>
      </c>
      <c r="HN126" t="e">
        <f>'Compiled Agents'!#REF!+"h_l!'.$"</f>
        <v>#REF!</v>
      </c>
      <c r="HO126" t="e">
        <f>'Compiled Agents'!#REF!+"h_l!'.%"</f>
        <v>#REF!</v>
      </c>
      <c r="HP126" t="e">
        <f>'Compiled Agents'!#REF!+"h_l!'.&amp;"</f>
        <v>#REF!</v>
      </c>
      <c r="HQ126" t="e">
        <f>'Compiled Agents'!#REF!+"h_l!'.'"</f>
        <v>#REF!</v>
      </c>
      <c r="HR126" t="e">
        <f>'Compiled Agents'!#REF!+"h_l!'.("</f>
        <v>#REF!</v>
      </c>
      <c r="HS126" t="e">
        <f>'Compiled Agents'!A27+"h_l!'.)"</f>
        <v>#VALUE!</v>
      </c>
      <c r="HT126" t="e">
        <f>'Compiled Agents'!B27+"h_l!'.."</f>
        <v>#VALUE!</v>
      </c>
      <c r="HU126" t="e">
        <f>'Compiled Agents'!C27+"h_l!'./"</f>
        <v>#VALUE!</v>
      </c>
      <c r="HV126" t="e">
        <f>'Compiled Agents'!E27+"h_l!'.0"</f>
        <v>#VALUE!</v>
      </c>
      <c r="HW126" t="e">
        <f>'Compiled Agents'!F27+"h_l!'.1"</f>
        <v>#VALUE!</v>
      </c>
      <c r="HX126" t="e">
        <f>'Compiled Agents'!G27+"h_l!'.2"</f>
        <v>#VALUE!</v>
      </c>
      <c r="HY126" t="e">
        <f>'Compiled Agents'!H27+"h_l!'.3"</f>
        <v>#VALUE!</v>
      </c>
      <c r="HZ126" t="e">
        <f>'Compiled Agents'!#REF!+"h_l!'.4"</f>
        <v>#REF!</v>
      </c>
      <c r="IA126" t="e">
        <f>'Compiled Agents'!#REF!+"h_l!'.5"</f>
        <v>#REF!</v>
      </c>
      <c r="IB126" t="e">
        <f>'Compiled Agents'!#REF!+"h_l!'.6"</f>
        <v>#REF!</v>
      </c>
      <c r="IC126" t="e">
        <f>'Compiled Agents'!#REF!+"h_l!'.7"</f>
        <v>#REF!</v>
      </c>
      <c r="ID126" t="e">
        <f>'Compiled Agents'!#REF!+"h_l!'.8"</f>
        <v>#REF!</v>
      </c>
      <c r="IE126" t="e">
        <f>'Compiled Agents'!#REF!+"h_l!'.9"</f>
        <v>#REF!</v>
      </c>
      <c r="IF126" t="e">
        <f>'Compiled Agents'!#REF!+"h_l!'.:"</f>
        <v>#REF!</v>
      </c>
      <c r="IG126" t="e">
        <f>'Compiled Agents'!A28+"h_l!'.;"</f>
        <v>#VALUE!</v>
      </c>
      <c r="IH126" t="e">
        <f>'Compiled Agents'!B28+"h_l!'.&lt;"</f>
        <v>#VALUE!</v>
      </c>
      <c r="II126" t="e">
        <f>'Compiled Agents'!C28+"h_l!'.="</f>
        <v>#VALUE!</v>
      </c>
      <c r="IJ126" t="e">
        <f>'Compiled Agents'!E28+"h_l!'.&gt;"</f>
        <v>#VALUE!</v>
      </c>
      <c r="IK126" t="e">
        <f>'Compiled Agents'!F28+"h_l!'.?"</f>
        <v>#VALUE!</v>
      </c>
      <c r="IL126" t="e">
        <f>'Compiled Agents'!G28+"h_l!'.@"</f>
        <v>#VALUE!</v>
      </c>
      <c r="IM126" t="e">
        <f>'Compiled Agents'!H28+"h_l!'.A"</f>
        <v>#VALUE!</v>
      </c>
      <c r="IN126" t="e">
        <f>'Compiled Agents'!#REF!+"h_l!'.B"</f>
        <v>#REF!</v>
      </c>
      <c r="IO126" t="e">
        <f>'Compiled Agents'!#REF!+"h_l!'.C"</f>
        <v>#REF!</v>
      </c>
      <c r="IP126" t="e">
        <f>'Compiled Agents'!#REF!+"h_l!'.D"</f>
        <v>#REF!</v>
      </c>
      <c r="IQ126" t="e">
        <f>'Compiled Agents'!#REF!+"h_l!'.E"</f>
        <v>#REF!</v>
      </c>
      <c r="IR126" t="e">
        <f>'Compiled Agents'!#REF!+"h_l!'.F"</f>
        <v>#REF!</v>
      </c>
      <c r="IS126" t="e">
        <f>'Compiled Agents'!#REF!+"h_l!'.G"</f>
        <v>#REF!</v>
      </c>
      <c r="IT126" t="e">
        <f>'Compiled Agents'!#REF!+"h_l!'.H"</f>
        <v>#REF!</v>
      </c>
      <c r="IU126" t="e">
        <f>'Compiled Agents'!A29+"h_l!'.I"</f>
        <v>#VALUE!</v>
      </c>
      <c r="IV126" t="e">
        <f>'Compiled Agents'!B29+"h_l!'.J"</f>
        <v>#VALUE!</v>
      </c>
    </row>
    <row r="127" spans="6:256" x14ac:dyDescent="0.25">
      <c r="F127" t="e">
        <f>'Compiled Agents'!C29+"h_l!'.K"</f>
        <v>#VALUE!</v>
      </c>
      <c r="G127" t="e">
        <f>'Compiled Agents'!E29+"h_l!'.L"</f>
        <v>#VALUE!</v>
      </c>
      <c r="H127" t="e">
        <f>'Compiled Agents'!F29+"h_l!'.M"</f>
        <v>#VALUE!</v>
      </c>
      <c r="I127" t="e">
        <f>'Compiled Agents'!G29+"h_l!'.N"</f>
        <v>#VALUE!</v>
      </c>
      <c r="J127" t="e">
        <f>'Compiled Agents'!H29+"h_l!'.O"</f>
        <v>#VALUE!</v>
      </c>
      <c r="K127" t="e">
        <f>'Compiled Agents'!#REF!+"h_l!'.P"</f>
        <v>#REF!</v>
      </c>
      <c r="L127" t="e">
        <f>'Compiled Agents'!#REF!+"h_l!'.Q"</f>
        <v>#REF!</v>
      </c>
      <c r="M127" t="e">
        <f>'Compiled Agents'!#REF!+"h_l!'.R"</f>
        <v>#REF!</v>
      </c>
      <c r="N127" t="e">
        <f>'Compiled Agents'!#REF!+"h_l!'.S"</f>
        <v>#REF!</v>
      </c>
      <c r="O127" t="e">
        <f>'Compiled Agents'!#REF!+"h_l!'.T"</f>
        <v>#REF!</v>
      </c>
      <c r="P127" t="e">
        <f>'Compiled Agents'!#REF!+"h_l!'.U"</f>
        <v>#REF!</v>
      </c>
      <c r="Q127" t="e">
        <f>'Compiled Agents'!#REF!+"h_l!'.V"</f>
        <v>#REF!</v>
      </c>
      <c r="R127" t="e">
        <f>'Compiled Agents'!A30+"h_l!'.W"</f>
        <v>#VALUE!</v>
      </c>
      <c r="S127" t="e">
        <f>'Compiled Agents'!B30+"h_l!'.X"</f>
        <v>#VALUE!</v>
      </c>
      <c r="T127" t="e">
        <f>'Compiled Agents'!C30+"h_l!'.Y"</f>
        <v>#VALUE!</v>
      </c>
      <c r="U127" t="e">
        <f>'Compiled Agents'!E30+"h_l!'.Z"</f>
        <v>#VALUE!</v>
      </c>
      <c r="V127" t="e">
        <f>'Compiled Agents'!F30+"h_l!'.["</f>
        <v>#VALUE!</v>
      </c>
      <c r="W127" t="e">
        <f>'Compiled Agents'!G30+"h_l!'.\"</f>
        <v>#VALUE!</v>
      </c>
      <c r="X127" t="e">
        <f>'Compiled Agents'!H30+"h_l!'.]"</f>
        <v>#VALUE!</v>
      </c>
      <c r="Y127" t="e">
        <f>'Compiled Agents'!#REF!+"h_l!'.^"</f>
        <v>#REF!</v>
      </c>
      <c r="Z127" t="e">
        <f>'Compiled Agents'!#REF!+"h_l!'._"</f>
        <v>#REF!</v>
      </c>
      <c r="AA127" t="e">
        <f>'Compiled Agents'!#REF!+"h_l!'.`"</f>
        <v>#REF!</v>
      </c>
      <c r="AB127" t="e">
        <f>'Compiled Agents'!#REF!+"h_l!'.a"</f>
        <v>#REF!</v>
      </c>
      <c r="AC127" t="e">
        <f>'Compiled Agents'!#REF!+"h_l!'.b"</f>
        <v>#REF!</v>
      </c>
      <c r="AD127" t="e">
        <f>'Compiled Agents'!#REF!+"h_l!'.c"</f>
        <v>#REF!</v>
      </c>
      <c r="AE127" t="e">
        <f>'Compiled Agents'!#REF!+"h_l!'.d"</f>
        <v>#REF!</v>
      </c>
      <c r="AF127" t="e">
        <f>'Compiled Agents'!A31+"h_l!'.e"</f>
        <v>#VALUE!</v>
      </c>
      <c r="AG127" t="e">
        <f>'Compiled Agents'!B31+"h_l!'.f"</f>
        <v>#VALUE!</v>
      </c>
      <c r="AH127" t="e">
        <f>'Compiled Agents'!C31+"h_l!'.g"</f>
        <v>#VALUE!</v>
      </c>
      <c r="AI127" t="e">
        <f>'Compiled Agents'!E31+"h_l!'.h"</f>
        <v>#VALUE!</v>
      </c>
      <c r="AJ127" t="e">
        <f>'Compiled Agents'!F31+"h_l!'.i"</f>
        <v>#VALUE!</v>
      </c>
      <c r="AK127" t="e">
        <f>'Compiled Agents'!G31+"h_l!'.j"</f>
        <v>#VALUE!</v>
      </c>
      <c r="AL127" t="e">
        <f>'Compiled Agents'!H31+"h_l!'.k"</f>
        <v>#VALUE!</v>
      </c>
      <c r="AM127" t="e">
        <f>'Compiled Agents'!#REF!+"h_l!'.l"</f>
        <v>#REF!</v>
      </c>
      <c r="AN127" t="e">
        <f>'Compiled Agents'!#REF!+"h_l!'.m"</f>
        <v>#REF!</v>
      </c>
      <c r="AO127" t="e">
        <f>'Compiled Agents'!#REF!+"h_l!'.n"</f>
        <v>#REF!</v>
      </c>
      <c r="AP127" t="e">
        <f>'Compiled Agents'!#REF!+"h_l!'.o"</f>
        <v>#REF!</v>
      </c>
      <c r="AQ127" t="e">
        <f>'Compiled Agents'!#REF!+"h_l!'.p"</f>
        <v>#REF!</v>
      </c>
      <c r="AR127" t="e">
        <f>'Compiled Agents'!#REF!+"h_l!'.q"</f>
        <v>#REF!</v>
      </c>
      <c r="AS127" t="e">
        <f>'Compiled Agents'!#REF!+"h_l!'.r"</f>
        <v>#REF!</v>
      </c>
      <c r="AT127" t="e">
        <f>'Compiled Agents'!A32+"h_l!'.s"</f>
        <v>#VALUE!</v>
      </c>
      <c r="AU127" t="e">
        <f>'Compiled Agents'!B32+"h_l!'.t"</f>
        <v>#VALUE!</v>
      </c>
      <c r="AV127" t="e">
        <f>'Compiled Agents'!C32+"h_l!'.u"</f>
        <v>#VALUE!</v>
      </c>
      <c r="AW127" t="e">
        <f>'Compiled Agents'!E32+"h_l!'.v"</f>
        <v>#VALUE!</v>
      </c>
      <c r="AX127" t="e">
        <f>'Compiled Agents'!F32+"h_l!'.w"</f>
        <v>#VALUE!</v>
      </c>
      <c r="AY127" t="e">
        <f>'Compiled Agents'!G32+"h_l!'.x"</f>
        <v>#VALUE!</v>
      </c>
      <c r="AZ127" t="e">
        <f>'Compiled Agents'!H32+"h_l!'.y"</f>
        <v>#VALUE!</v>
      </c>
      <c r="BA127" t="e">
        <f>'Compiled Agents'!#REF!+"h_l!'.z"</f>
        <v>#REF!</v>
      </c>
      <c r="BB127" t="e">
        <f>'Compiled Agents'!#REF!+"h_l!'.{"</f>
        <v>#REF!</v>
      </c>
      <c r="BC127" t="e">
        <f>'Compiled Agents'!#REF!+"h_l!'.|"</f>
        <v>#REF!</v>
      </c>
      <c r="BD127" t="e">
        <f>'Compiled Agents'!#REF!+"h_l!'.}"</f>
        <v>#REF!</v>
      </c>
      <c r="BE127" t="e">
        <f>'Compiled Agents'!#REF!+"h_l!'.~"</f>
        <v>#REF!</v>
      </c>
      <c r="BF127" t="e">
        <f>'Compiled Agents'!#REF!+"h_l!'/#"</f>
        <v>#REF!</v>
      </c>
      <c r="BG127" t="e">
        <f>'Compiled Agents'!#REF!+"h_l!'/$"</f>
        <v>#REF!</v>
      </c>
      <c r="BH127" t="e">
        <f>'Compiled Agents'!A33+"h_l!'/%"</f>
        <v>#VALUE!</v>
      </c>
      <c r="BI127" t="e">
        <f>'Compiled Agents'!B33+"h_l!'/&amp;"</f>
        <v>#VALUE!</v>
      </c>
      <c r="BJ127" t="e">
        <f>'Compiled Agents'!C33+"h_l!'/'"</f>
        <v>#VALUE!</v>
      </c>
      <c r="BK127" t="e">
        <f>'Compiled Agents'!E33+"h_l!'/("</f>
        <v>#VALUE!</v>
      </c>
      <c r="BL127" t="e">
        <f>'Compiled Agents'!F33+"h_l!'/)"</f>
        <v>#VALUE!</v>
      </c>
      <c r="BM127" t="e">
        <f>'Compiled Agents'!G33+"h_l!'/."</f>
        <v>#VALUE!</v>
      </c>
      <c r="BN127" t="e">
        <f>'Compiled Agents'!H33+"h_l!'//"</f>
        <v>#VALUE!</v>
      </c>
      <c r="BO127" t="e">
        <f>'Compiled Agents'!#REF!+"h_l!'/0"</f>
        <v>#REF!</v>
      </c>
      <c r="BP127" t="e">
        <f>'Compiled Agents'!#REF!+"h_l!'/1"</f>
        <v>#REF!</v>
      </c>
      <c r="BQ127" t="e">
        <f>'Compiled Agents'!#REF!+"h_l!'/2"</f>
        <v>#REF!</v>
      </c>
      <c r="BR127" t="e">
        <f>'Compiled Agents'!#REF!+"h_l!'/3"</f>
        <v>#REF!</v>
      </c>
      <c r="BS127" t="e">
        <f>'Compiled Agents'!#REF!+"h_l!'/4"</f>
        <v>#REF!</v>
      </c>
      <c r="BT127" t="e">
        <f>'Compiled Agents'!#REF!+"h_l!'/5"</f>
        <v>#REF!</v>
      </c>
      <c r="BU127" t="e">
        <f>'Compiled Agents'!#REF!+"h_l!'/6"</f>
        <v>#REF!</v>
      </c>
      <c r="BV127" t="e">
        <f>'Compiled Agents'!A34+"h_l!'/7"</f>
        <v>#VALUE!</v>
      </c>
      <c r="BW127" t="e">
        <f>'Compiled Agents'!B34+"h_l!'/8"</f>
        <v>#VALUE!</v>
      </c>
      <c r="BX127" t="e">
        <f>'Compiled Agents'!C34+"h_l!'/9"</f>
        <v>#VALUE!</v>
      </c>
      <c r="BY127" t="e">
        <f>'Compiled Agents'!E34+"h_l!'/:"</f>
        <v>#VALUE!</v>
      </c>
      <c r="BZ127" t="e">
        <f>'Compiled Agents'!F34+"h_l!'/;"</f>
        <v>#VALUE!</v>
      </c>
      <c r="CA127" t="e">
        <f>'Compiled Agents'!G34+"h_l!'/&lt;"</f>
        <v>#VALUE!</v>
      </c>
      <c r="CB127" t="e">
        <f>'Compiled Agents'!H34+"h_l!'/="</f>
        <v>#VALUE!</v>
      </c>
      <c r="CC127" t="e">
        <f>'Compiled Agents'!#REF!+"h_l!'/&gt;"</f>
        <v>#REF!</v>
      </c>
      <c r="CD127" t="e">
        <f>'Compiled Agents'!#REF!+"h_l!'/?"</f>
        <v>#REF!</v>
      </c>
      <c r="CE127" t="e">
        <f>'Compiled Agents'!#REF!+"h_l!'/@"</f>
        <v>#REF!</v>
      </c>
      <c r="CF127" t="e">
        <f>'Compiled Agents'!#REF!+"h_l!'/A"</f>
        <v>#REF!</v>
      </c>
      <c r="CG127" t="e">
        <f>'Compiled Agents'!#REF!+"h_l!'/B"</f>
        <v>#REF!</v>
      </c>
      <c r="CH127" t="e">
        <f>'Compiled Agents'!#REF!+"h_l!'/C"</f>
        <v>#REF!</v>
      </c>
      <c r="CI127" t="e">
        <f>'Compiled Agents'!#REF!+"h_l!'/D"</f>
        <v>#REF!</v>
      </c>
      <c r="CJ127" t="e">
        <f>'Compiled Agents'!A35+"h_l!'/E"</f>
        <v>#VALUE!</v>
      </c>
      <c r="CK127" t="e">
        <f>'Compiled Agents'!B35+"h_l!'/F"</f>
        <v>#VALUE!</v>
      </c>
      <c r="CL127" t="e">
        <f>'Compiled Agents'!C35+"h_l!'/G"</f>
        <v>#VALUE!</v>
      </c>
      <c r="CM127" t="e">
        <f>'Compiled Agents'!E35+"h_l!'/H"</f>
        <v>#VALUE!</v>
      </c>
      <c r="CN127" t="e">
        <f>'Compiled Agents'!F35+"h_l!'/I"</f>
        <v>#VALUE!</v>
      </c>
      <c r="CO127" t="e">
        <f>'Compiled Agents'!G35+"h_l!'/J"</f>
        <v>#VALUE!</v>
      </c>
      <c r="CP127" t="e">
        <f>'Compiled Agents'!H35+"h_l!'/K"</f>
        <v>#VALUE!</v>
      </c>
      <c r="CQ127" t="e">
        <f>'Compiled Agents'!#REF!+"h_l!'/L"</f>
        <v>#REF!</v>
      </c>
      <c r="CR127" t="e">
        <f>'Compiled Agents'!#REF!+"h_l!'/M"</f>
        <v>#REF!</v>
      </c>
      <c r="CS127" t="e">
        <f>'Compiled Agents'!#REF!+"h_l!'/N"</f>
        <v>#REF!</v>
      </c>
      <c r="CT127" t="e">
        <f>'Compiled Agents'!#REF!+"h_l!'/O"</f>
        <v>#REF!</v>
      </c>
      <c r="CU127" t="e">
        <f>'Compiled Agents'!#REF!+"h_l!'/P"</f>
        <v>#REF!</v>
      </c>
      <c r="CV127" t="e">
        <f>'Compiled Agents'!#REF!+"h_l!'/Q"</f>
        <v>#REF!</v>
      </c>
      <c r="CW127" t="e">
        <f>'Compiled Agents'!#REF!+"h_l!'/R"</f>
        <v>#REF!</v>
      </c>
      <c r="CX127" t="e">
        <f>'Compiled Agents'!A36+"h_l!'/S"</f>
        <v>#VALUE!</v>
      </c>
      <c r="CY127" t="e">
        <f>'Compiled Agents'!B36+"h_l!'/T"</f>
        <v>#VALUE!</v>
      </c>
      <c r="CZ127" t="e">
        <f>'Compiled Agents'!C36+"h_l!'/U"</f>
        <v>#VALUE!</v>
      </c>
      <c r="DA127" t="e">
        <f>'Compiled Agents'!E36+"h_l!'/V"</f>
        <v>#VALUE!</v>
      </c>
      <c r="DB127" t="e">
        <f>'Compiled Agents'!F36+"h_l!'/W"</f>
        <v>#VALUE!</v>
      </c>
      <c r="DC127" t="e">
        <f>'Compiled Agents'!G36+"h_l!'/X"</f>
        <v>#VALUE!</v>
      </c>
      <c r="DD127" t="e">
        <f>'Compiled Agents'!H36+"h_l!'/Y"</f>
        <v>#VALUE!</v>
      </c>
      <c r="DE127" t="e">
        <f>'Compiled Agents'!#REF!+"h_l!'/Z"</f>
        <v>#REF!</v>
      </c>
      <c r="DF127" t="e">
        <f>'Compiled Agents'!#REF!+"h_l!'/["</f>
        <v>#REF!</v>
      </c>
      <c r="DG127" t="e">
        <f>'Compiled Agents'!#REF!+"h_l!'/\"</f>
        <v>#REF!</v>
      </c>
      <c r="DH127" t="e">
        <f>'Compiled Agents'!#REF!+"h_l!'/]"</f>
        <v>#REF!</v>
      </c>
      <c r="DI127" t="e">
        <f>'Compiled Agents'!#REF!+"h_l!'/^"</f>
        <v>#REF!</v>
      </c>
      <c r="DJ127" t="e">
        <f>'Compiled Agents'!#REF!+"h_l!'/_"</f>
        <v>#REF!</v>
      </c>
      <c r="DK127" t="e">
        <f>'Compiled Agents'!#REF!+"h_l!'/`"</f>
        <v>#REF!</v>
      </c>
      <c r="DL127" t="e">
        <f>'Compiled Agents'!A37+"h_l!'/a"</f>
        <v>#VALUE!</v>
      </c>
      <c r="DM127" t="e">
        <f>'Compiled Agents'!B37+"h_l!'/b"</f>
        <v>#VALUE!</v>
      </c>
      <c r="DN127" t="e">
        <f>'Compiled Agents'!C37+"h_l!'/c"</f>
        <v>#VALUE!</v>
      </c>
      <c r="DO127" t="e">
        <f>'Compiled Agents'!E37+"h_l!'/d"</f>
        <v>#VALUE!</v>
      </c>
      <c r="DP127" t="e">
        <f>'Compiled Agents'!F37+"h_l!'/e"</f>
        <v>#VALUE!</v>
      </c>
      <c r="DQ127" t="e">
        <f>'Compiled Agents'!G37+"h_l!'/f"</f>
        <v>#VALUE!</v>
      </c>
      <c r="DR127" t="e">
        <f>'Compiled Agents'!H37+"h_l!'/g"</f>
        <v>#VALUE!</v>
      </c>
      <c r="DS127" t="e">
        <f>'Compiled Agents'!#REF!+"h_l!'/h"</f>
        <v>#REF!</v>
      </c>
      <c r="DT127" t="e">
        <f>'Compiled Agents'!#REF!+"h_l!'/i"</f>
        <v>#REF!</v>
      </c>
      <c r="DU127" t="e">
        <f>'Compiled Agents'!#REF!+"h_l!'/j"</f>
        <v>#REF!</v>
      </c>
      <c r="DV127" t="e">
        <f>'Compiled Agents'!#REF!+"h_l!'/k"</f>
        <v>#REF!</v>
      </c>
      <c r="DW127" t="e">
        <f>'Compiled Agents'!#REF!+"h_l!'/l"</f>
        <v>#REF!</v>
      </c>
      <c r="DX127" t="e">
        <f>'Compiled Agents'!#REF!+"h_l!'/m"</f>
        <v>#REF!</v>
      </c>
      <c r="DY127" t="e">
        <f>'Compiled Agents'!#REF!+"h_l!'/n"</f>
        <v>#REF!</v>
      </c>
      <c r="DZ127" t="e">
        <f>'Compiled Agents'!A38+"h_l!'/o"</f>
        <v>#VALUE!</v>
      </c>
      <c r="EA127" t="e">
        <f>'Compiled Agents'!B38+"h_l!'/p"</f>
        <v>#VALUE!</v>
      </c>
      <c r="EB127" t="e">
        <f>'Compiled Agents'!C38+"h_l!'/q"</f>
        <v>#VALUE!</v>
      </c>
      <c r="EC127" t="e">
        <f>'Compiled Agents'!E38+"h_l!'/r"</f>
        <v>#VALUE!</v>
      </c>
      <c r="ED127" t="e">
        <f>'Compiled Agents'!F38+"h_l!'/s"</f>
        <v>#VALUE!</v>
      </c>
      <c r="EE127" t="e">
        <f>'Compiled Agents'!G38+"h_l!'/t"</f>
        <v>#VALUE!</v>
      </c>
      <c r="EF127" t="e">
        <f>'Compiled Agents'!H38+"h_l!'/u"</f>
        <v>#VALUE!</v>
      </c>
      <c r="EG127" t="e">
        <f>'Compiled Agents'!#REF!+"h_l!'/v"</f>
        <v>#REF!</v>
      </c>
      <c r="EH127" t="e">
        <f>'Compiled Agents'!#REF!+"h_l!'/w"</f>
        <v>#REF!</v>
      </c>
      <c r="EI127" t="e">
        <f>'Compiled Agents'!#REF!+"h_l!'/x"</f>
        <v>#REF!</v>
      </c>
      <c r="EJ127" t="e">
        <f>'Compiled Agents'!#REF!+"h_l!'/y"</f>
        <v>#REF!</v>
      </c>
      <c r="EK127" t="e">
        <f>'Compiled Agents'!#REF!+"h_l!'/z"</f>
        <v>#REF!</v>
      </c>
      <c r="EL127" t="e">
        <f>'Compiled Agents'!#REF!+"h_l!'/{"</f>
        <v>#REF!</v>
      </c>
      <c r="EM127" t="e">
        <f>'Compiled Agents'!#REF!+"h_l!'/|"</f>
        <v>#REF!</v>
      </c>
      <c r="EN127" t="e">
        <f>'Compiled Agents'!A39+"h_l!'/}"</f>
        <v>#VALUE!</v>
      </c>
      <c r="EO127" t="e">
        <f>'Compiled Agents'!B39+"h_l!'/~"</f>
        <v>#VALUE!</v>
      </c>
      <c r="EP127" t="e">
        <f>'Compiled Agents'!C39+"h_l!'0#"</f>
        <v>#VALUE!</v>
      </c>
      <c r="EQ127" t="e">
        <f>'Compiled Agents'!E39+"h_l!'0$"</f>
        <v>#VALUE!</v>
      </c>
      <c r="ER127" t="e">
        <f>'Compiled Agents'!F39+"h_l!'0%"</f>
        <v>#VALUE!</v>
      </c>
      <c r="ES127" t="e">
        <f>'Compiled Agents'!G39+"h_l!'0&amp;"</f>
        <v>#VALUE!</v>
      </c>
      <c r="ET127" t="e">
        <f>'Compiled Agents'!H39+"h_l!'0'"</f>
        <v>#VALUE!</v>
      </c>
      <c r="EU127" t="e">
        <f>'Compiled Agents'!#REF!+"h_l!'0("</f>
        <v>#REF!</v>
      </c>
      <c r="EV127" t="e">
        <f>'Compiled Agents'!#REF!+"h_l!'0)"</f>
        <v>#REF!</v>
      </c>
      <c r="EW127" t="e">
        <f>'Compiled Agents'!#REF!+"h_l!'0."</f>
        <v>#REF!</v>
      </c>
      <c r="EX127" t="e">
        <f>'Compiled Agents'!#REF!+"h_l!'0/"</f>
        <v>#REF!</v>
      </c>
      <c r="EY127" t="e">
        <f>'Compiled Agents'!#REF!+"h_l!'00"</f>
        <v>#REF!</v>
      </c>
      <c r="EZ127" t="e">
        <f>'Compiled Agents'!#REF!+"h_l!'01"</f>
        <v>#REF!</v>
      </c>
      <c r="FA127" t="e">
        <f>'Compiled Agents'!#REF!+"h_l!'02"</f>
        <v>#REF!</v>
      </c>
      <c r="FB127" t="e">
        <f>'Compiled Agents'!A40+"h_l!'03"</f>
        <v>#VALUE!</v>
      </c>
      <c r="FC127" t="e">
        <f>'Compiled Agents'!B40+"h_l!'04"</f>
        <v>#VALUE!</v>
      </c>
      <c r="FD127" t="e">
        <f>'Compiled Agents'!C40+"h_l!'05"</f>
        <v>#VALUE!</v>
      </c>
      <c r="FE127" t="e">
        <f>'Compiled Agents'!E40+"h_l!'06"</f>
        <v>#VALUE!</v>
      </c>
      <c r="FF127" t="e">
        <f>'Compiled Agents'!F40+"h_l!'07"</f>
        <v>#VALUE!</v>
      </c>
      <c r="FG127" t="e">
        <f>'Compiled Agents'!G40+"h_l!'08"</f>
        <v>#VALUE!</v>
      </c>
      <c r="FH127" t="e">
        <f>'Compiled Agents'!H40+"h_l!'09"</f>
        <v>#VALUE!</v>
      </c>
      <c r="FI127" t="e">
        <f>'Compiled Agents'!#REF!+"h_l!'0:"</f>
        <v>#REF!</v>
      </c>
      <c r="FJ127" t="e">
        <f>'Compiled Agents'!#REF!+"h_l!'0;"</f>
        <v>#REF!</v>
      </c>
      <c r="FK127" t="e">
        <f>'Compiled Agents'!#REF!+"h_l!'0&lt;"</f>
        <v>#REF!</v>
      </c>
      <c r="FL127" t="e">
        <f>'Compiled Agents'!#REF!+"h_l!'0="</f>
        <v>#REF!</v>
      </c>
      <c r="FM127" t="e">
        <f>'Compiled Agents'!#REF!+"h_l!'0&gt;"</f>
        <v>#REF!</v>
      </c>
      <c r="FN127" t="e">
        <f>'Compiled Agents'!#REF!+"h_l!'0?"</f>
        <v>#REF!</v>
      </c>
      <c r="FO127" t="e">
        <f>'Compiled Agents'!#REF!+"h_l!'0@"</f>
        <v>#REF!</v>
      </c>
      <c r="FP127" t="e">
        <f>'Compiled Agents'!A41+"h_l!'0A"</f>
        <v>#VALUE!</v>
      </c>
      <c r="FQ127" t="e">
        <f>'Compiled Agents'!B41+"h_l!'0B"</f>
        <v>#VALUE!</v>
      </c>
      <c r="FR127" t="e">
        <f>'Compiled Agents'!C41+"h_l!'0C"</f>
        <v>#VALUE!</v>
      </c>
      <c r="FS127" t="e">
        <f>'Compiled Agents'!E41+"h_l!'0D"</f>
        <v>#VALUE!</v>
      </c>
      <c r="FT127" t="e">
        <f>'Compiled Agents'!F41+"h_l!'0E"</f>
        <v>#VALUE!</v>
      </c>
      <c r="FU127" t="e">
        <f>'Compiled Agents'!G41+"h_l!'0F"</f>
        <v>#VALUE!</v>
      </c>
      <c r="FV127" t="e">
        <f>'Compiled Agents'!H41+"h_l!'0G"</f>
        <v>#VALUE!</v>
      </c>
      <c r="FW127" t="e">
        <f>'Compiled Agents'!#REF!+"h_l!'0H"</f>
        <v>#REF!</v>
      </c>
      <c r="FX127" t="e">
        <f>'Compiled Agents'!#REF!+"h_l!'0I"</f>
        <v>#REF!</v>
      </c>
      <c r="FY127" t="e">
        <f>'Compiled Agents'!#REF!+"h_l!'0J"</f>
        <v>#REF!</v>
      </c>
      <c r="FZ127" t="e">
        <f>'Compiled Agents'!#REF!+"h_l!'0K"</f>
        <v>#REF!</v>
      </c>
      <c r="GA127" t="e">
        <f>'Compiled Agents'!#REF!+"h_l!'0L"</f>
        <v>#REF!</v>
      </c>
      <c r="GB127" t="e">
        <f>'Compiled Agents'!#REF!+"h_l!'0M"</f>
        <v>#REF!</v>
      </c>
      <c r="GC127" t="e">
        <f>'Compiled Agents'!#REF!+"h_l!'0N"</f>
        <v>#REF!</v>
      </c>
      <c r="GD127" t="e">
        <f>'Compiled Agents'!A42+"h_l!'0O"</f>
        <v>#VALUE!</v>
      </c>
      <c r="GE127" t="e">
        <f>'Compiled Agents'!B42+"h_l!'0P"</f>
        <v>#VALUE!</v>
      </c>
      <c r="GF127" t="e">
        <f>'Compiled Agents'!C42+"h_l!'0Q"</f>
        <v>#VALUE!</v>
      </c>
      <c r="GG127" t="e">
        <f>'Compiled Agents'!E42+"h_l!'0R"</f>
        <v>#VALUE!</v>
      </c>
      <c r="GH127" t="e">
        <f>'Compiled Agents'!F42+"h_l!'0S"</f>
        <v>#VALUE!</v>
      </c>
      <c r="GI127" t="e">
        <f>'Compiled Agents'!G42+"h_l!'0T"</f>
        <v>#VALUE!</v>
      </c>
      <c r="GJ127" t="e">
        <f>'Compiled Agents'!H42+"h_l!'0U"</f>
        <v>#VALUE!</v>
      </c>
      <c r="GK127" t="e">
        <f>'Compiled Agents'!#REF!+"h_l!'0V"</f>
        <v>#REF!</v>
      </c>
      <c r="GL127" t="e">
        <f>'Compiled Agents'!#REF!+"h_l!'0W"</f>
        <v>#REF!</v>
      </c>
      <c r="GM127" t="e">
        <f>'Compiled Agents'!#REF!+"h_l!'0X"</f>
        <v>#REF!</v>
      </c>
      <c r="GN127" t="e">
        <f>'Compiled Agents'!#REF!+"h_l!'0Y"</f>
        <v>#REF!</v>
      </c>
      <c r="GO127" t="e">
        <f>'Compiled Agents'!#REF!+"h_l!'0Z"</f>
        <v>#REF!</v>
      </c>
      <c r="GP127" t="e">
        <f>'Compiled Agents'!#REF!+"h_l!'0["</f>
        <v>#REF!</v>
      </c>
      <c r="GQ127" t="e">
        <f>'Compiled Agents'!#REF!+"h_l!'0\"</f>
        <v>#REF!</v>
      </c>
      <c r="GR127" t="e">
        <f>'Compiled Agents'!A43+"h_l!'0]"</f>
        <v>#VALUE!</v>
      </c>
      <c r="GS127" t="e">
        <f>'Compiled Agents'!B43+"h_l!'0^"</f>
        <v>#VALUE!</v>
      </c>
      <c r="GT127" t="e">
        <f>'Compiled Agents'!C43+"h_l!'0_"</f>
        <v>#VALUE!</v>
      </c>
      <c r="GU127" t="e">
        <f>'Compiled Agents'!E43+"h_l!'0`"</f>
        <v>#VALUE!</v>
      </c>
      <c r="GV127" t="e">
        <f>'Compiled Agents'!F43+"h_l!'0a"</f>
        <v>#VALUE!</v>
      </c>
      <c r="GW127" t="e">
        <f>'Compiled Agents'!G43+"h_l!'0b"</f>
        <v>#VALUE!</v>
      </c>
      <c r="GX127" t="e">
        <f>'Compiled Agents'!H43+"h_l!'0c"</f>
        <v>#VALUE!</v>
      </c>
      <c r="GY127" t="e">
        <f>'Compiled Agents'!#REF!+"h_l!'0d"</f>
        <v>#REF!</v>
      </c>
      <c r="GZ127" t="e">
        <f>'Compiled Agents'!#REF!+"h_l!'0e"</f>
        <v>#REF!</v>
      </c>
      <c r="HA127" t="e">
        <f>'Compiled Agents'!#REF!+"h_l!'0f"</f>
        <v>#REF!</v>
      </c>
      <c r="HB127" t="e">
        <f>'Compiled Agents'!#REF!+"h_l!'0g"</f>
        <v>#REF!</v>
      </c>
      <c r="HC127" t="e">
        <f>'Compiled Agents'!#REF!+"h_l!'0h"</f>
        <v>#REF!</v>
      </c>
      <c r="HD127" t="e">
        <f>'Compiled Agents'!#REF!+"h_l!'0i"</f>
        <v>#REF!</v>
      </c>
      <c r="HE127" t="e">
        <f>'Compiled Agents'!#REF!+"h_l!'0j"</f>
        <v>#REF!</v>
      </c>
      <c r="HF127" t="e">
        <f>'Compiled Agents'!A44+"h_l!'0k"</f>
        <v>#VALUE!</v>
      </c>
      <c r="HG127" t="e">
        <f>'Compiled Agents'!B44+"h_l!'0l"</f>
        <v>#VALUE!</v>
      </c>
      <c r="HH127" t="e">
        <f>'Compiled Agents'!C44+"h_l!'0m"</f>
        <v>#VALUE!</v>
      </c>
      <c r="HI127" t="e">
        <f>'Compiled Agents'!E44+"h_l!'0n"</f>
        <v>#VALUE!</v>
      </c>
      <c r="HJ127" t="e">
        <f>'Compiled Agents'!F44+"h_l!'0o"</f>
        <v>#VALUE!</v>
      </c>
      <c r="HK127" t="e">
        <f>'Compiled Agents'!G44+"h_l!'0p"</f>
        <v>#VALUE!</v>
      </c>
      <c r="HL127" t="e">
        <f>'Compiled Agents'!H44+"h_l!'0q"</f>
        <v>#VALUE!</v>
      </c>
      <c r="HM127" t="e">
        <f>'Compiled Agents'!A45+"h_l!'0r"</f>
        <v>#VALUE!</v>
      </c>
      <c r="HN127" t="e">
        <f>'Compiled Agents'!B45+"h_l!'0s"</f>
        <v>#VALUE!</v>
      </c>
      <c r="HO127" t="e">
        <f>'Compiled Agents'!C45+"h_l!'0t"</f>
        <v>#VALUE!</v>
      </c>
      <c r="HP127" t="e">
        <f>'Compiled Agents'!E45+"h_l!'0u"</f>
        <v>#VALUE!</v>
      </c>
      <c r="HQ127" t="e">
        <f>'Compiled Agents'!F45+"h_l!'0v"</f>
        <v>#VALUE!</v>
      </c>
      <c r="HR127" t="e">
        <f>'Compiled Agents'!G45+"h_l!'0w"</f>
        <v>#VALUE!</v>
      </c>
      <c r="HS127" t="e">
        <f>'Compiled Agents'!H45+"h_l!'0x"</f>
        <v>#VALUE!</v>
      </c>
      <c r="HT127" t="e">
        <f>'Compiled Agents'!A46+"h_l!'0y"</f>
        <v>#VALUE!</v>
      </c>
      <c r="HU127" t="e">
        <f>'Compiled Agents'!B46+"h_l!'0z"</f>
        <v>#VALUE!</v>
      </c>
      <c r="HV127" t="e">
        <f>'Compiled Agents'!C46+"h_l!'0{"</f>
        <v>#VALUE!</v>
      </c>
      <c r="HW127" t="e">
        <f>'Compiled Agents'!E46+"h_l!'0|"</f>
        <v>#VALUE!</v>
      </c>
      <c r="HX127" t="e">
        <f>'Compiled Agents'!F46+"h_l!'0}"</f>
        <v>#VALUE!</v>
      </c>
      <c r="HY127" t="e">
        <f>'Compiled Agents'!G46+"h_l!'0~"</f>
        <v>#VALUE!</v>
      </c>
      <c r="HZ127" t="e">
        <f>'Compiled Agents'!H46+"h_l!'1#"</f>
        <v>#VALUE!</v>
      </c>
      <c r="IA127" t="e">
        <f>'Compiled Agents'!A47+"h_l!'1$"</f>
        <v>#VALUE!</v>
      </c>
      <c r="IB127" t="e">
        <f>'Compiled Agents'!B47+"h_l!'1%"</f>
        <v>#VALUE!</v>
      </c>
      <c r="IC127" t="e">
        <f>'Compiled Agents'!C47+"h_l!'1&amp;"</f>
        <v>#VALUE!</v>
      </c>
      <c r="ID127" t="e">
        <f>'Compiled Agents'!E47+"h_l!'1'"</f>
        <v>#VALUE!</v>
      </c>
      <c r="IE127" t="e">
        <f>'Compiled Agents'!F47+"h_l!'1("</f>
        <v>#VALUE!</v>
      </c>
      <c r="IF127" t="e">
        <f>'Compiled Agents'!G47+"h_l!'1)"</f>
        <v>#VALUE!</v>
      </c>
      <c r="IG127" t="e">
        <f>'Compiled Agents'!H47+"h_l!'1."</f>
        <v>#VALUE!</v>
      </c>
      <c r="IH127" t="e">
        <f>'Compiled Agents'!A48+"h_l!'1/"</f>
        <v>#VALUE!</v>
      </c>
      <c r="II127" t="e">
        <f>'Compiled Agents'!B48+"h_l!'10"</f>
        <v>#VALUE!</v>
      </c>
      <c r="IJ127" t="e">
        <f>'Compiled Agents'!C48+"h_l!'11"</f>
        <v>#VALUE!</v>
      </c>
      <c r="IK127" t="e">
        <f>'Compiled Agents'!E48+"h_l!'12"</f>
        <v>#VALUE!</v>
      </c>
      <c r="IL127" t="e">
        <f>'Compiled Agents'!F48+"h_l!'13"</f>
        <v>#VALUE!</v>
      </c>
      <c r="IM127" t="e">
        <f>'Compiled Agents'!G48+"h_l!'14"</f>
        <v>#VALUE!</v>
      </c>
      <c r="IN127" t="e">
        <f>'Compiled Agents'!H48+"h_l!'15"</f>
        <v>#VALUE!</v>
      </c>
      <c r="IO127" t="e">
        <f>'Compiled Agents'!A49+"h_l!'16"</f>
        <v>#VALUE!</v>
      </c>
      <c r="IP127" t="e">
        <f>'Compiled Agents'!B49+"h_l!'17"</f>
        <v>#VALUE!</v>
      </c>
      <c r="IQ127" t="e">
        <f>'Compiled Agents'!C49+"h_l!'18"</f>
        <v>#VALUE!</v>
      </c>
      <c r="IR127" t="e">
        <f>'Compiled Agents'!E49+"h_l!'19"</f>
        <v>#VALUE!</v>
      </c>
      <c r="IS127" t="e">
        <f>'Compiled Agents'!F49+"h_l!'1:"</f>
        <v>#VALUE!</v>
      </c>
      <c r="IT127" t="e">
        <f>'Compiled Agents'!G49+"h_l!'1;"</f>
        <v>#VALUE!</v>
      </c>
      <c r="IU127" t="e">
        <f>'Compiled Agents'!H49+"h_l!'1&lt;"</f>
        <v>#VALUE!</v>
      </c>
      <c r="IV127" t="e">
        <f>'Compiled Agents'!A50+"h_l!'1="</f>
        <v>#VALUE!</v>
      </c>
    </row>
    <row r="128" spans="6:256" x14ac:dyDescent="0.25">
      <c r="F128" t="e">
        <f>'Compiled Agents'!B50+"h_l!'1&gt;"</f>
        <v>#VALUE!</v>
      </c>
      <c r="G128" t="e">
        <f>'Compiled Agents'!C50+"h_l!'1?"</f>
        <v>#VALUE!</v>
      </c>
      <c r="H128" t="e">
        <f>'Compiled Agents'!E50+"h_l!'1@"</f>
        <v>#VALUE!</v>
      </c>
      <c r="I128" t="e">
        <f>'Compiled Agents'!F50+"h_l!'1A"</f>
        <v>#VALUE!</v>
      </c>
      <c r="J128" t="e">
        <f>'Compiled Agents'!G50+"h_l!'1B"</f>
        <v>#VALUE!</v>
      </c>
      <c r="K128" t="e">
        <f>'Compiled Agents'!H50+"h_l!'1C"</f>
        <v>#VALUE!</v>
      </c>
      <c r="L128" t="e">
        <f>'Compiled Agents'!A51+"h_l!'1D"</f>
        <v>#VALUE!</v>
      </c>
      <c r="M128" t="e">
        <f>'Compiled Agents'!B51+"h_l!'1E"</f>
        <v>#VALUE!</v>
      </c>
      <c r="N128" t="e">
        <f>'Compiled Agents'!C51+"h_l!'1F"</f>
        <v>#VALUE!</v>
      </c>
      <c r="O128" t="e">
        <f>'Compiled Agents'!E51+"h_l!'1G"</f>
        <v>#VALUE!</v>
      </c>
      <c r="P128" t="e">
        <f>'Compiled Agents'!F51+"h_l!'1H"</f>
        <v>#VALUE!</v>
      </c>
      <c r="Q128" t="e">
        <f>'Compiled Agents'!G51+"h_l!'1I"</f>
        <v>#VALUE!</v>
      </c>
      <c r="R128" t="e">
        <f>'Compiled Agents'!H51+"h_l!'1J"</f>
        <v>#VALUE!</v>
      </c>
      <c r="S128" t="e">
        <f>'Compiled Agents'!A52+"h_l!'1K"</f>
        <v>#VALUE!</v>
      </c>
      <c r="T128" t="e">
        <f>'Compiled Agents'!B52+"h_l!'1L"</f>
        <v>#VALUE!</v>
      </c>
      <c r="U128" t="e">
        <f>'Compiled Agents'!C52+"h_l!'1M"</f>
        <v>#VALUE!</v>
      </c>
      <c r="V128" t="e">
        <f>'Compiled Agents'!E52+"h_l!'1N"</f>
        <v>#VALUE!</v>
      </c>
      <c r="W128" t="e">
        <f>'Compiled Agents'!F52+"h_l!'1O"</f>
        <v>#VALUE!</v>
      </c>
      <c r="X128" t="e">
        <f>'Compiled Agents'!G52+"h_l!'1P"</f>
        <v>#VALUE!</v>
      </c>
      <c r="Y128" t="e">
        <f>'Compiled Agents'!H52+"h_l!'1Q"</f>
        <v>#VALUE!</v>
      </c>
      <c r="Z128" t="e">
        <f>'Compiled Agents'!A53+"h_l!'1R"</f>
        <v>#VALUE!</v>
      </c>
      <c r="AA128" t="e">
        <f>'Compiled Agents'!B53+"h_l!'1S"</f>
        <v>#VALUE!</v>
      </c>
      <c r="AB128" t="e">
        <f>'Compiled Agents'!C53+"h_l!'1T"</f>
        <v>#VALUE!</v>
      </c>
      <c r="AC128" t="e">
        <f>'Compiled Agents'!E53+"h_l!'1U"</f>
        <v>#VALUE!</v>
      </c>
      <c r="AD128" t="e">
        <f>'Compiled Agents'!F53+"h_l!'1V"</f>
        <v>#VALUE!</v>
      </c>
      <c r="AE128" t="e">
        <f>'Compiled Agents'!G53+"h_l!'1W"</f>
        <v>#VALUE!</v>
      </c>
      <c r="AF128" t="e">
        <f>'Compiled Agents'!H53+"h_l!'1X"</f>
        <v>#VALUE!</v>
      </c>
      <c r="AG128" t="e">
        <f>'Compiled Agents'!A54+"h_l!'1Y"</f>
        <v>#VALUE!</v>
      </c>
      <c r="AH128" t="e">
        <f>'Compiled Agents'!B54+"h_l!'1Z"</f>
        <v>#VALUE!</v>
      </c>
      <c r="AI128" t="e">
        <f>'Compiled Agents'!C54+"h_l!'1["</f>
        <v>#VALUE!</v>
      </c>
      <c r="AJ128" t="e">
        <f>'Compiled Agents'!E54+"h_l!'1\"</f>
        <v>#VALUE!</v>
      </c>
      <c r="AK128" t="e">
        <f>'Compiled Agents'!F54+"h_l!'1]"</f>
        <v>#VALUE!</v>
      </c>
      <c r="AL128" t="e">
        <f>'Compiled Agents'!G54+"h_l!'1^"</f>
        <v>#VALUE!</v>
      </c>
      <c r="AM128" t="e">
        <f>'Compiled Agents'!H54+"h_l!'1_"</f>
        <v>#VALUE!</v>
      </c>
      <c r="AN128" t="e">
        <f>'Compiled Agents'!A55+"h_l!'1`"</f>
        <v>#VALUE!</v>
      </c>
      <c r="AO128" t="e">
        <f>'Compiled Agents'!B55+"h_l!'1a"</f>
        <v>#VALUE!</v>
      </c>
      <c r="AP128" t="e">
        <f>'Compiled Agents'!C55+"h_l!'1b"</f>
        <v>#VALUE!</v>
      </c>
      <c r="AQ128" t="e">
        <f>'Compiled Agents'!E55+"h_l!'1c"</f>
        <v>#VALUE!</v>
      </c>
      <c r="AR128" t="e">
        <f>'Compiled Agents'!F55+"h_l!'1d"</f>
        <v>#VALUE!</v>
      </c>
      <c r="AS128" t="e">
        <f>'Compiled Agents'!G55+"h_l!'1e"</f>
        <v>#VALUE!</v>
      </c>
      <c r="AT128" t="e">
        <f>'Compiled Agents'!H55+"h_l!'1f"</f>
        <v>#VALUE!</v>
      </c>
      <c r="AU128" t="e">
        <f>'Compiled Agents'!A56+"h_l!'1g"</f>
        <v>#VALUE!</v>
      </c>
      <c r="AV128" t="e">
        <f>'Compiled Agents'!B56+"h_l!'1h"</f>
        <v>#VALUE!</v>
      </c>
      <c r="AW128" t="e">
        <f>'Compiled Agents'!C56+"h_l!'1i"</f>
        <v>#VALUE!</v>
      </c>
      <c r="AX128" t="e">
        <f>'Compiled Agents'!E56+"h_l!'1j"</f>
        <v>#VALUE!</v>
      </c>
      <c r="AY128" t="e">
        <f>'Compiled Agents'!F56+"h_l!'1k"</f>
        <v>#VALUE!</v>
      </c>
      <c r="AZ128" t="e">
        <f>'Compiled Agents'!G56+"h_l!'1l"</f>
        <v>#VALUE!</v>
      </c>
      <c r="BA128" t="e">
        <f>'Compiled Agents'!H56+"h_l!'1m"</f>
        <v>#VALUE!</v>
      </c>
      <c r="BB128" t="e">
        <f>'Compiled Agents'!A57+"h_l!'1n"</f>
        <v>#VALUE!</v>
      </c>
      <c r="BC128" t="e">
        <f>'Compiled Agents'!B57+"h_l!'1o"</f>
        <v>#VALUE!</v>
      </c>
      <c r="BD128" t="e">
        <f>'Compiled Agents'!C57+"h_l!'1p"</f>
        <v>#VALUE!</v>
      </c>
      <c r="BE128" t="e">
        <f>'Compiled Agents'!E57+"h_l!'1q"</f>
        <v>#VALUE!</v>
      </c>
      <c r="BF128" t="e">
        <f>'Compiled Agents'!F57+"h_l!'1r"</f>
        <v>#VALUE!</v>
      </c>
      <c r="BG128" t="e">
        <f>'Compiled Agents'!G57+"h_l!'1s"</f>
        <v>#VALUE!</v>
      </c>
      <c r="BH128" t="e">
        <f>'Compiled Agents'!H57+"h_l!'1t"</f>
        <v>#VALUE!</v>
      </c>
      <c r="BI128" t="e">
        <f>'Compiled Agents'!A58+"h_l!'1u"</f>
        <v>#VALUE!</v>
      </c>
      <c r="BJ128" t="e">
        <f>'Compiled Agents'!B58+"h_l!'1v"</f>
        <v>#VALUE!</v>
      </c>
      <c r="BK128" t="e">
        <f>'Compiled Agents'!C58+"h_l!'1w"</f>
        <v>#VALUE!</v>
      </c>
      <c r="BL128" t="e">
        <f>'Compiled Agents'!E58+"h_l!'1x"</f>
        <v>#VALUE!</v>
      </c>
      <c r="BM128" t="e">
        <f>'Compiled Agents'!F58+"h_l!'1y"</f>
        <v>#VALUE!</v>
      </c>
      <c r="BN128" t="e">
        <f>'Compiled Agents'!G58+"h_l!'1z"</f>
        <v>#VALUE!</v>
      </c>
      <c r="BO128" t="e">
        <f>'Compiled Agents'!H58+"h_l!'1{"</f>
        <v>#VALUE!</v>
      </c>
      <c r="BP128" t="e">
        <f>'Compiled Agents'!A59+"h_l!'1|"</f>
        <v>#VALUE!</v>
      </c>
      <c r="BQ128" t="e">
        <f>'Compiled Agents'!B59+"h_l!'1}"</f>
        <v>#VALUE!</v>
      </c>
      <c r="BR128" t="e">
        <f>'Compiled Agents'!C59+"h_l!'1~"</f>
        <v>#VALUE!</v>
      </c>
      <c r="BS128" t="e">
        <f>'Compiled Agents'!E59+"h_l!'2#"</f>
        <v>#VALUE!</v>
      </c>
      <c r="BT128" t="e">
        <f>'Compiled Agents'!F59+"h_l!'2$"</f>
        <v>#VALUE!</v>
      </c>
      <c r="BU128" t="e">
        <f>'Compiled Agents'!G59+"h_l!'2%"</f>
        <v>#VALUE!</v>
      </c>
      <c r="BV128" t="e">
        <f>'Compiled Agents'!H59+"h_l!'2&amp;"</f>
        <v>#VALUE!</v>
      </c>
      <c r="BW128" t="e">
        <f>'Compiled Agents'!A60+"h_l!'2'"</f>
        <v>#VALUE!</v>
      </c>
      <c r="BX128" t="e">
        <f>'Compiled Agents'!B60+"h_l!'2("</f>
        <v>#VALUE!</v>
      </c>
      <c r="BY128" t="e">
        <f>'Compiled Agents'!C60+"h_l!'2)"</f>
        <v>#VALUE!</v>
      </c>
      <c r="BZ128" t="e">
        <f>'Compiled Agents'!E60+"h_l!'2."</f>
        <v>#VALUE!</v>
      </c>
      <c r="CA128" t="e">
        <f>'Compiled Agents'!F60+"h_l!'2/"</f>
        <v>#VALUE!</v>
      </c>
      <c r="CB128" t="e">
        <f>'Compiled Agents'!G60+"h_l!'20"</f>
        <v>#VALUE!</v>
      </c>
      <c r="CC128" t="e">
        <f>'Compiled Agents'!H60+"h_l!'21"</f>
        <v>#VALUE!</v>
      </c>
      <c r="CD128" t="e">
        <f>'Compiled Agents'!A61+"h_l!'22"</f>
        <v>#VALUE!</v>
      </c>
      <c r="CE128" t="e">
        <f>'Compiled Agents'!B61+"h_l!'23"</f>
        <v>#VALUE!</v>
      </c>
      <c r="CF128" t="e">
        <f>'Compiled Agents'!C61+"h_l!'24"</f>
        <v>#VALUE!</v>
      </c>
      <c r="CG128" t="e">
        <f>'Compiled Agents'!E61+"h_l!'25"</f>
        <v>#VALUE!</v>
      </c>
      <c r="CH128" t="e">
        <f>'Compiled Agents'!F61+"h_l!'26"</f>
        <v>#VALUE!</v>
      </c>
      <c r="CI128" t="e">
        <f>'Compiled Agents'!G61+"h_l!'27"</f>
        <v>#VALUE!</v>
      </c>
      <c r="CJ128" t="e">
        <f>'Compiled Agents'!H61+"h_l!'28"</f>
        <v>#VALUE!</v>
      </c>
      <c r="CK128" t="e">
        <f>'Compiled Agents'!A62+"h_l!'29"</f>
        <v>#VALUE!</v>
      </c>
      <c r="CL128" t="e">
        <f>'Compiled Agents'!B62+"h_l!'2:"</f>
        <v>#VALUE!</v>
      </c>
      <c r="CM128" t="e">
        <f>'Compiled Agents'!C62+"h_l!'2;"</f>
        <v>#VALUE!</v>
      </c>
      <c r="CN128" t="e">
        <f>'Compiled Agents'!E62+"h_l!'2&lt;"</f>
        <v>#VALUE!</v>
      </c>
      <c r="CO128" t="e">
        <f>'Compiled Agents'!F62+"h_l!'2="</f>
        <v>#VALUE!</v>
      </c>
      <c r="CP128" t="e">
        <f>'Compiled Agents'!G62+"h_l!'2&gt;"</f>
        <v>#VALUE!</v>
      </c>
      <c r="CQ128" t="e">
        <f>'Compiled Agents'!H62+"h_l!'2?"</f>
        <v>#VALUE!</v>
      </c>
      <c r="CR128" t="e">
        <f>'Compiled Agents'!A63+"h_l!'2@"</f>
        <v>#VALUE!</v>
      </c>
      <c r="CS128" t="e">
        <f>'Compiled Agents'!B63+"h_l!'2A"</f>
        <v>#VALUE!</v>
      </c>
      <c r="CT128" t="e">
        <f>'Compiled Agents'!C63+"h_l!'2B"</f>
        <v>#VALUE!</v>
      </c>
      <c r="CU128" t="e">
        <f>'Compiled Agents'!E63+"h_l!'2C"</f>
        <v>#VALUE!</v>
      </c>
      <c r="CV128" t="e">
        <f>'Compiled Agents'!F63+"h_l!'2D"</f>
        <v>#VALUE!</v>
      </c>
      <c r="CW128" t="e">
        <f>'Compiled Agents'!G63+"h_l!'2E"</f>
        <v>#VALUE!</v>
      </c>
      <c r="CX128" t="e">
        <f>'Compiled Agents'!H63+"h_l!'2F"</f>
        <v>#VALUE!</v>
      </c>
      <c r="CY128" t="e">
        <f>'Compiled Agents'!A64+"h_l!'2G"</f>
        <v>#VALUE!</v>
      </c>
      <c r="CZ128" t="e">
        <f>'Compiled Agents'!B64+"h_l!'2H"</f>
        <v>#VALUE!</v>
      </c>
      <c r="DA128" t="e">
        <f>'Compiled Agents'!C64+"h_l!'2I"</f>
        <v>#VALUE!</v>
      </c>
      <c r="DB128" t="e">
        <f>'Compiled Agents'!E64+"h_l!'2J"</f>
        <v>#VALUE!</v>
      </c>
      <c r="DC128" t="e">
        <f>'Compiled Agents'!F64+"h_l!'2K"</f>
        <v>#VALUE!</v>
      </c>
      <c r="DD128" t="e">
        <f>'Compiled Agents'!G64+"h_l!'2L"</f>
        <v>#VALUE!</v>
      </c>
      <c r="DE128" t="e">
        <f>'Compiled Agents'!H64+"h_l!'2M"</f>
        <v>#VALUE!</v>
      </c>
      <c r="DF128" t="e">
        <f>'Compiled Agents'!A65+"h_l!'2N"</f>
        <v>#VALUE!</v>
      </c>
      <c r="DG128" t="e">
        <f>'Compiled Agents'!B65+"h_l!'2O"</f>
        <v>#VALUE!</v>
      </c>
      <c r="DH128" t="e">
        <f>'Compiled Agents'!C65+"h_l!'2P"</f>
        <v>#VALUE!</v>
      </c>
      <c r="DI128" t="e">
        <f>'Compiled Agents'!E65+"h_l!'2Q"</f>
        <v>#VALUE!</v>
      </c>
      <c r="DJ128" t="e">
        <f>'Compiled Agents'!F65+"h_l!'2R"</f>
        <v>#VALUE!</v>
      </c>
      <c r="DK128" t="e">
        <f>'Compiled Agents'!G65+"h_l!'2S"</f>
        <v>#VALUE!</v>
      </c>
      <c r="DL128" t="e">
        <f>'Compiled Agents'!H65+"h_l!'2T"</f>
        <v>#VALUE!</v>
      </c>
      <c r="DM128" t="e">
        <f>'Compiled Agents'!A66+"h_l!'2U"</f>
        <v>#VALUE!</v>
      </c>
      <c r="DN128" t="e">
        <f>'Compiled Agents'!B66+"h_l!'2V"</f>
        <v>#VALUE!</v>
      </c>
      <c r="DO128" t="e">
        <f>'Compiled Agents'!C66+"h_l!'2W"</f>
        <v>#VALUE!</v>
      </c>
      <c r="DP128" t="e">
        <f>'Compiled Agents'!E66+"h_l!'2X"</f>
        <v>#VALUE!</v>
      </c>
      <c r="DQ128" t="e">
        <f>'Compiled Agents'!F66+"h_l!'2Y"</f>
        <v>#VALUE!</v>
      </c>
      <c r="DR128" t="e">
        <f>'Compiled Agents'!G66+"h_l!'2Z"</f>
        <v>#VALUE!</v>
      </c>
      <c r="DS128" t="e">
        <f>'Compiled Agents'!H66+"h_l!'2["</f>
        <v>#VALUE!</v>
      </c>
      <c r="DT128" t="e">
        <f>'Compiled Agents'!A67+"h_l!'2\"</f>
        <v>#VALUE!</v>
      </c>
      <c r="DU128" t="e">
        <f>'Compiled Agents'!B67+"h_l!'2]"</f>
        <v>#VALUE!</v>
      </c>
      <c r="DV128" t="e">
        <f>'Compiled Agents'!C67+"h_l!'2^"</f>
        <v>#VALUE!</v>
      </c>
      <c r="DW128" t="e">
        <f>'Compiled Agents'!E67+"h_l!'2_"</f>
        <v>#VALUE!</v>
      </c>
      <c r="DX128" t="e">
        <f>'Compiled Agents'!F67+"h_l!'2`"</f>
        <v>#VALUE!</v>
      </c>
      <c r="DY128" t="e">
        <f>'Compiled Agents'!G67+"h_l!'2a"</f>
        <v>#VALUE!</v>
      </c>
      <c r="DZ128" t="e">
        <f>'Compiled Agents'!H67+"h_l!'2b"</f>
        <v>#VALUE!</v>
      </c>
      <c r="EA128" t="e">
        <f>'Compiled Agents'!A68+"h_l!'2c"</f>
        <v>#VALUE!</v>
      </c>
      <c r="EB128" t="e">
        <f>'Compiled Agents'!B68+"h_l!'2d"</f>
        <v>#VALUE!</v>
      </c>
      <c r="EC128" t="e">
        <f>'Compiled Agents'!C68+"h_l!'2e"</f>
        <v>#VALUE!</v>
      </c>
      <c r="ED128" t="e">
        <f>'Compiled Agents'!E68+"h_l!'2f"</f>
        <v>#VALUE!</v>
      </c>
      <c r="EE128" t="e">
        <f>'Compiled Agents'!F68+"h_l!'2g"</f>
        <v>#VALUE!</v>
      </c>
      <c r="EF128" t="e">
        <f>'Compiled Agents'!G68+"h_l!'2h"</f>
        <v>#VALUE!</v>
      </c>
      <c r="EG128" t="e">
        <f>'Compiled Agents'!H68+"h_l!'2i"</f>
        <v>#VALUE!</v>
      </c>
      <c r="EH128" t="e">
        <f>'Compiled Agents'!A69+"h_l!'2j"</f>
        <v>#VALUE!</v>
      </c>
      <c r="EI128" t="e">
        <f>'Compiled Agents'!B69+"h_l!'2k"</f>
        <v>#VALUE!</v>
      </c>
      <c r="EJ128" t="e">
        <f>'Compiled Agents'!C69+"h_l!'2l"</f>
        <v>#VALUE!</v>
      </c>
      <c r="EK128" t="e">
        <f>'Compiled Agents'!E69+"h_l!'2m"</f>
        <v>#VALUE!</v>
      </c>
      <c r="EL128" t="e">
        <f>'Compiled Agents'!F69+"h_l!'2n"</f>
        <v>#VALUE!</v>
      </c>
      <c r="EM128" t="e">
        <f>'Compiled Agents'!G69+"h_l!'2o"</f>
        <v>#VALUE!</v>
      </c>
      <c r="EN128" t="e">
        <f>'Compiled Agents'!H69+"h_l!'2p"</f>
        <v>#VALUE!</v>
      </c>
      <c r="EO128" t="e">
        <f>'Compiled Agents'!A70+"h_l!'2q"</f>
        <v>#VALUE!</v>
      </c>
      <c r="EP128" t="e">
        <f>'Compiled Agents'!B70+"h_l!'2r"</f>
        <v>#VALUE!</v>
      </c>
      <c r="EQ128" t="e">
        <f>'Compiled Agents'!C70+"h_l!'2s"</f>
        <v>#VALUE!</v>
      </c>
      <c r="ER128" t="e">
        <f>'Compiled Agents'!E70+"h_l!'2t"</f>
        <v>#VALUE!</v>
      </c>
      <c r="ES128" t="e">
        <f>'Compiled Agents'!F70+"h_l!'2u"</f>
        <v>#VALUE!</v>
      </c>
      <c r="ET128" t="e">
        <f>'Compiled Agents'!G70+"h_l!'2v"</f>
        <v>#VALUE!</v>
      </c>
      <c r="EU128" t="e">
        <f>'Compiled Agents'!H70+"h_l!'2w"</f>
        <v>#VALUE!</v>
      </c>
      <c r="EV128" t="e">
        <f>'Compiled Agents'!A71+"h_l!'2x"</f>
        <v>#VALUE!</v>
      </c>
      <c r="EW128" t="e">
        <f>'Compiled Agents'!B71+"h_l!'2y"</f>
        <v>#VALUE!</v>
      </c>
      <c r="EX128" t="e">
        <f>'Compiled Agents'!C71+"h_l!'2z"</f>
        <v>#VALUE!</v>
      </c>
      <c r="EY128" t="e">
        <f>'Compiled Agents'!E71+"h_l!'2{"</f>
        <v>#VALUE!</v>
      </c>
      <c r="EZ128" t="e">
        <f>'Compiled Agents'!F71+"h_l!'2|"</f>
        <v>#VALUE!</v>
      </c>
      <c r="FA128" t="e">
        <f>'Compiled Agents'!G71+"h_l!'2}"</f>
        <v>#VALUE!</v>
      </c>
      <c r="FB128" t="e">
        <f>'Compiled Agents'!H71+"h_l!'2~"</f>
        <v>#VALUE!</v>
      </c>
      <c r="FC128" t="e">
        <f>'Compiled Agents'!A72+"h_l!'3#"</f>
        <v>#VALUE!</v>
      </c>
      <c r="FD128" t="e">
        <f>'Compiled Agents'!B72+"h_l!'3$"</f>
        <v>#VALUE!</v>
      </c>
      <c r="FE128" t="e">
        <f>'Compiled Agents'!C72+"h_l!'3%"</f>
        <v>#VALUE!</v>
      </c>
      <c r="FF128" t="e">
        <f>'Compiled Agents'!E72+"h_l!'3&amp;"</f>
        <v>#VALUE!</v>
      </c>
      <c r="FG128" t="e">
        <f>'Compiled Agents'!F72+"h_l!'3'"</f>
        <v>#VALUE!</v>
      </c>
      <c r="FH128" t="e">
        <f>'Compiled Agents'!G72+"h_l!'3("</f>
        <v>#VALUE!</v>
      </c>
      <c r="FI128" t="e">
        <f>'Compiled Agents'!H72+"h_l!'3)"</f>
        <v>#VALUE!</v>
      </c>
      <c r="FJ128" t="e">
        <f>'Compiled Agents'!A73+"h_l!'3."</f>
        <v>#VALUE!</v>
      </c>
      <c r="FK128" t="e">
        <f>'Compiled Agents'!B73+"h_l!'3/"</f>
        <v>#VALUE!</v>
      </c>
      <c r="FL128" t="e">
        <f>'Compiled Agents'!C73+"h_l!'30"</f>
        <v>#VALUE!</v>
      </c>
      <c r="FM128" t="e">
        <f>'Compiled Agents'!E73+"h_l!'31"</f>
        <v>#VALUE!</v>
      </c>
      <c r="FN128" t="e">
        <f>'Compiled Agents'!F73+"h_l!'32"</f>
        <v>#VALUE!</v>
      </c>
      <c r="FO128" t="e">
        <f>'Compiled Agents'!G73+"h_l!'33"</f>
        <v>#VALUE!</v>
      </c>
      <c r="FP128" t="e">
        <f>'Compiled Agents'!H73+"h_l!'34"</f>
        <v>#VALUE!</v>
      </c>
      <c r="FQ128" t="e">
        <f>'Compiled Agents'!A74+"h_l!'35"</f>
        <v>#VALUE!</v>
      </c>
      <c r="FR128" t="e">
        <f>'Compiled Agents'!B74+"h_l!'36"</f>
        <v>#VALUE!</v>
      </c>
      <c r="FS128" t="e">
        <f>'Compiled Agents'!C74+"h_l!'37"</f>
        <v>#VALUE!</v>
      </c>
      <c r="FT128" t="e">
        <f>'Compiled Agents'!E74+"h_l!'38"</f>
        <v>#VALUE!</v>
      </c>
      <c r="FU128" t="e">
        <f>'Compiled Agents'!F74+"h_l!'39"</f>
        <v>#VALUE!</v>
      </c>
      <c r="FV128" t="e">
        <f>'Compiled Agents'!G74+"h_l!'3:"</f>
        <v>#VALUE!</v>
      </c>
      <c r="FW128" t="e">
        <f>'Compiled Agents'!H74+"h_l!'3;"</f>
        <v>#VALUE!</v>
      </c>
      <c r="FX128" t="e">
        <f>'Compiled Agents'!A75+"h_l!'3&lt;"</f>
        <v>#VALUE!</v>
      </c>
      <c r="FY128" t="e">
        <f>'Compiled Agents'!B75+"h_l!'3="</f>
        <v>#VALUE!</v>
      </c>
      <c r="FZ128" t="e">
        <f>'Compiled Agents'!C75+"h_l!'3&gt;"</f>
        <v>#VALUE!</v>
      </c>
      <c r="GA128" t="e">
        <f>'Compiled Agents'!E75+"h_l!'3?"</f>
        <v>#VALUE!</v>
      </c>
      <c r="GB128" t="e">
        <f>'Compiled Agents'!F75+"h_l!'3@"</f>
        <v>#VALUE!</v>
      </c>
      <c r="GC128" t="e">
        <f>'Compiled Agents'!G75+"h_l!'3A"</f>
        <v>#VALUE!</v>
      </c>
      <c r="GD128" t="e">
        <f>'Compiled Agents'!H75+"h_l!'3B"</f>
        <v>#VALUE!</v>
      </c>
      <c r="GE128" t="e">
        <f>'Compiled Agents'!A76+"h_l!'3C"</f>
        <v>#VALUE!</v>
      </c>
      <c r="GF128" t="e">
        <f>'Compiled Agents'!B76+"h_l!'3D"</f>
        <v>#VALUE!</v>
      </c>
      <c r="GG128" t="e">
        <f>'Compiled Agents'!C76+"h_l!'3E"</f>
        <v>#VALUE!</v>
      </c>
      <c r="GH128" t="e">
        <f>'Compiled Agents'!E76+"h_l!'3F"</f>
        <v>#VALUE!</v>
      </c>
      <c r="GI128" t="e">
        <f>'Compiled Agents'!F76+"h_l!'3G"</f>
        <v>#VALUE!</v>
      </c>
      <c r="GJ128" t="e">
        <f>'Compiled Agents'!G76+"h_l!'3H"</f>
        <v>#VALUE!</v>
      </c>
      <c r="GK128" t="e">
        <f>'Compiled Agents'!H76+"h_l!'3I"</f>
        <v>#VALUE!</v>
      </c>
      <c r="GL128" t="e">
        <f>'Compiled Agents'!A77+"h_l!'3J"</f>
        <v>#VALUE!</v>
      </c>
      <c r="GM128" t="e">
        <f>'Compiled Agents'!B77+"h_l!'3K"</f>
        <v>#VALUE!</v>
      </c>
      <c r="GN128" t="e">
        <f>'Compiled Agents'!C77+"h_l!'3L"</f>
        <v>#VALUE!</v>
      </c>
      <c r="GO128" t="e">
        <f>'Compiled Agents'!E77+"h_l!'3M"</f>
        <v>#VALUE!</v>
      </c>
      <c r="GP128" t="e">
        <f>'Compiled Agents'!F77+"h_l!'3N"</f>
        <v>#VALUE!</v>
      </c>
      <c r="GQ128" t="e">
        <f>'Compiled Agents'!G77+"h_l!'3O"</f>
        <v>#VALUE!</v>
      </c>
      <c r="GR128" t="e">
        <f>'Compiled Agents'!H77+"h_l!'3P"</f>
        <v>#VALUE!</v>
      </c>
      <c r="GS128" t="e">
        <f>'Compiled Agents'!A78+"h_l!'3Q"</f>
        <v>#VALUE!</v>
      </c>
      <c r="GT128" t="e">
        <f>'Compiled Agents'!B78+"h_l!'3R"</f>
        <v>#VALUE!</v>
      </c>
      <c r="GU128" t="e">
        <f>'Compiled Agents'!C78+"h_l!'3S"</f>
        <v>#VALUE!</v>
      </c>
      <c r="GV128" t="e">
        <f>'Compiled Agents'!E78+"h_l!'3T"</f>
        <v>#VALUE!</v>
      </c>
      <c r="GW128" t="e">
        <f>'Compiled Agents'!F78+"h_l!'3U"</f>
        <v>#VALUE!</v>
      </c>
      <c r="GX128" t="e">
        <f>'Compiled Agents'!G78+"h_l!'3V"</f>
        <v>#VALUE!</v>
      </c>
      <c r="GY128" t="e">
        <f>'Compiled Agents'!H78+"h_l!'3W"</f>
        <v>#VALUE!</v>
      </c>
      <c r="GZ128" t="e">
        <f>'Compiled Agents'!A79+"h_l!'3X"</f>
        <v>#VALUE!</v>
      </c>
      <c r="HA128" t="e">
        <f>'Compiled Agents'!B79+"h_l!'3Y"</f>
        <v>#VALUE!</v>
      </c>
      <c r="HB128" t="e">
        <f>'Compiled Agents'!C79+"h_l!'3Z"</f>
        <v>#VALUE!</v>
      </c>
      <c r="HC128" t="e">
        <f>'Compiled Agents'!E79+"h_l!'3["</f>
        <v>#VALUE!</v>
      </c>
      <c r="HD128" t="e">
        <f>'Compiled Agents'!F79+"h_l!'3\"</f>
        <v>#VALUE!</v>
      </c>
      <c r="HE128" t="e">
        <f>'Compiled Agents'!G79+"h_l!'3]"</f>
        <v>#VALUE!</v>
      </c>
      <c r="HF128" t="e">
        <f>'Compiled Agents'!H79+"h_l!'3^"</f>
        <v>#VALUE!</v>
      </c>
      <c r="HG128" t="e">
        <f>'Compiled Agents'!A80+"h_l!'3_"</f>
        <v>#VALUE!</v>
      </c>
      <c r="HH128" t="e">
        <f>'Compiled Agents'!B80+"h_l!'3`"</f>
        <v>#VALUE!</v>
      </c>
      <c r="HI128" t="e">
        <f>'Compiled Agents'!C80+"h_l!'3a"</f>
        <v>#VALUE!</v>
      </c>
      <c r="HJ128" t="e">
        <f>'Compiled Agents'!E80+"h_l!'3b"</f>
        <v>#VALUE!</v>
      </c>
      <c r="HK128" t="e">
        <f>'Compiled Agents'!F80+"h_l!'3c"</f>
        <v>#VALUE!</v>
      </c>
      <c r="HL128" t="e">
        <f>'Compiled Agents'!G80+"h_l!'3d"</f>
        <v>#VALUE!</v>
      </c>
      <c r="HM128" t="e">
        <f>'Compiled Agents'!H80+"h_l!'3e"</f>
        <v>#VALUE!</v>
      </c>
      <c r="HN128" t="e">
        <f>'Compiled Agents'!A81+"h_l!'3f"</f>
        <v>#VALUE!</v>
      </c>
      <c r="HO128" t="e">
        <f>'Compiled Agents'!B81+"h_l!'3g"</f>
        <v>#VALUE!</v>
      </c>
      <c r="HP128" t="e">
        <f>'Compiled Agents'!C81+"h_l!'3h"</f>
        <v>#VALUE!</v>
      </c>
      <c r="HQ128" t="e">
        <f>'Compiled Agents'!E81+"h_l!'3i"</f>
        <v>#VALUE!</v>
      </c>
      <c r="HR128" t="e">
        <f>'Compiled Agents'!F81+"h_l!'3j"</f>
        <v>#VALUE!</v>
      </c>
      <c r="HS128" t="e">
        <f>'Compiled Agents'!G81+"h_l!'3k"</f>
        <v>#VALUE!</v>
      </c>
      <c r="HT128" t="e">
        <f>'Compiled Agents'!H81+"h_l!'3l"</f>
        <v>#VALUE!</v>
      </c>
      <c r="HU128" t="e">
        <f>'Compiled Agents'!A82+"h_l!'3m"</f>
        <v>#VALUE!</v>
      </c>
      <c r="HV128" t="e">
        <f>'Compiled Agents'!B82+"h_l!'3n"</f>
        <v>#VALUE!</v>
      </c>
      <c r="HW128" t="e">
        <f>'Compiled Agents'!C82+"h_l!'3o"</f>
        <v>#VALUE!</v>
      </c>
      <c r="HX128" t="e">
        <f>'Compiled Agents'!E82+"h_l!'3p"</f>
        <v>#VALUE!</v>
      </c>
      <c r="HY128" t="e">
        <f>'Compiled Agents'!F82+"h_l!'3q"</f>
        <v>#VALUE!</v>
      </c>
      <c r="HZ128" t="e">
        <f>'Compiled Agents'!G82+"h_l!'3r"</f>
        <v>#VALUE!</v>
      </c>
      <c r="IA128" t="e">
        <f>'Compiled Agents'!H82+"h_l!'3s"</f>
        <v>#VALUE!</v>
      </c>
      <c r="IB128" t="e">
        <f>'Compiled Agents'!A83+"h_l!'3t"</f>
        <v>#VALUE!</v>
      </c>
      <c r="IC128" t="e">
        <f>'Compiled Agents'!B83+"h_l!'3u"</f>
        <v>#VALUE!</v>
      </c>
      <c r="ID128" t="e">
        <f>'Compiled Agents'!C83+"h_l!'3v"</f>
        <v>#VALUE!</v>
      </c>
      <c r="IE128" t="e">
        <f>'Compiled Agents'!E83+"h_l!'3w"</f>
        <v>#VALUE!</v>
      </c>
      <c r="IF128" t="e">
        <f>'Compiled Agents'!F83+"h_l!'3x"</f>
        <v>#VALUE!</v>
      </c>
      <c r="IG128" t="e">
        <f>'Compiled Agents'!G83+"h_l!'3y"</f>
        <v>#VALUE!</v>
      </c>
      <c r="IH128" t="e">
        <f>'Compiled Agents'!H83+"h_l!'3z"</f>
        <v>#VALUE!</v>
      </c>
      <c r="II128" t="e">
        <f>'Compiled Agents'!A84+"h_l!'3{"</f>
        <v>#VALUE!</v>
      </c>
      <c r="IJ128" t="e">
        <f>'Compiled Agents'!B84+"h_l!'3|"</f>
        <v>#VALUE!</v>
      </c>
      <c r="IK128" t="e">
        <f>'Compiled Agents'!C84+"h_l!'3}"</f>
        <v>#VALUE!</v>
      </c>
      <c r="IL128" t="e">
        <f>'Compiled Agents'!E84+"h_l!'3~"</f>
        <v>#VALUE!</v>
      </c>
      <c r="IM128" t="e">
        <f>'Compiled Agents'!F84+"h_l!'4#"</f>
        <v>#VALUE!</v>
      </c>
      <c r="IN128" t="e">
        <f>'Compiled Agents'!G84+"h_l!'4$"</f>
        <v>#VALUE!</v>
      </c>
      <c r="IO128" t="e">
        <f>'Compiled Agents'!H84+"h_l!'4%"</f>
        <v>#VALUE!</v>
      </c>
      <c r="IP128" t="e">
        <f>'Compiled Agents'!A85+"h_l!'4&amp;"</f>
        <v>#VALUE!</v>
      </c>
      <c r="IQ128" t="e">
        <f>'Compiled Agents'!B85+"h_l!'4'"</f>
        <v>#VALUE!</v>
      </c>
      <c r="IR128" t="e">
        <f>'Compiled Agents'!C85+"h_l!'4("</f>
        <v>#VALUE!</v>
      </c>
      <c r="IS128" t="e">
        <f>'Compiled Agents'!E85+"h_l!'4)"</f>
        <v>#VALUE!</v>
      </c>
      <c r="IT128" t="e">
        <f>'Compiled Agents'!F85+"h_l!'4."</f>
        <v>#VALUE!</v>
      </c>
      <c r="IU128" t="e">
        <f>'Compiled Agents'!G85+"h_l!'4/"</f>
        <v>#VALUE!</v>
      </c>
      <c r="IV128" t="e">
        <f>'Compiled Agents'!H85+"h_l!'40"</f>
        <v>#VALUE!</v>
      </c>
    </row>
    <row r="129" spans="6:256" x14ac:dyDescent="0.25">
      <c r="F129" t="e">
        <f>'Compiled Agents'!A86+"h_l!'41"</f>
        <v>#VALUE!</v>
      </c>
      <c r="G129" t="e">
        <f>'Compiled Agents'!B86+"h_l!'42"</f>
        <v>#VALUE!</v>
      </c>
      <c r="H129" t="e">
        <f>'Compiled Agents'!C86+"h_l!'43"</f>
        <v>#VALUE!</v>
      </c>
      <c r="I129" t="e">
        <f>'Compiled Agents'!E86+"h_l!'44"</f>
        <v>#VALUE!</v>
      </c>
      <c r="J129" t="e">
        <f>'Compiled Agents'!F86+"h_l!'45"</f>
        <v>#VALUE!</v>
      </c>
      <c r="K129" t="e">
        <f>'Compiled Agents'!G86+"h_l!'46"</f>
        <v>#VALUE!</v>
      </c>
      <c r="L129" t="e">
        <f>'Compiled Agents'!H86+"h_l!'47"</f>
        <v>#VALUE!</v>
      </c>
      <c r="M129" t="e">
        <f>'Compiled Agents'!A87+"h_l!'48"</f>
        <v>#VALUE!</v>
      </c>
      <c r="N129" t="e">
        <f>'Compiled Agents'!B87+"h_l!'49"</f>
        <v>#VALUE!</v>
      </c>
      <c r="O129" t="e">
        <f>'Compiled Agents'!C87+"h_l!'4:"</f>
        <v>#VALUE!</v>
      </c>
      <c r="P129" t="e">
        <f>'Compiled Agents'!E87+"h_l!'4;"</f>
        <v>#VALUE!</v>
      </c>
      <c r="Q129" t="e">
        <f>'Compiled Agents'!F87+"h_l!'4&lt;"</f>
        <v>#VALUE!</v>
      </c>
      <c r="R129" t="e">
        <f>'Compiled Agents'!G87+"h_l!'4="</f>
        <v>#VALUE!</v>
      </c>
      <c r="S129" t="e">
        <f>'Compiled Agents'!H87+"h_l!'4&gt;"</f>
        <v>#VALUE!</v>
      </c>
      <c r="T129" t="e">
        <f>'Compiled Agents'!A88+"h_l!'4?"</f>
        <v>#VALUE!</v>
      </c>
      <c r="U129" t="e">
        <f>'Compiled Agents'!B88+"h_l!'4@"</f>
        <v>#VALUE!</v>
      </c>
      <c r="V129" t="e">
        <f>'Compiled Agents'!C88+"h_l!'4A"</f>
        <v>#VALUE!</v>
      </c>
      <c r="W129" t="e">
        <f>'Compiled Agents'!E88+"h_l!'4B"</f>
        <v>#VALUE!</v>
      </c>
      <c r="X129" t="e">
        <f>'Compiled Agents'!F88+"h_l!'4C"</f>
        <v>#VALUE!</v>
      </c>
      <c r="Y129" t="e">
        <f>'Compiled Agents'!G88+"h_l!'4D"</f>
        <v>#VALUE!</v>
      </c>
      <c r="Z129" t="e">
        <f>'Compiled Agents'!H88+"h_l!'4E"</f>
        <v>#VALUE!</v>
      </c>
      <c r="AA129" t="e">
        <f>'Compiled Agents'!A89+"h_l!'4F"</f>
        <v>#VALUE!</v>
      </c>
      <c r="AB129" t="e">
        <f>'Compiled Agents'!B89+"h_l!'4G"</f>
        <v>#VALUE!</v>
      </c>
      <c r="AC129" t="e">
        <f>'Compiled Agents'!C89+"h_l!'4H"</f>
        <v>#VALUE!</v>
      </c>
      <c r="AD129" t="e">
        <f>'Compiled Agents'!E89+"h_l!'4I"</f>
        <v>#VALUE!</v>
      </c>
      <c r="AE129" t="e">
        <f>'Compiled Agents'!F89+"h_l!'4J"</f>
        <v>#VALUE!</v>
      </c>
      <c r="AF129" t="e">
        <f>'Compiled Agents'!G89+"h_l!'4K"</f>
        <v>#VALUE!</v>
      </c>
      <c r="AG129" t="e">
        <f>'Compiled Agents'!H89+"h_l!'4L"</f>
        <v>#VALUE!</v>
      </c>
      <c r="AH129" t="e">
        <f>'Compiled Agents'!A90+"h_l!'4M"</f>
        <v>#VALUE!</v>
      </c>
      <c r="AI129" t="e">
        <f>'Compiled Agents'!B90+"h_l!'4N"</f>
        <v>#VALUE!</v>
      </c>
      <c r="AJ129" t="e">
        <f>'Compiled Agents'!C90+"h_l!'4O"</f>
        <v>#VALUE!</v>
      </c>
      <c r="AK129" t="e">
        <f>'Compiled Agents'!E90+"h_l!'4P"</f>
        <v>#VALUE!</v>
      </c>
      <c r="AL129" t="e">
        <f>'Compiled Agents'!F90+"h_l!'4Q"</f>
        <v>#VALUE!</v>
      </c>
      <c r="AM129" t="e">
        <f>'Compiled Agents'!G90+"h_l!'4R"</f>
        <v>#VALUE!</v>
      </c>
      <c r="AN129" t="e">
        <f>'Compiled Agents'!H90+"h_l!'4S"</f>
        <v>#VALUE!</v>
      </c>
      <c r="AO129" t="e">
        <f>'Compiled Agents'!A91+"h_l!'4T"</f>
        <v>#VALUE!</v>
      </c>
      <c r="AP129" t="e">
        <f>'Compiled Agents'!B91+"h_l!'4U"</f>
        <v>#VALUE!</v>
      </c>
      <c r="AQ129" t="e">
        <f>'Compiled Agents'!C91+"h_l!'4V"</f>
        <v>#VALUE!</v>
      </c>
      <c r="AR129" t="e">
        <f>'Compiled Agents'!E91+"h_l!'4W"</f>
        <v>#VALUE!</v>
      </c>
      <c r="AS129" t="e">
        <f>'Compiled Agents'!F91+"h_l!'4X"</f>
        <v>#VALUE!</v>
      </c>
      <c r="AT129" t="e">
        <f>'Compiled Agents'!G91+"h_l!'4Y"</f>
        <v>#VALUE!</v>
      </c>
      <c r="AU129" t="e">
        <f>'Compiled Agents'!H91+"h_l!'4Z"</f>
        <v>#VALUE!</v>
      </c>
      <c r="AV129" t="e">
        <f>'Compiled Agents'!A92+"h_l!'4["</f>
        <v>#VALUE!</v>
      </c>
      <c r="AW129" t="e">
        <f>'Compiled Agents'!B92+"h_l!'4\"</f>
        <v>#VALUE!</v>
      </c>
      <c r="AX129" t="e">
        <f>'Compiled Agents'!C92+"h_l!'4]"</f>
        <v>#VALUE!</v>
      </c>
      <c r="AY129" t="e">
        <f>'Compiled Agents'!E92+"h_l!'4^"</f>
        <v>#VALUE!</v>
      </c>
      <c r="AZ129" t="e">
        <f>'Compiled Agents'!F92+"h_l!'4_"</f>
        <v>#VALUE!</v>
      </c>
      <c r="BA129" t="e">
        <f>'Compiled Agents'!G92+"h_l!'4`"</f>
        <v>#VALUE!</v>
      </c>
      <c r="BB129" t="e">
        <f>'Compiled Agents'!H92+"h_l!'4a"</f>
        <v>#VALUE!</v>
      </c>
      <c r="BC129" t="e">
        <f>'Compiled Agents'!A93+"h_l!'4b"</f>
        <v>#VALUE!</v>
      </c>
      <c r="BD129" t="e">
        <f>'Compiled Agents'!B93+"h_l!'4c"</f>
        <v>#VALUE!</v>
      </c>
      <c r="BE129" t="e">
        <f>'Compiled Agents'!C93+"h_l!'4d"</f>
        <v>#VALUE!</v>
      </c>
      <c r="BF129" t="e">
        <f>'Compiled Agents'!E93+"h_l!'4e"</f>
        <v>#VALUE!</v>
      </c>
      <c r="BG129" t="e">
        <f>'Compiled Agents'!F93+"h_l!'4f"</f>
        <v>#VALUE!</v>
      </c>
      <c r="BH129" t="e">
        <f>'Compiled Agents'!G93+"h_l!'4g"</f>
        <v>#VALUE!</v>
      </c>
      <c r="BI129" t="e">
        <f>'Compiled Agents'!H93+"h_l!'4h"</f>
        <v>#VALUE!</v>
      </c>
      <c r="BJ129" t="e">
        <f>'Compiled Agents'!A94+"h_l!'4i"</f>
        <v>#VALUE!</v>
      </c>
      <c r="BK129" t="e">
        <f>'Compiled Agents'!B94+"h_l!'4j"</f>
        <v>#VALUE!</v>
      </c>
      <c r="BL129" t="e">
        <f>'Compiled Agents'!C94+"h_l!'4k"</f>
        <v>#VALUE!</v>
      </c>
      <c r="BM129" t="e">
        <f>'Compiled Agents'!E94+"h_l!'4l"</f>
        <v>#VALUE!</v>
      </c>
      <c r="BN129" t="e">
        <f>'Compiled Agents'!F94+"h_l!'4m"</f>
        <v>#VALUE!</v>
      </c>
      <c r="BO129" t="e">
        <f>'Compiled Agents'!G94+"h_l!'4n"</f>
        <v>#VALUE!</v>
      </c>
      <c r="BP129" t="e">
        <f>'Compiled Agents'!H94+"h_l!'4o"</f>
        <v>#VALUE!</v>
      </c>
      <c r="BQ129" t="e">
        <f>'Compiled Agents'!A95+"h_l!'4p"</f>
        <v>#VALUE!</v>
      </c>
      <c r="BR129" t="e">
        <f>'Compiled Agents'!B95+"h_l!'4q"</f>
        <v>#VALUE!</v>
      </c>
      <c r="BS129" t="e">
        <f>'Compiled Agents'!C95+"h_l!'4r"</f>
        <v>#VALUE!</v>
      </c>
      <c r="BT129" t="e">
        <f>'Compiled Agents'!E95+"h_l!'4s"</f>
        <v>#VALUE!</v>
      </c>
      <c r="BU129" t="e">
        <f>'Compiled Agents'!F95+"h_l!'4t"</f>
        <v>#VALUE!</v>
      </c>
      <c r="BV129" t="e">
        <f>'Compiled Agents'!G95+"h_l!'4u"</f>
        <v>#VALUE!</v>
      </c>
      <c r="BW129" t="e">
        <f>'Compiled Agents'!H95+"h_l!'4v"</f>
        <v>#VALUE!</v>
      </c>
      <c r="BX129" t="e">
        <f>'Compiled Agents'!A96+"h_l!'4w"</f>
        <v>#VALUE!</v>
      </c>
      <c r="BY129" t="e">
        <f>'Compiled Agents'!B96+"h_l!'4x"</f>
        <v>#VALUE!</v>
      </c>
      <c r="BZ129" t="e">
        <f>'Compiled Agents'!C96+"h_l!'4y"</f>
        <v>#VALUE!</v>
      </c>
      <c r="CA129" t="e">
        <f>'Compiled Agents'!E96+"h_l!'4z"</f>
        <v>#VALUE!</v>
      </c>
      <c r="CB129" t="e">
        <f>'Compiled Agents'!F96+"h_l!'4{"</f>
        <v>#VALUE!</v>
      </c>
      <c r="CC129" t="e">
        <f>'Compiled Agents'!G96+"h_l!'4|"</f>
        <v>#VALUE!</v>
      </c>
      <c r="CD129" t="e">
        <f>'Compiled Agents'!H96+"h_l!'4}"</f>
        <v>#VALUE!</v>
      </c>
      <c r="CE129" t="e">
        <f>'Compiled Agents'!A97+"h_l!'4~"</f>
        <v>#VALUE!</v>
      </c>
      <c r="CF129" t="e">
        <f>'Compiled Agents'!B97+"h_l!'5#"</f>
        <v>#VALUE!</v>
      </c>
      <c r="CG129" t="e">
        <f>'Compiled Agents'!C97+"h_l!'5$"</f>
        <v>#VALUE!</v>
      </c>
      <c r="CH129" t="e">
        <f>'Compiled Agents'!E97+"h_l!'5%"</f>
        <v>#VALUE!</v>
      </c>
      <c r="CI129" t="e">
        <f>'Compiled Agents'!F97+"h_l!'5&amp;"</f>
        <v>#VALUE!</v>
      </c>
      <c r="CJ129" t="e">
        <f>'Compiled Agents'!G97+"h_l!'5'"</f>
        <v>#VALUE!</v>
      </c>
      <c r="CK129" t="e">
        <f>'Compiled Agents'!H97+"h_l!'5("</f>
        <v>#VALUE!</v>
      </c>
      <c r="CL129" t="e">
        <f>'Compiled Agents'!A98+"h_l!'5)"</f>
        <v>#VALUE!</v>
      </c>
      <c r="CM129" t="e">
        <f>'Compiled Agents'!B98+"h_l!'5."</f>
        <v>#VALUE!</v>
      </c>
      <c r="CN129" t="e">
        <f>'Compiled Agents'!C98+"h_l!'5/"</f>
        <v>#VALUE!</v>
      </c>
      <c r="CO129" t="e">
        <f>'Compiled Agents'!E98+"h_l!'50"</f>
        <v>#VALUE!</v>
      </c>
      <c r="CP129" t="e">
        <f>'Compiled Agents'!F98+"h_l!'51"</f>
        <v>#VALUE!</v>
      </c>
      <c r="CQ129" t="e">
        <f>'Compiled Agents'!G98+"h_l!'52"</f>
        <v>#VALUE!</v>
      </c>
      <c r="CR129" t="e">
        <f>'Compiled Agents'!H98+"h_l!'53"</f>
        <v>#VALUE!</v>
      </c>
      <c r="CS129" t="e">
        <f>'Compiled Agents'!A99+"h_l!'54"</f>
        <v>#VALUE!</v>
      </c>
      <c r="CT129" t="e">
        <f>'Compiled Agents'!B99+"h_l!'55"</f>
        <v>#VALUE!</v>
      </c>
      <c r="CU129" t="e">
        <f>'Compiled Agents'!C99+"h_l!'56"</f>
        <v>#VALUE!</v>
      </c>
      <c r="CV129" t="e">
        <f>'Compiled Agents'!E99+"h_l!'57"</f>
        <v>#VALUE!</v>
      </c>
      <c r="CW129" t="e">
        <f>'Compiled Agents'!F99+"h_l!'58"</f>
        <v>#VALUE!</v>
      </c>
      <c r="CX129" t="e">
        <f>'Compiled Agents'!G99+"h_l!'59"</f>
        <v>#VALUE!</v>
      </c>
      <c r="CY129" t="e">
        <f>'Compiled Agents'!H99+"h_l!'5:"</f>
        <v>#VALUE!</v>
      </c>
      <c r="CZ129" t="e">
        <f>'Compiled Agents'!A100+"h_l!'5;"</f>
        <v>#VALUE!</v>
      </c>
      <c r="DA129" t="e">
        <f>'Compiled Agents'!B100+"h_l!'5&lt;"</f>
        <v>#VALUE!</v>
      </c>
      <c r="DB129" t="e">
        <f>'Compiled Agents'!C100+"h_l!'5="</f>
        <v>#VALUE!</v>
      </c>
      <c r="DC129" t="e">
        <f>'Compiled Agents'!E100+"h_l!'5&gt;"</f>
        <v>#VALUE!</v>
      </c>
      <c r="DD129" t="e">
        <f>'Compiled Agents'!F100+"h_l!'5?"</f>
        <v>#VALUE!</v>
      </c>
      <c r="DE129" t="e">
        <f>'Compiled Agents'!G100+"h_l!'5@"</f>
        <v>#VALUE!</v>
      </c>
      <c r="DF129" t="e">
        <f>'Compiled Agents'!H100+"h_l!'5A"</f>
        <v>#VALUE!</v>
      </c>
      <c r="DG129" t="e">
        <f>'Compiled Agents'!A101+"h_l!'5B"</f>
        <v>#VALUE!</v>
      </c>
      <c r="DH129" t="e">
        <f>'Compiled Agents'!B101+"h_l!'5C"</f>
        <v>#VALUE!</v>
      </c>
      <c r="DI129" t="e">
        <f>'Compiled Agents'!C101+"h_l!'5D"</f>
        <v>#VALUE!</v>
      </c>
      <c r="DJ129" t="e">
        <f>'Compiled Agents'!E101+"h_l!'5E"</f>
        <v>#VALUE!</v>
      </c>
      <c r="DK129" t="e">
        <f>'Compiled Agents'!F101+"h_l!'5F"</f>
        <v>#VALUE!</v>
      </c>
      <c r="DL129" t="e">
        <f>'Compiled Agents'!G101+"h_l!'5G"</f>
        <v>#VALUE!</v>
      </c>
      <c r="DM129" t="e">
        <f>'Compiled Agents'!H101+"h_l!'5H"</f>
        <v>#VALUE!</v>
      </c>
      <c r="DN129" t="e">
        <f>'Compiled Agents'!A102+"h_l!'5I"</f>
        <v>#VALUE!</v>
      </c>
      <c r="DO129" t="e">
        <f>'Compiled Agents'!B102+"h_l!'5J"</f>
        <v>#VALUE!</v>
      </c>
      <c r="DP129" t="e">
        <f>'Compiled Agents'!C102+"h_l!'5K"</f>
        <v>#VALUE!</v>
      </c>
      <c r="DQ129" t="e">
        <f>'Compiled Agents'!E102+"h_l!'5L"</f>
        <v>#VALUE!</v>
      </c>
      <c r="DR129" t="e">
        <f>'Compiled Agents'!F102+"h_l!'5M"</f>
        <v>#VALUE!</v>
      </c>
      <c r="DS129" t="e">
        <f>'Compiled Agents'!G102+"h_l!'5N"</f>
        <v>#VALUE!</v>
      </c>
      <c r="DT129" t="e">
        <f>'Compiled Agents'!H102+"h_l!'5O"</f>
        <v>#VALUE!</v>
      </c>
      <c r="DU129" t="e">
        <f>'Compiled Agents'!A103+"h_l!'5P"</f>
        <v>#VALUE!</v>
      </c>
      <c r="DV129" t="e">
        <f>'Compiled Agents'!B103+"h_l!'5Q"</f>
        <v>#VALUE!</v>
      </c>
      <c r="DW129" t="e">
        <f>'Compiled Agents'!C103+"h_l!'5R"</f>
        <v>#VALUE!</v>
      </c>
      <c r="DX129" t="e">
        <f>'Compiled Agents'!E103+"h_l!'5S"</f>
        <v>#VALUE!</v>
      </c>
      <c r="DY129" t="e">
        <f>'Compiled Agents'!F103+"h_l!'5T"</f>
        <v>#VALUE!</v>
      </c>
      <c r="DZ129" t="e">
        <f>'Compiled Agents'!G103+"h_l!'5U"</f>
        <v>#VALUE!</v>
      </c>
      <c r="EA129" t="e">
        <f>'Compiled Agents'!H103+"h_l!'5V"</f>
        <v>#VALUE!</v>
      </c>
      <c r="EB129" t="e">
        <f>'Compiled Agents'!A104+"h_l!'5W"</f>
        <v>#VALUE!</v>
      </c>
      <c r="EC129" t="e">
        <f>'Compiled Agents'!B104+"h_l!'5X"</f>
        <v>#VALUE!</v>
      </c>
      <c r="ED129" t="e">
        <f>'Compiled Agents'!C104+"h_l!'5Y"</f>
        <v>#VALUE!</v>
      </c>
      <c r="EE129" t="e">
        <f>'Compiled Agents'!E104+"h_l!'5Z"</f>
        <v>#VALUE!</v>
      </c>
      <c r="EF129" t="e">
        <f>'Compiled Agents'!F104+"h_l!'5["</f>
        <v>#VALUE!</v>
      </c>
      <c r="EG129" t="e">
        <f>'Compiled Agents'!G104+"h_l!'5\"</f>
        <v>#VALUE!</v>
      </c>
      <c r="EH129" t="e">
        <f>'Compiled Agents'!H104+"h_l!'5]"</f>
        <v>#VALUE!</v>
      </c>
      <c r="EI129" t="e">
        <f>'Compiled Agents'!A105+"h_l!'5^"</f>
        <v>#VALUE!</v>
      </c>
      <c r="EJ129" t="e">
        <f>'Compiled Agents'!B105+"h_l!'5_"</f>
        <v>#VALUE!</v>
      </c>
      <c r="EK129" t="e">
        <f>'Compiled Agents'!C105+"h_l!'5`"</f>
        <v>#VALUE!</v>
      </c>
      <c r="EL129" t="e">
        <f>'Compiled Agents'!E105+"h_l!'5a"</f>
        <v>#VALUE!</v>
      </c>
      <c r="EM129" t="e">
        <f>'Compiled Agents'!F105+"h_l!'5b"</f>
        <v>#VALUE!</v>
      </c>
      <c r="EN129" t="e">
        <f>'Compiled Agents'!G105+"h_l!'5c"</f>
        <v>#VALUE!</v>
      </c>
      <c r="EO129" t="e">
        <f>'Compiled Agents'!H105+"h_l!'5d"</f>
        <v>#VALUE!</v>
      </c>
      <c r="EP129" t="e">
        <f>'Compiled Agents'!A106+"h_l!'5e"</f>
        <v>#VALUE!</v>
      </c>
      <c r="EQ129" t="e">
        <f>'Compiled Agents'!B106+"h_l!'5f"</f>
        <v>#VALUE!</v>
      </c>
      <c r="ER129" t="e">
        <f>'Compiled Agents'!C106+"h_l!'5g"</f>
        <v>#VALUE!</v>
      </c>
      <c r="ES129" t="e">
        <f>'Compiled Agents'!E106+"h_l!'5h"</f>
        <v>#VALUE!</v>
      </c>
      <c r="ET129" t="e">
        <f>'Compiled Agents'!F106+"h_l!'5i"</f>
        <v>#VALUE!</v>
      </c>
      <c r="EU129" t="e">
        <f>'Compiled Agents'!G106+"h_l!'5j"</f>
        <v>#VALUE!</v>
      </c>
      <c r="EV129" t="e">
        <f>'Compiled Agents'!H106+"h_l!'5k"</f>
        <v>#VALUE!</v>
      </c>
      <c r="EW129" t="e">
        <f>'Compiled Agents'!A107+"h_l!'5l"</f>
        <v>#VALUE!</v>
      </c>
      <c r="EX129" t="e">
        <f>'Compiled Agents'!B107+"h_l!'5m"</f>
        <v>#VALUE!</v>
      </c>
      <c r="EY129" t="e">
        <f>'Compiled Agents'!C107+"h_l!'5n"</f>
        <v>#VALUE!</v>
      </c>
      <c r="EZ129" t="e">
        <f>'Compiled Agents'!E107+"h_l!'5o"</f>
        <v>#VALUE!</v>
      </c>
      <c r="FA129" t="e">
        <f>'Compiled Agents'!F107+"h_l!'5p"</f>
        <v>#VALUE!</v>
      </c>
      <c r="FB129" t="e">
        <f>'Compiled Agents'!G107+"h_l!'5q"</f>
        <v>#VALUE!</v>
      </c>
      <c r="FC129" t="e">
        <f>'Compiled Agents'!H107+"h_l!'5r"</f>
        <v>#VALUE!</v>
      </c>
      <c r="FD129" t="e">
        <f>'Compiled Agents'!A108+"h_l!'5s"</f>
        <v>#VALUE!</v>
      </c>
      <c r="FE129" t="e">
        <f>'Compiled Agents'!B108+"h_l!'5t"</f>
        <v>#VALUE!</v>
      </c>
      <c r="FF129" t="e">
        <f>'Compiled Agents'!C108+"h_l!'5u"</f>
        <v>#VALUE!</v>
      </c>
      <c r="FG129" t="e">
        <f>'Compiled Agents'!E108+"h_l!'5v"</f>
        <v>#VALUE!</v>
      </c>
      <c r="FH129" t="e">
        <f>'Compiled Agents'!F108+"h_l!'5w"</f>
        <v>#VALUE!</v>
      </c>
      <c r="FI129" t="e">
        <f>'Compiled Agents'!G108+"h_l!'5x"</f>
        <v>#VALUE!</v>
      </c>
      <c r="FJ129" t="e">
        <f>'Compiled Agents'!H108+"h_l!'5y"</f>
        <v>#VALUE!</v>
      </c>
      <c r="FK129" t="e">
        <f>'Compiled Agents'!A109+"h_l!'5z"</f>
        <v>#VALUE!</v>
      </c>
      <c r="FL129" t="e">
        <f>'Compiled Agents'!B109+"h_l!'5{"</f>
        <v>#VALUE!</v>
      </c>
      <c r="FM129" t="e">
        <f>'Compiled Agents'!C109+"h_l!'5|"</f>
        <v>#VALUE!</v>
      </c>
      <c r="FN129" t="e">
        <f>'Compiled Agents'!E109+"h_l!'5}"</f>
        <v>#VALUE!</v>
      </c>
      <c r="FO129" t="e">
        <f>'Compiled Agents'!F109+"h_l!'5~"</f>
        <v>#VALUE!</v>
      </c>
      <c r="FP129" t="e">
        <f>'Compiled Agents'!G109+"h_l!'6#"</f>
        <v>#VALUE!</v>
      </c>
      <c r="FQ129" t="e">
        <f>'Compiled Agents'!H109+"h_l!'6$"</f>
        <v>#VALUE!</v>
      </c>
      <c r="FR129" t="e">
        <f>'Compiled Agents'!A110+"h_l!'6%"</f>
        <v>#VALUE!</v>
      </c>
      <c r="FS129" t="e">
        <f>'Compiled Agents'!B110+"h_l!'6&amp;"</f>
        <v>#VALUE!</v>
      </c>
      <c r="FT129" t="e">
        <f>'Compiled Agents'!C110+"h_l!'6'"</f>
        <v>#VALUE!</v>
      </c>
      <c r="FU129" t="e">
        <f>'Compiled Agents'!E110+"h_l!'6("</f>
        <v>#VALUE!</v>
      </c>
      <c r="FV129" t="e">
        <f>'Compiled Agents'!F110+"h_l!'6)"</f>
        <v>#VALUE!</v>
      </c>
      <c r="FW129" t="e">
        <f>'Compiled Agents'!G110+"h_l!'6."</f>
        <v>#VALUE!</v>
      </c>
      <c r="FX129" t="e">
        <f>'Compiled Agents'!H110+"h_l!'6/"</f>
        <v>#VALUE!</v>
      </c>
      <c r="FY129" t="e">
        <f>'Compiled Agents'!A111+"h_l!'60"</f>
        <v>#VALUE!</v>
      </c>
      <c r="FZ129" t="e">
        <f>'Compiled Agents'!B111+"h_l!'61"</f>
        <v>#VALUE!</v>
      </c>
      <c r="GA129" t="e">
        <f>'Compiled Agents'!C111+"h_l!'62"</f>
        <v>#VALUE!</v>
      </c>
      <c r="GB129" t="e">
        <f>'Compiled Agents'!E111+"h_l!'63"</f>
        <v>#VALUE!</v>
      </c>
      <c r="GC129" t="e">
        <f>'Compiled Agents'!F111+"h_l!'64"</f>
        <v>#VALUE!</v>
      </c>
      <c r="GD129" t="e">
        <f>'Compiled Agents'!G111+"h_l!'65"</f>
        <v>#VALUE!</v>
      </c>
      <c r="GE129" t="e">
        <f>'Compiled Agents'!H111+"h_l!'66"</f>
        <v>#VALUE!</v>
      </c>
      <c r="GF129" t="e">
        <f>'Compiled Agents'!A112+"h_l!'67"</f>
        <v>#VALUE!</v>
      </c>
      <c r="GG129" t="e">
        <f>'Compiled Agents'!B112+"h_l!'68"</f>
        <v>#VALUE!</v>
      </c>
      <c r="GH129" t="e">
        <f>'Compiled Agents'!C112+"h_l!'69"</f>
        <v>#VALUE!</v>
      </c>
      <c r="GI129" t="e">
        <f>'Compiled Agents'!E112+"h_l!'6:"</f>
        <v>#VALUE!</v>
      </c>
      <c r="GJ129" t="e">
        <f>'Compiled Agents'!F112+"h_l!'6;"</f>
        <v>#VALUE!</v>
      </c>
      <c r="GK129" t="e">
        <f>'Compiled Agents'!G112+"h_l!'6&lt;"</f>
        <v>#VALUE!</v>
      </c>
      <c r="GL129" t="e">
        <f>'Compiled Agents'!H112+"h_l!'6="</f>
        <v>#VALUE!</v>
      </c>
      <c r="GM129" t="e">
        <f>'Compiled Agents'!A113+"h_l!'6&gt;"</f>
        <v>#VALUE!</v>
      </c>
      <c r="GN129" t="e">
        <f>'Compiled Agents'!B113+"h_l!'6?"</f>
        <v>#VALUE!</v>
      </c>
      <c r="GO129" t="e">
        <f>'Compiled Agents'!C113+"h_l!'6@"</f>
        <v>#VALUE!</v>
      </c>
      <c r="GP129" t="e">
        <f>'Compiled Agents'!E113+"h_l!'6A"</f>
        <v>#VALUE!</v>
      </c>
      <c r="GQ129" t="e">
        <f>'Compiled Agents'!F113+"h_l!'6B"</f>
        <v>#VALUE!</v>
      </c>
      <c r="GR129" t="e">
        <f>'Compiled Agents'!G113+"h_l!'6C"</f>
        <v>#VALUE!</v>
      </c>
      <c r="GS129" t="e">
        <f>'Compiled Agents'!H113+"h_l!'6D"</f>
        <v>#VALUE!</v>
      </c>
      <c r="GT129" t="e">
        <f>'Compiled Agents'!A114+"h_l!'6E"</f>
        <v>#VALUE!</v>
      </c>
      <c r="GU129" t="e">
        <f>'Compiled Agents'!B114+"h_l!'6F"</f>
        <v>#VALUE!</v>
      </c>
      <c r="GV129" t="e">
        <f>'Compiled Agents'!C114+"h_l!'6G"</f>
        <v>#VALUE!</v>
      </c>
      <c r="GW129" t="e">
        <f>'Compiled Agents'!E114+"h_l!'6H"</f>
        <v>#VALUE!</v>
      </c>
      <c r="GX129" t="e">
        <f>'Compiled Agents'!F114+"h_l!'6I"</f>
        <v>#VALUE!</v>
      </c>
      <c r="GY129" t="e">
        <f>'Compiled Agents'!G114+"h_l!'6J"</f>
        <v>#VALUE!</v>
      </c>
      <c r="GZ129" t="e">
        <f>'Compiled Agents'!H114+"h_l!'6K"</f>
        <v>#VALUE!</v>
      </c>
      <c r="HA129" t="e">
        <f>'Compiled Agents'!A115+"h_l!'6L"</f>
        <v>#VALUE!</v>
      </c>
      <c r="HB129" t="e">
        <f>'Compiled Agents'!B115+"h_l!'6M"</f>
        <v>#VALUE!</v>
      </c>
      <c r="HC129" t="e">
        <f>'Compiled Agents'!C115+"h_l!'6N"</f>
        <v>#VALUE!</v>
      </c>
      <c r="HD129" t="e">
        <f>'Compiled Agents'!E115+"h_l!'6O"</f>
        <v>#VALUE!</v>
      </c>
      <c r="HE129" t="e">
        <f>'Compiled Agents'!F115+"h_l!'6P"</f>
        <v>#VALUE!</v>
      </c>
      <c r="HF129" t="e">
        <f>'Compiled Agents'!G115+"h_l!'6Q"</f>
        <v>#VALUE!</v>
      </c>
      <c r="HG129" t="e">
        <f>'Compiled Agents'!H115+"h_l!'6R"</f>
        <v>#VALUE!</v>
      </c>
      <c r="HH129" t="e">
        <f>'Compiled Agents'!A116+"h_l!'6S"</f>
        <v>#VALUE!</v>
      </c>
      <c r="HI129" t="e">
        <f>'Compiled Agents'!B116+"h_l!'6T"</f>
        <v>#VALUE!</v>
      </c>
      <c r="HJ129" t="e">
        <f>'Compiled Agents'!C116+"h_l!'6U"</f>
        <v>#VALUE!</v>
      </c>
      <c r="HK129" t="e">
        <f>'Compiled Agents'!E116+"h_l!'6V"</f>
        <v>#VALUE!</v>
      </c>
      <c r="HL129" t="e">
        <f>'Compiled Agents'!F116+"h_l!'6W"</f>
        <v>#VALUE!</v>
      </c>
      <c r="HM129" t="e">
        <f>'Compiled Agents'!G116+"h_l!'6X"</f>
        <v>#VALUE!</v>
      </c>
      <c r="HN129" t="e">
        <f>'Compiled Agents'!H116+"h_l!'6Y"</f>
        <v>#VALUE!</v>
      </c>
      <c r="HO129" t="e">
        <f>'Compiled Agents'!A117+"h_l!'6Z"</f>
        <v>#VALUE!</v>
      </c>
      <c r="HP129" t="e">
        <f>'Compiled Agents'!B117+"h_l!'6["</f>
        <v>#VALUE!</v>
      </c>
      <c r="HQ129" t="e">
        <f>'Compiled Agents'!C117+"h_l!'6\"</f>
        <v>#VALUE!</v>
      </c>
      <c r="HR129" t="e">
        <f>'Compiled Agents'!E117+"h_l!'6]"</f>
        <v>#VALUE!</v>
      </c>
      <c r="HS129" t="e">
        <f>'Compiled Agents'!F117+"h_l!'6^"</f>
        <v>#VALUE!</v>
      </c>
      <c r="HT129" t="e">
        <f>'Compiled Agents'!G117+"h_l!'6_"</f>
        <v>#VALUE!</v>
      </c>
      <c r="HU129" t="e">
        <f>'Compiled Agents'!H117+"h_l!'6`"</f>
        <v>#VALUE!</v>
      </c>
      <c r="HV129" t="e">
        <f>'Compiled Agents'!A118+"h_l!'6a"</f>
        <v>#VALUE!</v>
      </c>
      <c r="HW129" t="e">
        <f>'Compiled Agents'!B118+"h_l!'6b"</f>
        <v>#VALUE!</v>
      </c>
      <c r="HX129" t="e">
        <f>'Compiled Agents'!C118+"h_l!'6c"</f>
        <v>#VALUE!</v>
      </c>
      <c r="HY129" t="e">
        <f>'Compiled Agents'!E118+"h_l!'6d"</f>
        <v>#VALUE!</v>
      </c>
      <c r="HZ129" t="e">
        <f>'Compiled Agents'!F118+"h_l!'6e"</f>
        <v>#VALUE!</v>
      </c>
      <c r="IA129" t="e">
        <f>'Compiled Agents'!G118+"h_l!'6f"</f>
        <v>#VALUE!</v>
      </c>
      <c r="IB129" t="e">
        <f>'Compiled Agents'!H118+"h_l!'6g"</f>
        <v>#VALUE!</v>
      </c>
      <c r="IC129" t="e">
        <f>'Compiled Agents'!A119+"h_l!'6h"</f>
        <v>#VALUE!</v>
      </c>
      <c r="ID129" t="e">
        <f>'Compiled Agents'!B119+"h_l!'6i"</f>
        <v>#VALUE!</v>
      </c>
      <c r="IE129" t="e">
        <f>'Compiled Agents'!C119+"h_l!'6j"</f>
        <v>#VALUE!</v>
      </c>
      <c r="IF129" t="e">
        <f>'Compiled Agents'!E119+"h_l!'6k"</f>
        <v>#VALUE!</v>
      </c>
      <c r="IG129" t="e">
        <f>'Compiled Agents'!F119+"h_l!'6l"</f>
        <v>#VALUE!</v>
      </c>
      <c r="IH129" t="e">
        <f>'Compiled Agents'!G119+"h_l!'6m"</f>
        <v>#VALUE!</v>
      </c>
      <c r="II129" t="e">
        <f>'Compiled Agents'!H119+"h_l!'6n"</f>
        <v>#VALUE!</v>
      </c>
      <c r="IJ129" t="e">
        <f>'Compiled Agents'!A120+"h_l!'6o"</f>
        <v>#VALUE!</v>
      </c>
      <c r="IK129" t="e">
        <f>'Compiled Agents'!B120+"h_l!'6p"</f>
        <v>#VALUE!</v>
      </c>
      <c r="IL129" t="e">
        <f>'Compiled Agents'!C120+"h_l!'6q"</f>
        <v>#VALUE!</v>
      </c>
      <c r="IM129" t="e">
        <f>'Compiled Agents'!E120+"h_l!'6r"</f>
        <v>#VALUE!</v>
      </c>
      <c r="IN129" t="e">
        <f>'Compiled Agents'!F120+"h_l!'6s"</f>
        <v>#VALUE!</v>
      </c>
      <c r="IO129" t="e">
        <f>'Compiled Agents'!G120+"h_l!'6t"</f>
        <v>#VALUE!</v>
      </c>
      <c r="IP129" t="e">
        <f>'Compiled Agents'!H120+"h_l!'6u"</f>
        <v>#VALUE!</v>
      </c>
      <c r="IQ129" t="e">
        <f>'Compiled Agents'!A121+"h_l!'6v"</f>
        <v>#VALUE!</v>
      </c>
      <c r="IR129" t="e">
        <f>'Compiled Agents'!B121+"h_l!'6w"</f>
        <v>#VALUE!</v>
      </c>
      <c r="IS129" t="e">
        <f>'Compiled Agents'!C121+"h_l!'6x"</f>
        <v>#VALUE!</v>
      </c>
      <c r="IT129" t="e">
        <f>'Compiled Agents'!E121+"h_l!'6y"</f>
        <v>#VALUE!</v>
      </c>
      <c r="IU129" t="e">
        <f>'Compiled Agents'!F121+"h_l!'6z"</f>
        <v>#VALUE!</v>
      </c>
      <c r="IV129" t="e">
        <f>'Compiled Agents'!G121+"h_l!'6{"</f>
        <v>#VALUE!</v>
      </c>
    </row>
    <row r="130" spans="6:256" x14ac:dyDescent="0.25">
      <c r="F130" t="e">
        <f>'Compiled Agents'!H121+"h_l!'6|"</f>
        <v>#VALUE!</v>
      </c>
      <c r="G130" t="e">
        <f>'Compiled Agents'!A122+"h_l!'6}"</f>
        <v>#VALUE!</v>
      </c>
      <c r="H130" t="e">
        <f>'Compiled Agents'!B122+"h_l!'6~"</f>
        <v>#VALUE!</v>
      </c>
      <c r="I130" t="e">
        <f>'Compiled Agents'!C122+"h_l!'7#"</f>
        <v>#VALUE!</v>
      </c>
      <c r="J130" t="e">
        <f>'Compiled Agents'!E122+"h_l!'7$"</f>
        <v>#VALUE!</v>
      </c>
      <c r="K130" t="e">
        <f>'Compiled Agents'!F122+"h_l!'7%"</f>
        <v>#VALUE!</v>
      </c>
      <c r="L130" t="e">
        <f>'Compiled Agents'!G122+"h_l!'7&amp;"</f>
        <v>#VALUE!</v>
      </c>
      <c r="M130" t="e">
        <f>'Compiled Agents'!H122+"h_l!'7'"</f>
        <v>#VALUE!</v>
      </c>
      <c r="N130" t="e">
        <f>'Compiled Agents'!A123+"h_l!'7("</f>
        <v>#VALUE!</v>
      </c>
      <c r="O130" t="e">
        <f>'Compiled Agents'!B123+"h_l!'7)"</f>
        <v>#VALUE!</v>
      </c>
      <c r="P130" t="e">
        <f>'Compiled Agents'!C123+"h_l!'7."</f>
        <v>#VALUE!</v>
      </c>
      <c r="Q130" t="e">
        <f>'Compiled Agents'!E123+"h_l!'7/"</f>
        <v>#VALUE!</v>
      </c>
      <c r="R130" t="e">
        <f>'Compiled Agents'!F123+"h_l!'70"</f>
        <v>#VALUE!</v>
      </c>
      <c r="S130" t="e">
        <f>'Compiled Agents'!G123+"h_l!'71"</f>
        <v>#VALUE!</v>
      </c>
      <c r="T130" t="e">
        <f>'Compiled Agents'!H123+"h_l!'72"</f>
        <v>#VALUE!</v>
      </c>
      <c r="U130" t="e">
        <f>'Compiled Agents'!A124+"h_l!'73"</f>
        <v>#VALUE!</v>
      </c>
      <c r="V130" t="e">
        <f>'Compiled Agents'!B124+"h_l!'74"</f>
        <v>#VALUE!</v>
      </c>
      <c r="W130" t="e">
        <f>'Compiled Agents'!C124+"h_l!'75"</f>
        <v>#VALUE!</v>
      </c>
      <c r="X130" t="e">
        <f>'Compiled Agents'!E124+"h_l!'76"</f>
        <v>#VALUE!</v>
      </c>
      <c r="Y130" t="e">
        <f>'Compiled Agents'!F124+"h_l!'77"</f>
        <v>#VALUE!</v>
      </c>
      <c r="Z130" t="e">
        <f>'Compiled Agents'!G124+"h_l!'78"</f>
        <v>#VALUE!</v>
      </c>
      <c r="AA130" t="e">
        <f>'Compiled Agents'!H124+"h_l!'79"</f>
        <v>#VALUE!</v>
      </c>
      <c r="AB130" t="e">
        <f>'Compiled Agents'!A125+"h_l!'7:"</f>
        <v>#VALUE!</v>
      </c>
      <c r="AC130" t="e">
        <f>'Compiled Agents'!B125+"h_l!'7;"</f>
        <v>#VALUE!</v>
      </c>
      <c r="AD130" t="e">
        <f>'Compiled Agents'!C125+"h_l!'7&lt;"</f>
        <v>#VALUE!</v>
      </c>
      <c r="AE130" t="e">
        <f>'Compiled Agents'!E125+"h_l!'7="</f>
        <v>#VALUE!</v>
      </c>
      <c r="AF130" t="e">
        <f>'Compiled Agents'!F125+"h_l!'7&gt;"</f>
        <v>#VALUE!</v>
      </c>
      <c r="AG130" t="e">
        <f>'Compiled Agents'!G125+"h_l!'7?"</f>
        <v>#VALUE!</v>
      </c>
      <c r="AH130" t="e">
        <f>'Compiled Agents'!H125+"h_l!'7@"</f>
        <v>#VALUE!</v>
      </c>
      <c r="AI130" t="e">
        <f>'Compiled Agents'!A126+"h_l!'7A"</f>
        <v>#VALUE!</v>
      </c>
      <c r="AJ130" t="e">
        <f>'Compiled Agents'!B126+"h_l!'7B"</f>
        <v>#VALUE!</v>
      </c>
      <c r="AK130" t="e">
        <f>'Compiled Agents'!C126+"h_l!'7C"</f>
        <v>#VALUE!</v>
      </c>
      <c r="AL130" t="e">
        <f>'Compiled Agents'!E126+"h_l!'7D"</f>
        <v>#VALUE!</v>
      </c>
      <c r="AM130" t="e">
        <f>'Compiled Agents'!F126+"h_l!'7E"</f>
        <v>#VALUE!</v>
      </c>
      <c r="AN130" t="e">
        <f>'Compiled Agents'!G126+"h_l!'7F"</f>
        <v>#VALUE!</v>
      </c>
      <c r="AO130" t="e">
        <f>'Compiled Agents'!H126+"h_l!'7G"</f>
        <v>#VALUE!</v>
      </c>
      <c r="AP130" t="e">
        <f>'Compiled Agents'!A127+"h_l!'7H"</f>
        <v>#VALUE!</v>
      </c>
      <c r="AQ130" t="e">
        <f>'Compiled Agents'!B127+"h_l!'7I"</f>
        <v>#VALUE!</v>
      </c>
      <c r="AR130" t="e">
        <f>'Compiled Agents'!C127+"h_l!'7J"</f>
        <v>#VALUE!</v>
      </c>
      <c r="AS130" t="e">
        <f>'Compiled Agents'!E127+"h_l!'7K"</f>
        <v>#VALUE!</v>
      </c>
      <c r="AT130" t="e">
        <f>'Compiled Agents'!F127+"h_l!'7L"</f>
        <v>#VALUE!</v>
      </c>
      <c r="AU130" t="e">
        <f>'Compiled Agents'!G127+"h_l!'7M"</f>
        <v>#VALUE!</v>
      </c>
      <c r="AV130" t="e">
        <f>'Compiled Agents'!H127+"h_l!'7N"</f>
        <v>#VALUE!</v>
      </c>
      <c r="AW130" t="e">
        <f>'Compiled Agents'!A128+"h_l!'7O"</f>
        <v>#VALUE!</v>
      </c>
      <c r="AX130" t="e">
        <f>'Compiled Agents'!B128+"h_l!'7P"</f>
        <v>#VALUE!</v>
      </c>
      <c r="AY130" t="e">
        <f>'Compiled Agents'!C128+"h_l!'7Q"</f>
        <v>#VALUE!</v>
      </c>
      <c r="AZ130" t="e">
        <f>'Compiled Agents'!E128+"h_l!'7R"</f>
        <v>#VALUE!</v>
      </c>
      <c r="BA130" t="e">
        <f>'Compiled Agents'!F128+"h_l!'7S"</f>
        <v>#VALUE!</v>
      </c>
      <c r="BB130" t="e">
        <f>'Compiled Agents'!G128+"h_l!'7T"</f>
        <v>#VALUE!</v>
      </c>
      <c r="BC130" t="e">
        <f>'Compiled Agents'!H128+"h_l!'7U"</f>
        <v>#VALUE!</v>
      </c>
      <c r="BD130" t="e">
        <f>'Compiled Agents'!A129+"h_l!'7V"</f>
        <v>#VALUE!</v>
      </c>
      <c r="BE130" t="e">
        <f>'Compiled Agents'!B129+"h_l!'7W"</f>
        <v>#VALUE!</v>
      </c>
      <c r="BF130" t="e">
        <f>'Compiled Agents'!C129+"h_l!'7X"</f>
        <v>#VALUE!</v>
      </c>
      <c r="BG130" t="e">
        <f>'Compiled Agents'!E129+"h_l!'7Y"</f>
        <v>#VALUE!</v>
      </c>
      <c r="BH130" t="e">
        <f>'Compiled Agents'!F129+"h_l!'7Z"</f>
        <v>#VALUE!</v>
      </c>
      <c r="BI130" t="e">
        <f>'Compiled Agents'!G129+"h_l!'7["</f>
        <v>#VALUE!</v>
      </c>
      <c r="BJ130" t="e">
        <f>'Compiled Agents'!H129+"h_l!'7\"</f>
        <v>#VALUE!</v>
      </c>
      <c r="BK130" t="e">
        <f>'Compiled Agents'!A130+"h_l!'7]"</f>
        <v>#VALUE!</v>
      </c>
      <c r="BL130" t="e">
        <f>'Compiled Agents'!B130+"h_l!'7^"</f>
        <v>#VALUE!</v>
      </c>
      <c r="BM130" t="e">
        <f>'Compiled Agents'!C130+"h_l!'7_"</f>
        <v>#VALUE!</v>
      </c>
      <c r="BN130" t="e">
        <f>'Compiled Agents'!E130+"h_l!'7`"</f>
        <v>#VALUE!</v>
      </c>
      <c r="BO130" t="e">
        <f>'Compiled Agents'!F130+"h_l!'7a"</f>
        <v>#VALUE!</v>
      </c>
      <c r="BP130" t="e">
        <f>'Compiled Agents'!G130+"h_l!'7b"</f>
        <v>#VALUE!</v>
      </c>
      <c r="BQ130" t="e">
        <f>'Compiled Agents'!H130+"h_l!'7c"</f>
        <v>#VALUE!</v>
      </c>
      <c r="BR130" t="e">
        <f>'Compiled Agents'!A131+"h_l!'7d"</f>
        <v>#VALUE!</v>
      </c>
      <c r="BS130" t="e">
        <f>'Compiled Agents'!B131+"h_l!'7e"</f>
        <v>#VALUE!</v>
      </c>
      <c r="BT130" t="e">
        <f>'Compiled Agents'!C131+"h_l!'7f"</f>
        <v>#VALUE!</v>
      </c>
      <c r="BU130" t="e">
        <f>'Compiled Agents'!E131+"h_l!'7g"</f>
        <v>#VALUE!</v>
      </c>
      <c r="BV130" t="e">
        <f>'Compiled Agents'!F131+"h_l!'7h"</f>
        <v>#VALUE!</v>
      </c>
      <c r="BW130" t="e">
        <f>'Compiled Agents'!G131+"h_l!'7i"</f>
        <v>#VALUE!</v>
      </c>
      <c r="BX130" t="e">
        <f>'Compiled Agents'!H131+"h_l!'7j"</f>
        <v>#VALUE!</v>
      </c>
      <c r="BY130" t="e">
        <f>'Compiled Agents'!A132+"h_l!'7k"</f>
        <v>#VALUE!</v>
      </c>
      <c r="BZ130" t="e">
        <f>'Compiled Agents'!B132+"h_l!'7l"</f>
        <v>#VALUE!</v>
      </c>
      <c r="CA130" t="e">
        <f>'Compiled Agents'!C132+"h_l!'7m"</f>
        <v>#VALUE!</v>
      </c>
      <c r="CB130" t="e">
        <f>'Compiled Agents'!E132+"h_l!'7n"</f>
        <v>#VALUE!</v>
      </c>
      <c r="CC130" t="e">
        <f>'Compiled Agents'!F132+"h_l!'7o"</f>
        <v>#VALUE!</v>
      </c>
      <c r="CD130" t="e">
        <f>'Compiled Agents'!G132+"h_l!'7p"</f>
        <v>#VALUE!</v>
      </c>
      <c r="CE130" t="e">
        <f>'Compiled Agents'!H132+"h_l!'7q"</f>
        <v>#VALUE!</v>
      </c>
      <c r="CF130" t="e">
        <f>'Compiled Agents'!A133+"h_l!'7r"</f>
        <v>#VALUE!</v>
      </c>
      <c r="CG130" t="e">
        <f>'Compiled Agents'!B133+"h_l!'7s"</f>
        <v>#VALUE!</v>
      </c>
      <c r="CH130" t="e">
        <f>'Compiled Agents'!C133+"h_l!'7t"</f>
        <v>#VALUE!</v>
      </c>
      <c r="CI130" t="e">
        <f>'Compiled Agents'!E133+"h_l!'7u"</f>
        <v>#VALUE!</v>
      </c>
      <c r="CJ130" t="e">
        <f>'Compiled Agents'!F133+"h_l!'7v"</f>
        <v>#VALUE!</v>
      </c>
      <c r="CK130" t="e">
        <f>'Compiled Agents'!G133+"h_l!'7w"</f>
        <v>#VALUE!</v>
      </c>
      <c r="CL130" t="e">
        <f>'Compiled Agents'!H133+"h_l!'7x"</f>
        <v>#VALUE!</v>
      </c>
      <c r="CM130" t="e">
        <f>'Compiled Agents'!A134+"h_l!'7y"</f>
        <v>#VALUE!</v>
      </c>
      <c r="CN130" t="e">
        <f>'Compiled Agents'!B134+"h_l!'7z"</f>
        <v>#VALUE!</v>
      </c>
      <c r="CO130" t="e">
        <f>'Compiled Agents'!C134+"h_l!'7{"</f>
        <v>#VALUE!</v>
      </c>
      <c r="CP130" t="e">
        <f>'Compiled Agents'!E134+"h_l!'7|"</f>
        <v>#VALUE!</v>
      </c>
      <c r="CQ130" t="e">
        <f>'Compiled Agents'!F134+"h_l!'7}"</f>
        <v>#VALUE!</v>
      </c>
      <c r="CR130" t="e">
        <f>'Compiled Agents'!G134+"h_l!'7~"</f>
        <v>#VALUE!</v>
      </c>
      <c r="CS130" t="e">
        <f>'Compiled Agents'!H134+"h_l!'8#"</f>
        <v>#VALUE!</v>
      </c>
      <c r="CT130" t="e">
        <f>'Compiled Agents'!A135+"h_l!'8$"</f>
        <v>#VALUE!</v>
      </c>
      <c r="CU130" t="e">
        <f>'Compiled Agents'!B135+"h_l!'8%"</f>
        <v>#VALUE!</v>
      </c>
      <c r="CV130" t="e">
        <f>'Compiled Agents'!C135+"h_l!'8&amp;"</f>
        <v>#VALUE!</v>
      </c>
      <c r="CW130" t="e">
        <f>'Compiled Agents'!E135+"h_l!'8'"</f>
        <v>#VALUE!</v>
      </c>
      <c r="CX130" t="e">
        <f>'Compiled Agents'!F135+"h_l!'8("</f>
        <v>#VALUE!</v>
      </c>
      <c r="CY130" t="e">
        <f>'Compiled Agents'!G135+"h_l!'8)"</f>
        <v>#VALUE!</v>
      </c>
      <c r="CZ130" t="e">
        <f>'Compiled Agents'!H135+"h_l!'8."</f>
        <v>#VALUE!</v>
      </c>
      <c r="DA130" t="e">
        <f>'Compiled Agents'!A136+"h_l!'8/"</f>
        <v>#VALUE!</v>
      </c>
      <c r="DB130" t="e">
        <f>'Compiled Agents'!B136+"h_l!'80"</f>
        <v>#VALUE!</v>
      </c>
      <c r="DC130" t="e">
        <f>'Compiled Agents'!C136+"h_l!'81"</f>
        <v>#VALUE!</v>
      </c>
      <c r="DD130" t="e">
        <f>'Compiled Agents'!E136+"h_l!'82"</f>
        <v>#VALUE!</v>
      </c>
      <c r="DE130" t="e">
        <f>'Compiled Agents'!F136+"h_l!'83"</f>
        <v>#VALUE!</v>
      </c>
      <c r="DF130" t="e">
        <f>'Compiled Agents'!G136+"h_l!'84"</f>
        <v>#VALUE!</v>
      </c>
      <c r="DG130" t="e">
        <f>'Compiled Agents'!H136+"h_l!'85"</f>
        <v>#VALUE!</v>
      </c>
      <c r="DH130" t="e">
        <f>'Compiled Agents'!A137+"h_l!'86"</f>
        <v>#VALUE!</v>
      </c>
      <c r="DI130" t="e">
        <f>'Compiled Agents'!B137+"h_l!'87"</f>
        <v>#VALUE!</v>
      </c>
      <c r="DJ130" t="e">
        <f>'Compiled Agents'!C137+"h_l!'88"</f>
        <v>#VALUE!</v>
      </c>
      <c r="DK130" t="e">
        <f>'Compiled Agents'!E137+"h_l!'89"</f>
        <v>#VALUE!</v>
      </c>
      <c r="DL130" t="e">
        <f>'Compiled Agents'!F137+"h_l!'8:"</f>
        <v>#VALUE!</v>
      </c>
      <c r="DM130" t="e">
        <f>'Compiled Agents'!G137+"h_l!'8;"</f>
        <v>#VALUE!</v>
      </c>
      <c r="DN130" t="e">
        <f>'Compiled Agents'!H137+"h_l!'8&lt;"</f>
        <v>#VALUE!</v>
      </c>
      <c r="DO130" t="e">
        <f>'Compiled Agents'!A138+"h_l!'8="</f>
        <v>#VALUE!</v>
      </c>
      <c r="DP130" t="e">
        <f>'Compiled Agents'!B138+"h_l!'8&gt;"</f>
        <v>#VALUE!</v>
      </c>
      <c r="DQ130" t="e">
        <f>'Compiled Agents'!C138+"h_l!'8?"</f>
        <v>#VALUE!</v>
      </c>
      <c r="DR130" t="e">
        <f>'Compiled Agents'!E138+"h_l!'8@"</f>
        <v>#VALUE!</v>
      </c>
      <c r="DS130" t="e">
        <f>'Compiled Agents'!F138+"h_l!'8A"</f>
        <v>#VALUE!</v>
      </c>
      <c r="DT130" t="e">
        <f>'Compiled Agents'!G138+"h_l!'8B"</f>
        <v>#VALUE!</v>
      </c>
      <c r="DU130" t="e">
        <f>'Compiled Agents'!H138+"h_l!'8C"</f>
        <v>#VALUE!</v>
      </c>
      <c r="DV130" t="e">
        <f>'Compiled Agents'!A139+"h_l!'8D"</f>
        <v>#VALUE!</v>
      </c>
      <c r="DW130" t="e">
        <f>'Compiled Agents'!B139+"h_l!'8E"</f>
        <v>#VALUE!</v>
      </c>
      <c r="DX130" t="e">
        <f>'Compiled Agents'!C139+"h_l!'8F"</f>
        <v>#VALUE!</v>
      </c>
      <c r="DY130" t="e">
        <f>'Compiled Agents'!E139+"h_l!'8G"</f>
        <v>#VALUE!</v>
      </c>
      <c r="DZ130" t="e">
        <f>'Compiled Agents'!F139+"h_l!'8H"</f>
        <v>#VALUE!</v>
      </c>
      <c r="EA130" t="e">
        <f>'Compiled Agents'!G139+"h_l!'8I"</f>
        <v>#VALUE!</v>
      </c>
      <c r="EB130" t="e">
        <f>'Compiled Agents'!H139+"h_l!'8J"</f>
        <v>#VALUE!</v>
      </c>
      <c r="EC130" t="e">
        <f>'Compiled Agents'!A140+"h_l!'8K"</f>
        <v>#VALUE!</v>
      </c>
      <c r="ED130" t="e">
        <f>'Compiled Agents'!B140+"h_l!'8L"</f>
        <v>#VALUE!</v>
      </c>
      <c r="EE130" t="e">
        <f>'Compiled Agents'!C140+"h_l!'8M"</f>
        <v>#VALUE!</v>
      </c>
      <c r="EF130" t="e">
        <f>'Compiled Agents'!E140+"h_l!'8N"</f>
        <v>#VALUE!</v>
      </c>
      <c r="EG130" t="e">
        <f>'Compiled Agents'!F140+"h_l!'8O"</f>
        <v>#VALUE!</v>
      </c>
      <c r="EH130" t="e">
        <f>'Compiled Agents'!G140+"h_l!'8P"</f>
        <v>#VALUE!</v>
      </c>
      <c r="EI130" t="e">
        <f>'Compiled Agents'!H140+"h_l!'8Q"</f>
        <v>#VALUE!</v>
      </c>
      <c r="EJ130" t="e">
        <f>'Compiled Agents'!A141+"h_l!'8R"</f>
        <v>#VALUE!</v>
      </c>
      <c r="EK130" t="e">
        <f>'Compiled Agents'!B141+"h_l!'8S"</f>
        <v>#VALUE!</v>
      </c>
      <c r="EL130" t="e">
        <f>'Compiled Agents'!C141+"h_l!'8T"</f>
        <v>#VALUE!</v>
      </c>
      <c r="EM130" t="e">
        <f>'Compiled Agents'!E141+"h_l!'8U"</f>
        <v>#VALUE!</v>
      </c>
      <c r="EN130" t="e">
        <f>'Compiled Agents'!F141+"h_l!'8V"</f>
        <v>#VALUE!</v>
      </c>
      <c r="EO130" t="e">
        <f>'Compiled Agents'!G141+"h_l!'8W"</f>
        <v>#VALUE!</v>
      </c>
      <c r="EP130" t="e">
        <f>'Compiled Agents'!H141+"h_l!'8X"</f>
        <v>#VALUE!</v>
      </c>
      <c r="EQ130" t="e">
        <f>'Compiled Agents'!A142+"h_l!'8Y"</f>
        <v>#VALUE!</v>
      </c>
      <c r="ER130" t="e">
        <f>'Compiled Agents'!B142+"h_l!'8Z"</f>
        <v>#VALUE!</v>
      </c>
      <c r="ES130" t="e">
        <f>'Compiled Agents'!C142+"h_l!'8["</f>
        <v>#VALUE!</v>
      </c>
      <c r="ET130" t="e">
        <f>'Compiled Agents'!E142+"h_l!'8\"</f>
        <v>#VALUE!</v>
      </c>
      <c r="EU130" t="e">
        <f>'Compiled Agents'!F142+"h_l!'8]"</f>
        <v>#VALUE!</v>
      </c>
      <c r="EV130" t="e">
        <f>'Compiled Agents'!G142+"h_l!'8^"</f>
        <v>#VALUE!</v>
      </c>
      <c r="EW130" t="e">
        <f>'Compiled Agents'!H142+"h_l!'8_"</f>
        <v>#VALUE!</v>
      </c>
      <c r="EX130" t="e">
        <f>'Compiled Agents'!A143+"h_l!'8`"</f>
        <v>#VALUE!</v>
      </c>
      <c r="EY130" t="e">
        <f>'Compiled Agents'!B143+"h_l!'8a"</f>
        <v>#VALUE!</v>
      </c>
      <c r="EZ130" t="e">
        <f>'Compiled Agents'!C143+"h_l!'8b"</f>
        <v>#VALUE!</v>
      </c>
      <c r="FA130" t="e">
        <f>'Compiled Agents'!E143+"h_l!'8c"</f>
        <v>#VALUE!</v>
      </c>
      <c r="FB130" t="e">
        <f>'Compiled Agents'!F143+"h_l!'8d"</f>
        <v>#VALUE!</v>
      </c>
      <c r="FC130" t="e">
        <f>'Compiled Agents'!G143+"h_l!'8e"</f>
        <v>#VALUE!</v>
      </c>
      <c r="FD130" t="e">
        <f>'Compiled Agents'!H143+"h_l!'8f"</f>
        <v>#VALUE!</v>
      </c>
      <c r="FE130" t="e">
        <f>'Compiled Agents'!A144+"h_l!'8g"</f>
        <v>#VALUE!</v>
      </c>
      <c r="FF130" t="e">
        <f>'Compiled Agents'!B144+"h_l!'8h"</f>
        <v>#VALUE!</v>
      </c>
      <c r="FG130" t="e">
        <f>'Compiled Agents'!C144+"h_l!'8i"</f>
        <v>#VALUE!</v>
      </c>
      <c r="FH130" t="e">
        <f>'Compiled Agents'!E144+"h_l!'8j"</f>
        <v>#VALUE!</v>
      </c>
      <c r="FI130" t="e">
        <f>'Compiled Agents'!F144+"h_l!'8k"</f>
        <v>#VALUE!</v>
      </c>
      <c r="FJ130" t="e">
        <f>'Compiled Agents'!G144+"h_l!'8l"</f>
        <v>#VALUE!</v>
      </c>
      <c r="FK130" t="e">
        <f>'Compiled Agents'!H144+"h_l!'8m"</f>
        <v>#VALUE!</v>
      </c>
      <c r="FL130" t="e">
        <f>'Compiled Agents'!A145+"h_l!'8n"</f>
        <v>#VALUE!</v>
      </c>
      <c r="FM130" t="e">
        <f>'Compiled Agents'!B145+"h_l!'8o"</f>
        <v>#VALUE!</v>
      </c>
      <c r="FN130" t="e">
        <f>'Compiled Agents'!C145+"h_l!'8p"</f>
        <v>#VALUE!</v>
      </c>
      <c r="FO130" t="e">
        <f>'Compiled Agents'!E145+"h_l!'8q"</f>
        <v>#VALUE!</v>
      </c>
      <c r="FP130" t="e">
        <f>'Compiled Agents'!F145+"h_l!'8r"</f>
        <v>#VALUE!</v>
      </c>
      <c r="FQ130" t="e">
        <f>'Compiled Agents'!G145+"h_l!'8s"</f>
        <v>#VALUE!</v>
      </c>
      <c r="FR130" t="e">
        <f>'Compiled Agents'!H145+"h_l!'8t"</f>
        <v>#VALUE!</v>
      </c>
      <c r="FS130" t="e">
        <f>'Compiled Agents'!A146+"h_l!'8u"</f>
        <v>#VALUE!</v>
      </c>
      <c r="FT130" t="e">
        <f>'Compiled Agents'!B146+"h_l!'8v"</f>
        <v>#VALUE!</v>
      </c>
      <c r="FU130" t="e">
        <f>'Compiled Agents'!C146+"h_l!'8w"</f>
        <v>#VALUE!</v>
      </c>
      <c r="FV130" t="e">
        <f>'Compiled Agents'!E146+"h_l!'8x"</f>
        <v>#VALUE!</v>
      </c>
      <c r="FW130" t="e">
        <f>'Compiled Agents'!F146+"h_l!'8y"</f>
        <v>#VALUE!</v>
      </c>
      <c r="FX130" t="e">
        <f>'Compiled Agents'!G146+"h_l!'8z"</f>
        <v>#VALUE!</v>
      </c>
      <c r="FY130" t="e">
        <f>'Compiled Agents'!H146+"h_l!'8{"</f>
        <v>#VALUE!</v>
      </c>
      <c r="FZ130" t="e">
        <f>'Compiled Agents'!A147+"h_l!'8|"</f>
        <v>#VALUE!</v>
      </c>
      <c r="GA130" t="e">
        <f>'Compiled Agents'!B147+"h_l!'8}"</f>
        <v>#VALUE!</v>
      </c>
      <c r="GB130" t="e">
        <f>'Compiled Agents'!C147+"h_l!'8~"</f>
        <v>#VALUE!</v>
      </c>
      <c r="GC130" t="e">
        <f>'Compiled Agents'!E147+"h_l!'9#"</f>
        <v>#VALUE!</v>
      </c>
      <c r="GD130" t="e">
        <f>'Compiled Agents'!F147+"h_l!'9$"</f>
        <v>#VALUE!</v>
      </c>
      <c r="GE130" t="e">
        <f>'Compiled Agents'!G147+"h_l!'9%"</f>
        <v>#VALUE!</v>
      </c>
      <c r="GF130" t="e">
        <f>'Compiled Agents'!H147+"h_l!'9&amp;"</f>
        <v>#VALUE!</v>
      </c>
      <c r="GG130" t="e">
        <f>'Compiled Agents'!A148+"h_l!'9'"</f>
        <v>#VALUE!</v>
      </c>
      <c r="GH130" t="e">
        <f>'Compiled Agents'!B148+"h_l!'9("</f>
        <v>#VALUE!</v>
      </c>
      <c r="GI130" t="e">
        <f>'Compiled Agents'!C148+"h_l!'9)"</f>
        <v>#VALUE!</v>
      </c>
      <c r="GJ130" t="e">
        <f>'Compiled Agents'!E148+"h_l!'9."</f>
        <v>#VALUE!</v>
      </c>
      <c r="GK130" t="e">
        <f>'Compiled Agents'!F148+"h_l!'9/"</f>
        <v>#VALUE!</v>
      </c>
      <c r="GL130" t="e">
        <f>'Compiled Agents'!G148+"h_l!'90"</f>
        <v>#VALUE!</v>
      </c>
      <c r="GM130" t="e">
        <f>'Compiled Agents'!H148+"h_l!'91"</f>
        <v>#VALUE!</v>
      </c>
      <c r="GN130" t="e">
        <f>'Compiled Agents'!A149+"h_l!'92"</f>
        <v>#VALUE!</v>
      </c>
      <c r="GO130" t="e">
        <f>'Compiled Agents'!B149+"h_l!'93"</f>
        <v>#VALUE!</v>
      </c>
      <c r="GP130" t="e">
        <f>'Compiled Agents'!C149+"h_l!'94"</f>
        <v>#VALUE!</v>
      </c>
      <c r="GQ130" t="e">
        <f>'Compiled Agents'!E149+"h_l!'95"</f>
        <v>#VALUE!</v>
      </c>
      <c r="GR130" t="e">
        <f>'Compiled Agents'!F149+"h_l!'96"</f>
        <v>#VALUE!</v>
      </c>
      <c r="GS130" t="e">
        <f>'Compiled Agents'!G149+"h_l!'97"</f>
        <v>#VALUE!</v>
      </c>
      <c r="GT130" t="e">
        <f>'Compiled Agents'!H149+"h_l!'98"</f>
        <v>#VALUE!</v>
      </c>
      <c r="GU130" t="e">
        <f>'Compiled Agents'!A150+"h_l!'99"</f>
        <v>#VALUE!</v>
      </c>
      <c r="GV130" t="e">
        <f>'Compiled Agents'!B150+"h_l!'9:"</f>
        <v>#VALUE!</v>
      </c>
      <c r="GW130" t="e">
        <f>'Compiled Agents'!C150+"h_l!'9;"</f>
        <v>#VALUE!</v>
      </c>
      <c r="GX130" t="e">
        <f>'Compiled Agents'!E150+"h_l!'9&lt;"</f>
        <v>#VALUE!</v>
      </c>
      <c r="GY130" t="e">
        <f>'Compiled Agents'!F150+"h_l!'9="</f>
        <v>#VALUE!</v>
      </c>
      <c r="GZ130" t="e">
        <f>'Compiled Agents'!G150+"h_l!'9&gt;"</f>
        <v>#VALUE!</v>
      </c>
      <c r="HA130" t="e">
        <f>'Compiled Agents'!H150+"h_l!'9?"</f>
        <v>#VALUE!</v>
      </c>
      <c r="HB130" t="e">
        <f>'Compiled Agents'!A151+"h_l!'9@"</f>
        <v>#VALUE!</v>
      </c>
      <c r="HC130" t="e">
        <f>'Compiled Agents'!B151+"h_l!'9A"</f>
        <v>#VALUE!</v>
      </c>
      <c r="HD130" t="e">
        <f>'Compiled Agents'!C151+"h_l!'9B"</f>
        <v>#VALUE!</v>
      </c>
      <c r="HE130" t="e">
        <f>'Compiled Agents'!E151+"h_l!'9C"</f>
        <v>#VALUE!</v>
      </c>
      <c r="HF130" t="e">
        <f>'Compiled Agents'!F151+"h_l!'9D"</f>
        <v>#VALUE!</v>
      </c>
      <c r="HG130" t="e">
        <f>'Compiled Agents'!G151+"h_l!'9E"</f>
        <v>#VALUE!</v>
      </c>
      <c r="HH130" t="e">
        <f>'Compiled Agents'!H151+"h_l!'9F"</f>
        <v>#VALUE!</v>
      </c>
      <c r="HI130" t="e">
        <f>'Compiled Agents'!A152+"h_l!'9G"</f>
        <v>#VALUE!</v>
      </c>
      <c r="HJ130" t="e">
        <f>'Compiled Agents'!B152+"h_l!'9H"</f>
        <v>#VALUE!</v>
      </c>
      <c r="HK130" t="e">
        <f>'Compiled Agents'!C152+"h_l!'9I"</f>
        <v>#VALUE!</v>
      </c>
      <c r="HL130" t="e">
        <f>'Compiled Agents'!E152+"h_l!'9J"</f>
        <v>#VALUE!</v>
      </c>
      <c r="HM130" t="e">
        <f>'Compiled Agents'!F152+"h_l!'9K"</f>
        <v>#VALUE!</v>
      </c>
      <c r="HN130" t="e">
        <f>'Compiled Agents'!G152+"h_l!'9L"</f>
        <v>#VALUE!</v>
      </c>
      <c r="HO130" t="e">
        <f>'Compiled Agents'!H152+"h_l!'9M"</f>
        <v>#VALUE!</v>
      </c>
      <c r="HP130" t="e">
        <f>'Compiled Agents'!A153+"h_l!'9N"</f>
        <v>#VALUE!</v>
      </c>
      <c r="HQ130" t="e">
        <f>'Compiled Agents'!B153+"h_l!'9O"</f>
        <v>#VALUE!</v>
      </c>
      <c r="HR130" t="e">
        <f>'Compiled Agents'!C153+"h_l!'9P"</f>
        <v>#VALUE!</v>
      </c>
      <c r="HS130" t="e">
        <f>'Compiled Agents'!E153+"h_l!'9Q"</f>
        <v>#VALUE!</v>
      </c>
      <c r="HT130" t="e">
        <f>'Compiled Agents'!F153+"h_l!'9R"</f>
        <v>#VALUE!</v>
      </c>
      <c r="HU130" t="e">
        <f>'Compiled Agents'!G153+"h_l!'9S"</f>
        <v>#VALUE!</v>
      </c>
      <c r="HV130" t="e">
        <f>'Compiled Agents'!H153+"h_l!'9T"</f>
        <v>#VALUE!</v>
      </c>
      <c r="HW130" t="e">
        <f>'Compiled Agents'!A154+"h_l!'9U"</f>
        <v>#VALUE!</v>
      </c>
      <c r="HX130" t="e">
        <f>'Compiled Agents'!B154+"h_l!'9V"</f>
        <v>#VALUE!</v>
      </c>
      <c r="HY130" t="e">
        <f>'Compiled Agents'!C154+"h_l!'9W"</f>
        <v>#VALUE!</v>
      </c>
      <c r="HZ130" t="e">
        <f>'Compiled Agents'!E154+"h_l!'9X"</f>
        <v>#VALUE!</v>
      </c>
      <c r="IA130" t="e">
        <f>'Compiled Agents'!F154+"h_l!'9Y"</f>
        <v>#VALUE!</v>
      </c>
      <c r="IB130" t="e">
        <f>'Compiled Agents'!G154+"h_l!'9Z"</f>
        <v>#VALUE!</v>
      </c>
      <c r="IC130" t="e">
        <f>'Compiled Agents'!H154+"h_l!'9["</f>
        <v>#VALUE!</v>
      </c>
      <c r="ID130" t="e">
        <f>'Compiled Agents'!A155+"h_l!'9\"</f>
        <v>#VALUE!</v>
      </c>
      <c r="IE130" t="e">
        <f>'Compiled Agents'!B155+"h_l!'9]"</f>
        <v>#VALUE!</v>
      </c>
      <c r="IF130" t="e">
        <f>'Compiled Agents'!C155+"h_l!'9^"</f>
        <v>#VALUE!</v>
      </c>
      <c r="IG130" t="e">
        <f>'Compiled Agents'!E155+"h_l!'9_"</f>
        <v>#VALUE!</v>
      </c>
      <c r="IH130" t="e">
        <f>'Compiled Agents'!F155+"h_l!'9`"</f>
        <v>#VALUE!</v>
      </c>
      <c r="II130" t="e">
        <f>'Compiled Agents'!G155+"h_l!'9a"</f>
        <v>#VALUE!</v>
      </c>
      <c r="IJ130" t="e">
        <f>'Compiled Agents'!H155+"h_l!'9b"</f>
        <v>#VALUE!</v>
      </c>
      <c r="IK130" t="e">
        <f>'Compiled Agents'!A156+"h_l!'9c"</f>
        <v>#VALUE!</v>
      </c>
      <c r="IL130" t="e">
        <f>'Compiled Agents'!B156+"h_l!'9d"</f>
        <v>#VALUE!</v>
      </c>
      <c r="IM130" t="e">
        <f>'Compiled Agents'!C156+"h_l!'9e"</f>
        <v>#VALUE!</v>
      </c>
      <c r="IN130" t="e">
        <f>'Compiled Agents'!E156+"h_l!'9f"</f>
        <v>#VALUE!</v>
      </c>
      <c r="IO130" t="e">
        <f>'Compiled Agents'!F156+"h_l!'9g"</f>
        <v>#VALUE!</v>
      </c>
      <c r="IP130" t="e">
        <f>'Compiled Agents'!G156+"h_l!'9h"</f>
        <v>#VALUE!</v>
      </c>
      <c r="IQ130" t="e">
        <f>'Compiled Agents'!H156+"h_l!'9i"</f>
        <v>#VALUE!</v>
      </c>
      <c r="IR130" t="e">
        <f>'Compiled Agents'!A157+"h_l!'9j"</f>
        <v>#VALUE!</v>
      </c>
      <c r="IS130" t="e">
        <f>'Compiled Agents'!B157+"h_l!'9k"</f>
        <v>#VALUE!</v>
      </c>
      <c r="IT130" t="e">
        <f>'Compiled Agents'!C157+"h_l!'9l"</f>
        <v>#VALUE!</v>
      </c>
      <c r="IU130" t="e">
        <f>'Compiled Agents'!E157+"h_l!'9m"</f>
        <v>#VALUE!</v>
      </c>
      <c r="IV130" t="e">
        <f>'Compiled Agents'!F157+"h_l!'9n"</f>
        <v>#VALUE!</v>
      </c>
    </row>
    <row r="131" spans="6:256" x14ac:dyDescent="0.25">
      <c r="F131" t="e">
        <f>'Compiled Agents'!G157+"h_l!'9o"</f>
        <v>#VALUE!</v>
      </c>
      <c r="G131" t="e">
        <f>'Compiled Agents'!H157+"h_l!'9p"</f>
        <v>#VALUE!</v>
      </c>
      <c r="H131" t="e">
        <f>'Compiled Agents'!A158+"h_l!'9q"</f>
        <v>#VALUE!</v>
      </c>
      <c r="I131" t="e">
        <f>'Compiled Agents'!B158+"h_l!'9r"</f>
        <v>#VALUE!</v>
      </c>
      <c r="J131" t="e">
        <f>'Compiled Agents'!C158+"h_l!'9s"</f>
        <v>#VALUE!</v>
      </c>
      <c r="K131" t="e">
        <f>'Compiled Agents'!E158+"h_l!'9t"</f>
        <v>#VALUE!</v>
      </c>
      <c r="L131" t="e">
        <f>'Compiled Agents'!F158+"h_l!'9u"</f>
        <v>#VALUE!</v>
      </c>
      <c r="M131" t="e">
        <f>'Compiled Agents'!G158+"h_l!'9v"</f>
        <v>#VALUE!</v>
      </c>
      <c r="N131" t="e">
        <f>'Compiled Agents'!H158+"h_l!'9w"</f>
        <v>#VALUE!</v>
      </c>
      <c r="O131" t="e">
        <f>'Compiled Agents'!A159+"h_l!'9x"</f>
        <v>#VALUE!</v>
      </c>
      <c r="P131" t="e">
        <f>'Compiled Agents'!B159+"h_l!'9y"</f>
        <v>#VALUE!</v>
      </c>
      <c r="Q131" t="e">
        <f>'Compiled Agents'!C159+"h_l!'9z"</f>
        <v>#VALUE!</v>
      </c>
      <c r="R131" t="e">
        <f>'Compiled Agents'!E159+"h_l!'9{"</f>
        <v>#VALUE!</v>
      </c>
      <c r="S131" t="e">
        <f>'Compiled Agents'!F159+"h_l!'9|"</f>
        <v>#VALUE!</v>
      </c>
      <c r="T131" t="e">
        <f>'Compiled Agents'!G159+"h_l!'9}"</f>
        <v>#VALUE!</v>
      </c>
      <c r="U131" t="e">
        <f>'Compiled Agents'!H159+"h_l!'9~"</f>
        <v>#VALUE!</v>
      </c>
      <c r="V131" t="e">
        <f>'Compiled Agents'!A160+"h_l!':#"</f>
        <v>#VALUE!</v>
      </c>
      <c r="W131" t="e">
        <f>'Compiled Agents'!B160+"h_l!':$"</f>
        <v>#VALUE!</v>
      </c>
      <c r="X131" t="e">
        <f>'Compiled Agents'!C160+"h_l!':%"</f>
        <v>#VALUE!</v>
      </c>
      <c r="Y131" t="e">
        <f>'Compiled Agents'!E160+"h_l!':&amp;"</f>
        <v>#VALUE!</v>
      </c>
      <c r="Z131" t="e">
        <f>'Compiled Agents'!F160+"h_l!':'"</f>
        <v>#VALUE!</v>
      </c>
      <c r="AA131" t="e">
        <f>'Compiled Agents'!G160+"h_l!':("</f>
        <v>#VALUE!</v>
      </c>
      <c r="AB131" t="e">
        <f>'Compiled Agents'!H160+"h_l!':)"</f>
        <v>#VALUE!</v>
      </c>
      <c r="AC131" t="e">
        <f>'Compiled Agents'!A161+"h_l!':."</f>
        <v>#VALUE!</v>
      </c>
      <c r="AD131" t="e">
        <f>'Compiled Agents'!B161+"h_l!':/"</f>
        <v>#VALUE!</v>
      </c>
      <c r="AE131" t="e">
        <f>'Compiled Agents'!C161+"h_l!':0"</f>
        <v>#VALUE!</v>
      </c>
      <c r="AF131" t="e">
        <f>'Compiled Agents'!E161+"h_l!':1"</f>
        <v>#VALUE!</v>
      </c>
      <c r="AG131" t="e">
        <f>'Compiled Agents'!F161+"h_l!':2"</f>
        <v>#VALUE!</v>
      </c>
      <c r="AH131" t="e">
        <f>'Compiled Agents'!G161+"h_l!':3"</f>
        <v>#VALUE!</v>
      </c>
      <c r="AI131" t="e">
        <f>'Compiled Agents'!H161+"h_l!':4"</f>
        <v>#VALUE!</v>
      </c>
      <c r="AJ131" t="e">
        <f>'Compiled Agents'!A162+"h_l!':5"</f>
        <v>#VALUE!</v>
      </c>
      <c r="AK131" t="e">
        <f>'Compiled Agents'!B162+"h_l!':6"</f>
        <v>#VALUE!</v>
      </c>
      <c r="AL131" t="e">
        <f>'Compiled Agents'!C162+"h_l!':7"</f>
        <v>#VALUE!</v>
      </c>
      <c r="AM131" t="e">
        <f>'Compiled Agents'!E162+"h_l!':8"</f>
        <v>#VALUE!</v>
      </c>
      <c r="AN131" t="e">
        <f>'Compiled Agents'!F162+"h_l!':9"</f>
        <v>#VALUE!</v>
      </c>
      <c r="AO131" t="e">
        <f>'Compiled Agents'!G162+"h_l!'::"</f>
        <v>#VALUE!</v>
      </c>
      <c r="AP131" t="e">
        <f>'Compiled Agents'!H162+"h_l!':;"</f>
        <v>#VALUE!</v>
      </c>
      <c r="AQ131" t="e">
        <f>'Compiled Agents'!A163+"h_l!':&lt;"</f>
        <v>#VALUE!</v>
      </c>
      <c r="AR131" t="e">
        <f>'Compiled Agents'!B163+"h_l!':="</f>
        <v>#VALUE!</v>
      </c>
      <c r="AS131" t="e">
        <f>'Compiled Agents'!C163+"h_l!':&gt;"</f>
        <v>#VALUE!</v>
      </c>
      <c r="AT131" t="e">
        <f>'Compiled Agents'!E163+"h_l!':?"</f>
        <v>#VALUE!</v>
      </c>
      <c r="AU131" t="e">
        <f>'Compiled Agents'!F163+"h_l!':@"</f>
        <v>#VALUE!</v>
      </c>
      <c r="AV131" t="e">
        <f>'Compiled Agents'!G163+"h_l!':A"</f>
        <v>#VALUE!</v>
      </c>
      <c r="AW131" t="e">
        <f>'Compiled Agents'!H163+"h_l!':B"</f>
        <v>#VALUE!</v>
      </c>
      <c r="AX131" t="e">
        <f>'Compiled Agents'!A164+"h_l!':C"</f>
        <v>#VALUE!</v>
      </c>
      <c r="AY131" t="e">
        <f>'Compiled Agents'!B164+"h_l!':D"</f>
        <v>#VALUE!</v>
      </c>
      <c r="AZ131" t="e">
        <f>'Compiled Agents'!C164+"h_l!':E"</f>
        <v>#VALUE!</v>
      </c>
      <c r="BA131" t="e">
        <f>'Compiled Agents'!E164+"h_l!':F"</f>
        <v>#VALUE!</v>
      </c>
      <c r="BB131" t="e">
        <f>'Compiled Agents'!F164+"h_l!':G"</f>
        <v>#VALUE!</v>
      </c>
      <c r="BC131" t="e">
        <f>'Compiled Agents'!G164+"h_l!':H"</f>
        <v>#VALUE!</v>
      </c>
      <c r="BD131" t="e">
        <f>'Compiled Agents'!H164+"h_l!':I"</f>
        <v>#VALUE!</v>
      </c>
      <c r="BE131" t="e">
        <f>'Compiled Agents'!A165+"h_l!':J"</f>
        <v>#VALUE!</v>
      </c>
      <c r="BF131" t="e">
        <f>'Compiled Agents'!B165+"h_l!':K"</f>
        <v>#VALUE!</v>
      </c>
      <c r="BG131" t="e">
        <f>'Compiled Agents'!C165+"h_l!':L"</f>
        <v>#VALUE!</v>
      </c>
      <c r="BH131" t="e">
        <f>'Compiled Agents'!E165+"h_l!':M"</f>
        <v>#VALUE!</v>
      </c>
      <c r="BI131" t="e">
        <f>'Compiled Agents'!F165+"h_l!':N"</f>
        <v>#VALUE!</v>
      </c>
      <c r="BJ131" t="e">
        <f>'Compiled Agents'!G165+"h_l!':O"</f>
        <v>#VALUE!</v>
      </c>
      <c r="BK131" t="e">
        <f>'Compiled Agents'!H165+"h_l!':P"</f>
        <v>#VALUE!</v>
      </c>
      <c r="BL131" t="e">
        <f>'Compiled Agents'!A166+"h_l!':Q"</f>
        <v>#VALUE!</v>
      </c>
      <c r="BM131" t="e">
        <f>'Compiled Agents'!B166+"h_l!':R"</f>
        <v>#VALUE!</v>
      </c>
      <c r="BN131" t="e">
        <f>'Compiled Agents'!C166+"h_l!':S"</f>
        <v>#VALUE!</v>
      </c>
      <c r="BO131" t="e">
        <f>'Compiled Agents'!E166+"h_l!':T"</f>
        <v>#VALUE!</v>
      </c>
      <c r="BP131" t="e">
        <f>'Compiled Agents'!F166+"h_l!':U"</f>
        <v>#VALUE!</v>
      </c>
      <c r="BQ131" t="e">
        <f>'Compiled Agents'!G166+"h_l!':V"</f>
        <v>#VALUE!</v>
      </c>
      <c r="BR131" t="e">
        <f>'Compiled Agents'!H166+"h_l!':W"</f>
        <v>#VALUE!</v>
      </c>
      <c r="BS131" t="e">
        <f>'Compiled Agents'!A167+"h_l!':X"</f>
        <v>#VALUE!</v>
      </c>
      <c r="BT131" t="e">
        <f>'Compiled Agents'!B167+"h_l!':Y"</f>
        <v>#VALUE!</v>
      </c>
      <c r="BU131" t="e">
        <f>'Compiled Agents'!C167+"h_l!':Z"</f>
        <v>#VALUE!</v>
      </c>
      <c r="BV131" t="e">
        <f>'Compiled Agents'!E167+"h_l!':["</f>
        <v>#VALUE!</v>
      </c>
      <c r="BW131" t="e">
        <f>'Compiled Agents'!F167+"h_l!':\"</f>
        <v>#VALUE!</v>
      </c>
      <c r="BX131" t="e">
        <f>'Compiled Agents'!G167+"h_l!':]"</f>
        <v>#VALUE!</v>
      </c>
      <c r="BY131" t="e">
        <f>'Compiled Agents'!H167+"h_l!':^"</f>
        <v>#VALUE!</v>
      </c>
      <c r="BZ131" t="e">
        <f>'Compiled Agents'!A168+"h_l!':_"</f>
        <v>#VALUE!</v>
      </c>
      <c r="CA131" t="e">
        <f>'Compiled Agents'!B168+"h_l!':`"</f>
        <v>#VALUE!</v>
      </c>
      <c r="CB131" t="e">
        <f>'Compiled Agents'!C168+"h_l!':a"</f>
        <v>#VALUE!</v>
      </c>
      <c r="CC131" t="e">
        <f>'Compiled Agents'!E168+"h_l!':b"</f>
        <v>#VALUE!</v>
      </c>
      <c r="CD131" t="e">
        <f>'Compiled Agents'!F168+"h_l!':c"</f>
        <v>#VALUE!</v>
      </c>
      <c r="CE131" t="e">
        <f>'Compiled Agents'!G168+"h_l!':d"</f>
        <v>#VALUE!</v>
      </c>
      <c r="CF131" t="e">
        <f>'Compiled Agents'!H168+"h_l!':e"</f>
        <v>#VALUE!</v>
      </c>
      <c r="CG131" t="e">
        <f>'Compiled Agents'!A169+"h_l!':f"</f>
        <v>#VALUE!</v>
      </c>
      <c r="CH131" t="e">
        <f>'Compiled Agents'!B169+"h_l!':g"</f>
        <v>#VALUE!</v>
      </c>
      <c r="CI131" t="e">
        <f>'Compiled Agents'!C169+"h_l!':h"</f>
        <v>#VALUE!</v>
      </c>
      <c r="CJ131" t="e">
        <f>'Compiled Agents'!E169+"h_l!':i"</f>
        <v>#VALUE!</v>
      </c>
      <c r="CK131" t="e">
        <f>'Compiled Agents'!F169+"h_l!':j"</f>
        <v>#VALUE!</v>
      </c>
      <c r="CL131" t="e">
        <f>'Compiled Agents'!G169+"h_l!':k"</f>
        <v>#VALUE!</v>
      </c>
      <c r="CM131" t="e">
        <f>'Compiled Agents'!H169+"h_l!':l"</f>
        <v>#VALUE!</v>
      </c>
      <c r="CN131" t="e">
        <f>'Compiled Agents'!A170+"h_l!':m"</f>
        <v>#VALUE!</v>
      </c>
      <c r="CO131" t="e">
        <f>'Compiled Agents'!B170+"h_l!':n"</f>
        <v>#VALUE!</v>
      </c>
      <c r="CP131" t="e">
        <f>'Compiled Agents'!C170+"h_l!':o"</f>
        <v>#VALUE!</v>
      </c>
      <c r="CQ131" t="e">
        <f>'Compiled Agents'!E170+"h_l!':p"</f>
        <v>#VALUE!</v>
      </c>
      <c r="CR131" t="e">
        <f>'Compiled Agents'!F170+"h_l!':q"</f>
        <v>#VALUE!</v>
      </c>
      <c r="CS131" t="e">
        <f>'Compiled Agents'!G170+"h_l!':r"</f>
        <v>#VALUE!</v>
      </c>
      <c r="CT131" t="e">
        <f>'Compiled Agents'!H170+"h_l!':s"</f>
        <v>#VALUE!</v>
      </c>
      <c r="CU131" t="e">
        <f>'Compiled Agents'!A171+"h_l!':t"</f>
        <v>#VALUE!</v>
      </c>
      <c r="CV131" t="e">
        <f>'Compiled Agents'!B171+"h_l!':u"</f>
        <v>#VALUE!</v>
      </c>
      <c r="CW131" t="e">
        <f>'Compiled Agents'!C171+"h_l!':v"</f>
        <v>#VALUE!</v>
      </c>
      <c r="CX131" t="e">
        <f>'Compiled Agents'!E171+"h_l!':w"</f>
        <v>#VALUE!</v>
      </c>
      <c r="CY131" t="e">
        <f>'Compiled Agents'!F171+"h_l!':x"</f>
        <v>#VALUE!</v>
      </c>
      <c r="CZ131" t="e">
        <f>'Compiled Agents'!G171+"h_l!':y"</f>
        <v>#VALUE!</v>
      </c>
      <c r="DA131" t="e">
        <f>'Compiled Agents'!H171+"h_l!':z"</f>
        <v>#VALUE!</v>
      </c>
      <c r="DB131" t="e">
        <f>'Compiled Agents'!A172+"h_l!':{"</f>
        <v>#VALUE!</v>
      </c>
      <c r="DC131" t="e">
        <f>'Compiled Agents'!B172+"h_l!':|"</f>
        <v>#VALUE!</v>
      </c>
      <c r="DD131" t="e">
        <f>'Compiled Agents'!C172+"h_l!':}"</f>
        <v>#VALUE!</v>
      </c>
      <c r="DE131" t="e">
        <f>'Compiled Agents'!E172+"h_l!':~"</f>
        <v>#VALUE!</v>
      </c>
      <c r="DF131" t="e">
        <f>'Compiled Agents'!F172+"h_l!';#"</f>
        <v>#VALUE!</v>
      </c>
      <c r="DG131" t="e">
        <f>'Compiled Agents'!G172+"h_l!';$"</f>
        <v>#VALUE!</v>
      </c>
      <c r="DH131" t="e">
        <f>'Compiled Agents'!H172+"h_l!';%"</f>
        <v>#VALUE!</v>
      </c>
      <c r="DI131" t="e">
        <f>'Compiled Agents'!A173+"h_l!';&amp;"</f>
        <v>#VALUE!</v>
      </c>
      <c r="DJ131" t="e">
        <f>'Compiled Agents'!B173+"h_l!';'"</f>
        <v>#VALUE!</v>
      </c>
      <c r="DK131" t="e">
        <f>'Compiled Agents'!C173+"h_l!';("</f>
        <v>#VALUE!</v>
      </c>
      <c r="DL131" t="e">
        <f>'Compiled Agents'!E173+"h_l!';)"</f>
        <v>#VALUE!</v>
      </c>
      <c r="DM131" t="e">
        <f>'Compiled Agents'!F173+"h_l!';."</f>
        <v>#VALUE!</v>
      </c>
      <c r="DN131" t="e">
        <f>'Compiled Agents'!G173+"h_l!';/"</f>
        <v>#VALUE!</v>
      </c>
      <c r="DO131" t="e">
        <f>'Compiled Agents'!H173+"h_l!';0"</f>
        <v>#VALUE!</v>
      </c>
      <c r="DP131" t="e">
        <f>'Compiled Agents'!A174+"h_l!';1"</f>
        <v>#VALUE!</v>
      </c>
      <c r="DQ131" t="e">
        <f>'Compiled Agents'!B174+"h_l!';2"</f>
        <v>#VALUE!</v>
      </c>
      <c r="DR131" t="e">
        <f>'Compiled Agents'!C174+"h_l!';3"</f>
        <v>#VALUE!</v>
      </c>
      <c r="DS131" t="e">
        <f>'Compiled Agents'!E174+"h_l!';4"</f>
        <v>#VALUE!</v>
      </c>
      <c r="DT131" t="e">
        <f>'Compiled Agents'!F174+"h_l!';5"</f>
        <v>#VALUE!</v>
      </c>
      <c r="DU131" t="e">
        <f>'Compiled Agents'!G174+"h_l!';6"</f>
        <v>#VALUE!</v>
      </c>
      <c r="DV131" t="e">
        <f>'Compiled Agents'!H174+"h_l!';7"</f>
        <v>#VALUE!</v>
      </c>
      <c r="DW131" t="e">
        <f>'Compiled Agents'!A175+"h_l!';8"</f>
        <v>#VALUE!</v>
      </c>
      <c r="DX131" t="e">
        <f>'Compiled Agents'!B175+"h_l!';9"</f>
        <v>#VALUE!</v>
      </c>
      <c r="DY131" t="e">
        <f>'Compiled Agents'!C175+"h_l!';:"</f>
        <v>#VALUE!</v>
      </c>
      <c r="DZ131" t="e">
        <f>'Compiled Agents'!E175+"h_l!';;"</f>
        <v>#VALUE!</v>
      </c>
      <c r="EA131" t="e">
        <f>'Compiled Agents'!F175+"h_l!';&lt;"</f>
        <v>#VALUE!</v>
      </c>
      <c r="EB131" t="e">
        <f>'Compiled Agents'!G175+"h_l!';="</f>
        <v>#VALUE!</v>
      </c>
      <c r="EC131" t="e">
        <f>'Compiled Agents'!H175+"h_l!';&gt;"</f>
        <v>#VALUE!</v>
      </c>
      <c r="ED131" t="e">
        <f>'Compiled Agents'!A176+"h_l!';?"</f>
        <v>#VALUE!</v>
      </c>
      <c r="EE131" t="e">
        <f>'Compiled Agents'!B176+"h_l!';@"</f>
        <v>#VALUE!</v>
      </c>
      <c r="EF131" t="e">
        <f>'Compiled Agents'!C176+"h_l!';A"</f>
        <v>#VALUE!</v>
      </c>
      <c r="EG131" t="e">
        <f>'Compiled Agents'!E176+"h_l!';B"</f>
        <v>#VALUE!</v>
      </c>
      <c r="EH131" t="e">
        <f>'Compiled Agents'!F176+"h_l!';C"</f>
        <v>#VALUE!</v>
      </c>
      <c r="EI131" t="e">
        <f>'Compiled Agents'!G176+"h_l!';D"</f>
        <v>#VALUE!</v>
      </c>
      <c r="EJ131" t="e">
        <f>'Compiled Agents'!H176+"h_l!';E"</f>
        <v>#VALUE!</v>
      </c>
      <c r="EK131" t="e">
        <f>'Compiled Agents'!A177+"h_l!';F"</f>
        <v>#VALUE!</v>
      </c>
      <c r="EL131" t="e">
        <f>'Compiled Agents'!B177+"h_l!';G"</f>
        <v>#VALUE!</v>
      </c>
      <c r="EM131" t="e">
        <f>'Compiled Agents'!C177+"h_l!';H"</f>
        <v>#VALUE!</v>
      </c>
      <c r="EN131" t="e">
        <f>'Compiled Agents'!E177+"h_l!';I"</f>
        <v>#VALUE!</v>
      </c>
      <c r="EO131" t="e">
        <f>'Compiled Agents'!F177+"h_l!';J"</f>
        <v>#VALUE!</v>
      </c>
      <c r="EP131" t="e">
        <f>'Compiled Agents'!G177+"h_l!';K"</f>
        <v>#VALUE!</v>
      </c>
      <c r="EQ131" t="e">
        <f>'Compiled Agents'!H177+"h_l!';L"</f>
        <v>#VALUE!</v>
      </c>
      <c r="ER131" t="e">
        <f>'Compiled Agents'!A178+"h_l!';M"</f>
        <v>#VALUE!</v>
      </c>
      <c r="ES131" t="e">
        <f>'Compiled Agents'!B178+"h_l!';N"</f>
        <v>#VALUE!</v>
      </c>
      <c r="ET131" t="e">
        <f>'Compiled Agents'!C178+"h_l!';O"</f>
        <v>#VALUE!</v>
      </c>
      <c r="EU131" t="e">
        <f>'Compiled Agents'!E178+"h_l!';P"</f>
        <v>#VALUE!</v>
      </c>
      <c r="EV131" t="e">
        <f>'Compiled Agents'!F178+"h_l!';Q"</f>
        <v>#VALUE!</v>
      </c>
      <c r="EW131" t="e">
        <f>'Compiled Agents'!G178+"h_l!';R"</f>
        <v>#VALUE!</v>
      </c>
      <c r="EX131" t="e">
        <f>'Compiled Agents'!H178+"h_l!';S"</f>
        <v>#VALUE!</v>
      </c>
      <c r="EY131" t="e">
        <f>'Compiled Agents'!A179+"h_l!';T"</f>
        <v>#VALUE!</v>
      </c>
      <c r="EZ131" t="e">
        <f>'Compiled Agents'!B179+"h_l!';U"</f>
        <v>#VALUE!</v>
      </c>
      <c r="FA131" t="e">
        <f>'Compiled Agents'!C179+"h_l!';V"</f>
        <v>#VALUE!</v>
      </c>
      <c r="FB131" t="e">
        <f>'Compiled Agents'!E179+"h_l!';W"</f>
        <v>#VALUE!</v>
      </c>
      <c r="FC131" t="e">
        <f>'Compiled Agents'!F179+"h_l!';X"</f>
        <v>#VALUE!</v>
      </c>
      <c r="FD131" t="e">
        <f>'Compiled Agents'!G179+"h_l!';Y"</f>
        <v>#VALUE!</v>
      </c>
      <c r="FE131" t="e">
        <f>'Compiled Agents'!H179+"h_l!';Z"</f>
        <v>#VALUE!</v>
      </c>
      <c r="FF131" t="e">
        <f>'Compiled Agents'!A180+"h_l!';["</f>
        <v>#VALUE!</v>
      </c>
      <c r="FG131" t="e">
        <f>'Compiled Agents'!B180+"h_l!';\"</f>
        <v>#VALUE!</v>
      </c>
      <c r="FH131" t="e">
        <f>'Compiled Agents'!C180+"h_l!';]"</f>
        <v>#VALUE!</v>
      </c>
      <c r="FI131" t="e">
        <f>'Compiled Agents'!E180+"h_l!';^"</f>
        <v>#VALUE!</v>
      </c>
      <c r="FJ131" t="e">
        <f>'Compiled Agents'!F180+"h_l!';_"</f>
        <v>#VALUE!</v>
      </c>
      <c r="FK131" t="e">
        <f>'Compiled Agents'!G180+"h_l!';`"</f>
        <v>#VALUE!</v>
      </c>
      <c r="FL131" t="e">
        <f>'Compiled Agents'!H180+"h_l!';a"</f>
        <v>#VALUE!</v>
      </c>
      <c r="FM131" t="e">
        <f>'Compiled Agents'!A181+"h_l!';b"</f>
        <v>#VALUE!</v>
      </c>
      <c r="FN131" t="e">
        <f>'Compiled Agents'!B181+"h_l!';c"</f>
        <v>#VALUE!</v>
      </c>
      <c r="FO131" t="e">
        <f>'Compiled Agents'!C181+"h_l!';d"</f>
        <v>#VALUE!</v>
      </c>
      <c r="FP131" t="e">
        <f>'Compiled Agents'!E181+"h_l!';e"</f>
        <v>#VALUE!</v>
      </c>
      <c r="FQ131" t="e">
        <f>'Compiled Agents'!F181+"h_l!';f"</f>
        <v>#VALUE!</v>
      </c>
      <c r="FR131" t="e">
        <f>'Compiled Agents'!G181+"h_l!';g"</f>
        <v>#VALUE!</v>
      </c>
      <c r="FS131" t="e">
        <f>'Compiled Agents'!H181+"h_l!';h"</f>
        <v>#VALUE!</v>
      </c>
      <c r="FT131" t="e">
        <f>'Compiled Agents'!A182+"h_l!';i"</f>
        <v>#VALUE!</v>
      </c>
      <c r="FU131" t="e">
        <f>'Compiled Agents'!B182+"h_l!';j"</f>
        <v>#VALUE!</v>
      </c>
      <c r="FV131" t="e">
        <f>'Compiled Agents'!C182+"h_l!';k"</f>
        <v>#VALUE!</v>
      </c>
      <c r="FW131" t="e">
        <f>'Compiled Agents'!E182+"h_l!';l"</f>
        <v>#VALUE!</v>
      </c>
      <c r="FX131" t="e">
        <f>'Compiled Agents'!F182+"h_l!';m"</f>
        <v>#VALUE!</v>
      </c>
      <c r="FY131" t="e">
        <f>'Compiled Agents'!G182+"h_l!';n"</f>
        <v>#VALUE!</v>
      </c>
      <c r="FZ131" t="e">
        <f>'Compiled Agents'!H182+"h_l!';o"</f>
        <v>#VALUE!</v>
      </c>
      <c r="GA131" t="e">
        <f>'Compiled Agents'!A183+"h_l!';p"</f>
        <v>#VALUE!</v>
      </c>
      <c r="GB131" t="e">
        <f>'Compiled Agents'!B183+"h_l!';q"</f>
        <v>#VALUE!</v>
      </c>
      <c r="GC131" t="e">
        <f>'Compiled Agents'!C183+"h_l!';r"</f>
        <v>#VALUE!</v>
      </c>
      <c r="GD131" t="e">
        <f>'Compiled Agents'!E183+"h_l!';s"</f>
        <v>#VALUE!</v>
      </c>
      <c r="GE131" t="e">
        <f>'Compiled Agents'!F183+"h_l!';t"</f>
        <v>#VALUE!</v>
      </c>
      <c r="GF131" t="e">
        <f>'Compiled Agents'!G183+"h_l!';u"</f>
        <v>#VALUE!</v>
      </c>
      <c r="GG131" t="e">
        <f>'Compiled Agents'!H183+"h_l!';v"</f>
        <v>#VALUE!</v>
      </c>
      <c r="GH131" t="e">
        <f>'Compiled Agents'!A184+"h_l!';w"</f>
        <v>#VALUE!</v>
      </c>
      <c r="GI131" t="e">
        <f>'Compiled Agents'!B184+"h_l!';x"</f>
        <v>#VALUE!</v>
      </c>
      <c r="GJ131" t="e">
        <f>'Compiled Agents'!C184+"h_l!';y"</f>
        <v>#VALUE!</v>
      </c>
      <c r="GK131" t="e">
        <f>'Compiled Agents'!E184+"h_l!';z"</f>
        <v>#VALUE!</v>
      </c>
      <c r="GL131" t="e">
        <f>'Compiled Agents'!F184+"h_l!';{"</f>
        <v>#VALUE!</v>
      </c>
      <c r="GM131" t="e">
        <f>'Compiled Agents'!G184+"h_l!';|"</f>
        <v>#VALUE!</v>
      </c>
      <c r="GN131" t="e">
        <f>'Compiled Agents'!H184+"h_l!';}"</f>
        <v>#VALUE!</v>
      </c>
      <c r="GO131" t="e">
        <f>'Compiled Agents'!A185+"h_l!';~"</f>
        <v>#VALUE!</v>
      </c>
      <c r="GP131" t="e">
        <f>'Compiled Agents'!B185+"h_l!'&lt;#"</f>
        <v>#VALUE!</v>
      </c>
      <c r="GQ131" t="e">
        <f>'Compiled Agents'!C185+"h_l!'&lt;$"</f>
        <v>#VALUE!</v>
      </c>
      <c r="GR131" t="e">
        <f>'Compiled Agents'!E185+"h_l!'&lt;%"</f>
        <v>#VALUE!</v>
      </c>
      <c r="GS131" t="e">
        <f>'Compiled Agents'!F185+"h_l!'&lt;&amp;"</f>
        <v>#VALUE!</v>
      </c>
      <c r="GT131" t="e">
        <f>'Compiled Agents'!G185+"h_l!'&lt;'"</f>
        <v>#VALUE!</v>
      </c>
      <c r="GU131" t="e">
        <f>'Compiled Agents'!H185+"h_l!'&lt;("</f>
        <v>#VALUE!</v>
      </c>
      <c r="GV131" t="e">
        <f>'Compiled Agents'!A186+"h_l!'&lt;)"</f>
        <v>#VALUE!</v>
      </c>
      <c r="GW131" t="e">
        <f>'Compiled Agents'!B186+"h_l!'&lt;."</f>
        <v>#VALUE!</v>
      </c>
      <c r="GX131" t="e">
        <f>'Compiled Agents'!C186+"h_l!'&lt;/"</f>
        <v>#VALUE!</v>
      </c>
      <c r="GY131" t="e">
        <f>'Compiled Agents'!E186+"h_l!'&lt;0"</f>
        <v>#VALUE!</v>
      </c>
      <c r="GZ131" t="e">
        <f>'Compiled Agents'!F186+"h_l!'&lt;1"</f>
        <v>#VALUE!</v>
      </c>
      <c r="HA131" t="e">
        <f>'Compiled Agents'!G186+"h_l!'&lt;2"</f>
        <v>#VALUE!</v>
      </c>
      <c r="HB131" t="e">
        <f>'Compiled Agents'!H186+"h_l!'&lt;3"</f>
        <v>#VALUE!</v>
      </c>
      <c r="HC131" t="e">
        <f>'Compiled Agents'!A187+"h_l!'&lt;4"</f>
        <v>#VALUE!</v>
      </c>
      <c r="HD131" t="e">
        <f>'Compiled Agents'!B187+"h_l!'&lt;5"</f>
        <v>#VALUE!</v>
      </c>
      <c r="HE131" t="e">
        <f>'Compiled Agents'!C187+"h_l!'&lt;6"</f>
        <v>#VALUE!</v>
      </c>
      <c r="HF131" t="e">
        <f>'Compiled Agents'!E187+"h_l!'&lt;7"</f>
        <v>#VALUE!</v>
      </c>
      <c r="HG131" t="e">
        <f>'Compiled Agents'!F187+"h_l!'&lt;8"</f>
        <v>#VALUE!</v>
      </c>
      <c r="HH131" t="e">
        <f>'Compiled Agents'!G187+"h_l!'&lt;9"</f>
        <v>#VALUE!</v>
      </c>
      <c r="HI131" t="e">
        <f>'Compiled Agents'!H187+"h_l!'&lt;:"</f>
        <v>#VALUE!</v>
      </c>
      <c r="HJ131" t="e">
        <f>'Compiled Agents'!A188+"h_l!'&lt;;"</f>
        <v>#VALUE!</v>
      </c>
      <c r="HK131" t="e">
        <f>'Compiled Agents'!B188+"h_l!'&lt;&lt;"</f>
        <v>#VALUE!</v>
      </c>
      <c r="HL131" t="e">
        <f>'Compiled Agents'!C188+"h_l!'&lt;="</f>
        <v>#VALUE!</v>
      </c>
      <c r="HM131" t="e">
        <f>'Compiled Agents'!E188+"h_l!'&lt;&gt;"</f>
        <v>#VALUE!</v>
      </c>
      <c r="HN131" t="e">
        <f>'Compiled Agents'!F188+"h_l!'&lt;?"</f>
        <v>#VALUE!</v>
      </c>
      <c r="HO131" t="e">
        <f>'Compiled Agents'!G188+"h_l!'&lt;@"</f>
        <v>#VALUE!</v>
      </c>
      <c r="HP131" t="e">
        <f>'Compiled Agents'!H188+"h_l!'&lt;A"</f>
        <v>#VALUE!</v>
      </c>
      <c r="HQ131" t="e">
        <f>'Compiled Agents'!A189+"h_l!'&lt;B"</f>
        <v>#VALUE!</v>
      </c>
      <c r="HR131" t="e">
        <f>'Compiled Agents'!B189+"h_l!'&lt;C"</f>
        <v>#VALUE!</v>
      </c>
      <c r="HS131" t="e">
        <f>'Compiled Agents'!C189+"h_l!'&lt;D"</f>
        <v>#VALUE!</v>
      </c>
      <c r="HT131" t="e">
        <f>'Compiled Agents'!E189+"h_l!'&lt;E"</f>
        <v>#VALUE!</v>
      </c>
      <c r="HU131" t="e">
        <f>'Compiled Agents'!F189+"h_l!'&lt;F"</f>
        <v>#VALUE!</v>
      </c>
      <c r="HV131" t="e">
        <f>'Compiled Agents'!G189+"h_l!'&lt;G"</f>
        <v>#VALUE!</v>
      </c>
      <c r="HW131" t="e">
        <f>'Compiled Agents'!H189+"h_l!'&lt;H"</f>
        <v>#VALUE!</v>
      </c>
      <c r="HX131" t="e">
        <f>'Compiled Agents'!A190+"h_l!'&lt;I"</f>
        <v>#VALUE!</v>
      </c>
      <c r="HY131" t="e">
        <f>'Compiled Agents'!B190+"h_l!'&lt;J"</f>
        <v>#VALUE!</v>
      </c>
      <c r="HZ131" t="e">
        <f>'Compiled Agents'!C190+"h_l!'&lt;K"</f>
        <v>#VALUE!</v>
      </c>
      <c r="IA131" t="e">
        <f>'Compiled Agents'!E190+"h_l!'&lt;L"</f>
        <v>#VALUE!</v>
      </c>
      <c r="IB131" t="e">
        <f>'Compiled Agents'!F190+"h_l!'&lt;M"</f>
        <v>#VALUE!</v>
      </c>
      <c r="IC131" t="e">
        <f>'Compiled Agents'!G190+"h_l!'&lt;N"</f>
        <v>#VALUE!</v>
      </c>
      <c r="ID131" t="e">
        <f>'Compiled Agents'!H190+"h_l!'&lt;O"</f>
        <v>#VALUE!</v>
      </c>
      <c r="IE131" t="e">
        <f>'Compiled Agents'!A191+"h_l!'&lt;P"</f>
        <v>#VALUE!</v>
      </c>
      <c r="IF131" t="e">
        <f>'Compiled Agents'!B191+"h_l!'&lt;Q"</f>
        <v>#VALUE!</v>
      </c>
      <c r="IG131" t="e">
        <f>'Compiled Agents'!C191+"h_l!'&lt;R"</f>
        <v>#VALUE!</v>
      </c>
      <c r="IH131" t="e">
        <f>'Compiled Agents'!E191+"h_l!'&lt;S"</f>
        <v>#VALUE!</v>
      </c>
      <c r="II131" t="e">
        <f>'Compiled Agents'!F191+"h_l!'&lt;T"</f>
        <v>#VALUE!</v>
      </c>
      <c r="IJ131" t="e">
        <f>'Compiled Agents'!G191+"h_l!'&lt;U"</f>
        <v>#VALUE!</v>
      </c>
      <c r="IK131" t="e">
        <f>'Compiled Agents'!H191+"h_l!'&lt;V"</f>
        <v>#VALUE!</v>
      </c>
      <c r="IL131" t="e">
        <f>'Compiled Agents'!A192+"h_l!'&lt;W"</f>
        <v>#VALUE!</v>
      </c>
      <c r="IM131" t="e">
        <f>'Compiled Agents'!B192+"h_l!'&lt;X"</f>
        <v>#VALUE!</v>
      </c>
      <c r="IN131" t="e">
        <f>'Compiled Agents'!C192+"h_l!'&lt;Y"</f>
        <v>#VALUE!</v>
      </c>
      <c r="IO131" t="e">
        <f>'Compiled Agents'!E192+"h_l!'&lt;Z"</f>
        <v>#VALUE!</v>
      </c>
      <c r="IP131" t="e">
        <f>'Compiled Agents'!F192+"h_l!'&lt;["</f>
        <v>#VALUE!</v>
      </c>
      <c r="IQ131" t="e">
        <f>'Compiled Agents'!G192+"h_l!'&lt;\"</f>
        <v>#VALUE!</v>
      </c>
      <c r="IR131" t="e">
        <f>'Compiled Agents'!H192+"h_l!'&lt;]"</f>
        <v>#VALUE!</v>
      </c>
      <c r="IS131" t="e">
        <f>'Compiled Agents'!A193+"h_l!'&lt;^"</f>
        <v>#VALUE!</v>
      </c>
      <c r="IT131" t="e">
        <f>'Compiled Agents'!B193+"h_l!'&lt;_"</f>
        <v>#VALUE!</v>
      </c>
      <c r="IU131" t="e">
        <f>'Compiled Agents'!C193+"h_l!'&lt;`"</f>
        <v>#VALUE!</v>
      </c>
      <c r="IV131" t="e">
        <f>'Compiled Agents'!E193+"h_l!'&lt;a"</f>
        <v>#VALUE!</v>
      </c>
    </row>
    <row r="132" spans="6:256" x14ac:dyDescent="0.25">
      <c r="F132" t="e">
        <f>'Compiled Agents'!F193+"h_l!'&lt;b"</f>
        <v>#VALUE!</v>
      </c>
      <c r="G132" t="e">
        <f>'Compiled Agents'!G193+"h_l!'&lt;c"</f>
        <v>#VALUE!</v>
      </c>
      <c r="H132" t="e">
        <f>'Compiled Agents'!H193+"h_l!'&lt;d"</f>
        <v>#VALUE!</v>
      </c>
      <c r="I132" t="e">
        <f>'Compiled Agents'!A194+"h_l!'&lt;e"</f>
        <v>#VALUE!</v>
      </c>
      <c r="J132" t="e">
        <f>'Compiled Agents'!B194+"h_l!'&lt;f"</f>
        <v>#VALUE!</v>
      </c>
      <c r="K132" t="e">
        <f>'Compiled Agents'!C194+"h_l!'&lt;g"</f>
        <v>#VALUE!</v>
      </c>
      <c r="L132" t="e">
        <f>'Compiled Agents'!E194+"h_l!'&lt;h"</f>
        <v>#VALUE!</v>
      </c>
      <c r="M132" t="e">
        <f>'Compiled Agents'!F194+"h_l!'&lt;i"</f>
        <v>#VALUE!</v>
      </c>
      <c r="N132" t="e">
        <f>'Compiled Agents'!G194+"h_l!'&lt;j"</f>
        <v>#VALUE!</v>
      </c>
      <c r="O132" t="e">
        <f>'Compiled Agents'!H194+"h_l!'&lt;k"</f>
        <v>#VALUE!</v>
      </c>
      <c r="P132" t="e">
        <f>'Compiled Agents'!A195+"h_l!'&lt;l"</f>
        <v>#VALUE!</v>
      </c>
      <c r="Q132" t="e">
        <f>'Compiled Agents'!B195+"h_l!'&lt;m"</f>
        <v>#VALUE!</v>
      </c>
      <c r="R132" t="e">
        <f>'Compiled Agents'!C195+"h_l!'&lt;n"</f>
        <v>#VALUE!</v>
      </c>
      <c r="S132" t="e">
        <f>'Compiled Agents'!E195+"h_l!'&lt;o"</f>
        <v>#VALUE!</v>
      </c>
      <c r="T132" t="e">
        <f>'Compiled Agents'!F195+"h_l!'&lt;p"</f>
        <v>#VALUE!</v>
      </c>
      <c r="U132" t="e">
        <f>'Compiled Agents'!G195+"h_l!'&lt;q"</f>
        <v>#VALUE!</v>
      </c>
      <c r="V132" t="e">
        <f>'Compiled Agents'!H195+"h_l!'&lt;r"</f>
        <v>#VALUE!</v>
      </c>
      <c r="W132" t="e">
        <f>'Compiled Agents'!A196+"h_l!'&lt;s"</f>
        <v>#VALUE!</v>
      </c>
      <c r="X132" t="e">
        <f>'Compiled Agents'!B196+"h_l!'&lt;t"</f>
        <v>#VALUE!</v>
      </c>
      <c r="Y132" t="e">
        <f>'Compiled Agents'!C196+"h_l!'&lt;u"</f>
        <v>#VALUE!</v>
      </c>
      <c r="Z132" t="e">
        <f>'Compiled Agents'!E196+"h_l!'&lt;v"</f>
        <v>#VALUE!</v>
      </c>
      <c r="AA132" t="e">
        <f>'Compiled Agents'!F196+"h_l!'&lt;w"</f>
        <v>#VALUE!</v>
      </c>
      <c r="AB132" t="e">
        <f>'Compiled Agents'!G196+"h_l!'&lt;x"</f>
        <v>#VALUE!</v>
      </c>
      <c r="AC132" t="e">
        <f>'Compiled Agents'!H196+"h_l!'&lt;y"</f>
        <v>#VALUE!</v>
      </c>
      <c r="AD132" t="e">
        <f>'Compiled Agents'!A197+"h_l!'&lt;z"</f>
        <v>#VALUE!</v>
      </c>
      <c r="AE132" t="e">
        <f>'Compiled Agents'!B197+"h_l!'&lt;{"</f>
        <v>#VALUE!</v>
      </c>
      <c r="AF132" t="e">
        <f>'Compiled Agents'!C197+"h_l!'&lt;|"</f>
        <v>#VALUE!</v>
      </c>
      <c r="AG132" t="e">
        <f>'Compiled Agents'!E197+"h_l!'&lt;}"</f>
        <v>#VALUE!</v>
      </c>
      <c r="AH132" t="e">
        <f>'Compiled Agents'!F197+"h_l!'&lt;~"</f>
        <v>#VALUE!</v>
      </c>
      <c r="AI132" t="e">
        <f>'Compiled Agents'!G197+"h_l!'=#"</f>
        <v>#VALUE!</v>
      </c>
      <c r="AJ132" t="e">
        <f>'Compiled Agents'!H197+"h_l!'=$"</f>
        <v>#VALUE!</v>
      </c>
      <c r="AK132" t="e">
        <f>'Compiled Agents'!A198+"h_l!'=%"</f>
        <v>#VALUE!</v>
      </c>
      <c r="AL132" t="e">
        <f>'Compiled Agents'!B198+"h_l!'=&amp;"</f>
        <v>#VALUE!</v>
      </c>
      <c r="AM132" t="e">
        <f>'Compiled Agents'!C198+"h_l!'='"</f>
        <v>#VALUE!</v>
      </c>
      <c r="AN132" t="e">
        <f>'Compiled Agents'!E198+"h_l!'=("</f>
        <v>#VALUE!</v>
      </c>
      <c r="AO132" t="e">
        <f>'Compiled Agents'!F198+"h_l!'=)"</f>
        <v>#VALUE!</v>
      </c>
      <c r="AP132" t="e">
        <f>'Compiled Agents'!G198+"h_l!'=."</f>
        <v>#VALUE!</v>
      </c>
      <c r="AQ132" t="e">
        <f>'Compiled Agents'!H198+"h_l!'=/"</f>
        <v>#VALUE!</v>
      </c>
      <c r="AR132" t="e">
        <f>'Compiled Agents'!A199+"h_l!'=0"</f>
        <v>#VALUE!</v>
      </c>
      <c r="AS132" t="e">
        <f>'Compiled Agents'!B199+"h_l!'=1"</f>
        <v>#VALUE!</v>
      </c>
      <c r="AT132" t="e">
        <f>'Compiled Agents'!C199+"h_l!'=2"</f>
        <v>#VALUE!</v>
      </c>
      <c r="AU132" t="e">
        <f>'Compiled Agents'!E199+"h_l!'=3"</f>
        <v>#VALUE!</v>
      </c>
      <c r="AV132" t="e">
        <f>'Compiled Agents'!F199+"h_l!'=4"</f>
        <v>#VALUE!</v>
      </c>
      <c r="AW132" t="e">
        <f>'Compiled Agents'!G199+"h_l!'=5"</f>
        <v>#VALUE!</v>
      </c>
      <c r="AX132" t="e">
        <f>'Compiled Agents'!H199+"h_l!'=6"</f>
        <v>#VALUE!</v>
      </c>
      <c r="AY132" t="e">
        <f>'Compiled Agents'!A200+"h_l!'=7"</f>
        <v>#VALUE!</v>
      </c>
      <c r="AZ132" t="e">
        <f>'Compiled Agents'!B200+"h_l!'=8"</f>
        <v>#VALUE!</v>
      </c>
      <c r="BA132" t="e">
        <f>'Compiled Agents'!C200+"h_l!'=9"</f>
        <v>#VALUE!</v>
      </c>
      <c r="BB132" t="e">
        <f>'Compiled Agents'!E200+"h_l!'=:"</f>
        <v>#VALUE!</v>
      </c>
      <c r="BC132" t="e">
        <f>'Compiled Agents'!F200+"h_l!'=;"</f>
        <v>#VALUE!</v>
      </c>
      <c r="BD132" t="e">
        <f>'Compiled Agents'!G200+"h_l!'=&lt;"</f>
        <v>#VALUE!</v>
      </c>
      <c r="BE132" t="e">
        <f>'Compiled Agents'!H200+"h_l!'=="</f>
        <v>#VALUE!</v>
      </c>
      <c r="BF132" t="e">
        <f>'Compiled Agents'!A201+"h_l!'=&gt;"</f>
        <v>#VALUE!</v>
      </c>
      <c r="BG132" t="e">
        <f>'Compiled Agents'!B201+"h_l!'=?"</f>
        <v>#VALUE!</v>
      </c>
      <c r="BH132" t="e">
        <f>'Compiled Agents'!C201+"h_l!'=@"</f>
        <v>#VALUE!</v>
      </c>
      <c r="BI132" t="e">
        <f>'Compiled Agents'!E201+"h_l!'=A"</f>
        <v>#VALUE!</v>
      </c>
      <c r="BJ132" t="e">
        <f>'Compiled Agents'!F201+"h_l!'=B"</f>
        <v>#VALUE!</v>
      </c>
      <c r="BK132" t="e">
        <f>'Compiled Agents'!G201+"h_l!'=C"</f>
        <v>#VALUE!</v>
      </c>
      <c r="BL132" t="e">
        <f>'Compiled Agents'!H201+"h_l!'=D"</f>
        <v>#VALUE!</v>
      </c>
      <c r="BM132" t="e">
        <f>'Compiled Agents'!A202+"h_l!'=E"</f>
        <v>#VALUE!</v>
      </c>
      <c r="BN132" t="e">
        <f>'Compiled Agents'!B202+"h_l!'=F"</f>
        <v>#VALUE!</v>
      </c>
      <c r="BO132" t="e">
        <f>'Compiled Agents'!C202+"h_l!'=G"</f>
        <v>#VALUE!</v>
      </c>
      <c r="BP132" t="e">
        <f>'Compiled Agents'!E202+"h_l!'=H"</f>
        <v>#VALUE!</v>
      </c>
      <c r="BQ132" t="e">
        <f>'Compiled Agents'!F202+"h_l!'=I"</f>
        <v>#VALUE!</v>
      </c>
      <c r="BR132" t="e">
        <f>'Compiled Agents'!G202+"h_l!'=J"</f>
        <v>#VALUE!</v>
      </c>
      <c r="BS132" t="e">
        <f>'Compiled Agents'!H202+"h_l!'=K"</f>
        <v>#VALUE!</v>
      </c>
      <c r="BT132" t="e">
        <f>'Compiled Agents'!A203+"h_l!'=L"</f>
        <v>#VALUE!</v>
      </c>
      <c r="BU132" t="e">
        <f>'Compiled Agents'!B203+"h_l!'=M"</f>
        <v>#VALUE!</v>
      </c>
      <c r="BV132" t="e">
        <f>'Compiled Agents'!C203+"h_l!'=N"</f>
        <v>#VALUE!</v>
      </c>
      <c r="BW132" t="e">
        <f>'Compiled Agents'!E203+"h_l!'=O"</f>
        <v>#VALUE!</v>
      </c>
      <c r="BX132" t="e">
        <f>'Compiled Agents'!F203+"h_l!'=P"</f>
        <v>#VALUE!</v>
      </c>
      <c r="BY132" t="e">
        <f>'Compiled Agents'!G203+"h_l!'=Q"</f>
        <v>#VALUE!</v>
      </c>
      <c r="BZ132" t="e">
        <f>'Compiled Agents'!H203+"h_l!'=R"</f>
        <v>#VALUE!</v>
      </c>
      <c r="CA132" t="e">
        <f>'Compiled Agents'!A204+"h_l!'=S"</f>
        <v>#VALUE!</v>
      </c>
      <c r="CB132" t="e">
        <f>'Compiled Agents'!B204+"h_l!'=T"</f>
        <v>#VALUE!</v>
      </c>
      <c r="CC132" t="e">
        <f>'Compiled Agents'!C204+"h_l!'=U"</f>
        <v>#VALUE!</v>
      </c>
      <c r="CD132" t="e">
        <f>'Compiled Agents'!E204+"h_l!'=V"</f>
        <v>#VALUE!</v>
      </c>
      <c r="CE132" t="e">
        <f>'Compiled Agents'!F204+"h_l!'=W"</f>
        <v>#VALUE!</v>
      </c>
      <c r="CF132" t="e">
        <f>'Compiled Agents'!G204+"h_l!'=X"</f>
        <v>#VALUE!</v>
      </c>
      <c r="CG132" t="e">
        <f>'Compiled Agents'!H204+"h_l!'=Y"</f>
        <v>#VALUE!</v>
      </c>
      <c r="CH132" t="e">
        <f>'Compiled Agents'!A205+"h_l!'=Z"</f>
        <v>#VALUE!</v>
      </c>
      <c r="CI132" t="e">
        <f>'Compiled Agents'!B205+"h_l!'=["</f>
        <v>#VALUE!</v>
      </c>
      <c r="CJ132" t="e">
        <f>'Compiled Agents'!C205+"h_l!'=\"</f>
        <v>#VALUE!</v>
      </c>
      <c r="CK132" t="e">
        <f>'Compiled Agents'!E205+"h_l!'=]"</f>
        <v>#VALUE!</v>
      </c>
      <c r="CL132" t="e">
        <f>'Compiled Agents'!F205+"h_l!'=^"</f>
        <v>#VALUE!</v>
      </c>
      <c r="CM132" t="e">
        <f>'Compiled Agents'!G205+"h_l!'=_"</f>
        <v>#VALUE!</v>
      </c>
      <c r="CN132" t="e">
        <f>'Compiled Agents'!H205+"h_l!'=`"</f>
        <v>#VALUE!</v>
      </c>
      <c r="CO132" t="e">
        <f>'Compiled Agents'!A206+"h_l!'=a"</f>
        <v>#VALUE!</v>
      </c>
      <c r="CP132" t="e">
        <f>'Compiled Agents'!B206+"h_l!'=b"</f>
        <v>#VALUE!</v>
      </c>
      <c r="CQ132" t="e">
        <f>'Compiled Agents'!C206+"h_l!'=c"</f>
        <v>#VALUE!</v>
      </c>
      <c r="CR132" t="e">
        <f>'Compiled Agents'!E206+"h_l!'=d"</f>
        <v>#VALUE!</v>
      </c>
      <c r="CS132" t="e">
        <f>'Compiled Agents'!F206+"h_l!'=e"</f>
        <v>#VALUE!</v>
      </c>
      <c r="CT132" t="e">
        <f>'Compiled Agents'!G206+"h_l!'=f"</f>
        <v>#VALUE!</v>
      </c>
      <c r="CU132" t="e">
        <f>'Compiled Agents'!H206+"h_l!'=g"</f>
        <v>#VALUE!</v>
      </c>
      <c r="CV132" t="e">
        <f>'Compiled Agents'!A207+"h_l!'=h"</f>
        <v>#VALUE!</v>
      </c>
      <c r="CW132" t="e">
        <f>'Compiled Agents'!B207+"h_l!'=i"</f>
        <v>#VALUE!</v>
      </c>
      <c r="CX132" t="e">
        <f>'Compiled Agents'!C207+"h_l!'=j"</f>
        <v>#VALUE!</v>
      </c>
      <c r="CY132" t="e">
        <f>'Compiled Agents'!E207+"h_l!'=k"</f>
        <v>#VALUE!</v>
      </c>
      <c r="CZ132" t="e">
        <f>'Compiled Agents'!F207+"h_l!'=l"</f>
        <v>#VALUE!</v>
      </c>
      <c r="DA132" t="e">
        <f>'Compiled Agents'!G207+"h_l!'=m"</f>
        <v>#VALUE!</v>
      </c>
      <c r="DB132" t="e">
        <f>'Compiled Agents'!H207+"h_l!'=n"</f>
        <v>#VALUE!</v>
      </c>
      <c r="DC132" t="e">
        <f>'Compiled Agents'!A208+"h_l!'=o"</f>
        <v>#VALUE!</v>
      </c>
      <c r="DD132" t="e">
        <f>'Compiled Agents'!B208+"h_l!'=p"</f>
        <v>#VALUE!</v>
      </c>
      <c r="DE132" t="e">
        <f>'Compiled Agents'!C208+"h_l!'=q"</f>
        <v>#VALUE!</v>
      </c>
      <c r="DF132" t="e">
        <f>'Compiled Agents'!E208+"h_l!'=r"</f>
        <v>#VALUE!</v>
      </c>
      <c r="DG132" t="e">
        <f>'Compiled Agents'!F208+"h_l!'=s"</f>
        <v>#VALUE!</v>
      </c>
      <c r="DH132" t="e">
        <f>'Compiled Agents'!G208+"h_l!'=t"</f>
        <v>#VALUE!</v>
      </c>
      <c r="DI132" t="e">
        <f>'Compiled Agents'!H208+"h_l!'=u"</f>
        <v>#VALUE!</v>
      </c>
      <c r="DJ132" t="e">
        <f>'Compiled Agents'!A209+"h_l!'=v"</f>
        <v>#VALUE!</v>
      </c>
      <c r="DK132" t="e">
        <f>'Compiled Agents'!B209+"h_l!'=w"</f>
        <v>#VALUE!</v>
      </c>
      <c r="DL132" t="e">
        <f>'Compiled Agents'!C209+"h_l!'=x"</f>
        <v>#VALUE!</v>
      </c>
      <c r="DM132" t="e">
        <f>'Compiled Agents'!E209+"h_l!'=y"</f>
        <v>#VALUE!</v>
      </c>
      <c r="DN132" t="e">
        <f>'Compiled Agents'!F209+"h_l!'=z"</f>
        <v>#VALUE!</v>
      </c>
      <c r="DO132" t="e">
        <f>'Compiled Agents'!G209+"h_l!'={"</f>
        <v>#VALUE!</v>
      </c>
      <c r="DP132" t="e">
        <f>'Compiled Agents'!H209+"h_l!'=|"</f>
        <v>#VALUE!</v>
      </c>
      <c r="DQ132" t="e">
        <f>'Compiled Agents'!A210+"h_l!'=}"</f>
        <v>#VALUE!</v>
      </c>
      <c r="DR132" t="e">
        <f>'Compiled Agents'!B210+"h_l!'=~"</f>
        <v>#VALUE!</v>
      </c>
      <c r="DS132" t="e">
        <f>'Compiled Agents'!C210+"h_l!'&gt;#"</f>
        <v>#VALUE!</v>
      </c>
      <c r="DT132" t="e">
        <f>'Compiled Agents'!E210+"h_l!'&gt;$"</f>
        <v>#VALUE!</v>
      </c>
      <c r="DU132" t="e">
        <f>'Compiled Agents'!F210+"h_l!'&gt;%"</f>
        <v>#VALUE!</v>
      </c>
      <c r="DV132" t="e">
        <f>'Compiled Agents'!G210+"h_l!'&gt;&amp;"</f>
        <v>#VALUE!</v>
      </c>
      <c r="DW132" t="e">
        <f>'Compiled Agents'!H210+"h_l!'&gt;'"</f>
        <v>#VALUE!</v>
      </c>
      <c r="DX132" t="e">
        <f>'Compiled Agents'!A211+"h_l!'&gt;("</f>
        <v>#VALUE!</v>
      </c>
      <c r="DY132" t="e">
        <f>'Compiled Agents'!B211+"h_l!'&gt;)"</f>
        <v>#VALUE!</v>
      </c>
      <c r="DZ132" t="e">
        <f>'Compiled Agents'!C211+"h_l!'&gt;."</f>
        <v>#VALUE!</v>
      </c>
      <c r="EA132" t="e">
        <f>'Compiled Agents'!E211+"h_l!'&gt;/"</f>
        <v>#VALUE!</v>
      </c>
      <c r="EB132" t="e">
        <f>'Compiled Agents'!F211+"h_l!'&gt;0"</f>
        <v>#VALUE!</v>
      </c>
      <c r="EC132" t="e">
        <f>'Compiled Agents'!G211+"h_l!'&gt;1"</f>
        <v>#VALUE!</v>
      </c>
      <c r="ED132" t="e">
        <f>'Compiled Agents'!H211+"h_l!'&gt;2"</f>
        <v>#VALUE!</v>
      </c>
      <c r="EE132" t="e">
        <f>'Compiled Agents'!A212+"h_l!'&gt;3"</f>
        <v>#VALUE!</v>
      </c>
      <c r="EF132" t="e">
        <f>'Compiled Agents'!B212+"h_l!'&gt;4"</f>
        <v>#VALUE!</v>
      </c>
      <c r="EG132" t="e">
        <f>'Compiled Agents'!C212+"h_l!'&gt;5"</f>
        <v>#VALUE!</v>
      </c>
      <c r="EH132" t="e">
        <f>'Compiled Agents'!E212+"h_l!'&gt;6"</f>
        <v>#VALUE!</v>
      </c>
      <c r="EI132" t="e">
        <f>'Compiled Agents'!F212+"h_l!'&gt;7"</f>
        <v>#VALUE!</v>
      </c>
      <c r="EJ132" t="e">
        <f>'Compiled Agents'!G212+"h_l!'&gt;8"</f>
        <v>#VALUE!</v>
      </c>
      <c r="EK132" t="e">
        <f>'Compiled Agents'!H212+"h_l!'&gt;9"</f>
        <v>#VALUE!</v>
      </c>
      <c r="EL132" t="e">
        <f>'Compiled Agents'!A213+"h_l!'&gt;:"</f>
        <v>#VALUE!</v>
      </c>
      <c r="EM132" t="e">
        <f>'Compiled Agents'!B213+"h_l!'&gt;;"</f>
        <v>#VALUE!</v>
      </c>
      <c r="EN132" t="e">
        <f>'Compiled Agents'!C213+"h_l!'&gt;&lt;"</f>
        <v>#VALUE!</v>
      </c>
      <c r="EO132" t="e">
        <f>'Compiled Agents'!E213+"h_l!'&gt;="</f>
        <v>#VALUE!</v>
      </c>
      <c r="EP132" t="e">
        <f>'Compiled Agents'!F213+"h_l!'&gt;&gt;"</f>
        <v>#VALUE!</v>
      </c>
      <c r="EQ132" t="e">
        <f>'Compiled Agents'!G213+"h_l!'&gt;?"</f>
        <v>#VALUE!</v>
      </c>
      <c r="ER132" t="e">
        <f>'Compiled Agents'!H213+"h_l!'&gt;@"</f>
        <v>#VALUE!</v>
      </c>
      <c r="ES132" t="e">
        <f>'Compiled Agents'!A214+"h_l!'&gt;A"</f>
        <v>#VALUE!</v>
      </c>
      <c r="ET132" t="e">
        <f>'Compiled Agents'!B214+"h_l!'&gt;B"</f>
        <v>#VALUE!</v>
      </c>
      <c r="EU132" t="e">
        <f>'Compiled Agents'!C214+"h_l!'&gt;C"</f>
        <v>#VALUE!</v>
      </c>
      <c r="EV132" t="e">
        <f>'Compiled Agents'!E214+"h_l!'&gt;D"</f>
        <v>#VALUE!</v>
      </c>
      <c r="EW132" t="e">
        <f>'Compiled Agents'!F214+"h_l!'&gt;E"</f>
        <v>#VALUE!</v>
      </c>
      <c r="EX132" t="e">
        <f>'Compiled Agents'!G214+"h_l!'&gt;F"</f>
        <v>#VALUE!</v>
      </c>
      <c r="EY132" t="e">
        <f>'Compiled Agents'!H214+"h_l!'&gt;G"</f>
        <v>#VALUE!</v>
      </c>
      <c r="EZ132" t="e">
        <f>'Compiled Agents'!A215+"h_l!'&gt;H"</f>
        <v>#VALUE!</v>
      </c>
      <c r="FA132" t="e">
        <f>'Compiled Agents'!B215+"h_l!'&gt;I"</f>
        <v>#VALUE!</v>
      </c>
      <c r="FB132" t="e">
        <f>'Compiled Agents'!C215+"h_l!'&gt;J"</f>
        <v>#VALUE!</v>
      </c>
      <c r="FC132" t="e">
        <f>'Compiled Agents'!E215+"h_l!'&gt;K"</f>
        <v>#VALUE!</v>
      </c>
      <c r="FD132" t="e">
        <f>'Compiled Agents'!F215+"h_l!'&gt;L"</f>
        <v>#VALUE!</v>
      </c>
      <c r="FE132" t="e">
        <f>'Compiled Agents'!G215+"h_l!'&gt;M"</f>
        <v>#VALUE!</v>
      </c>
      <c r="FF132" t="e">
        <f>'Compiled Agents'!H215+"h_l!'&gt;N"</f>
        <v>#VALUE!</v>
      </c>
      <c r="FG132" t="e">
        <f>'Compiled Agents'!A216+"h_l!'&gt;O"</f>
        <v>#VALUE!</v>
      </c>
      <c r="FH132" t="e">
        <f>'Compiled Agents'!B216+"h_l!'&gt;P"</f>
        <v>#VALUE!</v>
      </c>
      <c r="FI132" t="e">
        <f>'Compiled Agents'!C216+"h_l!'&gt;Q"</f>
        <v>#VALUE!</v>
      </c>
      <c r="FJ132" t="e">
        <f>'Compiled Agents'!E216+"h_l!'&gt;R"</f>
        <v>#VALUE!</v>
      </c>
      <c r="FK132" t="e">
        <f>'Compiled Agents'!F216+"h_l!'&gt;S"</f>
        <v>#VALUE!</v>
      </c>
      <c r="FL132" t="e">
        <f>'Compiled Agents'!G216+"h_l!'&gt;T"</f>
        <v>#VALUE!</v>
      </c>
      <c r="FM132" t="e">
        <f>'Compiled Agents'!H216+"h_l!'&gt;U"</f>
        <v>#VALUE!</v>
      </c>
      <c r="FN132" t="e">
        <f>'Compiled Agents'!A217+"h_l!'&gt;V"</f>
        <v>#VALUE!</v>
      </c>
      <c r="FO132" t="e">
        <f>'Compiled Agents'!B217+"h_l!'&gt;W"</f>
        <v>#VALUE!</v>
      </c>
      <c r="FP132" t="e">
        <f>'Compiled Agents'!C217+"h_l!'&gt;X"</f>
        <v>#VALUE!</v>
      </c>
      <c r="FQ132" t="e">
        <f>'Compiled Agents'!E217+"h_l!'&gt;Y"</f>
        <v>#VALUE!</v>
      </c>
      <c r="FR132" t="e">
        <f>'Compiled Agents'!F217+"h_l!'&gt;Z"</f>
        <v>#VALUE!</v>
      </c>
      <c r="FS132" t="e">
        <f>'Compiled Agents'!G217+"h_l!'&gt;["</f>
        <v>#VALUE!</v>
      </c>
      <c r="FT132" t="e">
        <f>'Compiled Agents'!H217+"h_l!'&gt;\"</f>
        <v>#VALUE!</v>
      </c>
      <c r="FU132" t="e">
        <f>'Compiled Agents'!A218+"h_l!'&gt;]"</f>
        <v>#VALUE!</v>
      </c>
      <c r="FV132" t="e">
        <f>'Compiled Agents'!B218+"h_l!'&gt;^"</f>
        <v>#VALUE!</v>
      </c>
      <c r="FW132" t="e">
        <f>'Compiled Agents'!C218+"h_l!'&gt;_"</f>
        <v>#VALUE!</v>
      </c>
      <c r="FX132" t="e">
        <f>'Compiled Agents'!E218+"h_l!'&gt;`"</f>
        <v>#VALUE!</v>
      </c>
      <c r="FY132" t="e">
        <f>'Compiled Agents'!F218+"h_l!'&gt;a"</f>
        <v>#VALUE!</v>
      </c>
      <c r="FZ132" t="e">
        <f>'Compiled Agents'!G218+"h_l!'&gt;b"</f>
        <v>#VALUE!</v>
      </c>
      <c r="GA132" t="e">
        <f>'Compiled Agents'!H218+"h_l!'&gt;c"</f>
        <v>#VALUE!</v>
      </c>
      <c r="GB132" t="e">
        <f>'Compiled Agents'!A219+"h_l!'&gt;d"</f>
        <v>#VALUE!</v>
      </c>
      <c r="GC132" t="e">
        <f>'Compiled Agents'!B219+"h_l!'&gt;e"</f>
        <v>#VALUE!</v>
      </c>
      <c r="GD132" t="e">
        <f>'Compiled Agents'!C219+"h_l!'&gt;f"</f>
        <v>#VALUE!</v>
      </c>
      <c r="GE132" t="e">
        <f>'Compiled Agents'!E219+"h_l!'&gt;g"</f>
        <v>#VALUE!</v>
      </c>
      <c r="GF132" t="e">
        <f>'Compiled Agents'!F219+"h_l!'&gt;h"</f>
        <v>#VALUE!</v>
      </c>
      <c r="GG132" t="e">
        <f>'Compiled Agents'!G219+"h_l!'&gt;i"</f>
        <v>#VALUE!</v>
      </c>
      <c r="GH132" t="e">
        <f>'Compiled Agents'!H219+"h_l!'&gt;j"</f>
        <v>#VALUE!</v>
      </c>
      <c r="GI132" t="e">
        <f>'Compiled Agents'!A220+"h_l!'&gt;k"</f>
        <v>#VALUE!</v>
      </c>
      <c r="GJ132" t="e">
        <f>'Compiled Agents'!B220+"h_l!'&gt;l"</f>
        <v>#VALUE!</v>
      </c>
      <c r="GK132" t="e">
        <f>'Compiled Agents'!C220+"h_l!'&gt;m"</f>
        <v>#VALUE!</v>
      </c>
      <c r="GL132" t="e">
        <f>'Compiled Agents'!E220+"h_l!'&gt;n"</f>
        <v>#VALUE!</v>
      </c>
      <c r="GM132" t="e">
        <f>'Compiled Agents'!F220+"h_l!'&gt;o"</f>
        <v>#VALUE!</v>
      </c>
      <c r="GN132" t="e">
        <f>'Compiled Agents'!G220+"h_l!'&gt;p"</f>
        <v>#VALUE!</v>
      </c>
      <c r="GO132" t="e">
        <f>'Compiled Agents'!H220+"h_l!'&gt;q"</f>
        <v>#VALUE!</v>
      </c>
      <c r="GP132" t="e">
        <f>'Compiled Agents'!A221+"h_l!'&gt;r"</f>
        <v>#VALUE!</v>
      </c>
      <c r="GQ132" t="e">
        <f>'Compiled Agents'!B221+"h_l!'&gt;s"</f>
        <v>#VALUE!</v>
      </c>
      <c r="GR132" t="e">
        <f>'Compiled Agents'!C221+"h_l!'&gt;t"</f>
        <v>#VALUE!</v>
      </c>
      <c r="GS132" t="e">
        <f>'Compiled Agents'!E221+"h_l!'&gt;u"</f>
        <v>#VALUE!</v>
      </c>
      <c r="GT132" t="e">
        <f>'Compiled Agents'!F221+"h_l!'&gt;v"</f>
        <v>#VALUE!</v>
      </c>
      <c r="GU132" t="e">
        <f>'Compiled Agents'!G221+"h_l!'&gt;w"</f>
        <v>#VALUE!</v>
      </c>
      <c r="GV132" t="e">
        <f>'Compiled Agents'!H221+"h_l!'&gt;x"</f>
        <v>#VALUE!</v>
      </c>
      <c r="GW132" t="e">
        <f>'Compiled Agents'!A222+"h_l!'&gt;y"</f>
        <v>#VALUE!</v>
      </c>
      <c r="GX132" t="e">
        <f>'Compiled Agents'!B222+"h_l!'&gt;z"</f>
        <v>#VALUE!</v>
      </c>
      <c r="GY132" t="e">
        <f>'Compiled Agents'!C222+"h_l!'&gt;{"</f>
        <v>#VALUE!</v>
      </c>
      <c r="GZ132" t="e">
        <f>'Compiled Agents'!E222+"h_l!'&gt;|"</f>
        <v>#VALUE!</v>
      </c>
      <c r="HA132" t="e">
        <f>'Compiled Agents'!F222+"h_l!'&gt;}"</f>
        <v>#VALUE!</v>
      </c>
      <c r="HB132" t="e">
        <f>'Compiled Agents'!G222+"h_l!'&gt;~"</f>
        <v>#VALUE!</v>
      </c>
      <c r="HC132" t="e">
        <f>'Compiled Agents'!H222+"h_l!'?#"</f>
        <v>#VALUE!</v>
      </c>
      <c r="HD132" t="e">
        <f>'Compiled Agents'!A223+"h_l!'?$"</f>
        <v>#VALUE!</v>
      </c>
      <c r="HE132" t="e">
        <f>'Compiled Agents'!B223+"h_l!'?%"</f>
        <v>#VALUE!</v>
      </c>
      <c r="HF132" t="e">
        <f>'Compiled Agents'!C223+"h_l!'?&amp;"</f>
        <v>#VALUE!</v>
      </c>
      <c r="HG132" t="e">
        <f>'Compiled Agents'!E223+"h_l!'?'"</f>
        <v>#VALUE!</v>
      </c>
      <c r="HH132" t="e">
        <f>'Compiled Agents'!F223+"h_l!'?("</f>
        <v>#VALUE!</v>
      </c>
      <c r="HI132" t="e">
        <f>'Compiled Agents'!G223+"h_l!'?)"</f>
        <v>#VALUE!</v>
      </c>
      <c r="HJ132" t="e">
        <f>'Compiled Agents'!H223+"h_l!'?."</f>
        <v>#VALUE!</v>
      </c>
      <c r="HK132" t="e">
        <f>'Compiled Agents'!A224+"h_l!'?/"</f>
        <v>#VALUE!</v>
      </c>
      <c r="HL132" t="e">
        <f>'Compiled Agents'!B224+"h_l!'?0"</f>
        <v>#VALUE!</v>
      </c>
      <c r="HM132" t="e">
        <f>'Compiled Agents'!C224+"h_l!'?1"</f>
        <v>#VALUE!</v>
      </c>
      <c r="HN132" t="e">
        <f>'Compiled Agents'!E224+"h_l!'?2"</f>
        <v>#VALUE!</v>
      </c>
      <c r="HO132" t="e">
        <f>'Compiled Agents'!F224+"h_l!'?3"</f>
        <v>#VALUE!</v>
      </c>
      <c r="HP132" t="e">
        <f>'Compiled Agents'!G224+"h_l!'?4"</f>
        <v>#VALUE!</v>
      </c>
      <c r="HQ132" t="e">
        <f>'Compiled Agents'!H224+"h_l!'?5"</f>
        <v>#VALUE!</v>
      </c>
      <c r="HR132" t="e">
        <f>'Compiled Agents'!A225+"h_l!'?6"</f>
        <v>#VALUE!</v>
      </c>
      <c r="HS132" t="e">
        <f>'Compiled Agents'!B225+"h_l!'?7"</f>
        <v>#VALUE!</v>
      </c>
      <c r="HT132" t="e">
        <f>'Compiled Agents'!C225+"h_l!'?8"</f>
        <v>#VALUE!</v>
      </c>
      <c r="HU132" t="e">
        <f>'Compiled Agents'!E225+"h_l!'?9"</f>
        <v>#VALUE!</v>
      </c>
      <c r="HV132" t="e">
        <f>'Compiled Agents'!F225+"h_l!'?:"</f>
        <v>#VALUE!</v>
      </c>
      <c r="HW132" t="e">
        <f>'Compiled Agents'!G225+"h_l!'?;"</f>
        <v>#VALUE!</v>
      </c>
      <c r="HX132" t="e">
        <f>'Compiled Agents'!H225+"h_l!'?&lt;"</f>
        <v>#VALUE!</v>
      </c>
      <c r="HY132" t="e">
        <f>'Compiled Agents'!A226+"h_l!'?="</f>
        <v>#VALUE!</v>
      </c>
      <c r="HZ132" t="e">
        <f>'Compiled Agents'!B226+"h_l!'?&gt;"</f>
        <v>#VALUE!</v>
      </c>
      <c r="IA132" t="e">
        <f>'Compiled Agents'!C226+"h_l!'??"</f>
        <v>#VALUE!</v>
      </c>
      <c r="IB132" t="e">
        <f>'Compiled Agents'!E226+"h_l!'?@"</f>
        <v>#VALUE!</v>
      </c>
      <c r="IC132" t="e">
        <f>'Compiled Agents'!F226+"h_l!'?A"</f>
        <v>#VALUE!</v>
      </c>
      <c r="ID132" t="e">
        <f>'Compiled Agents'!G226+"h_l!'?B"</f>
        <v>#VALUE!</v>
      </c>
      <c r="IE132" t="e">
        <f>'Compiled Agents'!H226+"h_l!'?C"</f>
        <v>#VALUE!</v>
      </c>
      <c r="IF132" t="e">
        <f>'Compiled Agents'!A227+"h_l!'?D"</f>
        <v>#VALUE!</v>
      </c>
      <c r="IG132" t="e">
        <f>'Compiled Agents'!B227+"h_l!'?E"</f>
        <v>#VALUE!</v>
      </c>
      <c r="IH132" t="e">
        <f>'Compiled Agents'!C227+"h_l!'?F"</f>
        <v>#VALUE!</v>
      </c>
      <c r="II132" t="e">
        <f>'Compiled Agents'!E227+"h_l!'?G"</f>
        <v>#VALUE!</v>
      </c>
      <c r="IJ132" t="e">
        <f>'Compiled Agents'!F227+"h_l!'?H"</f>
        <v>#VALUE!</v>
      </c>
      <c r="IK132" t="e">
        <f>'Compiled Agents'!G227+"h_l!'?I"</f>
        <v>#VALUE!</v>
      </c>
      <c r="IL132" t="e">
        <f>'Compiled Agents'!H227+"h_l!'?J"</f>
        <v>#VALUE!</v>
      </c>
      <c r="IM132" t="e">
        <f>'Compiled Agents'!A228+"h_l!'?K"</f>
        <v>#VALUE!</v>
      </c>
      <c r="IN132" t="e">
        <f>'Compiled Agents'!B228+"h_l!'?L"</f>
        <v>#VALUE!</v>
      </c>
      <c r="IO132" t="e">
        <f>'Compiled Agents'!C228+"h_l!'?M"</f>
        <v>#VALUE!</v>
      </c>
      <c r="IP132" t="e">
        <f>'Compiled Agents'!E228+"h_l!'?N"</f>
        <v>#VALUE!</v>
      </c>
      <c r="IQ132" t="e">
        <f>'Compiled Agents'!F228+"h_l!'?O"</f>
        <v>#VALUE!</v>
      </c>
      <c r="IR132" t="e">
        <f>'Compiled Agents'!G228+"h_l!'?P"</f>
        <v>#VALUE!</v>
      </c>
      <c r="IS132" t="e">
        <f>'Compiled Agents'!H228+"h_l!'?Q"</f>
        <v>#VALUE!</v>
      </c>
      <c r="IT132" t="e">
        <f>'Compiled Agents'!A229+"h_l!'?R"</f>
        <v>#VALUE!</v>
      </c>
      <c r="IU132" t="e">
        <f>'Compiled Agents'!B229+"h_l!'?S"</f>
        <v>#VALUE!</v>
      </c>
      <c r="IV132" t="e">
        <f>'Compiled Agents'!C229+"h_l!'?T"</f>
        <v>#VALUE!</v>
      </c>
    </row>
    <row r="133" spans="6:256" x14ac:dyDescent="0.25">
      <c r="F133" t="e">
        <f>'Compiled Agents'!E229+"h_l!'?U"</f>
        <v>#VALUE!</v>
      </c>
      <c r="G133" t="e">
        <f>'Compiled Agents'!F229+"h_l!'?V"</f>
        <v>#VALUE!</v>
      </c>
      <c r="H133" t="e">
        <f>'Compiled Agents'!G229+"h_l!'?W"</f>
        <v>#VALUE!</v>
      </c>
      <c r="I133" t="e">
        <f>'Compiled Agents'!H229+"h_l!'?X"</f>
        <v>#VALUE!</v>
      </c>
      <c r="J133" t="e">
        <f>'Compiled Agents'!A230+"h_l!'?Y"</f>
        <v>#VALUE!</v>
      </c>
      <c r="K133" t="e">
        <f>'Compiled Agents'!B230+"h_l!'?Z"</f>
        <v>#VALUE!</v>
      </c>
      <c r="L133" t="e">
        <f>'Compiled Agents'!C230+"h_l!'?["</f>
        <v>#VALUE!</v>
      </c>
      <c r="M133" t="e">
        <f>'Compiled Agents'!E230+"h_l!'?\"</f>
        <v>#VALUE!</v>
      </c>
      <c r="N133" t="e">
        <f>'Compiled Agents'!F230+"h_l!'?]"</f>
        <v>#VALUE!</v>
      </c>
      <c r="O133" t="e">
        <f>'Compiled Agents'!G230+"h_l!'?^"</f>
        <v>#VALUE!</v>
      </c>
      <c r="P133" t="e">
        <f>'Compiled Agents'!H230+"h_l!'?_"</f>
        <v>#VALUE!</v>
      </c>
      <c r="Q133" t="e">
        <f>'Compiled Agents'!A231+"h_l!'?`"</f>
        <v>#VALUE!</v>
      </c>
      <c r="R133" t="e">
        <f>'Compiled Agents'!B231+"h_l!'?a"</f>
        <v>#VALUE!</v>
      </c>
      <c r="S133" t="e">
        <f>'Compiled Agents'!C231+"h_l!'?b"</f>
        <v>#VALUE!</v>
      </c>
      <c r="T133" t="e">
        <f>'Compiled Agents'!E231+"h_l!'?c"</f>
        <v>#VALUE!</v>
      </c>
      <c r="U133" t="e">
        <f>'Compiled Agents'!F231+"h_l!'?d"</f>
        <v>#VALUE!</v>
      </c>
      <c r="V133" t="e">
        <f>'Compiled Agents'!G231+"h_l!'?e"</f>
        <v>#VALUE!</v>
      </c>
      <c r="W133" t="e">
        <f>'Compiled Agents'!H231+"h_l!'?f"</f>
        <v>#VALUE!</v>
      </c>
      <c r="X133" t="e">
        <f>'Compiled Agents'!A232+"h_l!'?g"</f>
        <v>#VALUE!</v>
      </c>
      <c r="Y133" t="e">
        <f>'Compiled Agents'!B232+"h_l!'?h"</f>
        <v>#VALUE!</v>
      </c>
      <c r="Z133" t="e">
        <f>'Compiled Agents'!C232+"h_l!'?i"</f>
        <v>#VALUE!</v>
      </c>
      <c r="AA133" t="e">
        <f>'Compiled Agents'!E232+"h_l!'?j"</f>
        <v>#VALUE!</v>
      </c>
      <c r="AB133" t="e">
        <f>'Compiled Agents'!F232+"h_l!'?k"</f>
        <v>#VALUE!</v>
      </c>
      <c r="AC133" t="e">
        <f>'Compiled Agents'!G232+"h_l!'?l"</f>
        <v>#VALUE!</v>
      </c>
      <c r="AD133" t="e">
        <f>'Compiled Agents'!H232+"h_l!'?m"</f>
        <v>#VALUE!</v>
      </c>
      <c r="AE133" t="e">
        <f>'Compiled Agents'!A233+"h_l!'?n"</f>
        <v>#VALUE!</v>
      </c>
      <c r="AF133" t="e">
        <f>'Compiled Agents'!B233+"h_l!'?o"</f>
        <v>#VALUE!</v>
      </c>
      <c r="AG133" t="e">
        <f>'Compiled Agents'!C233+"h_l!'?p"</f>
        <v>#VALUE!</v>
      </c>
      <c r="AH133" t="e">
        <f>'Compiled Agents'!E233+"h_l!'?q"</f>
        <v>#VALUE!</v>
      </c>
      <c r="AI133" t="e">
        <f>'Compiled Agents'!F233+"h_l!'?r"</f>
        <v>#VALUE!</v>
      </c>
      <c r="AJ133" t="e">
        <f>'Compiled Agents'!G233+"h_l!'?s"</f>
        <v>#VALUE!</v>
      </c>
      <c r="AK133" t="e">
        <f>'Compiled Agents'!H233+"h_l!'?t"</f>
        <v>#VALUE!</v>
      </c>
      <c r="AL133" t="e">
        <f>'Compiled Agents'!A234+"h_l!'?u"</f>
        <v>#VALUE!</v>
      </c>
      <c r="AM133" t="e">
        <f>'Compiled Agents'!B234+"h_l!'?v"</f>
        <v>#VALUE!</v>
      </c>
      <c r="AN133" t="e">
        <f>'Compiled Agents'!C234+"h_l!'?w"</f>
        <v>#VALUE!</v>
      </c>
      <c r="AO133" t="e">
        <f>'Compiled Agents'!E234+"h_l!'?x"</f>
        <v>#VALUE!</v>
      </c>
      <c r="AP133" t="e">
        <f>'Compiled Agents'!F234+"h_l!'?y"</f>
        <v>#VALUE!</v>
      </c>
      <c r="AQ133" t="e">
        <f>'Compiled Agents'!G234+"h_l!'?z"</f>
        <v>#VALUE!</v>
      </c>
      <c r="AR133" t="e">
        <f>'Compiled Agents'!H234+"h_l!'?{"</f>
        <v>#VALUE!</v>
      </c>
      <c r="AS133" t="e">
        <f>'Compiled Agents'!A235+"h_l!'?|"</f>
        <v>#VALUE!</v>
      </c>
      <c r="AT133" t="e">
        <f>'Compiled Agents'!B235+"h_l!'?}"</f>
        <v>#VALUE!</v>
      </c>
      <c r="AU133" t="e">
        <f>'Compiled Agents'!C235+"h_l!'?~"</f>
        <v>#VALUE!</v>
      </c>
      <c r="AV133" t="e">
        <f>'Compiled Agents'!E235+"h_l!'@#"</f>
        <v>#VALUE!</v>
      </c>
      <c r="AW133" t="e">
        <f>'Compiled Agents'!F235+"h_l!'@$"</f>
        <v>#VALUE!</v>
      </c>
      <c r="AX133" t="e">
        <f>'Compiled Agents'!G235+"h_l!'@%"</f>
        <v>#VALUE!</v>
      </c>
      <c r="AY133" t="e">
        <f>'Compiled Agents'!H235+"h_l!'@&amp;"</f>
        <v>#VALUE!</v>
      </c>
      <c r="AZ133" t="e">
        <f>'Compiled Agents'!A236+"h_l!'@'"</f>
        <v>#VALUE!</v>
      </c>
      <c r="BA133" t="e">
        <f>'Compiled Agents'!B236+"h_l!'@("</f>
        <v>#VALUE!</v>
      </c>
      <c r="BB133" t="e">
        <f>'Compiled Agents'!C236+"h_l!'@)"</f>
        <v>#VALUE!</v>
      </c>
      <c r="BC133" t="e">
        <f>'Compiled Agents'!E236+"h_l!'@."</f>
        <v>#VALUE!</v>
      </c>
      <c r="BD133" t="e">
        <f>'Compiled Agents'!F236+"h_l!'@/"</f>
        <v>#VALUE!</v>
      </c>
      <c r="BE133" t="e">
        <f>'Compiled Agents'!G236+"h_l!'@0"</f>
        <v>#VALUE!</v>
      </c>
      <c r="BF133" t="e">
        <f>'Compiled Agents'!H236+"h_l!'@1"</f>
        <v>#VALUE!</v>
      </c>
      <c r="BG133" t="e">
        <f>'Compiled Agents'!A237+"h_l!'@2"</f>
        <v>#VALUE!</v>
      </c>
      <c r="BH133" t="e">
        <f>'Compiled Agents'!B237+"h_l!'@3"</f>
        <v>#VALUE!</v>
      </c>
      <c r="BI133" t="e">
        <f>'Compiled Agents'!C237+"h_l!'@4"</f>
        <v>#VALUE!</v>
      </c>
      <c r="BJ133" t="e">
        <f>'Compiled Agents'!E237+"h_l!'@5"</f>
        <v>#VALUE!</v>
      </c>
      <c r="BK133" t="e">
        <f>'Compiled Agents'!F237+"h_l!'@6"</f>
        <v>#VALUE!</v>
      </c>
      <c r="BL133" t="e">
        <f>'Compiled Agents'!G237+"h_l!'@7"</f>
        <v>#VALUE!</v>
      </c>
      <c r="BM133" t="e">
        <f>'Compiled Agents'!H237+"h_l!'@8"</f>
        <v>#VALUE!</v>
      </c>
      <c r="BN133" t="e">
        <f>'Compiled Agents'!A238+"h_l!'@9"</f>
        <v>#VALUE!</v>
      </c>
      <c r="BO133" t="e">
        <f>'Compiled Agents'!B238+"h_l!'@:"</f>
        <v>#VALUE!</v>
      </c>
      <c r="BP133" t="e">
        <f>'Compiled Agents'!C238+"h_l!'@;"</f>
        <v>#VALUE!</v>
      </c>
      <c r="BQ133" t="e">
        <f>'Compiled Agents'!E238+"h_l!'@&lt;"</f>
        <v>#VALUE!</v>
      </c>
      <c r="BR133" t="e">
        <f>'Compiled Agents'!F238+"h_l!'@="</f>
        <v>#VALUE!</v>
      </c>
      <c r="BS133" t="e">
        <f>'Compiled Agents'!G238+"h_l!'@&gt;"</f>
        <v>#VALUE!</v>
      </c>
      <c r="BT133" t="e">
        <f>'Compiled Agents'!H238+"h_l!'@?"</f>
        <v>#VALUE!</v>
      </c>
      <c r="BU133" t="e">
        <f>'Compiled Agents'!A239+"h_l!'@@"</f>
        <v>#VALUE!</v>
      </c>
      <c r="BV133" t="e">
        <f>'Compiled Agents'!B239+"h_l!'@A"</f>
        <v>#VALUE!</v>
      </c>
      <c r="BW133" t="e">
        <f>'Compiled Agents'!C239+"h_l!'@B"</f>
        <v>#VALUE!</v>
      </c>
      <c r="BX133" t="e">
        <f>'Compiled Agents'!E239+"h_l!'@C"</f>
        <v>#VALUE!</v>
      </c>
      <c r="BY133" t="e">
        <f>'Compiled Agents'!F239+"h_l!'@D"</f>
        <v>#VALUE!</v>
      </c>
      <c r="BZ133" t="e">
        <f>'Compiled Agents'!G239+"h_l!'@E"</f>
        <v>#VALUE!</v>
      </c>
      <c r="CA133" t="e">
        <f>'Compiled Agents'!H239+"h_l!'@F"</f>
        <v>#VALUE!</v>
      </c>
      <c r="CB133" t="e">
        <f>'Compiled Agents'!A240+"h_l!'@G"</f>
        <v>#VALUE!</v>
      </c>
      <c r="CC133" t="e">
        <f>'Compiled Agents'!B240+"h_l!'@H"</f>
        <v>#VALUE!</v>
      </c>
      <c r="CD133" t="e">
        <f>'Compiled Agents'!C240+"h_l!'@I"</f>
        <v>#VALUE!</v>
      </c>
      <c r="CE133" t="e">
        <f>'Compiled Agents'!E240+"h_l!'@J"</f>
        <v>#VALUE!</v>
      </c>
      <c r="CF133" t="e">
        <f>'Compiled Agents'!F240+"h_l!'@K"</f>
        <v>#VALUE!</v>
      </c>
      <c r="CG133" t="e">
        <f>'Compiled Agents'!G240+"h_l!'@L"</f>
        <v>#VALUE!</v>
      </c>
      <c r="CH133" t="e">
        <f>'Compiled Agents'!H240+"h_l!'@M"</f>
        <v>#VALUE!</v>
      </c>
      <c r="CI133" t="e">
        <f>'Compiled Agents'!A241+"h_l!'@N"</f>
        <v>#VALUE!</v>
      </c>
      <c r="CJ133" t="e">
        <f>'Compiled Agents'!B241+"h_l!'@O"</f>
        <v>#VALUE!</v>
      </c>
      <c r="CK133" t="e">
        <f>'Compiled Agents'!C241+"h_l!'@P"</f>
        <v>#VALUE!</v>
      </c>
      <c r="CL133" t="e">
        <f>'Compiled Agents'!E241+"h_l!'@Q"</f>
        <v>#VALUE!</v>
      </c>
      <c r="CM133" t="e">
        <f>'Compiled Agents'!F241+"h_l!'@R"</f>
        <v>#VALUE!</v>
      </c>
      <c r="CN133" t="e">
        <f>'Compiled Agents'!G241+"h_l!'@S"</f>
        <v>#VALUE!</v>
      </c>
      <c r="CO133" t="e">
        <f>'Compiled Agents'!H241+"h_l!'@T"</f>
        <v>#VALUE!</v>
      </c>
      <c r="CP133" t="e">
        <f>'Compiled Agents'!A242+"h_l!'@U"</f>
        <v>#VALUE!</v>
      </c>
      <c r="CQ133" t="e">
        <f>'Compiled Agents'!B242+"h_l!'@V"</f>
        <v>#VALUE!</v>
      </c>
      <c r="CR133" t="e">
        <f>'Compiled Agents'!C242+"h_l!'@W"</f>
        <v>#VALUE!</v>
      </c>
      <c r="CS133" t="e">
        <f>'Compiled Agents'!E242+"h_l!'@X"</f>
        <v>#VALUE!</v>
      </c>
      <c r="CT133" t="e">
        <f>'Compiled Agents'!F242+"h_l!'@Y"</f>
        <v>#VALUE!</v>
      </c>
      <c r="CU133" t="e">
        <f>'Compiled Agents'!G242+"h_l!'@Z"</f>
        <v>#VALUE!</v>
      </c>
      <c r="CV133" t="e">
        <f>'Compiled Agents'!H242+"h_l!'@["</f>
        <v>#VALUE!</v>
      </c>
      <c r="CW133" t="e">
        <f>'Compiled Agents'!A243+"h_l!'@\"</f>
        <v>#VALUE!</v>
      </c>
      <c r="CX133" t="e">
        <f>'Compiled Agents'!B243+"h_l!'@]"</f>
        <v>#VALUE!</v>
      </c>
      <c r="CY133" t="e">
        <f>'Compiled Agents'!C243+"h_l!'@^"</f>
        <v>#VALUE!</v>
      </c>
      <c r="CZ133" t="e">
        <f>'Compiled Agents'!E243+"h_l!'@_"</f>
        <v>#VALUE!</v>
      </c>
      <c r="DA133" t="e">
        <f>'Compiled Agents'!F243+"h_l!'@`"</f>
        <v>#VALUE!</v>
      </c>
      <c r="DB133" t="e">
        <f>'Compiled Agents'!G243+"h_l!'@a"</f>
        <v>#VALUE!</v>
      </c>
      <c r="DC133" t="e">
        <f>'Compiled Agents'!H243+"h_l!'@b"</f>
        <v>#VALUE!</v>
      </c>
      <c r="DD133" t="e">
        <f>'Compiled Agents'!A244+"h_l!'@c"</f>
        <v>#VALUE!</v>
      </c>
      <c r="DE133" t="e">
        <f>'Compiled Agents'!B244+"h_l!'@d"</f>
        <v>#VALUE!</v>
      </c>
      <c r="DF133" t="e">
        <f>'Compiled Agents'!C244+"h_l!'@e"</f>
        <v>#VALUE!</v>
      </c>
      <c r="DG133" t="e">
        <f>'Compiled Agents'!E244+"h_l!'@f"</f>
        <v>#VALUE!</v>
      </c>
      <c r="DH133" t="e">
        <f>'Compiled Agents'!F244+"h_l!'@g"</f>
        <v>#VALUE!</v>
      </c>
      <c r="DI133" t="e">
        <f>'Compiled Agents'!G244+"h_l!'@h"</f>
        <v>#VALUE!</v>
      </c>
      <c r="DJ133" t="e">
        <f>'Compiled Agents'!H244+"h_l!'@i"</f>
        <v>#VALUE!</v>
      </c>
      <c r="DK133" t="e">
        <f>'Compiled Agents'!A245+"h_l!'@j"</f>
        <v>#VALUE!</v>
      </c>
      <c r="DL133" t="e">
        <f>'Compiled Agents'!B245+"h_l!'@k"</f>
        <v>#VALUE!</v>
      </c>
      <c r="DM133" t="e">
        <f>'Compiled Agents'!C245+"h_l!'@l"</f>
        <v>#VALUE!</v>
      </c>
      <c r="DN133" t="e">
        <f>'Compiled Agents'!E245+"h_l!'@m"</f>
        <v>#VALUE!</v>
      </c>
      <c r="DO133" t="e">
        <f>'Compiled Agents'!F245+"h_l!'@n"</f>
        <v>#VALUE!</v>
      </c>
      <c r="DP133" t="e">
        <f>'Compiled Agents'!G245+"h_l!'@o"</f>
        <v>#VALUE!</v>
      </c>
      <c r="DQ133" t="e">
        <f>'Compiled Agents'!H245+"h_l!'@p"</f>
        <v>#VALUE!</v>
      </c>
      <c r="DR133" t="e">
        <f>'Compiled Agents'!A246+"h_l!'@q"</f>
        <v>#VALUE!</v>
      </c>
      <c r="DS133" t="e">
        <f>'Compiled Agents'!B246+"h_l!'@r"</f>
        <v>#VALUE!</v>
      </c>
      <c r="DT133" t="e">
        <f>'Compiled Agents'!C246+"h_l!'@s"</f>
        <v>#VALUE!</v>
      </c>
      <c r="DU133" t="e">
        <f>'Compiled Agents'!E246+"h_l!'@t"</f>
        <v>#VALUE!</v>
      </c>
      <c r="DV133" t="e">
        <f>'Compiled Agents'!F246+"h_l!'@u"</f>
        <v>#VALUE!</v>
      </c>
      <c r="DW133" t="e">
        <f>'Compiled Agents'!G246+"h_l!'@v"</f>
        <v>#VALUE!</v>
      </c>
      <c r="DX133" t="e">
        <f>'Compiled Agents'!H246+"h_l!'@w"</f>
        <v>#VALUE!</v>
      </c>
      <c r="DY133" t="e">
        <f>'Compiled Agents'!A247+"h_l!'@x"</f>
        <v>#VALUE!</v>
      </c>
      <c r="DZ133" t="e">
        <f>'Compiled Agents'!B247+"h_l!'@y"</f>
        <v>#VALUE!</v>
      </c>
      <c r="EA133" t="e">
        <f>'Compiled Agents'!C247+"h_l!'@z"</f>
        <v>#VALUE!</v>
      </c>
      <c r="EB133" t="e">
        <f>'Compiled Agents'!E247+"h_l!'@{"</f>
        <v>#VALUE!</v>
      </c>
      <c r="EC133" t="e">
        <f>'Compiled Agents'!F247+"h_l!'@|"</f>
        <v>#VALUE!</v>
      </c>
      <c r="ED133" t="e">
        <f>'Compiled Agents'!G247+"h_l!'@}"</f>
        <v>#VALUE!</v>
      </c>
      <c r="EE133" t="e">
        <f>'Compiled Agents'!H247+"h_l!'@~"</f>
        <v>#VALUE!</v>
      </c>
      <c r="EF133" t="e">
        <f>'Compiled Agents'!A248+"h_l!'A#"</f>
        <v>#VALUE!</v>
      </c>
      <c r="EG133" t="e">
        <f>'Compiled Agents'!B248+"h_l!'A$"</f>
        <v>#VALUE!</v>
      </c>
      <c r="EH133" t="e">
        <f>'Compiled Agents'!C248+"h_l!'A%"</f>
        <v>#VALUE!</v>
      </c>
      <c r="EI133" t="e">
        <f>'Compiled Agents'!E248+"h_l!'A&amp;"</f>
        <v>#VALUE!</v>
      </c>
      <c r="EJ133" t="e">
        <f>'Compiled Agents'!F248+"h_l!'A'"</f>
        <v>#VALUE!</v>
      </c>
      <c r="EK133" t="e">
        <f>'Compiled Agents'!G248+"h_l!'A("</f>
        <v>#VALUE!</v>
      </c>
      <c r="EL133" t="e">
        <f>'Compiled Agents'!H248+"h_l!'A)"</f>
        <v>#VALUE!</v>
      </c>
      <c r="EM133" t="e">
        <f>'Compiled Agents'!A249+"h_l!'A."</f>
        <v>#VALUE!</v>
      </c>
      <c r="EN133" t="e">
        <f>'Compiled Agents'!B249+"h_l!'A/"</f>
        <v>#VALUE!</v>
      </c>
      <c r="EO133" t="e">
        <f>'Compiled Agents'!C249+"h_l!'A0"</f>
        <v>#VALUE!</v>
      </c>
      <c r="EP133" t="e">
        <f>'Compiled Agents'!E249+"h_l!'A1"</f>
        <v>#VALUE!</v>
      </c>
      <c r="EQ133" t="e">
        <f>'Compiled Agents'!F249+"h_l!'A2"</f>
        <v>#VALUE!</v>
      </c>
      <c r="ER133" t="e">
        <f>'Compiled Agents'!G249+"h_l!'A3"</f>
        <v>#VALUE!</v>
      </c>
      <c r="ES133" t="e">
        <f>'Compiled Agents'!H249+"h_l!'A4"</f>
        <v>#VALUE!</v>
      </c>
      <c r="ET133" t="e">
        <f>'Compiled Agents'!A250+"h_l!'A5"</f>
        <v>#VALUE!</v>
      </c>
      <c r="EU133" t="e">
        <f>'Compiled Agents'!B250+"h_l!'A6"</f>
        <v>#VALUE!</v>
      </c>
      <c r="EV133" t="e">
        <f>'Compiled Agents'!C250+"h_l!'A7"</f>
        <v>#VALUE!</v>
      </c>
      <c r="EW133" t="e">
        <f>'Compiled Agents'!E250+"h_l!'A8"</f>
        <v>#VALUE!</v>
      </c>
      <c r="EX133" t="e">
        <f>'Compiled Agents'!F250+"h_l!'A9"</f>
        <v>#VALUE!</v>
      </c>
      <c r="EY133" t="e">
        <f>'Compiled Agents'!G250+"h_l!'A:"</f>
        <v>#VALUE!</v>
      </c>
      <c r="EZ133" t="e">
        <f>'Compiled Agents'!H250+"h_l!'A;"</f>
        <v>#VALUE!</v>
      </c>
      <c r="FA133" t="e">
        <f>'Compiled Agents'!A251+"h_l!'A&lt;"</f>
        <v>#VALUE!</v>
      </c>
      <c r="FB133" t="e">
        <f>'Compiled Agents'!B251+"h_l!'A="</f>
        <v>#VALUE!</v>
      </c>
      <c r="FC133" t="e">
        <f>'Compiled Agents'!C251+"h_l!'A&gt;"</f>
        <v>#VALUE!</v>
      </c>
      <c r="FD133" t="e">
        <f>'Compiled Agents'!E251+"h_l!'A?"</f>
        <v>#VALUE!</v>
      </c>
      <c r="FE133" t="e">
        <f>'Compiled Agents'!F251+"h_l!'A@"</f>
        <v>#VALUE!</v>
      </c>
      <c r="FF133" t="e">
        <f>'Compiled Agents'!G251+"h_l!'AA"</f>
        <v>#VALUE!</v>
      </c>
      <c r="FG133" t="e">
        <f>'Compiled Agents'!H251+"h_l!'AB"</f>
        <v>#VALUE!</v>
      </c>
      <c r="FH133" t="e">
        <f>'Compiled Agents'!A252+"h_l!'AC"</f>
        <v>#VALUE!</v>
      </c>
      <c r="FI133" t="e">
        <f>'Compiled Agents'!B252+"h_l!'AD"</f>
        <v>#VALUE!</v>
      </c>
      <c r="FJ133" t="e">
        <f>'Compiled Agents'!C252+"h_l!'AE"</f>
        <v>#VALUE!</v>
      </c>
      <c r="FK133" t="e">
        <f>'Compiled Agents'!E252+"h_l!'AF"</f>
        <v>#VALUE!</v>
      </c>
      <c r="FL133" t="e">
        <f>'Compiled Agents'!F252+"h_l!'AG"</f>
        <v>#VALUE!</v>
      </c>
      <c r="FM133" t="e">
        <f>'Compiled Agents'!G252+"h_l!'AH"</f>
        <v>#VALUE!</v>
      </c>
      <c r="FN133" t="e">
        <f>'Compiled Agents'!H252+"h_l!'AI"</f>
        <v>#VALUE!</v>
      </c>
      <c r="FO133" t="e">
        <f>'Compiled Agents'!A253+"h_l!'AJ"</f>
        <v>#VALUE!</v>
      </c>
      <c r="FP133" t="e">
        <f>'Compiled Agents'!B253+"h_l!'AK"</f>
        <v>#VALUE!</v>
      </c>
      <c r="FQ133" t="e">
        <f>'Compiled Agents'!C253+"h_l!'AL"</f>
        <v>#VALUE!</v>
      </c>
      <c r="FR133" t="e">
        <f>'Compiled Agents'!E253+"h_l!'AM"</f>
        <v>#VALUE!</v>
      </c>
      <c r="FS133" t="e">
        <f>'Compiled Agents'!F253+"h_l!'AN"</f>
        <v>#VALUE!</v>
      </c>
      <c r="FT133" t="e">
        <f>'Compiled Agents'!G253+"h_l!'AO"</f>
        <v>#VALUE!</v>
      </c>
      <c r="FU133" t="e">
        <f>'Compiled Agents'!H253+"h_l!'AP"</f>
        <v>#VALUE!</v>
      </c>
      <c r="FV133" t="e">
        <f>'Compiled Agents'!A254+"h_l!'AQ"</f>
        <v>#VALUE!</v>
      </c>
      <c r="FW133" t="e">
        <f>'Compiled Agents'!B254+"h_l!'AR"</f>
        <v>#VALUE!</v>
      </c>
      <c r="FX133" t="e">
        <f>'Compiled Agents'!C254+"h_l!'AS"</f>
        <v>#VALUE!</v>
      </c>
      <c r="FY133" t="e">
        <f>'Compiled Agents'!E254+"h_l!'AT"</f>
        <v>#VALUE!</v>
      </c>
      <c r="FZ133" t="e">
        <f>'Compiled Agents'!F254+"h_l!'AU"</f>
        <v>#VALUE!</v>
      </c>
      <c r="GA133" t="e">
        <f>'Compiled Agents'!G254+"h_l!'AV"</f>
        <v>#VALUE!</v>
      </c>
      <c r="GB133" t="e">
        <f>'Compiled Agents'!H254+"h_l!'AW"</f>
        <v>#VALUE!</v>
      </c>
      <c r="GC133" t="e">
        <f>'Compiled Agents'!A255+"h_l!'AX"</f>
        <v>#VALUE!</v>
      </c>
      <c r="GD133" t="e">
        <f>'Compiled Agents'!B255+"h_l!'AY"</f>
        <v>#VALUE!</v>
      </c>
      <c r="GE133" t="e">
        <f>'Compiled Agents'!C255+"h_l!'AZ"</f>
        <v>#VALUE!</v>
      </c>
      <c r="GF133" t="e">
        <f>'Compiled Agents'!E255+"h_l!'A["</f>
        <v>#VALUE!</v>
      </c>
      <c r="GG133" t="e">
        <f>'Compiled Agents'!F255+"h_l!'A\"</f>
        <v>#VALUE!</v>
      </c>
      <c r="GH133" t="e">
        <f>'Compiled Agents'!G255+"h_l!'A]"</f>
        <v>#VALUE!</v>
      </c>
      <c r="GI133" t="e">
        <f>'Compiled Agents'!H255+"h_l!'A^"</f>
        <v>#VALUE!</v>
      </c>
      <c r="GJ133" t="e">
        <f>'Compiled Agents'!A256+"h_l!'A_"</f>
        <v>#VALUE!</v>
      </c>
      <c r="GK133" t="e">
        <f>'Compiled Agents'!B256+"h_l!'A`"</f>
        <v>#VALUE!</v>
      </c>
      <c r="GL133" t="e">
        <f>'Compiled Agents'!C256+"h_l!'Aa"</f>
        <v>#VALUE!</v>
      </c>
      <c r="GM133" t="e">
        <f>'Compiled Agents'!E256+"h_l!'Ab"</f>
        <v>#VALUE!</v>
      </c>
      <c r="GN133" t="e">
        <f>'Compiled Agents'!F256+"h_l!'Ac"</f>
        <v>#VALUE!</v>
      </c>
      <c r="GO133" t="e">
        <f>'Compiled Agents'!G256+"h_l!'Ad"</f>
        <v>#VALUE!</v>
      </c>
      <c r="GP133" t="e">
        <f>'Compiled Agents'!H256+"h_l!'Ae"</f>
        <v>#VALUE!</v>
      </c>
      <c r="GQ133" t="e">
        <f>'Compiled Agents'!A257+"h_l!'Af"</f>
        <v>#VALUE!</v>
      </c>
      <c r="GR133" t="e">
        <f>'Compiled Agents'!B257+"h_l!'Ag"</f>
        <v>#VALUE!</v>
      </c>
      <c r="GS133" t="e">
        <f>'Compiled Agents'!C257+"h_l!'Ah"</f>
        <v>#VALUE!</v>
      </c>
      <c r="GT133" t="e">
        <f>'Compiled Agents'!E257+"h_l!'Ai"</f>
        <v>#VALUE!</v>
      </c>
      <c r="GU133" t="e">
        <f>'Compiled Agents'!F257+"h_l!'Aj"</f>
        <v>#VALUE!</v>
      </c>
      <c r="GV133" t="e">
        <f>'Compiled Agents'!G257+"h_l!'Ak"</f>
        <v>#VALUE!</v>
      </c>
      <c r="GW133" t="e">
        <f>'Compiled Agents'!H257+"h_l!'Al"</f>
        <v>#VALUE!</v>
      </c>
      <c r="GX133" t="e">
        <f>'Compiled Agents'!A258+"h_l!'Am"</f>
        <v>#VALUE!</v>
      </c>
      <c r="GY133" t="e">
        <f>'Compiled Agents'!B258+"h_l!'An"</f>
        <v>#VALUE!</v>
      </c>
      <c r="GZ133" t="e">
        <f>'Compiled Agents'!C258+"h_l!'Ao"</f>
        <v>#VALUE!</v>
      </c>
      <c r="HA133" t="e">
        <f>'Compiled Agents'!E258+"h_l!'Ap"</f>
        <v>#VALUE!</v>
      </c>
      <c r="HB133" t="e">
        <f>'Compiled Agents'!F258+"h_l!'Aq"</f>
        <v>#VALUE!</v>
      </c>
      <c r="HC133" t="e">
        <f>'Compiled Agents'!G258+"h_l!'Ar"</f>
        <v>#VALUE!</v>
      </c>
      <c r="HD133" t="e">
        <f>'Compiled Agents'!H258+"h_l!'As"</f>
        <v>#VALUE!</v>
      </c>
      <c r="HE133" t="e">
        <f>'Compiled Agents'!A259+"h_l!'At"</f>
        <v>#VALUE!</v>
      </c>
      <c r="HF133" t="e">
        <f>'Compiled Agents'!B259+"h_l!'Au"</f>
        <v>#VALUE!</v>
      </c>
      <c r="HG133" t="e">
        <f>'Compiled Agents'!C259+"h_l!'Av"</f>
        <v>#VALUE!</v>
      </c>
      <c r="HH133" t="e">
        <f>'Compiled Agents'!E259+"h_l!'Aw"</f>
        <v>#VALUE!</v>
      </c>
      <c r="HI133" t="e">
        <f>'Compiled Agents'!F259+"h_l!'Ax"</f>
        <v>#VALUE!</v>
      </c>
      <c r="HJ133" t="e">
        <f>'Compiled Agents'!G259+"h_l!'Ay"</f>
        <v>#VALUE!</v>
      </c>
      <c r="HK133" t="e">
        <f>'Compiled Agents'!H259+"h_l!'Az"</f>
        <v>#VALUE!</v>
      </c>
      <c r="HL133" t="e">
        <f>'Compiled Agents'!A260+"h_l!'A{"</f>
        <v>#VALUE!</v>
      </c>
      <c r="HM133" t="e">
        <f>'Compiled Agents'!B260+"h_l!'A|"</f>
        <v>#VALUE!</v>
      </c>
      <c r="HN133" t="e">
        <f>'Compiled Agents'!C260+"h_l!'A}"</f>
        <v>#VALUE!</v>
      </c>
      <c r="HO133" t="e">
        <f>'Compiled Agents'!E260+"h_l!'A~"</f>
        <v>#VALUE!</v>
      </c>
      <c r="HP133" t="e">
        <f>'Compiled Agents'!F260+"h_l!'B#"</f>
        <v>#VALUE!</v>
      </c>
      <c r="HQ133" t="e">
        <f>'Compiled Agents'!G260+"h_l!'B$"</f>
        <v>#VALUE!</v>
      </c>
      <c r="HR133" t="e">
        <f>'Compiled Agents'!H260+"h_l!'B%"</f>
        <v>#VALUE!</v>
      </c>
      <c r="HS133" t="e">
        <f>'Compiled Agents'!A261+"h_l!'B&amp;"</f>
        <v>#VALUE!</v>
      </c>
      <c r="HT133" t="e">
        <f>'Compiled Agents'!B261+"h_l!'B'"</f>
        <v>#VALUE!</v>
      </c>
      <c r="HU133" t="e">
        <f>'Compiled Agents'!C261+"h_l!'B("</f>
        <v>#VALUE!</v>
      </c>
      <c r="HV133" t="e">
        <f>'Compiled Agents'!E261+"h_l!'B)"</f>
        <v>#VALUE!</v>
      </c>
      <c r="HW133" t="e">
        <f>'Compiled Agents'!F261+"h_l!'B."</f>
        <v>#VALUE!</v>
      </c>
      <c r="HX133" t="e">
        <f>'Compiled Agents'!G261+"h_l!'B/"</f>
        <v>#VALUE!</v>
      </c>
      <c r="HY133" t="e">
        <f>'Compiled Agents'!H261+"h_l!'B0"</f>
        <v>#VALUE!</v>
      </c>
      <c r="HZ133" t="e">
        <f>'Compiled Agents'!A262+"h_l!'B1"</f>
        <v>#VALUE!</v>
      </c>
      <c r="IA133" t="e">
        <f>'Compiled Agents'!B262+"h_l!'B2"</f>
        <v>#VALUE!</v>
      </c>
      <c r="IB133" t="e">
        <f>'Compiled Agents'!C262+"h_l!'B3"</f>
        <v>#VALUE!</v>
      </c>
      <c r="IC133" t="e">
        <f>'Compiled Agents'!E262+"h_l!'B4"</f>
        <v>#VALUE!</v>
      </c>
      <c r="ID133" t="e">
        <f>'Compiled Agents'!F262+"h_l!'B5"</f>
        <v>#VALUE!</v>
      </c>
      <c r="IE133" t="e">
        <f>'Compiled Agents'!G262+"h_l!'B6"</f>
        <v>#VALUE!</v>
      </c>
      <c r="IF133" t="e">
        <f>'Compiled Agents'!H262+"h_l!'B7"</f>
        <v>#VALUE!</v>
      </c>
      <c r="IG133" t="e">
        <f>'Compiled Agents'!A263+"h_l!'B8"</f>
        <v>#VALUE!</v>
      </c>
      <c r="IH133" t="e">
        <f>'Compiled Agents'!B263+"h_l!'B9"</f>
        <v>#VALUE!</v>
      </c>
      <c r="II133" t="e">
        <f>'Compiled Agents'!C263+"h_l!'B:"</f>
        <v>#VALUE!</v>
      </c>
      <c r="IJ133" t="e">
        <f>'Compiled Agents'!E263+"h_l!'B;"</f>
        <v>#VALUE!</v>
      </c>
      <c r="IK133" t="e">
        <f>'Compiled Agents'!F263+"h_l!'B&lt;"</f>
        <v>#VALUE!</v>
      </c>
      <c r="IL133" t="e">
        <f>'Compiled Agents'!G263+"h_l!'B="</f>
        <v>#VALUE!</v>
      </c>
      <c r="IM133" t="e">
        <f>'Compiled Agents'!H263+"h_l!'B&gt;"</f>
        <v>#VALUE!</v>
      </c>
      <c r="IN133" t="e">
        <f>'Compiled Agents'!A264+"h_l!'B?"</f>
        <v>#VALUE!</v>
      </c>
      <c r="IO133" t="e">
        <f>'Compiled Agents'!B264+"h_l!'B@"</f>
        <v>#VALUE!</v>
      </c>
      <c r="IP133" t="e">
        <f>'Compiled Agents'!C264+"h_l!'BA"</f>
        <v>#VALUE!</v>
      </c>
      <c r="IQ133" t="e">
        <f>'Compiled Agents'!E264+"h_l!'BB"</f>
        <v>#VALUE!</v>
      </c>
      <c r="IR133" t="e">
        <f>'Compiled Agents'!F264+"h_l!'BC"</f>
        <v>#VALUE!</v>
      </c>
      <c r="IS133" t="e">
        <f>'Compiled Agents'!G264+"h_l!'BD"</f>
        <v>#VALUE!</v>
      </c>
      <c r="IT133" t="e">
        <f>'Compiled Agents'!H264+"h_l!'BE"</f>
        <v>#VALUE!</v>
      </c>
      <c r="IU133" t="e">
        <f>'Compiled Agents'!A265+"h_l!'BF"</f>
        <v>#VALUE!</v>
      </c>
      <c r="IV133" t="e">
        <f>'Compiled Agents'!B265+"h_l!'BG"</f>
        <v>#VALUE!</v>
      </c>
    </row>
    <row r="134" spans="6:256" x14ac:dyDescent="0.25">
      <c r="F134" t="e">
        <f>'Compiled Agents'!C265+"h_l!'BH"</f>
        <v>#VALUE!</v>
      </c>
      <c r="G134" t="e">
        <f>'Compiled Agents'!E265+"h_l!'BI"</f>
        <v>#VALUE!</v>
      </c>
      <c r="H134" t="e">
        <f>'Compiled Agents'!F265+"h_l!'BJ"</f>
        <v>#VALUE!</v>
      </c>
      <c r="I134" t="e">
        <f>'Compiled Agents'!G265+"h_l!'BK"</f>
        <v>#VALUE!</v>
      </c>
      <c r="J134" t="e">
        <f>'Compiled Agents'!H265+"h_l!'BL"</f>
        <v>#VALUE!</v>
      </c>
      <c r="K134" t="e">
        <f>'Compiled Agents'!A266+"h_l!'BM"</f>
        <v>#VALUE!</v>
      </c>
      <c r="L134" t="e">
        <f>'Compiled Agents'!B266+"h_l!'BN"</f>
        <v>#VALUE!</v>
      </c>
      <c r="M134" t="e">
        <f>'Compiled Agents'!C266+"h_l!'BO"</f>
        <v>#VALUE!</v>
      </c>
      <c r="N134" t="e">
        <f>'Compiled Agents'!E266+"h_l!'BP"</f>
        <v>#VALUE!</v>
      </c>
      <c r="O134" t="e">
        <f>'Compiled Agents'!F266+"h_l!'BQ"</f>
        <v>#VALUE!</v>
      </c>
      <c r="P134" t="e">
        <f>'Compiled Agents'!G266+"h_l!'BR"</f>
        <v>#VALUE!</v>
      </c>
      <c r="Q134" t="e">
        <f>'Compiled Agents'!H266+"h_l!'BS"</f>
        <v>#VALUE!</v>
      </c>
      <c r="R134" t="e">
        <f>'Compiled Agents'!A267+"h_l!'BT"</f>
        <v>#VALUE!</v>
      </c>
      <c r="S134" t="e">
        <f>'Compiled Agents'!B267+"h_l!'BU"</f>
        <v>#VALUE!</v>
      </c>
      <c r="T134" t="e">
        <f>'Compiled Agents'!C267+"h_l!'BV"</f>
        <v>#VALUE!</v>
      </c>
      <c r="U134" t="e">
        <f>'Compiled Agents'!E267+"h_l!'BW"</f>
        <v>#VALUE!</v>
      </c>
      <c r="V134" t="e">
        <f>'Compiled Agents'!F267+"h_l!'BX"</f>
        <v>#VALUE!</v>
      </c>
      <c r="W134" t="e">
        <f>'Compiled Agents'!G267+"h_l!'BY"</f>
        <v>#VALUE!</v>
      </c>
      <c r="X134" t="e">
        <f>'Compiled Agents'!H267+"h_l!'BZ"</f>
        <v>#VALUE!</v>
      </c>
      <c r="Y134" t="e">
        <f>'Compiled Agents'!A268+"h_l!'B["</f>
        <v>#VALUE!</v>
      </c>
      <c r="Z134" t="e">
        <f>'Compiled Agents'!B268+"h_l!'B\"</f>
        <v>#VALUE!</v>
      </c>
      <c r="AA134" t="e">
        <f>'Compiled Agents'!C268+"h_l!'B]"</f>
        <v>#VALUE!</v>
      </c>
      <c r="AB134" t="e">
        <f>'Compiled Agents'!E268+"h_l!'B^"</f>
        <v>#VALUE!</v>
      </c>
      <c r="AC134" t="e">
        <f>'Compiled Agents'!F268+"h_l!'B_"</f>
        <v>#VALUE!</v>
      </c>
      <c r="AD134" t="e">
        <f>'Compiled Agents'!G268+"h_l!'B`"</f>
        <v>#VALUE!</v>
      </c>
      <c r="AE134" t="e">
        <f>'Compiled Agents'!H268+"h_l!'Ba"</f>
        <v>#VALUE!</v>
      </c>
      <c r="AF134" t="e">
        <f>'Compiled Agents'!A269+"h_l!'Bb"</f>
        <v>#VALUE!</v>
      </c>
      <c r="AG134" t="e">
        <f>'Compiled Agents'!B269+"h_l!'Bc"</f>
        <v>#VALUE!</v>
      </c>
      <c r="AH134" t="e">
        <f>'Compiled Agents'!C269+"h_l!'Bd"</f>
        <v>#VALUE!</v>
      </c>
      <c r="AI134" t="e">
        <f>'Compiled Agents'!E269+"h_l!'Be"</f>
        <v>#VALUE!</v>
      </c>
      <c r="AJ134" t="e">
        <f>'Compiled Agents'!F269+"h_l!'Bf"</f>
        <v>#VALUE!</v>
      </c>
      <c r="AK134" t="e">
        <f>'Compiled Agents'!G269+"h_l!'Bg"</f>
        <v>#VALUE!</v>
      </c>
      <c r="AL134" t="e">
        <f>'Compiled Agents'!H269+"h_l!'Bh"</f>
        <v>#VALUE!</v>
      </c>
      <c r="AM134" t="e">
        <f>'Compiled Agents'!A270+"h_l!'Bi"</f>
        <v>#VALUE!</v>
      </c>
      <c r="AN134" t="e">
        <f>'Compiled Agents'!B270+"h_l!'Bj"</f>
        <v>#VALUE!</v>
      </c>
      <c r="AO134" t="e">
        <f>'Compiled Agents'!C270+"h_l!'Bk"</f>
        <v>#VALUE!</v>
      </c>
      <c r="AP134" t="e">
        <f>'Compiled Agents'!E270+"h_l!'Bl"</f>
        <v>#VALUE!</v>
      </c>
      <c r="AQ134" t="e">
        <f>'Compiled Agents'!F270+"h_l!'Bm"</f>
        <v>#VALUE!</v>
      </c>
      <c r="AR134" t="e">
        <f>'Compiled Agents'!G270+"h_l!'Bn"</f>
        <v>#VALUE!</v>
      </c>
      <c r="AS134" t="e">
        <f>'Compiled Agents'!H270+"h_l!'Bo"</f>
        <v>#VALUE!</v>
      </c>
      <c r="AT134" t="e">
        <f>'Compiled Agents'!A271+"h_l!'Bp"</f>
        <v>#VALUE!</v>
      </c>
      <c r="AU134" t="e">
        <f>'Compiled Agents'!B271+"h_l!'Bq"</f>
        <v>#VALUE!</v>
      </c>
      <c r="AV134" t="e">
        <f>'Compiled Agents'!C271+"h_l!'Br"</f>
        <v>#VALUE!</v>
      </c>
      <c r="AW134" t="e">
        <f>'Compiled Agents'!E271+"h_l!'Bs"</f>
        <v>#VALUE!</v>
      </c>
      <c r="AX134" t="e">
        <f>'Compiled Agents'!F271+"h_l!'Bt"</f>
        <v>#VALUE!</v>
      </c>
      <c r="AY134" t="e">
        <f>'Compiled Agents'!G271+"h_l!'Bu"</f>
        <v>#VALUE!</v>
      </c>
      <c r="AZ134" t="e">
        <f>'Compiled Agents'!H271+"h_l!'Bv"</f>
        <v>#VALUE!</v>
      </c>
      <c r="BA134" t="e">
        <f>'Compiled Agents'!A272+"h_l!'Bw"</f>
        <v>#VALUE!</v>
      </c>
      <c r="BB134" t="e">
        <f>'Compiled Agents'!B272+"h_l!'Bx"</f>
        <v>#VALUE!</v>
      </c>
      <c r="BC134" t="e">
        <f>'Compiled Agents'!C272+"h_l!'By"</f>
        <v>#VALUE!</v>
      </c>
      <c r="BD134" t="e">
        <f>'Compiled Agents'!E272+"h_l!'Bz"</f>
        <v>#VALUE!</v>
      </c>
      <c r="BE134" t="e">
        <f>'Compiled Agents'!F272+"h_l!'B{"</f>
        <v>#VALUE!</v>
      </c>
      <c r="BF134" t="e">
        <f>'Compiled Agents'!G272+"h_l!'B|"</f>
        <v>#VALUE!</v>
      </c>
      <c r="BG134" t="e">
        <f>'Compiled Agents'!H272+"h_l!'B}"</f>
        <v>#VALUE!</v>
      </c>
      <c r="BH134" t="e">
        <f>'Compiled Agents'!A273+"h_l!'B~"</f>
        <v>#VALUE!</v>
      </c>
      <c r="BI134" t="e">
        <f>'Compiled Agents'!B273+"h_l!'C#"</f>
        <v>#VALUE!</v>
      </c>
      <c r="BJ134" t="e">
        <f>'Compiled Agents'!C273+"h_l!'C$"</f>
        <v>#VALUE!</v>
      </c>
      <c r="BK134" t="e">
        <f>'Compiled Agents'!E273+"h_l!'C%"</f>
        <v>#VALUE!</v>
      </c>
      <c r="BL134" t="e">
        <f>'Compiled Agents'!F273+"h_l!'C&amp;"</f>
        <v>#VALUE!</v>
      </c>
      <c r="BM134" t="e">
        <f>'Compiled Agents'!G273+"h_l!'C'"</f>
        <v>#VALUE!</v>
      </c>
      <c r="BN134" t="e">
        <f>'Compiled Agents'!H273+"h_l!'C("</f>
        <v>#VALUE!</v>
      </c>
      <c r="BO134" t="e">
        <f>'Compiled Agents'!A274+"h_l!'C)"</f>
        <v>#VALUE!</v>
      </c>
      <c r="BP134" t="e">
        <f>'Compiled Agents'!B274+"h_l!'C."</f>
        <v>#VALUE!</v>
      </c>
      <c r="BQ134" t="e">
        <f>'Compiled Agents'!C274+"h_l!'C/"</f>
        <v>#VALUE!</v>
      </c>
      <c r="BR134" t="e">
        <f>'Compiled Agents'!E274+"h_l!'C0"</f>
        <v>#VALUE!</v>
      </c>
      <c r="BS134" t="e">
        <f>'Compiled Agents'!F274+"h_l!'C1"</f>
        <v>#VALUE!</v>
      </c>
      <c r="BT134" t="e">
        <f>'Compiled Agents'!G274+"h_l!'C2"</f>
        <v>#VALUE!</v>
      </c>
      <c r="BU134" t="e">
        <f>'Compiled Agents'!H274+"h_l!'C3"</f>
        <v>#VALUE!</v>
      </c>
      <c r="BV134" t="e">
        <f>'Compiled Agents'!A275+"h_l!'C4"</f>
        <v>#VALUE!</v>
      </c>
      <c r="BW134" t="e">
        <f>'Compiled Agents'!B275+"h_l!'C5"</f>
        <v>#VALUE!</v>
      </c>
      <c r="BX134" t="e">
        <f>'Compiled Agents'!C275+"h_l!'C6"</f>
        <v>#VALUE!</v>
      </c>
      <c r="BY134" t="e">
        <f>'Compiled Agents'!E275+"h_l!'C7"</f>
        <v>#VALUE!</v>
      </c>
      <c r="BZ134" t="e">
        <f>'Compiled Agents'!F275+"h_l!'C8"</f>
        <v>#VALUE!</v>
      </c>
      <c r="CA134" t="e">
        <f>'Compiled Agents'!G275+"h_l!'C9"</f>
        <v>#VALUE!</v>
      </c>
      <c r="CB134" t="e">
        <f>'Compiled Agents'!H275+"h_l!'C:"</f>
        <v>#VALUE!</v>
      </c>
      <c r="CC134" t="e">
        <f>'Compiled Agents'!A276+"h_l!'C;"</f>
        <v>#VALUE!</v>
      </c>
      <c r="CD134" t="e">
        <f>'Compiled Agents'!B276+"h_l!'C&lt;"</f>
        <v>#VALUE!</v>
      </c>
      <c r="CE134" t="e">
        <f>'Compiled Agents'!C276+"h_l!'C="</f>
        <v>#VALUE!</v>
      </c>
      <c r="CF134" t="e">
        <f>'Compiled Agents'!E276+"h_l!'C&gt;"</f>
        <v>#VALUE!</v>
      </c>
      <c r="CG134" t="e">
        <f>'Compiled Agents'!F276+"h_l!'C?"</f>
        <v>#VALUE!</v>
      </c>
      <c r="CH134" t="e">
        <f>'Compiled Agents'!G276+"h_l!'C@"</f>
        <v>#VALUE!</v>
      </c>
      <c r="CI134" t="e">
        <f>'Compiled Agents'!H276+"h_l!'CA"</f>
        <v>#VALUE!</v>
      </c>
      <c r="CJ134" t="e">
        <f>'Compiled Agents'!A277+"h_l!'CB"</f>
        <v>#VALUE!</v>
      </c>
      <c r="CK134" t="e">
        <f>'Compiled Agents'!B277+"h_l!'CC"</f>
        <v>#VALUE!</v>
      </c>
      <c r="CL134" t="e">
        <f>'Compiled Agents'!C277+"h_l!'CD"</f>
        <v>#VALUE!</v>
      </c>
      <c r="CM134" t="e">
        <f>'Compiled Agents'!E277+"h_l!'CE"</f>
        <v>#VALUE!</v>
      </c>
      <c r="CN134" t="e">
        <f>'Compiled Agents'!F277+"h_l!'CF"</f>
        <v>#VALUE!</v>
      </c>
      <c r="CO134" t="e">
        <f>'Compiled Agents'!G277+"h_l!'CG"</f>
        <v>#VALUE!</v>
      </c>
      <c r="CP134" t="e">
        <f>'Compiled Agents'!H277+"h_l!'CH"</f>
        <v>#VALUE!</v>
      </c>
      <c r="CQ134" t="e">
        <f>'Compiled Agents'!A278+"h_l!'CI"</f>
        <v>#VALUE!</v>
      </c>
      <c r="CR134" t="e">
        <f>'Compiled Agents'!B278+"h_l!'CJ"</f>
        <v>#VALUE!</v>
      </c>
      <c r="CS134" t="e">
        <f>'Compiled Agents'!C278+"h_l!'CK"</f>
        <v>#VALUE!</v>
      </c>
      <c r="CT134" t="e">
        <f>'Compiled Agents'!E278+"h_l!'CL"</f>
        <v>#VALUE!</v>
      </c>
      <c r="CU134" t="e">
        <f>'Compiled Agents'!F278+"h_l!'CM"</f>
        <v>#VALUE!</v>
      </c>
      <c r="CV134" t="e">
        <f>'Compiled Agents'!G278+"h_l!'CN"</f>
        <v>#VALUE!</v>
      </c>
      <c r="CW134" t="e">
        <f>'Compiled Agents'!H278+"h_l!'CO"</f>
        <v>#VALUE!</v>
      </c>
      <c r="CX134" t="e">
        <f>'Compiled Agents'!A279+"h_l!'CP"</f>
        <v>#VALUE!</v>
      </c>
      <c r="CY134" t="e">
        <f>'Compiled Agents'!B279+"h_l!'CQ"</f>
        <v>#VALUE!</v>
      </c>
      <c r="CZ134" t="e">
        <f>'Compiled Agents'!C279+"h_l!'CR"</f>
        <v>#VALUE!</v>
      </c>
      <c r="DA134" t="e">
        <f>'Compiled Agents'!E279+"h_l!'CS"</f>
        <v>#VALUE!</v>
      </c>
      <c r="DB134" t="e">
        <f>'Compiled Agents'!F279+"h_l!'CT"</f>
        <v>#VALUE!</v>
      </c>
      <c r="DC134" t="e">
        <f>'Compiled Agents'!G279+"h_l!'CU"</f>
        <v>#VALUE!</v>
      </c>
      <c r="DD134" t="e">
        <f>'Compiled Agents'!H279+"h_l!'CV"</f>
        <v>#VALUE!</v>
      </c>
      <c r="DE134" t="e">
        <f>'Compiled Agents'!A280+"h_l!'CW"</f>
        <v>#VALUE!</v>
      </c>
      <c r="DF134" t="e">
        <f>'Compiled Agents'!B280+"h_l!'CX"</f>
        <v>#VALUE!</v>
      </c>
      <c r="DG134" t="e">
        <f>'Compiled Agents'!C280+"h_l!'CY"</f>
        <v>#VALUE!</v>
      </c>
      <c r="DH134" t="e">
        <f>'Compiled Agents'!E280+"h_l!'CZ"</f>
        <v>#VALUE!</v>
      </c>
      <c r="DI134" t="e">
        <f>'Compiled Agents'!F280+"h_l!'C["</f>
        <v>#VALUE!</v>
      </c>
      <c r="DJ134" t="e">
        <f>'Compiled Agents'!G280+"h_l!'C\"</f>
        <v>#VALUE!</v>
      </c>
      <c r="DK134" t="e">
        <f>'Compiled Agents'!H280+"h_l!'C]"</f>
        <v>#VALUE!</v>
      </c>
      <c r="DL134" t="e">
        <f>'Compiled Agents'!A281+"h_l!'C^"</f>
        <v>#VALUE!</v>
      </c>
      <c r="DM134" t="e">
        <f>'Compiled Agents'!B281+"h_l!'C_"</f>
        <v>#VALUE!</v>
      </c>
      <c r="DN134" t="e">
        <f>'Compiled Agents'!C281+"h_l!'C`"</f>
        <v>#VALUE!</v>
      </c>
      <c r="DO134" t="e">
        <f>'Compiled Agents'!E281+"h_l!'Ca"</f>
        <v>#VALUE!</v>
      </c>
      <c r="DP134" t="e">
        <f>'Compiled Agents'!F281+"h_l!'Cb"</f>
        <v>#VALUE!</v>
      </c>
      <c r="DQ134" t="e">
        <f>'Compiled Agents'!G281+"h_l!'Cc"</f>
        <v>#VALUE!</v>
      </c>
      <c r="DR134" t="e">
        <f>'Compiled Agents'!H281+"h_l!'Cd"</f>
        <v>#VALUE!</v>
      </c>
      <c r="DS134" t="e">
        <f>'Compiled Agents'!A282+"h_l!'Ce"</f>
        <v>#VALUE!</v>
      </c>
      <c r="DT134" t="e">
        <f>'Compiled Agents'!B282+"h_l!'Cf"</f>
        <v>#VALUE!</v>
      </c>
      <c r="DU134" t="e">
        <f>'Compiled Agents'!C282+"h_l!'Cg"</f>
        <v>#VALUE!</v>
      </c>
      <c r="DV134" t="e">
        <f>'Compiled Agents'!E282+"h_l!'Ch"</f>
        <v>#VALUE!</v>
      </c>
      <c r="DW134" t="e">
        <f>'Compiled Agents'!F282+"h_l!'Ci"</f>
        <v>#VALUE!</v>
      </c>
      <c r="DX134" t="e">
        <f>'Compiled Agents'!G282+"h_l!'Cj"</f>
        <v>#VALUE!</v>
      </c>
      <c r="DY134" t="e">
        <f>'Compiled Agents'!H282+"h_l!'Ck"</f>
        <v>#VALUE!</v>
      </c>
      <c r="DZ134" t="e">
        <f>'Compiled Agents'!A283+"h_l!'Cl"</f>
        <v>#VALUE!</v>
      </c>
      <c r="EA134" t="e">
        <f>'Compiled Agents'!B283+"h_l!'Cm"</f>
        <v>#VALUE!</v>
      </c>
      <c r="EB134" t="e">
        <f>'Compiled Agents'!C283+"h_l!'Cn"</f>
        <v>#VALUE!</v>
      </c>
      <c r="EC134" t="e">
        <f>'Compiled Agents'!E283+"h_l!'Co"</f>
        <v>#VALUE!</v>
      </c>
      <c r="ED134" t="e">
        <f>'Compiled Agents'!F283+"h_l!'Cp"</f>
        <v>#VALUE!</v>
      </c>
      <c r="EE134" t="e">
        <f>'Compiled Agents'!G283+"h_l!'Cq"</f>
        <v>#VALUE!</v>
      </c>
      <c r="EF134" t="e">
        <f>'Compiled Agents'!H283+"h_l!'Cr"</f>
        <v>#VALUE!</v>
      </c>
      <c r="EG134" t="e">
        <f>'Compiled Agents'!A284+"h_l!'Cs"</f>
        <v>#VALUE!</v>
      </c>
      <c r="EH134" t="e">
        <f>'Compiled Agents'!B284+"h_l!'Ct"</f>
        <v>#VALUE!</v>
      </c>
      <c r="EI134" t="e">
        <f>'Compiled Agents'!C284+"h_l!'Cu"</f>
        <v>#VALUE!</v>
      </c>
      <c r="EJ134" t="e">
        <f>'Compiled Agents'!E284+"h_l!'Cv"</f>
        <v>#VALUE!</v>
      </c>
      <c r="EK134" t="e">
        <f>'Compiled Agents'!F284+"h_l!'Cw"</f>
        <v>#VALUE!</v>
      </c>
      <c r="EL134" t="e">
        <f>'Compiled Agents'!G284+"h_l!'Cx"</f>
        <v>#VALUE!</v>
      </c>
      <c r="EM134" t="e">
        <f>'Compiled Agents'!H284+"h_l!'Cy"</f>
        <v>#VALUE!</v>
      </c>
      <c r="EN134" t="e">
        <f>'Compiled Agents'!A285+"h_l!'Cz"</f>
        <v>#VALUE!</v>
      </c>
      <c r="EO134" t="e">
        <f>'Compiled Agents'!B285+"h_l!'C{"</f>
        <v>#VALUE!</v>
      </c>
      <c r="EP134" t="e">
        <f>'Compiled Agents'!C285+"h_l!'C|"</f>
        <v>#VALUE!</v>
      </c>
      <c r="EQ134" t="e">
        <f>'Compiled Agents'!E285+"h_l!'C}"</f>
        <v>#VALUE!</v>
      </c>
      <c r="ER134" t="e">
        <f>'Compiled Agents'!F285+"h_l!'C~"</f>
        <v>#VALUE!</v>
      </c>
      <c r="ES134" t="e">
        <f>'Compiled Agents'!G285+"h_l!'D#"</f>
        <v>#VALUE!</v>
      </c>
      <c r="ET134" t="e">
        <f>'Compiled Agents'!H285+"h_l!'D$"</f>
        <v>#VALUE!</v>
      </c>
      <c r="EU134" t="e">
        <f>'Compiled Agents'!A286+"h_l!'D%"</f>
        <v>#VALUE!</v>
      </c>
      <c r="EV134" t="e">
        <f>'Compiled Agents'!B286+"h_l!'D&amp;"</f>
        <v>#VALUE!</v>
      </c>
      <c r="EW134" t="e">
        <f>'Compiled Agents'!C286+"h_l!'D'"</f>
        <v>#VALUE!</v>
      </c>
      <c r="EX134" t="e">
        <f>'Compiled Agents'!E286+"h_l!'D("</f>
        <v>#VALUE!</v>
      </c>
      <c r="EY134" t="e">
        <f>'Compiled Agents'!F286+"h_l!'D)"</f>
        <v>#VALUE!</v>
      </c>
      <c r="EZ134" t="e">
        <f>'Compiled Agents'!G286+"h_l!'D."</f>
        <v>#VALUE!</v>
      </c>
      <c r="FA134" t="e">
        <f>'Compiled Agents'!H286+"h_l!'D/"</f>
        <v>#VALUE!</v>
      </c>
      <c r="FB134" t="e">
        <f>'Compiled Agents'!A287+"h_l!'D0"</f>
        <v>#VALUE!</v>
      </c>
      <c r="FC134" t="e">
        <f>'Compiled Agents'!B287+"h_l!'D1"</f>
        <v>#VALUE!</v>
      </c>
      <c r="FD134" t="e">
        <f>'Compiled Agents'!C287+"h_l!'D2"</f>
        <v>#VALUE!</v>
      </c>
      <c r="FE134" t="e">
        <f>'Compiled Agents'!E287+"h_l!'D3"</f>
        <v>#VALUE!</v>
      </c>
      <c r="FF134" t="e">
        <f>'Compiled Agents'!F287+"h_l!'D4"</f>
        <v>#VALUE!</v>
      </c>
      <c r="FG134" t="e">
        <f>'Compiled Agents'!G287+"h_l!'D5"</f>
        <v>#VALUE!</v>
      </c>
      <c r="FH134" t="e">
        <f>'Compiled Agents'!H287+"h_l!'D6"</f>
        <v>#VALUE!</v>
      </c>
      <c r="FI134" t="e">
        <f>'Compiled Agents'!A288+"h_l!'D7"</f>
        <v>#VALUE!</v>
      </c>
      <c r="FJ134" t="e">
        <f>'Compiled Agents'!B288+"h_l!'D8"</f>
        <v>#VALUE!</v>
      </c>
      <c r="FK134" t="e">
        <f>'Compiled Agents'!C288+"h_l!'D9"</f>
        <v>#VALUE!</v>
      </c>
      <c r="FL134" t="e">
        <f>'Compiled Agents'!E288+"h_l!'D:"</f>
        <v>#VALUE!</v>
      </c>
      <c r="FM134" t="e">
        <f>'Compiled Agents'!F288+"h_l!'D;"</f>
        <v>#VALUE!</v>
      </c>
      <c r="FN134" t="e">
        <f>'Compiled Agents'!G288+"h_l!'D&lt;"</f>
        <v>#VALUE!</v>
      </c>
      <c r="FO134" t="e">
        <f>'Compiled Agents'!H288+"h_l!'D="</f>
        <v>#VALUE!</v>
      </c>
      <c r="FP134" t="e">
        <f>'Compiled Agents'!A289+"h_l!'D&gt;"</f>
        <v>#VALUE!</v>
      </c>
      <c r="FQ134" t="e">
        <f>'Compiled Agents'!B289+"h_l!'D?"</f>
        <v>#VALUE!</v>
      </c>
      <c r="FR134" t="e">
        <f>'Compiled Agents'!C289+"h_l!'D@"</f>
        <v>#VALUE!</v>
      </c>
      <c r="FS134" t="e">
        <f>'Compiled Agents'!E289+"h_l!'DA"</f>
        <v>#VALUE!</v>
      </c>
      <c r="FT134" t="e">
        <f>'Compiled Agents'!F289+"h_l!'DB"</f>
        <v>#VALUE!</v>
      </c>
      <c r="FU134" t="e">
        <f>'Compiled Agents'!G289+"h_l!'DC"</f>
        <v>#VALUE!</v>
      </c>
      <c r="FV134" t="e">
        <f>'Compiled Agents'!H289+"h_l!'DD"</f>
        <v>#VALUE!</v>
      </c>
      <c r="FW134" t="e">
        <f>'Compiled Agents'!A290+"h_l!'DE"</f>
        <v>#VALUE!</v>
      </c>
      <c r="FX134" t="e">
        <f>'Compiled Agents'!B290+"h_l!'DF"</f>
        <v>#VALUE!</v>
      </c>
      <c r="FY134" t="e">
        <f>'Compiled Agents'!C290+"h_l!'DG"</f>
        <v>#VALUE!</v>
      </c>
      <c r="FZ134" t="e">
        <f>'Compiled Agents'!E290+"h_l!'DH"</f>
        <v>#VALUE!</v>
      </c>
      <c r="GA134" t="e">
        <f>'Compiled Agents'!F290+"h_l!'DI"</f>
        <v>#VALUE!</v>
      </c>
      <c r="GB134" t="e">
        <f>'Compiled Agents'!G290+"h_l!'DJ"</f>
        <v>#VALUE!</v>
      </c>
      <c r="GC134" t="e">
        <f>'Compiled Agents'!H290+"h_l!'DK"</f>
        <v>#VALUE!</v>
      </c>
      <c r="GD134" t="e">
        <f>'Compiled Agents'!A291+"h_l!'DL"</f>
        <v>#VALUE!</v>
      </c>
      <c r="GE134" t="e">
        <f>'Compiled Agents'!B291+"h_l!'DM"</f>
        <v>#VALUE!</v>
      </c>
      <c r="GF134" t="e">
        <f>'Compiled Agents'!C291+"h_l!'DN"</f>
        <v>#VALUE!</v>
      </c>
      <c r="GG134" t="e">
        <f>'Compiled Agents'!E291+"h_l!'DO"</f>
        <v>#VALUE!</v>
      </c>
      <c r="GH134" t="e">
        <f>'Compiled Agents'!F291+"h_l!'DP"</f>
        <v>#VALUE!</v>
      </c>
      <c r="GI134" t="e">
        <f>'Compiled Agents'!G291+"h_l!'DQ"</f>
        <v>#VALUE!</v>
      </c>
      <c r="GJ134" t="e">
        <f>'Compiled Agents'!H291+"h_l!'DR"</f>
        <v>#VALUE!</v>
      </c>
      <c r="GK134" t="e">
        <f>'Compiled Agents'!A292+"h_l!'DS"</f>
        <v>#VALUE!</v>
      </c>
      <c r="GL134" t="e">
        <f>'Compiled Agents'!B292+"h_l!'DT"</f>
        <v>#VALUE!</v>
      </c>
      <c r="GM134" t="e">
        <f>'Compiled Agents'!C292+"h_l!'DU"</f>
        <v>#VALUE!</v>
      </c>
      <c r="GN134" t="e">
        <f>'Compiled Agents'!E292+"h_l!'DV"</f>
        <v>#VALUE!</v>
      </c>
      <c r="GO134" t="e">
        <f>'Compiled Agents'!F292+"h_l!'DW"</f>
        <v>#VALUE!</v>
      </c>
      <c r="GP134" t="e">
        <f>'Compiled Agents'!G292+"h_l!'DX"</f>
        <v>#VALUE!</v>
      </c>
      <c r="GQ134" t="e">
        <f>'Compiled Agents'!H292+"h_l!'DY"</f>
        <v>#VALUE!</v>
      </c>
      <c r="GR134" t="e">
        <f>'Compiled Agents'!A293+"h_l!'DZ"</f>
        <v>#VALUE!</v>
      </c>
      <c r="GS134" t="e">
        <f>'Compiled Agents'!B293+"h_l!'D["</f>
        <v>#VALUE!</v>
      </c>
      <c r="GT134" t="e">
        <f>'Compiled Agents'!C293+"h_l!'D\"</f>
        <v>#VALUE!</v>
      </c>
      <c r="GU134" t="e">
        <f>'Compiled Agents'!E293+"h_l!'D]"</f>
        <v>#VALUE!</v>
      </c>
      <c r="GV134" t="e">
        <f>'Compiled Agents'!F293+"h_l!'D^"</f>
        <v>#VALUE!</v>
      </c>
      <c r="GW134" t="e">
        <f>'Compiled Agents'!G293+"h_l!'D_"</f>
        <v>#VALUE!</v>
      </c>
      <c r="GX134" t="e">
        <f>'Compiled Agents'!H293+"h_l!'D`"</f>
        <v>#VALUE!</v>
      </c>
      <c r="GY134" t="e">
        <f>'Compiled Agents'!A294+"h_l!'Da"</f>
        <v>#VALUE!</v>
      </c>
      <c r="GZ134" t="e">
        <f>'Compiled Agents'!B294+"h_l!'Db"</f>
        <v>#VALUE!</v>
      </c>
      <c r="HA134" t="e">
        <f>'Compiled Agents'!C294+"h_l!'Dc"</f>
        <v>#VALUE!</v>
      </c>
      <c r="HB134" t="e">
        <f>'Compiled Agents'!E294+"h_l!'Dd"</f>
        <v>#VALUE!</v>
      </c>
      <c r="HC134" t="e">
        <f>'Compiled Agents'!F294+"h_l!'De"</f>
        <v>#VALUE!</v>
      </c>
      <c r="HD134" t="e">
        <f>'Compiled Agents'!G294+"h_l!'Df"</f>
        <v>#VALUE!</v>
      </c>
      <c r="HE134" t="e">
        <f>'Compiled Agents'!H294+"h_l!'Dg"</f>
        <v>#VALUE!</v>
      </c>
      <c r="HF134" t="e">
        <f>'Compiled Agents'!A295+"h_l!'Dh"</f>
        <v>#VALUE!</v>
      </c>
      <c r="HG134" t="e">
        <f>'Compiled Agents'!B295+"h_l!'Di"</f>
        <v>#VALUE!</v>
      </c>
      <c r="HH134" t="e">
        <f>'Compiled Agents'!C295+"h_l!'Dj"</f>
        <v>#VALUE!</v>
      </c>
      <c r="HI134" t="e">
        <f>'Compiled Agents'!E295+"h_l!'Dk"</f>
        <v>#VALUE!</v>
      </c>
      <c r="HJ134" t="e">
        <f>'Compiled Agents'!F295+"h_l!'Dl"</f>
        <v>#VALUE!</v>
      </c>
      <c r="HK134" t="e">
        <f>'Compiled Agents'!G295+"h_l!'Dm"</f>
        <v>#VALUE!</v>
      </c>
      <c r="HL134" t="e">
        <f>'Compiled Agents'!H295+"h_l!'Dn"</f>
        <v>#VALUE!</v>
      </c>
      <c r="HM134" t="e">
        <f>'Compiled Agents'!A296+"h_l!'Do"</f>
        <v>#VALUE!</v>
      </c>
      <c r="HN134" t="e">
        <f>'Compiled Agents'!B296+"h_l!'Dp"</f>
        <v>#VALUE!</v>
      </c>
      <c r="HO134" t="e">
        <f>'Compiled Agents'!C296+"h_l!'Dq"</f>
        <v>#VALUE!</v>
      </c>
      <c r="HP134" t="e">
        <f>'Compiled Agents'!E296+"h_l!'Dr"</f>
        <v>#VALUE!</v>
      </c>
      <c r="HQ134" t="e">
        <f>'Compiled Agents'!F296+"h_l!'Ds"</f>
        <v>#VALUE!</v>
      </c>
      <c r="HR134" t="e">
        <f>'Compiled Agents'!G296+"h_l!'Dt"</f>
        <v>#VALUE!</v>
      </c>
      <c r="HS134" t="e">
        <f>'Compiled Agents'!H296+"h_l!'Du"</f>
        <v>#VALUE!</v>
      </c>
      <c r="HT134" t="e">
        <f>'Compiled Agents'!A297+"h_l!'Dv"</f>
        <v>#VALUE!</v>
      </c>
      <c r="HU134" t="e">
        <f>'Compiled Agents'!B297+"h_l!'Dw"</f>
        <v>#VALUE!</v>
      </c>
      <c r="HV134" t="e">
        <f>'Compiled Agents'!C297+"h_l!'Dx"</f>
        <v>#VALUE!</v>
      </c>
      <c r="HW134" t="e">
        <f>'Compiled Agents'!E297+"h_l!'Dy"</f>
        <v>#VALUE!</v>
      </c>
      <c r="HX134" t="e">
        <f>'Compiled Agents'!F297+"h_l!'Dz"</f>
        <v>#VALUE!</v>
      </c>
      <c r="HY134" t="e">
        <f>'Compiled Agents'!G297+"h_l!'D{"</f>
        <v>#VALUE!</v>
      </c>
      <c r="HZ134" t="e">
        <f>'Compiled Agents'!H297+"h_l!'D|"</f>
        <v>#VALUE!</v>
      </c>
      <c r="IA134" t="e">
        <f>'Compiled Agents'!A298+"h_l!'D}"</f>
        <v>#VALUE!</v>
      </c>
      <c r="IB134" t="e">
        <f>'Compiled Agents'!B298+"h_l!'D~"</f>
        <v>#VALUE!</v>
      </c>
      <c r="IC134" t="e">
        <f>'Compiled Agents'!C298+"h_l!'E#"</f>
        <v>#VALUE!</v>
      </c>
      <c r="ID134" t="e">
        <f>'Compiled Agents'!E298+"h_l!'E$"</f>
        <v>#VALUE!</v>
      </c>
      <c r="IE134" t="e">
        <f>'Compiled Agents'!F298+"h_l!'E%"</f>
        <v>#VALUE!</v>
      </c>
      <c r="IF134" t="e">
        <f>'Compiled Agents'!G298+"h_l!'E&amp;"</f>
        <v>#VALUE!</v>
      </c>
      <c r="IG134" t="e">
        <f>'Compiled Agents'!H298+"h_l!'E'"</f>
        <v>#VALUE!</v>
      </c>
      <c r="IH134" t="e">
        <f>'Compiled Agents'!A299+"h_l!'E("</f>
        <v>#VALUE!</v>
      </c>
      <c r="II134" t="e">
        <f>'Compiled Agents'!B299+"h_l!'E)"</f>
        <v>#VALUE!</v>
      </c>
      <c r="IJ134" t="e">
        <f>'Compiled Agents'!C299+"h_l!'E."</f>
        <v>#VALUE!</v>
      </c>
      <c r="IK134" t="e">
        <f>'Compiled Agents'!E299+"h_l!'E/"</f>
        <v>#VALUE!</v>
      </c>
      <c r="IL134" t="e">
        <f>'Compiled Agents'!F299+"h_l!'E0"</f>
        <v>#VALUE!</v>
      </c>
      <c r="IM134" t="e">
        <f>'Compiled Agents'!G299+"h_l!'E1"</f>
        <v>#VALUE!</v>
      </c>
      <c r="IN134" t="e">
        <f>'Compiled Agents'!H299+"h_l!'E2"</f>
        <v>#VALUE!</v>
      </c>
      <c r="IO134" t="e">
        <f>'Compiled Agents'!A300+"h_l!'E3"</f>
        <v>#VALUE!</v>
      </c>
      <c r="IP134" t="e">
        <f>'Compiled Agents'!B300+"h_l!'E4"</f>
        <v>#VALUE!</v>
      </c>
      <c r="IQ134" t="e">
        <f>'Compiled Agents'!C300+"h_l!'E5"</f>
        <v>#VALUE!</v>
      </c>
      <c r="IR134" t="e">
        <f>'Compiled Agents'!E300+"h_l!'E6"</f>
        <v>#VALUE!</v>
      </c>
      <c r="IS134" t="e">
        <f>'Compiled Agents'!F300+"h_l!'E7"</f>
        <v>#VALUE!</v>
      </c>
      <c r="IT134" t="e">
        <f>'Compiled Agents'!G300+"h_l!'E8"</f>
        <v>#VALUE!</v>
      </c>
      <c r="IU134" t="e">
        <f>'Compiled Agents'!H300+"h_l!'E9"</f>
        <v>#VALUE!</v>
      </c>
      <c r="IV134" t="e">
        <f>'Compiled Agents'!A301+"h_l!'E:"</f>
        <v>#VALUE!</v>
      </c>
    </row>
    <row r="135" spans="6:256" x14ac:dyDescent="0.25">
      <c r="F135" t="e">
        <f>'Compiled Agents'!B301+"h_l!'E;"</f>
        <v>#VALUE!</v>
      </c>
      <c r="G135" t="e">
        <f>'Compiled Agents'!C301+"h_l!'E&lt;"</f>
        <v>#VALUE!</v>
      </c>
      <c r="H135" t="e">
        <f>'Compiled Agents'!E301+"h_l!'E="</f>
        <v>#VALUE!</v>
      </c>
      <c r="I135" t="e">
        <f>'Compiled Agents'!F301+"h_l!'E&gt;"</f>
        <v>#VALUE!</v>
      </c>
      <c r="J135" t="e">
        <f>'Compiled Agents'!G301+"h_l!'E?"</f>
        <v>#VALUE!</v>
      </c>
      <c r="K135" t="e">
        <f>'Compiled Agents'!H301+"h_l!'E@"</f>
        <v>#VALUE!</v>
      </c>
      <c r="L135" t="e">
        <f>'Compiled Agents'!A302+"h_l!'EA"</f>
        <v>#VALUE!</v>
      </c>
      <c r="M135" t="e">
        <f>'Compiled Agents'!B302+"h_l!'EB"</f>
        <v>#VALUE!</v>
      </c>
      <c r="N135" t="e">
        <f>'Compiled Agents'!C302+"h_l!'EC"</f>
        <v>#VALUE!</v>
      </c>
      <c r="O135" t="e">
        <f>'Compiled Agents'!E302+"h_l!'ED"</f>
        <v>#VALUE!</v>
      </c>
      <c r="P135" t="e">
        <f>'Compiled Agents'!F302+"h_l!'EE"</f>
        <v>#VALUE!</v>
      </c>
      <c r="Q135" t="e">
        <f>'Compiled Agents'!G302+"h_l!'EF"</f>
        <v>#VALUE!</v>
      </c>
      <c r="R135" t="e">
        <f>'Compiled Agents'!H302+"h_l!'EG"</f>
        <v>#VALUE!</v>
      </c>
      <c r="S135" t="e">
        <f>'Compiled Agents'!A303+"h_l!'EH"</f>
        <v>#VALUE!</v>
      </c>
      <c r="T135" t="e">
        <f>'Compiled Agents'!B303+"h_l!'EI"</f>
        <v>#VALUE!</v>
      </c>
      <c r="U135" t="e">
        <f>'Compiled Agents'!C303+"h_l!'EJ"</f>
        <v>#VALUE!</v>
      </c>
      <c r="V135" t="e">
        <f>'Compiled Agents'!E303+"h_l!'EK"</f>
        <v>#VALUE!</v>
      </c>
      <c r="W135" t="e">
        <f>'Compiled Agents'!F303+"h_l!'EL"</f>
        <v>#VALUE!</v>
      </c>
      <c r="X135" t="e">
        <f>'Compiled Agents'!G303+"h_l!'EM"</f>
        <v>#VALUE!</v>
      </c>
      <c r="Y135" t="e">
        <f>'Compiled Agents'!H303+"h_l!'EN"</f>
        <v>#VALUE!</v>
      </c>
      <c r="Z135" t="e">
        <f>'Compiled Agents'!A304+"h_l!'EO"</f>
        <v>#VALUE!</v>
      </c>
      <c r="AA135" t="e">
        <f>'Compiled Agents'!B304+"h_l!'EP"</f>
        <v>#VALUE!</v>
      </c>
      <c r="AB135" t="e">
        <f>'Compiled Agents'!C304+"h_l!'EQ"</f>
        <v>#VALUE!</v>
      </c>
      <c r="AC135" t="e">
        <f>'Compiled Agents'!E304+"h_l!'ER"</f>
        <v>#VALUE!</v>
      </c>
      <c r="AD135" t="e">
        <f>'Compiled Agents'!F304+"h_l!'ES"</f>
        <v>#VALUE!</v>
      </c>
      <c r="AE135" t="e">
        <f>'Compiled Agents'!G304+"h_l!'ET"</f>
        <v>#VALUE!</v>
      </c>
      <c r="AF135" t="e">
        <f>'Compiled Agents'!H304+"h_l!'EU"</f>
        <v>#VALUE!</v>
      </c>
      <c r="AG135" t="e">
        <f>'Compiled Agents'!A305+"h_l!'EV"</f>
        <v>#VALUE!</v>
      </c>
      <c r="AH135" t="e">
        <f>'Compiled Agents'!B305+"h_l!'EW"</f>
        <v>#VALUE!</v>
      </c>
      <c r="AI135" t="e">
        <f>'Compiled Agents'!C305+"h_l!'EX"</f>
        <v>#VALUE!</v>
      </c>
      <c r="AJ135" t="e">
        <f>'Compiled Agents'!E305+"h_l!'EY"</f>
        <v>#VALUE!</v>
      </c>
      <c r="AK135" t="e">
        <f>'Compiled Agents'!F305+"h_l!'EZ"</f>
        <v>#VALUE!</v>
      </c>
      <c r="AL135" t="e">
        <f>'Compiled Agents'!G305+"h_l!'E["</f>
        <v>#VALUE!</v>
      </c>
      <c r="AM135" t="e">
        <f>'Compiled Agents'!H305+"h_l!'E\"</f>
        <v>#VALUE!</v>
      </c>
      <c r="AN135" t="e">
        <f>'Compiled Agents'!A306+"h_l!'E]"</f>
        <v>#VALUE!</v>
      </c>
      <c r="AO135" t="e">
        <f>'Compiled Agents'!B306+"h_l!'E^"</f>
        <v>#VALUE!</v>
      </c>
      <c r="AP135" t="e">
        <f>'Compiled Agents'!C306+"h_l!'E_"</f>
        <v>#VALUE!</v>
      </c>
      <c r="AQ135" t="e">
        <f>'Compiled Agents'!E306+"h_l!'E`"</f>
        <v>#VALUE!</v>
      </c>
      <c r="AR135" t="e">
        <f>'Compiled Agents'!F306+"h_l!'Ea"</f>
        <v>#VALUE!</v>
      </c>
      <c r="AS135" t="e">
        <f>'Compiled Agents'!G306+"h_l!'Eb"</f>
        <v>#VALUE!</v>
      </c>
      <c r="AT135" t="e">
        <f>'Compiled Agents'!H306+"h_l!'Ec"</f>
        <v>#VALUE!</v>
      </c>
      <c r="AU135" t="e">
        <f>'Compiled Agents'!A307+"h_l!'Ed"</f>
        <v>#VALUE!</v>
      </c>
      <c r="AV135" t="e">
        <f>'Compiled Agents'!B307+"h_l!'Ee"</f>
        <v>#VALUE!</v>
      </c>
      <c r="AW135" t="e">
        <f>'Compiled Agents'!C307+"h_l!'Ef"</f>
        <v>#VALUE!</v>
      </c>
      <c r="AX135" t="e">
        <f>'Compiled Agents'!E307+"h_l!'Eg"</f>
        <v>#VALUE!</v>
      </c>
      <c r="AY135" t="e">
        <f>'Compiled Agents'!F307+"h_l!'Eh"</f>
        <v>#VALUE!</v>
      </c>
      <c r="AZ135" t="e">
        <f>'Compiled Agents'!G307+"h_l!'Ei"</f>
        <v>#VALUE!</v>
      </c>
      <c r="BA135" t="e">
        <f>'Compiled Agents'!H307+"h_l!'Ej"</f>
        <v>#VALUE!</v>
      </c>
      <c r="BB135" t="e">
        <f>'Compiled Agents'!A308+"h_l!'Ek"</f>
        <v>#VALUE!</v>
      </c>
      <c r="BC135" t="e">
        <f>'Compiled Agents'!B308+"h_l!'El"</f>
        <v>#VALUE!</v>
      </c>
      <c r="BD135" t="e">
        <f>'Compiled Agents'!C308+"h_l!'Em"</f>
        <v>#VALUE!</v>
      </c>
      <c r="BE135" t="e">
        <f>'Compiled Agents'!E308+"h_l!'En"</f>
        <v>#VALUE!</v>
      </c>
      <c r="BF135" t="e">
        <f>'Compiled Agents'!F308+"h_l!'Eo"</f>
        <v>#VALUE!</v>
      </c>
      <c r="BG135" t="e">
        <f>'Compiled Agents'!G308+"h_l!'Ep"</f>
        <v>#VALUE!</v>
      </c>
      <c r="BH135" t="e">
        <f>'Compiled Agents'!H308+"h_l!'Eq"</f>
        <v>#VALUE!</v>
      </c>
      <c r="BI135" t="e">
        <f>'Compiled Agents'!A309+"h_l!'Er"</f>
        <v>#VALUE!</v>
      </c>
      <c r="BJ135" t="e">
        <f>'Compiled Agents'!B309+"h_l!'Es"</f>
        <v>#VALUE!</v>
      </c>
      <c r="BK135" t="e">
        <f>'Compiled Agents'!C309+"h_l!'Et"</f>
        <v>#VALUE!</v>
      </c>
      <c r="BL135" t="e">
        <f>'Compiled Agents'!E309+"h_l!'Eu"</f>
        <v>#VALUE!</v>
      </c>
      <c r="BM135" t="e">
        <f>'Compiled Agents'!F309+"h_l!'Ev"</f>
        <v>#VALUE!</v>
      </c>
      <c r="BN135" t="e">
        <f>'Compiled Agents'!G309+"h_l!'Ew"</f>
        <v>#VALUE!</v>
      </c>
      <c r="BO135" t="e">
        <f>'Compiled Agents'!H309+"h_l!'Ex"</f>
        <v>#VALUE!</v>
      </c>
      <c r="BP135" t="e">
        <f>'Compiled Agents'!A310+"h_l!'Ey"</f>
        <v>#VALUE!</v>
      </c>
      <c r="BQ135" t="e">
        <f>'Compiled Agents'!B310+"h_l!'Ez"</f>
        <v>#VALUE!</v>
      </c>
      <c r="BR135" t="e">
        <f>'Compiled Agents'!C310+"h_l!'E{"</f>
        <v>#VALUE!</v>
      </c>
      <c r="BS135" t="e">
        <f>'Compiled Agents'!E310+"h_l!'E|"</f>
        <v>#VALUE!</v>
      </c>
      <c r="BT135" t="e">
        <f>'Compiled Agents'!F310+"h_l!'E}"</f>
        <v>#VALUE!</v>
      </c>
      <c r="BU135" t="e">
        <f>'Compiled Agents'!G310+"h_l!'E~"</f>
        <v>#VALUE!</v>
      </c>
      <c r="BV135" t="e">
        <f>'Compiled Agents'!H310+"h_l!'F#"</f>
        <v>#VALUE!</v>
      </c>
      <c r="BW135" t="e">
        <f>'Compiled Agents'!A311+"h_l!'F$"</f>
        <v>#VALUE!</v>
      </c>
      <c r="BX135" t="e">
        <f>'Compiled Agents'!B311+"h_l!'F%"</f>
        <v>#VALUE!</v>
      </c>
      <c r="BY135" t="e">
        <f>'Compiled Agents'!C311+"h_l!'F&amp;"</f>
        <v>#VALUE!</v>
      </c>
      <c r="BZ135" t="e">
        <f>'Compiled Agents'!E311+"h_l!'F'"</f>
        <v>#VALUE!</v>
      </c>
      <c r="CA135" t="e">
        <f>'Compiled Agents'!F311+"h_l!'F("</f>
        <v>#VALUE!</v>
      </c>
      <c r="CB135" t="e">
        <f>'Compiled Agents'!G311+"h_l!'F)"</f>
        <v>#VALUE!</v>
      </c>
      <c r="CC135" t="e">
        <f>'Compiled Agents'!H311+"h_l!'F."</f>
        <v>#VALUE!</v>
      </c>
      <c r="CD135" t="e">
        <f>'Compiled Agents'!A312+"h_l!'F/"</f>
        <v>#VALUE!</v>
      </c>
      <c r="CE135" t="e">
        <f>'Compiled Agents'!B312+"h_l!'F0"</f>
        <v>#VALUE!</v>
      </c>
      <c r="CF135" t="e">
        <f>'Compiled Agents'!C312+"h_l!'F1"</f>
        <v>#VALUE!</v>
      </c>
      <c r="CG135" t="e">
        <f>'Compiled Agents'!E312+"h_l!'F2"</f>
        <v>#VALUE!</v>
      </c>
      <c r="CH135" t="e">
        <f>'Compiled Agents'!F312+"h_l!'F3"</f>
        <v>#VALUE!</v>
      </c>
      <c r="CI135" t="e">
        <f>'Compiled Agents'!G312+"h_l!'F4"</f>
        <v>#VALUE!</v>
      </c>
      <c r="CJ135" t="e">
        <f>'Compiled Agents'!H312+"h_l!'F5"</f>
        <v>#VALUE!</v>
      </c>
      <c r="CK135" t="e">
        <f>'Compiled Agents'!A313+"h_l!'F6"</f>
        <v>#VALUE!</v>
      </c>
      <c r="CL135" t="e">
        <f>'Compiled Agents'!B313+"h_l!'F7"</f>
        <v>#VALUE!</v>
      </c>
      <c r="CM135" t="e">
        <f>'Compiled Agents'!C313+"h_l!'F8"</f>
        <v>#VALUE!</v>
      </c>
      <c r="CN135" t="e">
        <f>'Compiled Agents'!E313+"h_l!'F9"</f>
        <v>#VALUE!</v>
      </c>
      <c r="CO135" t="e">
        <f>'Compiled Agents'!F313+"h_l!'F:"</f>
        <v>#VALUE!</v>
      </c>
      <c r="CP135" t="e">
        <f>'Compiled Agents'!G313+"h_l!'F;"</f>
        <v>#VALUE!</v>
      </c>
      <c r="CQ135" t="e">
        <f>'Compiled Agents'!H313+"h_l!'F&lt;"</f>
        <v>#VALUE!</v>
      </c>
      <c r="CR135" t="e">
        <f>'Compiled Agents'!A314+"h_l!'F="</f>
        <v>#VALUE!</v>
      </c>
      <c r="CS135" t="e">
        <f>'Compiled Agents'!B314+"h_l!'F&gt;"</f>
        <v>#VALUE!</v>
      </c>
      <c r="CT135" t="e">
        <f>'Compiled Agents'!C314+"h_l!'F?"</f>
        <v>#VALUE!</v>
      </c>
      <c r="CU135" t="e">
        <f>'Compiled Agents'!E314+"h_l!'F@"</f>
        <v>#VALUE!</v>
      </c>
      <c r="CV135" t="e">
        <f>'Compiled Agents'!F314+"h_l!'FA"</f>
        <v>#VALUE!</v>
      </c>
      <c r="CW135" t="e">
        <f>'Compiled Agents'!G314+"h_l!'FB"</f>
        <v>#VALUE!</v>
      </c>
      <c r="CX135" t="e">
        <f>'Compiled Agents'!H314+"h_l!'FC"</f>
        <v>#VALUE!</v>
      </c>
      <c r="CY135" t="e">
        <f>'Compiled Agents'!A315+"h_l!'FD"</f>
        <v>#VALUE!</v>
      </c>
      <c r="CZ135" t="e">
        <f>'Compiled Agents'!B315+"h_l!'FE"</f>
        <v>#VALUE!</v>
      </c>
      <c r="DA135" t="e">
        <f>'Compiled Agents'!C315+"h_l!'FF"</f>
        <v>#VALUE!</v>
      </c>
      <c r="DB135" t="e">
        <f>'Compiled Agents'!E315+"h_l!'FG"</f>
        <v>#VALUE!</v>
      </c>
      <c r="DC135" t="e">
        <f>'Compiled Agents'!F315+"h_l!'FH"</f>
        <v>#VALUE!</v>
      </c>
      <c r="DD135" t="e">
        <f>'Compiled Agents'!G315+"h_l!'FI"</f>
        <v>#VALUE!</v>
      </c>
      <c r="DE135" t="e">
        <f>'Compiled Agents'!H315+"h_l!'FJ"</f>
        <v>#VALUE!</v>
      </c>
      <c r="DF135" t="e">
        <f>'Compiled Agents'!A316+"h_l!'FK"</f>
        <v>#VALUE!</v>
      </c>
      <c r="DG135" t="e">
        <f>'Compiled Agents'!B316+"h_l!'FL"</f>
        <v>#VALUE!</v>
      </c>
      <c r="DH135" t="e">
        <f>'Compiled Agents'!C316+"h_l!'FM"</f>
        <v>#VALUE!</v>
      </c>
      <c r="DI135" t="e">
        <f>'Compiled Agents'!E316+"h_l!'FN"</f>
        <v>#VALUE!</v>
      </c>
      <c r="DJ135" t="e">
        <f>'Compiled Agents'!F316+"h_l!'FO"</f>
        <v>#VALUE!</v>
      </c>
      <c r="DK135" t="e">
        <f>'Compiled Agents'!G316+"h_l!'FP"</f>
        <v>#VALUE!</v>
      </c>
      <c r="DL135" t="e">
        <f>'Compiled Agents'!H316+"h_l!'FQ"</f>
        <v>#VALUE!</v>
      </c>
      <c r="DM135" t="e">
        <f>'Compiled Agents'!A317+"h_l!'FR"</f>
        <v>#VALUE!</v>
      </c>
      <c r="DN135" t="e">
        <f>'Compiled Agents'!B317+"h_l!'FS"</f>
        <v>#VALUE!</v>
      </c>
      <c r="DO135" t="e">
        <f>'Compiled Agents'!C317+"h_l!'FT"</f>
        <v>#VALUE!</v>
      </c>
      <c r="DP135" t="e">
        <f>'Compiled Agents'!E317+"h_l!'FU"</f>
        <v>#VALUE!</v>
      </c>
      <c r="DQ135" t="e">
        <f>'Compiled Agents'!F317+"h_l!'FV"</f>
        <v>#VALUE!</v>
      </c>
      <c r="DR135" t="e">
        <f>'Compiled Agents'!G317+"h_l!'FW"</f>
        <v>#VALUE!</v>
      </c>
      <c r="DS135" t="e">
        <f>'Compiled Agents'!H317+"h_l!'FX"</f>
        <v>#VALUE!</v>
      </c>
      <c r="DT135" t="e">
        <f>'Compiled Agents'!A318+"h_l!'FY"</f>
        <v>#VALUE!</v>
      </c>
      <c r="DU135" t="e">
        <f>'Compiled Agents'!B318+"h_l!'FZ"</f>
        <v>#VALUE!</v>
      </c>
      <c r="DV135" t="e">
        <f>'Compiled Agents'!C318+"h_l!'F["</f>
        <v>#VALUE!</v>
      </c>
      <c r="DW135" t="e">
        <f>'Compiled Agents'!E318+"h_l!'F\"</f>
        <v>#VALUE!</v>
      </c>
      <c r="DX135" t="e">
        <f>'Compiled Agents'!F318+"h_l!'F]"</f>
        <v>#VALUE!</v>
      </c>
      <c r="DY135" t="e">
        <f>'Compiled Agents'!G318+"h_l!'F^"</f>
        <v>#VALUE!</v>
      </c>
      <c r="DZ135" t="e">
        <f>'Compiled Agents'!H318+"h_l!'F_"</f>
        <v>#VALUE!</v>
      </c>
      <c r="EA135" t="e">
        <f>'Compiled Agents'!A319+"h_l!'F`"</f>
        <v>#VALUE!</v>
      </c>
      <c r="EB135" t="e">
        <f>'Compiled Agents'!B319+"h_l!'Fa"</f>
        <v>#VALUE!</v>
      </c>
      <c r="EC135" t="e">
        <f>'Compiled Agents'!C319+"h_l!'Fb"</f>
        <v>#VALUE!</v>
      </c>
      <c r="ED135" t="e">
        <f>'Compiled Agents'!E319+"h_l!'Fc"</f>
        <v>#VALUE!</v>
      </c>
      <c r="EE135" t="e">
        <f>'Compiled Agents'!F319+"h_l!'Fd"</f>
        <v>#VALUE!</v>
      </c>
      <c r="EF135" t="e">
        <f>'Compiled Agents'!G319+"h_l!'Fe"</f>
        <v>#VALUE!</v>
      </c>
      <c r="EG135" t="e">
        <f>'Compiled Agents'!H319+"h_l!'Ff"</f>
        <v>#VALUE!</v>
      </c>
      <c r="EH135" t="e">
        <f>'Compiled Agents'!A320+"h_l!'Fg"</f>
        <v>#VALUE!</v>
      </c>
      <c r="EI135" t="e">
        <f>'Compiled Agents'!B320+"h_l!'Fh"</f>
        <v>#VALUE!</v>
      </c>
      <c r="EJ135" t="e">
        <f>'Compiled Agents'!C320+"h_l!'Fi"</f>
        <v>#VALUE!</v>
      </c>
      <c r="EK135" t="e">
        <f>'Compiled Agents'!E320+"h_l!'Fj"</f>
        <v>#VALUE!</v>
      </c>
      <c r="EL135" t="e">
        <f>'Compiled Agents'!F320+"h_l!'Fk"</f>
        <v>#VALUE!</v>
      </c>
      <c r="EM135" t="e">
        <f>'Compiled Agents'!G320+"h_l!'Fl"</f>
        <v>#VALUE!</v>
      </c>
      <c r="EN135" t="e">
        <f>'Compiled Agents'!H320+"h_l!'Fm"</f>
        <v>#VALUE!</v>
      </c>
      <c r="EO135" t="e">
        <f>'Compiled Agents'!A321+"h_l!'Fn"</f>
        <v>#VALUE!</v>
      </c>
      <c r="EP135" t="e">
        <f>'Compiled Agents'!B321+"h_l!'Fo"</f>
        <v>#VALUE!</v>
      </c>
      <c r="EQ135" t="e">
        <f>'Compiled Agents'!C321+"h_l!'Fp"</f>
        <v>#VALUE!</v>
      </c>
      <c r="ER135" t="e">
        <f>'Compiled Agents'!E321+"h_l!'Fq"</f>
        <v>#VALUE!</v>
      </c>
      <c r="ES135" t="e">
        <f>'Compiled Agents'!F321+"h_l!'Fr"</f>
        <v>#VALUE!</v>
      </c>
      <c r="ET135" t="e">
        <f>'Compiled Agents'!G321+"h_l!'Fs"</f>
        <v>#VALUE!</v>
      </c>
      <c r="EU135" t="e">
        <f>'Compiled Agents'!H321+"h_l!'Ft"</f>
        <v>#VALUE!</v>
      </c>
      <c r="EV135" t="e">
        <f>'Compiled Agents'!A322+"h_l!'Fu"</f>
        <v>#VALUE!</v>
      </c>
      <c r="EW135" t="e">
        <f>'Compiled Agents'!B322+"h_l!'Fv"</f>
        <v>#VALUE!</v>
      </c>
      <c r="EX135" t="e">
        <f>'Compiled Agents'!C322+"h_l!'Fw"</f>
        <v>#VALUE!</v>
      </c>
      <c r="EY135" t="e">
        <f>'Compiled Agents'!E322+"h_l!'Fx"</f>
        <v>#VALUE!</v>
      </c>
      <c r="EZ135" t="e">
        <f>'Compiled Agents'!F322+"h_l!'Fy"</f>
        <v>#VALUE!</v>
      </c>
      <c r="FA135" t="e">
        <f>'Compiled Agents'!G322+"h_l!'Fz"</f>
        <v>#VALUE!</v>
      </c>
      <c r="FB135" t="e">
        <f>'Compiled Agents'!H322+"h_l!'F{"</f>
        <v>#VALUE!</v>
      </c>
      <c r="FC135" t="e">
        <f>'Compiled Agents'!A323+"h_l!'F|"</f>
        <v>#VALUE!</v>
      </c>
      <c r="FD135" t="e">
        <f>'Compiled Agents'!B323+"h_l!'F}"</f>
        <v>#VALUE!</v>
      </c>
      <c r="FE135" t="e">
        <f>'Compiled Agents'!C323+"h_l!'F~"</f>
        <v>#VALUE!</v>
      </c>
      <c r="FF135" t="e">
        <f>'Compiled Agents'!E323+"h_l!'G#"</f>
        <v>#VALUE!</v>
      </c>
      <c r="FG135" t="e">
        <f>'Compiled Agents'!F323+"h_l!'G$"</f>
        <v>#VALUE!</v>
      </c>
      <c r="FH135" t="e">
        <f>'Compiled Agents'!G323+"h_l!'G%"</f>
        <v>#VALUE!</v>
      </c>
      <c r="FI135" t="e">
        <f>'Compiled Agents'!H323+"h_l!'G&amp;"</f>
        <v>#VALUE!</v>
      </c>
      <c r="FJ135" t="e">
        <f>'Compiled Agents'!A324+"h_l!'G'"</f>
        <v>#VALUE!</v>
      </c>
      <c r="FK135" t="e">
        <f>'Compiled Agents'!B324+"h_l!'G("</f>
        <v>#VALUE!</v>
      </c>
      <c r="FL135" t="e">
        <f>'Compiled Agents'!C324+"h_l!'G)"</f>
        <v>#VALUE!</v>
      </c>
      <c r="FM135" t="e">
        <f>'Compiled Agents'!E324+"h_l!'G."</f>
        <v>#VALUE!</v>
      </c>
      <c r="FN135" t="e">
        <f>'Compiled Agents'!F324+"h_l!'G/"</f>
        <v>#VALUE!</v>
      </c>
      <c r="FO135" t="e">
        <f>'Compiled Agents'!G324+"h_l!'G0"</f>
        <v>#VALUE!</v>
      </c>
      <c r="FP135" t="e">
        <f>'Compiled Agents'!H324+"h_l!'G1"</f>
        <v>#VALUE!</v>
      </c>
      <c r="FQ135" t="e">
        <f>'Compiled Agents'!A325+"h_l!'G2"</f>
        <v>#VALUE!</v>
      </c>
      <c r="FR135" t="e">
        <f>'Compiled Agents'!B325+"h_l!'G3"</f>
        <v>#VALUE!</v>
      </c>
      <c r="FS135" t="e">
        <f>'Compiled Agents'!C325+"h_l!'G4"</f>
        <v>#VALUE!</v>
      </c>
      <c r="FT135" t="e">
        <f>'Compiled Agents'!E325+"h_l!'G5"</f>
        <v>#VALUE!</v>
      </c>
      <c r="FU135" t="e">
        <f>'Compiled Agents'!F325+"h_l!'G6"</f>
        <v>#VALUE!</v>
      </c>
      <c r="FV135" t="e">
        <f>'Compiled Agents'!G325+"h_l!'G7"</f>
        <v>#VALUE!</v>
      </c>
      <c r="FW135" t="e">
        <f>'Compiled Agents'!H325+"h_l!'G8"</f>
        <v>#VALUE!</v>
      </c>
      <c r="FX135" t="e">
        <f>'Compiled Agents'!A326+"h_l!'G9"</f>
        <v>#VALUE!</v>
      </c>
      <c r="FY135" t="e">
        <f>'Compiled Agents'!B326+"h_l!'G:"</f>
        <v>#VALUE!</v>
      </c>
      <c r="FZ135" t="e">
        <f>'Compiled Agents'!C326+"h_l!'G;"</f>
        <v>#VALUE!</v>
      </c>
      <c r="GA135" t="e">
        <f>'Compiled Agents'!E326+"h_l!'G&lt;"</f>
        <v>#VALUE!</v>
      </c>
      <c r="GB135" t="e">
        <f>'Compiled Agents'!F326+"h_l!'G="</f>
        <v>#VALUE!</v>
      </c>
      <c r="GC135" t="e">
        <f>'Compiled Agents'!G326+"h_l!'G&gt;"</f>
        <v>#VALUE!</v>
      </c>
      <c r="GD135" t="e">
        <f>'Compiled Agents'!H326+"h_l!'G?"</f>
        <v>#VALUE!</v>
      </c>
      <c r="GE135" t="e">
        <f>'Compiled Agents'!A327+"h_l!'G@"</f>
        <v>#VALUE!</v>
      </c>
      <c r="GF135" t="e">
        <f>'Compiled Agents'!B327+"h_l!'GA"</f>
        <v>#VALUE!</v>
      </c>
      <c r="GG135" t="e">
        <f>'Compiled Agents'!C327+"h_l!'GB"</f>
        <v>#VALUE!</v>
      </c>
      <c r="GH135" t="e">
        <f>'Compiled Agents'!E327+"h_l!'GC"</f>
        <v>#VALUE!</v>
      </c>
      <c r="GI135" t="e">
        <f>'Compiled Agents'!F327+"h_l!'GD"</f>
        <v>#VALUE!</v>
      </c>
      <c r="GJ135" t="e">
        <f>'Compiled Agents'!G327+"h_l!'GE"</f>
        <v>#VALUE!</v>
      </c>
      <c r="GK135" t="e">
        <f>'Compiled Agents'!H327+"h_l!'GF"</f>
        <v>#VALUE!</v>
      </c>
      <c r="GL135" t="e">
        <f>'Compiled Agents'!A328+"h_l!'GG"</f>
        <v>#VALUE!</v>
      </c>
      <c r="GM135" t="e">
        <f>'Compiled Agents'!B328+"h_l!'GH"</f>
        <v>#VALUE!</v>
      </c>
      <c r="GN135" t="e">
        <f>'Compiled Agents'!C328+"h_l!'GI"</f>
        <v>#VALUE!</v>
      </c>
      <c r="GO135" t="e">
        <f>'Compiled Agents'!E328+"h_l!'GJ"</f>
        <v>#VALUE!</v>
      </c>
      <c r="GP135" t="e">
        <f>'Compiled Agents'!F328+"h_l!'GK"</f>
        <v>#VALUE!</v>
      </c>
      <c r="GQ135" t="e">
        <f>'Compiled Agents'!G328+"h_l!'GL"</f>
        <v>#VALUE!</v>
      </c>
      <c r="GR135" t="e">
        <f>'Compiled Agents'!H328+"h_l!'GM"</f>
        <v>#VALUE!</v>
      </c>
      <c r="GS135" t="e">
        <f>'Compiled Agents'!A329+"h_l!'GN"</f>
        <v>#VALUE!</v>
      </c>
      <c r="GT135" t="e">
        <f>'Compiled Agents'!B329+"h_l!'GO"</f>
        <v>#VALUE!</v>
      </c>
      <c r="GU135" t="e">
        <f>'Compiled Agents'!C329+"h_l!'GP"</f>
        <v>#VALUE!</v>
      </c>
      <c r="GV135" t="e">
        <f>'Compiled Agents'!E329+"h_l!'GQ"</f>
        <v>#VALUE!</v>
      </c>
      <c r="GW135" t="e">
        <f>'Compiled Agents'!F329+"h_l!'GR"</f>
        <v>#VALUE!</v>
      </c>
      <c r="GX135" t="e">
        <f>'Compiled Agents'!G329+"h_l!'GS"</f>
        <v>#VALUE!</v>
      </c>
      <c r="GY135" t="e">
        <f>'Compiled Agents'!H329+"h_l!'GT"</f>
        <v>#VALUE!</v>
      </c>
      <c r="GZ135" t="e">
        <f>'Compiled Agents'!A330+"h_l!'GU"</f>
        <v>#VALUE!</v>
      </c>
      <c r="HA135" t="e">
        <f>'Compiled Agents'!B330+"h_l!'GV"</f>
        <v>#VALUE!</v>
      </c>
      <c r="HB135" t="e">
        <f>'Compiled Agents'!C330+"h_l!'GW"</f>
        <v>#VALUE!</v>
      </c>
      <c r="HC135" t="e">
        <f>'Compiled Agents'!E330+"h_l!'GX"</f>
        <v>#VALUE!</v>
      </c>
      <c r="HD135" t="e">
        <f>'Compiled Agents'!F330+"h_l!'GY"</f>
        <v>#VALUE!</v>
      </c>
      <c r="HE135" t="e">
        <f>'Compiled Agents'!G330+"h_l!'GZ"</f>
        <v>#VALUE!</v>
      </c>
      <c r="HF135" t="e">
        <f>'Compiled Agents'!H330+"h_l!'G["</f>
        <v>#VALUE!</v>
      </c>
      <c r="HG135" t="e">
        <f>'Compiled Agents'!A331+"h_l!'G\"</f>
        <v>#VALUE!</v>
      </c>
      <c r="HH135" t="e">
        <f>'Compiled Agents'!B331+"h_l!'G]"</f>
        <v>#VALUE!</v>
      </c>
      <c r="HI135" t="e">
        <f>'Compiled Agents'!C331+"h_l!'G^"</f>
        <v>#VALUE!</v>
      </c>
      <c r="HJ135" t="e">
        <f>'Compiled Agents'!E331+"h_l!'G_"</f>
        <v>#VALUE!</v>
      </c>
      <c r="HK135" t="e">
        <f>'Compiled Agents'!F331+"h_l!'G`"</f>
        <v>#VALUE!</v>
      </c>
      <c r="HL135" t="e">
        <f>'Compiled Agents'!G331+"h_l!'Ga"</f>
        <v>#VALUE!</v>
      </c>
      <c r="HM135" t="e">
        <f>'Compiled Agents'!H331+"h_l!'Gb"</f>
        <v>#VALUE!</v>
      </c>
      <c r="HN135" t="e">
        <f>'Compiled Agents'!A332+"h_l!'Gc"</f>
        <v>#VALUE!</v>
      </c>
      <c r="HO135" t="e">
        <f>'Compiled Agents'!B332+"h_l!'Gd"</f>
        <v>#VALUE!</v>
      </c>
      <c r="HP135" t="e">
        <f>'Compiled Agents'!C332+"h_l!'Ge"</f>
        <v>#VALUE!</v>
      </c>
      <c r="HQ135" t="e">
        <f>'Compiled Agents'!E332+"h_l!'Gf"</f>
        <v>#VALUE!</v>
      </c>
      <c r="HR135" t="e">
        <f>'Compiled Agents'!F332+"h_l!'Gg"</f>
        <v>#VALUE!</v>
      </c>
      <c r="HS135" t="e">
        <f>'Compiled Agents'!G332+"h_l!'Gh"</f>
        <v>#VALUE!</v>
      </c>
      <c r="HT135" t="e">
        <f>'Compiled Agents'!H332+"h_l!'Gi"</f>
        <v>#VALUE!</v>
      </c>
      <c r="HU135" t="e">
        <f>'Compiled Agents'!A333+"h_l!'Gj"</f>
        <v>#VALUE!</v>
      </c>
      <c r="HV135" t="e">
        <f>'Compiled Agents'!B333+"h_l!'Gk"</f>
        <v>#VALUE!</v>
      </c>
      <c r="HW135" t="e">
        <f>'Compiled Agents'!C333+"h_l!'Gl"</f>
        <v>#VALUE!</v>
      </c>
      <c r="HX135" t="e">
        <f>'Compiled Agents'!E333+"h_l!'Gm"</f>
        <v>#VALUE!</v>
      </c>
      <c r="HY135" t="e">
        <f>'Compiled Agents'!F333+"h_l!'Gn"</f>
        <v>#VALUE!</v>
      </c>
      <c r="HZ135" t="e">
        <f>'Compiled Agents'!G333+"h_l!'Go"</f>
        <v>#VALUE!</v>
      </c>
      <c r="IA135" t="e">
        <f>'Compiled Agents'!H333+"h_l!'Gp"</f>
        <v>#VALUE!</v>
      </c>
      <c r="IB135" t="e">
        <f>'Compiled Agents'!A334+"h_l!'Gq"</f>
        <v>#VALUE!</v>
      </c>
      <c r="IC135" t="e">
        <f>'Compiled Agents'!B334+"h_l!'Gr"</f>
        <v>#VALUE!</v>
      </c>
      <c r="ID135" t="e">
        <f>'Compiled Agents'!C334+"h_l!'Gs"</f>
        <v>#VALUE!</v>
      </c>
      <c r="IE135" t="e">
        <f>'Compiled Agents'!E334+"h_l!'Gt"</f>
        <v>#VALUE!</v>
      </c>
      <c r="IF135" t="e">
        <f>'Compiled Agents'!F334+"h_l!'Gu"</f>
        <v>#VALUE!</v>
      </c>
      <c r="IG135" t="e">
        <f>'Compiled Agents'!G334+"h_l!'Gv"</f>
        <v>#VALUE!</v>
      </c>
      <c r="IH135" t="e">
        <f>'Compiled Agents'!H334+"h_l!'Gw"</f>
        <v>#VALUE!</v>
      </c>
      <c r="II135" t="e">
        <f>'Compiled Agents'!A335+"h_l!'Gx"</f>
        <v>#VALUE!</v>
      </c>
      <c r="IJ135" t="e">
        <f>'Compiled Agents'!B335+"h_l!'Gy"</f>
        <v>#VALUE!</v>
      </c>
      <c r="IK135" t="e">
        <f>'Compiled Agents'!C335+"h_l!'Gz"</f>
        <v>#VALUE!</v>
      </c>
      <c r="IL135" t="e">
        <f>'Compiled Agents'!E335+"h_l!'G{"</f>
        <v>#VALUE!</v>
      </c>
      <c r="IM135" t="e">
        <f>'Compiled Agents'!F335+"h_l!'G|"</f>
        <v>#VALUE!</v>
      </c>
      <c r="IN135" t="e">
        <f>'Compiled Agents'!G335+"h_l!'G}"</f>
        <v>#VALUE!</v>
      </c>
      <c r="IO135" t="e">
        <f>'Compiled Agents'!H335+"h_l!'G~"</f>
        <v>#VALUE!</v>
      </c>
      <c r="IP135" t="e">
        <f>'Compiled Agents'!A336+"h_l!'H#"</f>
        <v>#VALUE!</v>
      </c>
      <c r="IQ135" t="e">
        <f>'Compiled Agents'!B336+"h_l!'H$"</f>
        <v>#VALUE!</v>
      </c>
      <c r="IR135" t="e">
        <f>'Compiled Agents'!C336+"h_l!'H%"</f>
        <v>#VALUE!</v>
      </c>
      <c r="IS135" t="e">
        <f>'Compiled Agents'!E336+"h_l!'H&amp;"</f>
        <v>#VALUE!</v>
      </c>
      <c r="IT135" t="e">
        <f>'Compiled Agents'!F336+"h_l!'H'"</f>
        <v>#VALUE!</v>
      </c>
      <c r="IU135" t="e">
        <f>'Compiled Agents'!G336+"h_l!'H("</f>
        <v>#VALUE!</v>
      </c>
      <c r="IV135" t="e">
        <f>'Compiled Agents'!H336+"h_l!'H)"</f>
        <v>#VALUE!</v>
      </c>
    </row>
    <row r="136" spans="6:256" x14ac:dyDescent="0.25">
      <c r="F136" t="e">
        <f>'Compiled Agents'!A337+"h_l!'H."</f>
        <v>#VALUE!</v>
      </c>
      <c r="G136" t="e">
        <f>'Compiled Agents'!B337+"h_l!'H/"</f>
        <v>#VALUE!</v>
      </c>
      <c r="H136" t="e">
        <f>'Compiled Agents'!C337+"h_l!'H0"</f>
        <v>#VALUE!</v>
      </c>
      <c r="I136" t="e">
        <f>'Compiled Agents'!E337+"h_l!'H1"</f>
        <v>#VALUE!</v>
      </c>
      <c r="J136" t="e">
        <f>'Compiled Agents'!F337+"h_l!'H2"</f>
        <v>#VALUE!</v>
      </c>
      <c r="K136" t="e">
        <f>'Compiled Agents'!G337+"h_l!'H3"</f>
        <v>#VALUE!</v>
      </c>
      <c r="L136" t="e">
        <f>'Compiled Agents'!H337+"h_l!'H4"</f>
        <v>#VALUE!</v>
      </c>
      <c r="M136" t="e">
        <f>'Compiled Agents'!A338+"h_l!'H5"</f>
        <v>#VALUE!</v>
      </c>
      <c r="N136" t="e">
        <f>'Compiled Agents'!B338+"h_l!'H6"</f>
        <v>#VALUE!</v>
      </c>
      <c r="O136" t="e">
        <f>'Compiled Agents'!C338+"h_l!'H7"</f>
        <v>#VALUE!</v>
      </c>
      <c r="P136" t="e">
        <f>'Compiled Agents'!E338+"h_l!'H8"</f>
        <v>#VALUE!</v>
      </c>
      <c r="Q136" t="e">
        <f>'Compiled Agents'!F338+"h_l!'H9"</f>
        <v>#VALUE!</v>
      </c>
      <c r="R136" t="e">
        <f>'Compiled Agents'!G338+"h_l!'H:"</f>
        <v>#VALUE!</v>
      </c>
      <c r="S136" t="e">
        <f>'Compiled Agents'!H338+"h_l!'H;"</f>
        <v>#VALUE!</v>
      </c>
      <c r="T136" t="e">
        <f>'Compiled Agents'!A339+"h_l!'H&lt;"</f>
        <v>#VALUE!</v>
      </c>
      <c r="U136" t="e">
        <f>'Compiled Agents'!B339+"h_l!'H="</f>
        <v>#VALUE!</v>
      </c>
      <c r="V136" t="e">
        <f>'Compiled Agents'!C339+"h_l!'H&gt;"</f>
        <v>#VALUE!</v>
      </c>
      <c r="W136" t="e">
        <f>'Compiled Agents'!E339+"h_l!'H?"</f>
        <v>#VALUE!</v>
      </c>
      <c r="X136" t="e">
        <f>'Compiled Agents'!F339+"h_l!'H@"</f>
        <v>#VALUE!</v>
      </c>
      <c r="Y136" t="e">
        <f>'Compiled Agents'!G339+"h_l!'HA"</f>
        <v>#VALUE!</v>
      </c>
      <c r="Z136" t="e">
        <f>'Compiled Agents'!H339+"h_l!'HB"</f>
        <v>#VALUE!</v>
      </c>
      <c r="AA136" t="e">
        <f>'Compiled Agents'!A340+"h_l!'HC"</f>
        <v>#VALUE!</v>
      </c>
      <c r="AB136" t="e">
        <f>'Compiled Agents'!B340+"h_l!'HD"</f>
        <v>#VALUE!</v>
      </c>
      <c r="AC136" t="e">
        <f>'Compiled Agents'!C340+"h_l!'HE"</f>
        <v>#VALUE!</v>
      </c>
      <c r="AD136" t="e">
        <f>'Compiled Agents'!E340+"h_l!'HF"</f>
        <v>#VALUE!</v>
      </c>
      <c r="AE136" t="e">
        <f>'Compiled Agents'!F340+"h_l!'HG"</f>
        <v>#VALUE!</v>
      </c>
      <c r="AF136" t="e">
        <f>'Compiled Agents'!G340+"h_l!'HH"</f>
        <v>#VALUE!</v>
      </c>
      <c r="AG136" t="e">
        <f>'Compiled Agents'!H340+"h_l!'HI"</f>
        <v>#VALUE!</v>
      </c>
      <c r="AH136" t="e">
        <f>'Compiled Agents'!A341+"h_l!'HJ"</f>
        <v>#VALUE!</v>
      </c>
      <c r="AI136" t="e">
        <f>'Compiled Agents'!B341+"h_l!'HK"</f>
        <v>#VALUE!</v>
      </c>
      <c r="AJ136" t="e">
        <f>'Compiled Agents'!C341+"h_l!'HL"</f>
        <v>#VALUE!</v>
      </c>
      <c r="AK136" t="e">
        <f>'Compiled Agents'!E341+"h_l!'HM"</f>
        <v>#VALUE!</v>
      </c>
      <c r="AL136" t="e">
        <f>'Compiled Agents'!F341+"h_l!'HN"</f>
        <v>#VALUE!</v>
      </c>
      <c r="AM136" t="e">
        <f>'Compiled Agents'!G341+"h_l!'HO"</f>
        <v>#VALUE!</v>
      </c>
      <c r="AN136" t="e">
        <f>'Compiled Agents'!H341+"h_l!'HP"</f>
        <v>#VALUE!</v>
      </c>
      <c r="AO136" t="e">
        <f>'Compiled Agents'!A342+"h_l!'HQ"</f>
        <v>#VALUE!</v>
      </c>
      <c r="AP136" t="e">
        <f>'Compiled Agents'!B342+"h_l!'HR"</f>
        <v>#VALUE!</v>
      </c>
      <c r="AQ136" t="e">
        <f>'Compiled Agents'!C342+"h_l!'HS"</f>
        <v>#VALUE!</v>
      </c>
      <c r="AR136" t="e">
        <f>'Compiled Agents'!E342+"h_l!'HT"</f>
        <v>#VALUE!</v>
      </c>
      <c r="AS136" t="e">
        <f>'Compiled Agents'!F342+"h_l!'HU"</f>
        <v>#VALUE!</v>
      </c>
      <c r="AT136" t="e">
        <f>'Compiled Agents'!G342+"h_l!'HV"</f>
        <v>#VALUE!</v>
      </c>
      <c r="AU136" t="e">
        <f>'Compiled Agents'!H342+"h_l!'HW"</f>
        <v>#VALUE!</v>
      </c>
      <c r="AV136" t="e">
        <f>'Compiled Agents'!A343+"h_l!'HX"</f>
        <v>#VALUE!</v>
      </c>
      <c r="AW136" t="e">
        <f>'Compiled Agents'!B343+"h_l!'HY"</f>
        <v>#VALUE!</v>
      </c>
      <c r="AX136" t="e">
        <f>'Compiled Agents'!C343+"h_l!'HZ"</f>
        <v>#VALUE!</v>
      </c>
      <c r="AY136" t="e">
        <f>'Compiled Agents'!E343+"h_l!'H["</f>
        <v>#VALUE!</v>
      </c>
      <c r="AZ136" t="e">
        <f>'Compiled Agents'!F343+"h_l!'H\"</f>
        <v>#VALUE!</v>
      </c>
      <c r="BA136" t="e">
        <f>'Compiled Agents'!G343+"h_l!'H]"</f>
        <v>#VALUE!</v>
      </c>
      <c r="BB136" t="e">
        <f>'Compiled Agents'!H343+"h_l!'H^"</f>
        <v>#VALUE!</v>
      </c>
      <c r="BC136" t="e">
        <f>'Compiled Agents'!A344+"h_l!'H_"</f>
        <v>#VALUE!</v>
      </c>
      <c r="BD136" t="e">
        <f>'Compiled Agents'!B344+"h_l!'H`"</f>
        <v>#VALUE!</v>
      </c>
      <c r="BE136" t="e">
        <f>'Compiled Agents'!C344+"h_l!'Ha"</f>
        <v>#VALUE!</v>
      </c>
      <c r="BF136" t="e">
        <f>'Compiled Agents'!E344+"h_l!'Hb"</f>
        <v>#VALUE!</v>
      </c>
      <c r="BG136" t="e">
        <f>'Compiled Agents'!F344+"h_l!'Hc"</f>
        <v>#VALUE!</v>
      </c>
      <c r="BH136" t="e">
        <f>'Compiled Agents'!G344+"h_l!'Hd"</f>
        <v>#VALUE!</v>
      </c>
      <c r="BI136" t="e">
        <f>'Compiled Agents'!H344+"h_l!'He"</f>
        <v>#VALUE!</v>
      </c>
      <c r="BJ136" t="e">
        <f>'Compiled Agents'!A345+"h_l!'Hf"</f>
        <v>#VALUE!</v>
      </c>
      <c r="BK136" t="e">
        <f>'Compiled Agents'!B345+"h_l!'Hg"</f>
        <v>#VALUE!</v>
      </c>
      <c r="BL136" t="e">
        <f>'Compiled Agents'!C345+"h_l!'Hh"</f>
        <v>#VALUE!</v>
      </c>
      <c r="BM136" t="e">
        <f>'Compiled Agents'!E345+"h_l!'Hi"</f>
        <v>#VALUE!</v>
      </c>
      <c r="BN136" t="e">
        <f>'Compiled Agents'!F345+"h_l!'Hj"</f>
        <v>#VALUE!</v>
      </c>
      <c r="BO136" t="e">
        <f>'Compiled Agents'!G345+"h_l!'Hk"</f>
        <v>#VALUE!</v>
      </c>
      <c r="BP136" t="e">
        <f>'Compiled Agents'!H345+"h_l!'Hl"</f>
        <v>#VALUE!</v>
      </c>
      <c r="BQ136" t="e">
        <f>'Compiled Agents'!A346+"h_l!'Hm"</f>
        <v>#VALUE!</v>
      </c>
      <c r="BR136" t="e">
        <f>'Compiled Agents'!B346+"h_l!'Hn"</f>
        <v>#VALUE!</v>
      </c>
      <c r="BS136" t="e">
        <f>'Compiled Agents'!C346+"h_l!'Ho"</f>
        <v>#VALUE!</v>
      </c>
      <c r="BT136" t="e">
        <f>'Compiled Agents'!E346+"h_l!'Hp"</f>
        <v>#VALUE!</v>
      </c>
      <c r="BU136" t="e">
        <f>'Compiled Agents'!F346+"h_l!'Hq"</f>
        <v>#VALUE!</v>
      </c>
      <c r="BV136" t="e">
        <f>'Compiled Agents'!G346+"h_l!'Hr"</f>
        <v>#VALUE!</v>
      </c>
      <c r="BW136" t="e">
        <f>'Compiled Agents'!H346+"h_l!'Hs"</f>
        <v>#VALUE!</v>
      </c>
      <c r="BX136" t="e">
        <f>'Compiled Agents'!A347+"h_l!'Ht"</f>
        <v>#VALUE!</v>
      </c>
      <c r="BY136" t="e">
        <f>'Compiled Agents'!B347+"h_l!'Hu"</f>
        <v>#VALUE!</v>
      </c>
      <c r="BZ136" t="e">
        <f>'Compiled Agents'!C347+"h_l!'Hv"</f>
        <v>#VALUE!</v>
      </c>
      <c r="CA136" t="e">
        <f>'Compiled Agents'!E347+"h_l!'Hw"</f>
        <v>#VALUE!</v>
      </c>
      <c r="CB136" t="e">
        <f>'Compiled Agents'!F347+"h_l!'Hx"</f>
        <v>#VALUE!</v>
      </c>
      <c r="CC136" t="e">
        <f>'Compiled Agents'!G347+"h_l!'Hy"</f>
        <v>#VALUE!</v>
      </c>
      <c r="CD136" t="e">
        <f>'Compiled Agents'!H347+"h_l!'Hz"</f>
        <v>#VALUE!</v>
      </c>
      <c r="CE136" t="e">
        <f>'Compiled Agents'!A348+"h_l!'H{"</f>
        <v>#VALUE!</v>
      </c>
      <c r="CF136" t="e">
        <f>'Compiled Agents'!B348+"h_l!'H|"</f>
        <v>#VALUE!</v>
      </c>
      <c r="CG136" t="e">
        <f>'Compiled Agents'!C348+"h_l!'H}"</f>
        <v>#VALUE!</v>
      </c>
      <c r="CH136" t="e">
        <f>'Compiled Agents'!E348+"h_l!'H~"</f>
        <v>#VALUE!</v>
      </c>
      <c r="CI136" t="e">
        <f>'Compiled Agents'!F348+"h_l!'I#"</f>
        <v>#VALUE!</v>
      </c>
      <c r="CJ136" t="e">
        <f>'Compiled Agents'!G348+"h_l!'I$"</f>
        <v>#VALUE!</v>
      </c>
      <c r="CK136" t="e">
        <f>'Compiled Agents'!H348+"h_l!'I%"</f>
        <v>#VALUE!</v>
      </c>
      <c r="CL136" t="e">
        <f>'Compiled Agents'!A349+"h_l!'I&amp;"</f>
        <v>#VALUE!</v>
      </c>
      <c r="CM136" t="e">
        <f>'Compiled Agents'!B349+"h_l!'I'"</f>
        <v>#VALUE!</v>
      </c>
      <c r="CN136" t="e">
        <f>'Compiled Agents'!C349+"h_l!'I("</f>
        <v>#VALUE!</v>
      </c>
      <c r="CO136" t="e">
        <f>'Compiled Agents'!E349+"h_l!'I)"</f>
        <v>#VALUE!</v>
      </c>
      <c r="CP136" t="e">
        <f>'Compiled Agents'!F349+"h_l!'I."</f>
        <v>#VALUE!</v>
      </c>
      <c r="CQ136" t="e">
        <f>'Compiled Agents'!G349+"h_l!'I/"</f>
        <v>#VALUE!</v>
      </c>
      <c r="CR136" t="e">
        <f>'Compiled Agents'!H349+"h_l!'I0"</f>
        <v>#VALUE!</v>
      </c>
      <c r="CS136" t="e">
        <f>'Compiled Agents'!A350+"h_l!'I1"</f>
        <v>#VALUE!</v>
      </c>
      <c r="CT136" t="e">
        <f>'Compiled Agents'!B350+"h_l!'I2"</f>
        <v>#VALUE!</v>
      </c>
      <c r="CU136" t="e">
        <f>'Compiled Agents'!C350+"h_l!'I3"</f>
        <v>#VALUE!</v>
      </c>
      <c r="CV136" t="e">
        <f>'Compiled Agents'!E350+"h_l!'I4"</f>
        <v>#VALUE!</v>
      </c>
      <c r="CW136" t="e">
        <f>'Compiled Agents'!F350+"h_l!'I5"</f>
        <v>#VALUE!</v>
      </c>
      <c r="CX136" t="e">
        <f>'Compiled Agents'!G350+"h_l!'I6"</f>
        <v>#VALUE!</v>
      </c>
      <c r="CY136" t="e">
        <f>'Compiled Agents'!H350+"h_l!'I7"</f>
        <v>#VALUE!</v>
      </c>
      <c r="CZ136" t="e">
        <f>'Compiled Agents'!A351+"h_l!'I8"</f>
        <v>#VALUE!</v>
      </c>
      <c r="DA136" t="e">
        <f>'Compiled Agents'!B351+"h_l!'I9"</f>
        <v>#VALUE!</v>
      </c>
      <c r="DB136" t="e">
        <f>'Compiled Agents'!C351+"h_l!'I:"</f>
        <v>#VALUE!</v>
      </c>
      <c r="DC136" t="e">
        <f>'Compiled Agents'!E351+"h_l!'I;"</f>
        <v>#VALUE!</v>
      </c>
      <c r="DD136" t="e">
        <f>'Compiled Agents'!F351+"h_l!'I&lt;"</f>
        <v>#VALUE!</v>
      </c>
      <c r="DE136" t="e">
        <f>'Compiled Agents'!G351+"h_l!'I="</f>
        <v>#VALUE!</v>
      </c>
      <c r="DF136" t="e">
        <f>'Compiled Agents'!H351+"h_l!'I&gt;"</f>
        <v>#VALUE!</v>
      </c>
      <c r="DG136" t="e">
        <f>'Compiled Agents'!A352+"h_l!'I?"</f>
        <v>#VALUE!</v>
      </c>
      <c r="DH136" t="e">
        <f>'Compiled Agents'!B352+"h_l!'I@"</f>
        <v>#VALUE!</v>
      </c>
      <c r="DI136" t="e">
        <f>'Compiled Agents'!C352+"h_l!'IA"</f>
        <v>#VALUE!</v>
      </c>
      <c r="DJ136" t="e">
        <f>'Compiled Agents'!E352+"h_l!'IB"</f>
        <v>#VALUE!</v>
      </c>
      <c r="DK136" t="e">
        <f>'Compiled Agents'!F352+"h_l!'IC"</f>
        <v>#VALUE!</v>
      </c>
      <c r="DL136" t="e">
        <f>'Compiled Agents'!G352+"h_l!'ID"</f>
        <v>#VALUE!</v>
      </c>
      <c r="DM136" t="e">
        <f>'Compiled Agents'!H352+"h_l!'IE"</f>
        <v>#VALUE!</v>
      </c>
      <c r="DN136" t="e">
        <f>'Compiled Agents'!A353+"h_l!'IF"</f>
        <v>#VALUE!</v>
      </c>
      <c r="DO136" t="e">
        <f>'Compiled Agents'!B353+"h_l!'IG"</f>
        <v>#VALUE!</v>
      </c>
      <c r="DP136" t="e">
        <f>'Compiled Agents'!C353+"h_l!'IH"</f>
        <v>#VALUE!</v>
      </c>
      <c r="DQ136" t="e">
        <f>'Compiled Agents'!E353+"h_l!'II"</f>
        <v>#VALUE!</v>
      </c>
      <c r="DR136" t="e">
        <f>'Compiled Agents'!F353+"h_l!'IJ"</f>
        <v>#VALUE!</v>
      </c>
      <c r="DS136" t="e">
        <f>'Compiled Agents'!G353+"h_l!'IK"</f>
        <v>#VALUE!</v>
      </c>
      <c r="DT136" t="e">
        <f>'Compiled Agents'!H353+"h_l!'IL"</f>
        <v>#VALUE!</v>
      </c>
      <c r="DU136" t="e">
        <f>'Compiled Agents'!A354+"h_l!'IM"</f>
        <v>#VALUE!</v>
      </c>
      <c r="DV136" t="e">
        <f>'Compiled Agents'!B354+"h_l!'IN"</f>
        <v>#VALUE!</v>
      </c>
      <c r="DW136" t="e">
        <f>'Compiled Agents'!C354+"h_l!'IO"</f>
        <v>#VALUE!</v>
      </c>
      <c r="DX136" t="e">
        <f>'Compiled Agents'!E354+"h_l!'IP"</f>
        <v>#VALUE!</v>
      </c>
      <c r="DY136" t="e">
        <f>'Compiled Agents'!F354+"h_l!'IQ"</f>
        <v>#VALUE!</v>
      </c>
      <c r="DZ136" t="e">
        <f>'Compiled Agents'!G354+"h_l!'IR"</f>
        <v>#VALUE!</v>
      </c>
      <c r="EA136" t="e">
        <f>'Compiled Agents'!H354+"h_l!'IS"</f>
        <v>#VALUE!</v>
      </c>
      <c r="EB136" t="e">
        <f>'Compiled Agents'!A355+"h_l!'IT"</f>
        <v>#VALUE!</v>
      </c>
      <c r="EC136" t="e">
        <f>'Compiled Agents'!B355+"h_l!'IU"</f>
        <v>#VALUE!</v>
      </c>
      <c r="ED136" t="e">
        <f>'Compiled Agents'!C355+"h_l!'IV"</f>
        <v>#VALUE!</v>
      </c>
      <c r="EE136" t="e">
        <f>'Compiled Agents'!E355+"h_l!'IW"</f>
        <v>#VALUE!</v>
      </c>
      <c r="EF136" t="e">
        <f>'Compiled Agents'!F355+"h_l!'IX"</f>
        <v>#VALUE!</v>
      </c>
      <c r="EG136" t="e">
        <f>'Compiled Agents'!G355+"h_l!'IY"</f>
        <v>#VALUE!</v>
      </c>
      <c r="EH136" t="e">
        <f>'Compiled Agents'!H355+"h_l!'IZ"</f>
        <v>#VALUE!</v>
      </c>
      <c r="EI136" t="e">
        <f>'Compiled Agents'!A356+"h_l!'I["</f>
        <v>#VALUE!</v>
      </c>
      <c r="EJ136" t="e">
        <f>'Compiled Agents'!B356+"h_l!'I\"</f>
        <v>#VALUE!</v>
      </c>
      <c r="EK136" t="e">
        <f>'Compiled Agents'!C356+"h_l!'I]"</f>
        <v>#VALUE!</v>
      </c>
      <c r="EL136" t="e">
        <f>'Compiled Agents'!E356+"h_l!'I^"</f>
        <v>#VALUE!</v>
      </c>
      <c r="EM136" t="e">
        <f>'Compiled Agents'!F356+"h_l!'I_"</f>
        <v>#VALUE!</v>
      </c>
      <c r="EN136" t="e">
        <f>'Compiled Agents'!G356+"h_l!'I`"</f>
        <v>#VALUE!</v>
      </c>
      <c r="EO136" t="e">
        <f>'Compiled Agents'!H356+"h_l!'Ia"</f>
        <v>#VALUE!</v>
      </c>
      <c r="EP136" t="e">
        <f>'Compiled Agents'!A357+"h_l!'Ib"</f>
        <v>#VALUE!</v>
      </c>
      <c r="EQ136" t="e">
        <f>'Compiled Agents'!B357+"h_l!'Ic"</f>
        <v>#VALUE!</v>
      </c>
      <c r="ER136" t="e">
        <f>'Compiled Agents'!C357+"h_l!'Id"</f>
        <v>#VALUE!</v>
      </c>
      <c r="ES136" t="e">
        <f>'Compiled Agents'!E357+"h_l!'Ie"</f>
        <v>#VALUE!</v>
      </c>
      <c r="ET136" t="e">
        <f>'Compiled Agents'!F357+"h_l!'If"</f>
        <v>#VALUE!</v>
      </c>
      <c r="EU136" t="e">
        <f>'Compiled Agents'!G357+"h_l!'Ig"</f>
        <v>#VALUE!</v>
      </c>
      <c r="EV136" t="e">
        <f>'Compiled Agents'!H357+"h_l!'Ih"</f>
        <v>#VALUE!</v>
      </c>
      <c r="EW136" t="e">
        <f>'Compiled Agents'!A358+"h_l!'Ii"</f>
        <v>#VALUE!</v>
      </c>
      <c r="EX136" t="e">
        <f>'Compiled Agents'!B358+"h_l!'Ij"</f>
        <v>#VALUE!</v>
      </c>
      <c r="EY136" t="e">
        <f>'Compiled Agents'!C358+"h_l!'Ik"</f>
        <v>#VALUE!</v>
      </c>
      <c r="EZ136" t="e">
        <f>'Compiled Agents'!E358+"h_l!'Il"</f>
        <v>#VALUE!</v>
      </c>
      <c r="FA136" t="e">
        <f>'Compiled Agents'!F358+"h_l!'Im"</f>
        <v>#VALUE!</v>
      </c>
      <c r="FB136" t="e">
        <f>'Compiled Agents'!G358+"h_l!'In"</f>
        <v>#VALUE!</v>
      </c>
      <c r="FC136" t="e">
        <f>'Compiled Agents'!H358+"h_l!'Io"</f>
        <v>#VALUE!</v>
      </c>
      <c r="FD136" t="e">
        <f>'Compiled Agents'!A359+"h_l!'Ip"</f>
        <v>#VALUE!</v>
      </c>
      <c r="FE136" t="e">
        <f>'Compiled Agents'!B359+"h_l!'Iq"</f>
        <v>#VALUE!</v>
      </c>
      <c r="FF136" t="e">
        <f>'Compiled Agents'!C359+"h_l!'Ir"</f>
        <v>#VALUE!</v>
      </c>
      <c r="FG136" t="e">
        <f>'Compiled Agents'!E359+"h_l!'Is"</f>
        <v>#VALUE!</v>
      </c>
      <c r="FH136" t="e">
        <f>'Compiled Agents'!F359+"h_l!'It"</f>
        <v>#VALUE!</v>
      </c>
      <c r="FI136" t="e">
        <f>'Compiled Agents'!G359+"h_l!'Iu"</f>
        <v>#VALUE!</v>
      </c>
      <c r="FJ136" t="e">
        <f>'Compiled Agents'!H359+"h_l!'Iv"</f>
        <v>#VALUE!</v>
      </c>
      <c r="FK136" t="e">
        <f>'Compiled Agents'!A360+"h_l!'Iw"</f>
        <v>#VALUE!</v>
      </c>
      <c r="FL136" t="e">
        <f>'Compiled Agents'!B360+"h_l!'Ix"</f>
        <v>#VALUE!</v>
      </c>
      <c r="FM136" t="e">
        <f>'Compiled Agents'!C360+"h_l!'Iy"</f>
        <v>#VALUE!</v>
      </c>
      <c r="FN136" t="e">
        <f>'Compiled Agents'!E360+"h_l!'Iz"</f>
        <v>#VALUE!</v>
      </c>
      <c r="FO136" t="e">
        <f>'Compiled Agents'!F360+"h_l!'I{"</f>
        <v>#VALUE!</v>
      </c>
      <c r="FP136" t="e">
        <f>'Compiled Agents'!G360+"h_l!'I|"</f>
        <v>#VALUE!</v>
      </c>
      <c r="FQ136" t="e">
        <f>'Compiled Agents'!H360+"h_l!'I}"</f>
        <v>#VALUE!</v>
      </c>
      <c r="FR136" t="e">
        <f>'Compiled Agents'!A361+"h_l!'I~"</f>
        <v>#VALUE!</v>
      </c>
      <c r="FS136" t="e">
        <f>'Compiled Agents'!B361+"h_l!'J#"</f>
        <v>#VALUE!</v>
      </c>
      <c r="FT136" t="e">
        <f>'Compiled Agents'!C361+"h_l!'J$"</f>
        <v>#VALUE!</v>
      </c>
      <c r="FU136" t="e">
        <f>'Compiled Agents'!E361+"h_l!'J%"</f>
        <v>#VALUE!</v>
      </c>
      <c r="FV136" t="e">
        <f>'Compiled Agents'!F361+"h_l!'J&amp;"</f>
        <v>#VALUE!</v>
      </c>
      <c r="FW136" t="e">
        <f>'Compiled Agents'!G361+"h_l!'J'"</f>
        <v>#VALUE!</v>
      </c>
      <c r="FX136" t="e">
        <f>'Compiled Agents'!H361+"h_l!'J("</f>
        <v>#VALUE!</v>
      </c>
      <c r="FY136" t="e">
        <f>'Compiled Agents'!A362+"h_l!'J)"</f>
        <v>#VALUE!</v>
      </c>
      <c r="FZ136" t="e">
        <f>'Compiled Agents'!B362+"h_l!'J."</f>
        <v>#VALUE!</v>
      </c>
      <c r="GA136" t="e">
        <f>'Compiled Agents'!C362+"h_l!'J/"</f>
        <v>#VALUE!</v>
      </c>
      <c r="GB136" t="e">
        <f>'Compiled Agents'!E362+"h_l!'J0"</f>
        <v>#VALUE!</v>
      </c>
      <c r="GC136" t="e">
        <f>'Compiled Agents'!F362+"h_l!'J1"</f>
        <v>#VALUE!</v>
      </c>
      <c r="GD136" t="e">
        <f>'Compiled Agents'!G362+"h_l!'J2"</f>
        <v>#VALUE!</v>
      </c>
      <c r="GE136" t="e">
        <f>'Compiled Agents'!H362+"h_l!'J3"</f>
        <v>#VALUE!</v>
      </c>
      <c r="GF136" t="e">
        <f>'Compiled Agents'!A363+"h_l!'J4"</f>
        <v>#VALUE!</v>
      </c>
      <c r="GG136" t="e">
        <f>'Compiled Agents'!B363+"h_l!'J5"</f>
        <v>#VALUE!</v>
      </c>
      <c r="GH136" t="e">
        <f>'Compiled Agents'!C363+"h_l!'J6"</f>
        <v>#VALUE!</v>
      </c>
      <c r="GI136" t="e">
        <f>'Compiled Agents'!E363+"h_l!'J7"</f>
        <v>#VALUE!</v>
      </c>
      <c r="GJ136" t="e">
        <f>'Compiled Agents'!F363+"h_l!'J8"</f>
        <v>#VALUE!</v>
      </c>
      <c r="GK136" t="e">
        <f>'Compiled Agents'!G363+"h_l!'J9"</f>
        <v>#VALUE!</v>
      </c>
      <c r="GL136" t="e">
        <f>'Compiled Agents'!H363+"h_l!'J:"</f>
        <v>#VALUE!</v>
      </c>
      <c r="GM136" t="e">
        <f>'Compiled Agents'!A364+"h_l!'J;"</f>
        <v>#VALUE!</v>
      </c>
      <c r="GN136" t="e">
        <f>'Compiled Agents'!B364+"h_l!'J&lt;"</f>
        <v>#VALUE!</v>
      </c>
      <c r="GO136" t="e">
        <f>'Compiled Agents'!C364+"h_l!'J="</f>
        <v>#VALUE!</v>
      </c>
      <c r="GP136" t="e">
        <f>'Compiled Agents'!E364+"h_l!'J&gt;"</f>
        <v>#VALUE!</v>
      </c>
      <c r="GQ136" t="e">
        <f>'Compiled Agents'!F364+"h_l!'J?"</f>
        <v>#VALUE!</v>
      </c>
      <c r="GR136" t="e">
        <f>'Compiled Agents'!G364+"h_l!'J@"</f>
        <v>#VALUE!</v>
      </c>
      <c r="GS136" t="e">
        <f>'Compiled Agents'!H364+"h_l!'JA"</f>
        <v>#VALUE!</v>
      </c>
      <c r="GT136" t="e">
        <f>'Compiled Agents'!A365+"h_l!'JB"</f>
        <v>#VALUE!</v>
      </c>
      <c r="GU136" t="e">
        <f>'Compiled Agents'!B365+"h_l!'JC"</f>
        <v>#VALUE!</v>
      </c>
      <c r="GV136" t="e">
        <f>'Compiled Agents'!C365+"h_l!'JD"</f>
        <v>#VALUE!</v>
      </c>
      <c r="GW136" t="e">
        <f>'Compiled Agents'!E365+"h_l!'JE"</f>
        <v>#VALUE!</v>
      </c>
      <c r="GX136" t="e">
        <f>'Compiled Agents'!F365+"h_l!'JF"</f>
        <v>#VALUE!</v>
      </c>
      <c r="GY136" t="e">
        <f>'Compiled Agents'!G365+"h_l!'JG"</f>
        <v>#VALUE!</v>
      </c>
      <c r="GZ136" t="e">
        <f>'Compiled Agents'!H365+"h_l!'JH"</f>
        <v>#VALUE!</v>
      </c>
      <c r="HA136" t="e">
        <f>'Compiled Agents'!A366+"h_l!'JI"</f>
        <v>#VALUE!</v>
      </c>
      <c r="HB136" t="e">
        <f>'Compiled Agents'!B366+"h_l!'JJ"</f>
        <v>#VALUE!</v>
      </c>
      <c r="HC136" t="e">
        <f>'Compiled Agents'!C366+"h_l!'JK"</f>
        <v>#VALUE!</v>
      </c>
      <c r="HD136" t="e">
        <f>'Compiled Agents'!E366+"h_l!'JL"</f>
        <v>#VALUE!</v>
      </c>
      <c r="HE136" t="e">
        <f>'Compiled Agents'!F366+"h_l!'JM"</f>
        <v>#VALUE!</v>
      </c>
      <c r="HF136" t="e">
        <f>'Compiled Agents'!G366+"h_l!'JN"</f>
        <v>#VALUE!</v>
      </c>
      <c r="HG136" t="e">
        <f>'Compiled Agents'!H366+"h_l!'JO"</f>
        <v>#VALUE!</v>
      </c>
      <c r="HH136" t="e">
        <f>'Compiled Agents'!A367+"h_l!'JP"</f>
        <v>#VALUE!</v>
      </c>
      <c r="HI136" t="e">
        <f>'Compiled Agents'!B367+"h_l!'JQ"</f>
        <v>#VALUE!</v>
      </c>
      <c r="HJ136" t="e">
        <f>'Compiled Agents'!C367+"h_l!'JR"</f>
        <v>#VALUE!</v>
      </c>
      <c r="HK136" t="e">
        <f>'Compiled Agents'!E367+"h_l!'JS"</f>
        <v>#VALUE!</v>
      </c>
      <c r="HL136" t="e">
        <f>'Compiled Agents'!F367+"h_l!'JT"</f>
        <v>#VALUE!</v>
      </c>
      <c r="HM136" t="e">
        <f>'Compiled Agents'!G367+"h_l!'JU"</f>
        <v>#VALUE!</v>
      </c>
      <c r="HN136" t="e">
        <f>'Compiled Agents'!H367+"h_l!'JV"</f>
        <v>#VALUE!</v>
      </c>
      <c r="HO136" t="e">
        <f>'Compiled Agents'!A368+"h_l!'JW"</f>
        <v>#VALUE!</v>
      </c>
      <c r="HP136" t="e">
        <f>'Compiled Agents'!B368+"h_l!'JX"</f>
        <v>#VALUE!</v>
      </c>
      <c r="HQ136" t="e">
        <f>'Compiled Agents'!C368+"h_l!'JY"</f>
        <v>#VALUE!</v>
      </c>
      <c r="HR136" t="e">
        <f>'Compiled Agents'!E368+"h_l!'JZ"</f>
        <v>#VALUE!</v>
      </c>
      <c r="HS136" t="e">
        <f>'Compiled Agents'!F368+"h_l!'J["</f>
        <v>#VALUE!</v>
      </c>
      <c r="HT136" t="e">
        <f>'Compiled Agents'!G368+"h_l!'J\"</f>
        <v>#VALUE!</v>
      </c>
      <c r="HU136" t="e">
        <f>'Compiled Agents'!H368+"h_l!'J]"</f>
        <v>#VALUE!</v>
      </c>
      <c r="HV136" t="e">
        <f>'Compiled Agents'!A369+"h_l!'J^"</f>
        <v>#VALUE!</v>
      </c>
      <c r="HW136" t="e">
        <f>'Compiled Agents'!B369+"h_l!'J_"</f>
        <v>#VALUE!</v>
      </c>
      <c r="HX136" t="e">
        <f>'Compiled Agents'!C369+"h_l!'J`"</f>
        <v>#VALUE!</v>
      </c>
      <c r="HY136" t="e">
        <f>'Compiled Agents'!E369+"h_l!'Ja"</f>
        <v>#VALUE!</v>
      </c>
      <c r="HZ136" t="e">
        <f>'Compiled Agents'!F369+"h_l!'Jb"</f>
        <v>#VALUE!</v>
      </c>
      <c r="IA136" t="e">
        <f>'Compiled Agents'!G369+"h_l!'Jc"</f>
        <v>#VALUE!</v>
      </c>
      <c r="IB136" t="e">
        <f>'Compiled Agents'!H369+"h_l!'Jd"</f>
        <v>#VALUE!</v>
      </c>
      <c r="IC136" t="e">
        <f>'Compiled Agents'!A370+"h_l!'Je"</f>
        <v>#VALUE!</v>
      </c>
      <c r="ID136" t="e">
        <f>'Compiled Agents'!B370+"h_l!'Jf"</f>
        <v>#VALUE!</v>
      </c>
      <c r="IE136" t="e">
        <f>'Compiled Agents'!C370+"h_l!'Jg"</f>
        <v>#VALUE!</v>
      </c>
      <c r="IF136" t="e">
        <f>'Compiled Agents'!E370+"h_l!'Jh"</f>
        <v>#VALUE!</v>
      </c>
      <c r="IG136" t="e">
        <f>'Compiled Agents'!F370+"h_l!'Ji"</f>
        <v>#VALUE!</v>
      </c>
      <c r="IH136" t="e">
        <f>'Compiled Agents'!G370+"h_l!'Jj"</f>
        <v>#VALUE!</v>
      </c>
      <c r="II136" t="e">
        <f>'Compiled Agents'!H370+"h_l!'Jk"</f>
        <v>#VALUE!</v>
      </c>
      <c r="IJ136" t="e">
        <f>'Compiled Agents'!A371+"h_l!'Jl"</f>
        <v>#VALUE!</v>
      </c>
      <c r="IK136" t="e">
        <f>'Compiled Agents'!B371+"h_l!'Jm"</f>
        <v>#VALUE!</v>
      </c>
      <c r="IL136" t="e">
        <f>'Compiled Agents'!C371+"h_l!'Jn"</f>
        <v>#VALUE!</v>
      </c>
      <c r="IM136" t="e">
        <f>'Compiled Agents'!E371+"h_l!'Jo"</f>
        <v>#VALUE!</v>
      </c>
      <c r="IN136" t="e">
        <f>'Compiled Agents'!F371+"h_l!'Jp"</f>
        <v>#VALUE!</v>
      </c>
      <c r="IO136" t="e">
        <f>'Compiled Agents'!G371+"h_l!'Jq"</f>
        <v>#VALUE!</v>
      </c>
      <c r="IP136" t="e">
        <f>'Compiled Agents'!H371+"h_l!'Jr"</f>
        <v>#VALUE!</v>
      </c>
      <c r="IQ136" t="e">
        <f>'Compiled Agents'!A372+"h_l!'Js"</f>
        <v>#VALUE!</v>
      </c>
      <c r="IR136" t="e">
        <f>'Compiled Agents'!B372+"h_l!'Jt"</f>
        <v>#VALUE!</v>
      </c>
      <c r="IS136" t="e">
        <f>'Compiled Agents'!C372+"h_l!'Ju"</f>
        <v>#VALUE!</v>
      </c>
      <c r="IT136" t="e">
        <f>'Compiled Agents'!E372+"h_l!'Jv"</f>
        <v>#VALUE!</v>
      </c>
      <c r="IU136" t="e">
        <f>'Compiled Agents'!F372+"h_l!'Jw"</f>
        <v>#VALUE!</v>
      </c>
      <c r="IV136" t="e">
        <f>'Compiled Agents'!G372+"h_l!'Jx"</f>
        <v>#VALUE!</v>
      </c>
    </row>
    <row r="137" spans="6:256" x14ac:dyDescent="0.25">
      <c r="F137" t="e">
        <f>'Compiled Agents'!H372+"h_l!'Jy"</f>
        <v>#VALUE!</v>
      </c>
      <c r="G137" t="e">
        <f>'Compiled Agents'!A373+"h_l!'Jz"</f>
        <v>#VALUE!</v>
      </c>
      <c r="H137" t="e">
        <f>'Compiled Agents'!B373+"h_l!'J{"</f>
        <v>#VALUE!</v>
      </c>
      <c r="I137" t="e">
        <f>'Compiled Agents'!C373+"h_l!'J|"</f>
        <v>#VALUE!</v>
      </c>
      <c r="J137" t="e">
        <f>'Compiled Agents'!E373+"h_l!'J}"</f>
        <v>#VALUE!</v>
      </c>
      <c r="K137" t="e">
        <f>'Compiled Agents'!F373+"h_l!'J~"</f>
        <v>#VALUE!</v>
      </c>
      <c r="L137" t="e">
        <f>'Compiled Agents'!G373+"h_l!'K#"</f>
        <v>#VALUE!</v>
      </c>
      <c r="M137" t="e">
        <f>'Compiled Agents'!H373+"h_l!'K$"</f>
        <v>#VALUE!</v>
      </c>
      <c r="N137" t="e">
        <f>'Compiled Agents'!A374+"h_l!'K%"</f>
        <v>#VALUE!</v>
      </c>
      <c r="O137" t="e">
        <f>'Compiled Agents'!B374+"h_l!'K&amp;"</f>
        <v>#VALUE!</v>
      </c>
      <c r="P137" t="e">
        <f>'Compiled Agents'!C374+"h_l!'K'"</f>
        <v>#VALUE!</v>
      </c>
      <c r="Q137" t="e">
        <f>'Compiled Agents'!E374+"h_l!'K("</f>
        <v>#VALUE!</v>
      </c>
      <c r="R137" t="e">
        <f>'Compiled Agents'!F374+"h_l!'K)"</f>
        <v>#VALUE!</v>
      </c>
      <c r="S137" t="e">
        <f>'Compiled Agents'!G374+"h_l!'K."</f>
        <v>#VALUE!</v>
      </c>
      <c r="T137" t="e">
        <f>'Compiled Agents'!H374+"h_l!'K/"</f>
        <v>#VALUE!</v>
      </c>
      <c r="U137" t="e">
        <f>'Compiled Agents'!A375+"h_l!'K0"</f>
        <v>#VALUE!</v>
      </c>
      <c r="V137" t="e">
        <f>'Compiled Agents'!B375+"h_l!'K1"</f>
        <v>#VALUE!</v>
      </c>
      <c r="W137" t="e">
        <f>'Compiled Agents'!C375+"h_l!'K2"</f>
        <v>#VALUE!</v>
      </c>
      <c r="X137" t="e">
        <f>'Compiled Agents'!E375+"h_l!'K3"</f>
        <v>#VALUE!</v>
      </c>
      <c r="Y137" t="e">
        <f>'Compiled Agents'!F375+"h_l!'K4"</f>
        <v>#VALUE!</v>
      </c>
      <c r="Z137" t="e">
        <f>'Compiled Agents'!G375+"h_l!'K5"</f>
        <v>#VALUE!</v>
      </c>
      <c r="AA137" t="e">
        <f>'Compiled Agents'!H375+"h_l!'K6"</f>
        <v>#VALUE!</v>
      </c>
      <c r="AB137" t="e">
        <f>'Compiled Agents'!A376+"h_l!'K7"</f>
        <v>#VALUE!</v>
      </c>
      <c r="AC137" t="e">
        <f>'Compiled Agents'!B376+"h_l!'K8"</f>
        <v>#VALUE!</v>
      </c>
      <c r="AD137" t="e">
        <f>'Compiled Agents'!C376+"h_l!'K9"</f>
        <v>#VALUE!</v>
      </c>
      <c r="AE137" t="e">
        <f>'Compiled Agents'!E376+"h_l!'K:"</f>
        <v>#VALUE!</v>
      </c>
      <c r="AF137" t="e">
        <f>'Compiled Agents'!F376+"h_l!'K;"</f>
        <v>#VALUE!</v>
      </c>
      <c r="AG137" t="e">
        <f>'Compiled Agents'!G376+"h_l!'K&lt;"</f>
        <v>#VALUE!</v>
      </c>
      <c r="AH137" t="e">
        <f>'Compiled Agents'!H376+"h_l!'K="</f>
        <v>#VALUE!</v>
      </c>
      <c r="AI137" t="e">
        <f>'Compiled Agents'!A377+"h_l!'K&gt;"</f>
        <v>#VALUE!</v>
      </c>
      <c r="AJ137" t="e">
        <f>'Compiled Agents'!B377+"h_l!'K?"</f>
        <v>#VALUE!</v>
      </c>
      <c r="AK137" t="e">
        <f>'Compiled Agents'!C377+"h_l!'K@"</f>
        <v>#VALUE!</v>
      </c>
      <c r="AL137" t="e">
        <f>'Compiled Agents'!E377+"h_l!'KA"</f>
        <v>#VALUE!</v>
      </c>
      <c r="AM137" t="e">
        <f>'Compiled Agents'!F377+"h_l!'KB"</f>
        <v>#VALUE!</v>
      </c>
      <c r="AN137" t="e">
        <f>'Compiled Agents'!G377+"h_l!'KC"</f>
        <v>#VALUE!</v>
      </c>
      <c r="AO137" t="e">
        <f>'Compiled Agents'!H377+"h_l!'KD"</f>
        <v>#VALUE!</v>
      </c>
      <c r="AP137" t="e">
        <f>'Compiled Agents'!A378+"h_l!'KE"</f>
        <v>#VALUE!</v>
      </c>
      <c r="AQ137" t="e">
        <f>'Compiled Agents'!B378+"h_l!'KF"</f>
        <v>#VALUE!</v>
      </c>
      <c r="AR137" t="e">
        <f>'Compiled Agents'!C378+"h_l!'KG"</f>
        <v>#VALUE!</v>
      </c>
      <c r="AS137" t="e">
        <f>'Compiled Agents'!E378+"h_l!'KH"</f>
        <v>#VALUE!</v>
      </c>
      <c r="AT137" t="e">
        <f>'Compiled Agents'!F378+"h_l!'KI"</f>
        <v>#VALUE!</v>
      </c>
      <c r="AU137" t="e">
        <f>'Compiled Agents'!G378+"h_l!'KJ"</f>
        <v>#VALUE!</v>
      </c>
      <c r="AV137" t="e">
        <f>'Compiled Agents'!H378+"h_l!'KK"</f>
        <v>#VALUE!</v>
      </c>
      <c r="AW137" t="e">
        <f>'Compiled Agents'!A379+"h_l!'KL"</f>
        <v>#VALUE!</v>
      </c>
      <c r="AX137" t="e">
        <f>'Compiled Agents'!B379+"h_l!'KM"</f>
        <v>#VALUE!</v>
      </c>
      <c r="AY137" t="e">
        <f>'Compiled Agents'!C379+"h_l!'KN"</f>
        <v>#VALUE!</v>
      </c>
      <c r="AZ137" t="e">
        <f>'Compiled Agents'!E379+"h_l!'KO"</f>
        <v>#VALUE!</v>
      </c>
      <c r="BA137" t="e">
        <f>'Compiled Agents'!F379+"h_l!'KP"</f>
        <v>#VALUE!</v>
      </c>
      <c r="BB137" t="e">
        <f>'Compiled Agents'!G379+"h_l!'KQ"</f>
        <v>#VALUE!</v>
      </c>
      <c r="BC137" t="e">
        <f>'Compiled Agents'!H379+"h_l!'KR"</f>
        <v>#VALUE!</v>
      </c>
      <c r="BD137" t="e">
        <f>'Compiled Agents'!A380+"h_l!'KS"</f>
        <v>#VALUE!</v>
      </c>
      <c r="BE137" t="e">
        <f>'Compiled Agents'!B380+"h_l!'KT"</f>
        <v>#VALUE!</v>
      </c>
      <c r="BF137" t="e">
        <f>'Compiled Agents'!C380+"h_l!'KU"</f>
        <v>#VALUE!</v>
      </c>
      <c r="BG137" t="e">
        <f>'Compiled Agents'!E380+"h_l!'KV"</f>
        <v>#VALUE!</v>
      </c>
      <c r="BH137" t="e">
        <f>'Compiled Agents'!F380+"h_l!'KW"</f>
        <v>#VALUE!</v>
      </c>
      <c r="BI137" t="e">
        <f>'Compiled Agents'!G380+"h_l!'KX"</f>
        <v>#VALUE!</v>
      </c>
      <c r="BJ137" t="e">
        <f>'Compiled Agents'!H380+"h_l!'KY"</f>
        <v>#VALUE!</v>
      </c>
      <c r="BK137" t="e">
        <f>'Compiled Agents'!A381+"h_l!'KZ"</f>
        <v>#VALUE!</v>
      </c>
      <c r="BL137" t="e">
        <f>'Compiled Agents'!B381+"h_l!'K["</f>
        <v>#VALUE!</v>
      </c>
      <c r="BM137" t="e">
        <f>'Compiled Agents'!C381+"h_l!'K\"</f>
        <v>#VALUE!</v>
      </c>
      <c r="BN137" t="e">
        <f>'Compiled Agents'!E381+"h_l!'K]"</f>
        <v>#VALUE!</v>
      </c>
      <c r="BO137" t="e">
        <f>'Compiled Agents'!F381+"h_l!'K^"</f>
        <v>#VALUE!</v>
      </c>
      <c r="BP137" t="e">
        <f>'Compiled Agents'!G381+"h_l!'K_"</f>
        <v>#VALUE!</v>
      </c>
      <c r="BQ137" t="e">
        <f>'Compiled Agents'!H381+"h_l!'K`"</f>
        <v>#VALUE!</v>
      </c>
      <c r="BR137" t="e">
        <f>'Compiled Agents'!A382+"h_l!'Ka"</f>
        <v>#VALUE!</v>
      </c>
      <c r="BS137" t="e">
        <f>'Compiled Agents'!B382+"h_l!'Kb"</f>
        <v>#VALUE!</v>
      </c>
      <c r="BT137" t="e">
        <f>'Compiled Agents'!C382+"h_l!'Kc"</f>
        <v>#VALUE!</v>
      </c>
      <c r="BU137" t="e">
        <f>'Compiled Agents'!E382+"h_l!'Kd"</f>
        <v>#VALUE!</v>
      </c>
      <c r="BV137" t="e">
        <f>'Compiled Agents'!F382+"h_l!'Ke"</f>
        <v>#VALUE!</v>
      </c>
      <c r="BW137" t="e">
        <f>'Compiled Agents'!G382+"h_l!'Kf"</f>
        <v>#VALUE!</v>
      </c>
      <c r="BX137" t="e">
        <f>'Compiled Agents'!H382+"h_l!'Kg"</f>
        <v>#VALUE!</v>
      </c>
      <c r="BY137" t="e">
        <f>'Compiled Agents'!A383+"h_l!'Kh"</f>
        <v>#VALUE!</v>
      </c>
      <c r="BZ137" t="e">
        <f>'Compiled Agents'!B383+"h_l!'Ki"</f>
        <v>#VALUE!</v>
      </c>
      <c r="CA137" t="e">
        <f>'Compiled Agents'!C383+"h_l!'Kj"</f>
        <v>#VALUE!</v>
      </c>
      <c r="CB137" t="e">
        <f>'Compiled Agents'!E383+"h_l!'Kk"</f>
        <v>#VALUE!</v>
      </c>
      <c r="CC137" t="e">
        <f>'Compiled Agents'!F383+"h_l!'Kl"</f>
        <v>#VALUE!</v>
      </c>
      <c r="CD137" t="e">
        <f>'Compiled Agents'!G383+"h_l!'Km"</f>
        <v>#VALUE!</v>
      </c>
      <c r="CE137" t="e">
        <f>'Compiled Agents'!H383+"h_l!'Kn"</f>
        <v>#VALUE!</v>
      </c>
      <c r="CF137" t="e">
        <f>'Compiled Agents'!A384+"h_l!'Ko"</f>
        <v>#VALUE!</v>
      </c>
      <c r="CG137" t="e">
        <f>'Compiled Agents'!B384+"h_l!'Kp"</f>
        <v>#VALUE!</v>
      </c>
      <c r="CH137" t="e">
        <f>'Compiled Agents'!C384+"h_l!'Kq"</f>
        <v>#VALUE!</v>
      </c>
      <c r="CI137" t="e">
        <f>'Compiled Agents'!E384+"h_l!'Kr"</f>
        <v>#VALUE!</v>
      </c>
      <c r="CJ137" t="e">
        <f>'Compiled Agents'!F384+"h_l!'Ks"</f>
        <v>#VALUE!</v>
      </c>
      <c r="CK137" t="e">
        <f>'Compiled Agents'!G384+"h_l!'Kt"</f>
        <v>#VALUE!</v>
      </c>
      <c r="CL137" t="e">
        <f>'Compiled Agents'!H384+"h_l!'Ku"</f>
        <v>#VALUE!</v>
      </c>
      <c r="CM137" t="e">
        <f>'Compiled Agents'!A385+"h_l!'Kv"</f>
        <v>#VALUE!</v>
      </c>
      <c r="CN137" t="e">
        <f>'Compiled Agents'!B385+"h_l!'Kw"</f>
        <v>#VALUE!</v>
      </c>
      <c r="CO137" t="e">
        <f>'Compiled Agents'!C385+"h_l!'Kx"</f>
        <v>#VALUE!</v>
      </c>
      <c r="CP137" t="e">
        <f>'Compiled Agents'!E385+"h_l!'Ky"</f>
        <v>#VALUE!</v>
      </c>
      <c r="CQ137" t="e">
        <f>'Compiled Agents'!F385+"h_l!'Kz"</f>
        <v>#VALUE!</v>
      </c>
      <c r="CR137" t="e">
        <f>'Compiled Agents'!G385+"h_l!'K{"</f>
        <v>#VALUE!</v>
      </c>
      <c r="CS137" t="e">
        <f>'Compiled Agents'!H385+"h_l!'K|"</f>
        <v>#VALUE!</v>
      </c>
      <c r="CT137" t="e">
        <f>'Compiled Agents'!A386+"h_l!'K}"</f>
        <v>#VALUE!</v>
      </c>
      <c r="CU137" t="e">
        <f>'Compiled Agents'!B386+"h_l!'K~"</f>
        <v>#VALUE!</v>
      </c>
      <c r="CV137" t="e">
        <f>'Compiled Agents'!C386+"h_l!'L#"</f>
        <v>#VALUE!</v>
      </c>
      <c r="CW137" t="e">
        <f>'Compiled Agents'!E386+"h_l!'L$"</f>
        <v>#VALUE!</v>
      </c>
      <c r="CX137" t="e">
        <f>'Compiled Agents'!F386+"h_l!'L%"</f>
        <v>#VALUE!</v>
      </c>
      <c r="CY137" t="e">
        <f>'Compiled Agents'!G386+"h_l!'L&amp;"</f>
        <v>#VALUE!</v>
      </c>
      <c r="CZ137" t="e">
        <f>'Compiled Agents'!H386+"h_l!'L'"</f>
        <v>#VALUE!</v>
      </c>
      <c r="DA137" t="e">
        <f>'Compiled Agents'!A387+"h_l!'L("</f>
        <v>#VALUE!</v>
      </c>
      <c r="DB137" t="e">
        <f>'Compiled Agents'!B387+"h_l!'L)"</f>
        <v>#VALUE!</v>
      </c>
      <c r="DC137" t="e">
        <f>'Compiled Agents'!C387+"h_l!'L."</f>
        <v>#VALUE!</v>
      </c>
      <c r="DD137" t="e">
        <f>'Compiled Agents'!E387+"h_l!'L/"</f>
        <v>#VALUE!</v>
      </c>
      <c r="DE137" t="e">
        <f>'Compiled Agents'!F387+"h_l!'L0"</f>
        <v>#VALUE!</v>
      </c>
      <c r="DF137" t="e">
        <f>'Compiled Agents'!G387+"h_l!'L1"</f>
        <v>#VALUE!</v>
      </c>
      <c r="DG137" t="e">
        <f>'Compiled Agents'!H387+"h_l!'L2"</f>
        <v>#VALUE!</v>
      </c>
      <c r="DH137" t="e">
        <f>'Compiled Agents'!A388+"h_l!'L3"</f>
        <v>#VALUE!</v>
      </c>
      <c r="DI137" t="e">
        <f>'Compiled Agents'!B388+"h_l!'L4"</f>
        <v>#VALUE!</v>
      </c>
      <c r="DJ137" t="e">
        <f>'Compiled Agents'!C388+"h_l!'L5"</f>
        <v>#VALUE!</v>
      </c>
      <c r="DK137" t="e">
        <f>'Compiled Agents'!E388+"h_l!'L6"</f>
        <v>#VALUE!</v>
      </c>
      <c r="DL137" t="e">
        <f>'Compiled Agents'!F388+"h_l!'L7"</f>
        <v>#VALUE!</v>
      </c>
      <c r="DM137" t="e">
        <f>'Compiled Agents'!G388+"h_l!'L8"</f>
        <v>#VALUE!</v>
      </c>
      <c r="DN137" t="e">
        <f>'Compiled Agents'!H388+"h_l!'L9"</f>
        <v>#VALUE!</v>
      </c>
      <c r="DO137" t="e">
        <f>'Compiled Agents'!A389+"h_l!'L:"</f>
        <v>#VALUE!</v>
      </c>
      <c r="DP137" t="e">
        <f>'Compiled Agents'!B389+"h_l!'L;"</f>
        <v>#VALUE!</v>
      </c>
      <c r="DQ137" t="e">
        <f>'Compiled Agents'!C389+"h_l!'L&lt;"</f>
        <v>#VALUE!</v>
      </c>
      <c r="DR137" t="e">
        <f>'Compiled Agents'!E389+"h_l!'L="</f>
        <v>#VALUE!</v>
      </c>
      <c r="DS137" t="e">
        <f>'Compiled Agents'!F389+"h_l!'L&gt;"</f>
        <v>#VALUE!</v>
      </c>
      <c r="DT137" t="e">
        <f>'Compiled Agents'!G389+"h_l!'L?"</f>
        <v>#VALUE!</v>
      </c>
      <c r="DU137" t="e">
        <f>'Compiled Agents'!H389+"h_l!'L@"</f>
        <v>#VALUE!</v>
      </c>
      <c r="DV137" t="e">
        <f>'Compiled Agents'!A390+"h_l!'LA"</f>
        <v>#VALUE!</v>
      </c>
      <c r="DW137" t="e">
        <f>'Compiled Agents'!B390+"h_l!'LB"</f>
        <v>#VALUE!</v>
      </c>
      <c r="DX137" t="e">
        <f>'Compiled Agents'!C390+"h_l!'LC"</f>
        <v>#VALUE!</v>
      </c>
      <c r="DY137" t="e">
        <f>'Compiled Agents'!E390+"h_l!'LD"</f>
        <v>#VALUE!</v>
      </c>
      <c r="DZ137" t="e">
        <f>'Compiled Agents'!F390+"h_l!'LE"</f>
        <v>#VALUE!</v>
      </c>
      <c r="EA137" t="e">
        <f>'Compiled Agents'!G390+"h_l!'LF"</f>
        <v>#VALUE!</v>
      </c>
      <c r="EB137" t="e">
        <f>'Compiled Agents'!H390+"h_l!'LG"</f>
        <v>#VALUE!</v>
      </c>
      <c r="EC137" t="e">
        <f>'Compiled Agents'!A391+"h_l!'LH"</f>
        <v>#VALUE!</v>
      </c>
      <c r="ED137" t="e">
        <f>'Compiled Agents'!B391+"h_l!'LI"</f>
        <v>#VALUE!</v>
      </c>
      <c r="EE137" t="e">
        <f>'Compiled Agents'!C391+"h_l!'LJ"</f>
        <v>#VALUE!</v>
      </c>
      <c r="EF137" t="e">
        <f>'Compiled Agents'!E391+"h_l!'LK"</f>
        <v>#VALUE!</v>
      </c>
      <c r="EG137" t="e">
        <f>'Compiled Agents'!F391+"h_l!'LL"</f>
        <v>#VALUE!</v>
      </c>
      <c r="EH137" t="e">
        <f>'Compiled Agents'!G391+"h_l!'LM"</f>
        <v>#VALUE!</v>
      </c>
      <c r="EI137" t="e">
        <f>'Compiled Agents'!H391+"h_l!'LN"</f>
        <v>#VALUE!</v>
      </c>
      <c r="EJ137" t="e">
        <f>'Compiled Agents'!A392+"h_l!'LO"</f>
        <v>#VALUE!</v>
      </c>
      <c r="EK137" t="e">
        <f>'Compiled Agents'!B392+"h_l!'LP"</f>
        <v>#VALUE!</v>
      </c>
      <c r="EL137" t="e">
        <f>'Compiled Agents'!C392+"h_l!'LQ"</f>
        <v>#VALUE!</v>
      </c>
      <c r="EM137" t="e">
        <f>'Compiled Agents'!E392+"h_l!'LR"</f>
        <v>#VALUE!</v>
      </c>
      <c r="EN137" t="e">
        <f>'Compiled Agents'!F392+"h_l!'LS"</f>
        <v>#VALUE!</v>
      </c>
      <c r="EO137" t="e">
        <f>'Compiled Agents'!G392+"h_l!'LT"</f>
        <v>#VALUE!</v>
      </c>
      <c r="EP137" t="e">
        <f>'Compiled Agents'!H392+"h_l!'LU"</f>
        <v>#VALUE!</v>
      </c>
      <c r="EQ137" t="e">
        <f>'Compiled Agents'!A393+"h_l!'LV"</f>
        <v>#VALUE!</v>
      </c>
      <c r="ER137" t="e">
        <f>'Compiled Agents'!B393+"h_l!'LW"</f>
        <v>#VALUE!</v>
      </c>
      <c r="ES137" t="e">
        <f>'Compiled Agents'!C393+"h_l!'LX"</f>
        <v>#VALUE!</v>
      </c>
      <c r="ET137" t="e">
        <f>'Compiled Agents'!E393+"h_l!'LY"</f>
        <v>#VALUE!</v>
      </c>
      <c r="EU137" t="e">
        <f>'Compiled Agents'!F393+"h_l!'LZ"</f>
        <v>#VALUE!</v>
      </c>
      <c r="EV137" t="e">
        <f>'Compiled Agents'!G393+"h_l!'L["</f>
        <v>#VALUE!</v>
      </c>
      <c r="EW137" t="e">
        <f>'Compiled Agents'!H393+"h_l!'L\"</f>
        <v>#VALUE!</v>
      </c>
      <c r="EX137" t="e">
        <f>'Compiled Agents'!A394+"h_l!'L]"</f>
        <v>#VALUE!</v>
      </c>
      <c r="EY137" t="e">
        <f>'Compiled Agents'!B394+"h_l!'L^"</f>
        <v>#VALUE!</v>
      </c>
      <c r="EZ137" t="e">
        <f>'Compiled Agents'!C394+"h_l!'L_"</f>
        <v>#VALUE!</v>
      </c>
      <c r="FA137" t="e">
        <f>'Compiled Agents'!E394+"h_l!'L`"</f>
        <v>#VALUE!</v>
      </c>
      <c r="FB137" t="e">
        <f>'Compiled Agents'!F394+"h_l!'La"</f>
        <v>#VALUE!</v>
      </c>
      <c r="FC137" t="e">
        <f>'Compiled Agents'!G394+"h_l!'Lb"</f>
        <v>#VALUE!</v>
      </c>
      <c r="FD137" t="e">
        <f>'Compiled Agents'!H394+"h_l!'Lc"</f>
        <v>#VALUE!</v>
      </c>
      <c r="FE137" t="e">
        <f>'Compiled Agents'!A395+"h_l!'Ld"</f>
        <v>#VALUE!</v>
      </c>
      <c r="FF137" t="e">
        <f>'Compiled Agents'!B395+"h_l!'Le"</f>
        <v>#VALUE!</v>
      </c>
      <c r="FG137" t="e">
        <f>'Compiled Agents'!C395+"h_l!'Lf"</f>
        <v>#VALUE!</v>
      </c>
      <c r="FH137" t="e">
        <f>'Compiled Agents'!E395+"h_l!'Lg"</f>
        <v>#VALUE!</v>
      </c>
      <c r="FI137" t="e">
        <f>'Compiled Agents'!F395+"h_l!'Lh"</f>
        <v>#VALUE!</v>
      </c>
      <c r="FJ137" t="e">
        <f>'Compiled Agents'!G395+"h_l!'Li"</f>
        <v>#VALUE!</v>
      </c>
      <c r="FK137" t="e">
        <f>'Compiled Agents'!H395+"h_l!'Lj"</f>
        <v>#VALUE!</v>
      </c>
      <c r="FL137" t="e">
        <f>'Compiled Agents'!A396+"h_l!'Lk"</f>
        <v>#VALUE!</v>
      </c>
      <c r="FM137" t="e">
        <f>'Compiled Agents'!B396+"h_l!'Ll"</f>
        <v>#VALUE!</v>
      </c>
      <c r="FN137" t="e">
        <f>'Compiled Agents'!C396+"h_l!'Lm"</f>
        <v>#VALUE!</v>
      </c>
      <c r="FO137" t="e">
        <f>'Compiled Agents'!E396+"h_l!'Ln"</f>
        <v>#VALUE!</v>
      </c>
      <c r="FP137" t="e">
        <f>'Compiled Agents'!F396+"h_l!'Lo"</f>
        <v>#VALUE!</v>
      </c>
      <c r="FQ137" t="e">
        <f>'Compiled Agents'!G396+"h_l!'Lp"</f>
        <v>#VALUE!</v>
      </c>
      <c r="FR137" t="e">
        <f>'Compiled Agents'!H396+"h_l!'Lq"</f>
        <v>#VALUE!</v>
      </c>
      <c r="FS137" t="e">
        <f>'Compiled Agents'!A397+"h_l!'Lr"</f>
        <v>#VALUE!</v>
      </c>
      <c r="FT137" t="e">
        <f>'Compiled Agents'!B397+"h_l!'Ls"</f>
        <v>#VALUE!</v>
      </c>
      <c r="FU137" t="e">
        <f>'Compiled Agents'!C397+"h_l!'Lt"</f>
        <v>#VALUE!</v>
      </c>
      <c r="FV137" t="e">
        <f>'Compiled Agents'!E397+"h_l!'Lu"</f>
        <v>#VALUE!</v>
      </c>
      <c r="FW137" t="e">
        <f>'Compiled Agents'!F397+"h_l!'Lv"</f>
        <v>#VALUE!</v>
      </c>
      <c r="FX137" t="e">
        <f>'Compiled Agents'!G397+"h_l!'Lw"</f>
        <v>#VALUE!</v>
      </c>
      <c r="FY137" t="e">
        <f>'Compiled Agents'!H397+"h_l!'Lx"</f>
        <v>#VALUE!</v>
      </c>
      <c r="FZ137" t="e">
        <f>'Compiled Agents'!A398+"h_l!'Ly"</f>
        <v>#VALUE!</v>
      </c>
      <c r="GA137" t="e">
        <f>'Compiled Agents'!B398+"h_l!'Lz"</f>
        <v>#VALUE!</v>
      </c>
      <c r="GB137" t="e">
        <f>'Compiled Agents'!C398+"h_l!'L{"</f>
        <v>#VALUE!</v>
      </c>
      <c r="GC137" t="e">
        <f>'Compiled Agents'!E398+"h_l!'L|"</f>
        <v>#VALUE!</v>
      </c>
      <c r="GD137" t="e">
        <f>'Compiled Agents'!F398+"h_l!'L}"</f>
        <v>#VALUE!</v>
      </c>
      <c r="GE137" t="e">
        <f>'Compiled Agents'!G398+"h_l!'L~"</f>
        <v>#VALUE!</v>
      </c>
      <c r="GF137" t="e">
        <f>'Compiled Agents'!H398+"h_l!'M#"</f>
        <v>#VALUE!</v>
      </c>
      <c r="GG137" t="e">
        <f>'Compiled Agents'!A399+"h_l!'M$"</f>
        <v>#VALUE!</v>
      </c>
      <c r="GH137" t="e">
        <f>'Compiled Agents'!B399+"h_l!'M%"</f>
        <v>#VALUE!</v>
      </c>
      <c r="GI137" t="e">
        <f>'Compiled Agents'!C399+"h_l!'M&amp;"</f>
        <v>#VALUE!</v>
      </c>
      <c r="GJ137" t="e">
        <f>'Compiled Agents'!E399+"h_l!'M'"</f>
        <v>#VALUE!</v>
      </c>
      <c r="GK137" t="e">
        <f>'Compiled Agents'!F399+"h_l!'M("</f>
        <v>#VALUE!</v>
      </c>
      <c r="GL137" t="e">
        <f>'Compiled Agents'!G399+"h_l!'M)"</f>
        <v>#VALUE!</v>
      </c>
      <c r="GM137" t="e">
        <f>'Compiled Agents'!H399+"h_l!'M."</f>
        <v>#VALUE!</v>
      </c>
      <c r="GN137" t="e">
        <f>'Compiled Agents'!A400+"h_l!'M/"</f>
        <v>#VALUE!</v>
      </c>
      <c r="GO137" t="e">
        <f>'Compiled Agents'!B400+"h_l!'M0"</f>
        <v>#VALUE!</v>
      </c>
      <c r="GP137" t="e">
        <f>'Compiled Agents'!C400+"h_l!'M1"</f>
        <v>#VALUE!</v>
      </c>
      <c r="GQ137" t="e">
        <f>'Compiled Agents'!E400+"h_l!'M2"</f>
        <v>#VALUE!</v>
      </c>
      <c r="GR137" t="e">
        <f>'Compiled Agents'!F400+"h_l!'M3"</f>
        <v>#VALUE!</v>
      </c>
      <c r="GS137" t="e">
        <f>'Compiled Agents'!G400+"h_l!'M4"</f>
        <v>#VALUE!</v>
      </c>
      <c r="GT137" t="e">
        <f>'Compiled Agents'!H400+"h_l!'M5"</f>
        <v>#VALUE!</v>
      </c>
      <c r="GU137" t="e">
        <f>'Compiled Agents'!A401+"h_l!'M6"</f>
        <v>#VALUE!</v>
      </c>
      <c r="GV137" t="e">
        <f>'Compiled Agents'!B401+"h_l!'M7"</f>
        <v>#VALUE!</v>
      </c>
      <c r="GW137" t="e">
        <f>'Compiled Agents'!C401+"h_l!'M8"</f>
        <v>#VALUE!</v>
      </c>
      <c r="GX137" t="e">
        <f>'Compiled Agents'!E401+"h_l!'M9"</f>
        <v>#VALUE!</v>
      </c>
      <c r="GY137" t="e">
        <f>'Compiled Agents'!F401+"h_l!'M:"</f>
        <v>#VALUE!</v>
      </c>
      <c r="GZ137" t="e">
        <f>'Compiled Agents'!G401+"h_l!'M;"</f>
        <v>#VALUE!</v>
      </c>
      <c r="HA137" t="e">
        <f>'Compiled Agents'!H401+"h_l!'M&lt;"</f>
        <v>#VALUE!</v>
      </c>
      <c r="HB137" t="e">
        <f>'Compiled Agents'!A402+"h_l!'M="</f>
        <v>#VALUE!</v>
      </c>
      <c r="HC137" t="e">
        <f>'Compiled Agents'!B402+"h_l!'M&gt;"</f>
        <v>#VALUE!</v>
      </c>
      <c r="HD137" t="e">
        <f>'Compiled Agents'!C402+"h_l!'M?"</f>
        <v>#VALUE!</v>
      </c>
      <c r="HE137" t="e">
        <f>'Compiled Agents'!E402+"h_l!'M@"</f>
        <v>#VALUE!</v>
      </c>
      <c r="HF137" t="e">
        <f>'Compiled Agents'!F402+"h_l!'MA"</f>
        <v>#VALUE!</v>
      </c>
      <c r="HG137" t="e">
        <f>'Compiled Agents'!G402+"h_l!'MB"</f>
        <v>#VALUE!</v>
      </c>
      <c r="HH137" t="e">
        <f>'Compiled Agents'!H402+"h_l!'MC"</f>
        <v>#VALUE!</v>
      </c>
      <c r="HI137" t="e">
        <f>'Compiled Agents'!A403+"h_l!'MD"</f>
        <v>#VALUE!</v>
      </c>
      <c r="HJ137" t="e">
        <f>'Compiled Agents'!B403+"h_l!'ME"</f>
        <v>#VALUE!</v>
      </c>
      <c r="HK137" t="e">
        <f>'Compiled Agents'!C403+"h_l!'MF"</f>
        <v>#VALUE!</v>
      </c>
      <c r="HL137" t="e">
        <f>'Compiled Agents'!E403+"h_l!'MG"</f>
        <v>#VALUE!</v>
      </c>
      <c r="HM137" t="e">
        <f>'Compiled Agents'!F403+"h_l!'MH"</f>
        <v>#VALUE!</v>
      </c>
      <c r="HN137" t="e">
        <f>'Compiled Agents'!G403+"h_l!'MI"</f>
        <v>#VALUE!</v>
      </c>
      <c r="HO137" t="e">
        <f>'Compiled Agents'!H403+"h_l!'MJ"</f>
        <v>#VALUE!</v>
      </c>
      <c r="HP137" t="e">
        <f>'Compiled Agents'!A404+"h_l!'MK"</f>
        <v>#VALUE!</v>
      </c>
      <c r="HQ137" t="e">
        <f>'Compiled Agents'!B404+"h_l!'ML"</f>
        <v>#VALUE!</v>
      </c>
      <c r="HR137" t="e">
        <f>'Compiled Agents'!C404+"h_l!'MM"</f>
        <v>#VALUE!</v>
      </c>
      <c r="HS137" t="e">
        <f>'Compiled Agents'!E404+"h_l!'MN"</f>
        <v>#VALUE!</v>
      </c>
      <c r="HT137" t="e">
        <f>'Compiled Agents'!F404+"h_l!'MO"</f>
        <v>#VALUE!</v>
      </c>
      <c r="HU137" t="e">
        <f>'Compiled Agents'!G404+"h_l!'MP"</f>
        <v>#VALUE!</v>
      </c>
      <c r="HV137" t="e">
        <f>'Compiled Agents'!H404+"h_l!'MQ"</f>
        <v>#VALUE!</v>
      </c>
      <c r="HW137" t="e">
        <f>'Compiled Agents'!A405+"h_l!'MR"</f>
        <v>#VALUE!</v>
      </c>
      <c r="HX137" t="e">
        <f>'Compiled Agents'!B405+"h_l!'MS"</f>
        <v>#VALUE!</v>
      </c>
      <c r="HY137" t="e">
        <f>'Compiled Agents'!C405+"h_l!'MT"</f>
        <v>#VALUE!</v>
      </c>
      <c r="HZ137" t="e">
        <f>'Compiled Agents'!E405+"h_l!'MU"</f>
        <v>#VALUE!</v>
      </c>
      <c r="IA137" t="e">
        <f>'Compiled Agents'!F405+"h_l!'MV"</f>
        <v>#VALUE!</v>
      </c>
      <c r="IB137" t="e">
        <f>'Compiled Agents'!G405+"h_l!'MW"</f>
        <v>#VALUE!</v>
      </c>
      <c r="IC137" t="e">
        <f>'Compiled Agents'!H405+"h_l!'MX"</f>
        <v>#VALUE!</v>
      </c>
      <c r="ID137" t="e">
        <f>'Compiled Agents'!A406+"h_l!'MY"</f>
        <v>#VALUE!</v>
      </c>
      <c r="IE137" t="e">
        <f>'Compiled Agents'!B406+"h_l!'MZ"</f>
        <v>#VALUE!</v>
      </c>
      <c r="IF137" t="e">
        <f>'Compiled Agents'!C406+"h_l!'M["</f>
        <v>#VALUE!</v>
      </c>
      <c r="IG137" t="e">
        <f>'Compiled Agents'!E406+"h_l!'M\"</f>
        <v>#VALUE!</v>
      </c>
      <c r="IH137" t="e">
        <f>'Compiled Agents'!F406+"h_l!'M]"</f>
        <v>#VALUE!</v>
      </c>
      <c r="II137" t="e">
        <f>'Compiled Agents'!G406+"h_l!'M^"</f>
        <v>#VALUE!</v>
      </c>
      <c r="IJ137" t="e">
        <f>'Compiled Agents'!H406+"h_l!'M_"</f>
        <v>#VALUE!</v>
      </c>
      <c r="IK137" t="e">
        <f>'Compiled Agents'!A407+"h_l!'M`"</f>
        <v>#VALUE!</v>
      </c>
      <c r="IL137" t="e">
        <f>'Compiled Agents'!B407+"h_l!'Ma"</f>
        <v>#VALUE!</v>
      </c>
      <c r="IM137" t="e">
        <f>'Compiled Agents'!C407+"h_l!'Mb"</f>
        <v>#VALUE!</v>
      </c>
      <c r="IN137" t="e">
        <f>'Compiled Agents'!E407+"h_l!'Mc"</f>
        <v>#VALUE!</v>
      </c>
      <c r="IO137" t="e">
        <f>'Compiled Agents'!F407+"h_l!'Md"</f>
        <v>#VALUE!</v>
      </c>
      <c r="IP137" t="e">
        <f>'Compiled Agents'!G407+"h_l!'Me"</f>
        <v>#VALUE!</v>
      </c>
      <c r="IQ137" t="e">
        <f>'Compiled Agents'!H407+"h_l!'Mf"</f>
        <v>#VALUE!</v>
      </c>
      <c r="IR137" t="e">
        <f>'Compiled Agents'!A408+"h_l!'Mg"</f>
        <v>#VALUE!</v>
      </c>
      <c r="IS137" t="e">
        <f>'Compiled Agents'!B408+"h_l!'Mh"</f>
        <v>#VALUE!</v>
      </c>
      <c r="IT137" t="e">
        <f>'Compiled Agents'!C408+"h_l!'Mi"</f>
        <v>#VALUE!</v>
      </c>
      <c r="IU137" t="e">
        <f>'Compiled Agents'!E408+"h_l!'Mj"</f>
        <v>#VALUE!</v>
      </c>
      <c r="IV137" t="e">
        <f>'Compiled Agents'!F408+"h_l!'Mk"</f>
        <v>#VALUE!</v>
      </c>
    </row>
    <row r="138" spans="6:256" x14ac:dyDescent="0.25">
      <c r="F138" t="e">
        <f>'Compiled Agents'!G408+"h_l!'Ml"</f>
        <v>#VALUE!</v>
      </c>
      <c r="G138" t="e">
        <f>'Compiled Agents'!H408+"h_l!'Mm"</f>
        <v>#VALUE!</v>
      </c>
      <c r="H138" t="e">
        <f>'Compiled Agents'!A409+"h_l!'Mn"</f>
        <v>#VALUE!</v>
      </c>
      <c r="I138" t="e">
        <f>'Compiled Agents'!B409+"h_l!'Mo"</f>
        <v>#VALUE!</v>
      </c>
      <c r="J138" t="e">
        <f>'Compiled Agents'!C409+"h_l!'Mp"</f>
        <v>#VALUE!</v>
      </c>
      <c r="K138" t="e">
        <f>'Compiled Agents'!E409+"h_l!'Mq"</f>
        <v>#VALUE!</v>
      </c>
      <c r="L138" t="e">
        <f>'Compiled Agents'!F409+"h_l!'Mr"</f>
        <v>#VALUE!</v>
      </c>
      <c r="M138" t="e">
        <f>'Compiled Agents'!G409+"h_l!'Ms"</f>
        <v>#VALUE!</v>
      </c>
      <c r="N138" t="e">
        <f>'Compiled Agents'!H409+"h_l!'Mt"</f>
        <v>#VALUE!</v>
      </c>
      <c r="O138" t="e">
        <f>'Compiled Agents'!A410+"h_l!'Mu"</f>
        <v>#VALUE!</v>
      </c>
      <c r="P138" t="e">
        <f>'Compiled Agents'!B410+"h_l!'Mv"</f>
        <v>#VALUE!</v>
      </c>
      <c r="Q138" t="e">
        <f>'Compiled Agents'!C410+"h_l!'Mw"</f>
        <v>#VALUE!</v>
      </c>
      <c r="R138" t="e">
        <f>'Compiled Agents'!E410+"h_l!'Mx"</f>
        <v>#VALUE!</v>
      </c>
      <c r="S138" t="e">
        <f>'Compiled Agents'!F410+"h_l!'My"</f>
        <v>#VALUE!</v>
      </c>
      <c r="T138" t="e">
        <f>'Compiled Agents'!G410+"h_l!'Mz"</f>
        <v>#VALUE!</v>
      </c>
      <c r="U138" t="e">
        <f>'Compiled Agents'!H410+"h_l!'M{"</f>
        <v>#VALUE!</v>
      </c>
      <c r="V138" t="e">
        <f>'Compiled Agents'!A411+"h_l!'M|"</f>
        <v>#VALUE!</v>
      </c>
      <c r="W138" t="e">
        <f>'Compiled Agents'!B411+"h_l!'M}"</f>
        <v>#VALUE!</v>
      </c>
      <c r="X138" t="e">
        <f>'Compiled Agents'!C411+"h_l!'M~"</f>
        <v>#VALUE!</v>
      </c>
      <c r="Y138" t="e">
        <f>'Compiled Agents'!E411+"h_l!'N#"</f>
        <v>#VALUE!</v>
      </c>
      <c r="Z138" t="e">
        <f>'Compiled Agents'!F411+"h_l!'N$"</f>
        <v>#VALUE!</v>
      </c>
      <c r="AA138" t="e">
        <f>'Compiled Agents'!G411+"h_l!'N%"</f>
        <v>#VALUE!</v>
      </c>
      <c r="AB138" t="e">
        <f>'Compiled Agents'!H411+"h_l!'N&amp;"</f>
        <v>#VALUE!</v>
      </c>
      <c r="AC138" t="e">
        <f>'Compiled Agents'!A412+"h_l!'N'"</f>
        <v>#VALUE!</v>
      </c>
      <c r="AD138" t="e">
        <f>'Compiled Agents'!B412+"h_l!'N("</f>
        <v>#VALUE!</v>
      </c>
      <c r="AE138" t="e">
        <f>'Compiled Agents'!C412+"h_l!'N)"</f>
        <v>#VALUE!</v>
      </c>
      <c r="AF138" t="e">
        <f>'Compiled Agents'!E412+"h_l!'N."</f>
        <v>#VALUE!</v>
      </c>
      <c r="AG138" t="e">
        <f>'Compiled Agents'!F412+"h_l!'N/"</f>
        <v>#VALUE!</v>
      </c>
      <c r="AH138" t="e">
        <f>'Compiled Agents'!G412+"h_l!'N0"</f>
        <v>#VALUE!</v>
      </c>
      <c r="AI138" t="e">
        <f>'Compiled Agents'!H412+"h_l!'N1"</f>
        <v>#VALUE!</v>
      </c>
      <c r="AJ138" t="e">
        <f>'Compiled Agents'!A413+"h_l!'N2"</f>
        <v>#VALUE!</v>
      </c>
      <c r="AK138" t="e">
        <f>'Compiled Agents'!B413+"h_l!'N3"</f>
        <v>#VALUE!</v>
      </c>
      <c r="AL138" t="e">
        <f>'Compiled Agents'!C413+"h_l!'N4"</f>
        <v>#VALUE!</v>
      </c>
      <c r="AM138" t="e">
        <f>'Compiled Agents'!E413+"h_l!'N5"</f>
        <v>#VALUE!</v>
      </c>
      <c r="AN138" t="e">
        <f>'Compiled Agents'!F413+"h_l!'N6"</f>
        <v>#VALUE!</v>
      </c>
      <c r="AO138" t="e">
        <f>'Compiled Agents'!G413+"h_l!'N7"</f>
        <v>#VALUE!</v>
      </c>
      <c r="AP138" t="e">
        <f>'Compiled Agents'!H413+"h_l!'N8"</f>
        <v>#VALUE!</v>
      </c>
      <c r="AQ138" t="e">
        <f>'Compiled Agents'!A414+"h_l!'N9"</f>
        <v>#VALUE!</v>
      </c>
      <c r="AR138" t="e">
        <f>'Compiled Agents'!B414+"h_l!'N:"</f>
        <v>#VALUE!</v>
      </c>
      <c r="AS138" t="e">
        <f>'Compiled Agents'!C414+"h_l!'N;"</f>
        <v>#VALUE!</v>
      </c>
      <c r="AT138" t="e">
        <f>'Compiled Agents'!E414+"h_l!'N&lt;"</f>
        <v>#VALUE!</v>
      </c>
      <c r="AU138" t="e">
        <f>'Compiled Agents'!F414+"h_l!'N="</f>
        <v>#VALUE!</v>
      </c>
      <c r="AV138" t="e">
        <f>'Compiled Agents'!G414+"h_l!'N&gt;"</f>
        <v>#VALUE!</v>
      </c>
      <c r="AW138" t="e">
        <f>'Compiled Agents'!H414+"h_l!'N?"</f>
        <v>#VALUE!</v>
      </c>
      <c r="AX138" t="e">
        <f>'Compiled Agents'!A415+"h_l!'N@"</f>
        <v>#VALUE!</v>
      </c>
      <c r="AY138" t="e">
        <f>'Compiled Agents'!B415+"h_l!'NA"</f>
        <v>#VALUE!</v>
      </c>
      <c r="AZ138" t="e">
        <f>'Compiled Agents'!C415+"h_l!'NB"</f>
        <v>#VALUE!</v>
      </c>
      <c r="BA138" t="e">
        <f>'Compiled Agents'!E415+"h_l!'NC"</f>
        <v>#VALUE!</v>
      </c>
      <c r="BB138" t="e">
        <f>'Compiled Agents'!F415+"h_l!'ND"</f>
        <v>#VALUE!</v>
      </c>
      <c r="BC138" t="e">
        <f>'Compiled Agents'!G415+"h_l!'NE"</f>
        <v>#VALUE!</v>
      </c>
      <c r="BD138" t="e">
        <f>'Compiled Agents'!H415+"h_l!'NF"</f>
        <v>#VALUE!</v>
      </c>
      <c r="BE138" t="e">
        <f>'Compiled Agents'!A416+"h_l!'NG"</f>
        <v>#VALUE!</v>
      </c>
      <c r="BF138" t="e">
        <f>'Compiled Agents'!B416+"h_l!'NH"</f>
        <v>#VALUE!</v>
      </c>
      <c r="BG138" t="e">
        <f>'Compiled Agents'!C416+"h_l!'NI"</f>
        <v>#VALUE!</v>
      </c>
      <c r="BH138" t="e">
        <f>'Compiled Agents'!E416+"h_l!'NJ"</f>
        <v>#VALUE!</v>
      </c>
      <c r="BI138" t="e">
        <f>'Compiled Agents'!F416+"h_l!'NK"</f>
        <v>#VALUE!</v>
      </c>
      <c r="BJ138" t="e">
        <f>'Compiled Agents'!G416+"h_l!'NL"</f>
        <v>#VALUE!</v>
      </c>
      <c r="BK138" t="e">
        <f>'Compiled Agents'!H416+"h_l!'NM"</f>
        <v>#VALUE!</v>
      </c>
      <c r="BL138" t="e">
        <f>'Compiled Agents'!A417+"h_l!'NN"</f>
        <v>#VALUE!</v>
      </c>
      <c r="BM138" t="e">
        <f>'Compiled Agents'!B417+"h_l!'NO"</f>
        <v>#VALUE!</v>
      </c>
      <c r="BN138" t="e">
        <f>'Compiled Agents'!C417+"h_l!'NP"</f>
        <v>#VALUE!</v>
      </c>
      <c r="BO138" t="e">
        <f>'Compiled Agents'!E417+"h_l!'NQ"</f>
        <v>#VALUE!</v>
      </c>
      <c r="BP138" t="e">
        <f>'Compiled Agents'!F417+"h_l!'NR"</f>
        <v>#VALUE!</v>
      </c>
      <c r="BQ138" t="e">
        <f>'Compiled Agents'!G417+"h_l!'NS"</f>
        <v>#VALUE!</v>
      </c>
      <c r="BR138" t="e">
        <f>'Compiled Agents'!H417+"h_l!'NT"</f>
        <v>#VALUE!</v>
      </c>
      <c r="BS138" t="e">
        <f>'Compiled Agents'!A418+"h_l!'NU"</f>
        <v>#VALUE!</v>
      </c>
      <c r="BT138" t="e">
        <f>'Compiled Agents'!B418+"h_l!'NV"</f>
        <v>#VALUE!</v>
      </c>
      <c r="BU138" t="e">
        <f>'Compiled Agents'!C418+"h_l!'NW"</f>
        <v>#VALUE!</v>
      </c>
      <c r="BV138" t="e">
        <f>'Compiled Agents'!E418+"h_l!'NX"</f>
        <v>#VALUE!</v>
      </c>
      <c r="BW138" t="e">
        <f>'Compiled Agents'!F418+"h_l!'NY"</f>
        <v>#VALUE!</v>
      </c>
      <c r="BX138" t="e">
        <f>'Compiled Agents'!G418+"h_l!'NZ"</f>
        <v>#VALUE!</v>
      </c>
      <c r="BY138" t="e">
        <f>'Compiled Agents'!H418+"h_l!'N["</f>
        <v>#VALUE!</v>
      </c>
      <c r="BZ138" t="e">
        <f>'Compiled Agents'!A419+"h_l!'N\"</f>
        <v>#VALUE!</v>
      </c>
      <c r="CA138" t="e">
        <f>'Compiled Agents'!B419+"h_l!'N]"</f>
        <v>#VALUE!</v>
      </c>
      <c r="CB138" t="e">
        <f>'Compiled Agents'!C419+"h_l!'N^"</f>
        <v>#VALUE!</v>
      </c>
      <c r="CC138" t="e">
        <f>'Compiled Agents'!E419+"h_l!'N_"</f>
        <v>#VALUE!</v>
      </c>
      <c r="CD138" t="e">
        <f>'Compiled Agents'!F419+"h_l!'N`"</f>
        <v>#VALUE!</v>
      </c>
      <c r="CE138" t="e">
        <f>'Compiled Agents'!G419+"h_l!'Na"</f>
        <v>#VALUE!</v>
      </c>
      <c r="CF138" t="e">
        <f>'Compiled Agents'!H419+"h_l!'Nb"</f>
        <v>#VALUE!</v>
      </c>
      <c r="CG138" t="e">
        <f>'Compiled Agents'!A420+"h_l!'Nc"</f>
        <v>#VALUE!</v>
      </c>
      <c r="CH138" t="e">
        <f>'Compiled Agents'!B420+"h_l!'Nd"</f>
        <v>#VALUE!</v>
      </c>
      <c r="CI138" t="e">
        <f>'Compiled Agents'!C420+"h_l!'Ne"</f>
        <v>#VALUE!</v>
      </c>
      <c r="CJ138" t="e">
        <f>'Compiled Agents'!E420+"h_l!'Nf"</f>
        <v>#VALUE!</v>
      </c>
      <c r="CK138" t="e">
        <f>'Compiled Agents'!F420+"h_l!'Ng"</f>
        <v>#VALUE!</v>
      </c>
      <c r="CL138" t="e">
        <f>'Compiled Agents'!G420+"h_l!'Nh"</f>
        <v>#VALUE!</v>
      </c>
      <c r="CM138" t="e">
        <f>'Compiled Agents'!H420+"h_l!'Ni"</f>
        <v>#VALUE!</v>
      </c>
      <c r="CN138" t="e">
        <f>'Compiled Agents'!A421+"h_l!'Nj"</f>
        <v>#VALUE!</v>
      </c>
      <c r="CO138" t="e">
        <f>'Compiled Agents'!B421+"h_l!'Nk"</f>
        <v>#VALUE!</v>
      </c>
      <c r="CP138" t="e">
        <f>'Compiled Agents'!C421+"h_l!'Nl"</f>
        <v>#VALUE!</v>
      </c>
      <c r="CQ138" t="e">
        <f>'Compiled Agents'!E421+"h_l!'Nm"</f>
        <v>#VALUE!</v>
      </c>
      <c r="CR138" t="e">
        <f>'Compiled Agents'!F421+"h_l!'Nn"</f>
        <v>#VALUE!</v>
      </c>
      <c r="CS138" t="e">
        <f>'Compiled Agents'!G421+"h_l!'No"</f>
        <v>#VALUE!</v>
      </c>
      <c r="CT138" t="e">
        <f>'Compiled Agents'!H421+"h_l!'Np"</f>
        <v>#VALUE!</v>
      </c>
      <c r="CU138" t="e">
        <f>'Compiled Agents'!A422+"h_l!'Nq"</f>
        <v>#VALUE!</v>
      </c>
      <c r="CV138" t="e">
        <f>'Compiled Agents'!B422+"h_l!'Nr"</f>
        <v>#VALUE!</v>
      </c>
      <c r="CW138" t="e">
        <f>'Compiled Agents'!C422+"h_l!'Ns"</f>
        <v>#VALUE!</v>
      </c>
      <c r="CX138" t="e">
        <f>'Compiled Agents'!E422+"h_l!'Nt"</f>
        <v>#VALUE!</v>
      </c>
      <c r="CY138" t="e">
        <f>'Compiled Agents'!F422+"h_l!'Nu"</f>
        <v>#VALUE!</v>
      </c>
      <c r="CZ138" t="e">
        <f>'Compiled Agents'!G422+"h_l!'Nv"</f>
        <v>#VALUE!</v>
      </c>
      <c r="DA138" t="e">
        <f>'Compiled Agents'!H422+"h_l!'Nw"</f>
        <v>#VALUE!</v>
      </c>
      <c r="DB138" t="e">
        <f>'Compiled Agents'!A423+"h_l!'Nx"</f>
        <v>#VALUE!</v>
      </c>
      <c r="DC138" t="e">
        <f>'Compiled Agents'!B423+"h_l!'Ny"</f>
        <v>#VALUE!</v>
      </c>
      <c r="DD138" t="e">
        <f>'Compiled Agents'!C423+"h_l!'Nz"</f>
        <v>#VALUE!</v>
      </c>
      <c r="DE138" t="e">
        <f>'Compiled Agents'!E423+"h_l!'N{"</f>
        <v>#VALUE!</v>
      </c>
      <c r="DF138" t="e">
        <f>'Compiled Agents'!F423+"h_l!'N|"</f>
        <v>#VALUE!</v>
      </c>
      <c r="DG138" t="e">
        <f>'Compiled Agents'!G423+"h_l!'N}"</f>
        <v>#VALUE!</v>
      </c>
      <c r="DH138" t="e">
        <f>'Compiled Agents'!H423+"h_l!'N~"</f>
        <v>#VALUE!</v>
      </c>
      <c r="DI138" t="e">
        <f>'Compiled Agents'!A424+"h_l!'O#"</f>
        <v>#VALUE!</v>
      </c>
      <c r="DJ138" t="e">
        <f>'Compiled Agents'!B424+"h_l!'O$"</f>
        <v>#VALUE!</v>
      </c>
      <c r="DK138" t="e">
        <f>'Compiled Agents'!C424+"h_l!'O%"</f>
        <v>#VALUE!</v>
      </c>
      <c r="DL138" t="e">
        <f>'Compiled Agents'!E424+"h_l!'O&amp;"</f>
        <v>#VALUE!</v>
      </c>
      <c r="DM138" t="e">
        <f>'Compiled Agents'!F424+"h_l!'O'"</f>
        <v>#VALUE!</v>
      </c>
      <c r="DN138" t="e">
        <f>'Compiled Agents'!G424+"h_l!'O("</f>
        <v>#VALUE!</v>
      </c>
      <c r="DO138" t="e">
        <f>'Compiled Agents'!H424+"h_l!'O)"</f>
        <v>#VALUE!</v>
      </c>
      <c r="DP138" t="e">
        <f>'Compiled Agents'!A425+"h_l!'O."</f>
        <v>#VALUE!</v>
      </c>
      <c r="DQ138" t="e">
        <f>'Compiled Agents'!B425+"h_l!'O/"</f>
        <v>#VALUE!</v>
      </c>
      <c r="DR138" t="e">
        <f>'Compiled Agents'!C425+"h_l!'O0"</f>
        <v>#VALUE!</v>
      </c>
      <c r="DS138" t="e">
        <f>'Compiled Agents'!E425+"h_l!'O1"</f>
        <v>#VALUE!</v>
      </c>
      <c r="DT138" t="e">
        <f>'Compiled Agents'!F425+"h_l!'O2"</f>
        <v>#VALUE!</v>
      </c>
      <c r="DU138" t="e">
        <f>'Compiled Agents'!G425+"h_l!'O3"</f>
        <v>#VALUE!</v>
      </c>
      <c r="DV138" t="e">
        <f>'Compiled Agents'!H425+"h_l!'O4"</f>
        <v>#VALUE!</v>
      </c>
      <c r="DW138" t="e">
        <f>'Compiled Agents'!A426+"h_l!'O5"</f>
        <v>#VALUE!</v>
      </c>
      <c r="DX138" t="e">
        <f>'Compiled Agents'!B426+"h_l!'O6"</f>
        <v>#VALUE!</v>
      </c>
      <c r="DY138" t="e">
        <f>'Compiled Agents'!C426+"h_l!'O7"</f>
        <v>#VALUE!</v>
      </c>
      <c r="DZ138" t="e">
        <f>'Compiled Agents'!E426+"h_l!'O8"</f>
        <v>#VALUE!</v>
      </c>
      <c r="EA138" t="e">
        <f>'Compiled Agents'!F426+"h_l!'O9"</f>
        <v>#VALUE!</v>
      </c>
      <c r="EB138" t="e">
        <f>'Compiled Agents'!G426+"h_l!'O:"</f>
        <v>#VALUE!</v>
      </c>
      <c r="EC138" t="e">
        <f>'Compiled Agents'!H426+"h_l!'O;"</f>
        <v>#VALUE!</v>
      </c>
      <c r="ED138" t="e">
        <f>'Compiled Agents'!A427+"h_l!'O&lt;"</f>
        <v>#VALUE!</v>
      </c>
      <c r="EE138" t="e">
        <f>'Compiled Agents'!B427+"h_l!'O="</f>
        <v>#VALUE!</v>
      </c>
      <c r="EF138" t="e">
        <f>'Compiled Agents'!C427+"h_l!'O&gt;"</f>
        <v>#VALUE!</v>
      </c>
      <c r="EG138" t="e">
        <f>'Compiled Agents'!E427+"h_l!'O?"</f>
        <v>#VALUE!</v>
      </c>
      <c r="EH138" t="e">
        <f>'Compiled Agents'!F427+"h_l!'O@"</f>
        <v>#VALUE!</v>
      </c>
      <c r="EI138" t="e">
        <f>'Compiled Agents'!G427+"h_l!'OA"</f>
        <v>#VALUE!</v>
      </c>
      <c r="EJ138" t="e">
        <f>'Compiled Agents'!H427+"h_l!'OB"</f>
        <v>#VALUE!</v>
      </c>
      <c r="EK138" t="e">
        <f>'Compiled Agents'!A428+"h_l!'OC"</f>
        <v>#VALUE!</v>
      </c>
      <c r="EL138" t="e">
        <f>'Compiled Agents'!B428+"h_l!'OD"</f>
        <v>#VALUE!</v>
      </c>
      <c r="EM138" t="e">
        <f>'Compiled Agents'!C428+"h_l!'OE"</f>
        <v>#VALUE!</v>
      </c>
      <c r="EN138" t="e">
        <f>'Compiled Agents'!E428+"h_l!'OF"</f>
        <v>#VALUE!</v>
      </c>
      <c r="EO138" t="e">
        <f>'Compiled Agents'!F428+"h_l!'OG"</f>
        <v>#VALUE!</v>
      </c>
      <c r="EP138" t="e">
        <f>'Compiled Agents'!G428+"h_l!'OH"</f>
        <v>#VALUE!</v>
      </c>
      <c r="EQ138" t="e">
        <f>'Compiled Agents'!H428+"h_l!'OI"</f>
        <v>#VALUE!</v>
      </c>
      <c r="ER138" t="e">
        <f>'Compiled Agents'!A429+"h_l!'OJ"</f>
        <v>#VALUE!</v>
      </c>
      <c r="ES138" t="e">
        <f>'Compiled Agents'!B429+"h_l!'OK"</f>
        <v>#VALUE!</v>
      </c>
      <c r="ET138" t="e">
        <f>'Compiled Agents'!C429+"h_l!'OL"</f>
        <v>#VALUE!</v>
      </c>
      <c r="EU138" t="e">
        <f>'Compiled Agents'!E429+"h_l!'OM"</f>
        <v>#VALUE!</v>
      </c>
      <c r="EV138" t="e">
        <f>'Compiled Agents'!F429+"h_l!'ON"</f>
        <v>#VALUE!</v>
      </c>
      <c r="EW138" t="e">
        <f>'Compiled Agents'!G429+"h_l!'OO"</f>
        <v>#VALUE!</v>
      </c>
      <c r="EX138" t="e">
        <f>'Compiled Agents'!H429+"h_l!'OP"</f>
        <v>#VALUE!</v>
      </c>
      <c r="EY138" t="e">
        <f>'Compiled Agents'!A430+"h_l!'OQ"</f>
        <v>#VALUE!</v>
      </c>
      <c r="EZ138" t="e">
        <f>'Compiled Agents'!B430+"h_l!'OR"</f>
        <v>#VALUE!</v>
      </c>
      <c r="FA138" t="e">
        <f>'Compiled Agents'!C430+"h_l!'OS"</f>
        <v>#VALUE!</v>
      </c>
      <c r="FB138" t="e">
        <f>'Compiled Agents'!E430+"h_l!'OT"</f>
        <v>#VALUE!</v>
      </c>
      <c r="FC138" t="e">
        <f>'Compiled Agents'!F430+"h_l!'OU"</f>
        <v>#VALUE!</v>
      </c>
      <c r="FD138" t="e">
        <f>'Compiled Agents'!G430+"h_l!'OV"</f>
        <v>#VALUE!</v>
      </c>
      <c r="FE138" t="e">
        <f>'Compiled Agents'!H430+"h_l!'OW"</f>
        <v>#VALUE!</v>
      </c>
      <c r="FF138" t="e">
        <f>'Compiled Agents'!A431+"h_l!'OX"</f>
        <v>#VALUE!</v>
      </c>
      <c r="FG138" t="e">
        <f>'Compiled Agents'!B431+"h_l!'OY"</f>
        <v>#VALUE!</v>
      </c>
      <c r="FH138" t="e">
        <f>'Compiled Agents'!C431+"h_l!'OZ"</f>
        <v>#VALUE!</v>
      </c>
      <c r="FI138" t="e">
        <f>'Compiled Agents'!E431+"h_l!'O["</f>
        <v>#VALUE!</v>
      </c>
      <c r="FJ138" t="e">
        <f>'Compiled Agents'!F431+"h_l!'O\"</f>
        <v>#VALUE!</v>
      </c>
      <c r="FK138" t="e">
        <f>'Compiled Agents'!G431+"h_l!'O]"</f>
        <v>#VALUE!</v>
      </c>
      <c r="FL138" t="e">
        <f>'Compiled Agents'!H431+"h_l!'O^"</f>
        <v>#VALUE!</v>
      </c>
      <c r="FM138" t="e">
        <f>'Compiled Agents'!A432+"h_l!'O_"</f>
        <v>#VALUE!</v>
      </c>
      <c r="FN138" t="e">
        <f>'Compiled Agents'!B432+"h_l!'O`"</f>
        <v>#VALUE!</v>
      </c>
      <c r="FO138" t="e">
        <f>'Compiled Agents'!C432+"h_l!'Oa"</f>
        <v>#VALUE!</v>
      </c>
      <c r="FP138" t="e">
        <f>'Compiled Agents'!E432+"h_l!'Ob"</f>
        <v>#VALUE!</v>
      </c>
      <c r="FQ138" t="e">
        <f>'Compiled Agents'!F432+"h_l!'Oc"</f>
        <v>#VALUE!</v>
      </c>
      <c r="FR138" t="e">
        <f>'Compiled Agents'!G432+"h_l!'Od"</f>
        <v>#VALUE!</v>
      </c>
      <c r="FS138" t="e">
        <f>'Compiled Agents'!H432+"h_l!'Oe"</f>
        <v>#VALUE!</v>
      </c>
      <c r="FT138" t="e">
        <f>'Compiled Agents'!A433+"h_l!'Of"</f>
        <v>#VALUE!</v>
      </c>
      <c r="FU138" t="e">
        <f>'Compiled Agents'!B433+"h_l!'Og"</f>
        <v>#VALUE!</v>
      </c>
      <c r="FV138" t="e">
        <f>'Compiled Agents'!C433+"h_l!'Oh"</f>
        <v>#VALUE!</v>
      </c>
      <c r="FW138" t="e">
        <f>'Compiled Agents'!E433+"h_l!'Oi"</f>
        <v>#VALUE!</v>
      </c>
      <c r="FX138" t="e">
        <f>'Compiled Agents'!F433+"h_l!'Oj"</f>
        <v>#VALUE!</v>
      </c>
      <c r="FY138" t="e">
        <f>'Compiled Agents'!G433+"h_l!'Ok"</f>
        <v>#VALUE!</v>
      </c>
      <c r="FZ138" t="e">
        <f>'Compiled Agents'!H433+"h_l!'Ol"</f>
        <v>#VALUE!</v>
      </c>
      <c r="GA138" t="e">
        <f>'Compiled Agents'!A434+"h_l!'Om"</f>
        <v>#VALUE!</v>
      </c>
      <c r="GB138" t="e">
        <f>'Compiled Agents'!B434+"h_l!'On"</f>
        <v>#VALUE!</v>
      </c>
      <c r="GC138" t="e">
        <f>'Compiled Agents'!C434+"h_l!'Oo"</f>
        <v>#VALUE!</v>
      </c>
      <c r="GD138" t="e">
        <f>'Compiled Agents'!E434+"h_l!'Op"</f>
        <v>#VALUE!</v>
      </c>
      <c r="GE138" t="e">
        <f>'Compiled Agents'!F434+"h_l!'Oq"</f>
        <v>#VALUE!</v>
      </c>
      <c r="GF138" t="e">
        <f>'Compiled Agents'!G434+"h_l!'Or"</f>
        <v>#VALUE!</v>
      </c>
      <c r="GG138" t="e">
        <f>'Compiled Agents'!H434+"h_l!'Os"</f>
        <v>#VALUE!</v>
      </c>
      <c r="GH138" t="e">
        <f>'Compiled Agents'!A435+"h_l!'Ot"</f>
        <v>#VALUE!</v>
      </c>
      <c r="GI138" t="e">
        <f>'Compiled Agents'!B435+"h_l!'Ou"</f>
        <v>#VALUE!</v>
      </c>
      <c r="GJ138" t="e">
        <f>'Compiled Agents'!C435+"h_l!'Ov"</f>
        <v>#VALUE!</v>
      </c>
      <c r="GK138" t="e">
        <f>'Compiled Agents'!E435+"h_l!'Ow"</f>
        <v>#VALUE!</v>
      </c>
      <c r="GL138" t="e">
        <f>'Compiled Agents'!F435+"h_l!'Ox"</f>
        <v>#VALUE!</v>
      </c>
      <c r="GM138" t="e">
        <f>'Compiled Agents'!G435+"h_l!'Oy"</f>
        <v>#VALUE!</v>
      </c>
      <c r="GN138" t="e">
        <f>'Compiled Agents'!H435+"h_l!'Oz"</f>
        <v>#VALUE!</v>
      </c>
      <c r="GO138" t="e">
        <f>'Compiled Agents'!A436+"h_l!'O{"</f>
        <v>#VALUE!</v>
      </c>
      <c r="GP138" t="e">
        <f>'Compiled Agents'!B436+"h_l!'O|"</f>
        <v>#VALUE!</v>
      </c>
      <c r="GQ138" t="e">
        <f>'Compiled Agents'!C436+"h_l!'O}"</f>
        <v>#VALUE!</v>
      </c>
      <c r="GR138" t="e">
        <f>'Compiled Agents'!E436+"h_l!'O~"</f>
        <v>#VALUE!</v>
      </c>
      <c r="GS138" t="e">
        <f>'Compiled Agents'!F436+"h_l!'P#"</f>
        <v>#VALUE!</v>
      </c>
      <c r="GT138" t="e">
        <f>'Compiled Agents'!G436+"h_l!'P$"</f>
        <v>#VALUE!</v>
      </c>
      <c r="GU138" t="e">
        <f>'Compiled Agents'!H436+"h_l!'P%"</f>
        <v>#VALUE!</v>
      </c>
      <c r="GV138" t="e">
        <f>'Compiled Agents'!A437+"h_l!'P&amp;"</f>
        <v>#VALUE!</v>
      </c>
      <c r="GW138" t="e">
        <f>'Compiled Agents'!B437+"h_l!'P'"</f>
        <v>#VALUE!</v>
      </c>
      <c r="GX138" t="e">
        <f>'Compiled Agents'!C437+"h_l!'P("</f>
        <v>#VALUE!</v>
      </c>
      <c r="GY138" t="e">
        <f>'Compiled Agents'!E437+"h_l!'P)"</f>
        <v>#VALUE!</v>
      </c>
      <c r="GZ138" t="e">
        <f>'Compiled Agents'!F437+"h_l!'P."</f>
        <v>#VALUE!</v>
      </c>
      <c r="HA138" t="e">
        <f>'Compiled Agents'!G437+"h_l!'P/"</f>
        <v>#VALUE!</v>
      </c>
      <c r="HB138" t="e">
        <f>'Compiled Agents'!H437+"h_l!'P0"</f>
        <v>#VALUE!</v>
      </c>
      <c r="HC138" t="e">
        <f>'Compiled Agents'!A438+"h_l!'P1"</f>
        <v>#VALUE!</v>
      </c>
      <c r="HD138" t="e">
        <f>'Compiled Agents'!B438+"h_l!'P2"</f>
        <v>#VALUE!</v>
      </c>
      <c r="HE138" t="e">
        <f>'Compiled Agents'!C438+"h_l!'P3"</f>
        <v>#VALUE!</v>
      </c>
      <c r="HF138" t="e">
        <f>'Compiled Agents'!E438+"h_l!'P4"</f>
        <v>#VALUE!</v>
      </c>
      <c r="HG138" t="e">
        <f>'Compiled Agents'!F438+"h_l!'P5"</f>
        <v>#VALUE!</v>
      </c>
      <c r="HH138" t="e">
        <f>'Compiled Agents'!G438+"h_l!'P6"</f>
        <v>#VALUE!</v>
      </c>
      <c r="HI138" t="e">
        <f>'Compiled Agents'!H438+"h_l!'P7"</f>
        <v>#VALUE!</v>
      </c>
      <c r="HJ138" t="e">
        <f>'Compiled Agents'!A439+"h_l!'P8"</f>
        <v>#VALUE!</v>
      </c>
      <c r="HK138" t="e">
        <f>'Compiled Agents'!B439+"h_l!'P9"</f>
        <v>#VALUE!</v>
      </c>
      <c r="HL138" t="e">
        <f>'Compiled Agents'!C439+"h_l!'P:"</f>
        <v>#VALUE!</v>
      </c>
      <c r="HM138" t="e">
        <f>'Compiled Agents'!E439+"h_l!'P;"</f>
        <v>#VALUE!</v>
      </c>
      <c r="HN138" t="e">
        <f>'Compiled Agents'!F439+"h_l!'P&lt;"</f>
        <v>#VALUE!</v>
      </c>
      <c r="HO138" t="e">
        <f>'Compiled Agents'!G439+"h_l!'P="</f>
        <v>#VALUE!</v>
      </c>
      <c r="HP138" t="e">
        <f>'Compiled Agents'!H439+"h_l!'P&gt;"</f>
        <v>#VALUE!</v>
      </c>
      <c r="HQ138" t="e">
        <f>'Compiled Agents'!A440+"h_l!'P?"</f>
        <v>#VALUE!</v>
      </c>
      <c r="HR138" t="e">
        <f>'Compiled Agents'!B440+"h_l!'P@"</f>
        <v>#VALUE!</v>
      </c>
      <c r="HS138" t="e">
        <f>'Compiled Agents'!C440+"h_l!'PA"</f>
        <v>#VALUE!</v>
      </c>
      <c r="HT138" t="e">
        <f>'Compiled Agents'!E440+"h_l!'PB"</f>
        <v>#VALUE!</v>
      </c>
      <c r="HU138" t="e">
        <f>'Compiled Agents'!F440+"h_l!'PC"</f>
        <v>#VALUE!</v>
      </c>
      <c r="HV138" t="e">
        <f>'Compiled Agents'!G440+"h_l!'PD"</f>
        <v>#VALUE!</v>
      </c>
      <c r="HW138" t="e">
        <f>'Compiled Agents'!H440+"h_l!'PE"</f>
        <v>#VALUE!</v>
      </c>
      <c r="HX138" t="e">
        <f>'Compiled Agents'!A441+"h_l!'PF"</f>
        <v>#VALUE!</v>
      </c>
      <c r="HY138" t="e">
        <f>'Compiled Agents'!B441+"h_l!'PG"</f>
        <v>#VALUE!</v>
      </c>
      <c r="HZ138" t="e">
        <f>'Compiled Agents'!C441+"h_l!'PH"</f>
        <v>#VALUE!</v>
      </c>
      <c r="IA138" t="e">
        <f>'Compiled Agents'!E441+"h_l!'PI"</f>
        <v>#VALUE!</v>
      </c>
      <c r="IB138" t="e">
        <f>'Compiled Agents'!F441+"h_l!'PJ"</f>
        <v>#VALUE!</v>
      </c>
      <c r="IC138" t="e">
        <f>'Compiled Agents'!G441+"h_l!'PK"</f>
        <v>#VALUE!</v>
      </c>
      <c r="ID138" t="e">
        <f>'Compiled Agents'!H441+"h_l!'PL"</f>
        <v>#VALUE!</v>
      </c>
      <c r="IE138" t="e">
        <f>'Compiled Agents'!A442+"h_l!'PM"</f>
        <v>#VALUE!</v>
      </c>
      <c r="IF138" t="e">
        <f>'Compiled Agents'!B442+"h_l!'PN"</f>
        <v>#VALUE!</v>
      </c>
      <c r="IG138" t="e">
        <f>'Compiled Agents'!C442+"h_l!'PO"</f>
        <v>#VALUE!</v>
      </c>
      <c r="IH138" t="e">
        <f>'Compiled Agents'!E442+"h_l!'PP"</f>
        <v>#VALUE!</v>
      </c>
      <c r="II138" t="e">
        <f>'Compiled Agents'!F442+"h_l!'PQ"</f>
        <v>#VALUE!</v>
      </c>
      <c r="IJ138" t="e">
        <f>'Compiled Agents'!G442+"h_l!'PR"</f>
        <v>#VALUE!</v>
      </c>
      <c r="IK138" t="e">
        <f>'Compiled Agents'!H442+"h_l!'PS"</f>
        <v>#VALUE!</v>
      </c>
      <c r="IL138" t="e">
        <f>'Compiled Agents'!A443+"h_l!'PT"</f>
        <v>#VALUE!</v>
      </c>
      <c r="IM138" t="e">
        <f>'Compiled Agents'!B443+"h_l!'PU"</f>
        <v>#VALUE!</v>
      </c>
      <c r="IN138" t="e">
        <f>'Compiled Agents'!C443+"h_l!'PV"</f>
        <v>#VALUE!</v>
      </c>
      <c r="IO138" t="e">
        <f>'Compiled Agents'!E443+"h_l!'PW"</f>
        <v>#VALUE!</v>
      </c>
      <c r="IP138" t="e">
        <f>'Compiled Agents'!F443+"h_l!'PX"</f>
        <v>#VALUE!</v>
      </c>
      <c r="IQ138" t="e">
        <f>'Compiled Agents'!G443+"h_l!'PY"</f>
        <v>#VALUE!</v>
      </c>
      <c r="IR138" t="e">
        <f>'Compiled Agents'!H443+"h_l!'PZ"</f>
        <v>#VALUE!</v>
      </c>
      <c r="IS138" t="e">
        <f>'Compiled Agents'!A444+"h_l!'P["</f>
        <v>#VALUE!</v>
      </c>
      <c r="IT138" t="e">
        <f>'Compiled Agents'!B444+"h_l!'P\"</f>
        <v>#VALUE!</v>
      </c>
      <c r="IU138" t="e">
        <f>'Compiled Agents'!C444+"h_l!'P]"</f>
        <v>#VALUE!</v>
      </c>
      <c r="IV138" t="e">
        <f>'Compiled Agents'!E444+"h_l!'P^"</f>
        <v>#VALUE!</v>
      </c>
    </row>
    <row r="139" spans="6:256" x14ac:dyDescent="0.25">
      <c r="F139" t="e">
        <f>'Compiled Agents'!F444+"h_l!'P_"</f>
        <v>#VALUE!</v>
      </c>
      <c r="G139" t="e">
        <f>'Compiled Agents'!G444+"h_l!'P`"</f>
        <v>#VALUE!</v>
      </c>
      <c r="H139" t="e">
        <f>'Compiled Agents'!H444+"h_l!'Pa"</f>
        <v>#VALUE!</v>
      </c>
      <c r="I139" t="e">
        <f>'Compiled Agents'!A445+"h_l!'Pb"</f>
        <v>#VALUE!</v>
      </c>
      <c r="J139" t="e">
        <f>'Compiled Agents'!B445+"h_l!'Pc"</f>
        <v>#VALUE!</v>
      </c>
      <c r="K139" t="e">
        <f>'Compiled Agents'!C445+"h_l!'Pd"</f>
        <v>#VALUE!</v>
      </c>
      <c r="L139" t="e">
        <f>'Compiled Agents'!E445+"h_l!'Pe"</f>
        <v>#VALUE!</v>
      </c>
      <c r="M139" t="e">
        <f>'Compiled Agents'!F445+"h_l!'Pf"</f>
        <v>#VALUE!</v>
      </c>
      <c r="N139" t="e">
        <f>'Compiled Agents'!G445+"h_l!'Pg"</f>
        <v>#VALUE!</v>
      </c>
      <c r="O139" t="e">
        <f>'Compiled Agents'!H445+"h_l!'Ph"</f>
        <v>#VALUE!</v>
      </c>
      <c r="P139" t="e">
        <f>'Compiled Agents'!A446+"h_l!'Pi"</f>
        <v>#VALUE!</v>
      </c>
      <c r="Q139" t="e">
        <f>'Compiled Agents'!B446+"h_l!'Pj"</f>
        <v>#VALUE!</v>
      </c>
      <c r="R139" t="e">
        <f>'Compiled Agents'!C446+"h_l!'Pk"</f>
        <v>#VALUE!</v>
      </c>
      <c r="S139" t="e">
        <f>'Compiled Agents'!E446+"h_l!'Pl"</f>
        <v>#VALUE!</v>
      </c>
      <c r="T139" t="e">
        <f>'Compiled Agents'!F446+"h_l!'Pm"</f>
        <v>#VALUE!</v>
      </c>
      <c r="U139" t="e">
        <f>'Compiled Agents'!G446+"h_l!'Pn"</f>
        <v>#VALUE!</v>
      </c>
      <c r="V139" t="e">
        <f>'Compiled Agents'!H446+"h_l!'Po"</f>
        <v>#VALUE!</v>
      </c>
      <c r="W139" t="e">
        <f>'Compiled Agents'!A447+"h_l!'Pp"</f>
        <v>#VALUE!</v>
      </c>
      <c r="X139" t="e">
        <f>'Compiled Agents'!B447+"h_l!'Pq"</f>
        <v>#VALUE!</v>
      </c>
      <c r="Y139" t="e">
        <f>'Compiled Agents'!C447+"h_l!'Pr"</f>
        <v>#VALUE!</v>
      </c>
      <c r="Z139" t="e">
        <f>'Compiled Agents'!E447+"h_l!'Ps"</f>
        <v>#VALUE!</v>
      </c>
      <c r="AA139" t="e">
        <f>'Compiled Agents'!F447+"h_l!'Pt"</f>
        <v>#VALUE!</v>
      </c>
      <c r="AB139" t="e">
        <f>'Compiled Agents'!G447+"h_l!'Pu"</f>
        <v>#VALUE!</v>
      </c>
      <c r="AC139" t="e">
        <f>'Compiled Agents'!H447+"h_l!'Pv"</f>
        <v>#VALUE!</v>
      </c>
      <c r="AD139" t="e">
        <f>'Compiled Agents'!A448+"h_l!'Pw"</f>
        <v>#VALUE!</v>
      </c>
      <c r="AE139" t="e">
        <f>'Compiled Agents'!B448+"h_l!'Px"</f>
        <v>#VALUE!</v>
      </c>
      <c r="AF139" t="e">
        <f>'Compiled Agents'!C448+"h_l!'Py"</f>
        <v>#VALUE!</v>
      </c>
      <c r="AG139" t="e">
        <f>'Compiled Agents'!E448+"h_l!'Pz"</f>
        <v>#VALUE!</v>
      </c>
      <c r="AH139" t="e">
        <f>'Compiled Agents'!F448+"h_l!'P{"</f>
        <v>#VALUE!</v>
      </c>
      <c r="AI139" t="e">
        <f>'Compiled Agents'!G448+"h_l!'P|"</f>
        <v>#VALUE!</v>
      </c>
      <c r="AJ139" t="e">
        <f>'Compiled Agents'!H448+"h_l!'P}"</f>
        <v>#VALUE!</v>
      </c>
      <c r="AK139" t="e">
        <f>'Compiled Agents'!A449+"h_l!'P~"</f>
        <v>#VALUE!</v>
      </c>
      <c r="AL139" t="e">
        <f>'Compiled Agents'!B449+"h_l!'Q#"</f>
        <v>#VALUE!</v>
      </c>
      <c r="AM139" t="e">
        <f>'Compiled Agents'!C449+"h_l!'Q$"</f>
        <v>#VALUE!</v>
      </c>
      <c r="AN139" t="e">
        <f>'Compiled Agents'!E449+"h_l!'Q%"</f>
        <v>#VALUE!</v>
      </c>
      <c r="AO139" t="e">
        <f>'Compiled Agents'!F449+"h_l!'Q&amp;"</f>
        <v>#VALUE!</v>
      </c>
      <c r="AP139" t="e">
        <f>'Compiled Agents'!G449+"h_l!'Q'"</f>
        <v>#VALUE!</v>
      </c>
      <c r="AQ139" t="e">
        <f>'Compiled Agents'!H449+"h_l!'Q("</f>
        <v>#VALUE!</v>
      </c>
      <c r="AR139" t="e">
        <f>'Compiled Agents'!A450+"h_l!'Q)"</f>
        <v>#VALUE!</v>
      </c>
      <c r="AS139" t="e">
        <f>'Compiled Agents'!B450+"h_l!'Q."</f>
        <v>#VALUE!</v>
      </c>
      <c r="AT139" t="e">
        <f>'Compiled Agents'!C450+"h_l!'Q/"</f>
        <v>#VALUE!</v>
      </c>
      <c r="AU139" t="e">
        <f>'Compiled Agents'!E450+"h_l!'Q0"</f>
        <v>#VALUE!</v>
      </c>
      <c r="AV139" t="e">
        <f>'Compiled Agents'!F450+"h_l!'Q1"</f>
        <v>#VALUE!</v>
      </c>
      <c r="AW139" t="e">
        <f>'Compiled Agents'!G450+"h_l!'Q2"</f>
        <v>#VALUE!</v>
      </c>
      <c r="AX139" t="e">
        <f>'Compiled Agents'!H450+"h_l!'Q3"</f>
        <v>#VALUE!</v>
      </c>
      <c r="AY139" t="e">
        <f>'Compiled Agents'!A451+"h_l!'Q4"</f>
        <v>#VALUE!</v>
      </c>
      <c r="AZ139" t="e">
        <f>'Compiled Agents'!B451+"h_l!'Q5"</f>
        <v>#VALUE!</v>
      </c>
      <c r="BA139" t="e">
        <f>'Compiled Agents'!C451+"h_l!'Q6"</f>
        <v>#VALUE!</v>
      </c>
      <c r="BB139" t="e">
        <f>'Compiled Agents'!E451+"h_l!'Q7"</f>
        <v>#VALUE!</v>
      </c>
      <c r="BC139" t="e">
        <f>'Compiled Agents'!F451+"h_l!'Q8"</f>
        <v>#VALUE!</v>
      </c>
      <c r="BD139" t="e">
        <f>'Compiled Agents'!G451+"h_l!'Q9"</f>
        <v>#VALUE!</v>
      </c>
      <c r="BE139" t="e">
        <f>'Compiled Agents'!H451+"h_l!'Q:"</f>
        <v>#VALUE!</v>
      </c>
      <c r="BF139" t="e">
        <f>'Compiled Agents'!A452+"h_l!'Q;"</f>
        <v>#VALUE!</v>
      </c>
      <c r="BG139" t="e">
        <f>'Compiled Agents'!B452+"h_l!'Q&lt;"</f>
        <v>#VALUE!</v>
      </c>
      <c r="BH139" t="e">
        <f>'Compiled Agents'!C452+"h_l!'Q="</f>
        <v>#VALUE!</v>
      </c>
      <c r="BI139" t="e">
        <f>'Compiled Agents'!E452+"h_l!'Q&gt;"</f>
        <v>#VALUE!</v>
      </c>
      <c r="BJ139" t="e">
        <f>'Compiled Agents'!F452+"h_l!'Q?"</f>
        <v>#VALUE!</v>
      </c>
      <c r="BK139" t="e">
        <f>'Compiled Agents'!G452+"h_l!'Q@"</f>
        <v>#VALUE!</v>
      </c>
      <c r="BL139" t="e">
        <f>'Compiled Agents'!H452+"h_l!'QA"</f>
        <v>#VALUE!</v>
      </c>
      <c r="BM139" t="e">
        <f>'Compiled Agents'!A453+"h_l!'QB"</f>
        <v>#VALUE!</v>
      </c>
      <c r="BN139" t="e">
        <f>'Compiled Agents'!B453+"h_l!'QC"</f>
        <v>#VALUE!</v>
      </c>
      <c r="BO139" t="e">
        <f>'Compiled Agents'!C453+"h_l!'QD"</f>
        <v>#VALUE!</v>
      </c>
      <c r="BP139" t="e">
        <f>'Compiled Agents'!E453+"h_l!'QE"</f>
        <v>#VALUE!</v>
      </c>
      <c r="BQ139" t="e">
        <f>'Compiled Agents'!F453+"h_l!'QF"</f>
        <v>#VALUE!</v>
      </c>
      <c r="BR139" t="e">
        <f>'Compiled Agents'!G453+"h_l!'QG"</f>
        <v>#VALUE!</v>
      </c>
      <c r="BS139" t="e">
        <f>'Compiled Agents'!H453+"h_l!'QH"</f>
        <v>#VALUE!</v>
      </c>
      <c r="BT139" t="e">
        <f>'Compiled Agents'!A454+"h_l!'QI"</f>
        <v>#VALUE!</v>
      </c>
      <c r="BU139" t="e">
        <f>'Compiled Agents'!B454+"h_l!'QJ"</f>
        <v>#VALUE!</v>
      </c>
      <c r="BV139" t="e">
        <f>'Compiled Agents'!C454+"h_l!'QK"</f>
        <v>#VALUE!</v>
      </c>
      <c r="BW139" t="e">
        <f>'Compiled Agents'!E454+"h_l!'QL"</f>
        <v>#VALUE!</v>
      </c>
      <c r="BX139" t="e">
        <f>'Compiled Agents'!F454+"h_l!'QM"</f>
        <v>#VALUE!</v>
      </c>
      <c r="BY139" t="e">
        <f>'Compiled Agents'!G454+"h_l!'QN"</f>
        <v>#VALUE!</v>
      </c>
      <c r="BZ139" t="e">
        <f>'Compiled Agents'!H454+"h_l!'QO"</f>
        <v>#VALUE!</v>
      </c>
      <c r="CA139" t="e">
        <f>'Compiled Agents'!A455+"h_l!'QP"</f>
        <v>#VALUE!</v>
      </c>
      <c r="CB139" t="e">
        <f>'Compiled Agents'!B455+"h_l!'QQ"</f>
        <v>#VALUE!</v>
      </c>
      <c r="CC139" t="e">
        <f>'Compiled Agents'!C455+"h_l!'QR"</f>
        <v>#VALUE!</v>
      </c>
      <c r="CD139" t="e">
        <f>'Compiled Agents'!E455+"h_l!'QS"</f>
        <v>#VALUE!</v>
      </c>
      <c r="CE139" t="e">
        <f>'Compiled Agents'!F455+"h_l!'QT"</f>
        <v>#VALUE!</v>
      </c>
      <c r="CF139" t="e">
        <f>'Compiled Agents'!G455+"h_l!'QU"</f>
        <v>#VALUE!</v>
      </c>
      <c r="CG139" t="e">
        <f>'Compiled Agents'!H455+"h_l!'QV"</f>
        <v>#VALUE!</v>
      </c>
      <c r="CH139" t="e">
        <f>'Compiled Agents'!A456+"h_l!'QW"</f>
        <v>#VALUE!</v>
      </c>
      <c r="CI139" t="e">
        <f>'Compiled Agents'!B456+"h_l!'QX"</f>
        <v>#VALUE!</v>
      </c>
      <c r="CJ139" t="e">
        <f>'Compiled Agents'!C456+"h_l!'QY"</f>
        <v>#VALUE!</v>
      </c>
      <c r="CK139" t="e">
        <f>'Compiled Agents'!E456+"h_l!'QZ"</f>
        <v>#VALUE!</v>
      </c>
      <c r="CL139" t="e">
        <f>'Compiled Agents'!F456+"h_l!'Q["</f>
        <v>#VALUE!</v>
      </c>
      <c r="CM139" t="e">
        <f>'Compiled Agents'!G456+"h_l!'Q\"</f>
        <v>#VALUE!</v>
      </c>
      <c r="CN139" t="e">
        <f>'Compiled Agents'!H456+"h_l!'Q]"</f>
        <v>#VALUE!</v>
      </c>
      <c r="CO139" t="e">
        <f>'Compiled Agents'!A457+"h_l!'Q^"</f>
        <v>#VALUE!</v>
      </c>
      <c r="CP139" t="e">
        <f>'Compiled Agents'!B457+"h_l!'Q_"</f>
        <v>#VALUE!</v>
      </c>
      <c r="CQ139" t="e">
        <f>'Compiled Agents'!C457+"h_l!'Q`"</f>
        <v>#VALUE!</v>
      </c>
      <c r="CR139" t="e">
        <f>'Compiled Agents'!E457+"h_l!'Qa"</f>
        <v>#VALUE!</v>
      </c>
      <c r="CS139" t="e">
        <f>'Compiled Agents'!F457+"h_l!'Qb"</f>
        <v>#VALUE!</v>
      </c>
      <c r="CT139" t="e">
        <f>'Compiled Agents'!G457+"h_l!'Qc"</f>
        <v>#VALUE!</v>
      </c>
      <c r="CU139" t="e">
        <f>'Compiled Agents'!H457+"h_l!'Qd"</f>
        <v>#VALUE!</v>
      </c>
      <c r="CV139" t="e">
        <f>'Compiled Agents'!A458+"h_l!'Qe"</f>
        <v>#VALUE!</v>
      </c>
      <c r="CW139" t="e">
        <f>'Compiled Agents'!B458+"h_l!'Qf"</f>
        <v>#VALUE!</v>
      </c>
      <c r="CX139" t="e">
        <f>'Compiled Agents'!C458+"h_l!'Qg"</f>
        <v>#VALUE!</v>
      </c>
      <c r="CY139" t="e">
        <f>'Compiled Agents'!E458+"h_l!'Qh"</f>
        <v>#VALUE!</v>
      </c>
      <c r="CZ139" t="e">
        <f>'Compiled Agents'!F458+"h_l!'Qi"</f>
        <v>#VALUE!</v>
      </c>
      <c r="DA139" t="e">
        <f>'Compiled Agents'!G458+"h_l!'Qj"</f>
        <v>#VALUE!</v>
      </c>
      <c r="DB139" t="e">
        <f>'Compiled Agents'!H458+"h_l!'Qk"</f>
        <v>#VALUE!</v>
      </c>
      <c r="DC139" t="e">
        <f>'Compiled Agents'!A459+"h_l!'Ql"</f>
        <v>#VALUE!</v>
      </c>
      <c r="DD139" t="e">
        <f>'Compiled Agents'!B459+"h_l!'Qm"</f>
        <v>#VALUE!</v>
      </c>
      <c r="DE139" t="e">
        <f>'Compiled Agents'!C459+"h_l!'Qn"</f>
        <v>#VALUE!</v>
      </c>
      <c r="DF139" t="e">
        <f>'Compiled Agents'!E459+"h_l!'Qo"</f>
        <v>#VALUE!</v>
      </c>
      <c r="DG139" t="e">
        <f>'Compiled Agents'!F459+"h_l!'Qp"</f>
        <v>#VALUE!</v>
      </c>
      <c r="DH139" t="e">
        <f>'Compiled Agents'!G459+"h_l!'Qq"</f>
        <v>#VALUE!</v>
      </c>
      <c r="DI139" t="e">
        <f>'Compiled Agents'!H459+"h_l!'Qr"</f>
        <v>#VALUE!</v>
      </c>
      <c r="DJ139" t="e">
        <f>'Compiled Agents'!A460+"h_l!'Qs"</f>
        <v>#VALUE!</v>
      </c>
      <c r="DK139" t="e">
        <f>'Compiled Agents'!B460+"h_l!'Qt"</f>
        <v>#VALUE!</v>
      </c>
      <c r="DL139" t="e">
        <f>'Compiled Agents'!C460+"h_l!'Qu"</f>
        <v>#VALUE!</v>
      </c>
      <c r="DM139" t="e">
        <f>'Compiled Agents'!E460+"h_l!'Qv"</f>
        <v>#VALUE!</v>
      </c>
      <c r="DN139" t="e">
        <f>'Compiled Agents'!F460+"h_l!'Qw"</f>
        <v>#VALUE!</v>
      </c>
      <c r="DO139" t="e">
        <f>'Compiled Agents'!G460+"h_l!'Qx"</f>
        <v>#VALUE!</v>
      </c>
      <c r="DP139" t="e">
        <f>'Compiled Agents'!H460+"h_l!'Qy"</f>
        <v>#VALUE!</v>
      </c>
      <c r="DQ139" t="e">
        <f>'Compiled Agents'!A461+"h_l!'Qz"</f>
        <v>#VALUE!</v>
      </c>
      <c r="DR139" t="e">
        <f>'Compiled Agents'!B461+"h_l!'Q{"</f>
        <v>#VALUE!</v>
      </c>
      <c r="DS139" t="e">
        <f>'Compiled Agents'!C461+"h_l!'Q|"</f>
        <v>#VALUE!</v>
      </c>
      <c r="DT139" t="e">
        <f>'Compiled Agents'!E461+"h_l!'Q}"</f>
        <v>#VALUE!</v>
      </c>
      <c r="DU139" t="e">
        <f>'Compiled Agents'!F461+"h_l!'Q~"</f>
        <v>#VALUE!</v>
      </c>
      <c r="DV139" t="e">
        <f>'Compiled Agents'!G461+"h_l!'R#"</f>
        <v>#VALUE!</v>
      </c>
      <c r="DW139" t="e">
        <f>'Compiled Agents'!H461+"h_l!'R$"</f>
        <v>#VALUE!</v>
      </c>
      <c r="DX139" t="e">
        <f>'Compiled Agents'!A462+"h_l!'R%"</f>
        <v>#VALUE!</v>
      </c>
      <c r="DY139" t="e">
        <f>'Compiled Agents'!B462+"h_l!'R&amp;"</f>
        <v>#VALUE!</v>
      </c>
      <c r="DZ139" t="e">
        <f>'Compiled Agents'!C462+"h_l!'R'"</f>
        <v>#VALUE!</v>
      </c>
      <c r="EA139" t="e">
        <f>'Compiled Agents'!E462+"h_l!'R("</f>
        <v>#VALUE!</v>
      </c>
      <c r="EB139" t="e">
        <f>'Compiled Agents'!F462+"h_l!'R)"</f>
        <v>#VALUE!</v>
      </c>
      <c r="EC139" t="e">
        <f>'Compiled Agents'!G462+"h_l!'R."</f>
        <v>#VALUE!</v>
      </c>
      <c r="ED139" t="e">
        <f>'Compiled Agents'!H462+"h_l!'R/"</f>
        <v>#VALUE!</v>
      </c>
      <c r="EE139" t="e">
        <f>'Compiled Agents'!A463+"h_l!'R0"</f>
        <v>#VALUE!</v>
      </c>
      <c r="EF139" t="e">
        <f>'Compiled Agents'!B463+"h_l!'R1"</f>
        <v>#VALUE!</v>
      </c>
      <c r="EG139" t="e">
        <f>'Compiled Agents'!C463+"h_l!'R2"</f>
        <v>#VALUE!</v>
      </c>
      <c r="EH139" t="e">
        <f>'Compiled Agents'!E463+"h_l!'R3"</f>
        <v>#VALUE!</v>
      </c>
      <c r="EI139" t="e">
        <f>'Compiled Agents'!F463+"h_l!'R4"</f>
        <v>#VALUE!</v>
      </c>
      <c r="EJ139" t="e">
        <f>'Compiled Agents'!G463+"h_l!'R5"</f>
        <v>#VALUE!</v>
      </c>
      <c r="EK139" t="e">
        <f>'Compiled Agents'!H463+"h_l!'R6"</f>
        <v>#VALUE!</v>
      </c>
      <c r="EL139" t="e">
        <f>'Compiled Agents'!A464+"h_l!'R7"</f>
        <v>#VALUE!</v>
      </c>
      <c r="EM139" t="e">
        <f>'Compiled Agents'!B464+"h_l!'R8"</f>
        <v>#VALUE!</v>
      </c>
      <c r="EN139" t="e">
        <f>'Compiled Agents'!C464+"h_l!'R9"</f>
        <v>#VALUE!</v>
      </c>
      <c r="EO139" t="e">
        <f>'Compiled Agents'!E464+"h_l!'R:"</f>
        <v>#VALUE!</v>
      </c>
      <c r="EP139" t="e">
        <f>'Compiled Agents'!F464+"h_l!'R;"</f>
        <v>#VALUE!</v>
      </c>
      <c r="EQ139" t="e">
        <f>'Compiled Agents'!G464+"h_l!'R&lt;"</f>
        <v>#VALUE!</v>
      </c>
      <c r="ER139" t="e">
        <f>'Compiled Agents'!H464+"h_l!'R="</f>
        <v>#VALUE!</v>
      </c>
      <c r="ES139" t="e">
        <f>'Compiled Agents'!A465+"h_l!'R&gt;"</f>
        <v>#VALUE!</v>
      </c>
      <c r="ET139" t="e">
        <f>'Compiled Agents'!B465+"h_l!'R?"</f>
        <v>#VALUE!</v>
      </c>
      <c r="EU139" t="e">
        <f>'Compiled Agents'!C465+"h_l!'R@"</f>
        <v>#VALUE!</v>
      </c>
      <c r="EV139" t="e">
        <f>'Compiled Agents'!E465+"h_l!'RA"</f>
        <v>#VALUE!</v>
      </c>
      <c r="EW139" t="e">
        <f>'Compiled Agents'!F465+"h_l!'RB"</f>
        <v>#VALUE!</v>
      </c>
      <c r="EX139" t="e">
        <f>'Compiled Agents'!G465+"h_l!'RC"</f>
        <v>#VALUE!</v>
      </c>
      <c r="EY139" t="e">
        <f>'Compiled Agents'!H465+"h_l!'RD"</f>
        <v>#VALUE!</v>
      </c>
      <c r="EZ139" t="e">
        <f>'Compiled Agents'!A466+"h_l!'RE"</f>
        <v>#VALUE!</v>
      </c>
      <c r="FA139" t="e">
        <f>'Compiled Agents'!B466+"h_l!'RF"</f>
        <v>#VALUE!</v>
      </c>
      <c r="FB139" t="e">
        <f>'Compiled Agents'!C466+"h_l!'RG"</f>
        <v>#VALUE!</v>
      </c>
      <c r="FC139" t="e">
        <f>'Compiled Agents'!E466+"h_l!'RH"</f>
        <v>#VALUE!</v>
      </c>
      <c r="FD139" t="e">
        <f>'Compiled Agents'!F466+"h_l!'RI"</f>
        <v>#VALUE!</v>
      </c>
      <c r="FE139" t="e">
        <f>'Compiled Agents'!G466+"h_l!'RJ"</f>
        <v>#VALUE!</v>
      </c>
      <c r="FF139" t="e">
        <f>'Compiled Agents'!H466+"h_l!'RK"</f>
        <v>#VALUE!</v>
      </c>
      <c r="FG139" t="e">
        <f>'Compiled Agents'!A467+"h_l!'RL"</f>
        <v>#VALUE!</v>
      </c>
      <c r="FH139" t="e">
        <f>'Compiled Agents'!B467+"h_l!'RM"</f>
        <v>#VALUE!</v>
      </c>
      <c r="FI139" t="e">
        <f>'Compiled Agents'!C467+"h_l!'RN"</f>
        <v>#VALUE!</v>
      </c>
      <c r="FJ139" t="e">
        <f>'Compiled Agents'!E467+"h_l!'RO"</f>
        <v>#VALUE!</v>
      </c>
      <c r="FK139" t="e">
        <f>'Compiled Agents'!F467+"h_l!'RP"</f>
        <v>#VALUE!</v>
      </c>
      <c r="FL139" t="e">
        <f>'Compiled Agents'!G467+"h_l!'RQ"</f>
        <v>#VALUE!</v>
      </c>
      <c r="FM139" t="e">
        <f>'Compiled Agents'!H467+"h_l!'RR"</f>
        <v>#VALUE!</v>
      </c>
      <c r="FN139" t="e">
        <f>'Compiled Agents'!A468+"h_l!'RS"</f>
        <v>#VALUE!</v>
      </c>
      <c r="FO139" t="e">
        <f>'Compiled Agents'!B468+"h_l!'RT"</f>
        <v>#VALUE!</v>
      </c>
      <c r="FP139" t="e">
        <f>'Compiled Agents'!C468+"h_l!'RU"</f>
        <v>#VALUE!</v>
      </c>
      <c r="FQ139" t="e">
        <f>'Compiled Agents'!E468+"h_l!'RV"</f>
        <v>#VALUE!</v>
      </c>
      <c r="FR139" t="e">
        <f>'Compiled Agents'!F468+"h_l!'RW"</f>
        <v>#VALUE!</v>
      </c>
      <c r="FS139" t="e">
        <f>'Compiled Agents'!G468+"h_l!'RX"</f>
        <v>#VALUE!</v>
      </c>
      <c r="FT139" t="e">
        <f>'Compiled Agents'!H468+"h_l!'RY"</f>
        <v>#VALUE!</v>
      </c>
      <c r="FU139" t="e">
        <f>'Compiled Agents'!A469+"h_l!'RZ"</f>
        <v>#VALUE!</v>
      </c>
      <c r="FV139" t="e">
        <f>'Compiled Agents'!B469+"h_l!'R["</f>
        <v>#VALUE!</v>
      </c>
      <c r="FW139" t="e">
        <f>'Compiled Agents'!C469+"h_l!'R\"</f>
        <v>#VALUE!</v>
      </c>
      <c r="FX139" t="e">
        <f>'Compiled Agents'!E469+"h_l!'R]"</f>
        <v>#VALUE!</v>
      </c>
      <c r="FY139" t="e">
        <f>'Compiled Agents'!F469+"h_l!'R^"</f>
        <v>#VALUE!</v>
      </c>
      <c r="FZ139" t="e">
        <f>'Compiled Agents'!G469+"h_l!'R_"</f>
        <v>#VALUE!</v>
      </c>
      <c r="GA139" t="e">
        <f>'Compiled Agents'!H469+"h_l!'R`"</f>
        <v>#VALUE!</v>
      </c>
      <c r="GB139" t="e">
        <f>'Compiled Agents'!A470+"h_l!'Ra"</f>
        <v>#VALUE!</v>
      </c>
      <c r="GC139" t="e">
        <f>'Compiled Agents'!B470+"h_l!'Rb"</f>
        <v>#VALUE!</v>
      </c>
      <c r="GD139" t="e">
        <f>'Compiled Agents'!C470+"h_l!'Rc"</f>
        <v>#VALUE!</v>
      </c>
      <c r="GE139" t="e">
        <f>'Compiled Agents'!E470+"h_l!'Rd"</f>
        <v>#VALUE!</v>
      </c>
      <c r="GF139" t="e">
        <f>'Compiled Agents'!F470+"h_l!'Re"</f>
        <v>#VALUE!</v>
      </c>
      <c r="GG139" t="e">
        <f>'Compiled Agents'!G470+"h_l!'Rf"</f>
        <v>#VALUE!</v>
      </c>
      <c r="GH139" t="e">
        <f>'Compiled Agents'!H470+"h_l!'Rg"</f>
        <v>#VALUE!</v>
      </c>
      <c r="GI139" t="e">
        <f>'Compiled Agents'!A471+"h_l!'Rh"</f>
        <v>#VALUE!</v>
      </c>
      <c r="GJ139" t="e">
        <f>'Compiled Agents'!B471+"h_l!'Ri"</f>
        <v>#VALUE!</v>
      </c>
      <c r="GK139" t="e">
        <f>'Compiled Agents'!C471+"h_l!'Rj"</f>
        <v>#VALUE!</v>
      </c>
      <c r="GL139" t="e">
        <f>'Compiled Agents'!E471+"h_l!'Rk"</f>
        <v>#VALUE!</v>
      </c>
      <c r="GM139" t="e">
        <f>'Compiled Agents'!F471+"h_l!'Rl"</f>
        <v>#VALUE!</v>
      </c>
      <c r="GN139" t="e">
        <f>'Compiled Agents'!G471+"h_l!'Rm"</f>
        <v>#VALUE!</v>
      </c>
      <c r="GO139" t="e">
        <f>'Compiled Agents'!H471+"h_l!'Rn"</f>
        <v>#VALUE!</v>
      </c>
      <c r="GP139" t="e">
        <f>'Compiled Agents'!A472+"h_l!'Ro"</f>
        <v>#VALUE!</v>
      </c>
      <c r="GQ139" t="e">
        <f>'Compiled Agents'!B472+"h_l!'Rp"</f>
        <v>#VALUE!</v>
      </c>
      <c r="GR139" t="e">
        <f>'Compiled Agents'!C472+"h_l!'Rq"</f>
        <v>#VALUE!</v>
      </c>
      <c r="GS139" t="e">
        <f>'Compiled Agents'!E472+"h_l!'Rr"</f>
        <v>#VALUE!</v>
      </c>
      <c r="GT139" t="e">
        <f>'Compiled Agents'!F472+"h_l!'Rs"</f>
        <v>#VALUE!</v>
      </c>
      <c r="GU139" t="e">
        <f>'Compiled Agents'!G472+"h_l!'Rt"</f>
        <v>#VALUE!</v>
      </c>
      <c r="GV139" t="e">
        <f>'Compiled Agents'!H472+"h_l!'Ru"</f>
        <v>#VALUE!</v>
      </c>
      <c r="GW139" t="e">
        <f>'Compiled Agents'!A473+"h_l!'Rv"</f>
        <v>#VALUE!</v>
      </c>
      <c r="GX139" t="e">
        <f>'Compiled Agents'!B473+"h_l!'Rw"</f>
        <v>#VALUE!</v>
      </c>
      <c r="GY139" t="e">
        <f>'Compiled Agents'!C473+"h_l!'Rx"</f>
        <v>#VALUE!</v>
      </c>
      <c r="GZ139" t="e">
        <f>'Compiled Agents'!E473+"h_l!'Ry"</f>
        <v>#VALUE!</v>
      </c>
      <c r="HA139" t="e">
        <f>'Compiled Agents'!F473+"h_l!'Rz"</f>
        <v>#VALUE!</v>
      </c>
      <c r="HB139" t="e">
        <f>'Compiled Agents'!G473+"h_l!'R{"</f>
        <v>#VALUE!</v>
      </c>
      <c r="HC139" t="e">
        <f>'Compiled Agents'!H473+"h_l!'R|"</f>
        <v>#VALUE!</v>
      </c>
      <c r="HD139" t="e">
        <f>'Compiled Agents'!A474+"h_l!'R}"</f>
        <v>#VALUE!</v>
      </c>
      <c r="HE139" t="e">
        <f>'Compiled Agents'!B474+"h_l!'R~"</f>
        <v>#VALUE!</v>
      </c>
      <c r="HF139" t="e">
        <f>'Compiled Agents'!C474+"h_l!'S#"</f>
        <v>#VALUE!</v>
      </c>
      <c r="HG139" t="e">
        <f>'Compiled Agents'!E474+"h_l!'S$"</f>
        <v>#VALUE!</v>
      </c>
      <c r="HH139" t="e">
        <f>'Compiled Agents'!F474+"h_l!'S%"</f>
        <v>#VALUE!</v>
      </c>
      <c r="HI139" t="e">
        <f>'Compiled Agents'!G474+"h_l!'S&amp;"</f>
        <v>#VALUE!</v>
      </c>
      <c r="HJ139" t="e">
        <f>'Compiled Agents'!H474+"h_l!'S'"</f>
        <v>#VALUE!</v>
      </c>
      <c r="HK139" t="e">
        <f>'Compiled Agents'!A475+"h_l!'S("</f>
        <v>#VALUE!</v>
      </c>
      <c r="HL139" t="e">
        <f>'Compiled Agents'!B475+"h_l!'S)"</f>
        <v>#VALUE!</v>
      </c>
      <c r="HM139" t="e">
        <f>'Compiled Agents'!C475+"h_l!'S."</f>
        <v>#VALUE!</v>
      </c>
      <c r="HN139" t="e">
        <f>'Compiled Agents'!E475+"h_l!'S/"</f>
        <v>#VALUE!</v>
      </c>
      <c r="HO139" t="e">
        <f>'Compiled Agents'!F475+"h_l!'S0"</f>
        <v>#VALUE!</v>
      </c>
      <c r="HP139" t="e">
        <f>'Compiled Agents'!G475+"h_l!'S1"</f>
        <v>#VALUE!</v>
      </c>
      <c r="HQ139" t="e">
        <f>'Compiled Agents'!H475+"h_l!'S2"</f>
        <v>#VALUE!</v>
      </c>
      <c r="HR139" t="e">
        <f>'Compiled Agents'!A476+"h_l!'S3"</f>
        <v>#VALUE!</v>
      </c>
      <c r="HS139" t="e">
        <f>'Compiled Agents'!B476+"h_l!'S4"</f>
        <v>#VALUE!</v>
      </c>
      <c r="HT139" t="e">
        <f>'Compiled Agents'!C476+"h_l!'S5"</f>
        <v>#VALUE!</v>
      </c>
      <c r="HU139" t="e">
        <f>'Compiled Agents'!E476+"h_l!'S6"</f>
        <v>#VALUE!</v>
      </c>
      <c r="HV139" t="e">
        <f>'Compiled Agents'!F476+"h_l!'S7"</f>
        <v>#VALUE!</v>
      </c>
      <c r="HW139" t="e">
        <f>'Compiled Agents'!G476+"h_l!'S8"</f>
        <v>#VALUE!</v>
      </c>
      <c r="HX139" t="e">
        <f>'Compiled Agents'!H476+"h_l!'S9"</f>
        <v>#VALUE!</v>
      </c>
      <c r="HY139" t="e">
        <f>'Compiled Agents'!A477+"h_l!'S:"</f>
        <v>#VALUE!</v>
      </c>
      <c r="HZ139" t="e">
        <f>'Compiled Agents'!B477+"h_l!'S;"</f>
        <v>#VALUE!</v>
      </c>
      <c r="IA139" t="e">
        <f>'Compiled Agents'!C477+"h_l!'S&lt;"</f>
        <v>#VALUE!</v>
      </c>
      <c r="IB139" t="e">
        <f>'Compiled Agents'!E477+"h_l!'S="</f>
        <v>#VALUE!</v>
      </c>
      <c r="IC139" t="e">
        <f>'Compiled Agents'!F477+"h_l!'S&gt;"</f>
        <v>#VALUE!</v>
      </c>
      <c r="ID139" t="e">
        <f>'Compiled Agents'!G477+"h_l!'S?"</f>
        <v>#VALUE!</v>
      </c>
      <c r="IE139" t="e">
        <f>'Compiled Agents'!H477+"h_l!'S@"</f>
        <v>#VALUE!</v>
      </c>
      <c r="IF139" t="e">
        <f>'Compiled Agents'!A478+"h_l!'SA"</f>
        <v>#VALUE!</v>
      </c>
      <c r="IG139" t="e">
        <f>'Compiled Agents'!B478+"h_l!'SB"</f>
        <v>#VALUE!</v>
      </c>
      <c r="IH139" t="e">
        <f>'Compiled Agents'!C478+"h_l!'SC"</f>
        <v>#VALUE!</v>
      </c>
      <c r="II139" t="e">
        <f>'Compiled Agents'!E478+"h_l!'SD"</f>
        <v>#VALUE!</v>
      </c>
      <c r="IJ139" t="e">
        <f>'Compiled Agents'!F478+"h_l!'SE"</f>
        <v>#VALUE!</v>
      </c>
      <c r="IK139" t="e">
        <f>'Compiled Agents'!G478+"h_l!'SF"</f>
        <v>#VALUE!</v>
      </c>
      <c r="IL139" t="e">
        <f>'Compiled Agents'!H478+"h_l!'SG"</f>
        <v>#VALUE!</v>
      </c>
      <c r="IM139" t="e">
        <f>'Compiled Agents'!A479+"h_l!'SH"</f>
        <v>#VALUE!</v>
      </c>
      <c r="IN139" t="e">
        <f>'Compiled Agents'!B479+"h_l!'SI"</f>
        <v>#VALUE!</v>
      </c>
      <c r="IO139" t="e">
        <f>'Compiled Agents'!C479+"h_l!'SJ"</f>
        <v>#VALUE!</v>
      </c>
      <c r="IP139" t="e">
        <f>'Compiled Agents'!E479+"h_l!'SK"</f>
        <v>#VALUE!</v>
      </c>
      <c r="IQ139" t="e">
        <f>'Compiled Agents'!F479+"h_l!'SL"</f>
        <v>#VALUE!</v>
      </c>
      <c r="IR139" t="e">
        <f>'Compiled Agents'!G479+"h_l!'SM"</f>
        <v>#VALUE!</v>
      </c>
      <c r="IS139" t="e">
        <f>'Compiled Agents'!H479+"h_l!'SN"</f>
        <v>#VALUE!</v>
      </c>
      <c r="IT139" t="e">
        <f>'Compiled Agents'!A480+"h_l!'SO"</f>
        <v>#VALUE!</v>
      </c>
      <c r="IU139" t="e">
        <f>'Compiled Agents'!B480+"h_l!'SP"</f>
        <v>#VALUE!</v>
      </c>
      <c r="IV139" t="e">
        <f>'Compiled Agents'!C480+"h_l!'SQ"</f>
        <v>#VALUE!</v>
      </c>
    </row>
    <row r="140" spans="6:256" x14ac:dyDescent="0.25">
      <c r="F140" t="e">
        <f>'Compiled Agents'!E480+"h_l!'SR"</f>
        <v>#VALUE!</v>
      </c>
      <c r="G140" t="e">
        <f>'Compiled Agents'!F480+"h_l!'SS"</f>
        <v>#VALUE!</v>
      </c>
      <c r="H140" t="e">
        <f>'Compiled Agents'!G480+"h_l!'ST"</f>
        <v>#VALUE!</v>
      </c>
      <c r="I140" t="e">
        <f>'Compiled Agents'!H480+"h_l!'SU"</f>
        <v>#VALUE!</v>
      </c>
      <c r="J140" t="e">
        <f>'Compiled Agents'!A481+"h_l!'SV"</f>
        <v>#VALUE!</v>
      </c>
      <c r="K140" t="e">
        <f>'Compiled Agents'!B481+"h_l!'SW"</f>
        <v>#VALUE!</v>
      </c>
      <c r="L140" t="e">
        <f>'Compiled Agents'!C481+"h_l!'SX"</f>
        <v>#VALUE!</v>
      </c>
      <c r="M140" t="e">
        <f>'Compiled Agents'!E481+"h_l!'SY"</f>
        <v>#VALUE!</v>
      </c>
      <c r="N140" t="e">
        <f>'Compiled Agents'!F481+"h_l!'SZ"</f>
        <v>#VALUE!</v>
      </c>
      <c r="O140" t="e">
        <f>'Compiled Agents'!G481+"h_l!'S["</f>
        <v>#VALUE!</v>
      </c>
      <c r="P140" t="e">
        <f>'Compiled Agents'!H481+"h_l!'S\"</f>
        <v>#VALUE!</v>
      </c>
      <c r="Q140" t="e">
        <f>'Compiled Agents'!A482+"h_l!'S]"</f>
        <v>#VALUE!</v>
      </c>
      <c r="R140" t="e">
        <f>'Compiled Agents'!B482+"h_l!'S^"</f>
        <v>#VALUE!</v>
      </c>
      <c r="S140" t="e">
        <f>'Compiled Agents'!C482+"h_l!'S_"</f>
        <v>#VALUE!</v>
      </c>
      <c r="T140" t="e">
        <f>'Compiled Agents'!E482+"h_l!'S`"</f>
        <v>#VALUE!</v>
      </c>
      <c r="U140" t="e">
        <f>'Compiled Agents'!F482+"h_l!'Sa"</f>
        <v>#VALUE!</v>
      </c>
      <c r="V140" t="e">
        <f>'Compiled Agents'!G482+"h_l!'Sb"</f>
        <v>#VALUE!</v>
      </c>
      <c r="W140" t="e">
        <f>'Compiled Agents'!H482+"h_l!'Sc"</f>
        <v>#VALUE!</v>
      </c>
      <c r="X140" t="e">
        <f>'Compiled Agents'!A483+"h_l!'Sd"</f>
        <v>#VALUE!</v>
      </c>
      <c r="Y140" t="e">
        <f>'Compiled Agents'!B483+"h_l!'Se"</f>
        <v>#VALUE!</v>
      </c>
      <c r="Z140" t="e">
        <f>'Compiled Agents'!C483+"h_l!'Sf"</f>
        <v>#VALUE!</v>
      </c>
      <c r="AA140" t="e">
        <f>'Compiled Agents'!E483+"h_l!'Sg"</f>
        <v>#VALUE!</v>
      </c>
      <c r="AB140" t="e">
        <f>'Compiled Agents'!F483+"h_l!'Sh"</f>
        <v>#VALUE!</v>
      </c>
      <c r="AC140" t="e">
        <f>'Compiled Agents'!G483+"h_l!'Si"</f>
        <v>#VALUE!</v>
      </c>
      <c r="AD140" t="e">
        <f>'Compiled Agents'!H483+"h_l!'Sj"</f>
        <v>#VALUE!</v>
      </c>
      <c r="AE140" t="e">
        <f>'Compiled Agents'!A484+"h_l!'Sk"</f>
        <v>#VALUE!</v>
      </c>
      <c r="AF140" t="e">
        <f>'Compiled Agents'!B484+"h_l!'Sl"</f>
        <v>#VALUE!</v>
      </c>
      <c r="AG140" t="e">
        <f>'Compiled Agents'!C484+"h_l!'Sm"</f>
        <v>#VALUE!</v>
      </c>
      <c r="AH140" t="e">
        <f>'Compiled Agents'!E484+"h_l!'Sn"</f>
        <v>#VALUE!</v>
      </c>
      <c r="AI140" t="e">
        <f>'Compiled Agents'!F484+"h_l!'So"</f>
        <v>#VALUE!</v>
      </c>
      <c r="AJ140" t="e">
        <f>'Compiled Agents'!G484+"h_l!'Sp"</f>
        <v>#VALUE!</v>
      </c>
      <c r="AK140" t="e">
        <f>'Compiled Agents'!H484+"h_l!'Sq"</f>
        <v>#VALUE!</v>
      </c>
      <c r="AL140" t="e">
        <f>'Compiled Agents'!A485+"h_l!'Sr"</f>
        <v>#VALUE!</v>
      </c>
      <c r="AM140" t="e">
        <f>'Compiled Agents'!B485+"h_l!'Ss"</f>
        <v>#VALUE!</v>
      </c>
      <c r="AN140" t="e">
        <f>'Compiled Agents'!C485+"h_l!'St"</f>
        <v>#VALUE!</v>
      </c>
      <c r="AO140" t="e">
        <f>'Compiled Agents'!E485+"h_l!'Su"</f>
        <v>#VALUE!</v>
      </c>
      <c r="AP140" t="e">
        <f>'Compiled Agents'!F485+"h_l!'Sv"</f>
        <v>#VALUE!</v>
      </c>
      <c r="AQ140" t="e">
        <f>'Compiled Agents'!G485+"h_l!'Sw"</f>
        <v>#VALUE!</v>
      </c>
      <c r="AR140" t="e">
        <f>'Compiled Agents'!H485+"h_l!'Sx"</f>
        <v>#VALUE!</v>
      </c>
      <c r="AS140" t="e">
        <f>'Compiled Agents'!A486+"h_l!'Sy"</f>
        <v>#VALUE!</v>
      </c>
      <c r="AT140" t="e">
        <f>'Compiled Agents'!B486+"h_l!'Sz"</f>
        <v>#VALUE!</v>
      </c>
      <c r="AU140" t="e">
        <f>'Compiled Agents'!C486+"h_l!'S{"</f>
        <v>#VALUE!</v>
      </c>
      <c r="AV140" t="e">
        <f>'Compiled Agents'!E486+"h_l!'S|"</f>
        <v>#VALUE!</v>
      </c>
      <c r="AW140" t="e">
        <f>'Compiled Agents'!F486+"h_l!'S}"</f>
        <v>#VALUE!</v>
      </c>
      <c r="AX140" t="e">
        <f>'Compiled Agents'!G486+"h_l!'S~"</f>
        <v>#VALUE!</v>
      </c>
      <c r="AY140" t="e">
        <f>'Compiled Agents'!H486+"h_l!'T#"</f>
        <v>#VALUE!</v>
      </c>
      <c r="AZ140" t="e">
        <f>'Compiled Agents'!A487+"h_l!'T$"</f>
        <v>#VALUE!</v>
      </c>
      <c r="BA140" t="e">
        <f>'Compiled Agents'!B487+"h_l!'T%"</f>
        <v>#VALUE!</v>
      </c>
      <c r="BB140" t="e">
        <f>'Compiled Agents'!C487+"h_l!'T&amp;"</f>
        <v>#VALUE!</v>
      </c>
      <c r="BC140" t="e">
        <f>'Compiled Agents'!E487+"h_l!'T'"</f>
        <v>#VALUE!</v>
      </c>
      <c r="BD140" t="e">
        <f>'Compiled Agents'!F487+"h_l!'T("</f>
        <v>#VALUE!</v>
      </c>
      <c r="BE140" t="e">
        <f>'Compiled Agents'!G487+"h_l!'T)"</f>
        <v>#VALUE!</v>
      </c>
      <c r="BF140" t="e">
        <f>'Compiled Agents'!H487+"h_l!'T."</f>
        <v>#VALUE!</v>
      </c>
      <c r="BG140" t="e">
        <f>'Compiled Agents'!A488+"h_l!'T/"</f>
        <v>#VALUE!</v>
      </c>
      <c r="BH140" t="e">
        <f>'Compiled Agents'!B488+"h_l!'T0"</f>
        <v>#VALUE!</v>
      </c>
      <c r="BI140" t="e">
        <f>'Compiled Agents'!C488+"h_l!'T1"</f>
        <v>#VALUE!</v>
      </c>
      <c r="BJ140" t="e">
        <f>'Compiled Agents'!E488+"h_l!'T2"</f>
        <v>#VALUE!</v>
      </c>
      <c r="BK140" t="e">
        <f>'Compiled Agents'!F488+"h_l!'T3"</f>
        <v>#VALUE!</v>
      </c>
      <c r="BL140" t="e">
        <f>'Compiled Agents'!G488+"h_l!'T4"</f>
        <v>#VALUE!</v>
      </c>
      <c r="BM140" t="e">
        <f>'Compiled Agents'!H488+"h_l!'T5"</f>
        <v>#VALUE!</v>
      </c>
      <c r="BN140" t="e">
        <f>'Compiled Agents'!A489+"h_l!'T6"</f>
        <v>#VALUE!</v>
      </c>
      <c r="BO140" t="e">
        <f>'Compiled Agents'!B489+"h_l!'T7"</f>
        <v>#VALUE!</v>
      </c>
      <c r="BP140" t="e">
        <f>'Compiled Agents'!C489+"h_l!'T8"</f>
        <v>#VALUE!</v>
      </c>
      <c r="BQ140" t="e">
        <f>'Compiled Agents'!E489+"h_l!'T9"</f>
        <v>#VALUE!</v>
      </c>
      <c r="BR140" t="e">
        <f>'Compiled Agents'!F489+"h_l!'T:"</f>
        <v>#VALUE!</v>
      </c>
      <c r="BS140" t="e">
        <f>'Compiled Agents'!G489+"h_l!'T;"</f>
        <v>#VALUE!</v>
      </c>
      <c r="BT140" t="e">
        <f>'Compiled Agents'!H489+"h_l!'T&lt;"</f>
        <v>#VALUE!</v>
      </c>
      <c r="BU140" t="e">
        <f>'Compiled Agents'!A490+"h_l!'T="</f>
        <v>#VALUE!</v>
      </c>
      <c r="BV140" t="e">
        <f>'Compiled Agents'!B490+"h_l!'T&gt;"</f>
        <v>#VALUE!</v>
      </c>
      <c r="BW140" t="e">
        <f>'Compiled Agents'!C490+"h_l!'T?"</f>
        <v>#VALUE!</v>
      </c>
      <c r="BX140" t="e">
        <f>'Compiled Agents'!E490+"h_l!'T@"</f>
        <v>#VALUE!</v>
      </c>
      <c r="BY140" t="e">
        <f>'Compiled Agents'!F490+"h_l!'TA"</f>
        <v>#VALUE!</v>
      </c>
      <c r="BZ140" t="e">
        <f>'Compiled Agents'!G490+"h_l!'TB"</f>
        <v>#VALUE!</v>
      </c>
      <c r="CA140" t="e">
        <f>'Compiled Agents'!H490+"h_l!'TC"</f>
        <v>#VALUE!</v>
      </c>
      <c r="CB140" t="e">
        <f>'Compiled Agents'!A491+"h_l!'TD"</f>
        <v>#VALUE!</v>
      </c>
      <c r="CC140" t="e">
        <f>'Compiled Agents'!B491+"h_l!'TE"</f>
        <v>#VALUE!</v>
      </c>
      <c r="CD140" t="e">
        <f>'Compiled Agents'!C491+"h_l!'TF"</f>
        <v>#VALUE!</v>
      </c>
      <c r="CE140" t="e">
        <f>'Compiled Agents'!E491+"h_l!'TG"</f>
        <v>#VALUE!</v>
      </c>
      <c r="CF140" t="e">
        <f>'Compiled Agents'!F491+"h_l!'TH"</f>
        <v>#VALUE!</v>
      </c>
      <c r="CG140" t="e">
        <f>'Compiled Agents'!G491+"h_l!'TI"</f>
        <v>#VALUE!</v>
      </c>
      <c r="CH140" t="e">
        <f>'Compiled Agents'!H491+"h_l!'TJ"</f>
        <v>#VALUE!</v>
      </c>
      <c r="CI140" t="e">
        <f>'Compiled Agents'!A492+"h_l!'TK"</f>
        <v>#VALUE!</v>
      </c>
      <c r="CJ140" t="e">
        <f>'Compiled Agents'!B492+"h_l!'TL"</f>
        <v>#VALUE!</v>
      </c>
      <c r="CK140" t="e">
        <f>'Compiled Agents'!C492+"h_l!'TM"</f>
        <v>#VALUE!</v>
      </c>
      <c r="CL140" t="e">
        <f>'Compiled Agents'!E492+"h_l!'TN"</f>
        <v>#VALUE!</v>
      </c>
      <c r="CM140" t="e">
        <f>'Compiled Agents'!F492+"h_l!'TO"</f>
        <v>#VALUE!</v>
      </c>
      <c r="CN140" t="e">
        <f>'Compiled Agents'!G492+"h_l!'TP"</f>
        <v>#VALUE!</v>
      </c>
      <c r="CO140" t="e">
        <f>'Compiled Agents'!H492+"h_l!'TQ"</f>
        <v>#VALUE!</v>
      </c>
      <c r="CP140" t="e">
        <f>'Compiled Agents'!A493+"h_l!'TR"</f>
        <v>#VALUE!</v>
      </c>
      <c r="CQ140" t="e">
        <f>'Compiled Agents'!B493+"h_l!'TS"</f>
        <v>#VALUE!</v>
      </c>
      <c r="CR140" t="e">
        <f>'Compiled Agents'!C493+"h_l!'TT"</f>
        <v>#VALUE!</v>
      </c>
      <c r="CS140" t="e">
        <f>'Compiled Agents'!E493+"h_l!'TU"</f>
        <v>#VALUE!</v>
      </c>
      <c r="CT140" t="e">
        <f>'Compiled Agents'!F493+"h_l!'TV"</f>
        <v>#VALUE!</v>
      </c>
      <c r="CU140" t="e">
        <f>'Compiled Agents'!G493+"h_l!'TW"</f>
        <v>#VALUE!</v>
      </c>
      <c r="CV140" t="e">
        <f>'Compiled Agents'!H493+"h_l!'TX"</f>
        <v>#VALUE!</v>
      </c>
      <c r="CW140" t="e">
        <f>'Compiled Agents'!A494+"h_l!'TY"</f>
        <v>#VALUE!</v>
      </c>
      <c r="CX140" t="e">
        <f>'Compiled Agents'!B494+"h_l!'TZ"</f>
        <v>#VALUE!</v>
      </c>
      <c r="CY140" t="e">
        <f>'Compiled Agents'!C494+"h_l!'T["</f>
        <v>#VALUE!</v>
      </c>
      <c r="CZ140" t="e">
        <f>'Compiled Agents'!E494+"h_l!'T\"</f>
        <v>#VALUE!</v>
      </c>
      <c r="DA140" t="e">
        <f>'Compiled Agents'!F494+"h_l!'T]"</f>
        <v>#VALUE!</v>
      </c>
      <c r="DB140" t="e">
        <f>'Compiled Agents'!G494+"h_l!'T^"</f>
        <v>#VALUE!</v>
      </c>
      <c r="DC140" t="e">
        <f>'Compiled Agents'!H494+"h_l!'T_"</f>
        <v>#VALUE!</v>
      </c>
      <c r="DD140" t="e">
        <f>'Compiled Agents'!A495+"h_l!'T`"</f>
        <v>#VALUE!</v>
      </c>
      <c r="DE140" t="e">
        <f>'Compiled Agents'!B495+"h_l!'Ta"</f>
        <v>#VALUE!</v>
      </c>
      <c r="DF140" t="e">
        <f>'Compiled Agents'!C495+"h_l!'Tb"</f>
        <v>#VALUE!</v>
      </c>
      <c r="DG140" t="e">
        <f>'Compiled Agents'!E495+"h_l!'Tc"</f>
        <v>#VALUE!</v>
      </c>
      <c r="DH140" t="e">
        <f>'Compiled Agents'!F495+"h_l!'Td"</f>
        <v>#VALUE!</v>
      </c>
      <c r="DI140" t="e">
        <f>'Compiled Agents'!G495+"h_l!'Te"</f>
        <v>#VALUE!</v>
      </c>
      <c r="DJ140" t="e">
        <f>'Compiled Agents'!H495+"h_l!'Tf"</f>
        <v>#VALUE!</v>
      </c>
      <c r="DK140" t="e">
        <f>'Compiled Agents'!A496+"h_l!'Tg"</f>
        <v>#VALUE!</v>
      </c>
      <c r="DL140" t="e">
        <f>'Compiled Agents'!B496+"h_l!'Th"</f>
        <v>#VALUE!</v>
      </c>
      <c r="DM140" t="e">
        <f>'Compiled Agents'!C496+"h_l!'Ti"</f>
        <v>#VALUE!</v>
      </c>
      <c r="DN140" t="e">
        <f>'Compiled Agents'!E496+"h_l!'Tj"</f>
        <v>#VALUE!</v>
      </c>
      <c r="DO140" t="e">
        <f>'Compiled Agents'!F496+"h_l!'Tk"</f>
        <v>#VALUE!</v>
      </c>
      <c r="DP140" t="e">
        <f>'Compiled Agents'!G496+"h_l!'Tl"</f>
        <v>#VALUE!</v>
      </c>
      <c r="DQ140" t="e">
        <f>'Compiled Agents'!H496+"h_l!'Tm"</f>
        <v>#VALUE!</v>
      </c>
      <c r="DR140" t="e">
        <f>'Compiled Agents'!A497+"h_l!'Tn"</f>
        <v>#VALUE!</v>
      </c>
      <c r="DS140" t="e">
        <f>'Compiled Agents'!B497+"h_l!'To"</f>
        <v>#VALUE!</v>
      </c>
      <c r="DT140" t="e">
        <f>'Compiled Agents'!C497+"h_l!'Tp"</f>
        <v>#VALUE!</v>
      </c>
      <c r="DU140" t="e">
        <f>'Compiled Agents'!E497+"h_l!'Tq"</f>
        <v>#VALUE!</v>
      </c>
      <c r="DV140" t="e">
        <f>'Compiled Agents'!F497+"h_l!'Tr"</f>
        <v>#VALUE!</v>
      </c>
      <c r="DW140" t="e">
        <f>'Compiled Agents'!G497+"h_l!'Ts"</f>
        <v>#VALUE!</v>
      </c>
      <c r="DX140" t="e">
        <f>'Compiled Agents'!H497+"h_l!'Tt"</f>
        <v>#VALUE!</v>
      </c>
      <c r="DY140" t="e">
        <f>'Compiled Agents'!A498+"h_l!'Tu"</f>
        <v>#VALUE!</v>
      </c>
      <c r="DZ140" t="e">
        <f>'Compiled Agents'!B498+"h_l!'Tv"</f>
        <v>#VALUE!</v>
      </c>
      <c r="EA140" t="e">
        <f>'Compiled Agents'!C498+"h_l!'Tw"</f>
        <v>#VALUE!</v>
      </c>
      <c r="EB140" t="e">
        <f>'Compiled Agents'!E498+"h_l!'Tx"</f>
        <v>#VALUE!</v>
      </c>
      <c r="EC140" t="e">
        <f>'Compiled Agents'!F498+"h_l!'Ty"</f>
        <v>#VALUE!</v>
      </c>
      <c r="ED140" t="e">
        <f>'Compiled Agents'!G498+"h_l!'Tz"</f>
        <v>#VALUE!</v>
      </c>
      <c r="EE140" t="e">
        <f>'Compiled Agents'!H498+"h_l!'T{"</f>
        <v>#VALUE!</v>
      </c>
      <c r="EF140" t="e">
        <f>'Compiled Agents'!A499+"h_l!'T|"</f>
        <v>#VALUE!</v>
      </c>
      <c r="EG140" t="e">
        <f>'Compiled Agents'!B499+"h_l!'T}"</f>
        <v>#VALUE!</v>
      </c>
      <c r="EH140" t="e">
        <f>'Compiled Agents'!C499+"h_l!'T~"</f>
        <v>#VALUE!</v>
      </c>
      <c r="EI140" t="e">
        <f>'Compiled Agents'!E499+"h_l!'U#"</f>
        <v>#VALUE!</v>
      </c>
      <c r="EJ140" t="e">
        <f>'Compiled Agents'!F499+"h_l!'U$"</f>
        <v>#VALUE!</v>
      </c>
      <c r="EK140" t="e">
        <f>'Compiled Agents'!G499+"h_l!'U%"</f>
        <v>#VALUE!</v>
      </c>
      <c r="EL140" t="e">
        <f>'Compiled Agents'!H499+"h_l!'U&amp;"</f>
        <v>#VALUE!</v>
      </c>
      <c r="EM140" t="e">
        <f>'Compiled Agents'!A500+"h_l!'U'"</f>
        <v>#VALUE!</v>
      </c>
      <c r="EN140" t="e">
        <f>'Compiled Agents'!B500+"h_l!'U("</f>
        <v>#VALUE!</v>
      </c>
      <c r="EO140" t="e">
        <f>'Compiled Agents'!C500+"h_l!'U)"</f>
        <v>#VALUE!</v>
      </c>
      <c r="EP140" t="e">
        <f>'Compiled Agents'!E500+"h_l!'U."</f>
        <v>#VALUE!</v>
      </c>
      <c r="EQ140" t="e">
        <f>'Compiled Agents'!F500+"h_l!'U/"</f>
        <v>#VALUE!</v>
      </c>
      <c r="ER140" t="e">
        <f>'Compiled Agents'!G500+"h_l!'U0"</f>
        <v>#VALUE!</v>
      </c>
      <c r="ES140" t="e">
        <f>'Compiled Agents'!H500+"h_l!'U1"</f>
        <v>#VALUE!</v>
      </c>
      <c r="ET140" t="e">
        <f>'Compiled Agents'!A501+"h_l!'U2"</f>
        <v>#VALUE!</v>
      </c>
      <c r="EU140" t="e">
        <f>'Compiled Agents'!B501+"h_l!'U3"</f>
        <v>#VALUE!</v>
      </c>
      <c r="EV140" t="e">
        <f>'Compiled Agents'!C501+"h_l!'U4"</f>
        <v>#VALUE!</v>
      </c>
      <c r="EW140" t="e">
        <f>'Compiled Agents'!E501+"h_l!'U5"</f>
        <v>#VALUE!</v>
      </c>
      <c r="EX140" t="e">
        <f>'Compiled Agents'!F501+"h_l!'U6"</f>
        <v>#VALUE!</v>
      </c>
      <c r="EY140" t="e">
        <f>'Compiled Agents'!G501+"h_l!'U7"</f>
        <v>#VALUE!</v>
      </c>
      <c r="EZ140" t="e">
        <f>'Compiled Agents'!H501+"h_l!'U8"</f>
        <v>#VALUE!</v>
      </c>
      <c r="FA140" t="e">
        <f>'Compiled Agents'!A502+"h_l!'U9"</f>
        <v>#VALUE!</v>
      </c>
      <c r="FB140" t="e">
        <f>'Compiled Agents'!B502+"h_l!'U:"</f>
        <v>#VALUE!</v>
      </c>
      <c r="FC140" t="e">
        <f>'Compiled Agents'!C502+"h_l!'U;"</f>
        <v>#VALUE!</v>
      </c>
      <c r="FD140" t="e">
        <f>'Compiled Agents'!E502+"h_l!'U&lt;"</f>
        <v>#VALUE!</v>
      </c>
      <c r="FE140" t="e">
        <f>'Compiled Agents'!F502+"h_l!'U="</f>
        <v>#VALUE!</v>
      </c>
      <c r="FF140" t="e">
        <f>'Compiled Agents'!G502+"h_l!'U&gt;"</f>
        <v>#VALUE!</v>
      </c>
      <c r="FG140" t="e">
        <f>'Compiled Agents'!H502+"h_l!'U?"</f>
        <v>#VALUE!</v>
      </c>
      <c r="FH140" t="e">
        <f>'Compiled Agents'!A503+"h_l!'U@"</f>
        <v>#VALUE!</v>
      </c>
      <c r="FI140" t="e">
        <f>'Compiled Agents'!B503+"h_l!'UA"</f>
        <v>#VALUE!</v>
      </c>
      <c r="FJ140" t="e">
        <f>'Compiled Agents'!C503+"h_l!'UB"</f>
        <v>#VALUE!</v>
      </c>
      <c r="FK140" t="e">
        <f>'Compiled Agents'!E503+"h_l!'UC"</f>
        <v>#VALUE!</v>
      </c>
      <c r="FL140" t="e">
        <f>'Compiled Agents'!F503+"h_l!'UD"</f>
        <v>#VALUE!</v>
      </c>
      <c r="FM140" t="e">
        <f>'Compiled Agents'!G503+"h_l!'UE"</f>
        <v>#VALUE!</v>
      </c>
      <c r="FN140" t="e">
        <f>'Compiled Agents'!H503+"h_l!'UF"</f>
        <v>#VALUE!</v>
      </c>
      <c r="FO140" t="e">
        <f>'Compiled Agents'!A504+"h_l!'UG"</f>
        <v>#VALUE!</v>
      </c>
      <c r="FP140" t="e">
        <f>'Compiled Agents'!B504+"h_l!'UH"</f>
        <v>#VALUE!</v>
      </c>
      <c r="FQ140" t="e">
        <f>'Compiled Agents'!C504+"h_l!'UI"</f>
        <v>#VALUE!</v>
      </c>
      <c r="FR140" t="e">
        <f>'Compiled Agents'!E504+"h_l!'UJ"</f>
        <v>#VALUE!</v>
      </c>
      <c r="FS140" t="e">
        <f>'Compiled Agents'!F504+"h_l!'UK"</f>
        <v>#VALUE!</v>
      </c>
      <c r="FT140" t="e">
        <f>'Compiled Agents'!G504+"h_l!'UL"</f>
        <v>#VALUE!</v>
      </c>
      <c r="FU140" t="e">
        <f>'Compiled Agents'!H504+"h_l!'UM"</f>
        <v>#VALUE!</v>
      </c>
      <c r="FV140" t="e">
        <f>'Compiled Agents'!A505+"h_l!'UN"</f>
        <v>#VALUE!</v>
      </c>
      <c r="FW140" t="e">
        <f>'Compiled Agents'!B505+"h_l!'UO"</f>
        <v>#VALUE!</v>
      </c>
      <c r="FX140" t="e">
        <f>'Compiled Agents'!C505+"h_l!'UP"</f>
        <v>#VALUE!</v>
      </c>
      <c r="FY140" t="e">
        <f>'Compiled Agents'!E505+"h_l!'UQ"</f>
        <v>#VALUE!</v>
      </c>
      <c r="FZ140" t="e">
        <f>'Compiled Agents'!F505+"h_l!'UR"</f>
        <v>#VALUE!</v>
      </c>
      <c r="GA140" t="e">
        <f>'Compiled Agents'!G505+"h_l!'US"</f>
        <v>#VALUE!</v>
      </c>
      <c r="GB140" t="e">
        <f>'Compiled Agents'!H505+"h_l!'UT"</f>
        <v>#VALUE!</v>
      </c>
      <c r="GC140" t="e">
        <f>'Compiled Agents'!A506+"h_l!'UU"</f>
        <v>#VALUE!</v>
      </c>
      <c r="GD140" t="e">
        <f>'Compiled Agents'!B506+"h_l!'UV"</f>
        <v>#VALUE!</v>
      </c>
      <c r="GE140" t="e">
        <f>'Compiled Agents'!C506+"h_l!'UW"</f>
        <v>#VALUE!</v>
      </c>
      <c r="GF140" t="e">
        <f>'Compiled Agents'!E506+"h_l!'UX"</f>
        <v>#VALUE!</v>
      </c>
      <c r="GG140" t="e">
        <f>'Compiled Agents'!F506+"h_l!'UY"</f>
        <v>#VALUE!</v>
      </c>
      <c r="GH140" t="e">
        <f>'Compiled Agents'!G506+"h_l!'UZ"</f>
        <v>#VALUE!</v>
      </c>
      <c r="GI140" t="e">
        <f>'Compiled Agents'!H506+"h_l!'U["</f>
        <v>#VALUE!</v>
      </c>
      <c r="GJ140" t="e">
        <f>'Compiled Agents'!A507+"h_l!'U\"</f>
        <v>#VALUE!</v>
      </c>
      <c r="GK140" t="e">
        <f>'Compiled Agents'!B507+"h_l!'U]"</f>
        <v>#VALUE!</v>
      </c>
      <c r="GL140" t="e">
        <f>'Compiled Agents'!C507+"h_l!'U^"</f>
        <v>#VALUE!</v>
      </c>
      <c r="GM140" t="e">
        <f>'Compiled Agents'!E507+"h_l!'U_"</f>
        <v>#VALUE!</v>
      </c>
      <c r="GN140" t="e">
        <f>'Compiled Agents'!F507+"h_l!'U`"</f>
        <v>#VALUE!</v>
      </c>
      <c r="GO140" t="e">
        <f>'Compiled Agents'!G507+"h_l!'Ua"</f>
        <v>#VALUE!</v>
      </c>
      <c r="GP140" t="e">
        <f>'Compiled Agents'!H507+"h_l!'Ub"</f>
        <v>#VALUE!</v>
      </c>
      <c r="GQ140" t="e">
        <f>'Compiled Agents'!A508+"h_l!'Uc"</f>
        <v>#VALUE!</v>
      </c>
      <c r="GR140" t="e">
        <f>'Compiled Agents'!B508+"h_l!'Ud"</f>
        <v>#VALUE!</v>
      </c>
      <c r="GS140" t="e">
        <f>'Compiled Agents'!C508+"h_l!'Ue"</f>
        <v>#VALUE!</v>
      </c>
      <c r="GT140" t="e">
        <f>'Compiled Agents'!E508+"h_l!'Uf"</f>
        <v>#VALUE!</v>
      </c>
      <c r="GU140" t="e">
        <f>'Compiled Agents'!F508+"h_l!'Ug"</f>
        <v>#VALUE!</v>
      </c>
      <c r="GV140" t="e">
        <f>'Compiled Agents'!G508+"h_l!'Uh"</f>
        <v>#VALUE!</v>
      </c>
      <c r="GW140" t="e">
        <f>'Compiled Agents'!H508+"h_l!'Ui"</f>
        <v>#VALUE!</v>
      </c>
      <c r="GX140" t="e">
        <f>'Compiled Agents'!A509+"h_l!'Uj"</f>
        <v>#VALUE!</v>
      </c>
      <c r="GY140" t="e">
        <f>'Compiled Agents'!B509+"h_l!'Uk"</f>
        <v>#VALUE!</v>
      </c>
      <c r="GZ140" t="e">
        <f>'Compiled Agents'!C509+"h_l!'Ul"</f>
        <v>#VALUE!</v>
      </c>
      <c r="HA140" t="e">
        <f>'Compiled Agents'!E509+"h_l!'Um"</f>
        <v>#VALUE!</v>
      </c>
      <c r="HB140" t="e">
        <f>'Compiled Agents'!F509+"h_l!'Un"</f>
        <v>#VALUE!</v>
      </c>
      <c r="HC140" t="e">
        <f>'Compiled Agents'!G509+"h_l!'Uo"</f>
        <v>#VALUE!</v>
      </c>
      <c r="HD140" t="e">
        <f>'Compiled Agents'!H509+"h_l!'Up"</f>
        <v>#VALUE!</v>
      </c>
      <c r="HE140" t="e">
        <f>'Compiled Agents'!A510+"h_l!'Uq"</f>
        <v>#VALUE!</v>
      </c>
      <c r="HF140" t="e">
        <f>'Compiled Agents'!B510+"h_l!'Ur"</f>
        <v>#VALUE!</v>
      </c>
      <c r="HG140" t="e">
        <f>'Compiled Agents'!C510+"h_l!'Us"</f>
        <v>#VALUE!</v>
      </c>
      <c r="HH140" t="e">
        <f>'Compiled Agents'!E510+"h_l!'Ut"</f>
        <v>#VALUE!</v>
      </c>
      <c r="HI140" t="e">
        <f>'Compiled Agents'!F510+"h_l!'Uu"</f>
        <v>#VALUE!</v>
      </c>
      <c r="HJ140" t="e">
        <f>'Compiled Agents'!G510+"h_l!'Uv"</f>
        <v>#VALUE!</v>
      </c>
      <c r="HK140" t="e">
        <f>'Compiled Agents'!H510+"h_l!'Uw"</f>
        <v>#VALUE!</v>
      </c>
      <c r="HL140" t="e">
        <f>'Compiled Agents'!A511+"h_l!'Ux"</f>
        <v>#VALUE!</v>
      </c>
      <c r="HM140" t="e">
        <f>'Compiled Agents'!B511+"h_l!'Uy"</f>
        <v>#VALUE!</v>
      </c>
      <c r="HN140" t="e">
        <f>'Compiled Agents'!C511+"h_l!'Uz"</f>
        <v>#VALUE!</v>
      </c>
      <c r="HO140" t="e">
        <f>'Compiled Agents'!E511+"h_l!'U{"</f>
        <v>#VALUE!</v>
      </c>
      <c r="HP140" t="e">
        <f>'Compiled Agents'!F511+"h_l!'U|"</f>
        <v>#VALUE!</v>
      </c>
      <c r="HQ140" t="e">
        <f>'Compiled Agents'!G511+"h_l!'U}"</f>
        <v>#VALUE!</v>
      </c>
      <c r="HR140" t="e">
        <f>'Compiled Agents'!H511+"h_l!'U~"</f>
        <v>#VALUE!</v>
      </c>
      <c r="HS140" t="e">
        <f>'Compiled Agents'!A512+"h_l!'V#"</f>
        <v>#VALUE!</v>
      </c>
      <c r="HT140" t="e">
        <f>'Compiled Agents'!B512+"h_l!'V$"</f>
        <v>#VALUE!</v>
      </c>
      <c r="HU140" t="e">
        <f>'Compiled Agents'!C512+"h_l!'V%"</f>
        <v>#VALUE!</v>
      </c>
      <c r="HV140" t="e">
        <f>'Compiled Agents'!E512+"h_l!'V&amp;"</f>
        <v>#VALUE!</v>
      </c>
      <c r="HW140" t="e">
        <f>'Compiled Agents'!F512+"h_l!'V'"</f>
        <v>#VALUE!</v>
      </c>
      <c r="HX140" t="e">
        <f>'Compiled Agents'!G512+"h_l!'V("</f>
        <v>#VALUE!</v>
      </c>
      <c r="HY140" t="e">
        <f>'Compiled Agents'!H512+"h_l!'V)"</f>
        <v>#VALUE!</v>
      </c>
      <c r="HZ140" t="e">
        <f>'Compiled Agents'!A513+"h_l!'V."</f>
        <v>#VALUE!</v>
      </c>
      <c r="IA140" t="e">
        <f>'Compiled Agents'!B513+"h_l!'V/"</f>
        <v>#VALUE!</v>
      </c>
      <c r="IB140" t="e">
        <f>'Compiled Agents'!C513+"h_l!'V0"</f>
        <v>#VALUE!</v>
      </c>
      <c r="IC140" t="e">
        <f>'Compiled Agents'!E513+"h_l!'V1"</f>
        <v>#VALUE!</v>
      </c>
      <c r="ID140" t="e">
        <f>'Compiled Agents'!F513+"h_l!'V2"</f>
        <v>#VALUE!</v>
      </c>
      <c r="IE140" t="e">
        <f>'Compiled Agents'!G513+"h_l!'V3"</f>
        <v>#VALUE!</v>
      </c>
      <c r="IF140" t="e">
        <f>'Compiled Agents'!H513+"h_l!'V4"</f>
        <v>#VALUE!</v>
      </c>
      <c r="IG140" t="e">
        <f>'Compiled Agents'!A514+"h_l!'V5"</f>
        <v>#VALUE!</v>
      </c>
      <c r="IH140" t="e">
        <f>'Compiled Agents'!B514+"h_l!'V6"</f>
        <v>#VALUE!</v>
      </c>
      <c r="II140" t="e">
        <f>'Compiled Agents'!C514+"h_l!'V7"</f>
        <v>#VALUE!</v>
      </c>
      <c r="IJ140" t="e">
        <f>'Compiled Agents'!E514+"h_l!'V8"</f>
        <v>#VALUE!</v>
      </c>
      <c r="IK140" t="e">
        <f>'Compiled Agents'!F514+"h_l!'V9"</f>
        <v>#VALUE!</v>
      </c>
      <c r="IL140" t="e">
        <f>'Compiled Agents'!G514+"h_l!'V:"</f>
        <v>#VALUE!</v>
      </c>
      <c r="IM140" t="e">
        <f>'Compiled Agents'!H514+"h_l!'V;"</f>
        <v>#VALUE!</v>
      </c>
      <c r="IN140" t="e">
        <f>'Compiled Agents'!A515+"h_l!'V&lt;"</f>
        <v>#VALUE!</v>
      </c>
      <c r="IO140" t="e">
        <f>'Compiled Agents'!B515+"h_l!'V="</f>
        <v>#VALUE!</v>
      </c>
      <c r="IP140" t="e">
        <f>'Compiled Agents'!C515+"h_l!'V&gt;"</f>
        <v>#VALUE!</v>
      </c>
      <c r="IQ140" t="e">
        <f>'Compiled Agents'!E515+"h_l!'V?"</f>
        <v>#VALUE!</v>
      </c>
      <c r="IR140" t="e">
        <f>'Compiled Agents'!F515+"h_l!'V@"</f>
        <v>#VALUE!</v>
      </c>
      <c r="IS140" t="e">
        <f>'Compiled Agents'!G515+"h_l!'VA"</f>
        <v>#VALUE!</v>
      </c>
      <c r="IT140" t="e">
        <f>'Compiled Agents'!H515+"h_l!'VB"</f>
        <v>#VALUE!</v>
      </c>
      <c r="IU140" t="e">
        <f>'Compiled Agents'!A516+"h_l!'VC"</f>
        <v>#VALUE!</v>
      </c>
      <c r="IV140" t="e">
        <f>'Compiled Agents'!B516+"h_l!'VD"</f>
        <v>#VALUE!</v>
      </c>
    </row>
    <row r="141" spans="6:256" x14ac:dyDescent="0.25">
      <c r="F141" t="e">
        <f>'Compiled Agents'!C516+"h_l!'VE"</f>
        <v>#VALUE!</v>
      </c>
      <c r="G141" t="e">
        <f>'Compiled Agents'!E516+"h_l!'VF"</f>
        <v>#VALUE!</v>
      </c>
      <c r="H141" t="e">
        <f>'Compiled Agents'!F516+"h_l!'VG"</f>
        <v>#VALUE!</v>
      </c>
      <c r="I141" t="e">
        <f>'Compiled Agents'!G516+"h_l!'VH"</f>
        <v>#VALUE!</v>
      </c>
      <c r="J141" t="e">
        <f>'Compiled Agents'!H516+"h_l!'VI"</f>
        <v>#VALUE!</v>
      </c>
      <c r="K141" t="e">
        <f>'Compiled Agents'!A517+"h_l!'VJ"</f>
        <v>#VALUE!</v>
      </c>
      <c r="L141" t="e">
        <f>'Compiled Agents'!B517+"h_l!'VK"</f>
        <v>#VALUE!</v>
      </c>
      <c r="M141" t="e">
        <f>'Compiled Agents'!C517+"h_l!'VL"</f>
        <v>#VALUE!</v>
      </c>
      <c r="N141" t="e">
        <f>'Compiled Agents'!E517+"h_l!'VM"</f>
        <v>#VALUE!</v>
      </c>
      <c r="O141" t="e">
        <f>'Compiled Agents'!F517+"h_l!'VN"</f>
        <v>#VALUE!</v>
      </c>
      <c r="P141" t="e">
        <f>'Compiled Agents'!G517+"h_l!'VO"</f>
        <v>#VALUE!</v>
      </c>
      <c r="Q141" t="e">
        <f>'Compiled Agents'!H517+"h_l!'VP"</f>
        <v>#VALUE!</v>
      </c>
      <c r="R141" t="e">
        <f>'Compiled Agents'!A518+"h_l!'VQ"</f>
        <v>#VALUE!</v>
      </c>
      <c r="S141" t="e">
        <f>'Compiled Agents'!B518+"h_l!'VR"</f>
        <v>#VALUE!</v>
      </c>
      <c r="T141" t="e">
        <f>'Compiled Agents'!C518+"h_l!'VS"</f>
        <v>#VALUE!</v>
      </c>
      <c r="U141" t="e">
        <f>'Compiled Agents'!E518+"h_l!'VT"</f>
        <v>#VALUE!</v>
      </c>
      <c r="V141" t="e">
        <f>'Compiled Agents'!F518+"h_l!'VU"</f>
        <v>#VALUE!</v>
      </c>
      <c r="W141" t="e">
        <f>'Compiled Agents'!G518+"h_l!'VV"</f>
        <v>#VALUE!</v>
      </c>
      <c r="X141" t="e">
        <f>'Compiled Agents'!H518+"h_l!'VW"</f>
        <v>#VALUE!</v>
      </c>
      <c r="Y141" t="e">
        <f>'Compiled Agents'!A519+"h_l!'VX"</f>
        <v>#VALUE!</v>
      </c>
      <c r="Z141" t="e">
        <f>'Compiled Agents'!B519+"h_l!'VY"</f>
        <v>#VALUE!</v>
      </c>
      <c r="AA141" t="e">
        <f>'Compiled Agents'!C519+"h_l!'VZ"</f>
        <v>#VALUE!</v>
      </c>
      <c r="AB141" t="e">
        <f>'Compiled Agents'!E519+"h_l!'V["</f>
        <v>#VALUE!</v>
      </c>
      <c r="AC141" t="e">
        <f>'Compiled Agents'!F519+"h_l!'V\"</f>
        <v>#VALUE!</v>
      </c>
      <c r="AD141" t="e">
        <f>'Compiled Agents'!G519+"h_l!'V]"</f>
        <v>#VALUE!</v>
      </c>
      <c r="AE141" t="e">
        <f>'Compiled Agents'!H519+"h_l!'V^"</f>
        <v>#VALUE!</v>
      </c>
      <c r="AF141" t="e">
        <f>'Compiled Agents'!A520+"h_l!'V_"</f>
        <v>#VALUE!</v>
      </c>
      <c r="AG141" t="e">
        <f>'Compiled Agents'!B520+"h_l!'V`"</f>
        <v>#VALUE!</v>
      </c>
      <c r="AH141" t="e">
        <f>'Compiled Agents'!C520+"h_l!'Va"</f>
        <v>#VALUE!</v>
      </c>
      <c r="AI141" t="e">
        <f>'Compiled Agents'!E520+"h_l!'Vb"</f>
        <v>#VALUE!</v>
      </c>
      <c r="AJ141" t="e">
        <f>'Compiled Agents'!F520+"h_l!'Vc"</f>
        <v>#VALUE!</v>
      </c>
      <c r="AK141" t="e">
        <f>'Compiled Agents'!G520+"h_l!'Vd"</f>
        <v>#VALUE!</v>
      </c>
      <c r="AL141" t="e">
        <f>'Compiled Agents'!H520+"h_l!'Ve"</f>
        <v>#VALUE!</v>
      </c>
      <c r="AM141" t="e">
        <f>'Compiled Agents'!A521+"h_l!'Vf"</f>
        <v>#VALUE!</v>
      </c>
      <c r="AN141" t="e">
        <f>'Compiled Agents'!B521+"h_l!'Vg"</f>
        <v>#VALUE!</v>
      </c>
      <c r="AO141" t="e">
        <f>'Compiled Agents'!C521+"h_l!'Vh"</f>
        <v>#VALUE!</v>
      </c>
      <c r="AP141" t="e">
        <f>'Compiled Agents'!E521+"h_l!'Vi"</f>
        <v>#VALUE!</v>
      </c>
      <c r="AQ141" t="e">
        <f>'Compiled Agents'!F521+"h_l!'Vj"</f>
        <v>#VALUE!</v>
      </c>
      <c r="AR141" t="e">
        <f>'Compiled Agents'!G521+"h_l!'Vk"</f>
        <v>#VALUE!</v>
      </c>
      <c r="AS141" t="e">
        <f>'Compiled Agents'!H521+"h_l!'Vl"</f>
        <v>#VALUE!</v>
      </c>
      <c r="AT141" t="e">
        <f>'Compiled Agents'!A522+"h_l!'Vm"</f>
        <v>#VALUE!</v>
      </c>
      <c r="AU141" t="e">
        <f>'Compiled Agents'!B522+"h_l!'Vn"</f>
        <v>#VALUE!</v>
      </c>
      <c r="AV141" t="e">
        <f>'Compiled Agents'!C522+"h_l!'Vo"</f>
        <v>#VALUE!</v>
      </c>
      <c r="AW141" t="e">
        <f>'Compiled Agents'!E522+"h_l!'Vp"</f>
        <v>#VALUE!</v>
      </c>
      <c r="AX141" t="e">
        <f>'Compiled Agents'!F522+"h_l!'Vq"</f>
        <v>#VALUE!</v>
      </c>
      <c r="AY141" t="e">
        <f>'Compiled Agents'!G522+"h_l!'Vr"</f>
        <v>#VALUE!</v>
      </c>
      <c r="AZ141" t="e">
        <f>'Compiled Agents'!H522+"h_l!'Vs"</f>
        <v>#VALUE!</v>
      </c>
      <c r="BA141" t="e">
        <f>'Compiled Agents'!A523+"h_l!'Vt"</f>
        <v>#VALUE!</v>
      </c>
      <c r="BB141" t="e">
        <f>'Compiled Agents'!B523+"h_l!'Vu"</f>
        <v>#VALUE!</v>
      </c>
      <c r="BC141" t="e">
        <f>'Compiled Agents'!C523+"h_l!'Vv"</f>
        <v>#VALUE!</v>
      </c>
      <c r="BD141" t="e">
        <f>'Compiled Agents'!E523+"h_l!'Vw"</f>
        <v>#VALUE!</v>
      </c>
      <c r="BE141" t="e">
        <f>'Compiled Agents'!F523+"h_l!'Vx"</f>
        <v>#VALUE!</v>
      </c>
      <c r="BF141" t="e">
        <f>'Compiled Agents'!G523+"h_l!'Vy"</f>
        <v>#VALUE!</v>
      </c>
      <c r="BG141" t="e">
        <f>'Compiled Agents'!H523+"h_l!'Vz"</f>
        <v>#VALUE!</v>
      </c>
      <c r="BH141" t="e">
        <f>'Compiled Agents'!A524+"h_l!'V{"</f>
        <v>#VALUE!</v>
      </c>
      <c r="BI141" t="e">
        <f>'Compiled Agents'!B524+"h_l!'V|"</f>
        <v>#VALUE!</v>
      </c>
      <c r="BJ141" t="e">
        <f>'Compiled Agents'!C524+"h_l!'V}"</f>
        <v>#VALUE!</v>
      </c>
      <c r="BK141" t="e">
        <f>'Compiled Agents'!E524+"h_l!'V~"</f>
        <v>#VALUE!</v>
      </c>
      <c r="BL141" t="e">
        <f>'Compiled Agents'!F524+"h_l!'W#"</f>
        <v>#VALUE!</v>
      </c>
      <c r="BM141" t="e">
        <f>'Compiled Agents'!G524+"h_l!'W$"</f>
        <v>#VALUE!</v>
      </c>
      <c r="BN141" t="e">
        <f>'Compiled Agents'!H524+"h_l!'W%"</f>
        <v>#VALUE!</v>
      </c>
      <c r="BO141" t="e">
        <f>'Compiled Agents'!A525+"h_l!'W&amp;"</f>
        <v>#VALUE!</v>
      </c>
      <c r="BP141" t="e">
        <f>'Compiled Agents'!B525+"h_l!'W'"</f>
        <v>#VALUE!</v>
      </c>
      <c r="BQ141" t="e">
        <f>'Compiled Agents'!C525+"h_l!'W("</f>
        <v>#VALUE!</v>
      </c>
      <c r="BR141" t="e">
        <f>'Compiled Agents'!E525+"h_l!'W)"</f>
        <v>#VALUE!</v>
      </c>
      <c r="BS141" t="e">
        <f>'Compiled Agents'!F525+"h_l!'W."</f>
        <v>#VALUE!</v>
      </c>
      <c r="BT141" t="e">
        <f>'Compiled Agents'!G525+"h_l!'W/"</f>
        <v>#VALUE!</v>
      </c>
      <c r="BU141" t="e">
        <f>'Compiled Agents'!H525+"h_l!'W0"</f>
        <v>#VALUE!</v>
      </c>
      <c r="BV141" t="e">
        <f>'Compiled Agents'!A526+"h_l!'W1"</f>
        <v>#VALUE!</v>
      </c>
      <c r="BW141" t="e">
        <f>'Compiled Agents'!B526+"h_l!'W2"</f>
        <v>#VALUE!</v>
      </c>
      <c r="BX141" t="e">
        <f>'Compiled Agents'!C526+"h_l!'W3"</f>
        <v>#VALUE!</v>
      </c>
      <c r="BY141" t="e">
        <f>'Compiled Agents'!E526+"h_l!'W4"</f>
        <v>#VALUE!</v>
      </c>
      <c r="BZ141" t="e">
        <f>'Compiled Agents'!F526+"h_l!'W5"</f>
        <v>#VALUE!</v>
      </c>
      <c r="CA141" t="e">
        <f>'Compiled Agents'!G526+"h_l!'W6"</f>
        <v>#VALUE!</v>
      </c>
      <c r="CB141" t="e">
        <f>'Compiled Agents'!H526+"h_l!'W7"</f>
        <v>#VALUE!</v>
      </c>
      <c r="CC141" t="e">
        <f>'Compiled Agents'!A527+"h_l!'W8"</f>
        <v>#VALUE!</v>
      </c>
      <c r="CD141" t="e">
        <f>'Compiled Agents'!B527+"h_l!'W9"</f>
        <v>#VALUE!</v>
      </c>
      <c r="CE141" t="e">
        <f>'Compiled Agents'!C527+"h_l!'W:"</f>
        <v>#VALUE!</v>
      </c>
      <c r="CF141" t="e">
        <f>'Compiled Agents'!E527+"h_l!'W;"</f>
        <v>#VALUE!</v>
      </c>
      <c r="CG141" t="e">
        <f>'Compiled Agents'!F527+"h_l!'W&lt;"</f>
        <v>#VALUE!</v>
      </c>
      <c r="CH141" t="e">
        <f>'Compiled Agents'!G527+"h_l!'W="</f>
        <v>#VALUE!</v>
      </c>
      <c r="CI141" t="e">
        <f>'Compiled Agents'!H527+"h_l!'W&gt;"</f>
        <v>#VALUE!</v>
      </c>
      <c r="CJ141" t="e">
        <f>'Compiled Agents'!A528+"h_l!'W?"</f>
        <v>#VALUE!</v>
      </c>
      <c r="CK141" t="e">
        <f>'Compiled Agents'!B528+"h_l!'W@"</f>
        <v>#VALUE!</v>
      </c>
      <c r="CL141" t="e">
        <f>'Compiled Agents'!C528+"h_l!'WA"</f>
        <v>#VALUE!</v>
      </c>
      <c r="CM141" t="e">
        <f>'Compiled Agents'!E528+"h_l!'WB"</f>
        <v>#VALUE!</v>
      </c>
      <c r="CN141" t="e">
        <f>'Compiled Agents'!F528+"h_l!'WC"</f>
        <v>#VALUE!</v>
      </c>
      <c r="CO141" t="e">
        <f>'Compiled Agents'!G528+"h_l!'WD"</f>
        <v>#VALUE!</v>
      </c>
      <c r="CP141" t="e">
        <f>'Compiled Agents'!H528+"h_l!'WE"</f>
        <v>#VALUE!</v>
      </c>
      <c r="CQ141" t="e">
        <f>'Compiled Agents'!A529+"h_l!'WF"</f>
        <v>#VALUE!</v>
      </c>
      <c r="CR141" t="e">
        <f>'Compiled Agents'!B529+"h_l!'WG"</f>
        <v>#VALUE!</v>
      </c>
      <c r="CS141" t="e">
        <f>'Compiled Agents'!C529+"h_l!'WH"</f>
        <v>#VALUE!</v>
      </c>
      <c r="CT141" t="e">
        <f>'Compiled Agents'!E529+"h_l!'WI"</f>
        <v>#VALUE!</v>
      </c>
      <c r="CU141" t="e">
        <f>'Compiled Agents'!F529+"h_l!'WJ"</f>
        <v>#VALUE!</v>
      </c>
      <c r="CV141" t="e">
        <f>'Compiled Agents'!G529+"h_l!'WK"</f>
        <v>#VALUE!</v>
      </c>
      <c r="CW141" t="e">
        <f>'Compiled Agents'!H529+"h_l!'WL"</f>
        <v>#VALUE!</v>
      </c>
      <c r="CX141" t="e">
        <f>'Compiled Agents'!A530+"h_l!'WM"</f>
        <v>#VALUE!</v>
      </c>
      <c r="CY141" t="e">
        <f>'Compiled Agents'!B530+"h_l!'WN"</f>
        <v>#VALUE!</v>
      </c>
      <c r="CZ141" t="e">
        <f>'Compiled Agents'!C530+"h_l!'WO"</f>
        <v>#VALUE!</v>
      </c>
      <c r="DA141" t="e">
        <f>'Compiled Agents'!E530+"h_l!'WP"</f>
        <v>#VALUE!</v>
      </c>
      <c r="DB141" t="e">
        <f>'Compiled Agents'!F530+"h_l!'WQ"</f>
        <v>#VALUE!</v>
      </c>
      <c r="DC141" t="e">
        <f>'Compiled Agents'!G530+"h_l!'WR"</f>
        <v>#VALUE!</v>
      </c>
      <c r="DD141" t="e">
        <f>'Compiled Agents'!H530+"h_l!'WS"</f>
        <v>#VALUE!</v>
      </c>
      <c r="DE141" t="e">
        <f>'Compiled Agents'!A531+"h_l!'WT"</f>
        <v>#VALUE!</v>
      </c>
      <c r="DF141" t="e">
        <f>'Compiled Agents'!B531+"h_l!'WU"</f>
        <v>#VALUE!</v>
      </c>
      <c r="DG141" t="e">
        <f>'Compiled Agents'!C531+"h_l!'WV"</f>
        <v>#VALUE!</v>
      </c>
      <c r="DH141" t="e">
        <f>'Compiled Agents'!E531+"h_l!'WW"</f>
        <v>#VALUE!</v>
      </c>
      <c r="DI141" t="e">
        <f>'Compiled Agents'!F531+"h_l!'WX"</f>
        <v>#VALUE!</v>
      </c>
      <c r="DJ141" t="e">
        <f>'Compiled Agents'!G531+"h_l!'WY"</f>
        <v>#VALUE!</v>
      </c>
      <c r="DK141" t="e">
        <f>'Compiled Agents'!H531+"h_l!'WZ"</f>
        <v>#VALUE!</v>
      </c>
      <c r="DL141" t="e">
        <f>'Compiled Agents'!A532+"h_l!'W["</f>
        <v>#VALUE!</v>
      </c>
      <c r="DM141" t="e">
        <f>'Compiled Agents'!B532+"h_l!'W\"</f>
        <v>#VALUE!</v>
      </c>
      <c r="DN141" t="e">
        <f>'Compiled Agents'!C532+"h_l!'W]"</f>
        <v>#VALUE!</v>
      </c>
      <c r="DO141" t="e">
        <f>'Compiled Agents'!E532+"h_l!'W^"</f>
        <v>#VALUE!</v>
      </c>
      <c r="DP141" t="e">
        <f>'Compiled Agents'!F532+"h_l!'W_"</f>
        <v>#VALUE!</v>
      </c>
      <c r="DQ141" t="e">
        <f>'Compiled Agents'!G532+"h_l!'W`"</f>
        <v>#VALUE!</v>
      </c>
      <c r="DR141" t="e">
        <f>'Compiled Agents'!H532+"h_l!'Wa"</f>
        <v>#VALUE!</v>
      </c>
      <c r="DS141" t="e">
        <f>'Compiled Agents'!A533+"h_l!'Wb"</f>
        <v>#VALUE!</v>
      </c>
      <c r="DT141" t="e">
        <f>'Compiled Agents'!B533+"h_l!'Wc"</f>
        <v>#VALUE!</v>
      </c>
      <c r="DU141" t="e">
        <f>'Compiled Agents'!C533+"h_l!'Wd"</f>
        <v>#VALUE!</v>
      </c>
      <c r="DV141" t="e">
        <f>'Compiled Agents'!E533+"h_l!'We"</f>
        <v>#VALUE!</v>
      </c>
      <c r="DW141" t="e">
        <f>'Compiled Agents'!F533+"h_l!'Wf"</f>
        <v>#VALUE!</v>
      </c>
      <c r="DX141" t="e">
        <f>'Compiled Agents'!G533+"h_l!'Wg"</f>
        <v>#VALUE!</v>
      </c>
      <c r="DY141" t="e">
        <f>'Compiled Agents'!H533+"h_l!'Wh"</f>
        <v>#VALUE!</v>
      </c>
      <c r="DZ141" t="e">
        <f>'Compiled Agents'!A534+"h_l!'Wi"</f>
        <v>#VALUE!</v>
      </c>
      <c r="EA141" t="e">
        <f>'Compiled Agents'!B534+"h_l!'Wj"</f>
        <v>#VALUE!</v>
      </c>
      <c r="EB141" t="e">
        <f>'Compiled Agents'!C534+"h_l!'Wk"</f>
        <v>#VALUE!</v>
      </c>
      <c r="EC141" t="e">
        <f>'Compiled Agents'!E534+"h_l!'Wl"</f>
        <v>#VALUE!</v>
      </c>
      <c r="ED141" t="e">
        <f>'Compiled Agents'!F534+"h_l!'Wm"</f>
        <v>#VALUE!</v>
      </c>
      <c r="EE141" t="e">
        <f>'Compiled Agents'!G534+"h_l!'Wn"</f>
        <v>#VALUE!</v>
      </c>
      <c r="EF141" t="e">
        <f>'Compiled Agents'!H534+"h_l!'Wo"</f>
        <v>#VALUE!</v>
      </c>
      <c r="EG141" t="e">
        <f>'Compiled Agents'!A535+"h_l!'Wp"</f>
        <v>#VALUE!</v>
      </c>
      <c r="EH141" t="e">
        <f>'Compiled Agents'!B535+"h_l!'Wq"</f>
        <v>#VALUE!</v>
      </c>
      <c r="EI141" t="e">
        <f>'Compiled Agents'!C535+"h_l!'Wr"</f>
        <v>#VALUE!</v>
      </c>
      <c r="EJ141" t="e">
        <f>'Compiled Agents'!E535+"h_l!'Ws"</f>
        <v>#VALUE!</v>
      </c>
      <c r="EK141" t="e">
        <f>'Compiled Agents'!F535+"h_l!'Wt"</f>
        <v>#VALUE!</v>
      </c>
      <c r="EL141" t="e">
        <f>'Compiled Agents'!G535+"h_l!'Wu"</f>
        <v>#VALUE!</v>
      </c>
      <c r="EM141" t="e">
        <f>'Compiled Agents'!H535+"h_l!'Wv"</f>
        <v>#VALUE!</v>
      </c>
      <c r="EN141" t="e">
        <f>'Compiled Agents'!A536+"h_l!'Ww"</f>
        <v>#VALUE!</v>
      </c>
      <c r="EO141" t="e">
        <f>'Compiled Agents'!B536+"h_l!'Wx"</f>
        <v>#VALUE!</v>
      </c>
      <c r="EP141" t="e">
        <f>'Compiled Agents'!C536+"h_l!'Wy"</f>
        <v>#VALUE!</v>
      </c>
      <c r="EQ141" t="e">
        <f>'Compiled Agents'!E536+"h_l!'Wz"</f>
        <v>#VALUE!</v>
      </c>
      <c r="ER141" t="e">
        <f>'Compiled Agents'!F536+"h_l!'W{"</f>
        <v>#VALUE!</v>
      </c>
      <c r="ES141" t="e">
        <f>'Compiled Agents'!G536+"h_l!'W|"</f>
        <v>#VALUE!</v>
      </c>
      <c r="ET141" t="e">
        <f>'Compiled Agents'!H536+"h_l!'W}"</f>
        <v>#VALUE!</v>
      </c>
      <c r="EU141" t="e">
        <f>'Compiled Agents'!A537+"h_l!'W~"</f>
        <v>#VALUE!</v>
      </c>
      <c r="EV141" t="e">
        <f>'Compiled Agents'!B537+"h_l!'X#"</f>
        <v>#VALUE!</v>
      </c>
      <c r="EW141" t="e">
        <f>'Compiled Agents'!C537+"h_l!'X$"</f>
        <v>#VALUE!</v>
      </c>
      <c r="EX141" t="e">
        <f>'Compiled Agents'!E537+"h_l!'X%"</f>
        <v>#VALUE!</v>
      </c>
      <c r="EY141" t="e">
        <f>'Compiled Agents'!F537+"h_l!'X&amp;"</f>
        <v>#VALUE!</v>
      </c>
      <c r="EZ141" t="e">
        <f>'Compiled Agents'!G537+"h_l!'X'"</f>
        <v>#VALUE!</v>
      </c>
      <c r="FA141" t="e">
        <f>'Compiled Agents'!H537+"h_l!'X("</f>
        <v>#VALUE!</v>
      </c>
      <c r="FB141" t="e">
        <f>'Compiled Agents'!A538+"h_l!'X)"</f>
        <v>#VALUE!</v>
      </c>
      <c r="FC141" t="e">
        <f>'Compiled Agents'!B538+"h_l!'X."</f>
        <v>#VALUE!</v>
      </c>
      <c r="FD141" t="e">
        <f>'Compiled Agents'!C538+"h_l!'X/"</f>
        <v>#VALUE!</v>
      </c>
      <c r="FE141" t="e">
        <f>'Compiled Agents'!E538+"h_l!'X0"</f>
        <v>#VALUE!</v>
      </c>
      <c r="FF141" t="e">
        <f>'Compiled Agents'!F538+"h_l!'X1"</f>
        <v>#VALUE!</v>
      </c>
      <c r="FG141" t="e">
        <f>'Compiled Agents'!G538+"h_l!'X2"</f>
        <v>#VALUE!</v>
      </c>
      <c r="FH141" t="e">
        <f>'Compiled Agents'!H538+"h_l!'X3"</f>
        <v>#VALUE!</v>
      </c>
      <c r="FI141" t="e">
        <f>'Compiled Agents'!A539+"h_l!'X4"</f>
        <v>#VALUE!</v>
      </c>
      <c r="FJ141" t="e">
        <f>'Compiled Agents'!B539+"h_l!'X5"</f>
        <v>#VALUE!</v>
      </c>
      <c r="FK141" t="e">
        <f>'Compiled Agents'!C539+"h_l!'X6"</f>
        <v>#VALUE!</v>
      </c>
      <c r="FL141" t="e">
        <f>'Compiled Agents'!E539+"h_l!'X7"</f>
        <v>#VALUE!</v>
      </c>
      <c r="FM141" t="e">
        <f>'Compiled Agents'!F539+"h_l!'X8"</f>
        <v>#VALUE!</v>
      </c>
      <c r="FN141" t="e">
        <f>'Compiled Agents'!G539+"h_l!'X9"</f>
        <v>#VALUE!</v>
      </c>
      <c r="FO141" t="e">
        <f>'Compiled Agents'!H539+"h_l!'X:"</f>
        <v>#VALUE!</v>
      </c>
      <c r="FP141" t="e">
        <f>'Compiled Agents'!A540+"h_l!'X;"</f>
        <v>#VALUE!</v>
      </c>
      <c r="FQ141" t="e">
        <f>'Compiled Agents'!B540+"h_l!'X&lt;"</f>
        <v>#VALUE!</v>
      </c>
      <c r="FR141" t="e">
        <f>'Compiled Agents'!C540+"h_l!'X="</f>
        <v>#VALUE!</v>
      </c>
      <c r="FS141" t="e">
        <f>'Compiled Agents'!E540+"h_l!'X&gt;"</f>
        <v>#VALUE!</v>
      </c>
      <c r="FT141" t="e">
        <f>'Compiled Agents'!F540+"h_l!'X?"</f>
        <v>#VALUE!</v>
      </c>
      <c r="FU141" t="e">
        <f>'Compiled Agents'!G540+"h_l!'X@"</f>
        <v>#VALUE!</v>
      </c>
      <c r="FV141" t="e">
        <f>'Compiled Agents'!H540+"h_l!'XA"</f>
        <v>#VALUE!</v>
      </c>
      <c r="FW141" t="e">
        <f>'Compiled Agents'!A541+"h_l!'XB"</f>
        <v>#VALUE!</v>
      </c>
      <c r="FX141" t="e">
        <f>'Compiled Agents'!B541+"h_l!'XC"</f>
        <v>#VALUE!</v>
      </c>
      <c r="FY141" t="e">
        <f>'Compiled Agents'!C541+"h_l!'XD"</f>
        <v>#VALUE!</v>
      </c>
      <c r="FZ141" t="e">
        <f>'Compiled Agents'!E541+"h_l!'XE"</f>
        <v>#VALUE!</v>
      </c>
      <c r="GA141" t="e">
        <f>'Compiled Agents'!F541+"h_l!'XF"</f>
        <v>#VALUE!</v>
      </c>
      <c r="GB141" t="e">
        <f>'Compiled Agents'!G541+"h_l!'XG"</f>
        <v>#VALUE!</v>
      </c>
      <c r="GC141" t="e">
        <f>'Compiled Agents'!H541+"h_l!'XH"</f>
        <v>#VALUE!</v>
      </c>
      <c r="GD141" t="e">
        <f>'Compiled Agents'!A542+"h_l!'XI"</f>
        <v>#VALUE!</v>
      </c>
      <c r="GE141" t="e">
        <f>'Compiled Agents'!B542+"h_l!'XJ"</f>
        <v>#VALUE!</v>
      </c>
      <c r="GF141" t="e">
        <f>'Compiled Agents'!C542+"h_l!'XK"</f>
        <v>#VALUE!</v>
      </c>
      <c r="GG141" t="e">
        <f>'Compiled Agents'!E542+"h_l!'XL"</f>
        <v>#VALUE!</v>
      </c>
      <c r="GH141" t="e">
        <f>'Compiled Agents'!F542+"h_l!'XM"</f>
        <v>#VALUE!</v>
      </c>
      <c r="GI141" t="e">
        <f>'Compiled Agents'!G542+"h_l!'XN"</f>
        <v>#VALUE!</v>
      </c>
      <c r="GJ141" t="e">
        <f>'Compiled Agents'!H542+"h_l!'XO"</f>
        <v>#VALUE!</v>
      </c>
      <c r="GK141" t="e">
        <f>'Compiled Agents'!A543+"h_l!'XP"</f>
        <v>#VALUE!</v>
      </c>
      <c r="GL141" t="e">
        <f>'Compiled Agents'!B543+"h_l!'XQ"</f>
        <v>#VALUE!</v>
      </c>
      <c r="GM141" t="e">
        <f>'Compiled Agents'!C543+"h_l!'XR"</f>
        <v>#VALUE!</v>
      </c>
      <c r="GN141" t="e">
        <f>'Compiled Agents'!E543+"h_l!'XS"</f>
        <v>#VALUE!</v>
      </c>
      <c r="GO141" t="e">
        <f>'Compiled Agents'!F543+"h_l!'XT"</f>
        <v>#VALUE!</v>
      </c>
      <c r="GP141" t="e">
        <f>'Compiled Agents'!G543+"h_l!'XU"</f>
        <v>#VALUE!</v>
      </c>
      <c r="GQ141" t="e">
        <f>'Compiled Agents'!H543+"h_l!'XV"</f>
        <v>#VALUE!</v>
      </c>
      <c r="GR141" t="e">
        <f>'Compiled Agents'!A544+"h_l!'XW"</f>
        <v>#VALUE!</v>
      </c>
      <c r="GS141" t="e">
        <f>'Compiled Agents'!B544+"h_l!'XX"</f>
        <v>#VALUE!</v>
      </c>
      <c r="GT141" t="e">
        <f>'Compiled Agents'!C544+"h_l!'XY"</f>
        <v>#VALUE!</v>
      </c>
      <c r="GU141" t="e">
        <f>'Compiled Agents'!E544+"h_l!'XZ"</f>
        <v>#VALUE!</v>
      </c>
      <c r="GV141" t="e">
        <f>'Compiled Agents'!F544+"h_l!'X["</f>
        <v>#VALUE!</v>
      </c>
      <c r="GW141" t="e">
        <f>'Compiled Agents'!G544+"h_l!'X\"</f>
        <v>#VALUE!</v>
      </c>
      <c r="GX141" t="e">
        <f>'Compiled Agents'!H544+"h_l!'X]"</f>
        <v>#VALUE!</v>
      </c>
      <c r="GY141" t="e">
        <f>'Compiled Agents'!A545+"h_l!'X^"</f>
        <v>#VALUE!</v>
      </c>
      <c r="GZ141" t="e">
        <f>'Compiled Agents'!B545+"h_l!'X_"</f>
        <v>#VALUE!</v>
      </c>
      <c r="HA141" t="e">
        <f>'Compiled Agents'!C545+"h_l!'X`"</f>
        <v>#VALUE!</v>
      </c>
      <c r="HB141" t="e">
        <f>'Compiled Agents'!E545+"h_l!'Xa"</f>
        <v>#VALUE!</v>
      </c>
      <c r="HC141" t="e">
        <f>'Compiled Agents'!F545+"h_l!'Xb"</f>
        <v>#VALUE!</v>
      </c>
      <c r="HD141" t="e">
        <f>'Compiled Agents'!G545+"h_l!'Xc"</f>
        <v>#VALUE!</v>
      </c>
      <c r="HE141" t="e">
        <f>'Compiled Agents'!H545+"h_l!'Xd"</f>
        <v>#VALUE!</v>
      </c>
      <c r="HF141" t="e">
        <f>'Compiled Agents'!A546+"h_l!'Xe"</f>
        <v>#VALUE!</v>
      </c>
      <c r="HG141" t="e">
        <f>'Compiled Agents'!B546+"h_l!'Xf"</f>
        <v>#VALUE!</v>
      </c>
      <c r="HH141" t="e">
        <f>'Compiled Agents'!C546+"h_l!'Xg"</f>
        <v>#VALUE!</v>
      </c>
      <c r="HI141" t="e">
        <f>'Compiled Agents'!E546+"h_l!'Xh"</f>
        <v>#VALUE!</v>
      </c>
      <c r="HJ141" t="e">
        <f>'Compiled Agents'!F546+"h_l!'Xi"</f>
        <v>#VALUE!</v>
      </c>
      <c r="HK141" t="e">
        <f>'Compiled Agents'!G546+"h_l!'Xj"</f>
        <v>#VALUE!</v>
      </c>
      <c r="HL141" t="e">
        <f>'Compiled Agents'!H546+"h_l!'Xk"</f>
        <v>#VALUE!</v>
      </c>
      <c r="HM141" t="e">
        <f>'Compiled Agents'!A547+"h_l!'Xl"</f>
        <v>#VALUE!</v>
      </c>
      <c r="HN141" t="e">
        <f>'Compiled Agents'!B547+"h_l!'Xm"</f>
        <v>#VALUE!</v>
      </c>
      <c r="HO141" t="e">
        <f>'Compiled Agents'!C547+"h_l!'Xn"</f>
        <v>#VALUE!</v>
      </c>
      <c r="HP141" t="e">
        <f>'Compiled Agents'!E547+"h_l!'Xo"</f>
        <v>#VALUE!</v>
      </c>
      <c r="HQ141" t="e">
        <f>'Compiled Agents'!F547+"h_l!'Xp"</f>
        <v>#VALUE!</v>
      </c>
      <c r="HR141" t="e">
        <f>'Compiled Agents'!G547+"h_l!'Xq"</f>
        <v>#VALUE!</v>
      </c>
      <c r="HS141" t="e">
        <f>'Compiled Agents'!H547+"h_l!'Xr"</f>
        <v>#VALUE!</v>
      </c>
      <c r="HT141" t="e">
        <f>'Compiled Agents'!A548+"h_l!'Xs"</f>
        <v>#VALUE!</v>
      </c>
      <c r="HU141" t="e">
        <f>'Compiled Agents'!B548+"h_l!'Xt"</f>
        <v>#VALUE!</v>
      </c>
      <c r="HV141" t="e">
        <f>'Compiled Agents'!C548+"h_l!'Xu"</f>
        <v>#VALUE!</v>
      </c>
      <c r="HW141" t="e">
        <f>'Compiled Agents'!E548+"h_l!'Xv"</f>
        <v>#VALUE!</v>
      </c>
      <c r="HX141" t="e">
        <f>'Compiled Agents'!F548+"h_l!'Xw"</f>
        <v>#VALUE!</v>
      </c>
      <c r="HY141" t="e">
        <f>'Compiled Agents'!G548+"h_l!'Xx"</f>
        <v>#VALUE!</v>
      </c>
      <c r="HZ141" t="e">
        <f>'Compiled Agents'!H548+"h_l!'Xy"</f>
        <v>#VALUE!</v>
      </c>
      <c r="IA141" t="e">
        <f>'Compiled Agents'!A549+"h_l!'Xz"</f>
        <v>#VALUE!</v>
      </c>
      <c r="IB141" t="e">
        <f>'Compiled Agents'!B549+"h_l!'X{"</f>
        <v>#VALUE!</v>
      </c>
      <c r="IC141" t="e">
        <f>'Compiled Agents'!C549+"h_l!'X|"</f>
        <v>#VALUE!</v>
      </c>
      <c r="ID141" t="e">
        <f>'Compiled Agents'!E549+"h_l!'X}"</f>
        <v>#VALUE!</v>
      </c>
      <c r="IE141" t="e">
        <f>'Compiled Agents'!F549+"h_l!'X~"</f>
        <v>#VALUE!</v>
      </c>
      <c r="IF141" t="e">
        <f>'Compiled Agents'!G549+"h_l!'Y#"</f>
        <v>#VALUE!</v>
      </c>
      <c r="IG141" t="e">
        <f>'Compiled Agents'!H549+"h_l!'Y$"</f>
        <v>#VALUE!</v>
      </c>
      <c r="IH141" t="e">
        <f>'Compiled Agents'!A550+"h_l!'Y%"</f>
        <v>#VALUE!</v>
      </c>
      <c r="II141" t="e">
        <f>'Compiled Agents'!B550+"h_l!'Y&amp;"</f>
        <v>#VALUE!</v>
      </c>
      <c r="IJ141" t="e">
        <f>'Compiled Agents'!C550+"h_l!'Y'"</f>
        <v>#VALUE!</v>
      </c>
      <c r="IK141" t="e">
        <f>'Compiled Agents'!E550+"h_l!'Y("</f>
        <v>#VALUE!</v>
      </c>
      <c r="IL141" t="e">
        <f>'Compiled Agents'!F550+"h_l!'Y)"</f>
        <v>#VALUE!</v>
      </c>
      <c r="IM141" t="e">
        <f>'Compiled Agents'!G550+"h_l!'Y."</f>
        <v>#VALUE!</v>
      </c>
      <c r="IN141" t="e">
        <f>'Compiled Agents'!H550+"h_l!'Y/"</f>
        <v>#VALUE!</v>
      </c>
      <c r="IO141" t="e">
        <f>'Compiled Agents'!A551+"h_l!'Y0"</f>
        <v>#VALUE!</v>
      </c>
      <c r="IP141" t="e">
        <f>'Compiled Agents'!B551+"h_l!'Y1"</f>
        <v>#VALUE!</v>
      </c>
      <c r="IQ141" t="e">
        <f>'Compiled Agents'!C551+"h_l!'Y2"</f>
        <v>#VALUE!</v>
      </c>
      <c r="IR141" t="e">
        <f>'Compiled Agents'!E551+"h_l!'Y3"</f>
        <v>#VALUE!</v>
      </c>
      <c r="IS141" t="e">
        <f>'Compiled Agents'!F551+"h_l!'Y4"</f>
        <v>#VALUE!</v>
      </c>
      <c r="IT141" t="e">
        <f>'Compiled Agents'!G551+"h_l!'Y5"</f>
        <v>#VALUE!</v>
      </c>
      <c r="IU141" t="e">
        <f>'Compiled Agents'!H551+"h_l!'Y6"</f>
        <v>#VALUE!</v>
      </c>
      <c r="IV141" t="e">
        <f>'Compiled Agents'!A552+"h_l!'Y7"</f>
        <v>#VALUE!</v>
      </c>
    </row>
    <row r="142" spans="6:256" x14ac:dyDescent="0.25">
      <c r="F142" t="e">
        <f>'Compiled Agents'!B552+"h_l!'Y8"</f>
        <v>#VALUE!</v>
      </c>
      <c r="G142" t="e">
        <f>'Compiled Agents'!C552+"h_l!'Y9"</f>
        <v>#VALUE!</v>
      </c>
      <c r="H142" t="e">
        <f>'Compiled Agents'!E552+"h_l!'Y:"</f>
        <v>#VALUE!</v>
      </c>
      <c r="I142" t="e">
        <f>'Compiled Agents'!F552+"h_l!'Y;"</f>
        <v>#VALUE!</v>
      </c>
      <c r="J142" t="e">
        <f>'Compiled Agents'!G552+"h_l!'Y&lt;"</f>
        <v>#VALUE!</v>
      </c>
      <c r="K142" t="e">
        <f>'Compiled Agents'!H552+"h_l!'Y="</f>
        <v>#VALUE!</v>
      </c>
      <c r="L142" t="e">
        <f>'Compiled Agents'!A553+"h_l!'Y&gt;"</f>
        <v>#VALUE!</v>
      </c>
      <c r="M142" t="e">
        <f>'Compiled Agents'!B553+"h_l!'Y?"</f>
        <v>#VALUE!</v>
      </c>
      <c r="N142" t="e">
        <f>'Compiled Agents'!C553+"h_l!'Y@"</f>
        <v>#VALUE!</v>
      </c>
      <c r="O142" t="e">
        <f>'Compiled Agents'!E553+"h_l!'YA"</f>
        <v>#VALUE!</v>
      </c>
      <c r="P142" t="e">
        <f>'Compiled Agents'!F553+"h_l!'YB"</f>
        <v>#VALUE!</v>
      </c>
      <c r="Q142" t="e">
        <f>'Compiled Agents'!G553+"h_l!'YC"</f>
        <v>#VALUE!</v>
      </c>
      <c r="R142" t="e">
        <f>'Compiled Agents'!H553+"h_l!'YD"</f>
        <v>#VALUE!</v>
      </c>
      <c r="S142" t="e">
        <f>'Compiled Agents'!A554+"h_l!'YE"</f>
        <v>#VALUE!</v>
      </c>
      <c r="T142" t="e">
        <f>'Compiled Agents'!B554+"h_l!'YF"</f>
        <v>#VALUE!</v>
      </c>
      <c r="U142" t="e">
        <f>'Compiled Agents'!C554+"h_l!'YG"</f>
        <v>#VALUE!</v>
      </c>
      <c r="V142" t="e">
        <f>'Compiled Agents'!E554+"h_l!'YH"</f>
        <v>#VALUE!</v>
      </c>
      <c r="W142" t="e">
        <f>'Compiled Agents'!F554+"h_l!'YI"</f>
        <v>#VALUE!</v>
      </c>
      <c r="X142" t="e">
        <f>'Compiled Agents'!G554+"h_l!'YJ"</f>
        <v>#VALUE!</v>
      </c>
      <c r="Y142" t="e">
        <f>'Compiled Agents'!H554+"h_l!'YK"</f>
        <v>#VALUE!</v>
      </c>
      <c r="Z142" t="e">
        <f>'Compiled Agents'!A555+"h_l!'YL"</f>
        <v>#VALUE!</v>
      </c>
      <c r="AA142" t="e">
        <f>'Compiled Agents'!B555+"h_l!'YM"</f>
        <v>#VALUE!</v>
      </c>
      <c r="AB142" t="e">
        <f>'Compiled Agents'!C555+"h_l!'YN"</f>
        <v>#VALUE!</v>
      </c>
      <c r="AC142" t="e">
        <f>'Compiled Agents'!E555+"h_l!'YO"</f>
        <v>#VALUE!</v>
      </c>
      <c r="AD142" t="e">
        <f>'Compiled Agents'!F555+"h_l!'YP"</f>
        <v>#VALUE!</v>
      </c>
      <c r="AE142" t="e">
        <f>'Compiled Agents'!G555+"h_l!'YQ"</f>
        <v>#VALUE!</v>
      </c>
      <c r="AF142" t="e">
        <f>'Compiled Agents'!H555+"h_l!'YR"</f>
        <v>#VALUE!</v>
      </c>
      <c r="AG142" t="e">
        <f>'Compiled Agents'!A556+"h_l!'YS"</f>
        <v>#VALUE!</v>
      </c>
      <c r="AH142" t="e">
        <f>'Compiled Agents'!B556+"h_l!'YT"</f>
        <v>#VALUE!</v>
      </c>
      <c r="AI142" t="e">
        <f>'Compiled Agents'!C556+"h_l!'YU"</f>
        <v>#VALUE!</v>
      </c>
      <c r="AJ142" t="e">
        <f>'Compiled Agents'!E556+"h_l!'YV"</f>
        <v>#VALUE!</v>
      </c>
      <c r="AK142" t="e">
        <f>'Compiled Agents'!F556+"h_l!'YW"</f>
        <v>#VALUE!</v>
      </c>
      <c r="AL142" t="e">
        <f>'Compiled Agents'!G556+"h_l!'YX"</f>
        <v>#VALUE!</v>
      </c>
      <c r="AM142" t="e">
        <f>'Compiled Agents'!H556+"h_l!'YY"</f>
        <v>#VALUE!</v>
      </c>
      <c r="AN142" t="e">
        <f>'Compiled Agents'!A557+"h_l!'YZ"</f>
        <v>#VALUE!</v>
      </c>
      <c r="AO142" t="e">
        <f>'Compiled Agents'!B557+"h_l!'Y["</f>
        <v>#VALUE!</v>
      </c>
      <c r="AP142" t="e">
        <f>'Compiled Agents'!C557+"h_l!'Y\"</f>
        <v>#VALUE!</v>
      </c>
      <c r="AQ142" t="e">
        <f>'Compiled Agents'!E557+"h_l!'Y]"</f>
        <v>#VALUE!</v>
      </c>
      <c r="AR142" t="e">
        <f>'Compiled Agents'!F557+"h_l!'Y^"</f>
        <v>#VALUE!</v>
      </c>
      <c r="AS142" t="e">
        <f>'Compiled Agents'!G557+"h_l!'Y_"</f>
        <v>#VALUE!</v>
      </c>
      <c r="AT142" t="e">
        <f>'Compiled Agents'!H557+"h_l!'Y`"</f>
        <v>#VALUE!</v>
      </c>
      <c r="AU142" t="e">
        <f>'Compiled Agents'!A558+"h_l!'Ya"</f>
        <v>#VALUE!</v>
      </c>
      <c r="AV142" t="e">
        <f>'Compiled Agents'!B558+"h_l!'Yb"</f>
        <v>#VALUE!</v>
      </c>
      <c r="AW142" t="e">
        <f>'Compiled Agents'!C558+"h_l!'Yc"</f>
        <v>#VALUE!</v>
      </c>
      <c r="AX142" t="e">
        <f>'Compiled Agents'!E558+"h_l!'Yd"</f>
        <v>#VALUE!</v>
      </c>
      <c r="AY142" t="e">
        <f>'Compiled Agents'!F558+"h_l!'Ye"</f>
        <v>#VALUE!</v>
      </c>
      <c r="AZ142" t="e">
        <f>'Compiled Agents'!G558+"h_l!'Yf"</f>
        <v>#VALUE!</v>
      </c>
      <c r="BA142" t="e">
        <f>'Compiled Agents'!H558+"h_l!'Yg"</f>
        <v>#VALUE!</v>
      </c>
      <c r="BB142" t="e">
        <f>'Compiled Agents'!A559+"h_l!'Yh"</f>
        <v>#VALUE!</v>
      </c>
      <c r="BC142" t="e">
        <f>'Compiled Agents'!B559+"h_l!'Yi"</f>
        <v>#VALUE!</v>
      </c>
      <c r="BD142" t="e">
        <f>'Compiled Agents'!C559+"h_l!'Yj"</f>
        <v>#VALUE!</v>
      </c>
      <c r="BE142" t="e">
        <f>'Compiled Agents'!E559+"h_l!'Yk"</f>
        <v>#VALUE!</v>
      </c>
      <c r="BF142" t="e">
        <f>'Compiled Agents'!F559+"h_l!'Yl"</f>
        <v>#VALUE!</v>
      </c>
      <c r="BG142" t="e">
        <f>'Compiled Agents'!G559+"h_l!'Ym"</f>
        <v>#VALUE!</v>
      </c>
      <c r="BH142" t="e">
        <f>'Compiled Agents'!H559+"h_l!'Yn"</f>
        <v>#VALUE!</v>
      </c>
      <c r="BI142" t="e">
        <f>'Compiled Agents'!A560+"h_l!'Yo"</f>
        <v>#VALUE!</v>
      </c>
      <c r="BJ142" t="e">
        <f>'Compiled Agents'!B560+"h_l!'Yp"</f>
        <v>#VALUE!</v>
      </c>
      <c r="BK142" t="e">
        <f>'Compiled Agents'!C560+"h_l!'Yq"</f>
        <v>#VALUE!</v>
      </c>
      <c r="BL142" t="e">
        <f>'Compiled Agents'!E560+"h_l!'Yr"</f>
        <v>#VALUE!</v>
      </c>
      <c r="BM142" t="e">
        <f>'Compiled Agents'!F560+"h_l!'Ys"</f>
        <v>#VALUE!</v>
      </c>
      <c r="BN142" t="e">
        <f>'Compiled Agents'!G560+"h_l!'Yt"</f>
        <v>#VALUE!</v>
      </c>
      <c r="BO142" t="e">
        <f>'Compiled Agents'!H560+"h_l!'Yu"</f>
        <v>#VALUE!</v>
      </c>
      <c r="BP142" t="e">
        <f>'Compiled Agents'!A561+"h_l!'Yv"</f>
        <v>#VALUE!</v>
      </c>
      <c r="BQ142" t="e">
        <f>'Compiled Agents'!B561+"h_l!'Yw"</f>
        <v>#VALUE!</v>
      </c>
      <c r="BR142" t="e">
        <f>'Compiled Agents'!C561+"h_l!'Yx"</f>
        <v>#VALUE!</v>
      </c>
      <c r="BS142" t="e">
        <f>'Compiled Agents'!E561+"h_l!'Yy"</f>
        <v>#VALUE!</v>
      </c>
      <c r="BT142" t="e">
        <f>'Compiled Agents'!F561+"h_l!'Yz"</f>
        <v>#VALUE!</v>
      </c>
      <c r="BU142" t="e">
        <f>'Compiled Agents'!G561+"h_l!'Y{"</f>
        <v>#VALUE!</v>
      </c>
      <c r="BV142" t="e">
        <f>'Compiled Agents'!H561+"h_l!'Y|"</f>
        <v>#VALUE!</v>
      </c>
      <c r="BW142" t="e">
        <f>'Compiled Agents'!A562+"h_l!'Y}"</f>
        <v>#VALUE!</v>
      </c>
      <c r="BX142" t="e">
        <f>'Compiled Agents'!B562+"h_l!'Y~"</f>
        <v>#VALUE!</v>
      </c>
      <c r="BY142" t="e">
        <f>'Compiled Agents'!C562+"h_l!'Z#"</f>
        <v>#VALUE!</v>
      </c>
      <c r="BZ142" t="e">
        <f>'Compiled Agents'!E562+"h_l!'Z$"</f>
        <v>#VALUE!</v>
      </c>
      <c r="CA142" t="e">
        <f>'Compiled Agents'!F562+"h_l!'Z%"</f>
        <v>#VALUE!</v>
      </c>
      <c r="CB142" t="e">
        <f>'Compiled Agents'!G562+"h_l!'Z&amp;"</f>
        <v>#VALUE!</v>
      </c>
      <c r="CC142" t="e">
        <f>'Compiled Agents'!H562+"h_l!'Z'"</f>
        <v>#VALUE!</v>
      </c>
      <c r="CD142" t="e">
        <f>'Compiled Agents'!A563+"h_l!'Z("</f>
        <v>#VALUE!</v>
      </c>
      <c r="CE142" t="e">
        <f>'Compiled Agents'!B563+"h_l!'Z)"</f>
        <v>#VALUE!</v>
      </c>
      <c r="CF142" t="e">
        <f>'Compiled Agents'!C563+"h_l!'Z."</f>
        <v>#VALUE!</v>
      </c>
      <c r="CG142" t="e">
        <f>'Compiled Agents'!E563+"h_l!'Z/"</f>
        <v>#VALUE!</v>
      </c>
      <c r="CH142" t="e">
        <f>'Compiled Agents'!F563+"h_l!'Z0"</f>
        <v>#VALUE!</v>
      </c>
      <c r="CI142" t="e">
        <f>'Compiled Agents'!G563+"h_l!'Z1"</f>
        <v>#VALUE!</v>
      </c>
      <c r="CJ142" t="e">
        <f>'Compiled Agents'!H563+"h_l!'Z2"</f>
        <v>#VALUE!</v>
      </c>
      <c r="CK142" t="e">
        <f>'Compiled Agents'!A564+"h_l!'Z3"</f>
        <v>#VALUE!</v>
      </c>
      <c r="CL142" t="e">
        <f>'Compiled Agents'!B564+"h_l!'Z4"</f>
        <v>#VALUE!</v>
      </c>
      <c r="CM142" t="e">
        <f>'Compiled Agents'!C564+"h_l!'Z5"</f>
        <v>#VALUE!</v>
      </c>
      <c r="CN142" t="e">
        <f>'Compiled Agents'!E564+"h_l!'Z6"</f>
        <v>#VALUE!</v>
      </c>
      <c r="CO142" t="e">
        <f>'Compiled Agents'!F564+"h_l!'Z7"</f>
        <v>#VALUE!</v>
      </c>
      <c r="CP142" t="e">
        <f>'Compiled Agents'!G564+"h_l!'Z8"</f>
        <v>#VALUE!</v>
      </c>
      <c r="CQ142" t="e">
        <f>'Compiled Agents'!H564+"h_l!'Z9"</f>
        <v>#VALUE!</v>
      </c>
      <c r="CR142" t="e">
        <f>'Compiled Agents'!A565+"h_l!'Z:"</f>
        <v>#VALUE!</v>
      </c>
      <c r="CS142" t="e">
        <f>'Compiled Agents'!B565+"h_l!'Z;"</f>
        <v>#VALUE!</v>
      </c>
      <c r="CT142" t="e">
        <f>'Compiled Agents'!C565+"h_l!'Z&lt;"</f>
        <v>#VALUE!</v>
      </c>
      <c r="CU142" t="e">
        <f>'Compiled Agents'!E565+"h_l!'Z="</f>
        <v>#VALUE!</v>
      </c>
      <c r="CV142" t="e">
        <f>'Compiled Agents'!F565+"h_l!'Z&gt;"</f>
        <v>#VALUE!</v>
      </c>
      <c r="CW142" t="e">
        <f>'Compiled Agents'!G565+"h_l!'Z?"</f>
        <v>#VALUE!</v>
      </c>
      <c r="CX142" t="e">
        <f>'Compiled Agents'!H565+"h_l!'Z@"</f>
        <v>#VALUE!</v>
      </c>
      <c r="CY142" t="e">
        <f>'Compiled Agents'!A566+"h_l!'ZA"</f>
        <v>#VALUE!</v>
      </c>
      <c r="CZ142" t="e">
        <f>'Compiled Agents'!B566+"h_l!'ZB"</f>
        <v>#VALUE!</v>
      </c>
      <c r="DA142" t="e">
        <f>'Compiled Agents'!C566+"h_l!'ZC"</f>
        <v>#VALUE!</v>
      </c>
      <c r="DB142" t="e">
        <f>'Compiled Agents'!E566+"h_l!'ZD"</f>
        <v>#VALUE!</v>
      </c>
      <c r="DC142" t="e">
        <f>'Compiled Agents'!F566+"h_l!'ZE"</f>
        <v>#VALUE!</v>
      </c>
      <c r="DD142" t="e">
        <f>'Compiled Agents'!G566+"h_l!'ZF"</f>
        <v>#VALUE!</v>
      </c>
      <c r="DE142" t="e">
        <f>'Compiled Agents'!H566+"h_l!'ZG"</f>
        <v>#VALUE!</v>
      </c>
      <c r="DF142" t="e">
        <f>'Compiled Agents'!A567+"h_l!'ZH"</f>
        <v>#VALUE!</v>
      </c>
      <c r="DG142" t="e">
        <f>'Compiled Agents'!B567+"h_l!'ZI"</f>
        <v>#VALUE!</v>
      </c>
      <c r="DH142" t="e">
        <f>'Compiled Agents'!C567+"h_l!'ZJ"</f>
        <v>#VALUE!</v>
      </c>
      <c r="DI142" t="e">
        <f>'Compiled Agents'!E567+"h_l!'ZK"</f>
        <v>#VALUE!</v>
      </c>
      <c r="DJ142" t="e">
        <f>'Compiled Agents'!F567+"h_l!'ZL"</f>
        <v>#VALUE!</v>
      </c>
      <c r="DK142" t="e">
        <f>'Compiled Agents'!G567+"h_l!'ZM"</f>
        <v>#VALUE!</v>
      </c>
      <c r="DL142" t="e">
        <f>'Compiled Agents'!H567+"h_l!'ZN"</f>
        <v>#VALUE!</v>
      </c>
      <c r="DM142" t="e">
        <f>'Compiled Agents'!A568+"h_l!'ZO"</f>
        <v>#VALUE!</v>
      </c>
      <c r="DN142" t="e">
        <f>'Compiled Agents'!B568+"h_l!'ZP"</f>
        <v>#VALUE!</v>
      </c>
      <c r="DO142" t="e">
        <f>'Compiled Agents'!C568+"h_l!'ZQ"</f>
        <v>#VALUE!</v>
      </c>
      <c r="DP142" t="e">
        <f>'Compiled Agents'!E568+"h_l!'ZR"</f>
        <v>#VALUE!</v>
      </c>
      <c r="DQ142" t="e">
        <f>'Compiled Agents'!F568+"h_l!'ZS"</f>
        <v>#VALUE!</v>
      </c>
      <c r="DR142" t="e">
        <f>'Compiled Agents'!G568+"h_l!'ZT"</f>
        <v>#VALUE!</v>
      </c>
      <c r="DS142" t="e">
        <f>'Compiled Agents'!H568+"h_l!'ZU"</f>
        <v>#VALUE!</v>
      </c>
      <c r="DT142" t="e">
        <f>'Compiled Agents'!A569+"h_l!'ZV"</f>
        <v>#VALUE!</v>
      </c>
      <c r="DU142" t="e">
        <f>'Compiled Agents'!B569+"h_l!'ZW"</f>
        <v>#VALUE!</v>
      </c>
      <c r="DV142" t="e">
        <f>'Compiled Agents'!C569+"h_l!'ZX"</f>
        <v>#VALUE!</v>
      </c>
      <c r="DW142" t="e">
        <f>'Compiled Agents'!E569+"h_l!'ZY"</f>
        <v>#VALUE!</v>
      </c>
      <c r="DX142" t="e">
        <f>'Compiled Agents'!F569+"h_l!'ZZ"</f>
        <v>#VALUE!</v>
      </c>
      <c r="DY142" t="e">
        <f>'Compiled Agents'!G569+"h_l!'Z["</f>
        <v>#VALUE!</v>
      </c>
      <c r="DZ142" t="e">
        <f>'Compiled Agents'!H569+"h_l!'Z\"</f>
        <v>#VALUE!</v>
      </c>
      <c r="EA142" t="e">
        <f>'Compiled Agents'!A570+"h_l!'Z]"</f>
        <v>#VALUE!</v>
      </c>
      <c r="EB142" t="e">
        <f>'Compiled Agents'!B570+"h_l!'Z^"</f>
        <v>#VALUE!</v>
      </c>
      <c r="EC142" t="e">
        <f>'Compiled Agents'!C570+"h_l!'Z_"</f>
        <v>#VALUE!</v>
      </c>
      <c r="ED142" t="e">
        <f>'Compiled Agents'!E570+"h_l!'Z`"</f>
        <v>#VALUE!</v>
      </c>
      <c r="EE142" t="e">
        <f>'Compiled Agents'!F570+"h_l!'Za"</f>
        <v>#VALUE!</v>
      </c>
      <c r="EF142" t="e">
        <f>'Compiled Agents'!G570+"h_l!'Zb"</f>
        <v>#VALUE!</v>
      </c>
      <c r="EG142" t="e">
        <f>'Compiled Agents'!H570+"h_l!'Zc"</f>
        <v>#VALUE!</v>
      </c>
      <c r="EH142" t="e">
        <f>'Compiled Agents'!A571+"h_l!'Zd"</f>
        <v>#VALUE!</v>
      </c>
      <c r="EI142" t="e">
        <f>'Compiled Agents'!B571+"h_l!'Ze"</f>
        <v>#VALUE!</v>
      </c>
      <c r="EJ142" t="e">
        <f>'Compiled Agents'!C571+"h_l!'Zf"</f>
        <v>#VALUE!</v>
      </c>
      <c r="EK142" t="e">
        <f>'Compiled Agents'!E571+"h_l!'Zg"</f>
        <v>#VALUE!</v>
      </c>
      <c r="EL142" t="e">
        <f>'Compiled Agents'!F571+"h_l!'Zh"</f>
        <v>#VALUE!</v>
      </c>
      <c r="EM142" t="e">
        <f>'Compiled Agents'!G571+"h_l!'Zi"</f>
        <v>#VALUE!</v>
      </c>
      <c r="EN142" t="e">
        <f>'Compiled Agents'!H571+"h_l!'Zj"</f>
        <v>#VALUE!</v>
      </c>
      <c r="EO142" t="e">
        <f>'Compiled Agents'!A572+"h_l!'Zk"</f>
        <v>#VALUE!</v>
      </c>
      <c r="EP142" t="e">
        <f>'Compiled Agents'!B572+"h_l!'Zl"</f>
        <v>#VALUE!</v>
      </c>
      <c r="EQ142" t="e">
        <f>'Compiled Agents'!C572+"h_l!'Zm"</f>
        <v>#VALUE!</v>
      </c>
      <c r="ER142" t="e">
        <f>'Compiled Agents'!E572+"h_l!'Zn"</f>
        <v>#VALUE!</v>
      </c>
      <c r="ES142" t="e">
        <f>'Compiled Agents'!F572+"h_l!'Zo"</f>
        <v>#VALUE!</v>
      </c>
      <c r="ET142" t="e">
        <f>'Compiled Agents'!G572+"h_l!'Zp"</f>
        <v>#VALUE!</v>
      </c>
      <c r="EU142" t="e">
        <f>'Compiled Agents'!H572+"h_l!'Zq"</f>
        <v>#VALUE!</v>
      </c>
      <c r="EV142" t="e">
        <f>'Compiled Agents'!A573+"h_l!'Zr"</f>
        <v>#VALUE!</v>
      </c>
      <c r="EW142" t="e">
        <f>'Compiled Agents'!B573+"h_l!'Zs"</f>
        <v>#VALUE!</v>
      </c>
      <c r="EX142" t="e">
        <f>'Compiled Agents'!C573+"h_l!'Zt"</f>
        <v>#VALUE!</v>
      </c>
      <c r="EY142" t="e">
        <f>'Compiled Agents'!E573+"h_l!'Zu"</f>
        <v>#VALUE!</v>
      </c>
      <c r="EZ142" t="e">
        <f>'Compiled Agents'!F573+"h_l!'Zv"</f>
        <v>#VALUE!</v>
      </c>
      <c r="FA142" t="e">
        <f>'Compiled Agents'!G573+"h_l!'Zw"</f>
        <v>#VALUE!</v>
      </c>
      <c r="FB142" t="e">
        <f>'Compiled Agents'!H573+"h_l!'Zx"</f>
        <v>#VALUE!</v>
      </c>
      <c r="FC142" t="e">
        <f>'Compiled Agents'!A574+"h_l!'Zy"</f>
        <v>#VALUE!</v>
      </c>
      <c r="FD142" t="e">
        <f>'Compiled Agents'!B574+"h_l!'Zz"</f>
        <v>#VALUE!</v>
      </c>
      <c r="FE142" t="e">
        <f>'Compiled Agents'!C574+"h_l!'Z{"</f>
        <v>#VALUE!</v>
      </c>
      <c r="FF142" t="e">
        <f>'Compiled Agents'!E574+"h_l!'Z|"</f>
        <v>#VALUE!</v>
      </c>
      <c r="FG142" t="e">
        <f>'Compiled Agents'!F574+"h_l!'Z}"</f>
        <v>#VALUE!</v>
      </c>
      <c r="FH142" t="e">
        <f>'Compiled Agents'!G574+"h_l!'Z~"</f>
        <v>#VALUE!</v>
      </c>
      <c r="FI142" t="e">
        <f>'Compiled Agents'!H574+"h_l!'[#"</f>
        <v>#VALUE!</v>
      </c>
      <c r="FJ142" t="e">
        <f>'Compiled Agents'!A575+"h_l!'[$"</f>
        <v>#VALUE!</v>
      </c>
      <c r="FK142" t="e">
        <f>'Compiled Agents'!B575+"h_l!'[%"</f>
        <v>#VALUE!</v>
      </c>
      <c r="FL142" t="e">
        <f>'Compiled Agents'!C575+"h_l!'[&amp;"</f>
        <v>#VALUE!</v>
      </c>
      <c r="FM142" t="e">
        <f>'Compiled Agents'!E575+"h_l!'['"</f>
        <v>#VALUE!</v>
      </c>
      <c r="FN142" t="e">
        <f>'Compiled Agents'!F575+"h_l!'[("</f>
        <v>#VALUE!</v>
      </c>
      <c r="FO142" t="e">
        <f>'Compiled Agents'!G575+"h_l!'[)"</f>
        <v>#VALUE!</v>
      </c>
      <c r="FP142" t="e">
        <f>'Compiled Agents'!H575+"h_l!'[."</f>
        <v>#VALUE!</v>
      </c>
      <c r="FQ142" t="e">
        <f>'Compiled Agents'!A576+"h_l!'[/"</f>
        <v>#VALUE!</v>
      </c>
      <c r="FR142" t="e">
        <f>'Compiled Agents'!B576+"h_l!'[0"</f>
        <v>#VALUE!</v>
      </c>
      <c r="FS142" t="e">
        <f>'Compiled Agents'!C576+"h_l!'[1"</f>
        <v>#VALUE!</v>
      </c>
      <c r="FT142" t="e">
        <f>'Compiled Agents'!E576+"h_l!'[2"</f>
        <v>#VALUE!</v>
      </c>
      <c r="FU142" t="e">
        <f>'Compiled Agents'!F576+"h_l!'[3"</f>
        <v>#VALUE!</v>
      </c>
      <c r="FV142" t="e">
        <f>'Compiled Agents'!G576+"h_l!'[4"</f>
        <v>#VALUE!</v>
      </c>
      <c r="FW142" t="e">
        <f>'Compiled Agents'!H576+"h_l!'[5"</f>
        <v>#VALUE!</v>
      </c>
      <c r="FX142" t="e">
        <f>'Compiled Agents'!A577+"h_l!'[6"</f>
        <v>#VALUE!</v>
      </c>
      <c r="FY142" t="e">
        <f>'Compiled Agents'!B577+"h_l!'[7"</f>
        <v>#VALUE!</v>
      </c>
      <c r="FZ142" t="e">
        <f>'Compiled Agents'!C577+"h_l!'[8"</f>
        <v>#VALUE!</v>
      </c>
      <c r="GA142" t="e">
        <f>'Compiled Agents'!E577+"h_l!'[9"</f>
        <v>#VALUE!</v>
      </c>
      <c r="GB142" t="e">
        <f>'Compiled Agents'!F577+"h_l!'[:"</f>
        <v>#VALUE!</v>
      </c>
      <c r="GC142" t="e">
        <f>'Compiled Agents'!G577+"h_l!'[;"</f>
        <v>#VALUE!</v>
      </c>
      <c r="GD142" t="e">
        <f>'Compiled Agents'!H577+"h_l!'[&lt;"</f>
        <v>#VALUE!</v>
      </c>
      <c r="GE142" t="e">
        <f>'Compiled Agents'!A578+"h_l!'[="</f>
        <v>#VALUE!</v>
      </c>
      <c r="GF142" t="e">
        <f>'Compiled Agents'!B578+"h_l!'[&gt;"</f>
        <v>#VALUE!</v>
      </c>
      <c r="GG142" t="e">
        <f>'Compiled Agents'!C578+"h_l!'[?"</f>
        <v>#VALUE!</v>
      </c>
      <c r="GH142" t="e">
        <f>'Compiled Agents'!E578+"h_l!'[@"</f>
        <v>#VALUE!</v>
      </c>
      <c r="GI142" t="e">
        <f>'Compiled Agents'!F578+"h_l!'[A"</f>
        <v>#VALUE!</v>
      </c>
      <c r="GJ142" t="e">
        <f>'Compiled Agents'!G578+"h_l!'[B"</f>
        <v>#VALUE!</v>
      </c>
      <c r="GK142" t="e">
        <f>'Compiled Agents'!H578+"h_l!'[C"</f>
        <v>#VALUE!</v>
      </c>
      <c r="GL142" t="e">
        <f>'Compiled Agents'!A579+"h_l!'[D"</f>
        <v>#VALUE!</v>
      </c>
      <c r="GM142" t="e">
        <f>'Compiled Agents'!B579+"h_l!'[E"</f>
        <v>#VALUE!</v>
      </c>
      <c r="GN142" t="e">
        <f>'Compiled Agents'!C579+"h_l!'[F"</f>
        <v>#VALUE!</v>
      </c>
      <c r="GO142" t="e">
        <f>'Compiled Agents'!E579+"h_l!'[G"</f>
        <v>#VALUE!</v>
      </c>
      <c r="GP142" t="e">
        <f>'Compiled Agents'!F579+"h_l!'[H"</f>
        <v>#VALUE!</v>
      </c>
      <c r="GQ142" t="e">
        <f>'Compiled Agents'!G579+"h_l!'[I"</f>
        <v>#VALUE!</v>
      </c>
      <c r="GR142" t="e">
        <f>'Compiled Agents'!H579+"h_l!'[J"</f>
        <v>#VALUE!</v>
      </c>
      <c r="GS142" t="e">
        <f>'Compiled Agents'!A580+"h_l!'[K"</f>
        <v>#VALUE!</v>
      </c>
      <c r="GT142" t="e">
        <f>'Compiled Agents'!B580+"h_l!'[L"</f>
        <v>#VALUE!</v>
      </c>
      <c r="GU142" t="e">
        <f>'Compiled Agents'!C580+"h_l!'[M"</f>
        <v>#VALUE!</v>
      </c>
      <c r="GV142" t="e">
        <f>'Compiled Agents'!E580+"h_l!'[N"</f>
        <v>#VALUE!</v>
      </c>
      <c r="GW142" t="e">
        <f>'Compiled Agents'!F580+"h_l!'[O"</f>
        <v>#VALUE!</v>
      </c>
      <c r="GX142" t="e">
        <f>'Compiled Agents'!G580+"h_l!'[P"</f>
        <v>#VALUE!</v>
      </c>
      <c r="GY142" t="e">
        <f>'Compiled Agents'!H580+"h_l!'[Q"</f>
        <v>#VALUE!</v>
      </c>
      <c r="GZ142" t="e">
        <f>'Compiled Agents'!A581+"h_l!'[R"</f>
        <v>#VALUE!</v>
      </c>
      <c r="HA142" t="e">
        <f>'Compiled Agents'!B581+"h_l!'[S"</f>
        <v>#VALUE!</v>
      </c>
      <c r="HB142" t="e">
        <f>'Compiled Agents'!C581+"h_l!'[T"</f>
        <v>#VALUE!</v>
      </c>
      <c r="HC142" t="e">
        <f>'Compiled Agents'!E581+"h_l!'[U"</f>
        <v>#VALUE!</v>
      </c>
      <c r="HD142" t="e">
        <f>'Compiled Agents'!F581+"h_l!'[V"</f>
        <v>#VALUE!</v>
      </c>
      <c r="HE142" t="e">
        <f>'Compiled Agents'!G581+"h_l!'[W"</f>
        <v>#VALUE!</v>
      </c>
      <c r="HF142" t="e">
        <f>'Compiled Agents'!H581+"h_l!'[X"</f>
        <v>#VALUE!</v>
      </c>
      <c r="HG142" t="e">
        <f>'Compiled Agents'!A582+"h_l!'[Y"</f>
        <v>#VALUE!</v>
      </c>
      <c r="HH142" t="e">
        <f>'Compiled Agents'!B582+"h_l!'[Z"</f>
        <v>#VALUE!</v>
      </c>
      <c r="HI142" t="e">
        <f>'Compiled Agents'!C582+"h_l!'[["</f>
        <v>#VALUE!</v>
      </c>
      <c r="HJ142" t="e">
        <f>'Compiled Agents'!E582+"h_l!'[\"</f>
        <v>#VALUE!</v>
      </c>
      <c r="HK142" t="e">
        <f>'Compiled Agents'!F582+"h_l!'[]"</f>
        <v>#VALUE!</v>
      </c>
      <c r="HL142" t="e">
        <f>'Compiled Agents'!G582+"h_l!'[^"</f>
        <v>#VALUE!</v>
      </c>
      <c r="HM142" t="e">
        <f>'Compiled Agents'!H582+"h_l!'[_"</f>
        <v>#VALUE!</v>
      </c>
      <c r="HN142" t="e">
        <f>'Compiled Agents'!A583+"h_l!'[`"</f>
        <v>#VALUE!</v>
      </c>
      <c r="HO142" t="e">
        <f>'Compiled Agents'!B583+"h_l!'[a"</f>
        <v>#VALUE!</v>
      </c>
      <c r="HP142" t="e">
        <f>'Compiled Agents'!C583+"h_l!'[b"</f>
        <v>#VALUE!</v>
      </c>
      <c r="HQ142" t="e">
        <f>'Compiled Agents'!E583+"h_l!'[c"</f>
        <v>#VALUE!</v>
      </c>
      <c r="HR142" t="e">
        <f>'Compiled Agents'!F583+"h_l!'[d"</f>
        <v>#VALUE!</v>
      </c>
      <c r="HS142" t="e">
        <f>'Compiled Agents'!G583+"h_l!'[e"</f>
        <v>#VALUE!</v>
      </c>
      <c r="HT142" t="e">
        <f>'Compiled Agents'!H583+"h_l!'[f"</f>
        <v>#VALUE!</v>
      </c>
      <c r="HU142" t="e">
        <f>'Compiled Agents'!A584+"h_l!'[g"</f>
        <v>#VALUE!</v>
      </c>
      <c r="HV142" t="e">
        <f>'Compiled Agents'!B584+"h_l!'[h"</f>
        <v>#VALUE!</v>
      </c>
      <c r="HW142" t="e">
        <f>'Compiled Agents'!C584+"h_l!'[i"</f>
        <v>#VALUE!</v>
      </c>
      <c r="HX142" t="e">
        <f>'Compiled Agents'!E584+"h_l!'[j"</f>
        <v>#VALUE!</v>
      </c>
      <c r="HY142" t="e">
        <f>'Compiled Agents'!F584+"h_l!'[k"</f>
        <v>#VALUE!</v>
      </c>
      <c r="HZ142" t="e">
        <f>'Compiled Agents'!G584+"h_l!'[l"</f>
        <v>#VALUE!</v>
      </c>
      <c r="IA142" t="e">
        <f>'Compiled Agents'!H584+"h_l!'[m"</f>
        <v>#VALUE!</v>
      </c>
      <c r="IB142" t="e">
        <f>'Compiled Agents'!A585+"h_l!'[n"</f>
        <v>#VALUE!</v>
      </c>
      <c r="IC142" t="e">
        <f>'Compiled Agents'!B585+"h_l!'[o"</f>
        <v>#VALUE!</v>
      </c>
      <c r="ID142" t="e">
        <f>'Compiled Agents'!C585+"h_l!'[p"</f>
        <v>#VALUE!</v>
      </c>
      <c r="IE142" t="e">
        <f>'Compiled Agents'!E585+"h_l!'[q"</f>
        <v>#VALUE!</v>
      </c>
      <c r="IF142" t="e">
        <f>'Compiled Agents'!F585+"h_l!'[r"</f>
        <v>#VALUE!</v>
      </c>
      <c r="IG142" t="e">
        <f>'Compiled Agents'!G585+"h_l!'[s"</f>
        <v>#VALUE!</v>
      </c>
      <c r="IH142" t="e">
        <f>'Compiled Agents'!H585+"h_l!'[t"</f>
        <v>#VALUE!</v>
      </c>
      <c r="II142" t="e">
        <f>'Compiled Agents'!A586+"h_l!'[u"</f>
        <v>#VALUE!</v>
      </c>
      <c r="IJ142" t="e">
        <f>'Compiled Agents'!B586+"h_l!'[v"</f>
        <v>#VALUE!</v>
      </c>
      <c r="IK142" t="e">
        <f>'Compiled Agents'!C586+"h_l!'[w"</f>
        <v>#VALUE!</v>
      </c>
      <c r="IL142" t="e">
        <f>'Compiled Agents'!E586+"h_l!'[x"</f>
        <v>#VALUE!</v>
      </c>
      <c r="IM142" t="e">
        <f>'Compiled Agents'!F586+"h_l!'[y"</f>
        <v>#VALUE!</v>
      </c>
      <c r="IN142" t="e">
        <f>'Compiled Agents'!G586+"h_l!'[z"</f>
        <v>#VALUE!</v>
      </c>
      <c r="IO142" t="e">
        <f>'Compiled Agents'!H586+"h_l!'[{"</f>
        <v>#VALUE!</v>
      </c>
      <c r="IP142" t="e">
        <f>'Compiled Agents'!A587+"h_l!'[|"</f>
        <v>#VALUE!</v>
      </c>
      <c r="IQ142" t="e">
        <f>'Compiled Agents'!B587+"h_l!'[}"</f>
        <v>#VALUE!</v>
      </c>
      <c r="IR142" t="e">
        <f>'Compiled Agents'!C587+"h_l!'[~"</f>
        <v>#VALUE!</v>
      </c>
      <c r="IS142" t="e">
        <f>'Compiled Agents'!E587+"h_l!'\#"</f>
        <v>#VALUE!</v>
      </c>
      <c r="IT142" t="e">
        <f>'Compiled Agents'!F587+"h_l!'\$"</f>
        <v>#VALUE!</v>
      </c>
      <c r="IU142" t="e">
        <f>'Compiled Agents'!G587+"h_l!'\%"</f>
        <v>#VALUE!</v>
      </c>
      <c r="IV142" t="e">
        <f>'Compiled Agents'!H587+"h_l!'\&amp;"</f>
        <v>#VALUE!</v>
      </c>
    </row>
    <row r="143" spans="6:256" x14ac:dyDescent="0.25">
      <c r="F143" t="e">
        <f>'Compiled Agents'!A588+"h_l!'\'"</f>
        <v>#VALUE!</v>
      </c>
      <c r="G143" t="e">
        <f>'Compiled Agents'!B588+"h_l!'\("</f>
        <v>#VALUE!</v>
      </c>
      <c r="H143" t="e">
        <f>'Compiled Agents'!C588+"h_l!'\)"</f>
        <v>#VALUE!</v>
      </c>
      <c r="I143" t="e">
        <f>'Compiled Agents'!E588+"h_l!'\."</f>
        <v>#VALUE!</v>
      </c>
      <c r="J143" t="e">
        <f>'Compiled Agents'!F588+"h_l!'\/"</f>
        <v>#VALUE!</v>
      </c>
      <c r="K143" t="e">
        <f>'Compiled Agents'!G588+"h_l!'\0"</f>
        <v>#VALUE!</v>
      </c>
      <c r="L143" t="e">
        <f>'Compiled Agents'!H588+"h_l!'\1"</f>
        <v>#VALUE!</v>
      </c>
      <c r="M143" t="e">
        <f>'Compiled Agents'!A589+"h_l!'\2"</f>
        <v>#VALUE!</v>
      </c>
      <c r="N143" t="e">
        <f>'Compiled Agents'!B589+"h_l!'\3"</f>
        <v>#VALUE!</v>
      </c>
      <c r="O143" t="e">
        <f>'Compiled Agents'!C589+"h_l!'\4"</f>
        <v>#VALUE!</v>
      </c>
      <c r="P143" t="e">
        <f>'Compiled Agents'!E589+"h_l!'\5"</f>
        <v>#VALUE!</v>
      </c>
      <c r="Q143" t="e">
        <f>'Compiled Agents'!F589+"h_l!'\6"</f>
        <v>#VALUE!</v>
      </c>
      <c r="R143" t="e">
        <f>'Compiled Agents'!G589+"h_l!'\7"</f>
        <v>#VALUE!</v>
      </c>
      <c r="S143" t="e">
        <f>'Compiled Agents'!H589+"h_l!'\8"</f>
        <v>#VALUE!</v>
      </c>
      <c r="T143" t="e">
        <f>'Compiled Agents'!A590+"h_l!'\9"</f>
        <v>#VALUE!</v>
      </c>
      <c r="U143" t="e">
        <f>'Compiled Agents'!B590+"h_l!'\:"</f>
        <v>#VALUE!</v>
      </c>
      <c r="V143" t="e">
        <f>'Compiled Agents'!C590+"h_l!'\;"</f>
        <v>#VALUE!</v>
      </c>
      <c r="W143" t="e">
        <f>'Compiled Agents'!E590+"h_l!'\&lt;"</f>
        <v>#VALUE!</v>
      </c>
      <c r="X143" t="e">
        <f>'Compiled Agents'!F590+"h_l!'\="</f>
        <v>#VALUE!</v>
      </c>
      <c r="Y143" t="e">
        <f>'Compiled Agents'!G590+"h_l!'\&gt;"</f>
        <v>#VALUE!</v>
      </c>
      <c r="Z143" t="e">
        <f>'Compiled Agents'!H590+"h_l!'\?"</f>
        <v>#VALUE!</v>
      </c>
      <c r="AA143" t="e">
        <f>'Compiled Agents'!A591+"h_l!'\@"</f>
        <v>#VALUE!</v>
      </c>
      <c r="AB143" t="e">
        <f>'Compiled Agents'!B591+"h_l!'\A"</f>
        <v>#VALUE!</v>
      </c>
      <c r="AC143" t="e">
        <f>'Compiled Agents'!C591+"h_l!'\B"</f>
        <v>#VALUE!</v>
      </c>
      <c r="AD143" t="e">
        <f>'Compiled Agents'!E591+"h_l!'\C"</f>
        <v>#VALUE!</v>
      </c>
      <c r="AE143" t="e">
        <f>'Compiled Agents'!F591+"h_l!'\D"</f>
        <v>#VALUE!</v>
      </c>
      <c r="AF143" t="e">
        <f>'Compiled Agents'!G591+"h_l!'\E"</f>
        <v>#VALUE!</v>
      </c>
      <c r="AG143" t="e">
        <f>'Compiled Agents'!H591+"h_l!'\F"</f>
        <v>#VALUE!</v>
      </c>
      <c r="AH143" t="e">
        <f>'Compiled Agents'!A592+"h_l!'\G"</f>
        <v>#VALUE!</v>
      </c>
      <c r="AI143" t="e">
        <f>'Compiled Agents'!B592+"h_l!'\H"</f>
        <v>#VALUE!</v>
      </c>
      <c r="AJ143" t="e">
        <f>'Compiled Agents'!C592+"h_l!'\I"</f>
        <v>#VALUE!</v>
      </c>
      <c r="AK143" t="e">
        <f>'Compiled Agents'!E592+"h_l!'\J"</f>
        <v>#VALUE!</v>
      </c>
      <c r="AL143" t="e">
        <f>'Compiled Agents'!F592+"h_l!'\K"</f>
        <v>#VALUE!</v>
      </c>
      <c r="AM143" t="e">
        <f>'Compiled Agents'!G592+"h_l!'\L"</f>
        <v>#VALUE!</v>
      </c>
      <c r="AN143" t="e">
        <f>'Compiled Agents'!H592+"h_l!'\M"</f>
        <v>#VALUE!</v>
      </c>
      <c r="AO143" t="e">
        <f>'Compiled Agents'!A593+"h_l!'\N"</f>
        <v>#VALUE!</v>
      </c>
      <c r="AP143" t="e">
        <f>'Compiled Agents'!B593+"h_l!'\O"</f>
        <v>#VALUE!</v>
      </c>
      <c r="AQ143" t="e">
        <f>'Compiled Agents'!C593+"h_l!'\P"</f>
        <v>#VALUE!</v>
      </c>
      <c r="AR143" t="e">
        <f>'Compiled Agents'!E593+"h_l!'\Q"</f>
        <v>#VALUE!</v>
      </c>
      <c r="AS143" t="e">
        <f>'Compiled Agents'!F593+"h_l!'\R"</f>
        <v>#VALUE!</v>
      </c>
      <c r="AT143" t="e">
        <f>'Compiled Agents'!G593+"h_l!'\S"</f>
        <v>#VALUE!</v>
      </c>
      <c r="AU143" t="e">
        <f>'Compiled Agents'!H593+"h_l!'\T"</f>
        <v>#VALUE!</v>
      </c>
      <c r="AV143" t="e">
        <f>'Compiled Agents'!A594+"h_l!'\U"</f>
        <v>#VALUE!</v>
      </c>
      <c r="AW143" t="e">
        <f>'Compiled Agents'!B594+"h_l!'\V"</f>
        <v>#VALUE!</v>
      </c>
      <c r="AX143" t="e">
        <f>'Compiled Agents'!C594+"h_l!'\W"</f>
        <v>#VALUE!</v>
      </c>
      <c r="AY143" t="e">
        <f>'Compiled Agents'!E594+"h_l!'\X"</f>
        <v>#VALUE!</v>
      </c>
      <c r="AZ143" t="e">
        <f>'Compiled Agents'!F594+"h_l!'\Y"</f>
        <v>#VALUE!</v>
      </c>
      <c r="BA143" t="e">
        <f>'Compiled Agents'!G594+"h_l!'\Z"</f>
        <v>#VALUE!</v>
      </c>
      <c r="BB143" t="e">
        <f>'Compiled Agents'!H594+"h_l!'\["</f>
        <v>#VALUE!</v>
      </c>
      <c r="BC143" t="e">
        <f>'Compiled Agents'!A595+"h_l!'\\"</f>
        <v>#VALUE!</v>
      </c>
      <c r="BD143" t="e">
        <f>'Compiled Agents'!B595+"h_l!'\]"</f>
        <v>#VALUE!</v>
      </c>
      <c r="BE143" t="e">
        <f>'Compiled Agents'!C595+"h_l!'\^"</f>
        <v>#VALUE!</v>
      </c>
      <c r="BF143" t="e">
        <f>'Compiled Agents'!E595+"h_l!'\_"</f>
        <v>#VALUE!</v>
      </c>
      <c r="BG143" t="e">
        <f>'Compiled Agents'!F595+"h_l!'\`"</f>
        <v>#VALUE!</v>
      </c>
      <c r="BH143" t="e">
        <f>'Compiled Agents'!G595+"h_l!'\a"</f>
        <v>#VALUE!</v>
      </c>
      <c r="BI143" t="e">
        <f>'Compiled Agents'!H595+"h_l!'\b"</f>
        <v>#VALUE!</v>
      </c>
      <c r="BJ143" t="e">
        <f>'Compiled Agents'!A596+"h_l!'\c"</f>
        <v>#VALUE!</v>
      </c>
      <c r="BK143" t="e">
        <f>'Compiled Agents'!B596+"h_l!'\d"</f>
        <v>#VALUE!</v>
      </c>
      <c r="BL143" t="e">
        <f>'Compiled Agents'!C596+"h_l!'\e"</f>
        <v>#VALUE!</v>
      </c>
      <c r="BM143" t="e">
        <f>'Compiled Agents'!E596+"h_l!'\f"</f>
        <v>#VALUE!</v>
      </c>
      <c r="BN143" t="e">
        <f>'Compiled Agents'!F596+"h_l!'\g"</f>
        <v>#VALUE!</v>
      </c>
      <c r="BO143" t="e">
        <f>'Compiled Agents'!G596+"h_l!'\h"</f>
        <v>#VALUE!</v>
      </c>
      <c r="BP143" t="e">
        <f>'Compiled Agents'!H596+"h_l!'\i"</f>
        <v>#VALUE!</v>
      </c>
      <c r="BQ143" t="e">
        <f>'Compiled Agents'!A597+"h_l!'\j"</f>
        <v>#VALUE!</v>
      </c>
      <c r="BR143" t="e">
        <f>'Compiled Agents'!B597+"h_l!'\k"</f>
        <v>#VALUE!</v>
      </c>
      <c r="BS143" t="e">
        <f>'Compiled Agents'!C597+"h_l!'\l"</f>
        <v>#VALUE!</v>
      </c>
      <c r="BT143" t="e">
        <f>'Compiled Agents'!E597+"h_l!'\m"</f>
        <v>#VALUE!</v>
      </c>
      <c r="BU143" t="e">
        <f>'Compiled Agents'!F597+"h_l!'\n"</f>
        <v>#VALUE!</v>
      </c>
      <c r="BV143" t="e">
        <f>'Compiled Agents'!G597+"h_l!'\o"</f>
        <v>#VALUE!</v>
      </c>
      <c r="BW143" t="e">
        <f>'Compiled Agents'!H597+"h_l!'\p"</f>
        <v>#VALUE!</v>
      </c>
      <c r="BX143" t="e">
        <f>'Compiled Agents'!A598+"h_l!'\q"</f>
        <v>#VALUE!</v>
      </c>
      <c r="BY143" t="e">
        <f>'Compiled Agents'!B598+"h_l!'\r"</f>
        <v>#VALUE!</v>
      </c>
      <c r="BZ143" t="e">
        <f>'Compiled Agents'!C598+"h_l!'\s"</f>
        <v>#VALUE!</v>
      </c>
      <c r="CA143" t="e">
        <f>'Compiled Agents'!E598+"h_l!'\t"</f>
        <v>#VALUE!</v>
      </c>
      <c r="CB143" t="e">
        <f>'Compiled Agents'!F598+"h_l!'\u"</f>
        <v>#VALUE!</v>
      </c>
      <c r="CC143" t="e">
        <f>'Compiled Agents'!G598+"h_l!'\v"</f>
        <v>#VALUE!</v>
      </c>
      <c r="CD143" t="e">
        <f>'Compiled Agents'!H598+"h_l!'\w"</f>
        <v>#VALUE!</v>
      </c>
      <c r="CE143" t="e">
        <f>'Compiled Agents'!A599+"h_l!'\x"</f>
        <v>#VALUE!</v>
      </c>
      <c r="CF143" t="e">
        <f>'Compiled Agents'!B599+"h_l!'\y"</f>
        <v>#VALUE!</v>
      </c>
      <c r="CG143" t="e">
        <f>'Compiled Agents'!C599+"h_l!'\z"</f>
        <v>#VALUE!</v>
      </c>
      <c r="CH143" t="e">
        <f>'Compiled Agents'!E599+"h_l!'\{"</f>
        <v>#VALUE!</v>
      </c>
      <c r="CI143" t="e">
        <f>'Compiled Agents'!F599+"h_l!'\|"</f>
        <v>#VALUE!</v>
      </c>
      <c r="CJ143" t="e">
        <f>'Compiled Agents'!G599+"h_l!'\}"</f>
        <v>#VALUE!</v>
      </c>
      <c r="CK143" t="e">
        <f>'Compiled Agents'!H599+"h_l!'\~"</f>
        <v>#VALUE!</v>
      </c>
      <c r="CL143" t="e">
        <f>'Compiled Agents'!A600+"h_l!']#"</f>
        <v>#VALUE!</v>
      </c>
      <c r="CM143" t="e">
        <f>'Compiled Agents'!B600+"h_l!']$"</f>
        <v>#VALUE!</v>
      </c>
      <c r="CN143" t="e">
        <f>'Compiled Agents'!C600+"h_l!']%"</f>
        <v>#VALUE!</v>
      </c>
      <c r="CO143" t="e">
        <f>'Compiled Agents'!E600+"h_l!']&amp;"</f>
        <v>#VALUE!</v>
      </c>
      <c r="CP143" t="e">
        <f>'Compiled Agents'!F600+"h_l!']'"</f>
        <v>#VALUE!</v>
      </c>
      <c r="CQ143" t="e">
        <f>'Compiled Agents'!G600+"h_l!']("</f>
        <v>#VALUE!</v>
      </c>
      <c r="CR143" t="e">
        <f>'Compiled Agents'!H600+"h_l!'])"</f>
        <v>#VALUE!</v>
      </c>
      <c r="CS143" t="e">
        <f>'Compiled Agents'!A601+"h_l!']."</f>
        <v>#VALUE!</v>
      </c>
      <c r="CT143" t="e">
        <f>'Compiled Agents'!B601+"h_l!']/"</f>
        <v>#VALUE!</v>
      </c>
      <c r="CU143" t="e">
        <f>'Compiled Agents'!C601+"h_l!']0"</f>
        <v>#VALUE!</v>
      </c>
      <c r="CV143" t="e">
        <f>'Compiled Agents'!E601+"h_l!']1"</f>
        <v>#VALUE!</v>
      </c>
      <c r="CW143" t="e">
        <f>'Compiled Agents'!F601+"h_l!']2"</f>
        <v>#VALUE!</v>
      </c>
      <c r="CX143" t="e">
        <f>'Compiled Agents'!G601+"h_l!']3"</f>
        <v>#VALUE!</v>
      </c>
      <c r="CY143" t="e">
        <f>'Compiled Agents'!H601+"h_l!']4"</f>
        <v>#VALUE!</v>
      </c>
      <c r="CZ143" t="e">
        <f>'Compiled Agents'!A602+"h_l!']5"</f>
        <v>#VALUE!</v>
      </c>
      <c r="DA143" t="e">
        <f>'Compiled Agents'!B602+"h_l!']6"</f>
        <v>#VALUE!</v>
      </c>
      <c r="DB143" t="e">
        <f>'Compiled Agents'!C602+"h_l!']7"</f>
        <v>#VALUE!</v>
      </c>
      <c r="DC143" t="e">
        <f>'Compiled Agents'!E602+"h_l!']8"</f>
        <v>#VALUE!</v>
      </c>
      <c r="DD143" t="e">
        <f>'Compiled Agents'!F602+"h_l!']9"</f>
        <v>#VALUE!</v>
      </c>
      <c r="DE143" t="e">
        <f>'Compiled Agents'!G602+"h_l!']:"</f>
        <v>#VALUE!</v>
      </c>
      <c r="DF143" t="e">
        <f>'Compiled Agents'!H602+"h_l!'];"</f>
        <v>#VALUE!</v>
      </c>
      <c r="DG143" t="e">
        <f>'Compiled Agents'!A603+"h_l!']&lt;"</f>
        <v>#VALUE!</v>
      </c>
      <c r="DH143" t="e">
        <f>'Compiled Agents'!B603+"h_l!']="</f>
        <v>#VALUE!</v>
      </c>
      <c r="DI143" t="e">
        <f>'Compiled Agents'!C603+"h_l!']&gt;"</f>
        <v>#VALUE!</v>
      </c>
      <c r="DJ143" t="e">
        <f>'Compiled Agents'!E603+"h_l!']?"</f>
        <v>#VALUE!</v>
      </c>
      <c r="DK143" t="e">
        <f>'Compiled Agents'!F603+"h_l!']@"</f>
        <v>#VALUE!</v>
      </c>
      <c r="DL143" t="e">
        <f>'Compiled Agents'!G603+"h_l!']A"</f>
        <v>#VALUE!</v>
      </c>
      <c r="DM143" t="e">
        <f>'Compiled Agents'!H603+"h_l!']B"</f>
        <v>#VALUE!</v>
      </c>
      <c r="DN143" t="e">
        <f>'Compiled Agents'!A604+"h_l!']C"</f>
        <v>#VALUE!</v>
      </c>
      <c r="DO143" t="e">
        <f>'Compiled Agents'!B604+"h_l!']D"</f>
        <v>#VALUE!</v>
      </c>
      <c r="DP143" t="e">
        <f>'Compiled Agents'!C604+"h_l!']E"</f>
        <v>#VALUE!</v>
      </c>
      <c r="DQ143" t="e">
        <f>'Compiled Agents'!E604+"h_l!']F"</f>
        <v>#VALUE!</v>
      </c>
      <c r="DR143" t="e">
        <f>'Compiled Agents'!F604+"h_l!']G"</f>
        <v>#VALUE!</v>
      </c>
      <c r="DS143" t="e">
        <f>'Compiled Agents'!G604+"h_l!']H"</f>
        <v>#VALUE!</v>
      </c>
      <c r="DT143" t="e">
        <f>'Compiled Agents'!H604+"h_l!']I"</f>
        <v>#VALUE!</v>
      </c>
      <c r="DU143" t="e">
        <f>'Compiled Agents'!A605+"h_l!']J"</f>
        <v>#VALUE!</v>
      </c>
      <c r="DV143" t="e">
        <f>'Compiled Agents'!B605+"h_l!']K"</f>
        <v>#VALUE!</v>
      </c>
      <c r="DW143" t="e">
        <f>'Compiled Agents'!C605+"h_l!']L"</f>
        <v>#VALUE!</v>
      </c>
      <c r="DX143" t="e">
        <f>'Compiled Agents'!E605+"h_l!']M"</f>
        <v>#VALUE!</v>
      </c>
      <c r="DY143" t="e">
        <f>'Compiled Agents'!F605+"h_l!']N"</f>
        <v>#VALUE!</v>
      </c>
      <c r="DZ143" t="e">
        <f>'Compiled Agents'!G605+"h_l!']O"</f>
        <v>#VALUE!</v>
      </c>
      <c r="EA143" t="e">
        <f>'Compiled Agents'!H605+"h_l!']P"</f>
        <v>#VALUE!</v>
      </c>
      <c r="EB143" t="e">
        <f>'Compiled Agents'!A606+"h_l!']Q"</f>
        <v>#VALUE!</v>
      </c>
      <c r="EC143" t="e">
        <f>'Compiled Agents'!B606+"h_l!']R"</f>
        <v>#VALUE!</v>
      </c>
      <c r="ED143" t="e">
        <f>'Compiled Agents'!C606+"h_l!']S"</f>
        <v>#VALUE!</v>
      </c>
      <c r="EE143" t="e">
        <f>'Compiled Agents'!E606+"h_l!']T"</f>
        <v>#VALUE!</v>
      </c>
      <c r="EF143" t="e">
        <f>'Compiled Agents'!F606+"h_l!']U"</f>
        <v>#VALUE!</v>
      </c>
      <c r="EG143" t="e">
        <f>'Compiled Agents'!G606+"h_l!']V"</f>
        <v>#VALUE!</v>
      </c>
      <c r="EH143" t="e">
        <f>'Compiled Agents'!H606+"h_l!']W"</f>
        <v>#VALUE!</v>
      </c>
      <c r="EI143" t="e">
        <f>'Compiled Agents'!A607+"h_l!']X"</f>
        <v>#VALUE!</v>
      </c>
      <c r="EJ143" t="e">
        <f>'Compiled Agents'!B607+"h_l!']Y"</f>
        <v>#VALUE!</v>
      </c>
      <c r="EK143" t="e">
        <f>'Compiled Agents'!C607+"h_l!']Z"</f>
        <v>#VALUE!</v>
      </c>
      <c r="EL143" t="e">
        <f>'Compiled Agents'!E607+"h_l!']["</f>
        <v>#VALUE!</v>
      </c>
      <c r="EM143" t="e">
        <f>'Compiled Agents'!F607+"h_l!']\"</f>
        <v>#VALUE!</v>
      </c>
      <c r="EN143" t="e">
        <f>'Compiled Agents'!G607+"h_l!']]"</f>
        <v>#VALUE!</v>
      </c>
      <c r="EO143" t="e">
        <f>'Compiled Agents'!H607+"h_l!']^"</f>
        <v>#VALUE!</v>
      </c>
      <c r="EP143" t="e">
        <f>'Compiled Agents'!A608+"h_l!']_"</f>
        <v>#VALUE!</v>
      </c>
      <c r="EQ143" t="e">
        <f>'Compiled Agents'!B608+"h_l!']`"</f>
        <v>#VALUE!</v>
      </c>
      <c r="ER143" t="e">
        <f>'Compiled Agents'!C608+"h_l!']a"</f>
        <v>#VALUE!</v>
      </c>
      <c r="ES143" t="e">
        <f>'Compiled Agents'!E608+"h_l!']b"</f>
        <v>#VALUE!</v>
      </c>
      <c r="ET143" t="e">
        <f>'Compiled Agents'!F608+"h_l!']c"</f>
        <v>#VALUE!</v>
      </c>
      <c r="EU143" t="e">
        <f>'Compiled Agents'!G608+"h_l!']d"</f>
        <v>#VALUE!</v>
      </c>
      <c r="EV143" t="e">
        <f>'Compiled Agents'!H608+"h_l!']e"</f>
        <v>#VALUE!</v>
      </c>
      <c r="EW143" t="e">
        <f>'Compiled Agents'!A609+"h_l!']f"</f>
        <v>#VALUE!</v>
      </c>
      <c r="EX143" t="e">
        <f>'Compiled Agents'!B609+"h_l!']g"</f>
        <v>#VALUE!</v>
      </c>
      <c r="EY143" t="e">
        <f>'Compiled Agents'!C609+"h_l!']h"</f>
        <v>#VALUE!</v>
      </c>
      <c r="EZ143" t="e">
        <f>'Compiled Agents'!E609+"h_l!']i"</f>
        <v>#VALUE!</v>
      </c>
      <c r="FA143" t="e">
        <f>'Compiled Agents'!F609+"h_l!']j"</f>
        <v>#VALUE!</v>
      </c>
      <c r="FB143" t="e">
        <f>'Compiled Agents'!G609+"h_l!']k"</f>
        <v>#VALUE!</v>
      </c>
      <c r="FC143" t="e">
        <f>'Compiled Agents'!H609+"h_l!']l"</f>
        <v>#VALUE!</v>
      </c>
      <c r="FD143" t="e">
        <f>'Compiled Agents'!A610+"h_l!']m"</f>
        <v>#VALUE!</v>
      </c>
      <c r="FE143" t="e">
        <f>'Compiled Agents'!B610+"h_l!']n"</f>
        <v>#VALUE!</v>
      </c>
      <c r="FF143" t="e">
        <f>'Compiled Agents'!C610+"h_l!']o"</f>
        <v>#VALUE!</v>
      </c>
      <c r="FG143" t="e">
        <f>'Compiled Agents'!E610+"h_l!']p"</f>
        <v>#VALUE!</v>
      </c>
      <c r="FH143" t="e">
        <f>'Compiled Agents'!F610+"h_l!']q"</f>
        <v>#VALUE!</v>
      </c>
      <c r="FI143" t="e">
        <f>'Compiled Agents'!G610+"h_l!']r"</f>
        <v>#VALUE!</v>
      </c>
      <c r="FJ143" t="e">
        <f>'Compiled Agents'!H610+"h_l!']s"</f>
        <v>#VALUE!</v>
      </c>
      <c r="FK143" t="e">
        <f>'Compiled Agents'!A611+"h_l!']t"</f>
        <v>#VALUE!</v>
      </c>
      <c r="FL143" t="e">
        <f>'Compiled Agents'!B611+"h_l!']u"</f>
        <v>#VALUE!</v>
      </c>
      <c r="FM143" t="e">
        <f>'Compiled Agents'!C611+"h_l!']v"</f>
        <v>#VALUE!</v>
      </c>
      <c r="FN143" t="e">
        <f>'Compiled Agents'!E611+"h_l!']w"</f>
        <v>#VALUE!</v>
      </c>
      <c r="FO143" t="e">
        <f>'Compiled Agents'!F611+"h_l!']x"</f>
        <v>#VALUE!</v>
      </c>
      <c r="FP143" t="e">
        <f>'Compiled Agents'!G611+"h_l!']y"</f>
        <v>#VALUE!</v>
      </c>
      <c r="FQ143" t="e">
        <f>'Compiled Agents'!H611+"h_l!']z"</f>
        <v>#VALUE!</v>
      </c>
      <c r="FR143" t="e">
        <f>'Compiled Agents'!A612+"h_l!']{"</f>
        <v>#VALUE!</v>
      </c>
      <c r="FS143" t="e">
        <f>'Compiled Agents'!B612+"h_l!']|"</f>
        <v>#VALUE!</v>
      </c>
      <c r="FT143" t="e">
        <f>'Compiled Agents'!C612+"h_l!']}"</f>
        <v>#VALUE!</v>
      </c>
      <c r="FU143" t="e">
        <f>'Compiled Agents'!E612+"h_l!']~"</f>
        <v>#VALUE!</v>
      </c>
      <c r="FV143" t="e">
        <f>'Compiled Agents'!F612+"h_l!'^#"</f>
        <v>#VALUE!</v>
      </c>
      <c r="FW143" t="e">
        <f>'Compiled Agents'!G612+"h_l!'^$"</f>
        <v>#VALUE!</v>
      </c>
      <c r="FX143" t="e">
        <f>'Compiled Agents'!H612+"h_l!'^%"</f>
        <v>#VALUE!</v>
      </c>
      <c r="FY143" t="e">
        <f>'Compiled Agents'!A613+"h_l!'^&amp;"</f>
        <v>#VALUE!</v>
      </c>
      <c r="FZ143" t="e">
        <f>'Compiled Agents'!B613+"h_l!'^'"</f>
        <v>#VALUE!</v>
      </c>
      <c r="GA143" t="e">
        <f>'Compiled Agents'!C613+"h_l!'^("</f>
        <v>#VALUE!</v>
      </c>
      <c r="GB143" t="e">
        <f>'Compiled Agents'!E613+"h_l!'^)"</f>
        <v>#VALUE!</v>
      </c>
      <c r="GC143" t="e">
        <f>'Compiled Agents'!F613+"h_l!'^."</f>
        <v>#VALUE!</v>
      </c>
      <c r="GD143" t="e">
        <f>'Compiled Agents'!G613+"h_l!'^/"</f>
        <v>#VALUE!</v>
      </c>
      <c r="GE143" t="e">
        <f>'Compiled Agents'!H613+"h_l!'^0"</f>
        <v>#VALUE!</v>
      </c>
      <c r="GF143" t="e">
        <f>'Compiled Agents'!A614+"h_l!'^1"</f>
        <v>#VALUE!</v>
      </c>
      <c r="GG143" t="e">
        <f>'Compiled Agents'!B614+"h_l!'^2"</f>
        <v>#VALUE!</v>
      </c>
      <c r="GH143" t="e">
        <f>'Compiled Agents'!C614+"h_l!'^3"</f>
        <v>#VALUE!</v>
      </c>
      <c r="GI143" t="e">
        <f>'Compiled Agents'!E614+"h_l!'^4"</f>
        <v>#VALUE!</v>
      </c>
      <c r="GJ143" t="e">
        <f>'Compiled Agents'!F614+"h_l!'^5"</f>
        <v>#VALUE!</v>
      </c>
      <c r="GK143" t="e">
        <f>'Compiled Agents'!G614+"h_l!'^6"</f>
        <v>#VALUE!</v>
      </c>
      <c r="GL143" t="e">
        <f>'Compiled Agents'!H614+"h_l!'^7"</f>
        <v>#VALUE!</v>
      </c>
      <c r="GM143" t="e">
        <f>'Compiled Agents'!A615+"h_l!'^8"</f>
        <v>#VALUE!</v>
      </c>
      <c r="GN143" t="e">
        <f>'Compiled Agents'!B615+"h_l!'^9"</f>
        <v>#VALUE!</v>
      </c>
      <c r="GO143" t="e">
        <f>'Compiled Agents'!C615+"h_l!'^:"</f>
        <v>#VALUE!</v>
      </c>
      <c r="GP143" t="e">
        <f>'Compiled Agents'!E615+"h_l!'^;"</f>
        <v>#VALUE!</v>
      </c>
      <c r="GQ143" t="e">
        <f>'Compiled Agents'!F615+"h_l!'^&lt;"</f>
        <v>#VALUE!</v>
      </c>
      <c r="GR143" t="e">
        <f>'Compiled Agents'!G615+"h_l!'^="</f>
        <v>#VALUE!</v>
      </c>
      <c r="GS143" t="e">
        <f>'Compiled Agents'!H615+"h_l!'^&gt;"</f>
        <v>#VALUE!</v>
      </c>
      <c r="GT143" t="e">
        <f>'Compiled Agents'!A616+"h_l!'^?"</f>
        <v>#VALUE!</v>
      </c>
      <c r="GU143" t="e">
        <f>'Compiled Agents'!B616+"h_l!'^@"</f>
        <v>#VALUE!</v>
      </c>
      <c r="GV143" t="e">
        <f>'Compiled Agents'!C616+"h_l!'^A"</f>
        <v>#VALUE!</v>
      </c>
      <c r="GW143" t="e">
        <f>'Compiled Agents'!E616+"h_l!'^B"</f>
        <v>#VALUE!</v>
      </c>
      <c r="GX143" t="e">
        <f>'Compiled Agents'!F616+"h_l!'^C"</f>
        <v>#VALUE!</v>
      </c>
      <c r="GY143" t="e">
        <f>'Compiled Agents'!G616+"h_l!'^D"</f>
        <v>#VALUE!</v>
      </c>
      <c r="GZ143" t="e">
        <f>'Compiled Agents'!H616+"h_l!'^E"</f>
        <v>#VALUE!</v>
      </c>
      <c r="HA143" t="e">
        <f>'Compiled Agents'!A617+"h_l!'^F"</f>
        <v>#VALUE!</v>
      </c>
      <c r="HB143" t="e">
        <f>'Compiled Agents'!B617+"h_l!'^G"</f>
        <v>#VALUE!</v>
      </c>
      <c r="HC143" t="e">
        <f>'Compiled Agents'!C617+"h_l!'^H"</f>
        <v>#VALUE!</v>
      </c>
      <c r="HD143" t="e">
        <f>'Compiled Agents'!E617+"h_l!'^I"</f>
        <v>#VALUE!</v>
      </c>
      <c r="HE143" t="e">
        <f>'Compiled Agents'!F617+"h_l!'^J"</f>
        <v>#VALUE!</v>
      </c>
      <c r="HF143" t="e">
        <f>'Compiled Agents'!G617+"h_l!'^K"</f>
        <v>#VALUE!</v>
      </c>
      <c r="HG143" t="e">
        <f>'Compiled Agents'!H617+"h_l!'^L"</f>
        <v>#VALUE!</v>
      </c>
      <c r="HH143" t="e">
        <f>'Compiled Agents'!A618+"h_l!'^M"</f>
        <v>#VALUE!</v>
      </c>
      <c r="HI143" t="e">
        <f>'Compiled Agents'!B618+"h_l!'^N"</f>
        <v>#VALUE!</v>
      </c>
      <c r="HJ143" t="e">
        <f>'Compiled Agents'!C618+"h_l!'^O"</f>
        <v>#VALUE!</v>
      </c>
      <c r="HK143" t="e">
        <f>'Compiled Agents'!E618+"h_l!'^P"</f>
        <v>#VALUE!</v>
      </c>
      <c r="HL143" t="e">
        <f>'Compiled Agents'!F618+"h_l!'^Q"</f>
        <v>#VALUE!</v>
      </c>
      <c r="HM143" t="e">
        <f>'Compiled Agents'!G618+"h_l!'^R"</f>
        <v>#VALUE!</v>
      </c>
      <c r="HN143" t="e">
        <f>'Compiled Agents'!H618+"h_l!'^S"</f>
        <v>#VALUE!</v>
      </c>
      <c r="HO143" t="e">
        <f>'Compiled Agents'!A619+"h_l!'^T"</f>
        <v>#VALUE!</v>
      </c>
      <c r="HP143" t="e">
        <f>'Compiled Agents'!B619+"h_l!'^U"</f>
        <v>#VALUE!</v>
      </c>
      <c r="HQ143" t="e">
        <f>'Compiled Agents'!C619+"h_l!'^V"</f>
        <v>#VALUE!</v>
      </c>
      <c r="HR143" t="e">
        <f>'Compiled Agents'!E619+"h_l!'^W"</f>
        <v>#VALUE!</v>
      </c>
      <c r="HS143" t="e">
        <f>'Compiled Agents'!F619+"h_l!'^X"</f>
        <v>#VALUE!</v>
      </c>
      <c r="HT143" t="e">
        <f>'Compiled Agents'!G619+"h_l!'^Y"</f>
        <v>#VALUE!</v>
      </c>
      <c r="HU143" t="e">
        <f>'Compiled Agents'!H619+"h_l!'^Z"</f>
        <v>#VALUE!</v>
      </c>
      <c r="HV143" t="e">
        <f>'Compiled Agents'!A620+"h_l!'^["</f>
        <v>#VALUE!</v>
      </c>
      <c r="HW143" t="e">
        <f>'Compiled Agents'!B620+"h_l!'^\"</f>
        <v>#VALUE!</v>
      </c>
      <c r="HX143" t="e">
        <f>'Compiled Agents'!C620+"h_l!'^]"</f>
        <v>#VALUE!</v>
      </c>
      <c r="HY143" t="e">
        <f>'Compiled Agents'!E620+"h_l!'^^"</f>
        <v>#VALUE!</v>
      </c>
      <c r="HZ143" t="e">
        <f>'Compiled Agents'!F620+"h_l!'^_"</f>
        <v>#VALUE!</v>
      </c>
      <c r="IA143" t="e">
        <f>'Compiled Agents'!G620+"h_l!'^`"</f>
        <v>#VALUE!</v>
      </c>
      <c r="IB143" t="e">
        <f>'Compiled Agents'!H620+"h_l!'^a"</f>
        <v>#VALUE!</v>
      </c>
      <c r="IC143" t="e">
        <f>'Compiled Agents'!A621+"h_l!'^b"</f>
        <v>#VALUE!</v>
      </c>
      <c r="ID143" t="e">
        <f>'Compiled Agents'!B621+"h_l!'^c"</f>
        <v>#VALUE!</v>
      </c>
      <c r="IE143" t="e">
        <f>'Compiled Agents'!C621+"h_l!'^d"</f>
        <v>#VALUE!</v>
      </c>
      <c r="IF143" t="e">
        <f>'Compiled Agents'!E621+"h_l!'^e"</f>
        <v>#VALUE!</v>
      </c>
      <c r="IG143" t="e">
        <f>'Compiled Agents'!F621+"h_l!'^f"</f>
        <v>#VALUE!</v>
      </c>
      <c r="IH143" t="e">
        <f>'Compiled Agents'!G621+"h_l!'^g"</f>
        <v>#VALUE!</v>
      </c>
      <c r="II143" t="e">
        <f>'Compiled Agents'!H621+"h_l!'^h"</f>
        <v>#VALUE!</v>
      </c>
      <c r="IJ143" t="e">
        <f>'Compiled Agents'!A622+"h_l!'^i"</f>
        <v>#VALUE!</v>
      </c>
      <c r="IK143" t="e">
        <f>'Compiled Agents'!B622+"h_l!'^j"</f>
        <v>#VALUE!</v>
      </c>
      <c r="IL143" t="e">
        <f>'Compiled Agents'!C622+"h_l!'^k"</f>
        <v>#VALUE!</v>
      </c>
      <c r="IM143" t="e">
        <f>'Compiled Agents'!E622+"h_l!'^l"</f>
        <v>#VALUE!</v>
      </c>
      <c r="IN143" t="e">
        <f>'Compiled Agents'!F622+"h_l!'^m"</f>
        <v>#VALUE!</v>
      </c>
      <c r="IO143" t="e">
        <f>'Compiled Agents'!G622+"h_l!'^n"</f>
        <v>#VALUE!</v>
      </c>
      <c r="IP143" t="e">
        <f>'Compiled Agents'!H622+"h_l!'^o"</f>
        <v>#VALUE!</v>
      </c>
      <c r="IQ143" t="e">
        <f>'Compiled Agents'!A623+"h_l!'^p"</f>
        <v>#VALUE!</v>
      </c>
      <c r="IR143" t="e">
        <f>'Compiled Agents'!B623+"h_l!'^q"</f>
        <v>#VALUE!</v>
      </c>
      <c r="IS143" t="e">
        <f>'Compiled Agents'!C623+"h_l!'^r"</f>
        <v>#VALUE!</v>
      </c>
      <c r="IT143" t="e">
        <f>'Compiled Agents'!E623+"h_l!'^s"</f>
        <v>#VALUE!</v>
      </c>
      <c r="IU143" t="e">
        <f>'Compiled Agents'!F623+"h_l!'^t"</f>
        <v>#VALUE!</v>
      </c>
      <c r="IV143" t="e">
        <f>'Compiled Agents'!G623+"h_l!'^u"</f>
        <v>#VALUE!</v>
      </c>
    </row>
    <row r="144" spans="6:256" x14ac:dyDescent="0.25">
      <c r="F144" t="e">
        <f>'Compiled Agents'!H623+"h_l!'^v"</f>
        <v>#VALUE!</v>
      </c>
      <c r="G144" t="e">
        <f>'Compiled Agents'!A624+"h_l!'^w"</f>
        <v>#VALUE!</v>
      </c>
      <c r="H144" t="e">
        <f>'Compiled Agents'!B624+"h_l!'^x"</f>
        <v>#VALUE!</v>
      </c>
      <c r="I144" t="e">
        <f>'Compiled Agents'!C624+"h_l!'^y"</f>
        <v>#VALUE!</v>
      </c>
      <c r="J144" t="e">
        <f>'Compiled Agents'!E624+"h_l!'^z"</f>
        <v>#VALUE!</v>
      </c>
      <c r="K144" t="e">
        <f>'Compiled Agents'!F624+"h_l!'^{"</f>
        <v>#VALUE!</v>
      </c>
      <c r="L144" t="e">
        <f>'Compiled Agents'!G624+"h_l!'^|"</f>
        <v>#VALUE!</v>
      </c>
      <c r="M144" t="e">
        <f>'Compiled Agents'!H624+"h_l!'^}"</f>
        <v>#VALUE!</v>
      </c>
      <c r="N144" t="e">
        <f>'Compiled Agents'!A625+"h_l!'^~"</f>
        <v>#VALUE!</v>
      </c>
      <c r="O144" t="e">
        <f>'Compiled Agents'!B625+"h_l!'_#"</f>
        <v>#VALUE!</v>
      </c>
      <c r="P144" t="e">
        <f>'Compiled Agents'!C625+"h_l!'_$"</f>
        <v>#VALUE!</v>
      </c>
      <c r="Q144" t="e">
        <f>'Compiled Agents'!E625+"h_l!'_%"</f>
        <v>#VALUE!</v>
      </c>
      <c r="R144" t="e">
        <f>'Compiled Agents'!F625+"h_l!'_&amp;"</f>
        <v>#VALUE!</v>
      </c>
      <c r="S144" t="e">
        <f>'Compiled Agents'!G625+"h_l!'_'"</f>
        <v>#VALUE!</v>
      </c>
      <c r="T144" t="e">
        <f>'Compiled Agents'!H625+"h_l!'_("</f>
        <v>#VALUE!</v>
      </c>
      <c r="U144" t="e">
        <f>'Compiled Agents'!A626+"h_l!'_)"</f>
        <v>#VALUE!</v>
      </c>
      <c r="V144" t="e">
        <f>'Compiled Agents'!B626+"h_l!'_."</f>
        <v>#VALUE!</v>
      </c>
      <c r="W144" t="e">
        <f>'Compiled Agents'!C626+"h_l!'_/"</f>
        <v>#VALUE!</v>
      </c>
      <c r="X144" t="e">
        <f>'Compiled Agents'!E626+"h_l!'_0"</f>
        <v>#VALUE!</v>
      </c>
      <c r="Y144" t="e">
        <f>'Compiled Agents'!F626+"h_l!'_1"</f>
        <v>#VALUE!</v>
      </c>
      <c r="Z144" t="e">
        <f>'Compiled Agents'!G626+"h_l!'_2"</f>
        <v>#VALUE!</v>
      </c>
      <c r="AA144" t="e">
        <f>'Compiled Agents'!H626+"h_l!'_3"</f>
        <v>#VALUE!</v>
      </c>
      <c r="AB144" t="e">
        <f>'Compiled Agents'!A627+"h_l!'_4"</f>
        <v>#VALUE!</v>
      </c>
      <c r="AC144" t="e">
        <f>'Compiled Agents'!B627+"h_l!'_5"</f>
        <v>#VALUE!</v>
      </c>
      <c r="AD144" t="e">
        <f>'Compiled Agents'!C627+"h_l!'_6"</f>
        <v>#VALUE!</v>
      </c>
      <c r="AE144" t="e">
        <f>'Compiled Agents'!E627+"h_l!'_7"</f>
        <v>#VALUE!</v>
      </c>
      <c r="AF144" t="e">
        <f>'Compiled Agents'!F627+"h_l!'_8"</f>
        <v>#VALUE!</v>
      </c>
      <c r="AG144" t="e">
        <f>'Compiled Agents'!G627+"h_l!'_9"</f>
        <v>#VALUE!</v>
      </c>
      <c r="AH144" t="e">
        <f>'Compiled Agents'!H627+"h_l!'_:"</f>
        <v>#VALUE!</v>
      </c>
      <c r="AI144" t="e">
        <f>'Compiled Agents'!A628+"h_l!'_;"</f>
        <v>#VALUE!</v>
      </c>
      <c r="AJ144" t="e">
        <f>'Compiled Agents'!B628+"h_l!'_&lt;"</f>
        <v>#VALUE!</v>
      </c>
      <c r="AK144" t="e">
        <f>'Compiled Agents'!C628+"h_l!'_="</f>
        <v>#VALUE!</v>
      </c>
      <c r="AL144" t="e">
        <f>'Compiled Agents'!E628+"h_l!'_&gt;"</f>
        <v>#VALUE!</v>
      </c>
      <c r="AM144" t="e">
        <f>'Compiled Agents'!F628+"h_l!'_?"</f>
        <v>#VALUE!</v>
      </c>
      <c r="AN144" t="e">
        <f>'Compiled Agents'!G628+"h_l!'_@"</f>
        <v>#VALUE!</v>
      </c>
      <c r="AO144" t="e">
        <f>'Compiled Agents'!H628+"h_l!'_A"</f>
        <v>#VALUE!</v>
      </c>
      <c r="AP144" t="e">
        <f>'Compiled Agents'!A629+"h_l!'_B"</f>
        <v>#VALUE!</v>
      </c>
      <c r="AQ144" t="e">
        <f>'Compiled Agents'!B629+"h_l!'_C"</f>
        <v>#VALUE!</v>
      </c>
      <c r="AR144" t="e">
        <f>'Compiled Agents'!C629+"h_l!'_D"</f>
        <v>#VALUE!</v>
      </c>
      <c r="AS144" t="e">
        <f>'Compiled Agents'!E629+"h_l!'_E"</f>
        <v>#VALUE!</v>
      </c>
      <c r="AT144" t="e">
        <f>'Compiled Agents'!F629+"h_l!'_F"</f>
        <v>#VALUE!</v>
      </c>
      <c r="AU144" t="e">
        <f>'Compiled Agents'!G629+"h_l!'_G"</f>
        <v>#VALUE!</v>
      </c>
      <c r="AV144" t="e">
        <f>'Compiled Agents'!H629+"h_l!'_H"</f>
        <v>#VALUE!</v>
      </c>
      <c r="AW144" t="e">
        <f>'Compiled Agents'!A630+"h_l!'_I"</f>
        <v>#VALUE!</v>
      </c>
      <c r="AX144" t="e">
        <f>'Compiled Agents'!B630+"h_l!'_J"</f>
        <v>#VALUE!</v>
      </c>
      <c r="AY144" t="e">
        <f>'Compiled Agents'!C630+"h_l!'_K"</f>
        <v>#VALUE!</v>
      </c>
      <c r="AZ144" t="e">
        <f>'Compiled Agents'!E630+"h_l!'_L"</f>
        <v>#VALUE!</v>
      </c>
      <c r="BA144" t="e">
        <f>'Compiled Agents'!F630+"h_l!'_M"</f>
        <v>#VALUE!</v>
      </c>
      <c r="BB144" t="e">
        <f>'Compiled Agents'!G630+"h_l!'_N"</f>
        <v>#VALUE!</v>
      </c>
      <c r="BC144" t="e">
        <f>'Compiled Agents'!H630+"h_l!'_O"</f>
        <v>#VALUE!</v>
      </c>
      <c r="BD144" t="e">
        <f>'Compiled Agents'!A631+"h_l!'_P"</f>
        <v>#VALUE!</v>
      </c>
      <c r="BE144" t="e">
        <f>'Compiled Agents'!B631+"h_l!'_Q"</f>
        <v>#VALUE!</v>
      </c>
      <c r="BF144" t="e">
        <f>'Compiled Agents'!C631+"h_l!'_R"</f>
        <v>#VALUE!</v>
      </c>
      <c r="BG144" t="e">
        <f>'Compiled Agents'!E631+"h_l!'_S"</f>
        <v>#VALUE!</v>
      </c>
      <c r="BH144" t="e">
        <f>'Compiled Agents'!F631+"h_l!'_T"</f>
        <v>#VALUE!</v>
      </c>
      <c r="BI144" t="e">
        <f>'Compiled Agents'!G631+"h_l!'_U"</f>
        <v>#VALUE!</v>
      </c>
      <c r="BJ144" t="e">
        <f>'Compiled Agents'!H631+"h_l!'_V"</f>
        <v>#VALUE!</v>
      </c>
      <c r="BK144" t="e">
        <f>'Compiled Agents'!A632+"h_l!'_W"</f>
        <v>#VALUE!</v>
      </c>
      <c r="BL144" t="e">
        <f>'Compiled Agents'!B632+"h_l!'_X"</f>
        <v>#VALUE!</v>
      </c>
      <c r="BM144" t="e">
        <f>'Compiled Agents'!C632+"h_l!'_Y"</f>
        <v>#VALUE!</v>
      </c>
      <c r="BN144" t="e">
        <f>'Compiled Agents'!E632+"h_l!'_Z"</f>
        <v>#VALUE!</v>
      </c>
      <c r="BO144" t="e">
        <f>'Compiled Agents'!F632+"h_l!'_["</f>
        <v>#VALUE!</v>
      </c>
      <c r="BP144" t="e">
        <f>'Compiled Agents'!G632+"h_l!'_\"</f>
        <v>#VALUE!</v>
      </c>
      <c r="BQ144" t="e">
        <f>'Compiled Agents'!H632+"h_l!'_]"</f>
        <v>#VALUE!</v>
      </c>
      <c r="BR144" t="e">
        <f>'Compiled Agents'!A633+"h_l!'_^"</f>
        <v>#VALUE!</v>
      </c>
      <c r="BS144" t="e">
        <f>'Compiled Agents'!B633+"h_l!'__"</f>
        <v>#VALUE!</v>
      </c>
      <c r="BT144" t="e">
        <f>'Compiled Agents'!C633+"h_l!'_`"</f>
        <v>#VALUE!</v>
      </c>
      <c r="BU144" t="e">
        <f>'Compiled Agents'!E633+"h_l!'_a"</f>
        <v>#VALUE!</v>
      </c>
      <c r="BV144" t="e">
        <f>'Compiled Agents'!F633+"h_l!'_b"</f>
        <v>#VALUE!</v>
      </c>
      <c r="BW144" t="e">
        <f>'Compiled Agents'!G633+"h_l!'_c"</f>
        <v>#VALUE!</v>
      </c>
      <c r="BX144" t="e">
        <f>'Compiled Agents'!H633+"h_l!'_d"</f>
        <v>#VALUE!</v>
      </c>
      <c r="BY144" t="e">
        <f>'Compiled Agents'!A634+"h_l!'_e"</f>
        <v>#VALUE!</v>
      </c>
      <c r="BZ144" t="e">
        <f>'Compiled Agents'!B634+"h_l!'_f"</f>
        <v>#VALUE!</v>
      </c>
      <c r="CA144" t="e">
        <f>'Compiled Agents'!C634+"h_l!'_g"</f>
        <v>#VALUE!</v>
      </c>
      <c r="CB144" t="e">
        <f>'Compiled Agents'!E634+"h_l!'_h"</f>
        <v>#VALUE!</v>
      </c>
      <c r="CC144" t="e">
        <f>'Compiled Agents'!F634+"h_l!'_i"</f>
        <v>#VALUE!</v>
      </c>
      <c r="CD144" t="e">
        <f>'Compiled Agents'!G634+"h_l!'_j"</f>
        <v>#VALUE!</v>
      </c>
      <c r="CE144" t="e">
        <f>'Compiled Agents'!H634+"h_l!'_k"</f>
        <v>#VALUE!</v>
      </c>
      <c r="CF144" t="e">
        <f>'Compiled Agents'!A635+"h_l!'_l"</f>
        <v>#VALUE!</v>
      </c>
      <c r="CG144" t="e">
        <f>'Compiled Agents'!B635+"h_l!'_m"</f>
        <v>#VALUE!</v>
      </c>
      <c r="CH144" t="e">
        <f>'Compiled Agents'!C635+"h_l!'_n"</f>
        <v>#VALUE!</v>
      </c>
      <c r="CI144" t="e">
        <f>'Compiled Agents'!E635+"h_l!'_o"</f>
        <v>#VALUE!</v>
      </c>
      <c r="CJ144" t="e">
        <f>'Compiled Agents'!F635+"h_l!'_p"</f>
        <v>#VALUE!</v>
      </c>
      <c r="CK144" t="e">
        <f>'Compiled Agents'!G635+"h_l!'_q"</f>
        <v>#VALUE!</v>
      </c>
      <c r="CL144" t="e">
        <f>'Compiled Agents'!H635+"h_l!'_r"</f>
        <v>#VALUE!</v>
      </c>
      <c r="CM144" t="e">
        <f>'Compiled Agents'!A636+"h_l!'_s"</f>
        <v>#VALUE!</v>
      </c>
      <c r="CN144" t="e">
        <f>'Compiled Agents'!B636+"h_l!'_t"</f>
        <v>#VALUE!</v>
      </c>
      <c r="CO144" t="e">
        <f>'Compiled Agents'!C636+"h_l!'_u"</f>
        <v>#VALUE!</v>
      </c>
      <c r="CP144" t="e">
        <f>'Compiled Agents'!E636+"h_l!'_v"</f>
        <v>#VALUE!</v>
      </c>
      <c r="CQ144" t="e">
        <f>'Compiled Agents'!F636+"h_l!'_w"</f>
        <v>#VALUE!</v>
      </c>
      <c r="CR144" t="e">
        <f>'Compiled Agents'!G636+"h_l!'_x"</f>
        <v>#VALUE!</v>
      </c>
      <c r="CS144" t="e">
        <f>'Compiled Agents'!H636+"h_l!'_y"</f>
        <v>#VALUE!</v>
      </c>
      <c r="CT144" t="e">
        <f>'Compiled Agents'!A637+"h_l!'_z"</f>
        <v>#VALUE!</v>
      </c>
      <c r="CU144" t="e">
        <f>'Compiled Agents'!B637+"h_l!'_{"</f>
        <v>#VALUE!</v>
      </c>
      <c r="CV144" t="e">
        <f>'Compiled Agents'!C637+"h_l!'_|"</f>
        <v>#VALUE!</v>
      </c>
      <c r="CW144" t="e">
        <f>'Compiled Agents'!E637+"h_l!'_}"</f>
        <v>#VALUE!</v>
      </c>
      <c r="CX144" t="e">
        <f>'Compiled Agents'!F637+"h_l!'_~"</f>
        <v>#VALUE!</v>
      </c>
      <c r="CY144" t="e">
        <f>'Compiled Agents'!G637+"h_l!'`#"</f>
        <v>#VALUE!</v>
      </c>
      <c r="CZ144" t="e">
        <f>'Compiled Agents'!H637+"h_l!'`$"</f>
        <v>#VALUE!</v>
      </c>
      <c r="DA144" t="e">
        <f>'Compiled Agents'!A638+"h_l!'`%"</f>
        <v>#VALUE!</v>
      </c>
      <c r="DB144" t="e">
        <f>'Compiled Agents'!B638+"h_l!'`&amp;"</f>
        <v>#VALUE!</v>
      </c>
      <c r="DC144" t="e">
        <f>'Compiled Agents'!C638+"h_l!'`'"</f>
        <v>#VALUE!</v>
      </c>
      <c r="DD144" t="e">
        <f>'Compiled Agents'!E638+"h_l!'`("</f>
        <v>#VALUE!</v>
      </c>
      <c r="DE144" t="e">
        <f>'Compiled Agents'!F638+"h_l!'`)"</f>
        <v>#VALUE!</v>
      </c>
      <c r="DF144" t="e">
        <f>'Compiled Agents'!G638+"h_l!'`."</f>
        <v>#VALUE!</v>
      </c>
      <c r="DG144" t="e">
        <f>'Compiled Agents'!H638+"h_l!'`/"</f>
        <v>#VALUE!</v>
      </c>
      <c r="DH144" t="e">
        <f>'Compiled Agents'!A639+"h_l!'`0"</f>
        <v>#VALUE!</v>
      </c>
      <c r="DI144" t="e">
        <f>'Compiled Agents'!B639+"h_l!'`1"</f>
        <v>#VALUE!</v>
      </c>
      <c r="DJ144" t="e">
        <f>'Compiled Agents'!C639+"h_l!'`2"</f>
        <v>#VALUE!</v>
      </c>
      <c r="DK144" t="e">
        <f>'Compiled Agents'!E639+"h_l!'`3"</f>
        <v>#VALUE!</v>
      </c>
      <c r="DL144" t="e">
        <f>'Compiled Agents'!F639+"h_l!'`4"</f>
        <v>#VALUE!</v>
      </c>
      <c r="DM144" t="e">
        <f>'Compiled Agents'!G639+"h_l!'`5"</f>
        <v>#VALUE!</v>
      </c>
      <c r="DN144" t="e">
        <f>'Compiled Agents'!H639+"h_l!'`6"</f>
        <v>#VALUE!</v>
      </c>
      <c r="DO144" t="e">
        <f>'Compiled Agents'!A640+"h_l!'`7"</f>
        <v>#VALUE!</v>
      </c>
      <c r="DP144" t="e">
        <f>'Compiled Agents'!B640+"h_l!'`8"</f>
        <v>#VALUE!</v>
      </c>
      <c r="DQ144" t="e">
        <f>'Compiled Agents'!C640+"h_l!'`9"</f>
        <v>#VALUE!</v>
      </c>
      <c r="DR144" t="e">
        <f>'Compiled Agents'!E640+"h_l!'`:"</f>
        <v>#VALUE!</v>
      </c>
      <c r="DS144" t="e">
        <f>'Compiled Agents'!F640+"h_l!'`;"</f>
        <v>#VALUE!</v>
      </c>
      <c r="DT144" t="e">
        <f>'Compiled Agents'!G640+"h_l!'`&lt;"</f>
        <v>#VALUE!</v>
      </c>
      <c r="DU144" t="e">
        <f>'Compiled Agents'!H640+"h_l!'`="</f>
        <v>#VALUE!</v>
      </c>
      <c r="DV144" t="e">
        <f>'Compiled Agents'!A641+"h_l!'`&gt;"</f>
        <v>#VALUE!</v>
      </c>
      <c r="DW144" t="e">
        <f>'Compiled Agents'!B641+"h_l!'`?"</f>
        <v>#VALUE!</v>
      </c>
      <c r="DX144" t="e">
        <f>'Compiled Agents'!C641+"h_l!'`@"</f>
        <v>#VALUE!</v>
      </c>
      <c r="DY144" t="e">
        <f>'Compiled Agents'!E641+"h_l!'`A"</f>
        <v>#VALUE!</v>
      </c>
      <c r="DZ144" t="e">
        <f>'Compiled Agents'!F641+"h_l!'`B"</f>
        <v>#VALUE!</v>
      </c>
      <c r="EA144" t="e">
        <f>'Compiled Agents'!G641+"h_l!'`C"</f>
        <v>#VALUE!</v>
      </c>
      <c r="EB144" t="e">
        <f>'Compiled Agents'!H641+"h_l!'`D"</f>
        <v>#VALUE!</v>
      </c>
      <c r="EC144" t="e">
        <f>'Compiled Agents'!A642+"h_l!'`E"</f>
        <v>#VALUE!</v>
      </c>
      <c r="ED144" t="e">
        <f>'Compiled Agents'!B642+"h_l!'`F"</f>
        <v>#VALUE!</v>
      </c>
      <c r="EE144" t="e">
        <f>'Compiled Agents'!C642+"h_l!'`G"</f>
        <v>#VALUE!</v>
      </c>
      <c r="EF144" t="e">
        <f>'Compiled Agents'!E642+"h_l!'`H"</f>
        <v>#VALUE!</v>
      </c>
      <c r="EG144" t="e">
        <f>'Compiled Agents'!F642+"h_l!'`I"</f>
        <v>#VALUE!</v>
      </c>
      <c r="EH144" t="e">
        <f>'Compiled Agents'!G642+"h_l!'`J"</f>
        <v>#VALUE!</v>
      </c>
      <c r="EI144" t="e">
        <f>'Compiled Agents'!H642+"h_l!'`K"</f>
        <v>#VALUE!</v>
      </c>
      <c r="EJ144" t="e">
        <f>'Compiled Agents'!A643+"h_l!'`L"</f>
        <v>#VALUE!</v>
      </c>
      <c r="EK144" t="e">
        <f>'Compiled Agents'!B643+"h_l!'`M"</f>
        <v>#VALUE!</v>
      </c>
      <c r="EL144" t="e">
        <f>'Compiled Agents'!C643+"h_l!'`N"</f>
        <v>#VALUE!</v>
      </c>
      <c r="EM144" t="e">
        <f>'Compiled Agents'!E643+"h_l!'`O"</f>
        <v>#VALUE!</v>
      </c>
      <c r="EN144" t="e">
        <f>'Compiled Agents'!F643+"h_l!'`P"</f>
        <v>#VALUE!</v>
      </c>
      <c r="EO144" t="e">
        <f>'Compiled Agents'!G643+"h_l!'`Q"</f>
        <v>#VALUE!</v>
      </c>
      <c r="EP144" t="e">
        <f>'Compiled Agents'!H643+"h_l!'`R"</f>
        <v>#VALUE!</v>
      </c>
      <c r="EQ144" t="e">
        <f>'Compiled Agents'!A644+"h_l!'`S"</f>
        <v>#VALUE!</v>
      </c>
      <c r="ER144" t="e">
        <f>'Compiled Agents'!B644+"h_l!'`T"</f>
        <v>#VALUE!</v>
      </c>
      <c r="ES144" t="e">
        <f>'Compiled Agents'!C644+"h_l!'`U"</f>
        <v>#VALUE!</v>
      </c>
      <c r="ET144" t="e">
        <f>'Compiled Agents'!E644+"h_l!'`V"</f>
        <v>#VALUE!</v>
      </c>
      <c r="EU144" t="e">
        <f>'Compiled Agents'!F644+"h_l!'`W"</f>
        <v>#VALUE!</v>
      </c>
      <c r="EV144" t="e">
        <f>'Compiled Agents'!G644+"h_l!'`X"</f>
        <v>#VALUE!</v>
      </c>
      <c r="EW144" t="e">
        <f>'Compiled Agents'!H644+"h_l!'`Y"</f>
        <v>#VALUE!</v>
      </c>
      <c r="EX144" t="e">
        <f>'Compiled Agents'!A645+"h_l!'`Z"</f>
        <v>#VALUE!</v>
      </c>
      <c r="EY144" t="e">
        <f>'Compiled Agents'!B645+"h_l!'`["</f>
        <v>#VALUE!</v>
      </c>
      <c r="EZ144" t="e">
        <f>'Compiled Agents'!C645+"h_l!'`\"</f>
        <v>#VALUE!</v>
      </c>
      <c r="FA144" t="e">
        <f>'Compiled Agents'!E645+"h_l!'`]"</f>
        <v>#VALUE!</v>
      </c>
      <c r="FB144" t="e">
        <f>'Compiled Agents'!F645+"h_l!'`^"</f>
        <v>#VALUE!</v>
      </c>
      <c r="FC144" t="e">
        <f>'Compiled Agents'!G645+"h_l!'`_"</f>
        <v>#VALUE!</v>
      </c>
      <c r="FD144" t="e">
        <f>'Compiled Agents'!H645+"h_l!'``"</f>
        <v>#VALUE!</v>
      </c>
      <c r="FE144" t="e">
        <f>'Compiled Agents'!A646+"h_l!'`a"</f>
        <v>#VALUE!</v>
      </c>
      <c r="FF144" t="e">
        <f>'Compiled Agents'!B646+"h_l!'`b"</f>
        <v>#VALUE!</v>
      </c>
      <c r="FG144" t="e">
        <f>'Compiled Agents'!C646+"h_l!'`c"</f>
        <v>#VALUE!</v>
      </c>
      <c r="FH144" t="e">
        <f>'Compiled Agents'!E646+"h_l!'`d"</f>
        <v>#VALUE!</v>
      </c>
      <c r="FI144" t="e">
        <f>'Compiled Agents'!F646+"h_l!'`e"</f>
        <v>#VALUE!</v>
      </c>
      <c r="FJ144" t="e">
        <f>'Compiled Agents'!G646+"h_l!'`f"</f>
        <v>#VALUE!</v>
      </c>
      <c r="FK144" t="e">
        <f>'Compiled Agents'!H646+"h_l!'`g"</f>
        <v>#VALUE!</v>
      </c>
      <c r="FL144" t="e">
        <f>'Compiled Agents'!A647+"h_l!'`h"</f>
        <v>#VALUE!</v>
      </c>
      <c r="FM144" t="e">
        <f>'Compiled Agents'!B647+"h_l!'`i"</f>
        <v>#VALUE!</v>
      </c>
      <c r="FN144" t="e">
        <f>'Compiled Agents'!C647+"h_l!'`j"</f>
        <v>#VALUE!</v>
      </c>
      <c r="FO144" t="e">
        <f>'Compiled Agents'!E647+"h_l!'`k"</f>
        <v>#VALUE!</v>
      </c>
      <c r="FP144" t="e">
        <f>'Compiled Agents'!F647+"h_l!'`l"</f>
        <v>#VALUE!</v>
      </c>
      <c r="FQ144" t="e">
        <f>'Compiled Agents'!G647+"h_l!'`m"</f>
        <v>#VALUE!</v>
      </c>
      <c r="FR144" t="e">
        <f>'Compiled Agents'!H647+"h_l!'`n"</f>
        <v>#VALUE!</v>
      </c>
      <c r="FS144" t="e">
        <f>'Compiled Agents'!A648+"h_l!'`o"</f>
        <v>#VALUE!</v>
      </c>
      <c r="FT144" t="e">
        <f>'Compiled Agents'!B648+"h_l!'`p"</f>
        <v>#VALUE!</v>
      </c>
      <c r="FU144" t="e">
        <f>'Compiled Agents'!C648+"h_l!'`q"</f>
        <v>#VALUE!</v>
      </c>
      <c r="FV144" t="e">
        <f>'Compiled Agents'!E648+"h_l!'`r"</f>
        <v>#VALUE!</v>
      </c>
      <c r="FW144" t="e">
        <f>'Compiled Agents'!F648+"h_l!'`s"</f>
        <v>#VALUE!</v>
      </c>
      <c r="FX144" t="e">
        <f>'Compiled Agents'!G648+"h_l!'`t"</f>
        <v>#VALUE!</v>
      </c>
      <c r="FY144" t="e">
        <f>'Compiled Agents'!H648+"h_l!'`u"</f>
        <v>#VALUE!</v>
      </c>
      <c r="FZ144" t="e">
        <f>'Compiled Agents'!A649+"h_l!'`v"</f>
        <v>#VALUE!</v>
      </c>
      <c r="GA144" t="e">
        <f>'Compiled Agents'!B649+"h_l!'`w"</f>
        <v>#VALUE!</v>
      </c>
      <c r="GB144" t="e">
        <f>'Compiled Agents'!C649+"h_l!'`x"</f>
        <v>#VALUE!</v>
      </c>
      <c r="GC144" t="e">
        <f>'Compiled Agents'!E649+"h_l!'`y"</f>
        <v>#VALUE!</v>
      </c>
      <c r="GD144" t="e">
        <f>'Compiled Agents'!F649+"h_l!'`z"</f>
        <v>#VALUE!</v>
      </c>
      <c r="GE144" t="e">
        <f>'Compiled Agents'!G649+"h_l!'`{"</f>
        <v>#VALUE!</v>
      </c>
      <c r="GF144" t="e">
        <f>'Compiled Agents'!H649+"h_l!'`|"</f>
        <v>#VALUE!</v>
      </c>
      <c r="GG144" t="e">
        <f>'Compiled Agents'!A650+"h_l!'`}"</f>
        <v>#VALUE!</v>
      </c>
      <c r="GH144" t="e">
        <f>'Compiled Agents'!B650+"h_l!'`~"</f>
        <v>#VALUE!</v>
      </c>
      <c r="GI144" t="e">
        <f>'Compiled Agents'!C650+"h_l!'a#"</f>
        <v>#VALUE!</v>
      </c>
      <c r="GJ144" t="e">
        <f>'Compiled Agents'!E650+"h_l!'a$"</f>
        <v>#VALUE!</v>
      </c>
      <c r="GK144" t="e">
        <f>'Compiled Agents'!F650+"h_l!'a%"</f>
        <v>#VALUE!</v>
      </c>
      <c r="GL144" t="e">
        <f>'Compiled Agents'!G650+"h_l!'a&amp;"</f>
        <v>#VALUE!</v>
      </c>
      <c r="GM144" t="e">
        <f>'Compiled Agents'!H650+"h_l!'a'"</f>
        <v>#VALUE!</v>
      </c>
      <c r="GN144" t="e">
        <f>'Compiled Agents'!A651+"h_l!'a("</f>
        <v>#VALUE!</v>
      </c>
      <c r="GO144" t="e">
        <f>'Compiled Agents'!B651+"h_l!'a)"</f>
        <v>#VALUE!</v>
      </c>
      <c r="GP144" t="e">
        <f>'Compiled Agents'!C651+"h_l!'a."</f>
        <v>#VALUE!</v>
      </c>
      <c r="GQ144" t="e">
        <f>'Compiled Agents'!E651+"h_l!'a/"</f>
        <v>#VALUE!</v>
      </c>
      <c r="GR144" t="e">
        <f>'Compiled Agents'!F651+"h_l!'a0"</f>
        <v>#VALUE!</v>
      </c>
      <c r="GS144" t="e">
        <f>'Compiled Agents'!G651+"h_l!'a1"</f>
        <v>#VALUE!</v>
      </c>
      <c r="GT144" t="e">
        <f>'Compiled Agents'!H651+"h_l!'a2"</f>
        <v>#VALUE!</v>
      </c>
      <c r="GU144" t="e">
        <f>'Compiled Agents'!A652+"h_l!'a3"</f>
        <v>#VALUE!</v>
      </c>
      <c r="GV144" t="e">
        <f>'Compiled Agents'!B652+"h_l!'a4"</f>
        <v>#VALUE!</v>
      </c>
      <c r="GW144" t="e">
        <f>'Compiled Agents'!C652+"h_l!'a5"</f>
        <v>#VALUE!</v>
      </c>
      <c r="GX144" t="e">
        <f>'Compiled Agents'!E652+"h_l!'a6"</f>
        <v>#VALUE!</v>
      </c>
      <c r="GY144" t="e">
        <f>'Compiled Agents'!F652+"h_l!'a7"</f>
        <v>#VALUE!</v>
      </c>
      <c r="GZ144" t="e">
        <f>'Compiled Agents'!G652+"h_l!'a8"</f>
        <v>#VALUE!</v>
      </c>
      <c r="HA144" t="e">
        <f>'Compiled Agents'!H652+"h_l!'a9"</f>
        <v>#VALUE!</v>
      </c>
      <c r="HB144" t="e">
        <f>'Compiled Agents'!A653+"h_l!'a:"</f>
        <v>#VALUE!</v>
      </c>
      <c r="HC144" t="e">
        <f>'Compiled Agents'!B653+"h_l!'a;"</f>
        <v>#VALUE!</v>
      </c>
      <c r="HD144" t="e">
        <f>'Compiled Agents'!C653+"h_l!'a&lt;"</f>
        <v>#VALUE!</v>
      </c>
      <c r="HE144" t="e">
        <f>'Compiled Agents'!E653+"h_l!'a="</f>
        <v>#VALUE!</v>
      </c>
      <c r="HF144" t="e">
        <f>'Compiled Agents'!F653+"h_l!'a&gt;"</f>
        <v>#VALUE!</v>
      </c>
      <c r="HG144" t="e">
        <f>'Compiled Agents'!G653+"h_l!'a?"</f>
        <v>#VALUE!</v>
      </c>
      <c r="HH144" t="e">
        <f>'Compiled Agents'!H653+"h_l!'a@"</f>
        <v>#VALUE!</v>
      </c>
      <c r="HI144" t="e">
        <f>'Compiled Agents'!A654+"h_l!'aA"</f>
        <v>#VALUE!</v>
      </c>
      <c r="HJ144" t="e">
        <f>'Compiled Agents'!B654+"h_l!'aB"</f>
        <v>#VALUE!</v>
      </c>
      <c r="HK144" t="e">
        <f>'Compiled Agents'!C654+"h_l!'aC"</f>
        <v>#VALUE!</v>
      </c>
      <c r="HL144" t="e">
        <f>'Compiled Agents'!E654+"h_l!'aD"</f>
        <v>#VALUE!</v>
      </c>
      <c r="HM144" t="e">
        <f>'Compiled Agents'!F654+"h_l!'aE"</f>
        <v>#VALUE!</v>
      </c>
      <c r="HN144" t="e">
        <f>'Compiled Agents'!G654+"h_l!'aF"</f>
        <v>#VALUE!</v>
      </c>
      <c r="HO144" t="e">
        <f>'Compiled Agents'!H654+"h_l!'aG"</f>
        <v>#VALUE!</v>
      </c>
      <c r="HP144" t="e">
        <f>'Compiled Agents'!A655+"h_l!'aH"</f>
        <v>#VALUE!</v>
      </c>
      <c r="HQ144" t="e">
        <f>'Compiled Agents'!B655+"h_l!'aI"</f>
        <v>#VALUE!</v>
      </c>
      <c r="HR144" t="e">
        <f>'Compiled Agents'!C655+"h_l!'aJ"</f>
        <v>#VALUE!</v>
      </c>
      <c r="HS144" t="e">
        <f>'Compiled Agents'!E655+"h_l!'aK"</f>
        <v>#VALUE!</v>
      </c>
      <c r="HT144" t="e">
        <f>'Compiled Agents'!F655+"h_l!'aL"</f>
        <v>#VALUE!</v>
      </c>
      <c r="HU144" t="e">
        <f>'Compiled Agents'!G655+"h_l!'aM"</f>
        <v>#VALUE!</v>
      </c>
      <c r="HV144" t="e">
        <f>'Compiled Agents'!H655+"h_l!'aN"</f>
        <v>#VALUE!</v>
      </c>
      <c r="HW144" t="e">
        <f>'Compiled Agents'!A656+"h_l!'aO"</f>
        <v>#VALUE!</v>
      </c>
      <c r="HX144" t="e">
        <f>'Compiled Agents'!B656+"h_l!'aP"</f>
        <v>#VALUE!</v>
      </c>
      <c r="HY144" t="e">
        <f>'Compiled Agents'!C656+"h_l!'aQ"</f>
        <v>#VALUE!</v>
      </c>
      <c r="HZ144" t="e">
        <f>'Compiled Agents'!E656+"h_l!'aR"</f>
        <v>#VALUE!</v>
      </c>
      <c r="IA144" t="e">
        <f>'Compiled Agents'!F656+"h_l!'aS"</f>
        <v>#VALUE!</v>
      </c>
      <c r="IB144" t="e">
        <f>'Compiled Agents'!G656+"h_l!'aT"</f>
        <v>#VALUE!</v>
      </c>
      <c r="IC144" t="e">
        <f>'Compiled Agents'!H656+"h_l!'aU"</f>
        <v>#VALUE!</v>
      </c>
      <c r="ID144" t="e">
        <f>'Compiled Agents'!A657+"h_l!'aV"</f>
        <v>#VALUE!</v>
      </c>
      <c r="IE144" t="e">
        <f>'Compiled Agents'!B657+"h_l!'aW"</f>
        <v>#VALUE!</v>
      </c>
      <c r="IF144" t="e">
        <f>'Compiled Agents'!C657+"h_l!'aX"</f>
        <v>#VALUE!</v>
      </c>
      <c r="IG144" t="e">
        <f>'Compiled Agents'!E657+"h_l!'aY"</f>
        <v>#VALUE!</v>
      </c>
      <c r="IH144" t="e">
        <f>'Compiled Agents'!F657+"h_l!'aZ"</f>
        <v>#VALUE!</v>
      </c>
      <c r="II144" t="e">
        <f>'Compiled Agents'!G657+"h_l!'a["</f>
        <v>#VALUE!</v>
      </c>
      <c r="IJ144" t="e">
        <f>'Compiled Agents'!H657+"h_l!'a\"</f>
        <v>#VALUE!</v>
      </c>
      <c r="IK144" t="e">
        <f>'Compiled Agents'!A658+"h_l!'a]"</f>
        <v>#VALUE!</v>
      </c>
      <c r="IL144" t="e">
        <f>'Compiled Agents'!B658+"h_l!'a^"</f>
        <v>#VALUE!</v>
      </c>
      <c r="IM144" t="e">
        <f>'Compiled Agents'!C658+"h_l!'a_"</f>
        <v>#VALUE!</v>
      </c>
      <c r="IN144" t="e">
        <f>'Compiled Agents'!E658+"h_l!'a`"</f>
        <v>#VALUE!</v>
      </c>
      <c r="IO144" t="e">
        <f>'Compiled Agents'!F658+"h_l!'aa"</f>
        <v>#VALUE!</v>
      </c>
      <c r="IP144" t="e">
        <f>'Compiled Agents'!G658+"h_l!'ab"</f>
        <v>#VALUE!</v>
      </c>
      <c r="IQ144" t="e">
        <f>'Compiled Agents'!H658+"h_l!'ac"</f>
        <v>#VALUE!</v>
      </c>
      <c r="IR144" t="e">
        <f>'Compiled Agents'!A659+"h_l!'ad"</f>
        <v>#VALUE!</v>
      </c>
      <c r="IS144" t="e">
        <f>'Compiled Agents'!B659+"h_l!'ae"</f>
        <v>#VALUE!</v>
      </c>
      <c r="IT144" t="e">
        <f>'Compiled Agents'!C659+"h_l!'af"</f>
        <v>#VALUE!</v>
      </c>
      <c r="IU144" t="e">
        <f>'Compiled Agents'!E659+"h_l!'ag"</f>
        <v>#VALUE!</v>
      </c>
      <c r="IV144" t="e">
        <f>'Compiled Agents'!F659+"h_l!'ah"</f>
        <v>#VALUE!</v>
      </c>
    </row>
    <row r="145" spans="6:256" x14ac:dyDescent="0.25">
      <c r="F145" t="e">
        <f>'Compiled Agents'!G659+"h_l!'ai"</f>
        <v>#VALUE!</v>
      </c>
      <c r="G145" t="e">
        <f>'Compiled Agents'!H659+"h_l!'aj"</f>
        <v>#VALUE!</v>
      </c>
      <c r="H145" t="e">
        <f>'Compiled Agents'!A660+"h_l!'ak"</f>
        <v>#VALUE!</v>
      </c>
      <c r="I145" t="e">
        <f>'Compiled Agents'!B660+"h_l!'al"</f>
        <v>#VALUE!</v>
      </c>
      <c r="J145" t="e">
        <f>'Compiled Agents'!C660+"h_l!'am"</f>
        <v>#VALUE!</v>
      </c>
      <c r="K145" t="e">
        <f>'Compiled Agents'!E660+"h_l!'an"</f>
        <v>#VALUE!</v>
      </c>
      <c r="L145" t="e">
        <f>'Compiled Agents'!F660+"h_l!'ao"</f>
        <v>#VALUE!</v>
      </c>
      <c r="M145" t="e">
        <f>'Compiled Agents'!G660+"h_l!'ap"</f>
        <v>#VALUE!</v>
      </c>
      <c r="N145" t="e">
        <f>'Compiled Agents'!H660+"h_l!'aq"</f>
        <v>#VALUE!</v>
      </c>
      <c r="O145" t="e">
        <f>'Compiled Agents'!A661+"h_l!'ar"</f>
        <v>#VALUE!</v>
      </c>
      <c r="P145" t="e">
        <f>'Compiled Agents'!B661+"h_l!'as"</f>
        <v>#VALUE!</v>
      </c>
      <c r="Q145" t="e">
        <f>'Compiled Agents'!C661+"h_l!'at"</f>
        <v>#VALUE!</v>
      </c>
      <c r="R145" t="e">
        <f>'Compiled Agents'!E661+"h_l!'au"</f>
        <v>#VALUE!</v>
      </c>
      <c r="S145" t="e">
        <f>'Compiled Agents'!F661+"h_l!'av"</f>
        <v>#VALUE!</v>
      </c>
      <c r="T145" t="e">
        <f>'Compiled Agents'!G661+"h_l!'aw"</f>
        <v>#VALUE!</v>
      </c>
      <c r="U145" t="e">
        <f>'Compiled Agents'!H661+"h_l!'ax"</f>
        <v>#VALUE!</v>
      </c>
      <c r="V145" t="e">
        <f>'Compiled Agents'!A662+"h_l!'ay"</f>
        <v>#VALUE!</v>
      </c>
      <c r="W145" t="e">
        <f>'Compiled Agents'!B662+"h_l!'az"</f>
        <v>#VALUE!</v>
      </c>
      <c r="X145" t="e">
        <f>'Compiled Agents'!C662+"h_l!'a{"</f>
        <v>#VALUE!</v>
      </c>
      <c r="Y145" t="e">
        <f>'Compiled Agents'!E662+"h_l!'a|"</f>
        <v>#VALUE!</v>
      </c>
      <c r="Z145" t="e">
        <f>'Compiled Agents'!F662+"h_l!'a}"</f>
        <v>#VALUE!</v>
      </c>
      <c r="AA145" t="e">
        <f>'Compiled Agents'!G662+"h_l!'a~"</f>
        <v>#VALUE!</v>
      </c>
      <c r="AB145" t="e">
        <f>'Compiled Agents'!H662+"h_l!'b#"</f>
        <v>#VALUE!</v>
      </c>
      <c r="AC145" t="e">
        <f>'Compiled Agents'!A663+"h_l!'b$"</f>
        <v>#VALUE!</v>
      </c>
      <c r="AD145" t="e">
        <f>'Compiled Agents'!B663+"h_l!'b%"</f>
        <v>#VALUE!</v>
      </c>
      <c r="AE145" t="e">
        <f>'Compiled Agents'!C663+"h_l!'b&amp;"</f>
        <v>#VALUE!</v>
      </c>
      <c r="AF145" t="e">
        <f>'Compiled Agents'!E663+"h_l!'b'"</f>
        <v>#VALUE!</v>
      </c>
      <c r="AG145" t="e">
        <f>'Compiled Agents'!F663+"h_l!'b("</f>
        <v>#VALUE!</v>
      </c>
      <c r="AH145" t="e">
        <f>'Compiled Agents'!G663+"h_l!'b)"</f>
        <v>#VALUE!</v>
      </c>
      <c r="AI145" t="e">
        <f>'Compiled Agents'!H663+"h_l!'b."</f>
        <v>#VALUE!</v>
      </c>
      <c r="AJ145" t="e">
        <f>'Compiled Agents'!A664+"h_l!'b/"</f>
        <v>#VALUE!</v>
      </c>
      <c r="AK145" t="e">
        <f>'Compiled Agents'!B664+"h_l!'b0"</f>
        <v>#VALUE!</v>
      </c>
      <c r="AL145" t="e">
        <f>'Compiled Agents'!C664+"h_l!'b1"</f>
        <v>#VALUE!</v>
      </c>
      <c r="AM145" t="e">
        <f>'Compiled Agents'!E664+"h_l!'b2"</f>
        <v>#VALUE!</v>
      </c>
      <c r="AN145" t="e">
        <f>'Compiled Agents'!F664+"h_l!'b3"</f>
        <v>#VALUE!</v>
      </c>
      <c r="AO145" t="e">
        <f>'Compiled Agents'!G664+"h_l!'b4"</f>
        <v>#VALUE!</v>
      </c>
      <c r="AP145" t="e">
        <f>'Compiled Agents'!H664+"h_l!'b5"</f>
        <v>#VALUE!</v>
      </c>
      <c r="AQ145" t="e">
        <f>'Compiled Agents'!A665+"h_l!'b6"</f>
        <v>#VALUE!</v>
      </c>
      <c r="AR145" t="e">
        <f>'Compiled Agents'!B665+"h_l!'b7"</f>
        <v>#VALUE!</v>
      </c>
      <c r="AS145" t="e">
        <f>'Compiled Agents'!C665+"h_l!'b8"</f>
        <v>#VALUE!</v>
      </c>
      <c r="AT145" t="e">
        <f>'Compiled Agents'!E665+"h_l!'b9"</f>
        <v>#VALUE!</v>
      </c>
      <c r="AU145" t="e">
        <f>'Compiled Agents'!F665+"h_l!'b:"</f>
        <v>#VALUE!</v>
      </c>
      <c r="AV145" t="e">
        <f>'Compiled Agents'!G665+"h_l!'b;"</f>
        <v>#VALUE!</v>
      </c>
      <c r="AW145" t="e">
        <f>'Compiled Agents'!H665+"h_l!'b&lt;"</f>
        <v>#VALUE!</v>
      </c>
      <c r="AX145" t="e">
        <f>'Compiled Agents'!A666+"h_l!'b="</f>
        <v>#VALUE!</v>
      </c>
      <c r="AY145" t="e">
        <f>'Compiled Agents'!B666+"h_l!'b&gt;"</f>
        <v>#VALUE!</v>
      </c>
      <c r="AZ145" t="e">
        <f>'Compiled Agents'!C666+"h_l!'b?"</f>
        <v>#VALUE!</v>
      </c>
      <c r="BA145" t="e">
        <f>'Compiled Agents'!E666+"h_l!'b@"</f>
        <v>#VALUE!</v>
      </c>
      <c r="BB145" t="e">
        <f>'Compiled Agents'!F666+"h_l!'bA"</f>
        <v>#VALUE!</v>
      </c>
      <c r="BC145" t="e">
        <f>'Compiled Agents'!G666+"h_l!'bB"</f>
        <v>#VALUE!</v>
      </c>
      <c r="BD145" t="e">
        <f>'Compiled Agents'!H666+"h_l!'bC"</f>
        <v>#VALUE!</v>
      </c>
      <c r="BE145" t="e">
        <f>'Compiled Agents'!A667+"h_l!'bD"</f>
        <v>#VALUE!</v>
      </c>
      <c r="BF145" t="e">
        <f>'Compiled Agents'!B667+"h_l!'bE"</f>
        <v>#VALUE!</v>
      </c>
      <c r="BG145" t="e">
        <f>'Compiled Agents'!C667+"h_l!'bF"</f>
        <v>#VALUE!</v>
      </c>
      <c r="BH145" t="e">
        <f>'Compiled Agents'!E667+"h_l!'bG"</f>
        <v>#VALUE!</v>
      </c>
      <c r="BI145" t="e">
        <f>'Compiled Agents'!F667+"h_l!'bH"</f>
        <v>#VALUE!</v>
      </c>
      <c r="BJ145" t="e">
        <f>'Compiled Agents'!G667+"h_l!'bI"</f>
        <v>#VALUE!</v>
      </c>
      <c r="BK145" t="e">
        <f>'Compiled Agents'!H667+"h_l!'bJ"</f>
        <v>#VALUE!</v>
      </c>
      <c r="BL145" t="e">
        <f>'Compiled Agents'!A668+"h_l!'bK"</f>
        <v>#VALUE!</v>
      </c>
      <c r="BM145" t="e">
        <f>'Compiled Agents'!B668+"h_l!'bL"</f>
        <v>#VALUE!</v>
      </c>
      <c r="BN145" t="e">
        <f>'Compiled Agents'!C668+"h_l!'bM"</f>
        <v>#VALUE!</v>
      </c>
      <c r="BO145" t="e">
        <f>'Compiled Agents'!E668+"h_l!'bN"</f>
        <v>#VALUE!</v>
      </c>
      <c r="BP145" t="e">
        <f>'Compiled Agents'!F668+"h_l!'bO"</f>
        <v>#VALUE!</v>
      </c>
      <c r="BQ145" t="e">
        <f>'Compiled Agents'!G668+"h_l!'bP"</f>
        <v>#VALUE!</v>
      </c>
      <c r="BR145" t="e">
        <f>'Compiled Agents'!H668+"h_l!'bQ"</f>
        <v>#VALUE!</v>
      </c>
      <c r="BS145" t="e">
        <f>'Compiled Agents'!A669+"h_l!'bR"</f>
        <v>#VALUE!</v>
      </c>
      <c r="BT145" t="e">
        <f>'Compiled Agents'!B669+"h_l!'bS"</f>
        <v>#VALUE!</v>
      </c>
      <c r="BU145" t="e">
        <f>'Compiled Agents'!C669+"h_l!'bT"</f>
        <v>#VALUE!</v>
      </c>
      <c r="BV145" t="e">
        <f>'Compiled Agents'!E669+"h_l!'bU"</f>
        <v>#VALUE!</v>
      </c>
      <c r="BW145" t="e">
        <f>'Compiled Agents'!F669+"h_l!'bV"</f>
        <v>#VALUE!</v>
      </c>
      <c r="BX145" t="e">
        <f>'Compiled Agents'!G669+"h_l!'bW"</f>
        <v>#VALUE!</v>
      </c>
      <c r="BY145" t="e">
        <f>'Compiled Agents'!H669+"h_l!'bX"</f>
        <v>#VALUE!</v>
      </c>
      <c r="BZ145" t="e">
        <f>'Compiled Agents'!A670+"h_l!'bY"</f>
        <v>#VALUE!</v>
      </c>
      <c r="CA145" t="e">
        <f>'Compiled Agents'!B670+"h_l!'bZ"</f>
        <v>#VALUE!</v>
      </c>
      <c r="CB145" t="e">
        <f>'Compiled Agents'!C670+"h_l!'b["</f>
        <v>#VALUE!</v>
      </c>
      <c r="CC145" t="e">
        <f>'Compiled Agents'!E670+"h_l!'b\"</f>
        <v>#VALUE!</v>
      </c>
      <c r="CD145" t="e">
        <f>'Compiled Agents'!F670+"h_l!'b]"</f>
        <v>#VALUE!</v>
      </c>
      <c r="CE145" t="e">
        <f>'Compiled Agents'!G670+"h_l!'b^"</f>
        <v>#VALUE!</v>
      </c>
      <c r="CF145" t="e">
        <f>'Compiled Agents'!H670+"h_l!'b_"</f>
        <v>#VALUE!</v>
      </c>
      <c r="CG145" t="e">
        <f>'Compiled Agents'!A671+"h_l!'b`"</f>
        <v>#VALUE!</v>
      </c>
      <c r="CH145" t="e">
        <f>'Compiled Agents'!B671+"h_l!'ba"</f>
        <v>#VALUE!</v>
      </c>
      <c r="CI145" t="e">
        <f>'Compiled Agents'!C671+"h_l!'bb"</f>
        <v>#VALUE!</v>
      </c>
      <c r="CJ145" t="e">
        <f>'Compiled Agents'!E671+"h_l!'bc"</f>
        <v>#VALUE!</v>
      </c>
      <c r="CK145" t="e">
        <f>'Compiled Agents'!F671+"h_l!'bd"</f>
        <v>#VALUE!</v>
      </c>
      <c r="CL145" t="e">
        <f>'Compiled Agents'!G671+"h_l!'be"</f>
        <v>#VALUE!</v>
      </c>
      <c r="CM145" t="e">
        <f>'Compiled Agents'!H671+"h_l!'bf"</f>
        <v>#VALUE!</v>
      </c>
      <c r="CN145" t="e">
        <f>'Compiled Agents'!A672+"h_l!'bg"</f>
        <v>#VALUE!</v>
      </c>
      <c r="CO145" t="e">
        <f>'Compiled Agents'!B672+"h_l!'bh"</f>
        <v>#VALUE!</v>
      </c>
      <c r="CP145" t="e">
        <f>'Compiled Agents'!C672+"h_l!'bi"</f>
        <v>#VALUE!</v>
      </c>
      <c r="CQ145" t="e">
        <f>'Compiled Agents'!E672+"h_l!'bj"</f>
        <v>#VALUE!</v>
      </c>
      <c r="CR145" t="e">
        <f>'Compiled Agents'!F672+"h_l!'bk"</f>
        <v>#VALUE!</v>
      </c>
      <c r="CS145" t="e">
        <f>'Compiled Agents'!G672+"h_l!'bl"</f>
        <v>#VALUE!</v>
      </c>
      <c r="CT145" t="e">
        <f>'Compiled Agents'!H672+"h_l!'bm"</f>
        <v>#VALUE!</v>
      </c>
      <c r="CU145" t="e">
        <f>'Compiled Agents'!A673+"h_l!'bn"</f>
        <v>#VALUE!</v>
      </c>
      <c r="CV145" t="e">
        <f>'Compiled Agents'!B673+"h_l!'bo"</f>
        <v>#VALUE!</v>
      </c>
      <c r="CW145" t="e">
        <f>'Compiled Agents'!C673+"h_l!'bp"</f>
        <v>#VALUE!</v>
      </c>
      <c r="CX145" t="e">
        <f>'Compiled Agents'!E673+"h_l!'bq"</f>
        <v>#VALUE!</v>
      </c>
      <c r="CY145" t="e">
        <f>'Compiled Agents'!F673+"h_l!'br"</f>
        <v>#VALUE!</v>
      </c>
      <c r="CZ145" t="e">
        <f>'Compiled Agents'!G673+"h_l!'bs"</f>
        <v>#VALUE!</v>
      </c>
      <c r="DA145" t="e">
        <f>'Compiled Agents'!H673+"h_l!'bt"</f>
        <v>#VALUE!</v>
      </c>
      <c r="DB145" t="e">
        <f>'Compiled Agents'!A674+"h_l!'bu"</f>
        <v>#VALUE!</v>
      </c>
      <c r="DC145" t="e">
        <f>'Compiled Agents'!B674+"h_l!'bv"</f>
        <v>#VALUE!</v>
      </c>
      <c r="DD145" t="e">
        <f>'Compiled Agents'!C674+"h_l!'bw"</f>
        <v>#VALUE!</v>
      </c>
      <c r="DE145" t="e">
        <f>'Compiled Agents'!E674+"h_l!'bx"</f>
        <v>#VALUE!</v>
      </c>
      <c r="DF145" t="e">
        <f>'Compiled Agents'!F674+"h_l!'by"</f>
        <v>#VALUE!</v>
      </c>
      <c r="DG145" t="e">
        <f>'Compiled Agents'!G674+"h_l!'bz"</f>
        <v>#VALUE!</v>
      </c>
      <c r="DH145" t="e">
        <f>'Compiled Agents'!H674+"h_l!'b{"</f>
        <v>#VALUE!</v>
      </c>
      <c r="DI145" t="e">
        <f>'Compiled Agents'!A675+"h_l!'b|"</f>
        <v>#VALUE!</v>
      </c>
      <c r="DJ145" t="e">
        <f>'Compiled Agents'!B675+"h_l!'b}"</f>
        <v>#VALUE!</v>
      </c>
      <c r="DK145" t="e">
        <f>'Compiled Agents'!C675+"h_l!'b~"</f>
        <v>#VALUE!</v>
      </c>
      <c r="DL145" t="e">
        <f>'Compiled Agents'!E675+"h_l!'c#"</f>
        <v>#VALUE!</v>
      </c>
      <c r="DM145" t="e">
        <f>'Compiled Agents'!F675+"h_l!'c$"</f>
        <v>#VALUE!</v>
      </c>
      <c r="DN145" t="e">
        <f>'Compiled Agents'!G675+"h_l!'c%"</f>
        <v>#VALUE!</v>
      </c>
      <c r="DO145" t="e">
        <f>'Compiled Agents'!H675+"h_l!'c&amp;"</f>
        <v>#VALUE!</v>
      </c>
      <c r="DP145" t="e">
        <f>'Compiled Agents'!A676+"h_l!'c'"</f>
        <v>#VALUE!</v>
      </c>
      <c r="DQ145" t="e">
        <f>'Compiled Agents'!B676+"h_l!'c("</f>
        <v>#VALUE!</v>
      </c>
      <c r="DR145" t="e">
        <f>'Compiled Agents'!C676+"h_l!'c)"</f>
        <v>#VALUE!</v>
      </c>
      <c r="DS145" t="e">
        <f>'Compiled Agents'!E676+"h_l!'c."</f>
        <v>#VALUE!</v>
      </c>
      <c r="DT145" t="e">
        <f>'Compiled Agents'!F676+"h_l!'c/"</f>
        <v>#VALUE!</v>
      </c>
      <c r="DU145" t="e">
        <f>'Compiled Agents'!G676+"h_l!'c0"</f>
        <v>#VALUE!</v>
      </c>
      <c r="DV145" t="e">
        <f>'Compiled Agents'!H676+"h_l!'c1"</f>
        <v>#VALUE!</v>
      </c>
      <c r="DW145" t="e">
        <f>'Compiled Agents'!A677+"h_l!'c2"</f>
        <v>#VALUE!</v>
      </c>
      <c r="DX145" t="e">
        <f>'Compiled Agents'!B677+"h_l!'c3"</f>
        <v>#VALUE!</v>
      </c>
      <c r="DY145" t="e">
        <f>'Compiled Agents'!C677+"h_l!'c4"</f>
        <v>#VALUE!</v>
      </c>
      <c r="DZ145" t="e">
        <f>'Compiled Agents'!E677+"h_l!'c5"</f>
        <v>#VALUE!</v>
      </c>
      <c r="EA145" t="e">
        <f>'Compiled Agents'!F677+"h_l!'c6"</f>
        <v>#VALUE!</v>
      </c>
      <c r="EB145" t="e">
        <f>'Compiled Agents'!G677+"h_l!'c7"</f>
        <v>#VALUE!</v>
      </c>
      <c r="EC145" t="e">
        <f>'Compiled Agents'!H677+"h_l!'c8"</f>
        <v>#VALUE!</v>
      </c>
      <c r="ED145" t="e">
        <f>'Compiled Agents'!A678+"h_l!'c9"</f>
        <v>#VALUE!</v>
      </c>
      <c r="EE145" t="e">
        <f>'Compiled Agents'!B678+"h_l!'c:"</f>
        <v>#VALUE!</v>
      </c>
      <c r="EF145" t="e">
        <f>'Compiled Agents'!C678+"h_l!'c;"</f>
        <v>#VALUE!</v>
      </c>
      <c r="EG145" t="e">
        <f>'Compiled Agents'!E678+"h_l!'c&lt;"</f>
        <v>#VALUE!</v>
      </c>
      <c r="EH145" t="e">
        <f>'Compiled Agents'!F678+"h_l!'c="</f>
        <v>#VALUE!</v>
      </c>
      <c r="EI145" t="e">
        <f>'Compiled Agents'!G678+"h_l!'c&gt;"</f>
        <v>#VALUE!</v>
      </c>
      <c r="EJ145" t="e">
        <f>'Compiled Agents'!H678+"h_l!'c?"</f>
        <v>#VALUE!</v>
      </c>
      <c r="EK145" t="e">
        <f>'Compiled Agents'!A679+"h_l!'c@"</f>
        <v>#VALUE!</v>
      </c>
      <c r="EL145" t="e">
        <f>'Compiled Agents'!B679+"h_l!'cA"</f>
        <v>#VALUE!</v>
      </c>
      <c r="EM145" t="e">
        <f>'Compiled Agents'!C679+"h_l!'cB"</f>
        <v>#VALUE!</v>
      </c>
      <c r="EN145" t="e">
        <f>'Compiled Agents'!E679+"h_l!'cC"</f>
        <v>#VALUE!</v>
      </c>
      <c r="EO145" t="e">
        <f>'Compiled Agents'!F679+"h_l!'cD"</f>
        <v>#VALUE!</v>
      </c>
      <c r="EP145" t="e">
        <f>'Compiled Agents'!G679+"h_l!'cE"</f>
        <v>#VALUE!</v>
      </c>
      <c r="EQ145" t="e">
        <f>'Compiled Agents'!H679+"h_l!'cF"</f>
        <v>#VALUE!</v>
      </c>
      <c r="ER145" t="e">
        <f>'Compiled Agents'!A680+"h_l!'cG"</f>
        <v>#VALUE!</v>
      </c>
      <c r="ES145" t="e">
        <f>'Compiled Agents'!B680+"h_l!'cH"</f>
        <v>#VALUE!</v>
      </c>
      <c r="ET145" t="e">
        <f>'Compiled Agents'!C680+"h_l!'cI"</f>
        <v>#VALUE!</v>
      </c>
      <c r="EU145" t="e">
        <f>'Compiled Agents'!E680+"h_l!'cJ"</f>
        <v>#VALUE!</v>
      </c>
      <c r="EV145" t="e">
        <f>'Compiled Agents'!F680+"h_l!'cK"</f>
        <v>#VALUE!</v>
      </c>
      <c r="EW145" t="e">
        <f>'Compiled Agents'!G680+"h_l!'cL"</f>
        <v>#VALUE!</v>
      </c>
      <c r="EX145" t="e">
        <f>'Compiled Agents'!H680+"h_l!'cM"</f>
        <v>#VALUE!</v>
      </c>
      <c r="EY145" t="e">
        <f>'Compiled Agents'!A681+"h_l!'cN"</f>
        <v>#VALUE!</v>
      </c>
      <c r="EZ145" t="e">
        <f>'Compiled Agents'!B681+"h_l!'cO"</f>
        <v>#VALUE!</v>
      </c>
      <c r="FA145" t="e">
        <f>'Compiled Agents'!C681+"h_l!'cP"</f>
        <v>#VALUE!</v>
      </c>
      <c r="FB145" t="e">
        <f>'Compiled Agents'!E681+"h_l!'cQ"</f>
        <v>#VALUE!</v>
      </c>
      <c r="FC145" t="e">
        <f>'Compiled Agents'!F681+"h_l!'cR"</f>
        <v>#VALUE!</v>
      </c>
      <c r="FD145" t="e">
        <f>'Compiled Agents'!G681+"h_l!'cS"</f>
        <v>#VALUE!</v>
      </c>
      <c r="FE145" t="e">
        <f>'Compiled Agents'!H681+"h_l!'cT"</f>
        <v>#VALUE!</v>
      </c>
      <c r="FF145" t="e">
        <f>'Compiled Agents'!A682+"h_l!'cU"</f>
        <v>#VALUE!</v>
      </c>
      <c r="FG145" t="e">
        <f>'Compiled Agents'!B682+"h_l!'cV"</f>
        <v>#VALUE!</v>
      </c>
      <c r="FH145" t="e">
        <f>'Compiled Agents'!C682+"h_l!'cW"</f>
        <v>#VALUE!</v>
      </c>
      <c r="FI145" t="e">
        <f>'Compiled Agents'!E682+"h_l!'cX"</f>
        <v>#VALUE!</v>
      </c>
      <c r="FJ145" t="e">
        <f>'Compiled Agents'!F682+"h_l!'cY"</f>
        <v>#VALUE!</v>
      </c>
      <c r="FK145" t="e">
        <f>'Compiled Agents'!G682+"h_l!'cZ"</f>
        <v>#VALUE!</v>
      </c>
      <c r="FL145" t="e">
        <f>'Compiled Agents'!H682+"h_l!'c["</f>
        <v>#VALUE!</v>
      </c>
      <c r="FM145" t="e">
        <f>'Compiled Agents'!A683+"h_l!'c\"</f>
        <v>#VALUE!</v>
      </c>
      <c r="FN145" t="e">
        <f>'Compiled Agents'!B683+"h_l!'c]"</f>
        <v>#VALUE!</v>
      </c>
      <c r="FO145" t="e">
        <f>'Compiled Agents'!C683+"h_l!'c^"</f>
        <v>#VALUE!</v>
      </c>
      <c r="FP145" t="e">
        <f>'Compiled Agents'!E683+"h_l!'c_"</f>
        <v>#VALUE!</v>
      </c>
      <c r="FQ145" t="e">
        <f>'Compiled Agents'!F683+"h_l!'c`"</f>
        <v>#VALUE!</v>
      </c>
      <c r="FR145" t="e">
        <f>'Compiled Agents'!G683+"h_l!'ca"</f>
        <v>#VALUE!</v>
      </c>
      <c r="FS145" t="e">
        <f>'Compiled Agents'!H683+"h_l!'cb"</f>
        <v>#VALUE!</v>
      </c>
      <c r="FT145" t="e">
        <f>'Compiled Agents'!A684+"h_l!'cc"</f>
        <v>#VALUE!</v>
      </c>
      <c r="FU145" t="e">
        <f>'Compiled Agents'!B684+"h_l!'cd"</f>
        <v>#VALUE!</v>
      </c>
      <c r="FV145" t="e">
        <f>'Compiled Agents'!C684+"h_l!'ce"</f>
        <v>#VALUE!</v>
      </c>
      <c r="FW145" t="e">
        <f>'Compiled Agents'!E684+"h_l!'cf"</f>
        <v>#VALUE!</v>
      </c>
      <c r="FX145" t="e">
        <f>'Compiled Agents'!F684+"h_l!'cg"</f>
        <v>#VALUE!</v>
      </c>
      <c r="FY145" t="e">
        <f>'Compiled Agents'!G684+"h_l!'ch"</f>
        <v>#VALUE!</v>
      </c>
      <c r="FZ145" t="e">
        <f>'Compiled Agents'!H684+"h_l!'ci"</f>
        <v>#VALUE!</v>
      </c>
      <c r="GA145" t="e">
        <f>'Compiled Agents'!A685+"h_l!'cj"</f>
        <v>#VALUE!</v>
      </c>
      <c r="GB145" t="e">
        <f>'Compiled Agents'!B685+"h_l!'ck"</f>
        <v>#VALUE!</v>
      </c>
      <c r="GC145" t="e">
        <f>'Compiled Agents'!C685+"h_l!'cl"</f>
        <v>#VALUE!</v>
      </c>
      <c r="GD145" t="e">
        <f>'Compiled Agents'!E685+"h_l!'cm"</f>
        <v>#VALUE!</v>
      </c>
      <c r="GE145" t="e">
        <f>'Compiled Agents'!F685+"h_l!'cn"</f>
        <v>#VALUE!</v>
      </c>
      <c r="GF145" t="e">
        <f>'Compiled Agents'!G685+"h_l!'co"</f>
        <v>#VALUE!</v>
      </c>
      <c r="GG145" t="e">
        <f>'Compiled Agents'!H685+"h_l!'cp"</f>
        <v>#VALUE!</v>
      </c>
      <c r="GH145" t="e">
        <f>'Compiled Agents'!A686+"h_l!'cq"</f>
        <v>#VALUE!</v>
      </c>
      <c r="GI145" t="e">
        <f>'Compiled Agents'!B686+"h_l!'cr"</f>
        <v>#VALUE!</v>
      </c>
      <c r="GJ145" t="e">
        <f>'Compiled Agents'!C686+"h_l!'cs"</f>
        <v>#VALUE!</v>
      </c>
      <c r="GK145" t="e">
        <f>'Compiled Agents'!E686+"h_l!'ct"</f>
        <v>#VALUE!</v>
      </c>
      <c r="GL145" t="e">
        <f>'Compiled Agents'!F686+"h_l!'cu"</f>
        <v>#VALUE!</v>
      </c>
      <c r="GM145" t="e">
        <f>'Compiled Agents'!G686+"h_l!'cv"</f>
        <v>#VALUE!</v>
      </c>
      <c r="GN145" t="e">
        <f>'Compiled Agents'!H686+"h_l!'cw"</f>
        <v>#VALUE!</v>
      </c>
      <c r="GO145" t="e">
        <f>'Compiled Agents'!A687+"h_l!'cx"</f>
        <v>#VALUE!</v>
      </c>
      <c r="GP145" t="e">
        <f>'Compiled Agents'!B687+"h_l!'cy"</f>
        <v>#VALUE!</v>
      </c>
      <c r="GQ145" t="e">
        <f>'Compiled Agents'!C687+"h_l!'cz"</f>
        <v>#VALUE!</v>
      </c>
      <c r="GR145" t="e">
        <f>'Compiled Agents'!E687+"h_l!'c{"</f>
        <v>#VALUE!</v>
      </c>
      <c r="GS145" t="e">
        <f>'Compiled Agents'!F687+"h_l!'c|"</f>
        <v>#VALUE!</v>
      </c>
      <c r="GT145" t="e">
        <f>'Compiled Agents'!G687+"h_l!'c}"</f>
        <v>#VALUE!</v>
      </c>
      <c r="GU145" t="e">
        <f>'Compiled Agents'!H687+"h_l!'c~"</f>
        <v>#VALUE!</v>
      </c>
      <c r="GV145" t="e">
        <f>'Compiled Agents'!A688+"h_l!'d#"</f>
        <v>#VALUE!</v>
      </c>
      <c r="GW145" t="e">
        <f>'Compiled Agents'!B688+"h_l!'d$"</f>
        <v>#VALUE!</v>
      </c>
      <c r="GX145" t="e">
        <f>'Compiled Agents'!C688+"h_l!'d%"</f>
        <v>#VALUE!</v>
      </c>
      <c r="GY145" t="e">
        <f>'Compiled Agents'!E688+"h_l!'d&amp;"</f>
        <v>#VALUE!</v>
      </c>
      <c r="GZ145" t="e">
        <f>'Compiled Agents'!F688+"h_l!'d'"</f>
        <v>#VALUE!</v>
      </c>
      <c r="HA145" t="e">
        <f>'Compiled Agents'!G688+"h_l!'d("</f>
        <v>#VALUE!</v>
      </c>
      <c r="HB145" t="e">
        <f>'Compiled Agents'!H688+"h_l!'d)"</f>
        <v>#VALUE!</v>
      </c>
      <c r="HC145" t="e">
        <f>'Compiled Agents'!A689+"h_l!'d."</f>
        <v>#VALUE!</v>
      </c>
      <c r="HD145" t="e">
        <f>'Compiled Agents'!B689+"h_l!'d/"</f>
        <v>#VALUE!</v>
      </c>
      <c r="HE145" t="e">
        <f>'Compiled Agents'!C689+"h_l!'d0"</f>
        <v>#VALUE!</v>
      </c>
      <c r="HF145" t="e">
        <f>'Compiled Agents'!E689+"h_l!'d1"</f>
        <v>#VALUE!</v>
      </c>
      <c r="HG145" t="e">
        <f>'Compiled Agents'!F689+"h_l!'d2"</f>
        <v>#VALUE!</v>
      </c>
      <c r="HH145" t="e">
        <f>'Compiled Agents'!G689+"h_l!'d3"</f>
        <v>#VALUE!</v>
      </c>
      <c r="HI145" t="e">
        <f>'Compiled Agents'!H689+"h_l!'d4"</f>
        <v>#VALUE!</v>
      </c>
      <c r="HJ145" t="e">
        <f>'Compiled Agents'!A690+"h_l!'d5"</f>
        <v>#VALUE!</v>
      </c>
      <c r="HK145" t="e">
        <f>'Compiled Agents'!B690+"h_l!'d6"</f>
        <v>#VALUE!</v>
      </c>
      <c r="HL145" t="e">
        <f>'Compiled Agents'!C690+"h_l!'d7"</f>
        <v>#VALUE!</v>
      </c>
      <c r="HM145" t="e">
        <f>'Compiled Agents'!E690+"h_l!'d8"</f>
        <v>#VALUE!</v>
      </c>
      <c r="HN145" t="e">
        <f>'Compiled Agents'!F690+"h_l!'d9"</f>
        <v>#VALUE!</v>
      </c>
      <c r="HO145" t="e">
        <f>'Compiled Agents'!G690+"h_l!'d:"</f>
        <v>#VALUE!</v>
      </c>
      <c r="HP145" t="e">
        <f>'Compiled Agents'!H690+"h_l!'d;"</f>
        <v>#VALUE!</v>
      </c>
      <c r="HQ145" t="e">
        <f>'Compiled Agents'!A691+"h_l!'d&lt;"</f>
        <v>#VALUE!</v>
      </c>
      <c r="HR145" t="e">
        <f>'Compiled Agents'!B691+"h_l!'d="</f>
        <v>#VALUE!</v>
      </c>
      <c r="HS145" t="e">
        <f>'Compiled Agents'!C691+"h_l!'d&gt;"</f>
        <v>#VALUE!</v>
      </c>
      <c r="HT145" t="e">
        <f>'Compiled Agents'!E691+"h_l!'d?"</f>
        <v>#VALUE!</v>
      </c>
      <c r="HU145" t="e">
        <f>'Compiled Agents'!F691+"h_l!'d@"</f>
        <v>#VALUE!</v>
      </c>
      <c r="HV145" t="e">
        <f>'Compiled Agents'!G691+"h_l!'dA"</f>
        <v>#VALUE!</v>
      </c>
      <c r="HW145" t="e">
        <f>'Compiled Agents'!H691+"h_l!'dB"</f>
        <v>#VALUE!</v>
      </c>
      <c r="HX145" t="e">
        <f>'Compiled Agents'!A692+"h_l!'dC"</f>
        <v>#VALUE!</v>
      </c>
      <c r="HY145" t="e">
        <f>'Compiled Agents'!B692+"h_l!'dD"</f>
        <v>#VALUE!</v>
      </c>
      <c r="HZ145" t="e">
        <f>'Compiled Agents'!C692+"h_l!'dE"</f>
        <v>#VALUE!</v>
      </c>
      <c r="IA145" t="e">
        <f>'Compiled Agents'!E692+"h_l!'dF"</f>
        <v>#VALUE!</v>
      </c>
      <c r="IB145" t="e">
        <f>'Compiled Agents'!F692+"h_l!'dG"</f>
        <v>#VALUE!</v>
      </c>
      <c r="IC145" t="e">
        <f>'Compiled Agents'!G692+"h_l!'dH"</f>
        <v>#VALUE!</v>
      </c>
      <c r="ID145" t="e">
        <f>'Compiled Agents'!H692+"h_l!'dI"</f>
        <v>#VALUE!</v>
      </c>
      <c r="IE145" t="e">
        <f>'Compiled Agents'!A693+"h_l!'dJ"</f>
        <v>#VALUE!</v>
      </c>
      <c r="IF145" t="e">
        <f>'Compiled Agents'!B693+"h_l!'dK"</f>
        <v>#VALUE!</v>
      </c>
      <c r="IG145" t="e">
        <f>'Compiled Agents'!C693+"h_l!'dL"</f>
        <v>#VALUE!</v>
      </c>
      <c r="IH145" t="e">
        <f>'Compiled Agents'!E693+"h_l!'dM"</f>
        <v>#VALUE!</v>
      </c>
      <c r="II145" t="e">
        <f>'Compiled Agents'!F693+"h_l!'dN"</f>
        <v>#VALUE!</v>
      </c>
      <c r="IJ145" t="e">
        <f>'Compiled Agents'!G693+"h_l!'dO"</f>
        <v>#VALUE!</v>
      </c>
      <c r="IK145" t="e">
        <f>'Compiled Agents'!H693+"h_l!'dP"</f>
        <v>#VALUE!</v>
      </c>
      <c r="IL145" t="e">
        <f>'Compiled Agents'!A694+"h_l!'dQ"</f>
        <v>#VALUE!</v>
      </c>
      <c r="IM145" t="e">
        <f>'Compiled Agents'!B694+"h_l!'dR"</f>
        <v>#VALUE!</v>
      </c>
      <c r="IN145" t="e">
        <f>'Compiled Agents'!C694+"h_l!'dS"</f>
        <v>#VALUE!</v>
      </c>
      <c r="IO145" t="e">
        <f>'Compiled Agents'!E694+"h_l!'dT"</f>
        <v>#VALUE!</v>
      </c>
      <c r="IP145" t="e">
        <f>'Compiled Agents'!F694+"h_l!'dU"</f>
        <v>#VALUE!</v>
      </c>
      <c r="IQ145" t="e">
        <f>'Compiled Agents'!G694+"h_l!'dV"</f>
        <v>#VALUE!</v>
      </c>
      <c r="IR145" t="e">
        <f>'Compiled Agents'!H694+"h_l!'dW"</f>
        <v>#VALUE!</v>
      </c>
      <c r="IS145" t="e">
        <f>'Compiled Agents'!A695+"h_l!'dX"</f>
        <v>#VALUE!</v>
      </c>
      <c r="IT145" t="e">
        <f>'Compiled Agents'!B695+"h_l!'dY"</f>
        <v>#VALUE!</v>
      </c>
      <c r="IU145" t="e">
        <f>'Compiled Agents'!C695+"h_l!'dZ"</f>
        <v>#VALUE!</v>
      </c>
      <c r="IV145" t="e">
        <f>'Compiled Agents'!E695+"h_l!'d["</f>
        <v>#VALUE!</v>
      </c>
    </row>
    <row r="146" spans="6:256" x14ac:dyDescent="0.25">
      <c r="F146" t="e">
        <f>'Compiled Agents'!F695+"h_l!'d\"</f>
        <v>#VALUE!</v>
      </c>
      <c r="G146" t="e">
        <f>'Compiled Agents'!G695+"h_l!'d]"</f>
        <v>#VALUE!</v>
      </c>
      <c r="H146" t="e">
        <f>'Compiled Agents'!H695+"h_l!'d^"</f>
        <v>#VALUE!</v>
      </c>
      <c r="I146" t="e">
        <f>'Compiled Agents'!A696+"h_l!'d_"</f>
        <v>#VALUE!</v>
      </c>
      <c r="J146" t="e">
        <f>'Compiled Agents'!B696+"h_l!'d`"</f>
        <v>#VALUE!</v>
      </c>
      <c r="K146" t="e">
        <f>'Compiled Agents'!C696+"h_l!'da"</f>
        <v>#VALUE!</v>
      </c>
      <c r="L146" t="e">
        <f>'Compiled Agents'!E696+"h_l!'db"</f>
        <v>#VALUE!</v>
      </c>
      <c r="M146" t="e">
        <f>'Compiled Agents'!F696+"h_l!'dc"</f>
        <v>#VALUE!</v>
      </c>
      <c r="N146" t="e">
        <f>'Compiled Agents'!G696+"h_l!'dd"</f>
        <v>#VALUE!</v>
      </c>
      <c r="O146" t="e">
        <f>'Compiled Agents'!H696+"h_l!'de"</f>
        <v>#VALUE!</v>
      </c>
      <c r="P146" t="e">
        <f>'Compiled Agents'!A697+"h_l!'df"</f>
        <v>#VALUE!</v>
      </c>
      <c r="Q146" t="e">
        <f>'Compiled Agents'!B697+"h_l!'dg"</f>
        <v>#VALUE!</v>
      </c>
      <c r="R146" t="e">
        <f>'Compiled Agents'!C697+"h_l!'dh"</f>
        <v>#VALUE!</v>
      </c>
      <c r="S146" t="e">
        <f>'Compiled Agents'!E697+"h_l!'di"</f>
        <v>#VALUE!</v>
      </c>
      <c r="T146" t="e">
        <f>'Compiled Agents'!F697+"h_l!'dj"</f>
        <v>#VALUE!</v>
      </c>
      <c r="U146" t="e">
        <f>'Compiled Agents'!G697+"h_l!'dk"</f>
        <v>#VALUE!</v>
      </c>
      <c r="V146" t="e">
        <f>'Compiled Agents'!H697+"h_l!'dl"</f>
        <v>#VALUE!</v>
      </c>
      <c r="W146" t="e">
        <f>'Compiled Agents'!A698+"h_l!'dm"</f>
        <v>#VALUE!</v>
      </c>
      <c r="X146" t="e">
        <f>'Compiled Agents'!B698+"h_l!'dn"</f>
        <v>#VALUE!</v>
      </c>
      <c r="Y146" t="e">
        <f>'Compiled Agents'!C698+"h_l!'do"</f>
        <v>#VALUE!</v>
      </c>
      <c r="Z146" t="e">
        <f>'Compiled Agents'!E698+"h_l!'dp"</f>
        <v>#VALUE!</v>
      </c>
      <c r="AA146" t="e">
        <f>'Compiled Agents'!F698+"h_l!'dq"</f>
        <v>#VALUE!</v>
      </c>
      <c r="AB146" t="e">
        <f>'Compiled Agents'!G698+"h_l!'dr"</f>
        <v>#VALUE!</v>
      </c>
      <c r="AC146" t="e">
        <f>'Compiled Agents'!H698+"h_l!'ds"</f>
        <v>#VALUE!</v>
      </c>
      <c r="AD146" t="e">
        <f>'Compiled Agents'!A699+"h_l!'dt"</f>
        <v>#VALUE!</v>
      </c>
      <c r="AE146" t="e">
        <f>'Compiled Agents'!B699+"h_l!'du"</f>
        <v>#VALUE!</v>
      </c>
      <c r="AF146" t="e">
        <f>'Compiled Agents'!C699+"h_l!'dv"</f>
        <v>#VALUE!</v>
      </c>
      <c r="AG146" t="e">
        <f>'Compiled Agents'!E699+"h_l!'dw"</f>
        <v>#VALUE!</v>
      </c>
      <c r="AH146" t="e">
        <f>'Compiled Agents'!F699+"h_l!'dx"</f>
        <v>#VALUE!</v>
      </c>
      <c r="AI146" t="e">
        <f>'Compiled Agents'!G699+"h_l!'dy"</f>
        <v>#VALUE!</v>
      </c>
      <c r="AJ146" t="e">
        <f>'Compiled Agents'!H699+"h_l!'dz"</f>
        <v>#VALUE!</v>
      </c>
      <c r="AK146" t="e">
        <f>'Compiled Agents'!A700+"h_l!'d{"</f>
        <v>#VALUE!</v>
      </c>
      <c r="AL146" t="e">
        <f>'Compiled Agents'!B700+"h_l!'d|"</f>
        <v>#VALUE!</v>
      </c>
      <c r="AM146" t="e">
        <f>'Compiled Agents'!C700+"h_l!'d}"</f>
        <v>#VALUE!</v>
      </c>
      <c r="AN146" t="e">
        <f>'Compiled Agents'!E700+"h_l!'d~"</f>
        <v>#VALUE!</v>
      </c>
      <c r="AO146" t="e">
        <f>'Compiled Agents'!F700+"h_l!'e#"</f>
        <v>#VALUE!</v>
      </c>
      <c r="AP146" t="e">
        <f>'Compiled Agents'!G700+"h_l!'e$"</f>
        <v>#VALUE!</v>
      </c>
      <c r="AQ146" t="e">
        <f>'Compiled Agents'!H700+"h_l!'e%"</f>
        <v>#VALUE!</v>
      </c>
      <c r="AR146" t="e">
        <f>'Compiled Agents'!A701+"h_l!'e&amp;"</f>
        <v>#VALUE!</v>
      </c>
      <c r="AS146" t="e">
        <f>'Compiled Agents'!B701+"h_l!'e'"</f>
        <v>#VALUE!</v>
      </c>
      <c r="AT146" t="e">
        <f>'Compiled Agents'!C701+"h_l!'e("</f>
        <v>#VALUE!</v>
      </c>
      <c r="AU146" t="e">
        <f>'Compiled Agents'!E701+"h_l!'e)"</f>
        <v>#VALUE!</v>
      </c>
      <c r="AV146" t="e">
        <f>'Compiled Agents'!F701+"h_l!'e."</f>
        <v>#VALUE!</v>
      </c>
      <c r="AW146" t="e">
        <f>'Compiled Agents'!G701+"h_l!'e/"</f>
        <v>#VALUE!</v>
      </c>
      <c r="AX146" t="e">
        <f>'Compiled Agents'!H701+"h_l!'e0"</f>
        <v>#VALUE!</v>
      </c>
      <c r="AY146" t="e">
        <f>'Compiled Agents'!A702+"h_l!'e1"</f>
        <v>#VALUE!</v>
      </c>
      <c r="AZ146" t="e">
        <f>'Compiled Agents'!B702+"h_l!'e2"</f>
        <v>#VALUE!</v>
      </c>
      <c r="BA146" t="e">
        <f>'Compiled Agents'!C702+"h_l!'e3"</f>
        <v>#VALUE!</v>
      </c>
      <c r="BB146" t="e">
        <f>'Compiled Agents'!E702+"h_l!'e4"</f>
        <v>#VALUE!</v>
      </c>
      <c r="BC146" t="e">
        <f>'Compiled Agents'!F702+"h_l!'e5"</f>
        <v>#VALUE!</v>
      </c>
      <c r="BD146" t="e">
        <f>'Compiled Agents'!G702+"h_l!'e6"</f>
        <v>#VALUE!</v>
      </c>
      <c r="BE146" t="e">
        <f>'Compiled Agents'!H702+"h_l!'e7"</f>
        <v>#VALUE!</v>
      </c>
      <c r="BF146" t="e">
        <f>'Compiled Agents'!A703+"h_l!'e8"</f>
        <v>#VALUE!</v>
      </c>
      <c r="BG146" t="e">
        <f>'Compiled Agents'!B703+"h_l!'e9"</f>
        <v>#VALUE!</v>
      </c>
      <c r="BH146" t="e">
        <f>'Compiled Agents'!C703+"h_l!'e:"</f>
        <v>#VALUE!</v>
      </c>
      <c r="BI146" t="e">
        <f>'Compiled Agents'!E703+"h_l!'e;"</f>
        <v>#VALUE!</v>
      </c>
      <c r="BJ146" t="e">
        <f>'Compiled Agents'!F703+"h_l!'e&lt;"</f>
        <v>#VALUE!</v>
      </c>
      <c r="BK146" t="e">
        <f>'Compiled Agents'!G703+"h_l!'e="</f>
        <v>#VALUE!</v>
      </c>
      <c r="BL146" t="e">
        <f>'Compiled Agents'!H703+"h_l!'e&gt;"</f>
        <v>#VALUE!</v>
      </c>
      <c r="BM146" t="e">
        <f>'Compiled Agents'!A704+"h_l!'e?"</f>
        <v>#VALUE!</v>
      </c>
      <c r="BN146" t="e">
        <f>'Compiled Agents'!B704+"h_l!'e@"</f>
        <v>#VALUE!</v>
      </c>
      <c r="BO146" t="e">
        <f>'Compiled Agents'!C704+"h_l!'eA"</f>
        <v>#VALUE!</v>
      </c>
      <c r="BP146" t="e">
        <f>'Compiled Agents'!E704+"h_l!'eB"</f>
        <v>#VALUE!</v>
      </c>
      <c r="BQ146" t="e">
        <f>'Compiled Agents'!F704+"h_l!'eC"</f>
        <v>#VALUE!</v>
      </c>
      <c r="BR146" t="e">
        <f>'Compiled Agents'!G704+"h_l!'eD"</f>
        <v>#VALUE!</v>
      </c>
      <c r="BS146" t="e">
        <f>'Compiled Agents'!H704+"h_l!'eE"</f>
        <v>#VALUE!</v>
      </c>
      <c r="BT146" t="e">
        <f>'Compiled Agents'!A705+"h_l!'eF"</f>
        <v>#VALUE!</v>
      </c>
      <c r="BU146" t="e">
        <f>'Compiled Agents'!B705+"h_l!'eG"</f>
        <v>#VALUE!</v>
      </c>
      <c r="BV146" t="e">
        <f>'Compiled Agents'!C705+"h_l!'eH"</f>
        <v>#VALUE!</v>
      </c>
      <c r="BW146" t="e">
        <f>'Compiled Agents'!E705+"h_l!'eI"</f>
        <v>#VALUE!</v>
      </c>
      <c r="BX146" t="e">
        <f>'Compiled Agents'!F705+"h_l!'eJ"</f>
        <v>#VALUE!</v>
      </c>
      <c r="BY146" t="e">
        <f>'Compiled Agents'!G705+"h_l!'eK"</f>
        <v>#VALUE!</v>
      </c>
      <c r="BZ146" t="e">
        <f>'Compiled Agents'!H705+"h_l!'eL"</f>
        <v>#VALUE!</v>
      </c>
      <c r="CA146" t="e">
        <f>'Compiled Agents'!A706+"h_l!'eM"</f>
        <v>#VALUE!</v>
      </c>
      <c r="CB146" t="e">
        <f>'Compiled Agents'!B706+"h_l!'eN"</f>
        <v>#VALUE!</v>
      </c>
      <c r="CC146" t="e">
        <f>'Compiled Agents'!C706+"h_l!'eO"</f>
        <v>#VALUE!</v>
      </c>
      <c r="CD146" t="e">
        <f>'Compiled Agents'!E706+"h_l!'eP"</f>
        <v>#VALUE!</v>
      </c>
      <c r="CE146" t="e">
        <f>'Compiled Agents'!F706+"h_l!'eQ"</f>
        <v>#VALUE!</v>
      </c>
      <c r="CF146" t="e">
        <f>'Compiled Agents'!G706+"h_l!'eR"</f>
        <v>#VALUE!</v>
      </c>
      <c r="CG146" t="e">
        <f>'Compiled Agents'!H706+"h_l!'eS"</f>
        <v>#VALUE!</v>
      </c>
      <c r="CH146" t="e">
        <f>'Compiled Agents'!A707+"h_l!'eT"</f>
        <v>#VALUE!</v>
      </c>
      <c r="CI146" t="e">
        <f>'Compiled Agents'!B707+"h_l!'eU"</f>
        <v>#VALUE!</v>
      </c>
      <c r="CJ146" t="e">
        <f>'Compiled Agents'!C707+"h_l!'eV"</f>
        <v>#VALUE!</v>
      </c>
      <c r="CK146" t="e">
        <f>'Compiled Agents'!E707+"h_l!'eW"</f>
        <v>#VALUE!</v>
      </c>
      <c r="CL146" t="e">
        <f>'Compiled Agents'!F707+"h_l!'eX"</f>
        <v>#VALUE!</v>
      </c>
      <c r="CM146" t="e">
        <f>'Compiled Agents'!G707+"h_l!'eY"</f>
        <v>#VALUE!</v>
      </c>
      <c r="CN146" t="e">
        <f>'Compiled Agents'!H707+"h_l!'eZ"</f>
        <v>#VALUE!</v>
      </c>
      <c r="CO146" t="e">
        <f>'Compiled Agents'!A708+"h_l!'e["</f>
        <v>#VALUE!</v>
      </c>
      <c r="CP146" t="e">
        <f>'Compiled Agents'!B708+"h_l!'e\"</f>
        <v>#VALUE!</v>
      </c>
      <c r="CQ146" t="e">
        <f>'Compiled Agents'!C708+"h_l!'e]"</f>
        <v>#VALUE!</v>
      </c>
      <c r="CR146" t="e">
        <f>'Compiled Agents'!E708+"h_l!'e^"</f>
        <v>#VALUE!</v>
      </c>
      <c r="CS146" t="e">
        <f>'Compiled Agents'!F708+"h_l!'e_"</f>
        <v>#VALUE!</v>
      </c>
      <c r="CT146" t="e">
        <f>'Compiled Agents'!G708+"h_l!'e`"</f>
        <v>#VALUE!</v>
      </c>
      <c r="CU146" t="e">
        <f>'Compiled Agents'!H708+"h_l!'ea"</f>
        <v>#VALUE!</v>
      </c>
      <c r="CV146" t="e">
        <f>'Compiled Agents'!A709+"h_l!'eb"</f>
        <v>#VALUE!</v>
      </c>
      <c r="CW146" t="e">
        <f>'Compiled Agents'!B709+"h_l!'ec"</f>
        <v>#VALUE!</v>
      </c>
      <c r="CX146" t="e">
        <f>'Compiled Agents'!C709+"h_l!'ed"</f>
        <v>#VALUE!</v>
      </c>
      <c r="CY146" t="e">
        <f>'Compiled Agents'!E709+"h_l!'ee"</f>
        <v>#VALUE!</v>
      </c>
      <c r="CZ146" t="e">
        <f>'Compiled Agents'!F709+"h_l!'ef"</f>
        <v>#VALUE!</v>
      </c>
      <c r="DA146" t="e">
        <f>'Compiled Agents'!G709+"h_l!'eg"</f>
        <v>#VALUE!</v>
      </c>
      <c r="DB146" t="e">
        <f>'Compiled Agents'!H709+"h_l!'eh"</f>
        <v>#VALUE!</v>
      </c>
      <c r="DC146" t="e">
        <f>'Compiled Agents'!A710+"h_l!'ei"</f>
        <v>#VALUE!</v>
      </c>
      <c r="DD146" t="e">
        <f>'Compiled Agents'!B710+"h_l!'ej"</f>
        <v>#VALUE!</v>
      </c>
      <c r="DE146" t="e">
        <f>'Compiled Agents'!C710+"h_l!'ek"</f>
        <v>#VALUE!</v>
      </c>
      <c r="DF146" t="e">
        <f>'Compiled Agents'!E710+"h_l!'el"</f>
        <v>#VALUE!</v>
      </c>
      <c r="DG146" t="e">
        <f>'Compiled Agents'!F710+"h_l!'em"</f>
        <v>#VALUE!</v>
      </c>
      <c r="DH146" t="e">
        <f>'Compiled Agents'!G710+"h_l!'en"</f>
        <v>#VALUE!</v>
      </c>
      <c r="DI146" t="e">
        <f>'Compiled Agents'!H710+"h_l!'eo"</f>
        <v>#VALUE!</v>
      </c>
      <c r="DJ146" t="e">
        <f>'Compiled Agents'!A711+"h_l!'ep"</f>
        <v>#VALUE!</v>
      </c>
      <c r="DK146" t="e">
        <f>'Compiled Agents'!B711+"h_l!'eq"</f>
        <v>#VALUE!</v>
      </c>
      <c r="DL146" t="e">
        <f>'Compiled Agents'!C711+"h_l!'er"</f>
        <v>#VALUE!</v>
      </c>
      <c r="DM146" t="e">
        <f>'Compiled Agents'!E711+"h_l!'es"</f>
        <v>#VALUE!</v>
      </c>
      <c r="DN146" t="e">
        <f>'Compiled Agents'!F711+"h_l!'et"</f>
        <v>#VALUE!</v>
      </c>
      <c r="DO146" t="e">
        <f>'Compiled Agents'!G711+"h_l!'eu"</f>
        <v>#VALUE!</v>
      </c>
      <c r="DP146" t="e">
        <f>'Compiled Agents'!H711+"h_l!'ev"</f>
        <v>#VALUE!</v>
      </c>
      <c r="DQ146" t="e">
        <f>'Compiled Agents'!A712+"h_l!'ew"</f>
        <v>#VALUE!</v>
      </c>
      <c r="DR146" t="e">
        <f>'Compiled Agents'!B712+"h_l!'ex"</f>
        <v>#VALUE!</v>
      </c>
      <c r="DS146" t="e">
        <f>'Compiled Agents'!C712+"h_l!'ey"</f>
        <v>#VALUE!</v>
      </c>
      <c r="DT146" t="e">
        <f>'Compiled Agents'!E712+"h_l!'ez"</f>
        <v>#VALUE!</v>
      </c>
      <c r="DU146" t="e">
        <f>'Compiled Agents'!F712+"h_l!'e{"</f>
        <v>#VALUE!</v>
      </c>
      <c r="DV146" t="e">
        <f>'Compiled Agents'!G712+"h_l!'e|"</f>
        <v>#VALUE!</v>
      </c>
      <c r="DW146" t="e">
        <f>'Compiled Agents'!H712+"h_l!'e}"</f>
        <v>#VALUE!</v>
      </c>
      <c r="DX146" t="e">
        <f>'Compiled Agents'!A713+"h_l!'e~"</f>
        <v>#VALUE!</v>
      </c>
      <c r="DY146" t="e">
        <f>'Compiled Agents'!B713+"h_l!'f#"</f>
        <v>#VALUE!</v>
      </c>
      <c r="DZ146" t="e">
        <f>'Compiled Agents'!C713+"h_l!'f$"</f>
        <v>#VALUE!</v>
      </c>
      <c r="EA146" t="e">
        <f>'Compiled Agents'!E713+"h_l!'f%"</f>
        <v>#VALUE!</v>
      </c>
      <c r="EB146" t="e">
        <f>'Compiled Agents'!F713+"h_l!'f&amp;"</f>
        <v>#VALUE!</v>
      </c>
      <c r="EC146" t="e">
        <f>'Compiled Agents'!G713+"h_l!'f'"</f>
        <v>#VALUE!</v>
      </c>
      <c r="ED146" t="e">
        <f>'Compiled Agents'!H713+"h_l!'f("</f>
        <v>#VALUE!</v>
      </c>
      <c r="EE146" t="e">
        <f>'Compiled Agents'!A714+"h_l!'f)"</f>
        <v>#VALUE!</v>
      </c>
      <c r="EF146" t="e">
        <f>'Compiled Agents'!B714+"h_l!'f."</f>
        <v>#VALUE!</v>
      </c>
      <c r="EG146" t="e">
        <f>'Compiled Agents'!C714+"h_l!'f/"</f>
        <v>#VALUE!</v>
      </c>
      <c r="EH146" t="e">
        <f>'Compiled Agents'!E714+"h_l!'f0"</f>
        <v>#VALUE!</v>
      </c>
      <c r="EI146" t="e">
        <f>'Compiled Agents'!F714+"h_l!'f1"</f>
        <v>#VALUE!</v>
      </c>
      <c r="EJ146" t="e">
        <f>'Compiled Agents'!G714+"h_l!'f2"</f>
        <v>#VALUE!</v>
      </c>
      <c r="EK146" t="e">
        <f>'Compiled Agents'!H714+"h_l!'f3"</f>
        <v>#VALUE!</v>
      </c>
      <c r="EL146" t="e">
        <f>'Compiled Agents'!A715+"h_l!'f4"</f>
        <v>#VALUE!</v>
      </c>
      <c r="EM146" t="e">
        <f>'Compiled Agents'!B715+"h_l!'f5"</f>
        <v>#VALUE!</v>
      </c>
      <c r="EN146" t="e">
        <f>'Compiled Agents'!C715+"h_l!'f6"</f>
        <v>#VALUE!</v>
      </c>
      <c r="EO146" t="e">
        <f>'Compiled Agents'!E715+"h_l!'f7"</f>
        <v>#VALUE!</v>
      </c>
      <c r="EP146" t="e">
        <f>'Compiled Agents'!F715+"h_l!'f8"</f>
        <v>#VALUE!</v>
      </c>
      <c r="EQ146" t="e">
        <f>'Compiled Agents'!G715+"h_l!'f9"</f>
        <v>#VALUE!</v>
      </c>
      <c r="ER146" t="e">
        <f>'Compiled Agents'!H715+"h_l!'f:"</f>
        <v>#VALUE!</v>
      </c>
      <c r="ES146" t="e">
        <f>'Compiled Agents'!A716+"h_l!'f;"</f>
        <v>#VALUE!</v>
      </c>
      <c r="ET146" t="e">
        <f>'Compiled Agents'!B716+"h_l!'f&lt;"</f>
        <v>#VALUE!</v>
      </c>
      <c r="EU146" t="e">
        <f>'Compiled Agents'!C716+"h_l!'f="</f>
        <v>#VALUE!</v>
      </c>
      <c r="EV146" t="e">
        <f>'Compiled Agents'!E716+"h_l!'f&gt;"</f>
        <v>#VALUE!</v>
      </c>
      <c r="EW146" t="e">
        <f>'Compiled Agents'!F716+"h_l!'f?"</f>
        <v>#VALUE!</v>
      </c>
      <c r="EX146" t="e">
        <f>'Compiled Agents'!G716+"h_l!'f@"</f>
        <v>#VALUE!</v>
      </c>
      <c r="EY146" t="e">
        <f>'Compiled Agents'!H716+"h_l!'fA"</f>
        <v>#VALUE!</v>
      </c>
      <c r="EZ146" t="e">
        <f>'Compiled Agents'!A717+"h_l!'fB"</f>
        <v>#VALUE!</v>
      </c>
      <c r="FA146" t="e">
        <f>'Compiled Agents'!B717+"h_l!'fC"</f>
        <v>#VALUE!</v>
      </c>
      <c r="FB146" t="e">
        <f>'Compiled Agents'!C717+"h_l!'fD"</f>
        <v>#VALUE!</v>
      </c>
      <c r="FC146" t="e">
        <f>'Compiled Agents'!E717+"h_l!'fE"</f>
        <v>#VALUE!</v>
      </c>
      <c r="FD146" t="e">
        <f>'Compiled Agents'!F717+"h_l!'fF"</f>
        <v>#VALUE!</v>
      </c>
      <c r="FE146" t="e">
        <f>'Compiled Agents'!G717+"h_l!'fG"</f>
        <v>#VALUE!</v>
      </c>
      <c r="FF146" t="e">
        <f>'Compiled Agents'!H717+"h_l!'fH"</f>
        <v>#VALUE!</v>
      </c>
      <c r="FG146" t="e">
        <f>'Compiled Agents'!A718+"h_l!'fI"</f>
        <v>#VALUE!</v>
      </c>
      <c r="FH146" t="e">
        <f>'Compiled Agents'!B718+"h_l!'fJ"</f>
        <v>#VALUE!</v>
      </c>
      <c r="FI146" t="e">
        <f>'Compiled Agents'!C718+"h_l!'fK"</f>
        <v>#VALUE!</v>
      </c>
      <c r="FJ146" t="e">
        <f>'Compiled Agents'!E718+"h_l!'fL"</f>
        <v>#VALUE!</v>
      </c>
      <c r="FK146" t="e">
        <f>'Compiled Agents'!F718+"h_l!'fM"</f>
        <v>#VALUE!</v>
      </c>
      <c r="FL146" t="e">
        <f>'Compiled Agents'!G718+"h_l!'fN"</f>
        <v>#VALUE!</v>
      </c>
      <c r="FM146" t="e">
        <f>'Compiled Agents'!H718+"h_l!'fO"</f>
        <v>#VALUE!</v>
      </c>
      <c r="FN146" t="e">
        <f>'Compiled Agents'!A719+"h_l!'fP"</f>
        <v>#VALUE!</v>
      </c>
      <c r="FO146" t="e">
        <f>'Compiled Agents'!B719+"h_l!'fQ"</f>
        <v>#VALUE!</v>
      </c>
      <c r="FP146" t="e">
        <f>'Compiled Agents'!C719+"h_l!'fR"</f>
        <v>#VALUE!</v>
      </c>
      <c r="FQ146" t="e">
        <f>'Compiled Agents'!E719+"h_l!'fS"</f>
        <v>#VALUE!</v>
      </c>
      <c r="FR146" t="e">
        <f>'Compiled Agents'!F719+"h_l!'fT"</f>
        <v>#VALUE!</v>
      </c>
      <c r="FS146" t="e">
        <f>'Compiled Agents'!G719+"h_l!'fU"</f>
        <v>#VALUE!</v>
      </c>
      <c r="FT146" t="e">
        <f>'Compiled Agents'!H719+"h_l!'fV"</f>
        <v>#VALUE!</v>
      </c>
      <c r="FU146" t="e">
        <f>'Compiled Agents'!A720+"h_l!'fW"</f>
        <v>#VALUE!</v>
      </c>
      <c r="FV146" t="e">
        <f>'Compiled Agents'!B720+"h_l!'fX"</f>
        <v>#VALUE!</v>
      </c>
      <c r="FW146" t="e">
        <f>'Compiled Agents'!C720+"h_l!'fY"</f>
        <v>#VALUE!</v>
      </c>
      <c r="FX146" t="e">
        <f>'Compiled Agents'!E720+"h_l!'fZ"</f>
        <v>#VALUE!</v>
      </c>
      <c r="FY146" t="e">
        <f>'Compiled Agents'!F720+"h_l!'f["</f>
        <v>#VALUE!</v>
      </c>
      <c r="FZ146" t="e">
        <f>'Compiled Agents'!G720+"h_l!'f\"</f>
        <v>#VALUE!</v>
      </c>
      <c r="GA146" t="e">
        <f>'Compiled Agents'!H720+"h_l!'f]"</f>
        <v>#VALUE!</v>
      </c>
      <c r="GB146" t="e">
        <f>'Compiled Agents'!A721+"h_l!'f^"</f>
        <v>#VALUE!</v>
      </c>
      <c r="GC146" t="e">
        <f>'Compiled Agents'!B721+"h_l!'f_"</f>
        <v>#VALUE!</v>
      </c>
      <c r="GD146" t="e">
        <f>'Compiled Agents'!C721+"h_l!'f`"</f>
        <v>#VALUE!</v>
      </c>
      <c r="GE146" t="e">
        <f>'Compiled Agents'!E721+"h_l!'fa"</f>
        <v>#VALUE!</v>
      </c>
      <c r="GF146" t="e">
        <f>'Compiled Agents'!F721+"h_l!'fb"</f>
        <v>#VALUE!</v>
      </c>
      <c r="GG146" t="e">
        <f>'Compiled Agents'!G721+"h_l!'fc"</f>
        <v>#VALUE!</v>
      </c>
      <c r="GH146" t="e">
        <f>'Compiled Agents'!H721+"h_l!'fd"</f>
        <v>#VALUE!</v>
      </c>
      <c r="GI146" t="e">
        <f>'Compiled Agents'!A722+"h_l!'fe"</f>
        <v>#VALUE!</v>
      </c>
      <c r="GJ146" t="e">
        <f>'Compiled Agents'!B722+"h_l!'ff"</f>
        <v>#VALUE!</v>
      </c>
      <c r="GK146" t="e">
        <f>'Compiled Agents'!C722+"h_l!'fg"</f>
        <v>#VALUE!</v>
      </c>
      <c r="GL146" t="e">
        <f>'Compiled Agents'!E722+"h_l!'fh"</f>
        <v>#VALUE!</v>
      </c>
      <c r="GM146" t="e">
        <f>'Compiled Agents'!F722+"h_l!'fi"</f>
        <v>#VALUE!</v>
      </c>
      <c r="GN146" t="e">
        <f>'Compiled Agents'!G722+"h_l!'fj"</f>
        <v>#VALUE!</v>
      </c>
      <c r="GO146" t="e">
        <f>'Compiled Agents'!H722+"h_l!'fk"</f>
        <v>#VALUE!</v>
      </c>
      <c r="GP146" t="e">
        <f>'Compiled Agents'!A723+"h_l!'fl"</f>
        <v>#VALUE!</v>
      </c>
      <c r="GQ146" t="e">
        <f>'Compiled Agents'!B723+"h_l!'fm"</f>
        <v>#VALUE!</v>
      </c>
      <c r="GR146" t="e">
        <f>'Compiled Agents'!C723+"h_l!'fn"</f>
        <v>#VALUE!</v>
      </c>
      <c r="GS146" t="e">
        <f>'Compiled Agents'!E723+"h_l!'fo"</f>
        <v>#VALUE!</v>
      </c>
      <c r="GT146" t="e">
        <f>'Compiled Agents'!F723+"h_l!'fp"</f>
        <v>#VALUE!</v>
      </c>
      <c r="GU146" t="e">
        <f>'Compiled Agents'!G723+"h_l!'fq"</f>
        <v>#VALUE!</v>
      </c>
      <c r="GV146" t="e">
        <f>'Compiled Agents'!H723+"h_l!'fr"</f>
        <v>#VALUE!</v>
      </c>
      <c r="GW146" t="e">
        <f>'Compiled Agents'!A724+"h_l!'fs"</f>
        <v>#VALUE!</v>
      </c>
      <c r="GX146" t="e">
        <f>'Compiled Agents'!B724+"h_l!'ft"</f>
        <v>#VALUE!</v>
      </c>
      <c r="GY146" t="e">
        <f>'Compiled Agents'!C724+"h_l!'fu"</f>
        <v>#VALUE!</v>
      </c>
      <c r="GZ146" t="e">
        <f>'Compiled Agents'!E724+"h_l!'fv"</f>
        <v>#VALUE!</v>
      </c>
      <c r="HA146" t="e">
        <f>'Compiled Agents'!F724+"h_l!'fw"</f>
        <v>#VALUE!</v>
      </c>
      <c r="HB146" t="e">
        <f>'Compiled Agents'!G724+"h_l!'fx"</f>
        <v>#VALUE!</v>
      </c>
      <c r="HC146" t="e">
        <f>'Compiled Agents'!H724+"h_l!'fy"</f>
        <v>#VALUE!</v>
      </c>
      <c r="HD146" t="e">
        <f>'Compiled Agents'!A725+"h_l!'fz"</f>
        <v>#VALUE!</v>
      </c>
      <c r="HE146" t="e">
        <f>'Compiled Agents'!B725+"h_l!'f{"</f>
        <v>#VALUE!</v>
      </c>
      <c r="HF146" t="e">
        <f>'Compiled Agents'!C725+"h_l!'f|"</f>
        <v>#VALUE!</v>
      </c>
      <c r="HG146" t="e">
        <f>'Compiled Agents'!E725+"h_l!'f}"</f>
        <v>#VALUE!</v>
      </c>
      <c r="HH146" t="e">
        <f>'Compiled Agents'!F725+"h_l!'f~"</f>
        <v>#VALUE!</v>
      </c>
      <c r="HI146" t="e">
        <f>'Compiled Agents'!G725+"h_l!'g#"</f>
        <v>#VALUE!</v>
      </c>
      <c r="HJ146" t="e">
        <f>'Compiled Agents'!H725+"h_l!'g$"</f>
        <v>#VALUE!</v>
      </c>
      <c r="HK146" t="e">
        <f>'Compiled Agents'!A726+"h_l!'g%"</f>
        <v>#VALUE!</v>
      </c>
      <c r="HL146" t="e">
        <f>'Compiled Agents'!B726+"h_l!'g&amp;"</f>
        <v>#VALUE!</v>
      </c>
      <c r="HM146" t="e">
        <f>'Compiled Agents'!C726+"h_l!'g'"</f>
        <v>#VALUE!</v>
      </c>
      <c r="HN146" t="e">
        <f>'Compiled Agents'!E726+"h_l!'g("</f>
        <v>#VALUE!</v>
      </c>
      <c r="HO146" t="e">
        <f>'Compiled Agents'!F726+"h_l!'g)"</f>
        <v>#VALUE!</v>
      </c>
      <c r="HP146" t="e">
        <f>'Compiled Agents'!G726+"h_l!'g."</f>
        <v>#VALUE!</v>
      </c>
      <c r="HQ146" t="e">
        <f>'Compiled Agents'!H726+"h_l!'g/"</f>
        <v>#VALUE!</v>
      </c>
      <c r="HR146" t="e">
        <f>'Compiled Agents'!A727+"h_l!'g0"</f>
        <v>#VALUE!</v>
      </c>
      <c r="HS146" t="e">
        <f>'Compiled Agents'!B727+"h_l!'g1"</f>
        <v>#VALUE!</v>
      </c>
      <c r="HT146" t="e">
        <f>'Compiled Agents'!C727+"h_l!'g2"</f>
        <v>#VALUE!</v>
      </c>
      <c r="HU146" t="e">
        <f>'Compiled Agents'!E727+"h_l!'g3"</f>
        <v>#VALUE!</v>
      </c>
      <c r="HV146" t="e">
        <f>'Compiled Agents'!F727+"h_l!'g4"</f>
        <v>#VALUE!</v>
      </c>
      <c r="HW146" t="e">
        <f>'Compiled Agents'!G727+"h_l!'g5"</f>
        <v>#VALUE!</v>
      </c>
      <c r="HX146" t="e">
        <f>'Compiled Agents'!H727+"h_l!'g6"</f>
        <v>#VALUE!</v>
      </c>
      <c r="HY146" t="e">
        <f>'Compiled Agents'!A728+"h_l!'g7"</f>
        <v>#VALUE!</v>
      </c>
      <c r="HZ146" t="e">
        <f>'Compiled Agents'!B728+"h_l!'g8"</f>
        <v>#VALUE!</v>
      </c>
      <c r="IA146" t="e">
        <f>'Compiled Agents'!C728+"h_l!'g9"</f>
        <v>#VALUE!</v>
      </c>
      <c r="IB146" t="e">
        <f>'Compiled Agents'!E728+"h_l!'g:"</f>
        <v>#VALUE!</v>
      </c>
      <c r="IC146" t="e">
        <f>'Compiled Agents'!F728+"h_l!'g;"</f>
        <v>#VALUE!</v>
      </c>
      <c r="ID146" t="e">
        <f>'Compiled Agents'!G728+"h_l!'g&lt;"</f>
        <v>#VALUE!</v>
      </c>
      <c r="IE146" t="e">
        <f>'Compiled Agents'!H728+"h_l!'g="</f>
        <v>#VALUE!</v>
      </c>
      <c r="IF146" t="e">
        <f>'Compiled Agents'!A729+"h_l!'g&gt;"</f>
        <v>#VALUE!</v>
      </c>
      <c r="IG146" t="e">
        <f>'Compiled Agents'!B729+"h_l!'g?"</f>
        <v>#VALUE!</v>
      </c>
      <c r="IH146" t="e">
        <f>'Compiled Agents'!C729+"h_l!'g@"</f>
        <v>#VALUE!</v>
      </c>
      <c r="II146" t="e">
        <f>'Compiled Agents'!E729+"h_l!'gA"</f>
        <v>#VALUE!</v>
      </c>
      <c r="IJ146" t="e">
        <f>'Compiled Agents'!F729+"h_l!'gB"</f>
        <v>#VALUE!</v>
      </c>
      <c r="IK146" t="e">
        <f>'Compiled Agents'!G729+"h_l!'gC"</f>
        <v>#VALUE!</v>
      </c>
      <c r="IL146" t="e">
        <f>'Compiled Agents'!H729+"h_l!'gD"</f>
        <v>#VALUE!</v>
      </c>
      <c r="IM146" t="e">
        <f>'Compiled Agents'!A730+"h_l!'gE"</f>
        <v>#VALUE!</v>
      </c>
      <c r="IN146" t="e">
        <f>'Compiled Agents'!B730+"h_l!'gF"</f>
        <v>#VALUE!</v>
      </c>
      <c r="IO146" t="e">
        <f>'Compiled Agents'!C730+"h_l!'gG"</f>
        <v>#VALUE!</v>
      </c>
      <c r="IP146" t="e">
        <f>'Compiled Agents'!E730+"h_l!'gH"</f>
        <v>#VALUE!</v>
      </c>
      <c r="IQ146" t="e">
        <f>'Compiled Agents'!F730+"h_l!'gI"</f>
        <v>#VALUE!</v>
      </c>
      <c r="IR146" t="e">
        <f>'Compiled Agents'!G730+"h_l!'gJ"</f>
        <v>#VALUE!</v>
      </c>
      <c r="IS146" t="e">
        <f>'Compiled Agents'!H730+"h_l!'gK"</f>
        <v>#VALUE!</v>
      </c>
      <c r="IT146" t="e">
        <f>'Compiled Agents'!A731+"h_l!'gL"</f>
        <v>#VALUE!</v>
      </c>
      <c r="IU146" t="e">
        <f>'Compiled Agents'!B731+"h_l!'gM"</f>
        <v>#VALUE!</v>
      </c>
      <c r="IV146" t="e">
        <f>'Compiled Agents'!C731+"h_l!'gN"</f>
        <v>#VALUE!</v>
      </c>
    </row>
    <row r="147" spans="6:256" x14ac:dyDescent="0.25">
      <c r="F147" t="e">
        <f>'Compiled Agents'!E731+"h_l!'gO"</f>
        <v>#VALUE!</v>
      </c>
      <c r="G147" t="e">
        <f>'Compiled Agents'!F731+"h_l!'gP"</f>
        <v>#VALUE!</v>
      </c>
      <c r="H147" t="e">
        <f>'Compiled Agents'!G731+"h_l!'gQ"</f>
        <v>#VALUE!</v>
      </c>
      <c r="I147" t="e">
        <f>'Compiled Agents'!H731+"h_l!'gR"</f>
        <v>#VALUE!</v>
      </c>
      <c r="J147" t="e">
        <f>'Compiled Agents'!A732+"h_l!'gS"</f>
        <v>#VALUE!</v>
      </c>
      <c r="K147" t="e">
        <f>'Compiled Agents'!B732+"h_l!'gT"</f>
        <v>#VALUE!</v>
      </c>
      <c r="L147" t="e">
        <f>'Compiled Agents'!C732+"h_l!'gU"</f>
        <v>#VALUE!</v>
      </c>
      <c r="M147" t="e">
        <f>'Compiled Agents'!E732+"h_l!'gV"</f>
        <v>#VALUE!</v>
      </c>
      <c r="N147" t="e">
        <f>'Compiled Agents'!F732+"h_l!'gW"</f>
        <v>#VALUE!</v>
      </c>
      <c r="O147" t="e">
        <f>'Compiled Agents'!G732+"h_l!'gX"</f>
        <v>#VALUE!</v>
      </c>
      <c r="P147" t="e">
        <f>'Compiled Agents'!H732+"h_l!'gY"</f>
        <v>#VALUE!</v>
      </c>
      <c r="Q147" t="e">
        <f>'Compiled Agents'!A733+"h_l!'gZ"</f>
        <v>#VALUE!</v>
      </c>
      <c r="R147" t="e">
        <f>'Compiled Agents'!B733+"h_l!'g["</f>
        <v>#VALUE!</v>
      </c>
      <c r="S147" t="e">
        <f>'Compiled Agents'!C733+"h_l!'g\"</f>
        <v>#VALUE!</v>
      </c>
      <c r="T147" t="e">
        <f>'Compiled Agents'!E733+"h_l!'g]"</f>
        <v>#VALUE!</v>
      </c>
      <c r="U147" t="e">
        <f>'Compiled Agents'!F733+"h_l!'g^"</f>
        <v>#VALUE!</v>
      </c>
      <c r="V147" t="e">
        <f>'Compiled Agents'!G733+"h_l!'g_"</f>
        <v>#VALUE!</v>
      </c>
      <c r="W147" t="e">
        <f>'Compiled Agents'!H733+"h_l!'g`"</f>
        <v>#VALUE!</v>
      </c>
      <c r="X147" t="e">
        <f>'Compiled Agents'!A734+"h_l!'ga"</f>
        <v>#VALUE!</v>
      </c>
      <c r="Y147" t="e">
        <f>'Compiled Agents'!B734+"h_l!'gb"</f>
        <v>#VALUE!</v>
      </c>
      <c r="Z147" t="e">
        <f>'Compiled Agents'!C734+"h_l!'gc"</f>
        <v>#VALUE!</v>
      </c>
      <c r="AA147" t="e">
        <f>'Compiled Agents'!E734+"h_l!'gd"</f>
        <v>#VALUE!</v>
      </c>
      <c r="AB147" t="e">
        <f>'Compiled Agents'!F734+"h_l!'ge"</f>
        <v>#VALUE!</v>
      </c>
      <c r="AC147" t="e">
        <f>'Compiled Agents'!G734+"h_l!'gf"</f>
        <v>#VALUE!</v>
      </c>
      <c r="AD147" t="e">
        <f>'Compiled Agents'!H734+"h_l!'gg"</f>
        <v>#VALUE!</v>
      </c>
      <c r="AE147" t="e">
        <f>'Compiled Agents'!A735+"h_l!'gh"</f>
        <v>#VALUE!</v>
      </c>
      <c r="AF147" t="e">
        <f>'Compiled Agents'!B735+"h_l!'gi"</f>
        <v>#VALUE!</v>
      </c>
      <c r="AG147" t="e">
        <f>'Compiled Agents'!C735+"h_l!'gj"</f>
        <v>#VALUE!</v>
      </c>
      <c r="AH147" t="e">
        <f>'Compiled Agents'!E735+"h_l!'gk"</f>
        <v>#VALUE!</v>
      </c>
      <c r="AI147" t="e">
        <f>'Compiled Agents'!F735+"h_l!'gl"</f>
        <v>#VALUE!</v>
      </c>
      <c r="AJ147" t="e">
        <f>'Compiled Agents'!G735+"h_l!'gm"</f>
        <v>#VALUE!</v>
      </c>
      <c r="AK147" t="e">
        <f>'Compiled Agents'!H735+"h_l!'gn"</f>
        <v>#VALUE!</v>
      </c>
      <c r="AL147" t="e">
        <f>'Compiled Agents'!A736+"h_l!'go"</f>
        <v>#VALUE!</v>
      </c>
      <c r="AM147" t="e">
        <f>'Compiled Agents'!B736+"h_l!'gp"</f>
        <v>#VALUE!</v>
      </c>
      <c r="AN147" t="e">
        <f>'Compiled Agents'!C736+"h_l!'gq"</f>
        <v>#VALUE!</v>
      </c>
      <c r="AO147" t="e">
        <f>'Compiled Agents'!E736+"h_l!'gr"</f>
        <v>#VALUE!</v>
      </c>
      <c r="AP147" t="e">
        <f>'Compiled Agents'!F736+"h_l!'gs"</f>
        <v>#VALUE!</v>
      </c>
      <c r="AQ147" t="e">
        <f>'Compiled Agents'!G736+"h_l!'gt"</f>
        <v>#VALUE!</v>
      </c>
      <c r="AR147" t="e">
        <f>'Compiled Agents'!H736+"h_l!'gu"</f>
        <v>#VALUE!</v>
      </c>
      <c r="AS147" t="e">
        <f>'Compiled Agents'!A737+"h_l!'gv"</f>
        <v>#VALUE!</v>
      </c>
      <c r="AT147" t="e">
        <f>'Compiled Agents'!B737+"h_l!'gw"</f>
        <v>#VALUE!</v>
      </c>
      <c r="AU147" t="e">
        <f>'Compiled Agents'!C737+"h_l!'gx"</f>
        <v>#VALUE!</v>
      </c>
      <c r="AV147" t="e">
        <f>'Compiled Agents'!E737+"h_l!'gy"</f>
        <v>#VALUE!</v>
      </c>
      <c r="AW147" t="e">
        <f>'Compiled Agents'!F737+"h_l!'gz"</f>
        <v>#VALUE!</v>
      </c>
      <c r="AX147" t="e">
        <f>'Compiled Agents'!G737+"h_l!'g{"</f>
        <v>#VALUE!</v>
      </c>
      <c r="AY147" t="e">
        <f>'Compiled Agents'!H737+"h_l!'g|"</f>
        <v>#VALUE!</v>
      </c>
      <c r="AZ147" t="e">
        <f>'Compiled Agents'!A738+"h_l!'g}"</f>
        <v>#VALUE!</v>
      </c>
      <c r="BA147" t="e">
        <f>'Compiled Agents'!B738+"h_l!'g~"</f>
        <v>#VALUE!</v>
      </c>
      <c r="BB147" t="e">
        <f>'Compiled Agents'!C738+"h_l!'h#"</f>
        <v>#VALUE!</v>
      </c>
      <c r="BC147" t="e">
        <f>'Compiled Agents'!E738+"h_l!'h$"</f>
        <v>#VALUE!</v>
      </c>
      <c r="BD147" t="e">
        <f>'Compiled Agents'!F738+"h_l!'h%"</f>
        <v>#VALUE!</v>
      </c>
      <c r="BE147" t="e">
        <f>'Compiled Agents'!G738+"h_l!'h&amp;"</f>
        <v>#VALUE!</v>
      </c>
      <c r="BF147" t="e">
        <f>'Compiled Agents'!H738+"h_l!'h'"</f>
        <v>#VALUE!</v>
      </c>
      <c r="BG147" t="e">
        <f>'Compiled Agents'!A739+"h_l!'h("</f>
        <v>#VALUE!</v>
      </c>
      <c r="BH147" t="e">
        <f>'Compiled Agents'!B739+"h_l!'h)"</f>
        <v>#VALUE!</v>
      </c>
      <c r="BI147" t="e">
        <f>'Compiled Agents'!C739+"h_l!'h."</f>
        <v>#VALUE!</v>
      </c>
      <c r="BJ147" t="e">
        <f>'Compiled Agents'!E739+"h_l!'h/"</f>
        <v>#VALUE!</v>
      </c>
      <c r="BK147" t="e">
        <f>'Compiled Agents'!F739+"h_l!'h0"</f>
        <v>#VALUE!</v>
      </c>
      <c r="BL147" t="e">
        <f>'Compiled Agents'!G739+"h_l!'h1"</f>
        <v>#VALUE!</v>
      </c>
      <c r="BM147" t="e">
        <f>'Compiled Agents'!H739+"h_l!'h2"</f>
        <v>#VALUE!</v>
      </c>
      <c r="BN147" t="e">
        <f>'Compiled Agents'!A740+"h_l!'h3"</f>
        <v>#VALUE!</v>
      </c>
      <c r="BO147" t="e">
        <f>'Compiled Agents'!B740+"h_l!'h4"</f>
        <v>#VALUE!</v>
      </c>
      <c r="BP147" t="e">
        <f>'Compiled Agents'!C740+"h_l!'h5"</f>
        <v>#VALUE!</v>
      </c>
      <c r="BQ147" t="e">
        <f>'Compiled Agents'!E740+"h_l!'h6"</f>
        <v>#VALUE!</v>
      </c>
      <c r="BR147" t="e">
        <f>'Compiled Agents'!F740+"h_l!'h7"</f>
        <v>#VALUE!</v>
      </c>
      <c r="BS147" t="e">
        <f>'Compiled Agents'!G740+"h_l!'h8"</f>
        <v>#VALUE!</v>
      </c>
      <c r="BT147" t="e">
        <f>'Compiled Agents'!H740+"h_l!'h9"</f>
        <v>#VALUE!</v>
      </c>
      <c r="BU147" t="e">
        <f>'Compiled Agents'!A741+"h_l!'h:"</f>
        <v>#VALUE!</v>
      </c>
      <c r="BV147" t="e">
        <f>'Compiled Agents'!B741+"h_l!'h;"</f>
        <v>#VALUE!</v>
      </c>
      <c r="BW147" t="e">
        <f>'Compiled Agents'!C741+"h_l!'h&lt;"</f>
        <v>#VALUE!</v>
      </c>
      <c r="BX147" t="e">
        <f>'Compiled Agents'!E741+"h_l!'h="</f>
        <v>#VALUE!</v>
      </c>
      <c r="BY147" t="e">
        <f>'Compiled Agents'!F741+"h_l!'h&gt;"</f>
        <v>#VALUE!</v>
      </c>
      <c r="BZ147" t="e">
        <f>'Compiled Agents'!G741+"h_l!'h?"</f>
        <v>#VALUE!</v>
      </c>
      <c r="CA147" t="e">
        <f>'Compiled Agents'!H741+"h_l!'h@"</f>
        <v>#VALUE!</v>
      </c>
      <c r="CB147" t="e">
        <f>'Compiled Agents'!A742+"h_l!'hA"</f>
        <v>#VALUE!</v>
      </c>
      <c r="CC147" t="e">
        <f>'Compiled Agents'!B742+"h_l!'hB"</f>
        <v>#VALUE!</v>
      </c>
      <c r="CD147" t="e">
        <f>'Compiled Agents'!C742+"h_l!'hC"</f>
        <v>#VALUE!</v>
      </c>
      <c r="CE147" t="e">
        <f>'Compiled Agents'!E742+"h_l!'hD"</f>
        <v>#VALUE!</v>
      </c>
      <c r="CF147" t="e">
        <f>'Compiled Agents'!F742+"h_l!'hE"</f>
        <v>#VALUE!</v>
      </c>
      <c r="CG147" t="e">
        <f>'Compiled Agents'!G742+"h_l!'hF"</f>
        <v>#VALUE!</v>
      </c>
      <c r="CH147" t="e">
        <f>'Compiled Agents'!H742+"h_l!'hG"</f>
        <v>#VALUE!</v>
      </c>
      <c r="CI147" t="e">
        <f>'Compiled Agents'!A743+"h_l!'hH"</f>
        <v>#VALUE!</v>
      </c>
      <c r="CJ147" t="e">
        <f>'Compiled Agents'!B743+"h_l!'hI"</f>
        <v>#VALUE!</v>
      </c>
      <c r="CK147" t="e">
        <f>'Compiled Agents'!C743+"h_l!'hJ"</f>
        <v>#VALUE!</v>
      </c>
      <c r="CL147" t="e">
        <f>'Compiled Agents'!E743+"h_l!'hK"</f>
        <v>#VALUE!</v>
      </c>
      <c r="CM147" t="e">
        <f>'Compiled Agents'!F743+"h_l!'hL"</f>
        <v>#VALUE!</v>
      </c>
      <c r="CN147" t="e">
        <f>'Compiled Agents'!G743+"h_l!'hM"</f>
        <v>#VALUE!</v>
      </c>
      <c r="CO147" t="e">
        <f>'Compiled Agents'!H743+"h_l!'hN"</f>
        <v>#VALUE!</v>
      </c>
      <c r="CP147" t="e">
        <f>'Compiled Agents'!A744+"h_l!'hO"</f>
        <v>#VALUE!</v>
      </c>
      <c r="CQ147" t="e">
        <f>'Compiled Agents'!B744+"h_l!'hP"</f>
        <v>#VALUE!</v>
      </c>
      <c r="CR147" t="e">
        <f>'Compiled Agents'!C744+"h_l!'hQ"</f>
        <v>#VALUE!</v>
      </c>
      <c r="CS147" t="e">
        <f>'Compiled Agents'!E744+"h_l!'hR"</f>
        <v>#VALUE!</v>
      </c>
      <c r="CT147" t="e">
        <f>'Compiled Agents'!F744+"h_l!'hS"</f>
        <v>#VALUE!</v>
      </c>
      <c r="CU147" t="e">
        <f>'Compiled Agents'!G744+"h_l!'hT"</f>
        <v>#VALUE!</v>
      </c>
      <c r="CV147" t="e">
        <f>'Compiled Agents'!H744+"h_l!'hU"</f>
        <v>#VALUE!</v>
      </c>
      <c r="CW147" t="e">
        <f>'Compiled Agents'!A745+"h_l!'hV"</f>
        <v>#VALUE!</v>
      </c>
      <c r="CX147" t="e">
        <f>'Compiled Agents'!B745+"h_l!'hW"</f>
        <v>#VALUE!</v>
      </c>
      <c r="CY147" t="e">
        <f>'Compiled Agents'!C745+"h_l!'hX"</f>
        <v>#VALUE!</v>
      </c>
      <c r="CZ147" t="e">
        <f>'Compiled Agents'!E745+"h_l!'hY"</f>
        <v>#VALUE!</v>
      </c>
      <c r="DA147" t="e">
        <f>'Compiled Agents'!F745+"h_l!'hZ"</f>
        <v>#VALUE!</v>
      </c>
      <c r="DB147" t="e">
        <f>'Compiled Agents'!G745+"h_l!'h["</f>
        <v>#VALUE!</v>
      </c>
      <c r="DC147" t="e">
        <f>'Compiled Agents'!H745+"h_l!'h\"</f>
        <v>#VALUE!</v>
      </c>
      <c r="DD147" t="e">
        <f>'Compiled Agents'!A746+"h_l!'h]"</f>
        <v>#VALUE!</v>
      </c>
      <c r="DE147" t="e">
        <f>'Compiled Agents'!B746+"h_l!'h^"</f>
        <v>#VALUE!</v>
      </c>
      <c r="DF147" t="e">
        <f>'Compiled Agents'!C746+"h_l!'h_"</f>
        <v>#VALUE!</v>
      </c>
      <c r="DG147" t="e">
        <f>'Compiled Agents'!E746+"h_l!'h`"</f>
        <v>#VALUE!</v>
      </c>
      <c r="DH147" t="e">
        <f>'Compiled Agents'!F746+"h_l!'ha"</f>
        <v>#VALUE!</v>
      </c>
      <c r="DI147" t="e">
        <f>'Compiled Agents'!G746+"h_l!'hb"</f>
        <v>#VALUE!</v>
      </c>
      <c r="DJ147" t="e">
        <f>'Compiled Agents'!H746+"h_l!'hc"</f>
        <v>#VALUE!</v>
      </c>
      <c r="DK147" t="e">
        <f>'Compiled Agents'!A747+"h_l!'hd"</f>
        <v>#VALUE!</v>
      </c>
      <c r="DL147" t="e">
        <f>'Compiled Agents'!B747+"h_l!'he"</f>
        <v>#VALUE!</v>
      </c>
      <c r="DM147" t="e">
        <f>'Compiled Agents'!C747+"h_l!'hf"</f>
        <v>#VALUE!</v>
      </c>
      <c r="DN147" t="e">
        <f>'Compiled Agents'!E747+"h_l!'hg"</f>
        <v>#VALUE!</v>
      </c>
      <c r="DO147" t="e">
        <f>'Compiled Agents'!F747+"h_l!'hh"</f>
        <v>#VALUE!</v>
      </c>
      <c r="DP147" t="e">
        <f>'Compiled Agents'!G747+"h_l!'hi"</f>
        <v>#VALUE!</v>
      </c>
      <c r="DQ147" t="e">
        <f>'Compiled Agents'!H747+"h_l!'hj"</f>
        <v>#VALUE!</v>
      </c>
      <c r="DR147" t="e">
        <f>'Compiled Agents'!A748+"h_l!'hk"</f>
        <v>#VALUE!</v>
      </c>
      <c r="DS147" t="e">
        <f>'Compiled Agents'!B748+"h_l!'hl"</f>
        <v>#VALUE!</v>
      </c>
      <c r="DT147" t="e">
        <f>'Compiled Agents'!C748+"h_l!'hm"</f>
        <v>#VALUE!</v>
      </c>
      <c r="DU147" t="e">
        <f>'Compiled Agents'!E748+"h_l!'hn"</f>
        <v>#VALUE!</v>
      </c>
      <c r="DV147" t="e">
        <f>'Compiled Agents'!F748+"h_l!'ho"</f>
        <v>#VALUE!</v>
      </c>
      <c r="DW147" t="e">
        <f>'Compiled Agents'!G748+"h_l!'hp"</f>
        <v>#VALUE!</v>
      </c>
      <c r="DX147" t="e">
        <f>'Compiled Agents'!H748+"h_l!'hq"</f>
        <v>#VALUE!</v>
      </c>
      <c r="DY147" t="e">
        <f>'Compiled Agents'!A749+"h_l!'hr"</f>
        <v>#VALUE!</v>
      </c>
      <c r="DZ147" t="e">
        <f>'Compiled Agents'!B749+"h_l!'hs"</f>
        <v>#VALUE!</v>
      </c>
      <c r="EA147" t="e">
        <f>'Compiled Agents'!C749+"h_l!'ht"</f>
        <v>#VALUE!</v>
      </c>
      <c r="EB147" t="e">
        <f>'Compiled Agents'!E749+"h_l!'hu"</f>
        <v>#VALUE!</v>
      </c>
      <c r="EC147" t="e">
        <f>'Compiled Agents'!F749+"h_l!'hv"</f>
        <v>#VALUE!</v>
      </c>
      <c r="ED147" t="e">
        <f>'Compiled Agents'!G749+"h_l!'hw"</f>
        <v>#VALUE!</v>
      </c>
      <c r="EE147" t="e">
        <f>'Compiled Agents'!H749+"h_l!'hx"</f>
        <v>#VALUE!</v>
      </c>
      <c r="EF147" t="e">
        <f>'Compiled Agents'!A750+"h_l!'hy"</f>
        <v>#VALUE!</v>
      </c>
      <c r="EG147" t="e">
        <f>'Compiled Agents'!B750+"h_l!'hz"</f>
        <v>#VALUE!</v>
      </c>
      <c r="EH147" t="e">
        <f>'Compiled Agents'!C750+"h_l!'h{"</f>
        <v>#VALUE!</v>
      </c>
      <c r="EI147" t="e">
        <f>'Compiled Agents'!E750+"h_l!'h|"</f>
        <v>#VALUE!</v>
      </c>
      <c r="EJ147" t="e">
        <f>'Compiled Agents'!F750+"h_l!'h}"</f>
        <v>#VALUE!</v>
      </c>
      <c r="EK147" t="e">
        <f>'Compiled Agents'!G750+"h_l!'h~"</f>
        <v>#VALUE!</v>
      </c>
      <c r="EL147" t="e">
        <f>'Compiled Agents'!H750+"h_l!'i#"</f>
        <v>#VALUE!</v>
      </c>
      <c r="EM147" t="e">
        <f>'Compiled Agents'!A751+"h_l!'i$"</f>
        <v>#VALUE!</v>
      </c>
      <c r="EN147" t="e">
        <f>'Compiled Agents'!B751+"h_l!'i%"</f>
        <v>#VALUE!</v>
      </c>
      <c r="EO147" t="e">
        <f>'Compiled Agents'!C751+"h_l!'i&amp;"</f>
        <v>#VALUE!</v>
      </c>
      <c r="EP147" t="e">
        <f>'Compiled Agents'!E751+"h_l!'i'"</f>
        <v>#VALUE!</v>
      </c>
      <c r="EQ147" t="e">
        <f>'Compiled Agents'!F751+"h_l!'i("</f>
        <v>#VALUE!</v>
      </c>
      <c r="ER147" t="e">
        <f>'Compiled Agents'!G751+"h_l!'i)"</f>
        <v>#VALUE!</v>
      </c>
      <c r="ES147" t="e">
        <f>'Compiled Agents'!H751+"h_l!'i."</f>
        <v>#VALUE!</v>
      </c>
      <c r="ET147" t="e">
        <f>'Compiled Agents'!A752+"h_l!'i/"</f>
        <v>#VALUE!</v>
      </c>
      <c r="EU147" t="e">
        <f>'Compiled Agents'!B752+"h_l!'i0"</f>
        <v>#VALUE!</v>
      </c>
      <c r="EV147" t="e">
        <f>'Compiled Agents'!C752+"h_l!'i1"</f>
        <v>#VALUE!</v>
      </c>
      <c r="EW147" t="e">
        <f>'Compiled Agents'!E752+"h_l!'i2"</f>
        <v>#VALUE!</v>
      </c>
      <c r="EX147" t="e">
        <f>'Compiled Agents'!F752+"h_l!'i3"</f>
        <v>#VALUE!</v>
      </c>
      <c r="EY147" t="e">
        <f>'Compiled Agents'!G752+"h_l!'i4"</f>
        <v>#VALUE!</v>
      </c>
      <c r="EZ147" t="e">
        <f>'Compiled Agents'!H752+"h_l!'i5"</f>
        <v>#VALUE!</v>
      </c>
      <c r="FA147" t="e">
        <f>'Compiled Agents'!A753+"h_l!'i6"</f>
        <v>#VALUE!</v>
      </c>
      <c r="FB147" t="e">
        <f>'Compiled Agents'!B753+"h_l!'i7"</f>
        <v>#VALUE!</v>
      </c>
      <c r="FC147" t="e">
        <f>'Compiled Agents'!C753+"h_l!'i8"</f>
        <v>#VALUE!</v>
      </c>
      <c r="FD147" t="e">
        <f>'Compiled Agents'!E753+"h_l!'i9"</f>
        <v>#VALUE!</v>
      </c>
      <c r="FE147" t="e">
        <f>'Compiled Agents'!F753+"h_l!'i:"</f>
        <v>#VALUE!</v>
      </c>
      <c r="FF147" t="e">
        <f>'Compiled Agents'!G753+"h_l!'i;"</f>
        <v>#VALUE!</v>
      </c>
      <c r="FG147" t="e">
        <f>'Compiled Agents'!H753+"h_l!'i&lt;"</f>
        <v>#VALUE!</v>
      </c>
      <c r="FH147" t="e">
        <f>'Compiled Agents'!A754+"h_l!'i="</f>
        <v>#VALUE!</v>
      </c>
      <c r="FI147" t="e">
        <f>'Compiled Agents'!B754+"h_l!'i&gt;"</f>
        <v>#VALUE!</v>
      </c>
      <c r="FJ147" t="e">
        <f>'Compiled Agents'!C754+"h_l!'i?"</f>
        <v>#VALUE!</v>
      </c>
      <c r="FK147" t="e">
        <f>'Compiled Agents'!E754+"h_l!'i@"</f>
        <v>#VALUE!</v>
      </c>
      <c r="FL147" t="e">
        <f>'Compiled Agents'!F754+"h_l!'iA"</f>
        <v>#VALUE!</v>
      </c>
      <c r="FM147" t="e">
        <f>'Compiled Agents'!G754+"h_l!'iB"</f>
        <v>#VALUE!</v>
      </c>
      <c r="FN147" t="e">
        <f>'Compiled Agents'!H754+"h_l!'iC"</f>
        <v>#VALUE!</v>
      </c>
      <c r="FO147" t="e">
        <f>'Compiled Agents'!A755+"h_l!'iD"</f>
        <v>#VALUE!</v>
      </c>
      <c r="FP147" t="e">
        <f>'Compiled Agents'!B755+"h_l!'iE"</f>
        <v>#VALUE!</v>
      </c>
      <c r="FQ147" t="e">
        <f>'Compiled Agents'!C755+"h_l!'iF"</f>
        <v>#VALUE!</v>
      </c>
      <c r="FR147" t="e">
        <f>'Compiled Agents'!E755+"h_l!'iG"</f>
        <v>#VALUE!</v>
      </c>
      <c r="FS147" t="e">
        <f>'Compiled Agents'!F755+"h_l!'iH"</f>
        <v>#VALUE!</v>
      </c>
      <c r="FT147" t="e">
        <f>'Compiled Agents'!G755+"h_l!'iI"</f>
        <v>#VALUE!</v>
      </c>
      <c r="FU147" t="e">
        <f>'Compiled Agents'!H755+"h_l!'iJ"</f>
        <v>#VALUE!</v>
      </c>
      <c r="FV147" t="e">
        <f>'Compiled Agents'!A756+"h_l!'iK"</f>
        <v>#VALUE!</v>
      </c>
      <c r="FW147" t="e">
        <f>'Compiled Agents'!B756+"h_l!'iL"</f>
        <v>#VALUE!</v>
      </c>
      <c r="FX147" t="e">
        <f>'Compiled Agents'!C756+"h_l!'iM"</f>
        <v>#VALUE!</v>
      </c>
      <c r="FY147" t="e">
        <f>'Compiled Agents'!E756+"h_l!'iN"</f>
        <v>#VALUE!</v>
      </c>
      <c r="FZ147" t="e">
        <f>'Compiled Agents'!F756+"h_l!'iO"</f>
        <v>#VALUE!</v>
      </c>
      <c r="GA147" t="e">
        <f>'Compiled Agents'!G756+"h_l!'iP"</f>
        <v>#VALUE!</v>
      </c>
      <c r="GB147" t="e">
        <f>'Compiled Agents'!H756+"h_l!'iQ"</f>
        <v>#VALUE!</v>
      </c>
      <c r="GC147" t="e">
        <f>'Compiled Agents'!A757+"h_l!'iR"</f>
        <v>#VALUE!</v>
      </c>
      <c r="GD147" t="e">
        <f>'Compiled Agents'!B757+"h_l!'iS"</f>
        <v>#VALUE!</v>
      </c>
      <c r="GE147" t="e">
        <f>'Compiled Agents'!C757+"h_l!'iT"</f>
        <v>#VALUE!</v>
      </c>
      <c r="GF147" t="e">
        <f>'Compiled Agents'!E757+"h_l!'iU"</f>
        <v>#VALUE!</v>
      </c>
      <c r="GG147" t="e">
        <f>'Compiled Agents'!F757+"h_l!'iV"</f>
        <v>#VALUE!</v>
      </c>
      <c r="GH147" t="e">
        <f>'Compiled Agents'!G757+"h_l!'iW"</f>
        <v>#VALUE!</v>
      </c>
      <c r="GI147" t="e">
        <f>'Compiled Agents'!H757+"h_l!'iX"</f>
        <v>#VALUE!</v>
      </c>
      <c r="GJ147" t="e">
        <f>'Compiled Agents'!A758+"h_l!'iY"</f>
        <v>#VALUE!</v>
      </c>
      <c r="GK147" t="e">
        <f>'Compiled Agents'!B758+"h_l!'iZ"</f>
        <v>#VALUE!</v>
      </c>
      <c r="GL147" t="e">
        <f>'Compiled Agents'!C758+"h_l!'i["</f>
        <v>#VALUE!</v>
      </c>
      <c r="GM147" t="e">
        <f>'Compiled Agents'!E758+"h_l!'i\"</f>
        <v>#VALUE!</v>
      </c>
      <c r="GN147" t="e">
        <f>'Compiled Agents'!F758+"h_l!'i]"</f>
        <v>#VALUE!</v>
      </c>
      <c r="GO147" t="e">
        <f>'Compiled Agents'!G758+"h_l!'i^"</f>
        <v>#VALUE!</v>
      </c>
      <c r="GP147" t="e">
        <f>'Compiled Agents'!H758+"h_l!'i_"</f>
        <v>#VALUE!</v>
      </c>
      <c r="GQ147" t="e">
        <f>'Compiled Agents'!A759+"h_l!'i`"</f>
        <v>#VALUE!</v>
      </c>
      <c r="GR147" t="e">
        <f>'Compiled Agents'!B759+"h_l!'ia"</f>
        <v>#VALUE!</v>
      </c>
      <c r="GS147" t="e">
        <f>'Compiled Agents'!C759+"h_l!'ib"</f>
        <v>#VALUE!</v>
      </c>
      <c r="GT147" t="e">
        <f>'Compiled Agents'!E759+"h_l!'ic"</f>
        <v>#VALUE!</v>
      </c>
      <c r="GU147" t="e">
        <f>'Compiled Agents'!F759+"h_l!'id"</f>
        <v>#VALUE!</v>
      </c>
      <c r="GV147" t="e">
        <f>'Compiled Agents'!G759+"h_l!'ie"</f>
        <v>#VALUE!</v>
      </c>
      <c r="GW147" t="e">
        <f>'Compiled Agents'!H759+"h_l!'if"</f>
        <v>#VALUE!</v>
      </c>
      <c r="GX147" t="e">
        <f>'Compiled Agents'!A760+"h_l!'ig"</f>
        <v>#VALUE!</v>
      </c>
      <c r="GY147" t="e">
        <f>'Compiled Agents'!B760+"h_l!'ih"</f>
        <v>#VALUE!</v>
      </c>
      <c r="GZ147" t="e">
        <f>'Compiled Agents'!C760+"h_l!'ii"</f>
        <v>#VALUE!</v>
      </c>
      <c r="HA147" t="e">
        <f>'Compiled Agents'!E760+"h_l!'ij"</f>
        <v>#VALUE!</v>
      </c>
      <c r="HB147" t="e">
        <f>'Compiled Agents'!F760+"h_l!'ik"</f>
        <v>#VALUE!</v>
      </c>
      <c r="HC147" t="e">
        <f>'Compiled Agents'!G760+"h_l!'il"</f>
        <v>#VALUE!</v>
      </c>
      <c r="HD147" t="e">
        <f>'Compiled Agents'!H760+"h_l!'im"</f>
        <v>#VALUE!</v>
      </c>
      <c r="HE147" t="e">
        <f>'Compiled Agents'!A761+"h_l!'in"</f>
        <v>#VALUE!</v>
      </c>
      <c r="HF147" t="e">
        <f>'Compiled Agents'!B761+"h_l!'io"</f>
        <v>#VALUE!</v>
      </c>
      <c r="HG147" t="e">
        <f>'Compiled Agents'!C761+"h_l!'ip"</f>
        <v>#VALUE!</v>
      </c>
      <c r="HH147" t="e">
        <f>'Compiled Agents'!E761+"h_l!'iq"</f>
        <v>#VALUE!</v>
      </c>
      <c r="HI147" t="e">
        <f>'Compiled Agents'!F761+"h_l!'ir"</f>
        <v>#VALUE!</v>
      </c>
      <c r="HJ147" t="e">
        <f>'Compiled Agents'!G761+"h_l!'is"</f>
        <v>#VALUE!</v>
      </c>
      <c r="HK147" t="e">
        <f>'Compiled Agents'!H761+"h_l!'it"</f>
        <v>#VALUE!</v>
      </c>
      <c r="HL147" t="e">
        <f>'Compiled Agents'!A762+"h_l!'iu"</f>
        <v>#VALUE!</v>
      </c>
      <c r="HM147" t="e">
        <f>'Compiled Agents'!B762+"h_l!'iv"</f>
        <v>#VALUE!</v>
      </c>
      <c r="HN147" t="e">
        <f>'Compiled Agents'!C762+"h_l!'iw"</f>
        <v>#VALUE!</v>
      </c>
      <c r="HO147" t="e">
        <f>'Compiled Agents'!E762+"h_l!'ix"</f>
        <v>#VALUE!</v>
      </c>
      <c r="HP147" t="e">
        <f>'Compiled Agents'!F762+"h_l!'iy"</f>
        <v>#VALUE!</v>
      </c>
      <c r="HQ147" t="e">
        <f>'Compiled Agents'!G762+"h_l!'iz"</f>
        <v>#VALUE!</v>
      </c>
      <c r="HR147" t="e">
        <f>'Compiled Agents'!H762+"h_l!'i{"</f>
        <v>#VALUE!</v>
      </c>
      <c r="HS147" t="e">
        <f>'Compiled Agents'!A763+"h_l!'i|"</f>
        <v>#VALUE!</v>
      </c>
      <c r="HT147" t="e">
        <f>'Compiled Agents'!B763+"h_l!'i}"</f>
        <v>#VALUE!</v>
      </c>
      <c r="HU147" t="e">
        <f>'Compiled Agents'!C763+"h_l!'i~"</f>
        <v>#VALUE!</v>
      </c>
      <c r="HV147" t="e">
        <f>'Compiled Agents'!E763+"h_l!'j#"</f>
        <v>#VALUE!</v>
      </c>
      <c r="HW147" t="e">
        <f>'Compiled Agents'!F763+"h_l!'j$"</f>
        <v>#VALUE!</v>
      </c>
      <c r="HX147" t="e">
        <f>'Compiled Agents'!G763+"h_l!'j%"</f>
        <v>#VALUE!</v>
      </c>
      <c r="HY147" t="e">
        <f>'Compiled Agents'!H763+"h_l!'j&amp;"</f>
        <v>#VALUE!</v>
      </c>
      <c r="HZ147" t="e">
        <f>'Compiled Agents'!A764+"h_l!'j'"</f>
        <v>#VALUE!</v>
      </c>
      <c r="IA147" t="e">
        <f>'Compiled Agents'!B764+"h_l!'j("</f>
        <v>#VALUE!</v>
      </c>
      <c r="IB147" t="e">
        <f>'Compiled Agents'!C764+"h_l!'j)"</f>
        <v>#VALUE!</v>
      </c>
      <c r="IC147" t="e">
        <f>'Compiled Agents'!E764+"h_l!'j."</f>
        <v>#VALUE!</v>
      </c>
      <c r="ID147" t="e">
        <f>'Compiled Agents'!F764+"h_l!'j/"</f>
        <v>#VALUE!</v>
      </c>
      <c r="IE147" t="e">
        <f>'Compiled Agents'!G764+"h_l!'j0"</f>
        <v>#VALUE!</v>
      </c>
      <c r="IF147" t="e">
        <f>'Compiled Agents'!H764+"h_l!'j1"</f>
        <v>#VALUE!</v>
      </c>
      <c r="IG147" t="e">
        <f>'Compiled Agents'!A765+"h_l!'j2"</f>
        <v>#VALUE!</v>
      </c>
      <c r="IH147" t="e">
        <f>'Compiled Agents'!B765+"h_l!'j3"</f>
        <v>#VALUE!</v>
      </c>
      <c r="II147" t="e">
        <f>'Compiled Agents'!C765+"h_l!'j4"</f>
        <v>#VALUE!</v>
      </c>
      <c r="IJ147" t="e">
        <f>'Compiled Agents'!E765+"h_l!'j5"</f>
        <v>#VALUE!</v>
      </c>
      <c r="IK147" t="e">
        <f>'Compiled Agents'!F765+"h_l!'j6"</f>
        <v>#VALUE!</v>
      </c>
      <c r="IL147" t="e">
        <f>'Compiled Agents'!G765+"h_l!'j7"</f>
        <v>#VALUE!</v>
      </c>
      <c r="IM147" t="e">
        <f>'Compiled Agents'!H765+"h_l!'j8"</f>
        <v>#VALUE!</v>
      </c>
      <c r="IN147" t="e">
        <f>'Compiled Agents'!A766+"h_l!'j9"</f>
        <v>#VALUE!</v>
      </c>
      <c r="IO147" t="e">
        <f>'Compiled Agents'!B766+"h_l!'j:"</f>
        <v>#VALUE!</v>
      </c>
      <c r="IP147" t="e">
        <f>'Compiled Agents'!C766+"h_l!'j;"</f>
        <v>#VALUE!</v>
      </c>
      <c r="IQ147" t="e">
        <f>'Compiled Agents'!E766+"h_l!'j&lt;"</f>
        <v>#VALUE!</v>
      </c>
      <c r="IR147" t="e">
        <f>'Compiled Agents'!F766+"h_l!'j="</f>
        <v>#VALUE!</v>
      </c>
      <c r="IS147" t="e">
        <f>'Compiled Agents'!G766+"h_l!'j&gt;"</f>
        <v>#VALUE!</v>
      </c>
      <c r="IT147" t="e">
        <f>'Compiled Agents'!H766+"h_l!'j?"</f>
        <v>#VALUE!</v>
      </c>
      <c r="IU147" t="e">
        <f>'Compiled Agents'!A767+"h_l!'j@"</f>
        <v>#VALUE!</v>
      </c>
      <c r="IV147" t="e">
        <f>'Compiled Agents'!B767+"h_l!'jA"</f>
        <v>#VALUE!</v>
      </c>
    </row>
    <row r="148" spans="6:256" x14ac:dyDescent="0.25">
      <c r="F148" t="e">
        <f>'Compiled Agents'!C767+"h_l!'jB"</f>
        <v>#VALUE!</v>
      </c>
      <c r="G148" t="e">
        <f>'Compiled Agents'!E767+"h_l!'jC"</f>
        <v>#VALUE!</v>
      </c>
      <c r="H148" t="e">
        <f>'Compiled Agents'!F767+"h_l!'jD"</f>
        <v>#VALUE!</v>
      </c>
      <c r="I148" t="e">
        <f>'Compiled Agents'!G767+"h_l!'jE"</f>
        <v>#VALUE!</v>
      </c>
      <c r="J148" t="e">
        <f>'Compiled Agents'!H767+"h_l!'jF"</f>
        <v>#VALUE!</v>
      </c>
      <c r="K148" t="e">
        <f>'Compiled Agents'!A768+"h_l!'jG"</f>
        <v>#VALUE!</v>
      </c>
      <c r="L148" t="e">
        <f>'Compiled Agents'!B768+"h_l!'jH"</f>
        <v>#VALUE!</v>
      </c>
      <c r="M148" t="e">
        <f>'Compiled Agents'!C768+"h_l!'jI"</f>
        <v>#VALUE!</v>
      </c>
      <c r="N148" t="e">
        <f>'Compiled Agents'!E768+"h_l!'jJ"</f>
        <v>#VALUE!</v>
      </c>
      <c r="O148" t="e">
        <f>'Compiled Agents'!F768+"h_l!'jK"</f>
        <v>#VALUE!</v>
      </c>
      <c r="P148" t="e">
        <f>'Compiled Agents'!G768+"h_l!'jL"</f>
        <v>#VALUE!</v>
      </c>
      <c r="Q148" t="e">
        <f>'Compiled Agents'!H768+"h_l!'jM"</f>
        <v>#VALUE!</v>
      </c>
      <c r="R148" t="e">
        <f>'Compiled Agents'!A769+"h_l!'jN"</f>
        <v>#VALUE!</v>
      </c>
      <c r="S148" t="e">
        <f>'Compiled Agents'!B769+"h_l!'jO"</f>
        <v>#VALUE!</v>
      </c>
      <c r="T148" t="e">
        <f>'Compiled Agents'!C769+"h_l!'jP"</f>
        <v>#VALUE!</v>
      </c>
      <c r="U148" t="e">
        <f>'Compiled Agents'!E769+"h_l!'jQ"</f>
        <v>#VALUE!</v>
      </c>
      <c r="V148" t="e">
        <f>'Compiled Agents'!F769+"h_l!'jR"</f>
        <v>#VALUE!</v>
      </c>
      <c r="W148" t="e">
        <f>'Compiled Agents'!G769+"h_l!'jS"</f>
        <v>#VALUE!</v>
      </c>
      <c r="X148" t="e">
        <f>'Compiled Agents'!H769+"h_l!'jT"</f>
        <v>#VALUE!</v>
      </c>
      <c r="Y148" t="e">
        <f>'Compiled Agents'!A770+"h_l!'jU"</f>
        <v>#VALUE!</v>
      </c>
      <c r="Z148" t="e">
        <f>'Compiled Agents'!B770+"h_l!'jV"</f>
        <v>#VALUE!</v>
      </c>
      <c r="AA148" t="e">
        <f>'Compiled Agents'!C770+"h_l!'jW"</f>
        <v>#VALUE!</v>
      </c>
      <c r="AB148" t="e">
        <f>'Compiled Agents'!E770+"h_l!'jX"</f>
        <v>#VALUE!</v>
      </c>
      <c r="AC148" t="e">
        <f>'Compiled Agents'!F770+"h_l!'jY"</f>
        <v>#VALUE!</v>
      </c>
      <c r="AD148" t="e">
        <f>'Compiled Agents'!G770+"h_l!'jZ"</f>
        <v>#VALUE!</v>
      </c>
      <c r="AE148" t="e">
        <f>'Compiled Agents'!H770+"h_l!'j["</f>
        <v>#VALUE!</v>
      </c>
      <c r="AF148" t="e">
        <f>'Compiled Agents'!A771+"h_l!'j\"</f>
        <v>#VALUE!</v>
      </c>
      <c r="AG148" t="e">
        <f>'Compiled Agents'!B771+"h_l!'j]"</f>
        <v>#VALUE!</v>
      </c>
      <c r="AH148" t="e">
        <f>'Compiled Agents'!C771+"h_l!'j^"</f>
        <v>#VALUE!</v>
      </c>
      <c r="AI148" t="e">
        <f>'Compiled Agents'!E771+"h_l!'j_"</f>
        <v>#VALUE!</v>
      </c>
      <c r="AJ148" t="e">
        <f>'Compiled Agents'!F771+"h_l!'j`"</f>
        <v>#VALUE!</v>
      </c>
      <c r="AK148" t="e">
        <f>'Compiled Agents'!G771+"h_l!'ja"</f>
        <v>#VALUE!</v>
      </c>
      <c r="AL148" t="e">
        <f>'Compiled Agents'!H771+"h_l!'jb"</f>
        <v>#VALUE!</v>
      </c>
      <c r="AM148" t="e">
        <f>'Compiled Agents'!A772+"h_l!'jc"</f>
        <v>#VALUE!</v>
      </c>
      <c r="AN148" t="e">
        <f>'Compiled Agents'!B772+"h_l!'jd"</f>
        <v>#VALUE!</v>
      </c>
      <c r="AO148" t="e">
        <f>'Compiled Agents'!C772+"h_l!'je"</f>
        <v>#VALUE!</v>
      </c>
      <c r="AP148" t="e">
        <f>'Compiled Agents'!E772+"h_l!'jf"</f>
        <v>#VALUE!</v>
      </c>
      <c r="AQ148" t="e">
        <f>'Compiled Agents'!F772+"h_l!'jg"</f>
        <v>#VALUE!</v>
      </c>
      <c r="AR148" t="e">
        <f>'Compiled Agents'!G772+"h_l!'jh"</f>
        <v>#VALUE!</v>
      </c>
      <c r="AS148" t="e">
        <f>'Compiled Agents'!H772+"h_l!'ji"</f>
        <v>#VALUE!</v>
      </c>
      <c r="AT148" t="e">
        <f>'Compiled Agents'!A773+"h_l!'jj"</f>
        <v>#VALUE!</v>
      </c>
      <c r="AU148" t="e">
        <f>'Compiled Agents'!B773+"h_l!'jk"</f>
        <v>#VALUE!</v>
      </c>
      <c r="AV148" t="e">
        <f>'Compiled Agents'!C773+"h_l!'jl"</f>
        <v>#VALUE!</v>
      </c>
      <c r="AW148" t="e">
        <f>'Compiled Agents'!E773+"h_l!'jm"</f>
        <v>#VALUE!</v>
      </c>
      <c r="AX148" t="e">
        <f>'Compiled Agents'!F773+"h_l!'jn"</f>
        <v>#VALUE!</v>
      </c>
      <c r="AY148" t="e">
        <f>'Compiled Agents'!G773+"h_l!'jo"</f>
        <v>#VALUE!</v>
      </c>
      <c r="AZ148" t="e">
        <f>'Compiled Agents'!H773+"h_l!'jp"</f>
        <v>#VALUE!</v>
      </c>
      <c r="BA148" t="e">
        <f>'Compiled Agents'!A774+"h_l!'jq"</f>
        <v>#VALUE!</v>
      </c>
      <c r="BB148" t="e">
        <f>'Compiled Agents'!B774+"h_l!'jr"</f>
        <v>#VALUE!</v>
      </c>
      <c r="BC148" t="e">
        <f>'Compiled Agents'!C774+"h_l!'js"</f>
        <v>#VALUE!</v>
      </c>
      <c r="BD148" t="e">
        <f>'Compiled Agents'!E774+"h_l!'jt"</f>
        <v>#VALUE!</v>
      </c>
      <c r="BE148" t="e">
        <f>'Compiled Agents'!F774+"h_l!'ju"</f>
        <v>#VALUE!</v>
      </c>
      <c r="BF148" t="e">
        <f>'Compiled Agents'!G774+"h_l!'jv"</f>
        <v>#VALUE!</v>
      </c>
      <c r="BG148" t="e">
        <f>'Compiled Agents'!H774+"h_l!'jw"</f>
        <v>#VALUE!</v>
      </c>
      <c r="BH148" t="e">
        <f>'Compiled Agents'!A775+"h_l!'jx"</f>
        <v>#VALUE!</v>
      </c>
      <c r="BI148" t="e">
        <f>'Compiled Agents'!B775+"h_l!'jy"</f>
        <v>#VALUE!</v>
      </c>
      <c r="BJ148" t="e">
        <f>'Compiled Agents'!C775+"h_l!'jz"</f>
        <v>#VALUE!</v>
      </c>
      <c r="BK148" t="e">
        <f>'Compiled Agents'!E775+"h_l!'j{"</f>
        <v>#VALUE!</v>
      </c>
      <c r="BL148" t="e">
        <f>'Compiled Agents'!F775+"h_l!'j|"</f>
        <v>#VALUE!</v>
      </c>
      <c r="BM148" t="e">
        <f>'Compiled Agents'!G775+"h_l!'j}"</f>
        <v>#VALUE!</v>
      </c>
      <c r="BN148" t="e">
        <f>'Compiled Agents'!H775+"h_l!'j~"</f>
        <v>#VALUE!</v>
      </c>
      <c r="BO148" t="e">
        <f>'Compiled Agents'!A776+"h_l!'k#"</f>
        <v>#VALUE!</v>
      </c>
      <c r="BP148" t="e">
        <f>'Compiled Agents'!B776+"h_l!'k$"</f>
        <v>#VALUE!</v>
      </c>
      <c r="BQ148" t="e">
        <f>'Compiled Agents'!C776+"h_l!'k%"</f>
        <v>#VALUE!</v>
      </c>
      <c r="BR148" t="e">
        <f>'Compiled Agents'!E776+"h_l!'k&amp;"</f>
        <v>#VALUE!</v>
      </c>
      <c r="BS148" t="e">
        <f>'Compiled Agents'!F776+"h_l!'k'"</f>
        <v>#VALUE!</v>
      </c>
      <c r="BT148" t="e">
        <f>'Compiled Agents'!G776+"h_l!'k("</f>
        <v>#VALUE!</v>
      </c>
      <c r="BU148" t="e">
        <f>'Compiled Agents'!H776+"h_l!'k)"</f>
        <v>#VALUE!</v>
      </c>
      <c r="BV148" t="e">
        <f>'Compiled Agents'!A777+"h_l!'k."</f>
        <v>#VALUE!</v>
      </c>
      <c r="BW148" t="e">
        <f>'Compiled Agents'!B777+"h_l!'k/"</f>
        <v>#VALUE!</v>
      </c>
      <c r="BX148" t="e">
        <f>'Compiled Agents'!C777+"h_l!'k0"</f>
        <v>#VALUE!</v>
      </c>
      <c r="BY148" t="e">
        <f>'Compiled Agents'!E777+"h_l!'k1"</f>
        <v>#VALUE!</v>
      </c>
      <c r="BZ148" t="e">
        <f>'Compiled Agents'!F777+"h_l!'k2"</f>
        <v>#VALUE!</v>
      </c>
      <c r="CA148" t="e">
        <f>'Compiled Agents'!G777+"h_l!'k3"</f>
        <v>#VALUE!</v>
      </c>
      <c r="CB148" t="e">
        <f>'Compiled Agents'!H777+"h_l!'k4"</f>
        <v>#VALUE!</v>
      </c>
      <c r="CC148" t="e">
        <f>'Compiled Agents'!A778+"h_l!'k5"</f>
        <v>#VALUE!</v>
      </c>
      <c r="CD148" t="e">
        <f>'Compiled Agents'!B778+"h_l!'k6"</f>
        <v>#VALUE!</v>
      </c>
      <c r="CE148" t="e">
        <f>'Compiled Agents'!C778+"h_l!'k7"</f>
        <v>#VALUE!</v>
      </c>
      <c r="CF148" t="e">
        <f>'Compiled Agents'!E778+"h_l!'k8"</f>
        <v>#VALUE!</v>
      </c>
      <c r="CG148" t="e">
        <f>'Compiled Agents'!F778+"h_l!'k9"</f>
        <v>#VALUE!</v>
      </c>
      <c r="CH148" t="e">
        <f>'Compiled Agents'!G778+"h_l!'k:"</f>
        <v>#VALUE!</v>
      </c>
      <c r="CI148" t="e">
        <f>'Compiled Agents'!H778+"h_l!'k;"</f>
        <v>#VALUE!</v>
      </c>
      <c r="CJ148" t="e">
        <f>'Compiled Agents'!A779+"h_l!'k&lt;"</f>
        <v>#VALUE!</v>
      </c>
      <c r="CK148" t="e">
        <f>'Compiled Agents'!B779+"h_l!'k="</f>
        <v>#VALUE!</v>
      </c>
      <c r="CL148" t="e">
        <f>'Compiled Agents'!C779+"h_l!'k&gt;"</f>
        <v>#VALUE!</v>
      </c>
      <c r="CM148" t="e">
        <f>'Compiled Agents'!E779+"h_l!'k?"</f>
        <v>#VALUE!</v>
      </c>
      <c r="CN148" t="e">
        <f>'Compiled Agents'!F779+"h_l!'k@"</f>
        <v>#VALUE!</v>
      </c>
      <c r="CO148" t="e">
        <f>'Compiled Agents'!G779+"h_l!'kA"</f>
        <v>#VALUE!</v>
      </c>
      <c r="CP148" t="e">
        <f>'Compiled Agents'!H779+"h_l!'kB"</f>
        <v>#VALUE!</v>
      </c>
      <c r="CQ148" t="e">
        <f>'Compiled Agents'!A780+"h_l!'kC"</f>
        <v>#VALUE!</v>
      </c>
      <c r="CR148" t="e">
        <f>'Compiled Agents'!B780+"h_l!'kD"</f>
        <v>#VALUE!</v>
      </c>
      <c r="CS148" t="e">
        <f>'Compiled Agents'!C780+"h_l!'kE"</f>
        <v>#VALUE!</v>
      </c>
      <c r="CT148" t="e">
        <f>'Compiled Agents'!E780+"h_l!'kF"</f>
        <v>#VALUE!</v>
      </c>
      <c r="CU148" t="e">
        <f>'Compiled Agents'!F780+"h_l!'kG"</f>
        <v>#VALUE!</v>
      </c>
      <c r="CV148" t="e">
        <f>'Compiled Agents'!G780+"h_l!'kH"</f>
        <v>#VALUE!</v>
      </c>
      <c r="CW148" t="e">
        <f>'Compiled Agents'!H780+"h_l!'kI"</f>
        <v>#VALUE!</v>
      </c>
      <c r="CX148" t="e">
        <f>'Compiled Agents'!A781+"h_l!'kJ"</f>
        <v>#VALUE!</v>
      </c>
      <c r="CY148" t="e">
        <f>'Compiled Agents'!B781+"h_l!'kK"</f>
        <v>#VALUE!</v>
      </c>
      <c r="CZ148" t="e">
        <f>'Compiled Agents'!C781+"h_l!'kL"</f>
        <v>#VALUE!</v>
      </c>
      <c r="DA148" t="e">
        <f>'Compiled Agents'!E781+"h_l!'kM"</f>
        <v>#VALUE!</v>
      </c>
      <c r="DB148" t="e">
        <f>'Compiled Agents'!F781+"h_l!'kN"</f>
        <v>#VALUE!</v>
      </c>
      <c r="DC148" t="e">
        <f>'Compiled Agents'!G781+"h_l!'kO"</f>
        <v>#VALUE!</v>
      </c>
      <c r="DD148" t="e">
        <f>'Compiled Agents'!H781+"h_l!'kP"</f>
        <v>#VALUE!</v>
      </c>
      <c r="DE148" t="e">
        <f>'Compiled Agents'!A782+"h_l!'kQ"</f>
        <v>#VALUE!</v>
      </c>
      <c r="DF148" t="e">
        <f>'Compiled Agents'!B782+"h_l!'kR"</f>
        <v>#VALUE!</v>
      </c>
      <c r="DG148" t="e">
        <f>'Compiled Agents'!C782+"h_l!'kS"</f>
        <v>#VALUE!</v>
      </c>
      <c r="DH148" t="e">
        <f>'Compiled Agents'!E782+"h_l!'kT"</f>
        <v>#VALUE!</v>
      </c>
      <c r="DI148" t="e">
        <f>'Compiled Agents'!F782+"h_l!'kU"</f>
        <v>#VALUE!</v>
      </c>
      <c r="DJ148" t="e">
        <f>'Compiled Agents'!G782+"h_l!'kV"</f>
        <v>#VALUE!</v>
      </c>
      <c r="DK148" t="e">
        <f>'Compiled Agents'!H782+"h_l!'kW"</f>
        <v>#VALUE!</v>
      </c>
      <c r="DL148" t="e">
        <f>'Compiled Agents'!A783+"h_l!'kX"</f>
        <v>#VALUE!</v>
      </c>
      <c r="DM148" t="e">
        <f>'Compiled Agents'!B783+"h_l!'kY"</f>
        <v>#VALUE!</v>
      </c>
      <c r="DN148" t="e">
        <f>'Compiled Agents'!C783+"h_l!'kZ"</f>
        <v>#VALUE!</v>
      </c>
      <c r="DO148" t="e">
        <f>'Compiled Agents'!E783+"h_l!'k["</f>
        <v>#VALUE!</v>
      </c>
      <c r="DP148" t="e">
        <f>'Compiled Agents'!F783+"h_l!'k\"</f>
        <v>#VALUE!</v>
      </c>
      <c r="DQ148" t="e">
        <f>'Compiled Agents'!G783+"h_l!'k]"</f>
        <v>#VALUE!</v>
      </c>
      <c r="DR148" t="e">
        <f>'Compiled Agents'!H783+"h_l!'k^"</f>
        <v>#VALUE!</v>
      </c>
      <c r="DS148" t="e">
        <f>'Compiled Agents'!A784+"h_l!'k_"</f>
        <v>#VALUE!</v>
      </c>
      <c r="DT148" t="e">
        <f>'Compiled Agents'!B784+"h_l!'k`"</f>
        <v>#VALUE!</v>
      </c>
      <c r="DU148" t="e">
        <f>'Compiled Agents'!C784+"h_l!'ka"</f>
        <v>#VALUE!</v>
      </c>
      <c r="DV148" t="e">
        <f>'Compiled Agents'!E784+"h_l!'kb"</f>
        <v>#VALUE!</v>
      </c>
      <c r="DW148" t="e">
        <f>'Compiled Agents'!F784+"h_l!'kc"</f>
        <v>#VALUE!</v>
      </c>
      <c r="DX148" t="e">
        <f>'Compiled Agents'!G784+"h_l!'kd"</f>
        <v>#VALUE!</v>
      </c>
      <c r="DY148" t="e">
        <f>'Compiled Agents'!H784+"h_l!'ke"</f>
        <v>#VALUE!</v>
      </c>
      <c r="DZ148" t="e">
        <f>'Compiled Agents'!A785+"h_l!'kf"</f>
        <v>#VALUE!</v>
      </c>
      <c r="EA148" t="e">
        <f>'Compiled Agents'!B785+"h_l!'kg"</f>
        <v>#VALUE!</v>
      </c>
      <c r="EB148" t="e">
        <f>'Compiled Agents'!C785+"h_l!'kh"</f>
        <v>#VALUE!</v>
      </c>
      <c r="EC148" t="e">
        <f>'Compiled Agents'!E785+"h_l!'ki"</f>
        <v>#VALUE!</v>
      </c>
      <c r="ED148" t="e">
        <f>'Compiled Agents'!F785+"h_l!'kj"</f>
        <v>#VALUE!</v>
      </c>
      <c r="EE148" t="e">
        <f>'Compiled Agents'!G785+"h_l!'kk"</f>
        <v>#VALUE!</v>
      </c>
      <c r="EF148" t="e">
        <f>'Compiled Agents'!H785+"h_l!'kl"</f>
        <v>#VALUE!</v>
      </c>
      <c r="EG148" t="e">
        <f>'Compiled Agents'!A786+"h_l!'km"</f>
        <v>#VALUE!</v>
      </c>
      <c r="EH148" t="e">
        <f>'Compiled Agents'!B786+"h_l!'kn"</f>
        <v>#VALUE!</v>
      </c>
      <c r="EI148" t="e">
        <f>'Compiled Agents'!C786+"h_l!'ko"</f>
        <v>#VALUE!</v>
      </c>
      <c r="EJ148" t="e">
        <f>'Compiled Agents'!E786+"h_l!'kp"</f>
        <v>#VALUE!</v>
      </c>
      <c r="EK148" t="e">
        <f>'Compiled Agents'!F786+"h_l!'kq"</f>
        <v>#VALUE!</v>
      </c>
      <c r="EL148" t="e">
        <f>'Compiled Agents'!G786+"h_l!'kr"</f>
        <v>#VALUE!</v>
      </c>
      <c r="EM148" t="e">
        <f>'Compiled Agents'!H786+"h_l!'ks"</f>
        <v>#VALUE!</v>
      </c>
      <c r="EN148" t="e">
        <f>'Compiled Agents'!A787+"h_l!'kt"</f>
        <v>#VALUE!</v>
      </c>
      <c r="EO148" t="e">
        <f>'Compiled Agents'!B787+"h_l!'ku"</f>
        <v>#VALUE!</v>
      </c>
      <c r="EP148" t="e">
        <f>'Compiled Agents'!C787+"h_l!'kv"</f>
        <v>#VALUE!</v>
      </c>
      <c r="EQ148" t="e">
        <f>'Compiled Agents'!E787+"h_l!'kw"</f>
        <v>#VALUE!</v>
      </c>
      <c r="ER148" t="e">
        <f>'Compiled Agents'!F787+"h_l!'kx"</f>
        <v>#VALUE!</v>
      </c>
      <c r="ES148" t="e">
        <f>'Compiled Agents'!G787+"h_l!'ky"</f>
        <v>#VALUE!</v>
      </c>
      <c r="ET148" t="e">
        <f>'Compiled Agents'!H787+"h_l!'kz"</f>
        <v>#VALUE!</v>
      </c>
      <c r="EU148" t="e">
        <f>'Compiled Agents'!A788+"h_l!'k{"</f>
        <v>#VALUE!</v>
      </c>
      <c r="EV148" t="e">
        <f>'Compiled Agents'!B788+"h_l!'k|"</f>
        <v>#VALUE!</v>
      </c>
      <c r="EW148" t="e">
        <f>'Compiled Agents'!C788+"h_l!'k}"</f>
        <v>#VALUE!</v>
      </c>
      <c r="EX148" t="e">
        <f>'Compiled Agents'!E788+"h_l!'k~"</f>
        <v>#VALUE!</v>
      </c>
      <c r="EY148" t="e">
        <f>'Compiled Agents'!F788+"h_l!'l#"</f>
        <v>#VALUE!</v>
      </c>
      <c r="EZ148" t="e">
        <f>'Compiled Agents'!G788+"h_l!'l$"</f>
        <v>#VALUE!</v>
      </c>
      <c r="FA148" t="e">
        <f>'Compiled Agents'!H788+"h_l!'l%"</f>
        <v>#VALUE!</v>
      </c>
      <c r="FB148" t="e">
        <f>'Compiled Agents'!A789+"h_l!'l&amp;"</f>
        <v>#VALUE!</v>
      </c>
      <c r="FC148" t="e">
        <f>'Compiled Agents'!B789+"h_l!'l'"</f>
        <v>#VALUE!</v>
      </c>
      <c r="FD148" t="e">
        <f>'Compiled Agents'!C789+"h_l!'l("</f>
        <v>#VALUE!</v>
      </c>
      <c r="FE148" t="e">
        <f>'Compiled Agents'!E789+"h_l!'l)"</f>
        <v>#VALUE!</v>
      </c>
      <c r="FF148" t="e">
        <f>'Compiled Agents'!F789+"h_l!'l."</f>
        <v>#VALUE!</v>
      </c>
      <c r="FG148" t="e">
        <f>'Compiled Agents'!G789+"h_l!'l/"</f>
        <v>#VALUE!</v>
      </c>
      <c r="FH148" t="e">
        <f>'Compiled Agents'!H789+"h_l!'l0"</f>
        <v>#VALUE!</v>
      </c>
      <c r="FI148" t="e">
        <f>'Compiled Agents'!A790+"h_l!'l1"</f>
        <v>#VALUE!</v>
      </c>
      <c r="FJ148" t="e">
        <f>'Compiled Agents'!B790+"h_l!'l2"</f>
        <v>#VALUE!</v>
      </c>
      <c r="FK148" t="e">
        <f>'Compiled Agents'!C790+"h_l!'l3"</f>
        <v>#VALUE!</v>
      </c>
      <c r="FL148" t="e">
        <f>'Compiled Agents'!E790+"h_l!'l4"</f>
        <v>#VALUE!</v>
      </c>
      <c r="FM148" t="e">
        <f>'Compiled Agents'!F790+"h_l!'l5"</f>
        <v>#VALUE!</v>
      </c>
      <c r="FN148" t="e">
        <f>'Compiled Agents'!G790+"h_l!'l6"</f>
        <v>#VALUE!</v>
      </c>
      <c r="FO148" t="e">
        <f>'Compiled Agents'!H790+"h_l!'l7"</f>
        <v>#VALUE!</v>
      </c>
      <c r="FP148" t="e">
        <f>'Compiled Agents'!A791+"h_l!'l8"</f>
        <v>#VALUE!</v>
      </c>
      <c r="FQ148" t="e">
        <f>'Compiled Agents'!B791+"h_l!'l9"</f>
        <v>#VALUE!</v>
      </c>
      <c r="FR148" t="e">
        <f>'Compiled Agents'!C791+"h_l!'l:"</f>
        <v>#VALUE!</v>
      </c>
      <c r="FS148" t="e">
        <f>'Compiled Agents'!E791+"h_l!'l;"</f>
        <v>#VALUE!</v>
      </c>
      <c r="FT148" t="e">
        <f>'Compiled Agents'!F791+"h_l!'l&lt;"</f>
        <v>#VALUE!</v>
      </c>
      <c r="FU148" t="e">
        <f>'Compiled Agents'!G791+"h_l!'l="</f>
        <v>#VALUE!</v>
      </c>
      <c r="FV148" t="e">
        <f>'Compiled Agents'!H791+"h_l!'l&gt;"</f>
        <v>#VALUE!</v>
      </c>
      <c r="FW148" t="e">
        <f>'Compiled Agents'!A792+"h_l!'l?"</f>
        <v>#VALUE!</v>
      </c>
      <c r="FX148" t="e">
        <f>'Compiled Agents'!B792+"h_l!'l@"</f>
        <v>#VALUE!</v>
      </c>
      <c r="FY148" t="e">
        <f>'Compiled Agents'!C792+"h_l!'lA"</f>
        <v>#VALUE!</v>
      </c>
      <c r="FZ148" t="e">
        <f>'Compiled Agents'!E792+"h_l!'lB"</f>
        <v>#VALUE!</v>
      </c>
      <c r="GA148" t="e">
        <f>'Compiled Agents'!F792+"h_l!'lC"</f>
        <v>#VALUE!</v>
      </c>
      <c r="GB148" t="e">
        <f>'Compiled Agents'!G792+"h_l!'lD"</f>
        <v>#VALUE!</v>
      </c>
      <c r="GC148" t="e">
        <f>'Compiled Agents'!H792+"h_l!'lE"</f>
        <v>#VALUE!</v>
      </c>
      <c r="GD148" t="e">
        <f>'Compiled Agents'!A793+"h_l!'lF"</f>
        <v>#VALUE!</v>
      </c>
      <c r="GE148" t="e">
        <f>'Compiled Agents'!B793+"h_l!'lG"</f>
        <v>#VALUE!</v>
      </c>
      <c r="GF148" t="e">
        <f>'Compiled Agents'!C793+"h_l!'lH"</f>
        <v>#VALUE!</v>
      </c>
      <c r="GG148" t="e">
        <f>'Compiled Agents'!E793+"h_l!'lI"</f>
        <v>#VALUE!</v>
      </c>
      <c r="GH148" t="e">
        <f>'Compiled Agents'!F793+"h_l!'lJ"</f>
        <v>#VALUE!</v>
      </c>
      <c r="GI148" t="e">
        <f>'Compiled Agents'!G793+"h_l!'lK"</f>
        <v>#VALUE!</v>
      </c>
      <c r="GJ148" t="e">
        <f>'Compiled Agents'!H793+"h_l!'lL"</f>
        <v>#VALUE!</v>
      </c>
      <c r="GK148" t="e">
        <f>'Compiled Agents'!A794+"h_l!'lM"</f>
        <v>#VALUE!</v>
      </c>
      <c r="GL148" t="e">
        <f>'Compiled Agents'!B794+"h_l!'lN"</f>
        <v>#VALUE!</v>
      </c>
      <c r="GM148" t="e">
        <f>'Compiled Agents'!C794+"h_l!'lO"</f>
        <v>#VALUE!</v>
      </c>
      <c r="GN148" t="e">
        <f>'Compiled Agents'!E794+"h_l!'lP"</f>
        <v>#VALUE!</v>
      </c>
      <c r="GO148" t="e">
        <f>'Compiled Agents'!F794+"h_l!'lQ"</f>
        <v>#VALUE!</v>
      </c>
      <c r="GP148" t="e">
        <f>'Compiled Agents'!G794+"h_l!'lR"</f>
        <v>#VALUE!</v>
      </c>
      <c r="GQ148" t="e">
        <f>'Compiled Agents'!H794+"h_l!'lS"</f>
        <v>#VALUE!</v>
      </c>
      <c r="GR148" t="e">
        <f>'Compiled Agents'!A795+"h_l!'lT"</f>
        <v>#VALUE!</v>
      </c>
      <c r="GS148" t="e">
        <f>'Compiled Agents'!B795+"h_l!'lU"</f>
        <v>#VALUE!</v>
      </c>
      <c r="GT148" t="e">
        <f>'Compiled Agents'!C795+"h_l!'lV"</f>
        <v>#VALUE!</v>
      </c>
      <c r="GU148" t="e">
        <f>'Compiled Agents'!E795+"h_l!'lW"</f>
        <v>#VALUE!</v>
      </c>
      <c r="GV148" t="e">
        <f>'Compiled Agents'!F795+"h_l!'lX"</f>
        <v>#VALUE!</v>
      </c>
      <c r="GW148" t="e">
        <f>'Compiled Agents'!G795+"h_l!'lY"</f>
        <v>#VALUE!</v>
      </c>
      <c r="GX148" t="e">
        <f>'Compiled Agents'!H795+"h_l!'lZ"</f>
        <v>#VALUE!</v>
      </c>
      <c r="GY148" t="e">
        <f>'Compiled Agents'!A796+"h_l!'l["</f>
        <v>#VALUE!</v>
      </c>
      <c r="GZ148" t="e">
        <f>'Compiled Agents'!B796+"h_l!'l\"</f>
        <v>#VALUE!</v>
      </c>
      <c r="HA148" t="e">
        <f>'Compiled Agents'!C796+"h_l!'l]"</f>
        <v>#VALUE!</v>
      </c>
      <c r="HB148" t="e">
        <f>'Compiled Agents'!E796+"h_l!'l^"</f>
        <v>#VALUE!</v>
      </c>
      <c r="HC148" t="e">
        <f>'Compiled Agents'!F796+"h_l!'l_"</f>
        <v>#VALUE!</v>
      </c>
      <c r="HD148" t="e">
        <f>'Compiled Agents'!G796+"h_l!'l`"</f>
        <v>#VALUE!</v>
      </c>
      <c r="HE148" t="e">
        <f>'Compiled Agents'!H796+"h_l!'la"</f>
        <v>#VALUE!</v>
      </c>
      <c r="HF148" t="e">
        <f>'Compiled Agents'!A797+"h_l!'lb"</f>
        <v>#VALUE!</v>
      </c>
      <c r="HG148" t="e">
        <f>'Compiled Agents'!B797+"h_l!'lc"</f>
        <v>#VALUE!</v>
      </c>
      <c r="HH148" t="e">
        <f>'Compiled Agents'!C797+"h_l!'ld"</f>
        <v>#VALUE!</v>
      </c>
      <c r="HI148" t="e">
        <f>'Compiled Agents'!E797+"h_l!'le"</f>
        <v>#VALUE!</v>
      </c>
      <c r="HJ148" t="e">
        <f>'Compiled Agents'!F797+"h_l!'lf"</f>
        <v>#VALUE!</v>
      </c>
      <c r="HK148" t="e">
        <f>'Compiled Agents'!G797+"h_l!'lg"</f>
        <v>#VALUE!</v>
      </c>
      <c r="HL148" t="e">
        <f>'Compiled Agents'!H797+"h_l!'lh"</f>
        <v>#VALUE!</v>
      </c>
      <c r="HM148" t="e">
        <f>'Compiled Agents'!A798+"h_l!'li"</f>
        <v>#VALUE!</v>
      </c>
      <c r="HN148" t="e">
        <f>'Compiled Agents'!B798+"h_l!'lj"</f>
        <v>#VALUE!</v>
      </c>
      <c r="HO148" t="e">
        <f>'Compiled Agents'!C798+"h_l!'lk"</f>
        <v>#VALUE!</v>
      </c>
      <c r="HP148" t="e">
        <f>'Compiled Agents'!E798+"h_l!'ll"</f>
        <v>#VALUE!</v>
      </c>
      <c r="HQ148" t="e">
        <f>'Compiled Agents'!F798+"h_l!'lm"</f>
        <v>#VALUE!</v>
      </c>
      <c r="HR148" t="e">
        <f>'Compiled Agents'!G798+"h_l!'ln"</f>
        <v>#VALUE!</v>
      </c>
      <c r="HS148" t="e">
        <f>'Compiled Agents'!H798+"h_l!'lo"</f>
        <v>#VALUE!</v>
      </c>
      <c r="HT148" t="e">
        <f>'Compiled Agents'!A799+"h_l!'lp"</f>
        <v>#VALUE!</v>
      </c>
      <c r="HU148" t="e">
        <f>'Compiled Agents'!B799+"h_l!'lq"</f>
        <v>#VALUE!</v>
      </c>
      <c r="HV148" t="e">
        <f>'Compiled Agents'!C799+"h_l!'lr"</f>
        <v>#VALUE!</v>
      </c>
      <c r="HW148" t="e">
        <f>'Compiled Agents'!E799+"h_l!'ls"</f>
        <v>#VALUE!</v>
      </c>
      <c r="HX148" t="e">
        <f>'Compiled Agents'!F799+"h_l!'lt"</f>
        <v>#VALUE!</v>
      </c>
      <c r="HY148" t="e">
        <f>'Compiled Agents'!G799+"h_l!'lu"</f>
        <v>#VALUE!</v>
      </c>
      <c r="HZ148" t="e">
        <f>'Compiled Agents'!H799+"h_l!'lv"</f>
        <v>#VALUE!</v>
      </c>
      <c r="IA148" t="e">
        <f>'Compiled Agents'!A800+"h_l!'lw"</f>
        <v>#VALUE!</v>
      </c>
      <c r="IB148" t="e">
        <f>'Compiled Agents'!B800+"h_l!'lx"</f>
        <v>#VALUE!</v>
      </c>
      <c r="IC148" t="e">
        <f>'Compiled Agents'!C800+"h_l!'ly"</f>
        <v>#VALUE!</v>
      </c>
      <c r="ID148" t="e">
        <f>'Compiled Agents'!E800+"h_l!'lz"</f>
        <v>#VALUE!</v>
      </c>
      <c r="IE148" t="e">
        <f>'Compiled Agents'!F800+"h_l!'l{"</f>
        <v>#VALUE!</v>
      </c>
      <c r="IF148" t="e">
        <f>'Compiled Agents'!G800+"h_l!'l|"</f>
        <v>#VALUE!</v>
      </c>
      <c r="IG148" t="e">
        <f>'Compiled Agents'!H800+"h_l!'l}"</f>
        <v>#VALUE!</v>
      </c>
      <c r="IH148" t="e">
        <f>'Compiled Agents'!A801+"h_l!'l~"</f>
        <v>#VALUE!</v>
      </c>
      <c r="II148" t="e">
        <f>'Compiled Agents'!B801+"h_l!'m#"</f>
        <v>#VALUE!</v>
      </c>
      <c r="IJ148" t="e">
        <f>'Compiled Agents'!C801+"h_l!'m$"</f>
        <v>#VALUE!</v>
      </c>
      <c r="IK148" t="e">
        <f>'Compiled Agents'!E801+"h_l!'m%"</f>
        <v>#VALUE!</v>
      </c>
      <c r="IL148" t="e">
        <f>'Compiled Agents'!F801+"h_l!'m&amp;"</f>
        <v>#VALUE!</v>
      </c>
      <c r="IM148" t="e">
        <f>'Compiled Agents'!G801+"h_l!'m'"</f>
        <v>#VALUE!</v>
      </c>
      <c r="IN148" t="e">
        <f>'Compiled Agents'!H801+"h_l!'m("</f>
        <v>#VALUE!</v>
      </c>
      <c r="IO148" t="e">
        <f>'Compiled Agents'!A802+"h_l!'m)"</f>
        <v>#VALUE!</v>
      </c>
      <c r="IP148" t="e">
        <f>'Compiled Agents'!B802+"h_l!'m."</f>
        <v>#VALUE!</v>
      </c>
      <c r="IQ148" t="e">
        <f>'Compiled Agents'!C802+"h_l!'m/"</f>
        <v>#VALUE!</v>
      </c>
      <c r="IR148" t="e">
        <f>'Compiled Agents'!E802+"h_l!'m0"</f>
        <v>#VALUE!</v>
      </c>
      <c r="IS148" t="e">
        <f>'Compiled Agents'!F802+"h_l!'m1"</f>
        <v>#VALUE!</v>
      </c>
      <c r="IT148" t="e">
        <f>'Compiled Agents'!G802+"h_l!'m2"</f>
        <v>#VALUE!</v>
      </c>
      <c r="IU148" t="e">
        <f>'Compiled Agents'!H802+"h_l!'m3"</f>
        <v>#VALUE!</v>
      </c>
      <c r="IV148" t="e">
        <f>'Compiled Agents'!A803+"h_l!'m4"</f>
        <v>#VALUE!</v>
      </c>
    </row>
    <row r="149" spans="6:256" x14ac:dyDescent="0.25">
      <c r="F149" t="e">
        <f>'Compiled Agents'!B803+"h_l!'m5"</f>
        <v>#VALUE!</v>
      </c>
      <c r="G149" t="e">
        <f>'Compiled Agents'!C803+"h_l!'m6"</f>
        <v>#VALUE!</v>
      </c>
      <c r="H149" t="e">
        <f>'Compiled Agents'!E803+"h_l!'m7"</f>
        <v>#VALUE!</v>
      </c>
      <c r="I149" t="e">
        <f>'Compiled Agents'!F803+"h_l!'m8"</f>
        <v>#VALUE!</v>
      </c>
      <c r="J149" t="e">
        <f>'Compiled Agents'!G803+"h_l!'m9"</f>
        <v>#VALUE!</v>
      </c>
      <c r="K149" t="e">
        <f>'Compiled Agents'!H803+"h_l!'m:"</f>
        <v>#VALUE!</v>
      </c>
      <c r="L149" t="e">
        <f>'Compiled Agents'!A804+"h_l!'m;"</f>
        <v>#VALUE!</v>
      </c>
      <c r="M149" t="e">
        <f>'Compiled Agents'!B804+"h_l!'m&lt;"</f>
        <v>#VALUE!</v>
      </c>
      <c r="N149" t="e">
        <f>'Compiled Agents'!C804+"h_l!'m="</f>
        <v>#VALUE!</v>
      </c>
      <c r="O149" t="e">
        <f>'Compiled Agents'!E804+"h_l!'m&gt;"</f>
        <v>#VALUE!</v>
      </c>
      <c r="P149" t="e">
        <f>'Compiled Agents'!F804+"h_l!'m?"</f>
        <v>#VALUE!</v>
      </c>
      <c r="Q149" t="e">
        <f>'Compiled Agents'!G804+"h_l!'m@"</f>
        <v>#VALUE!</v>
      </c>
      <c r="R149" t="e">
        <f>'Compiled Agents'!H804+"h_l!'mA"</f>
        <v>#VALUE!</v>
      </c>
      <c r="S149" t="e">
        <f>'Compiled Agents'!A805+"h_l!'mB"</f>
        <v>#VALUE!</v>
      </c>
      <c r="T149" t="e">
        <f>'Compiled Agents'!B805+"h_l!'mC"</f>
        <v>#VALUE!</v>
      </c>
      <c r="U149" t="e">
        <f>'Compiled Agents'!C805+"h_l!'mD"</f>
        <v>#VALUE!</v>
      </c>
      <c r="V149" t="e">
        <f>'Compiled Agents'!E805+"h_l!'mE"</f>
        <v>#VALUE!</v>
      </c>
      <c r="W149" t="e">
        <f>'Compiled Agents'!F805+"h_l!'mF"</f>
        <v>#VALUE!</v>
      </c>
      <c r="X149" t="e">
        <f>'Compiled Agents'!G805+"h_l!'mG"</f>
        <v>#VALUE!</v>
      </c>
      <c r="Y149" t="e">
        <f>'Compiled Agents'!H805+"h_l!'mH"</f>
        <v>#VALUE!</v>
      </c>
      <c r="Z149" t="e">
        <f>'Compiled Agents'!A806+"h_l!'mI"</f>
        <v>#VALUE!</v>
      </c>
      <c r="AA149" t="e">
        <f>'Compiled Agents'!B806+"h_l!'mJ"</f>
        <v>#VALUE!</v>
      </c>
      <c r="AB149" t="e">
        <f>'Compiled Agents'!C806+"h_l!'mK"</f>
        <v>#VALUE!</v>
      </c>
      <c r="AC149" t="e">
        <f>'Compiled Agents'!E806+"h_l!'mL"</f>
        <v>#VALUE!</v>
      </c>
      <c r="AD149" t="e">
        <f>'Compiled Agents'!F806+"h_l!'mM"</f>
        <v>#VALUE!</v>
      </c>
      <c r="AE149" t="e">
        <f>'Compiled Agents'!G806+"h_l!'mN"</f>
        <v>#VALUE!</v>
      </c>
      <c r="AF149" t="e">
        <f>'Compiled Agents'!H806+"h_l!'mO"</f>
        <v>#VALUE!</v>
      </c>
      <c r="AG149" t="e">
        <f>'Compiled Agents'!A807+"h_l!'mP"</f>
        <v>#VALUE!</v>
      </c>
      <c r="AH149" t="e">
        <f>'Compiled Agents'!B807+"h_l!'mQ"</f>
        <v>#VALUE!</v>
      </c>
      <c r="AI149" t="e">
        <f>'Compiled Agents'!C807+"h_l!'mR"</f>
        <v>#VALUE!</v>
      </c>
      <c r="AJ149" t="e">
        <f>'Compiled Agents'!E807+"h_l!'mS"</f>
        <v>#VALUE!</v>
      </c>
      <c r="AK149" t="e">
        <f>'Compiled Agents'!F807+"h_l!'mT"</f>
        <v>#VALUE!</v>
      </c>
      <c r="AL149" t="e">
        <f>'Compiled Agents'!G807+"h_l!'mU"</f>
        <v>#VALUE!</v>
      </c>
      <c r="AM149" t="e">
        <f>'Compiled Agents'!H807+"h_l!'mV"</f>
        <v>#VALUE!</v>
      </c>
      <c r="AN149" t="e">
        <f>'Compiled Agents'!A808+"h_l!'mW"</f>
        <v>#VALUE!</v>
      </c>
      <c r="AO149" t="e">
        <f>'Compiled Agents'!B808+"h_l!'mX"</f>
        <v>#VALUE!</v>
      </c>
      <c r="AP149" t="e">
        <f>'Compiled Agents'!C808+"h_l!'mY"</f>
        <v>#VALUE!</v>
      </c>
      <c r="AQ149" t="e">
        <f>'Compiled Agents'!E808+"h_l!'mZ"</f>
        <v>#VALUE!</v>
      </c>
      <c r="AR149" t="e">
        <f>'Compiled Agents'!F808+"h_l!'m["</f>
        <v>#VALUE!</v>
      </c>
      <c r="AS149" t="e">
        <f>'Compiled Agents'!G808+"h_l!'m\"</f>
        <v>#VALUE!</v>
      </c>
      <c r="AT149" t="e">
        <f>'Compiled Agents'!H808+"h_l!'m]"</f>
        <v>#VALUE!</v>
      </c>
      <c r="AU149" t="e">
        <f>'Compiled Agents'!A809+"h_l!'m^"</f>
        <v>#VALUE!</v>
      </c>
      <c r="AV149" t="e">
        <f>'Compiled Agents'!B809+"h_l!'m_"</f>
        <v>#VALUE!</v>
      </c>
      <c r="AW149" t="e">
        <f>'Compiled Agents'!C809+"h_l!'m`"</f>
        <v>#VALUE!</v>
      </c>
      <c r="AX149" t="e">
        <f>'Compiled Agents'!E809+"h_l!'ma"</f>
        <v>#VALUE!</v>
      </c>
      <c r="AY149" t="e">
        <f>'Compiled Agents'!F809+"h_l!'mb"</f>
        <v>#VALUE!</v>
      </c>
      <c r="AZ149" t="e">
        <f>'Compiled Agents'!G809+"h_l!'mc"</f>
        <v>#VALUE!</v>
      </c>
      <c r="BA149" t="e">
        <f>'Compiled Agents'!H809+"h_l!'md"</f>
        <v>#VALUE!</v>
      </c>
      <c r="BB149" t="e">
        <f>'Compiled Agents'!A810+"h_l!'me"</f>
        <v>#VALUE!</v>
      </c>
      <c r="BC149" t="e">
        <f>'Compiled Agents'!B810+"h_l!'mf"</f>
        <v>#VALUE!</v>
      </c>
      <c r="BD149" t="e">
        <f>'Compiled Agents'!C810+"h_l!'mg"</f>
        <v>#VALUE!</v>
      </c>
      <c r="BE149" t="e">
        <f>'Compiled Agents'!E810+"h_l!'mh"</f>
        <v>#VALUE!</v>
      </c>
      <c r="BF149" t="e">
        <f>'Compiled Agents'!F810+"h_l!'mi"</f>
        <v>#VALUE!</v>
      </c>
      <c r="BG149" t="e">
        <f>'Compiled Agents'!G810+"h_l!'mj"</f>
        <v>#VALUE!</v>
      </c>
      <c r="BH149" t="e">
        <f>'Compiled Agents'!H810+"h_l!'mk"</f>
        <v>#VALUE!</v>
      </c>
      <c r="BI149" t="e">
        <f>'Compiled Agents'!A811+"h_l!'ml"</f>
        <v>#VALUE!</v>
      </c>
      <c r="BJ149" t="e">
        <f>'Compiled Agents'!B811+"h_l!'mm"</f>
        <v>#VALUE!</v>
      </c>
      <c r="BK149" t="e">
        <f>'Compiled Agents'!C811+"h_l!'mn"</f>
        <v>#VALUE!</v>
      </c>
      <c r="BL149" t="e">
        <f>'Compiled Agents'!E811+"h_l!'mo"</f>
        <v>#VALUE!</v>
      </c>
      <c r="BM149" t="e">
        <f>'Compiled Agents'!F811+"h_l!'mp"</f>
        <v>#VALUE!</v>
      </c>
      <c r="BN149" t="e">
        <f>'Compiled Agents'!G811+"h_l!'mq"</f>
        <v>#VALUE!</v>
      </c>
      <c r="BO149" t="e">
        <f>'Compiled Agents'!H811+"h_l!'mr"</f>
        <v>#VALUE!</v>
      </c>
      <c r="BP149" t="e">
        <f>'Compiled Agents'!A812+"h_l!'ms"</f>
        <v>#VALUE!</v>
      </c>
      <c r="BQ149" t="e">
        <f>'Compiled Agents'!B812+"h_l!'mt"</f>
        <v>#VALUE!</v>
      </c>
      <c r="BR149" t="e">
        <f>'Compiled Agents'!C812+"h_l!'mu"</f>
        <v>#VALUE!</v>
      </c>
      <c r="BS149" t="e">
        <f>'Compiled Agents'!E812+"h_l!'mv"</f>
        <v>#VALUE!</v>
      </c>
      <c r="BT149" t="e">
        <f>'Compiled Agents'!F812+"h_l!'mw"</f>
        <v>#VALUE!</v>
      </c>
      <c r="BU149" t="e">
        <f>'Compiled Agents'!G812+"h_l!'mx"</f>
        <v>#VALUE!</v>
      </c>
      <c r="BV149" t="e">
        <f>'Compiled Agents'!H812+"h_l!'my"</f>
        <v>#VALUE!</v>
      </c>
      <c r="BW149" t="e">
        <f>'Compiled Agents'!A813+"h_l!'mz"</f>
        <v>#VALUE!</v>
      </c>
      <c r="BX149" t="e">
        <f>'Compiled Agents'!B813+"h_l!'m{"</f>
        <v>#VALUE!</v>
      </c>
      <c r="BY149" t="e">
        <f>'Compiled Agents'!C813+"h_l!'m|"</f>
        <v>#VALUE!</v>
      </c>
      <c r="BZ149" t="e">
        <f>'Compiled Agents'!E813+"h_l!'m}"</f>
        <v>#VALUE!</v>
      </c>
      <c r="CA149" t="e">
        <f>'Compiled Agents'!F813+"h_l!'m~"</f>
        <v>#VALUE!</v>
      </c>
      <c r="CB149" t="e">
        <f>'Compiled Agents'!G813+"h_l!'n#"</f>
        <v>#VALUE!</v>
      </c>
      <c r="CC149" t="e">
        <f>'Compiled Agents'!H813+"h_l!'n$"</f>
        <v>#VALUE!</v>
      </c>
      <c r="CD149" t="e">
        <f>'Compiled Agents'!A814+"h_l!'n%"</f>
        <v>#VALUE!</v>
      </c>
      <c r="CE149" t="e">
        <f>'Compiled Agents'!B814+"h_l!'n&amp;"</f>
        <v>#VALUE!</v>
      </c>
      <c r="CF149" t="e">
        <f>'Compiled Agents'!C814+"h_l!'n'"</f>
        <v>#VALUE!</v>
      </c>
      <c r="CG149" t="e">
        <f>'Compiled Agents'!E814+"h_l!'n("</f>
        <v>#VALUE!</v>
      </c>
      <c r="CH149" t="e">
        <f>'Compiled Agents'!F814+"h_l!'n)"</f>
        <v>#VALUE!</v>
      </c>
      <c r="CI149" t="e">
        <f>'Compiled Agents'!G814+"h_l!'n."</f>
        <v>#VALUE!</v>
      </c>
      <c r="CJ149" t="e">
        <f>'Compiled Agents'!H814+"h_l!'n/"</f>
        <v>#VALUE!</v>
      </c>
      <c r="CK149" t="e">
        <f>'Compiled Agents'!A815+"h_l!'n0"</f>
        <v>#VALUE!</v>
      </c>
      <c r="CL149" t="e">
        <f>'Compiled Agents'!B815+"h_l!'n1"</f>
        <v>#VALUE!</v>
      </c>
      <c r="CM149" t="e">
        <f>'Compiled Agents'!C815+"h_l!'n2"</f>
        <v>#VALUE!</v>
      </c>
      <c r="CN149" t="e">
        <f>'Compiled Agents'!E815+"h_l!'n3"</f>
        <v>#VALUE!</v>
      </c>
      <c r="CO149" t="e">
        <f>'Compiled Agents'!F815+"h_l!'n4"</f>
        <v>#VALUE!</v>
      </c>
      <c r="CP149" t="e">
        <f>'Compiled Agents'!G815+"h_l!'n5"</f>
        <v>#VALUE!</v>
      </c>
      <c r="CQ149" t="e">
        <f>'Compiled Agents'!H815+"h_l!'n6"</f>
        <v>#VALUE!</v>
      </c>
      <c r="CR149" t="e">
        <f>'Compiled Agents'!A816+"h_l!'n7"</f>
        <v>#VALUE!</v>
      </c>
      <c r="CS149" t="e">
        <f>'Compiled Agents'!B816+"h_l!'n8"</f>
        <v>#VALUE!</v>
      </c>
      <c r="CT149" t="e">
        <f>'Compiled Agents'!C816+"h_l!'n9"</f>
        <v>#VALUE!</v>
      </c>
      <c r="CU149" t="e">
        <f>'Compiled Agents'!E816+"h_l!'n:"</f>
        <v>#VALUE!</v>
      </c>
      <c r="CV149" t="e">
        <f>'Compiled Agents'!F816+"h_l!'n;"</f>
        <v>#VALUE!</v>
      </c>
      <c r="CW149" t="e">
        <f>'Compiled Agents'!G816+"h_l!'n&lt;"</f>
        <v>#VALUE!</v>
      </c>
      <c r="CX149" t="e">
        <f>'Compiled Agents'!H816+"h_l!'n="</f>
        <v>#VALUE!</v>
      </c>
      <c r="CY149" t="e">
        <f>'Compiled Agents'!A817+"h_l!'n&gt;"</f>
        <v>#VALUE!</v>
      </c>
      <c r="CZ149" t="e">
        <f>'Compiled Agents'!B817+"h_l!'n?"</f>
        <v>#VALUE!</v>
      </c>
      <c r="DA149" t="e">
        <f>'Compiled Agents'!C817+"h_l!'n@"</f>
        <v>#VALUE!</v>
      </c>
      <c r="DB149" t="e">
        <f>'Compiled Agents'!E817+"h_l!'nA"</f>
        <v>#VALUE!</v>
      </c>
      <c r="DC149" t="e">
        <f>'Compiled Agents'!F817+"h_l!'nB"</f>
        <v>#VALUE!</v>
      </c>
      <c r="DD149" t="e">
        <f>'Compiled Agents'!G817+"h_l!'nC"</f>
        <v>#VALUE!</v>
      </c>
      <c r="DE149" t="e">
        <f>'Compiled Agents'!H817+"h_l!'nD"</f>
        <v>#VALUE!</v>
      </c>
      <c r="DF149" t="e">
        <f>'Compiled Agents'!A818+"h_l!'nE"</f>
        <v>#VALUE!</v>
      </c>
      <c r="DG149" t="e">
        <f>'Compiled Agents'!B818+"h_l!'nF"</f>
        <v>#VALUE!</v>
      </c>
      <c r="DH149" t="e">
        <f>'Compiled Agents'!C818+"h_l!'nG"</f>
        <v>#VALUE!</v>
      </c>
      <c r="DI149" t="e">
        <f>'Compiled Agents'!E818+"h_l!'nH"</f>
        <v>#VALUE!</v>
      </c>
      <c r="DJ149" t="e">
        <f>'Compiled Agents'!F818+"h_l!'nI"</f>
        <v>#VALUE!</v>
      </c>
      <c r="DK149" t="e">
        <f>'Compiled Agents'!G818+"h_l!'nJ"</f>
        <v>#VALUE!</v>
      </c>
      <c r="DL149" t="e">
        <f>'Compiled Agents'!H818+"h_l!'nK"</f>
        <v>#VALUE!</v>
      </c>
      <c r="DM149" t="e">
        <f>'Compiled Agents'!A819+"h_l!'nL"</f>
        <v>#VALUE!</v>
      </c>
      <c r="DN149" t="e">
        <f>'Compiled Agents'!B819+"h_l!'nM"</f>
        <v>#VALUE!</v>
      </c>
      <c r="DO149" t="e">
        <f>'Compiled Agents'!C819+"h_l!'nN"</f>
        <v>#VALUE!</v>
      </c>
      <c r="DP149" t="e">
        <f>'Compiled Agents'!E819+"h_l!'nO"</f>
        <v>#VALUE!</v>
      </c>
      <c r="DQ149" t="e">
        <f>'Compiled Agents'!F819+"h_l!'nP"</f>
        <v>#VALUE!</v>
      </c>
      <c r="DR149" t="e">
        <f>'Compiled Agents'!G819+"h_l!'nQ"</f>
        <v>#VALUE!</v>
      </c>
      <c r="DS149" t="e">
        <f>'Compiled Agents'!H819+"h_l!'nR"</f>
        <v>#VALUE!</v>
      </c>
      <c r="DT149" t="e">
        <f>'Compiled Agents'!A820+"h_l!'nS"</f>
        <v>#VALUE!</v>
      </c>
      <c r="DU149" t="e">
        <f>'Compiled Agents'!B820+"h_l!'nT"</f>
        <v>#VALUE!</v>
      </c>
      <c r="DV149" t="e">
        <f>'Compiled Agents'!C820+"h_l!'nU"</f>
        <v>#VALUE!</v>
      </c>
      <c r="DW149" t="e">
        <f>'Compiled Agents'!E820+"h_l!'nV"</f>
        <v>#VALUE!</v>
      </c>
      <c r="DX149" t="e">
        <f>'Compiled Agents'!F820+"h_l!'nW"</f>
        <v>#VALUE!</v>
      </c>
      <c r="DY149" t="e">
        <f>'Compiled Agents'!G820+"h_l!'nX"</f>
        <v>#VALUE!</v>
      </c>
      <c r="DZ149" t="e">
        <f>'Compiled Agents'!H820+"h_l!'nY"</f>
        <v>#VALUE!</v>
      </c>
      <c r="EA149" t="e">
        <f>'Compiled Agents'!A821+"h_l!'nZ"</f>
        <v>#VALUE!</v>
      </c>
      <c r="EB149" t="e">
        <f>'Compiled Agents'!B821+"h_l!'n["</f>
        <v>#VALUE!</v>
      </c>
      <c r="EC149" t="e">
        <f>'Compiled Agents'!C821+"h_l!'n\"</f>
        <v>#VALUE!</v>
      </c>
      <c r="ED149" t="e">
        <f>'Compiled Agents'!E821+"h_l!'n]"</f>
        <v>#VALUE!</v>
      </c>
      <c r="EE149" t="e">
        <f>'Compiled Agents'!F821+"h_l!'n^"</f>
        <v>#VALUE!</v>
      </c>
      <c r="EF149" t="e">
        <f>'Compiled Agents'!G821+"h_l!'n_"</f>
        <v>#VALUE!</v>
      </c>
      <c r="EG149" t="e">
        <f>'Compiled Agents'!H821+"h_l!'n`"</f>
        <v>#VALUE!</v>
      </c>
      <c r="EH149" t="e">
        <f>'Compiled Agents'!A822+"h_l!'na"</f>
        <v>#VALUE!</v>
      </c>
      <c r="EI149" t="e">
        <f>'Compiled Agents'!B822+"h_l!'nb"</f>
        <v>#VALUE!</v>
      </c>
      <c r="EJ149" t="e">
        <f>'Compiled Agents'!C822+"h_l!'nc"</f>
        <v>#VALUE!</v>
      </c>
      <c r="EK149" t="e">
        <f>'Compiled Agents'!E822+"h_l!'nd"</f>
        <v>#VALUE!</v>
      </c>
      <c r="EL149" t="e">
        <f>'Compiled Agents'!F822+"h_l!'ne"</f>
        <v>#VALUE!</v>
      </c>
      <c r="EM149" t="e">
        <f>'Compiled Agents'!G822+"h_l!'nf"</f>
        <v>#VALUE!</v>
      </c>
      <c r="EN149" t="e">
        <f>'Compiled Agents'!H822+"h_l!'ng"</f>
        <v>#VALUE!</v>
      </c>
      <c r="EO149" t="e">
        <f>'Compiled Agents'!A823+"h_l!'nh"</f>
        <v>#VALUE!</v>
      </c>
      <c r="EP149" t="e">
        <f>'Compiled Agents'!B823+"h_l!'ni"</f>
        <v>#VALUE!</v>
      </c>
      <c r="EQ149" t="e">
        <f>'Compiled Agents'!C823+"h_l!'nj"</f>
        <v>#VALUE!</v>
      </c>
      <c r="ER149" t="e">
        <f>'Compiled Agents'!E823+"h_l!'nk"</f>
        <v>#VALUE!</v>
      </c>
      <c r="ES149" t="e">
        <f>'Compiled Agents'!F823+"h_l!'nl"</f>
        <v>#VALUE!</v>
      </c>
      <c r="ET149" t="e">
        <f>'Compiled Agents'!G823+"h_l!'nm"</f>
        <v>#VALUE!</v>
      </c>
      <c r="EU149" t="e">
        <f>'Compiled Agents'!H823+"h_l!'nn"</f>
        <v>#VALUE!</v>
      </c>
      <c r="EV149" t="e">
        <f>'Compiled Agents'!A824+"h_l!'no"</f>
        <v>#VALUE!</v>
      </c>
      <c r="EW149" t="e">
        <f>'Compiled Agents'!B824+"h_l!'np"</f>
        <v>#VALUE!</v>
      </c>
      <c r="EX149" t="e">
        <f>'Compiled Agents'!C824+"h_l!'nq"</f>
        <v>#VALUE!</v>
      </c>
      <c r="EY149" t="e">
        <f>'Compiled Agents'!E824+"h_l!'nr"</f>
        <v>#VALUE!</v>
      </c>
      <c r="EZ149" t="e">
        <f>'Compiled Agents'!F824+"h_l!'ns"</f>
        <v>#VALUE!</v>
      </c>
      <c r="FA149" t="e">
        <f>'Compiled Agents'!G824+"h_l!'nt"</f>
        <v>#VALUE!</v>
      </c>
      <c r="FB149" t="e">
        <f>'Compiled Agents'!H824+"h_l!'nu"</f>
        <v>#VALUE!</v>
      </c>
      <c r="FC149" t="e">
        <f>'Compiled Agents'!A825+"h_l!'nv"</f>
        <v>#VALUE!</v>
      </c>
      <c r="FD149" t="e">
        <f>'Compiled Agents'!B825+"h_l!'nw"</f>
        <v>#VALUE!</v>
      </c>
      <c r="FE149" t="e">
        <f>'Compiled Agents'!C825+"h_l!'nx"</f>
        <v>#VALUE!</v>
      </c>
      <c r="FF149" t="e">
        <f>'Compiled Agents'!E825+"h_l!'ny"</f>
        <v>#VALUE!</v>
      </c>
      <c r="FG149" t="e">
        <f>'Compiled Agents'!F825+"h_l!'nz"</f>
        <v>#VALUE!</v>
      </c>
      <c r="FH149" t="e">
        <f>'Compiled Agents'!G825+"h_l!'n{"</f>
        <v>#VALUE!</v>
      </c>
      <c r="FI149" t="e">
        <f>'Compiled Agents'!H825+"h_l!'n|"</f>
        <v>#VALUE!</v>
      </c>
      <c r="FJ149" t="e">
        <f>'Compiled Agents'!A826+"h_l!'n}"</f>
        <v>#VALUE!</v>
      </c>
      <c r="FK149" t="e">
        <f>'Compiled Agents'!B826+"h_l!'n~"</f>
        <v>#VALUE!</v>
      </c>
      <c r="FL149" t="e">
        <f>'Compiled Agents'!C826+"h_l!'o#"</f>
        <v>#VALUE!</v>
      </c>
      <c r="FM149" t="e">
        <f>'Compiled Agents'!E826+"h_l!'o$"</f>
        <v>#VALUE!</v>
      </c>
      <c r="FN149" t="e">
        <f>'Compiled Agents'!F826+"h_l!'o%"</f>
        <v>#VALUE!</v>
      </c>
      <c r="FO149" t="e">
        <f>'Compiled Agents'!G826+"h_l!'o&amp;"</f>
        <v>#VALUE!</v>
      </c>
      <c r="FP149" t="e">
        <f>'Compiled Agents'!H826+"h_l!'o'"</f>
        <v>#VALUE!</v>
      </c>
      <c r="FQ149" t="e">
        <f>'Compiled Agents'!A827+"h_l!'o("</f>
        <v>#VALUE!</v>
      </c>
      <c r="FR149" t="e">
        <f>'Compiled Agents'!B827+"h_l!'o)"</f>
        <v>#VALUE!</v>
      </c>
      <c r="FS149" t="e">
        <f>'Compiled Agents'!C827+"h_l!'o."</f>
        <v>#VALUE!</v>
      </c>
      <c r="FT149" t="e">
        <f>'Compiled Agents'!E827+"h_l!'o/"</f>
        <v>#VALUE!</v>
      </c>
      <c r="FU149" t="e">
        <f>'Compiled Agents'!F827+"h_l!'o0"</f>
        <v>#VALUE!</v>
      </c>
      <c r="FV149" t="e">
        <f>'Compiled Agents'!G827+"h_l!'o1"</f>
        <v>#VALUE!</v>
      </c>
      <c r="FW149" t="e">
        <f>'Compiled Agents'!H827+"h_l!'o2"</f>
        <v>#VALUE!</v>
      </c>
      <c r="FX149" t="e">
        <f>'Compiled Agents'!A828+"h_l!'o3"</f>
        <v>#VALUE!</v>
      </c>
      <c r="FY149" t="e">
        <f>'Compiled Agents'!B828+"h_l!'o4"</f>
        <v>#VALUE!</v>
      </c>
      <c r="FZ149" t="e">
        <f>'Compiled Agents'!C828+"h_l!'o5"</f>
        <v>#VALUE!</v>
      </c>
      <c r="GA149" t="e">
        <f>'Compiled Agents'!E828+"h_l!'o6"</f>
        <v>#VALUE!</v>
      </c>
      <c r="GB149" t="e">
        <f>'Compiled Agents'!F828+"h_l!'o7"</f>
        <v>#VALUE!</v>
      </c>
      <c r="GC149" t="e">
        <f>'Compiled Agents'!G828+"h_l!'o8"</f>
        <v>#VALUE!</v>
      </c>
      <c r="GD149" t="e">
        <f>'Compiled Agents'!H828+"h_l!'o9"</f>
        <v>#VALUE!</v>
      </c>
      <c r="GE149" t="e">
        <f>'Compiled Agents'!A829+"h_l!'o:"</f>
        <v>#VALUE!</v>
      </c>
      <c r="GF149" t="e">
        <f>'Compiled Agents'!B829+"h_l!'o;"</f>
        <v>#VALUE!</v>
      </c>
      <c r="GG149" t="e">
        <f>'Compiled Agents'!C829+"h_l!'o&lt;"</f>
        <v>#VALUE!</v>
      </c>
      <c r="GH149" t="e">
        <f>'Compiled Agents'!E829+"h_l!'o="</f>
        <v>#VALUE!</v>
      </c>
      <c r="GI149" t="e">
        <f>'Compiled Agents'!F829+"h_l!'o&gt;"</f>
        <v>#VALUE!</v>
      </c>
      <c r="GJ149" t="e">
        <f>'Compiled Agents'!G829+"h_l!'o?"</f>
        <v>#VALUE!</v>
      </c>
      <c r="GK149" t="e">
        <f>'Compiled Agents'!H829+"h_l!'o@"</f>
        <v>#VALUE!</v>
      </c>
      <c r="GL149" t="e">
        <f>'Compiled Agents'!A830+"h_l!'oA"</f>
        <v>#VALUE!</v>
      </c>
      <c r="GM149" t="e">
        <f>'Compiled Agents'!B830+"h_l!'oB"</f>
        <v>#VALUE!</v>
      </c>
      <c r="GN149" t="e">
        <f>'Compiled Agents'!C830+"h_l!'oC"</f>
        <v>#VALUE!</v>
      </c>
      <c r="GO149" t="e">
        <f>'Compiled Agents'!E830+"h_l!'oD"</f>
        <v>#VALUE!</v>
      </c>
      <c r="GP149" t="e">
        <f>'Compiled Agents'!F830+"h_l!'oE"</f>
        <v>#VALUE!</v>
      </c>
      <c r="GQ149" t="e">
        <f>'Compiled Agents'!G830+"h_l!'oF"</f>
        <v>#VALUE!</v>
      </c>
      <c r="GR149" t="e">
        <f>'Compiled Agents'!H830+"h_l!'oG"</f>
        <v>#VALUE!</v>
      </c>
      <c r="GS149" t="e">
        <f>'Compiled Agents'!A831+"h_l!'oH"</f>
        <v>#VALUE!</v>
      </c>
      <c r="GT149" t="e">
        <f>'Compiled Agents'!B831+"h_l!'oI"</f>
        <v>#VALUE!</v>
      </c>
      <c r="GU149" t="e">
        <f>'Compiled Agents'!C831+"h_l!'oJ"</f>
        <v>#VALUE!</v>
      </c>
      <c r="GV149" t="e">
        <f>'Compiled Agents'!E831+"h_l!'oK"</f>
        <v>#VALUE!</v>
      </c>
      <c r="GW149" t="e">
        <f>'Compiled Agents'!F831+"h_l!'oL"</f>
        <v>#VALUE!</v>
      </c>
      <c r="GX149" t="e">
        <f>'Compiled Agents'!G831+"h_l!'oM"</f>
        <v>#VALUE!</v>
      </c>
      <c r="GY149" t="e">
        <f>'Compiled Agents'!H831+"h_l!'oN"</f>
        <v>#VALUE!</v>
      </c>
      <c r="GZ149" t="e">
        <f>'Compiled Agents'!A832+"h_l!'oO"</f>
        <v>#VALUE!</v>
      </c>
      <c r="HA149" t="e">
        <f>'Compiled Agents'!B832+"h_l!'oP"</f>
        <v>#VALUE!</v>
      </c>
      <c r="HB149" t="e">
        <f>'Compiled Agents'!C832+"h_l!'oQ"</f>
        <v>#VALUE!</v>
      </c>
      <c r="HC149" t="e">
        <f>'Compiled Agents'!E832+"h_l!'oR"</f>
        <v>#VALUE!</v>
      </c>
      <c r="HD149" t="e">
        <f>'Compiled Agents'!F832+"h_l!'oS"</f>
        <v>#VALUE!</v>
      </c>
      <c r="HE149" t="e">
        <f>'Compiled Agents'!G832+"h_l!'oT"</f>
        <v>#VALUE!</v>
      </c>
      <c r="HF149" t="e">
        <f>'Compiled Agents'!H832+"h_l!'oU"</f>
        <v>#VALUE!</v>
      </c>
      <c r="HG149" t="e">
        <f>'Compiled Agents'!A833+"h_l!'oV"</f>
        <v>#VALUE!</v>
      </c>
      <c r="HH149" t="e">
        <f>'Compiled Agents'!B833+"h_l!'oW"</f>
        <v>#VALUE!</v>
      </c>
      <c r="HI149" t="e">
        <f>'Compiled Agents'!C833+"h_l!'oX"</f>
        <v>#VALUE!</v>
      </c>
      <c r="HJ149" t="e">
        <f>'Compiled Agents'!E833+"h_l!'oY"</f>
        <v>#VALUE!</v>
      </c>
      <c r="HK149" t="e">
        <f>'Compiled Agents'!F833+"h_l!'oZ"</f>
        <v>#VALUE!</v>
      </c>
      <c r="HL149" t="e">
        <f>'Compiled Agents'!G833+"h_l!'o["</f>
        <v>#VALUE!</v>
      </c>
      <c r="HM149" t="e">
        <f>'Compiled Agents'!H833+"h_l!'o\"</f>
        <v>#VALUE!</v>
      </c>
      <c r="HN149" t="e">
        <f>'Compiled Agents'!A834+"h_l!'o]"</f>
        <v>#VALUE!</v>
      </c>
      <c r="HO149" t="e">
        <f>'Compiled Agents'!B834+"h_l!'o^"</f>
        <v>#VALUE!</v>
      </c>
      <c r="HP149" t="e">
        <f>'Compiled Agents'!C834+"h_l!'o_"</f>
        <v>#VALUE!</v>
      </c>
      <c r="HQ149" t="e">
        <f>'Compiled Agents'!E834+"h_l!'o`"</f>
        <v>#VALUE!</v>
      </c>
      <c r="HR149" t="e">
        <f>'Compiled Agents'!F834+"h_l!'oa"</f>
        <v>#VALUE!</v>
      </c>
      <c r="HS149" t="e">
        <f>'Compiled Agents'!G834+"h_l!'ob"</f>
        <v>#VALUE!</v>
      </c>
      <c r="HT149" t="e">
        <f>'Compiled Agents'!H834+"h_l!'oc"</f>
        <v>#VALUE!</v>
      </c>
      <c r="HU149" t="e">
        <f>'Compiled Agents'!A835+"h_l!'od"</f>
        <v>#VALUE!</v>
      </c>
      <c r="HV149" t="e">
        <f>'Compiled Agents'!B835+"h_l!'oe"</f>
        <v>#VALUE!</v>
      </c>
      <c r="HW149" t="e">
        <f>'Compiled Agents'!C835+"h_l!'of"</f>
        <v>#VALUE!</v>
      </c>
      <c r="HX149" t="e">
        <f>'Compiled Agents'!E835+"h_l!'og"</f>
        <v>#VALUE!</v>
      </c>
      <c r="HY149" t="e">
        <f>'Compiled Agents'!F835+"h_l!'oh"</f>
        <v>#VALUE!</v>
      </c>
      <c r="HZ149" t="e">
        <f>'Compiled Agents'!G835+"h_l!'oi"</f>
        <v>#VALUE!</v>
      </c>
      <c r="IA149" t="e">
        <f>'Compiled Agents'!H835+"h_l!'oj"</f>
        <v>#VALUE!</v>
      </c>
      <c r="IB149" t="e">
        <f>'Compiled Agents'!A836+"h_l!'ok"</f>
        <v>#VALUE!</v>
      </c>
      <c r="IC149" t="e">
        <f>'Compiled Agents'!B836+"h_l!'ol"</f>
        <v>#VALUE!</v>
      </c>
      <c r="ID149" t="e">
        <f>'Compiled Agents'!C836+"h_l!'om"</f>
        <v>#VALUE!</v>
      </c>
      <c r="IE149" t="e">
        <f>'Compiled Agents'!E836+"h_l!'on"</f>
        <v>#VALUE!</v>
      </c>
      <c r="IF149" t="e">
        <f>'Compiled Agents'!F836+"h_l!'oo"</f>
        <v>#VALUE!</v>
      </c>
      <c r="IG149" t="e">
        <f>'Compiled Agents'!G836+"h_l!'op"</f>
        <v>#VALUE!</v>
      </c>
      <c r="IH149" t="e">
        <f>'Compiled Agents'!H836+"h_l!'oq"</f>
        <v>#VALUE!</v>
      </c>
      <c r="II149" t="e">
        <f>'Compiled Agents'!A837+"h_l!'or"</f>
        <v>#VALUE!</v>
      </c>
      <c r="IJ149" t="e">
        <f>'Compiled Agents'!B837+"h_l!'os"</f>
        <v>#VALUE!</v>
      </c>
      <c r="IK149" t="e">
        <f>'Compiled Agents'!C837+"h_l!'ot"</f>
        <v>#VALUE!</v>
      </c>
      <c r="IL149" t="e">
        <f>'Compiled Agents'!E837+"h_l!'ou"</f>
        <v>#VALUE!</v>
      </c>
      <c r="IM149" t="e">
        <f>'Compiled Agents'!F837+"h_l!'ov"</f>
        <v>#VALUE!</v>
      </c>
      <c r="IN149" t="e">
        <f>'Compiled Agents'!G837+"h_l!'ow"</f>
        <v>#VALUE!</v>
      </c>
      <c r="IO149" t="e">
        <f>'Compiled Agents'!H837+"h_l!'ox"</f>
        <v>#VALUE!</v>
      </c>
      <c r="IP149" t="e">
        <f>'Compiled Agents'!A838+"h_l!'oy"</f>
        <v>#VALUE!</v>
      </c>
      <c r="IQ149" t="e">
        <f>'Compiled Agents'!B838+"h_l!'oz"</f>
        <v>#VALUE!</v>
      </c>
      <c r="IR149" t="e">
        <f>'Compiled Agents'!C838+"h_l!'o{"</f>
        <v>#VALUE!</v>
      </c>
      <c r="IS149" t="e">
        <f>'Compiled Agents'!E838+"h_l!'o|"</f>
        <v>#VALUE!</v>
      </c>
      <c r="IT149" t="e">
        <f>'Compiled Agents'!F838+"h_l!'o}"</f>
        <v>#VALUE!</v>
      </c>
      <c r="IU149" t="e">
        <f>'Compiled Agents'!G838+"h_l!'o~"</f>
        <v>#VALUE!</v>
      </c>
      <c r="IV149" t="e">
        <f>'Compiled Agents'!H838+"h_l!'p#"</f>
        <v>#VALUE!</v>
      </c>
    </row>
    <row r="150" spans="6:256" x14ac:dyDescent="0.25">
      <c r="F150" t="e">
        <f>'Compiled Agents'!A839+"h_l!'p$"</f>
        <v>#VALUE!</v>
      </c>
      <c r="G150" t="e">
        <f>'Compiled Agents'!B839+"h_l!'p%"</f>
        <v>#VALUE!</v>
      </c>
      <c r="H150" t="e">
        <f>'Compiled Agents'!C839+"h_l!'p&amp;"</f>
        <v>#VALUE!</v>
      </c>
      <c r="I150" t="e">
        <f>'Compiled Agents'!E839+"h_l!'p'"</f>
        <v>#VALUE!</v>
      </c>
      <c r="J150" t="e">
        <f>'Compiled Agents'!F839+"h_l!'p("</f>
        <v>#VALUE!</v>
      </c>
      <c r="K150" t="e">
        <f>'Compiled Agents'!G839+"h_l!'p)"</f>
        <v>#VALUE!</v>
      </c>
      <c r="L150" t="e">
        <f>'Compiled Agents'!H839+"h_l!'p."</f>
        <v>#VALUE!</v>
      </c>
      <c r="M150" t="e">
        <f>'Compiled Agents'!A840+"h_l!'p/"</f>
        <v>#VALUE!</v>
      </c>
      <c r="N150" t="e">
        <f>'Compiled Agents'!B840+"h_l!'p0"</f>
        <v>#VALUE!</v>
      </c>
      <c r="O150" t="e">
        <f>'Compiled Agents'!C840+"h_l!'p1"</f>
        <v>#VALUE!</v>
      </c>
      <c r="P150" t="e">
        <f>'Compiled Agents'!E840+"h_l!'p2"</f>
        <v>#VALUE!</v>
      </c>
      <c r="Q150" t="e">
        <f>'Compiled Agents'!F840+"h_l!'p3"</f>
        <v>#VALUE!</v>
      </c>
      <c r="R150" t="e">
        <f>'Compiled Agents'!G840+"h_l!'p4"</f>
        <v>#VALUE!</v>
      </c>
      <c r="S150" t="e">
        <f>'Compiled Agents'!H840+"h_l!'p5"</f>
        <v>#VALUE!</v>
      </c>
      <c r="T150" t="e">
        <f>'Compiled Agents'!A841+"h_l!'p6"</f>
        <v>#VALUE!</v>
      </c>
      <c r="U150" t="e">
        <f>'Compiled Agents'!B841+"h_l!'p7"</f>
        <v>#VALUE!</v>
      </c>
      <c r="V150" t="e">
        <f>'Compiled Agents'!C841+"h_l!'p8"</f>
        <v>#VALUE!</v>
      </c>
      <c r="W150" t="e">
        <f>'Compiled Agents'!E841+"h_l!'p9"</f>
        <v>#VALUE!</v>
      </c>
      <c r="X150" t="e">
        <f>'Compiled Agents'!F841+"h_l!'p:"</f>
        <v>#VALUE!</v>
      </c>
      <c r="Y150" t="e">
        <f>'Compiled Agents'!G841+"h_l!'p;"</f>
        <v>#VALUE!</v>
      </c>
      <c r="Z150" t="e">
        <f>'Compiled Agents'!H841+"h_l!'p&lt;"</f>
        <v>#VALUE!</v>
      </c>
      <c r="AA150" t="e">
        <f>'Compiled Agents'!A842+"h_l!'p="</f>
        <v>#VALUE!</v>
      </c>
      <c r="AB150" t="e">
        <f>'Compiled Agents'!B842+"h_l!'p&gt;"</f>
        <v>#VALUE!</v>
      </c>
      <c r="AC150" t="e">
        <f>'Compiled Agents'!C842+"h_l!'p?"</f>
        <v>#VALUE!</v>
      </c>
      <c r="AD150" t="e">
        <f>'Compiled Agents'!E842+"h_l!'p@"</f>
        <v>#VALUE!</v>
      </c>
      <c r="AE150" t="e">
        <f>'Compiled Agents'!F842+"h_l!'pA"</f>
        <v>#VALUE!</v>
      </c>
      <c r="AF150" t="e">
        <f>'Compiled Agents'!G842+"h_l!'pB"</f>
        <v>#VALUE!</v>
      </c>
      <c r="AG150" t="e">
        <f>'Compiled Agents'!H842+"h_l!'pC"</f>
        <v>#VALUE!</v>
      </c>
      <c r="AH150" t="e">
        <f>'Compiled Agents'!A843+"h_l!'pD"</f>
        <v>#VALUE!</v>
      </c>
      <c r="AI150" t="e">
        <f>'Compiled Agents'!B843+"h_l!'pE"</f>
        <v>#VALUE!</v>
      </c>
      <c r="AJ150" t="e">
        <f>'Compiled Agents'!C843+"h_l!'pF"</f>
        <v>#VALUE!</v>
      </c>
      <c r="AK150" t="e">
        <f>'Compiled Agents'!E843+"h_l!'pG"</f>
        <v>#VALUE!</v>
      </c>
      <c r="AL150" t="e">
        <f>'Compiled Agents'!F843+"h_l!'pH"</f>
        <v>#VALUE!</v>
      </c>
      <c r="AM150" t="e">
        <f>'Compiled Agents'!G843+"h_l!'pI"</f>
        <v>#VALUE!</v>
      </c>
      <c r="AN150" t="e">
        <f>'Compiled Agents'!H843+"h_l!'pJ"</f>
        <v>#VALUE!</v>
      </c>
      <c r="AO150" t="e">
        <f>'Compiled Agents'!A844+"h_l!'pK"</f>
        <v>#VALUE!</v>
      </c>
      <c r="AP150" t="e">
        <f>'Compiled Agents'!B844+"h_l!'pL"</f>
        <v>#VALUE!</v>
      </c>
      <c r="AQ150" t="e">
        <f>'Compiled Agents'!C844+"h_l!'pM"</f>
        <v>#VALUE!</v>
      </c>
      <c r="AR150" t="e">
        <f>'Compiled Agents'!E844+"h_l!'pN"</f>
        <v>#VALUE!</v>
      </c>
      <c r="AS150" t="e">
        <f>'Compiled Agents'!F844+"h_l!'pO"</f>
        <v>#VALUE!</v>
      </c>
      <c r="AT150" t="e">
        <f>'Compiled Agents'!G844+"h_l!'pP"</f>
        <v>#VALUE!</v>
      </c>
      <c r="AU150" t="e">
        <f>'Compiled Agents'!H844+"h_l!'pQ"</f>
        <v>#VALUE!</v>
      </c>
      <c r="AV150" t="e">
        <f>'Compiled Agents'!A845+"h_l!'pR"</f>
        <v>#VALUE!</v>
      </c>
      <c r="AW150" t="e">
        <f>'Compiled Agents'!B845+"h_l!'pS"</f>
        <v>#VALUE!</v>
      </c>
      <c r="AX150" t="e">
        <f>'Compiled Agents'!C845+"h_l!'pT"</f>
        <v>#VALUE!</v>
      </c>
      <c r="AY150" t="e">
        <f>'Compiled Agents'!E845+"h_l!'pU"</f>
        <v>#VALUE!</v>
      </c>
      <c r="AZ150" t="e">
        <f>'Compiled Agents'!F845+"h_l!'pV"</f>
        <v>#VALUE!</v>
      </c>
      <c r="BA150" t="e">
        <f>'Compiled Agents'!G845+"h_l!'pW"</f>
        <v>#VALUE!</v>
      </c>
      <c r="BB150" t="e">
        <f>'Compiled Agents'!H845+"h_l!'pX"</f>
        <v>#VALUE!</v>
      </c>
      <c r="BC150" t="e">
        <f>'Compiled Agents'!A846+"h_l!'pY"</f>
        <v>#VALUE!</v>
      </c>
      <c r="BD150" t="e">
        <f>'Compiled Agents'!B846+"h_l!'pZ"</f>
        <v>#VALUE!</v>
      </c>
      <c r="BE150" t="e">
        <f>'Compiled Agents'!C846+"h_l!'p["</f>
        <v>#VALUE!</v>
      </c>
      <c r="BF150" t="e">
        <f>'Compiled Agents'!E846+"h_l!'p\"</f>
        <v>#VALUE!</v>
      </c>
      <c r="BG150" t="e">
        <f>'Compiled Agents'!F846+"h_l!'p]"</f>
        <v>#VALUE!</v>
      </c>
      <c r="BH150" t="e">
        <f>'Compiled Agents'!G846+"h_l!'p^"</f>
        <v>#VALUE!</v>
      </c>
      <c r="BI150" t="e">
        <f>'Compiled Agents'!H846+"h_l!'p_"</f>
        <v>#VALUE!</v>
      </c>
      <c r="BJ150" t="e">
        <f>'Compiled Agents'!A847+"h_l!'p`"</f>
        <v>#VALUE!</v>
      </c>
      <c r="BK150" t="e">
        <f>'Compiled Agents'!B847+"h_l!'pa"</f>
        <v>#VALUE!</v>
      </c>
      <c r="BL150" t="e">
        <f>'Compiled Agents'!C847+"h_l!'pb"</f>
        <v>#VALUE!</v>
      </c>
      <c r="BM150" t="e">
        <f>'Compiled Agents'!E847+"h_l!'pc"</f>
        <v>#VALUE!</v>
      </c>
      <c r="BN150" t="e">
        <f>'Compiled Agents'!F847+"h_l!'pd"</f>
        <v>#VALUE!</v>
      </c>
      <c r="BO150" t="e">
        <f>'Compiled Agents'!G847+"h_l!'pe"</f>
        <v>#VALUE!</v>
      </c>
      <c r="BP150" t="e">
        <f>'Compiled Agents'!H847+"h_l!'pf"</f>
        <v>#VALUE!</v>
      </c>
      <c r="BQ150" t="e">
        <f>'Compiled Agents'!A848+"h_l!'pg"</f>
        <v>#VALUE!</v>
      </c>
      <c r="BR150" t="e">
        <f>'Compiled Agents'!B848+"h_l!'ph"</f>
        <v>#VALUE!</v>
      </c>
      <c r="BS150" t="e">
        <f>'Compiled Agents'!C848+"h_l!'pi"</f>
        <v>#VALUE!</v>
      </c>
      <c r="BT150" t="e">
        <f>'Compiled Agents'!E848+"h_l!'pj"</f>
        <v>#VALUE!</v>
      </c>
      <c r="BU150" t="e">
        <f>'Compiled Agents'!F848+"h_l!'pk"</f>
        <v>#VALUE!</v>
      </c>
      <c r="BV150" t="e">
        <f>'Compiled Agents'!G848+"h_l!'pl"</f>
        <v>#VALUE!</v>
      </c>
      <c r="BW150" t="e">
        <f>'Compiled Agents'!H848+"h_l!'pm"</f>
        <v>#VALUE!</v>
      </c>
      <c r="BX150" t="e">
        <f>'Compiled Agents'!A849+"h_l!'pn"</f>
        <v>#VALUE!</v>
      </c>
      <c r="BY150" t="e">
        <f>'Compiled Agents'!B849+"h_l!'po"</f>
        <v>#VALUE!</v>
      </c>
      <c r="BZ150" t="e">
        <f>'Compiled Agents'!C849+"h_l!'pp"</f>
        <v>#VALUE!</v>
      </c>
      <c r="CA150" t="e">
        <f>'Compiled Agents'!E849+"h_l!'pq"</f>
        <v>#VALUE!</v>
      </c>
      <c r="CB150" t="e">
        <f>'Compiled Agents'!F849+"h_l!'pr"</f>
        <v>#VALUE!</v>
      </c>
      <c r="CC150" t="e">
        <f>'Compiled Agents'!G849+"h_l!'ps"</f>
        <v>#VALUE!</v>
      </c>
      <c r="CD150" t="e">
        <f>'Compiled Agents'!H849+"h_l!'pt"</f>
        <v>#VALUE!</v>
      </c>
      <c r="CE150" t="e">
        <f>'Compiled Agents'!A850+"h_l!'pu"</f>
        <v>#VALUE!</v>
      </c>
      <c r="CF150" t="e">
        <f>'Compiled Agents'!B850+"h_l!'pv"</f>
        <v>#VALUE!</v>
      </c>
      <c r="CG150" t="e">
        <f>'Compiled Agents'!C850+"h_l!'pw"</f>
        <v>#VALUE!</v>
      </c>
      <c r="CH150" t="e">
        <f>'Compiled Agents'!E850+"h_l!'px"</f>
        <v>#VALUE!</v>
      </c>
      <c r="CI150" t="e">
        <f>'Compiled Agents'!F850+"h_l!'py"</f>
        <v>#VALUE!</v>
      </c>
      <c r="CJ150" t="e">
        <f>'Compiled Agents'!G850+"h_l!'pz"</f>
        <v>#VALUE!</v>
      </c>
      <c r="CK150" t="e">
        <f>'Compiled Agents'!H850+"h_l!'p{"</f>
        <v>#VALUE!</v>
      </c>
      <c r="CL150" t="e">
        <f>'Compiled Agents'!A851+"h_l!'p|"</f>
        <v>#VALUE!</v>
      </c>
      <c r="CM150" t="e">
        <f>'Compiled Agents'!B851+"h_l!'p}"</f>
        <v>#VALUE!</v>
      </c>
      <c r="CN150" t="e">
        <f>'Compiled Agents'!C851+"h_l!'p~"</f>
        <v>#VALUE!</v>
      </c>
      <c r="CO150" t="e">
        <f>'Compiled Agents'!E851+"h_l!'q#"</f>
        <v>#VALUE!</v>
      </c>
      <c r="CP150" t="e">
        <f>'Compiled Agents'!F851+"h_l!'q$"</f>
        <v>#VALUE!</v>
      </c>
      <c r="CQ150" t="e">
        <f>'Compiled Agents'!G851+"h_l!'q%"</f>
        <v>#VALUE!</v>
      </c>
      <c r="CR150" t="e">
        <f>'Compiled Agents'!H851+"h_l!'q&amp;"</f>
        <v>#VALUE!</v>
      </c>
      <c r="CS150" t="e">
        <f>'Compiled Agents'!A852+"h_l!'q'"</f>
        <v>#VALUE!</v>
      </c>
      <c r="CT150" t="e">
        <f>'Compiled Agents'!B852+"h_l!'q("</f>
        <v>#VALUE!</v>
      </c>
      <c r="CU150" t="e">
        <f>'Compiled Agents'!C852+"h_l!'q)"</f>
        <v>#VALUE!</v>
      </c>
      <c r="CV150" t="e">
        <f>'Compiled Agents'!E852+"h_l!'q."</f>
        <v>#VALUE!</v>
      </c>
      <c r="CW150" t="e">
        <f>'Compiled Agents'!F852+"h_l!'q/"</f>
        <v>#VALUE!</v>
      </c>
      <c r="CX150" t="e">
        <f>'Compiled Agents'!G852+"h_l!'q0"</f>
        <v>#VALUE!</v>
      </c>
      <c r="CY150" t="e">
        <f>'Compiled Agents'!H852+"h_l!'q1"</f>
        <v>#VALUE!</v>
      </c>
      <c r="CZ150" t="e">
        <f>'Compiled Agents'!A853+"h_l!'q2"</f>
        <v>#VALUE!</v>
      </c>
      <c r="DA150" t="e">
        <f>'Compiled Agents'!B853+"h_l!'q3"</f>
        <v>#VALUE!</v>
      </c>
      <c r="DB150" t="e">
        <f>'Compiled Agents'!C853+"h_l!'q4"</f>
        <v>#VALUE!</v>
      </c>
      <c r="DC150" t="e">
        <f>'Compiled Agents'!E853+"h_l!'q5"</f>
        <v>#VALUE!</v>
      </c>
      <c r="DD150" t="e">
        <f>'Compiled Agents'!F853+"h_l!'q6"</f>
        <v>#VALUE!</v>
      </c>
      <c r="DE150" t="e">
        <f>'Compiled Agents'!G853+"h_l!'q7"</f>
        <v>#VALUE!</v>
      </c>
      <c r="DF150" t="e">
        <f>'Compiled Agents'!H853+"h_l!'q8"</f>
        <v>#VALUE!</v>
      </c>
      <c r="DG150" t="e">
        <f>'Compiled Agents'!A854+"h_l!'q9"</f>
        <v>#VALUE!</v>
      </c>
      <c r="DH150" t="e">
        <f>'Compiled Agents'!B854+"h_l!'q:"</f>
        <v>#VALUE!</v>
      </c>
      <c r="DI150" t="e">
        <f>'Compiled Agents'!C854+"h_l!'q;"</f>
        <v>#VALUE!</v>
      </c>
      <c r="DJ150" t="e">
        <f>'Compiled Agents'!E854+"h_l!'q&lt;"</f>
        <v>#VALUE!</v>
      </c>
      <c r="DK150" t="e">
        <f>'Compiled Agents'!F854+"h_l!'q="</f>
        <v>#VALUE!</v>
      </c>
      <c r="DL150" t="e">
        <f>'Compiled Agents'!G854+"h_l!'q&gt;"</f>
        <v>#VALUE!</v>
      </c>
      <c r="DM150" t="e">
        <f>'Compiled Agents'!H854+"h_l!'q?"</f>
        <v>#VALUE!</v>
      </c>
      <c r="DN150" t="e">
        <f>'Compiled Agents'!A855+"h_l!'q@"</f>
        <v>#VALUE!</v>
      </c>
      <c r="DO150" t="e">
        <f>'Compiled Agents'!B855+"h_l!'qA"</f>
        <v>#VALUE!</v>
      </c>
      <c r="DP150" t="e">
        <f>'Compiled Agents'!C855+"h_l!'qB"</f>
        <v>#VALUE!</v>
      </c>
      <c r="DQ150" t="e">
        <f>'Compiled Agents'!E855+"h_l!'qC"</f>
        <v>#VALUE!</v>
      </c>
      <c r="DR150" t="e">
        <f>'Compiled Agents'!F855+"h_l!'qD"</f>
        <v>#VALUE!</v>
      </c>
      <c r="DS150" t="e">
        <f>'Compiled Agents'!G855+"h_l!'qE"</f>
        <v>#VALUE!</v>
      </c>
      <c r="DT150" t="e">
        <f>'Compiled Agents'!H855+"h_l!'qF"</f>
        <v>#VALUE!</v>
      </c>
      <c r="DU150" t="e">
        <f>'Compiled Agents'!A856+"h_l!'qG"</f>
        <v>#VALUE!</v>
      </c>
      <c r="DV150" t="e">
        <f>'Compiled Agents'!B856+"h_l!'qH"</f>
        <v>#VALUE!</v>
      </c>
      <c r="DW150" t="e">
        <f>'Compiled Agents'!C856+"h_l!'qI"</f>
        <v>#VALUE!</v>
      </c>
      <c r="DX150" t="e">
        <f>'Compiled Agents'!E856+"h_l!'qJ"</f>
        <v>#VALUE!</v>
      </c>
      <c r="DY150" t="e">
        <f>'Compiled Agents'!F856+"h_l!'qK"</f>
        <v>#VALUE!</v>
      </c>
      <c r="DZ150" t="e">
        <f>'Compiled Agents'!G856+"h_l!'qL"</f>
        <v>#VALUE!</v>
      </c>
      <c r="EA150" t="e">
        <f>'Compiled Agents'!H856+"h_l!'qM"</f>
        <v>#VALUE!</v>
      </c>
      <c r="EB150" t="e">
        <f>'Compiled Agents'!A857+"h_l!'qN"</f>
        <v>#VALUE!</v>
      </c>
      <c r="EC150" t="e">
        <f>'Compiled Agents'!B857+"h_l!'qO"</f>
        <v>#VALUE!</v>
      </c>
      <c r="ED150" t="e">
        <f>'Compiled Agents'!C857+"h_l!'qP"</f>
        <v>#VALUE!</v>
      </c>
      <c r="EE150" t="e">
        <f>'Compiled Agents'!E857+"h_l!'qQ"</f>
        <v>#VALUE!</v>
      </c>
      <c r="EF150" t="e">
        <f>'Compiled Agents'!F857+"h_l!'qR"</f>
        <v>#VALUE!</v>
      </c>
      <c r="EG150" t="e">
        <f>'Compiled Agents'!G857+"h_l!'qS"</f>
        <v>#VALUE!</v>
      </c>
      <c r="EH150" t="e">
        <f>'Compiled Agents'!H857+"h_l!'qT"</f>
        <v>#VALUE!</v>
      </c>
      <c r="EI150" t="e">
        <f>'Compiled Agents'!A858+"h_l!'qU"</f>
        <v>#VALUE!</v>
      </c>
      <c r="EJ150" t="e">
        <f>'Compiled Agents'!B858+"h_l!'qV"</f>
        <v>#VALUE!</v>
      </c>
      <c r="EK150" t="e">
        <f>'Compiled Agents'!C858+"h_l!'qW"</f>
        <v>#VALUE!</v>
      </c>
      <c r="EL150" t="e">
        <f>'Compiled Agents'!E858+"h_l!'qX"</f>
        <v>#VALUE!</v>
      </c>
      <c r="EM150" t="e">
        <f>'Compiled Agents'!F858+"h_l!'qY"</f>
        <v>#VALUE!</v>
      </c>
      <c r="EN150" t="e">
        <f>'Compiled Agents'!G858+"h_l!'qZ"</f>
        <v>#VALUE!</v>
      </c>
      <c r="EO150" t="e">
        <f>'Compiled Agents'!H858+"h_l!'q["</f>
        <v>#VALUE!</v>
      </c>
      <c r="EP150" t="e">
        <f>'Compiled Agents'!A859+"h_l!'q\"</f>
        <v>#VALUE!</v>
      </c>
      <c r="EQ150" t="e">
        <f>'Compiled Agents'!B859+"h_l!'q]"</f>
        <v>#VALUE!</v>
      </c>
      <c r="ER150" t="e">
        <f>'Compiled Agents'!C859+"h_l!'q^"</f>
        <v>#VALUE!</v>
      </c>
      <c r="ES150" t="e">
        <f>'Compiled Agents'!E859+"h_l!'q_"</f>
        <v>#VALUE!</v>
      </c>
      <c r="ET150" t="e">
        <f>'Compiled Agents'!F859+"h_l!'q`"</f>
        <v>#VALUE!</v>
      </c>
      <c r="EU150" t="e">
        <f>'Compiled Agents'!G859+"h_l!'qa"</f>
        <v>#VALUE!</v>
      </c>
      <c r="EV150" t="e">
        <f>'Compiled Agents'!H859+"h_l!'qb"</f>
        <v>#VALUE!</v>
      </c>
      <c r="EW150" t="e">
        <f>'Compiled Agents'!A860+"h_l!'qc"</f>
        <v>#VALUE!</v>
      </c>
      <c r="EX150" t="e">
        <f>'Compiled Agents'!B860+"h_l!'qd"</f>
        <v>#VALUE!</v>
      </c>
      <c r="EY150" t="e">
        <f>'Compiled Agents'!C860+"h_l!'qe"</f>
        <v>#VALUE!</v>
      </c>
      <c r="EZ150" t="e">
        <f>'Compiled Agents'!E860+"h_l!'qf"</f>
        <v>#VALUE!</v>
      </c>
      <c r="FA150" t="e">
        <f>'Compiled Agents'!F860+"h_l!'qg"</f>
        <v>#VALUE!</v>
      </c>
      <c r="FB150" t="e">
        <f>'Compiled Agents'!G860+"h_l!'qh"</f>
        <v>#VALUE!</v>
      </c>
      <c r="FC150" t="e">
        <f>'Compiled Agents'!H860+"h_l!'qi"</f>
        <v>#VALUE!</v>
      </c>
      <c r="FD150" t="e">
        <f>'Compiled Agents'!A861+"h_l!'qj"</f>
        <v>#VALUE!</v>
      </c>
      <c r="FE150" t="e">
        <f>'Compiled Agents'!B861+"h_l!'qk"</f>
        <v>#VALUE!</v>
      </c>
      <c r="FF150" t="e">
        <f>'Compiled Agents'!C861+"h_l!'ql"</f>
        <v>#VALUE!</v>
      </c>
      <c r="FG150" t="e">
        <f>'Compiled Agents'!E861+"h_l!'qm"</f>
        <v>#VALUE!</v>
      </c>
      <c r="FH150" t="e">
        <f>'Compiled Agents'!F861+"h_l!'qn"</f>
        <v>#VALUE!</v>
      </c>
      <c r="FI150" t="e">
        <f>'Compiled Agents'!G861+"h_l!'qo"</f>
        <v>#VALUE!</v>
      </c>
      <c r="FJ150" t="e">
        <f>'Compiled Agents'!H861+"h_l!'qp"</f>
        <v>#VALUE!</v>
      </c>
      <c r="FK150" t="e">
        <f>'Compiled Agents'!A862+"h_l!'qq"</f>
        <v>#VALUE!</v>
      </c>
      <c r="FL150" t="e">
        <f>'Compiled Agents'!B862+"h_l!'qr"</f>
        <v>#VALUE!</v>
      </c>
      <c r="FM150" t="e">
        <f>'Compiled Agents'!C862+"h_l!'qs"</f>
        <v>#VALUE!</v>
      </c>
      <c r="FN150" t="e">
        <f>'Compiled Agents'!E862+"h_l!'qt"</f>
        <v>#VALUE!</v>
      </c>
      <c r="FO150" t="e">
        <f>'Compiled Agents'!F862+"h_l!'qu"</f>
        <v>#VALUE!</v>
      </c>
      <c r="FP150" t="e">
        <f>'Compiled Agents'!G862+"h_l!'qv"</f>
        <v>#VALUE!</v>
      </c>
      <c r="FQ150" t="e">
        <f>'Compiled Agents'!H862+"h_l!'qw"</f>
        <v>#VALUE!</v>
      </c>
      <c r="FR150" t="e">
        <f>'Compiled Agents'!A863+"h_l!'qx"</f>
        <v>#VALUE!</v>
      </c>
      <c r="FS150" t="e">
        <f>'Compiled Agents'!B863+"h_l!'qy"</f>
        <v>#VALUE!</v>
      </c>
      <c r="FT150" t="e">
        <f>'Compiled Agents'!C863+"h_l!'qz"</f>
        <v>#VALUE!</v>
      </c>
      <c r="FU150" t="e">
        <f>'Compiled Agents'!E863+"h_l!'q{"</f>
        <v>#VALUE!</v>
      </c>
      <c r="FV150" t="e">
        <f>'Compiled Agents'!F863+"h_l!'q|"</f>
        <v>#VALUE!</v>
      </c>
      <c r="FW150" t="e">
        <f>'Compiled Agents'!G863+"h_l!'q}"</f>
        <v>#VALUE!</v>
      </c>
      <c r="FX150" t="e">
        <f>'Compiled Agents'!H863+"h_l!'q~"</f>
        <v>#VALUE!</v>
      </c>
      <c r="FY150" t="e">
        <f>'Compiled Agents'!A864+"h_l!'r#"</f>
        <v>#VALUE!</v>
      </c>
      <c r="FZ150" t="e">
        <f>'Compiled Agents'!B864+"h_l!'r$"</f>
        <v>#VALUE!</v>
      </c>
      <c r="GA150" t="e">
        <f>'Compiled Agents'!C864+"h_l!'r%"</f>
        <v>#VALUE!</v>
      </c>
      <c r="GB150" t="e">
        <f>'Compiled Agents'!E864+"h_l!'r&amp;"</f>
        <v>#VALUE!</v>
      </c>
      <c r="GC150" t="e">
        <f>'Compiled Agents'!F864+"h_l!'r'"</f>
        <v>#VALUE!</v>
      </c>
      <c r="GD150" t="e">
        <f>'Compiled Agents'!G864+"h_l!'r("</f>
        <v>#VALUE!</v>
      </c>
      <c r="GE150" t="e">
        <f>'Compiled Agents'!H864+"h_l!'r)"</f>
        <v>#VALUE!</v>
      </c>
      <c r="GF150" t="e">
        <f>'Compiled Agents'!A865+"h_l!'r."</f>
        <v>#VALUE!</v>
      </c>
      <c r="GG150" t="e">
        <f>'Compiled Agents'!B865+"h_l!'r/"</f>
        <v>#VALUE!</v>
      </c>
      <c r="GH150" t="e">
        <f>'Compiled Agents'!C865+"h_l!'r0"</f>
        <v>#VALUE!</v>
      </c>
      <c r="GI150" t="e">
        <f>'Compiled Agents'!E865+"h_l!'r1"</f>
        <v>#VALUE!</v>
      </c>
      <c r="GJ150" t="e">
        <f>'Compiled Agents'!F865+"h_l!'r2"</f>
        <v>#VALUE!</v>
      </c>
      <c r="GK150" t="e">
        <f>'Compiled Agents'!G865+"h_l!'r3"</f>
        <v>#VALUE!</v>
      </c>
      <c r="GL150" t="e">
        <f>'Compiled Agents'!H865+"h_l!'r4"</f>
        <v>#VALUE!</v>
      </c>
      <c r="GM150" t="e">
        <f>'Compiled Agents'!A866+"h_l!'r5"</f>
        <v>#VALUE!</v>
      </c>
      <c r="GN150" t="e">
        <f>'Compiled Agents'!B866+"h_l!'r6"</f>
        <v>#VALUE!</v>
      </c>
      <c r="GO150" t="e">
        <f>'Compiled Agents'!C866+"h_l!'r7"</f>
        <v>#VALUE!</v>
      </c>
      <c r="GP150" t="e">
        <f>'Compiled Agents'!E866+"h_l!'r8"</f>
        <v>#VALUE!</v>
      </c>
      <c r="GQ150" t="e">
        <f>'Compiled Agents'!F866+"h_l!'r9"</f>
        <v>#VALUE!</v>
      </c>
      <c r="GR150" t="e">
        <f>'Compiled Agents'!G866+"h_l!'r:"</f>
        <v>#VALUE!</v>
      </c>
      <c r="GS150" t="e">
        <f>'Compiled Agents'!H866+"h_l!'r;"</f>
        <v>#VALUE!</v>
      </c>
      <c r="GT150" t="e">
        <f>'Compiled Agents'!A867+"h_l!'r&lt;"</f>
        <v>#VALUE!</v>
      </c>
      <c r="GU150" t="e">
        <f>'Compiled Agents'!B867+"h_l!'r="</f>
        <v>#VALUE!</v>
      </c>
      <c r="GV150" t="e">
        <f>'Compiled Agents'!C867+"h_l!'r&gt;"</f>
        <v>#VALUE!</v>
      </c>
      <c r="GW150" t="e">
        <f>'Compiled Agents'!E867+"h_l!'r?"</f>
        <v>#VALUE!</v>
      </c>
      <c r="GX150" t="e">
        <f>'Compiled Agents'!F867+"h_l!'r@"</f>
        <v>#VALUE!</v>
      </c>
      <c r="GY150" t="e">
        <f>'Compiled Agents'!G867+"h_l!'rA"</f>
        <v>#VALUE!</v>
      </c>
      <c r="GZ150" t="e">
        <f>'Compiled Agents'!H867+"h_l!'rB"</f>
        <v>#VALUE!</v>
      </c>
      <c r="HA150" t="e">
        <f>'Compiled Agents'!A868+"h_l!'rC"</f>
        <v>#VALUE!</v>
      </c>
      <c r="HB150" t="e">
        <f>'Compiled Agents'!B868+"h_l!'rD"</f>
        <v>#VALUE!</v>
      </c>
      <c r="HC150" t="e">
        <f>'Compiled Agents'!C868+"h_l!'rE"</f>
        <v>#VALUE!</v>
      </c>
      <c r="HD150" t="e">
        <f>'Compiled Agents'!E868+"h_l!'rF"</f>
        <v>#VALUE!</v>
      </c>
      <c r="HE150" t="e">
        <f>'Compiled Agents'!F868+"h_l!'rG"</f>
        <v>#VALUE!</v>
      </c>
      <c r="HF150" t="e">
        <f>'Compiled Agents'!G868+"h_l!'rH"</f>
        <v>#VALUE!</v>
      </c>
      <c r="HG150" t="e">
        <f>'Compiled Agents'!H868+"h_l!'rI"</f>
        <v>#VALUE!</v>
      </c>
      <c r="HH150" t="e">
        <f>'Compiled Agents'!A869+"h_l!'rJ"</f>
        <v>#VALUE!</v>
      </c>
      <c r="HI150" t="e">
        <f>'Compiled Agents'!B869+"h_l!'rK"</f>
        <v>#VALUE!</v>
      </c>
      <c r="HJ150" t="e">
        <f>'Compiled Agents'!C869+"h_l!'rL"</f>
        <v>#VALUE!</v>
      </c>
      <c r="HK150" t="e">
        <f>'Compiled Agents'!E869+"h_l!'rM"</f>
        <v>#VALUE!</v>
      </c>
      <c r="HL150" t="e">
        <f>'Compiled Agents'!F869+"h_l!'rN"</f>
        <v>#VALUE!</v>
      </c>
      <c r="HM150" t="e">
        <f>'Compiled Agents'!G869+"h_l!'rO"</f>
        <v>#VALUE!</v>
      </c>
      <c r="HN150" t="e">
        <f>'Compiled Agents'!H869+"h_l!'rP"</f>
        <v>#VALUE!</v>
      </c>
      <c r="HO150" t="e">
        <f>'Compiled Agents'!A870+"h_l!'rQ"</f>
        <v>#VALUE!</v>
      </c>
      <c r="HP150" t="e">
        <f>'Compiled Agents'!B870+"h_l!'rR"</f>
        <v>#VALUE!</v>
      </c>
      <c r="HQ150" t="e">
        <f>'Compiled Agents'!C870+"h_l!'rS"</f>
        <v>#VALUE!</v>
      </c>
      <c r="HR150" t="e">
        <f>'Compiled Agents'!E870+"h_l!'rT"</f>
        <v>#VALUE!</v>
      </c>
      <c r="HS150" t="e">
        <f>'Compiled Agents'!F870+"h_l!'rU"</f>
        <v>#VALUE!</v>
      </c>
      <c r="HT150" t="e">
        <f>'Compiled Agents'!G870+"h_l!'rV"</f>
        <v>#VALUE!</v>
      </c>
      <c r="HU150" t="e">
        <f>'Compiled Agents'!H870+"h_l!'rW"</f>
        <v>#VALUE!</v>
      </c>
      <c r="HV150" t="e">
        <f>'Compiled Agents'!A871+"h_l!'rX"</f>
        <v>#VALUE!</v>
      </c>
      <c r="HW150" t="e">
        <f>'Compiled Agents'!B871+"h_l!'rY"</f>
        <v>#VALUE!</v>
      </c>
      <c r="HX150" t="e">
        <f>'Compiled Agents'!C871+"h_l!'rZ"</f>
        <v>#VALUE!</v>
      </c>
      <c r="HY150" t="e">
        <f>'Compiled Agents'!E871+"h_l!'r["</f>
        <v>#VALUE!</v>
      </c>
      <c r="HZ150" t="e">
        <f>'Compiled Agents'!F871+"h_l!'r\"</f>
        <v>#VALUE!</v>
      </c>
      <c r="IA150" t="e">
        <f>'Compiled Agents'!G871+"h_l!'r]"</f>
        <v>#VALUE!</v>
      </c>
      <c r="IB150" t="e">
        <f>'Compiled Agents'!H871+"h_l!'r^"</f>
        <v>#VALUE!</v>
      </c>
      <c r="IC150" t="e">
        <f>'Compiled Agents'!A872+"h_l!'r_"</f>
        <v>#VALUE!</v>
      </c>
      <c r="ID150" t="e">
        <f>'Compiled Agents'!B872+"h_l!'r`"</f>
        <v>#VALUE!</v>
      </c>
      <c r="IE150" t="e">
        <f>'Compiled Agents'!C872+"h_l!'ra"</f>
        <v>#VALUE!</v>
      </c>
      <c r="IF150" t="e">
        <f>'Compiled Agents'!E872+"h_l!'rb"</f>
        <v>#VALUE!</v>
      </c>
      <c r="IG150" t="e">
        <f>'Compiled Agents'!F872+"h_l!'rc"</f>
        <v>#VALUE!</v>
      </c>
      <c r="IH150" t="e">
        <f>'Compiled Agents'!G872+"h_l!'rd"</f>
        <v>#VALUE!</v>
      </c>
      <c r="II150" t="e">
        <f>'Compiled Agents'!H872+"h_l!'re"</f>
        <v>#VALUE!</v>
      </c>
      <c r="IJ150" t="e">
        <f>'Compiled Agents'!A873+"h_l!'rf"</f>
        <v>#VALUE!</v>
      </c>
      <c r="IK150" t="e">
        <f>'Compiled Agents'!B873+"h_l!'rg"</f>
        <v>#VALUE!</v>
      </c>
      <c r="IL150" t="e">
        <f>'Compiled Agents'!C873+"h_l!'rh"</f>
        <v>#VALUE!</v>
      </c>
      <c r="IM150" t="e">
        <f>'Compiled Agents'!E873+"h_l!'ri"</f>
        <v>#VALUE!</v>
      </c>
      <c r="IN150" t="e">
        <f>'Compiled Agents'!F873+"h_l!'rj"</f>
        <v>#VALUE!</v>
      </c>
      <c r="IO150" t="e">
        <f>'Compiled Agents'!G873+"h_l!'rk"</f>
        <v>#VALUE!</v>
      </c>
      <c r="IP150" t="e">
        <f>'Compiled Agents'!H873+"h_l!'rl"</f>
        <v>#VALUE!</v>
      </c>
      <c r="IQ150" t="e">
        <f>'Compiled Agents'!A874+"h_l!'rm"</f>
        <v>#VALUE!</v>
      </c>
      <c r="IR150" t="e">
        <f>'Compiled Agents'!B874+"h_l!'rn"</f>
        <v>#VALUE!</v>
      </c>
      <c r="IS150" t="e">
        <f>'Compiled Agents'!C874+"h_l!'ro"</f>
        <v>#VALUE!</v>
      </c>
      <c r="IT150" t="e">
        <f>'Compiled Agents'!E874+"h_l!'rp"</f>
        <v>#VALUE!</v>
      </c>
      <c r="IU150" t="e">
        <f>'Compiled Agents'!F874+"h_l!'rq"</f>
        <v>#VALUE!</v>
      </c>
      <c r="IV150" t="e">
        <f>'Compiled Agents'!G874+"h_l!'rr"</f>
        <v>#VALUE!</v>
      </c>
    </row>
    <row r="151" spans="6:256" x14ac:dyDescent="0.25">
      <c r="F151" t="e">
        <f>'Compiled Agents'!H874+"h_l!'rs"</f>
        <v>#VALUE!</v>
      </c>
      <c r="G151" t="e">
        <f>'Compiled Agents'!A875+"h_l!'rt"</f>
        <v>#VALUE!</v>
      </c>
      <c r="H151" t="e">
        <f>'Compiled Agents'!B875+"h_l!'ru"</f>
        <v>#VALUE!</v>
      </c>
      <c r="I151" t="e">
        <f>'Compiled Agents'!C875+"h_l!'rv"</f>
        <v>#VALUE!</v>
      </c>
      <c r="J151" t="e">
        <f>'Compiled Agents'!E875+"h_l!'rw"</f>
        <v>#VALUE!</v>
      </c>
      <c r="K151" t="e">
        <f>'Compiled Agents'!F875+"h_l!'rx"</f>
        <v>#VALUE!</v>
      </c>
      <c r="L151" t="e">
        <f>'Compiled Agents'!G875+"h_l!'ry"</f>
        <v>#VALUE!</v>
      </c>
      <c r="M151" t="e">
        <f>'Compiled Agents'!H875+"h_l!'rz"</f>
        <v>#VALUE!</v>
      </c>
      <c r="N151" t="e">
        <f>'Compiled Agents'!A876+"h_l!'r{"</f>
        <v>#VALUE!</v>
      </c>
      <c r="O151" t="e">
        <f>'Compiled Agents'!B876+"h_l!'r|"</f>
        <v>#VALUE!</v>
      </c>
      <c r="P151" t="e">
        <f>'Compiled Agents'!C876+"h_l!'r}"</f>
        <v>#VALUE!</v>
      </c>
      <c r="Q151" t="e">
        <f>'Compiled Agents'!E876+"h_l!'r~"</f>
        <v>#VALUE!</v>
      </c>
      <c r="R151" t="e">
        <f>'Compiled Agents'!F876+"h_l!'s#"</f>
        <v>#VALUE!</v>
      </c>
      <c r="S151" t="e">
        <f>'Compiled Agents'!G876+"h_l!'s$"</f>
        <v>#VALUE!</v>
      </c>
      <c r="T151" t="e">
        <f>'Compiled Agents'!H876+"h_l!'s%"</f>
        <v>#VALUE!</v>
      </c>
      <c r="U151" t="e">
        <f>'Compiled Agents'!A877+"h_l!'s&amp;"</f>
        <v>#VALUE!</v>
      </c>
      <c r="V151" t="e">
        <f>'Compiled Agents'!B877+"h_l!'s'"</f>
        <v>#VALUE!</v>
      </c>
      <c r="W151" t="e">
        <f>'Compiled Agents'!C877+"h_l!'s("</f>
        <v>#VALUE!</v>
      </c>
      <c r="X151" t="e">
        <f>'Compiled Agents'!E877+"h_l!'s)"</f>
        <v>#VALUE!</v>
      </c>
      <c r="Y151" t="e">
        <f>'Compiled Agents'!F877+"h_l!'s."</f>
        <v>#VALUE!</v>
      </c>
      <c r="Z151" t="e">
        <f>'Compiled Agents'!G877+"h_l!'s/"</f>
        <v>#VALUE!</v>
      </c>
      <c r="AA151" t="e">
        <f>'Compiled Agents'!H877+"h_l!'s0"</f>
        <v>#VALUE!</v>
      </c>
      <c r="AB151" t="e">
        <f>'Compiled Agents'!A878+"h_l!'s1"</f>
        <v>#VALUE!</v>
      </c>
      <c r="AC151" t="e">
        <f>'Compiled Agents'!B878+"h_l!'s2"</f>
        <v>#VALUE!</v>
      </c>
      <c r="AD151" t="e">
        <f>'Compiled Agents'!C878+"h_l!'s3"</f>
        <v>#VALUE!</v>
      </c>
      <c r="AE151" t="e">
        <f>'Compiled Agents'!E878+"h_l!'s4"</f>
        <v>#VALUE!</v>
      </c>
      <c r="AF151" t="e">
        <f>'Compiled Agents'!F878+"h_l!'s5"</f>
        <v>#VALUE!</v>
      </c>
      <c r="AG151" t="e">
        <f>'Compiled Agents'!G878+"h_l!'s6"</f>
        <v>#VALUE!</v>
      </c>
      <c r="AH151" t="e">
        <f>'Compiled Agents'!H878+"h_l!'s7"</f>
        <v>#VALUE!</v>
      </c>
      <c r="AI151" t="e">
        <f>'Compiled Agents'!A879+"h_l!'s8"</f>
        <v>#VALUE!</v>
      </c>
      <c r="AJ151" t="e">
        <f>'Compiled Agents'!B879+"h_l!'s9"</f>
        <v>#VALUE!</v>
      </c>
      <c r="AK151" t="e">
        <f>'Compiled Agents'!C879+"h_l!'s:"</f>
        <v>#VALUE!</v>
      </c>
      <c r="AL151" t="e">
        <f>'Compiled Agents'!E879+"h_l!'s;"</f>
        <v>#VALUE!</v>
      </c>
      <c r="AM151" t="e">
        <f>'Compiled Agents'!F879+"h_l!'s&lt;"</f>
        <v>#VALUE!</v>
      </c>
      <c r="AN151" t="e">
        <f>'Compiled Agents'!G879+"h_l!'s="</f>
        <v>#VALUE!</v>
      </c>
      <c r="AO151" t="e">
        <f>'Compiled Agents'!H879+"h_l!'s&gt;"</f>
        <v>#VALUE!</v>
      </c>
      <c r="AP151" t="e">
        <f>'Compiled Agents'!A880+"h_l!'s?"</f>
        <v>#VALUE!</v>
      </c>
      <c r="AQ151" t="e">
        <f>'Compiled Agents'!B880+"h_l!'s@"</f>
        <v>#VALUE!</v>
      </c>
      <c r="AR151" t="e">
        <f>'Compiled Agents'!C880+"h_l!'sA"</f>
        <v>#VALUE!</v>
      </c>
      <c r="AS151" t="e">
        <f>'Compiled Agents'!E880+"h_l!'sB"</f>
        <v>#VALUE!</v>
      </c>
      <c r="AT151" t="e">
        <f>'Compiled Agents'!F880+"h_l!'sC"</f>
        <v>#VALUE!</v>
      </c>
      <c r="AU151" t="e">
        <f>'Compiled Agents'!G880+"h_l!'sD"</f>
        <v>#VALUE!</v>
      </c>
      <c r="AV151" t="e">
        <f>'Compiled Agents'!H880+"h_l!'sE"</f>
        <v>#VALUE!</v>
      </c>
      <c r="AW151" t="e">
        <f>'Compiled Agents'!A881+"h_l!'sF"</f>
        <v>#VALUE!</v>
      </c>
      <c r="AX151" t="e">
        <f>'Compiled Agents'!B881+"h_l!'sG"</f>
        <v>#VALUE!</v>
      </c>
      <c r="AY151" t="e">
        <f>'Compiled Agents'!C881+"h_l!'sH"</f>
        <v>#VALUE!</v>
      </c>
      <c r="AZ151" t="e">
        <f>'Compiled Agents'!E881+"h_l!'sI"</f>
        <v>#VALUE!</v>
      </c>
      <c r="BA151" t="e">
        <f>'Compiled Agents'!F881+"h_l!'sJ"</f>
        <v>#VALUE!</v>
      </c>
      <c r="BB151" t="e">
        <f>'Compiled Agents'!G881+"h_l!'sK"</f>
        <v>#VALUE!</v>
      </c>
      <c r="BC151" t="e">
        <f>'Compiled Agents'!H881+"h_l!'sL"</f>
        <v>#VALUE!</v>
      </c>
      <c r="BD151" t="e">
        <f>'Compiled Agents'!A882+"h_l!'sM"</f>
        <v>#VALUE!</v>
      </c>
      <c r="BE151" t="e">
        <f>'Compiled Agents'!B882+"h_l!'sN"</f>
        <v>#VALUE!</v>
      </c>
      <c r="BF151" t="e">
        <f>'Compiled Agents'!C882+"h_l!'sO"</f>
        <v>#VALUE!</v>
      </c>
      <c r="BG151" t="e">
        <f>'Compiled Agents'!E882+"h_l!'sP"</f>
        <v>#VALUE!</v>
      </c>
      <c r="BH151" t="e">
        <f>'Compiled Agents'!F882+"h_l!'sQ"</f>
        <v>#VALUE!</v>
      </c>
      <c r="BI151" t="e">
        <f>'Compiled Agents'!G882+"h_l!'sR"</f>
        <v>#VALUE!</v>
      </c>
      <c r="BJ151" t="e">
        <f>'Compiled Agents'!H882+"h_l!'sS"</f>
        <v>#VALUE!</v>
      </c>
      <c r="BK151" t="e">
        <f>'Compiled Agents'!A883+"h_l!'sT"</f>
        <v>#VALUE!</v>
      </c>
      <c r="BL151" t="e">
        <f>'Compiled Agents'!B883+"h_l!'sU"</f>
        <v>#VALUE!</v>
      </c>
      <c r="BM151" t="e">
        <f>'Compiled Agents'!C883+"h_l!'sV"</f>
        <v>#VALUE!</v>
      </c>
      <c r="BN151" t="e">
        <f>'Compiled Agents'!E883+"h_l!'sW"</f>
        <v>#VALUE!</v>
      </c>
      <c r="BO151" t="e">
        <f>'Compiled Agents'!F883+"h_l!'sX"</f>
        <v>#VALUE!</v>
      </c>
      <c r="BP151" t="e">
        <f>'Compiled Agents'!G883+"h_l!'sY"</f>
        <v>#VALUE!</v>
      </c>
      <c r="BQ151" t="e">
        <f>'Compiled Agents'!H883+"h_l!'sZ"</f>
        <v>#VALUE!</v>
      </c>
      <c r="BR151" t="e">
        <f>'Compiled Agents'!A884+"h_l!'s["</f>
        <v>#VALUE!</v>
      </c>
      <c r="BS151" t="e">
        <f>'Compiled Agents'!B884+"h_l!'s\"</f>
        <v>#VALUE!</v>
      </c>
      <c r="BT151" t="e">
        <f>'Compiled Agents'!C884+"h_l!'s]"</f>
        <v>#VALUE!</v>
      </c>
      <c r="BU151" t="e">
        <f>'Compiled Agents'!E884+"h_l!'s^"</f>
        <v>#VALUE!</v>
      </c>
      <c r="BV151" t="e">
        <f>'Compiled Agents'!F884+"h_l!'s_"</f>
        <v>#VALUE!</v>
      </c>
      <c r="BW151" t="e">
        <f>'Compiled Agents'!G884+"h_l!'s`"</f>
        <v>#VALUE!</v>
      </c>
      <c r="BX151" t="e">
        <f>'Compiled Agents'!H884+"h_l!'sa"</f>
        <v>#VALUE!</v>
      </c>
      <c r="BY151" t="e">
        <f>'Compiled Agents'!A885+"h_l!'sb"</f>
        <v>#VALUE!</v>
      </c>
      <c r="BZ151" t="e">
        <f>'Compiled Agents'!B885+"h_l!'sc"</f>
        <v>#VALUE!</v>
      </c>
      <c r="CA151" t="e">
        <f>'Compiled Agents'!C885+"h_l!'sd"</f>
        <v>#VALUE!</v>
      </c>
      <c r="CB151" t="e">
        <f>'Compiled Agents'!E885+"h_l!'se"</f>
        <v>#VALUE!</v>
      </c>
      <c r="CC151" t="e">
        <f>'Compiled Agents'!F885+"h_l!'sf"</f>
        <v>#VALUE!</v>
      </c>
      <c r="CD151" t="e">
        <f>'Compiled Agents'!G885+"h_l!'sg"</f>
        <v>#VALUE!</v>
      </c>
      <c r="CE151" t="e">
        <f>'Compiled Agents'!H885+"h_l!'sh"</f>
        <v>#VALUE!</v>
      </c>
      <c r="CF151" t="e">
        <f>'Compiled Agents'!A886+"h_l!'si"</f>
        <v>#VALUE!</v>
      </c>
      <c r="CG151" t="e">
        <f>'Compiled Agents'!B886+"h_l!'sj"</f>
        <v>#VALUE!</v>
      </c>
      <c r="CH151" t="e">
        <f>'Compiled Agents'!C886+"h_l!'sk"</f>
        <v>#VALUE!</v>
      </c>
      <c r="CI151" t="e">
        <f>'Compiled Agents'!E886+"h_l!'sl"</f>
        <v>#VALUE!</v>
      </c>
      <c r="CJ151" t="e">
        <f>'Compiled Agents'!F886+"h_l!'sm"</f>
        <v>#VALUE!</v>
      </c>
      <c r="CK151" t="e">
        <f>'Compiled Agents'!G886+"h_l!'sn"</f>
        <v>#VALUE!</v>
      </c>
      <c r="CL151" t="e">
        <f>'Compiled Agents'!H886+"h_l!'so"</f>
        <v>#VALUE!</v>
      </c>
      <c r="CM151" t="e">
        <f>'Compiled Agents'!A887+"h_l!'sp"</f>
        <v>#VALUE!</v>
      </c>
      <c r="CN151" t="e">
        <f>'Compiled Agents'!B887+"h_l!'sq"</f>
        <v>#VALUE!</v>
      </c>
      <c r="CO151" t="e">
        <f>'Compiled Agents'!C887+"h_l!'sr"</f>
        <v>#VALUE!</v>
      </c>
      <c r="CP151" t="e">
        <f>'Compiled Agents'!E887+"h_l!'ss"</f>
        <v>#VALUE!</v>
      </c>
      <c r="CQ151" t="e">
        <f>'Compiled Agents'!F887+"h_l!'st"</f>
        <v>#VALUE!</v>
      </c>
      <c r="CR151" t="e">
        <f>'Compiled Agents'!G887+"h_l!'su"</f>
        <v>#VALUE!</v>
      </c>
      <c r="CS151" t="e">
        <f>'Compiled Agents'!H887+"h_l!'sv"</f>
        <v>#VALUE!</v>
      </c>
      <c r="CT151" t="e">
        <f>'Compiled Agents'!A888+"h_l!'sw"</f>
        <v>#VALUE!</v>
      </c>
      <c r="CU151" t="e">
        <f>'Compiled Agents'!B888+"h_l!'sx"</f>
        <v>#VALUE!</v>
      </c>
      <c r="CV151" t="e">
        <f>'Compiled Agents'!C888+"h_l!'sy"</f>
        <v>#VALUE!</v>
      </c>
      <c r="CW151" t="e">
        <f>'Compiled Agents'!E888+"h_l!'sz"</f>
        <v>#VALUE!</v>
      </c>
      <c r="CX151" t="e">
        <f>'Compiled Agents'!F888+"h_l!'s{"</f>
        <v>#VALUE!</v>
      </c>
      <c r="CY151" t="e">
        <f>'Compiled Agents'!G888+"h_l!'s|"</f>
        <v>#VALUE!</v>
      </c>
      <c r="CZ151" t="e">
        <f>'Compiled Agents'!H888+"h_l!'s}"</f>
        <v>#VALUE!</v>
      </c>
      <c r="DA151" t="e">
        <f>'Compiled Agents'!A889+"h_l!'s~"</f>
        <v>#VALUE!</v>
      </c>
      <c r="DB151" t="e">
        <f>'Compiled Agents'!B889+"h_l!'t#"</f>
        <v>#VALUE!</v>
      </c>
      <c r="DC151" t="e">
        <f>'Compiled Agents'!C889+"h_l!'t$"</f>
        <v>#VALUE!</v>
      </c>
      <c r="DD151" t="e">
        <f>'Compiled Agents'!E889+"h_l!'t%"</f>
        <v>#VALUE!</v>
      </c>
      <c r="DE151" t="e">
        <f>'Compiled Agents'!F889+"h_l!'t&amp;"</f>
        <v>#VALUE!</v>
      </c>
      <c r="DF151" t="e">
        <f>'Compiled Agents'!G889+"h_l!'t'"</f>
        <v>#VALUE!</v>
      </c>
      <c r="DG151" t="e">
        <f>'Compiled Agents'!H889+"h_l!'t("</f>
        <v>#VALUE!</v>
      </c>
      <c r="DH151" t="e">
        <f>'Compiled Agents'!A890+"h_l!'t)"</f>
        <v>#VALUE!</v>
      </c>
      <c r="DI151" t="e">
        <f>'Compiled Agents'!B890+"h_l!'t."</f>
        <v>#VALUE!</v>
      </c>
      <c r="DJ151" t="e">
        <f>'Compiled Agents'!C890+"h_l!'t/"</f>
        <v>#VALUE!</v>
      </c>
      <c r="DK151" t="e">
        <f>'Compiled Agents'!E890+"h_l!'t0"</f>
        <v>#VALUE!</v>
      </c>
      <c r="DL151" t="e">
        <f>'Compiled Agents'!F890+"h_l!'t1"</f>
        <v>#VALUE!</v>
      </c>
      <c r="DM151" t="e">
        <f>'Compiled Agents'!G890+"h_l!'t2"</f>
        <v>#VALUE!</v>
      </c>
      <c r="DN151" t="e">
        <f>'Compiled Agents'!H890+"h_l!'t3"</f>
        <v>#VALUE!</v>
      </c>
      <c r="DO151" t="e">
        <f>'Compiled Agents'!A891+"h_l!'t4"</f>
        <v>#VALUE!</v>
      </c>
      <c r="DP151" t="e">
        <f>'Compiled Agents'!B891+"h_l!'t5"</f>
        <v>#VALUE!</v>
      </c>
      <c r="DQ151" t="e">
        <f>'Compiled Agents'!C891+"h_l!'t6"</f>
        <v>#VALUE!</v>
      </c>
      <c r="DR151" t="e">
        <f>'Compiled Agents'!E891+"h_l!'t7"</f>
        <v>#VALUE!</v>
      </c>
      <c r="DS151" t="e">
        <f>'Compiled Agents'!F891+"h_l!'t8"</f>
        <v>#VALUE!</v>
      </c>
      <c r="DT151" t="e">
        <f>'Compiled Agents'!G891+"h_l!'t9"</f>
        <v>#VALUE!</v>
      </c>
      <c r="DU151" t="e">
        <f>'Compiled Agents'!H891+"h_l!'t:"</f>
        <v>#VALUE!</v>
      </c>
      <c r="DV151" t="e">
        <f>'Compiled Agents'!A892+"h_l!'t;"</f>
        <v>#VALUE!</v>
      </c>
      <c r="DW151" t="e">
        <f>'Compiled Agents'!B892+"h_l!'t&lt;"</f>
        <v>#VALUE!</v>
      </c>
      <c r="DX151" t="e">
        <f>'Compiled Agents'!C892+"h_l!'t="</f>
        <v>#VALUE!</v>
      </c>
      <c r="DY151" t="e">
        <f>'Compiled Agents'!E892+"h_l!'t&gt;"</f>
        <v>#VALUE!</v>
      </c>
      <c r="DZ151" t="e">
        <f>'Compiled Agents'!F892+"h_l!'t?"</f>
        <v>#VALUE!</v>
      </c>
      <c r="EA151" t="e">
        <f>'Compiled Agents'!G892+"h_l!'t@"</f>
        <v>#VALUE!</v>
      </c>
      <c r="EB151" t="e">
        <f>'Compiled Agents'!H892+"h_l!'tA"</f>
        <v>#VALUE!</v>
      </c>
      <c r="EC151" t="e">
        <f>'Compiled Agents'!A893+"h_l!'tB"</f>
        <v>#VALUE!</v>
      </c>
      <c r="ED151" t="e">
        <f>'Compiled Agents'!B893+"h_l!'tC"</f>
        <v>#VALUE!</v>
      </c>
      <c r="EE151" t="e">
        <f>'Compiled Agents'!C893+"h_l!'tD"</f>
        <v>#VALUE!</v>
      </c>
      <c r="EF151" t="e">
        <f>'Compiled Agents'!E893+"h_l!'tE"</f>
        <v>#VALUE!</v>
      </c>
      <c r="EG151" t="e">
        <f>'Compiled Agents'!F893+"h_l!'tF"</f>
        <v>#VALUE!</v>
      </c>
      <c r="EH151" t="e">
        <f>'Compiled Agents'!G893+"h_l!'tG"</f>
        <v>#VALUE!</v>
      </c>
      <c r="EI151" t="e">
        <f>'Compiled Agents'!H893+"h_l!'tH"</f>
        <v>#VALUE!</v>
      </c>
      <c r="EJ151" t="e">
        <f>'Compiled Agents'!A894+"h_l!'tI"</f>
        <v>#VALUE!</v>
      </c>
      <c r="EK151" t="e">
        <f>'Compiled Agents'!B894+"h_l!'tJ"</f>
        <v>#VALUE!</v>
      </c>
      <c r="EL151" t="e">
        <f>'Compiled Agents'!C894+"h_l!'tK"</f>
        <v>#VALUE!</v>
      </c>
      <c r="EM151" t="e">
        <f>'Compiled Agents'!E894+"h_l!'tL"</f>
        <v>#VALUE!</v>
      </c>
      <c r="EN151" t="e">
        <f>'Compiled Agents'!F894+"h_l!'tM"</f>
        <v>#VALUE!</v>
      </c>
      <c r="EO151" t="e">
        <f>'Compiled Agents'!G894+"h_l!'tN"</f>
        <v>#VALUE!</v>
      </c>
      <c r="EP151" t="e">
        <f>'Compiled Agents'!H894+"h_l!'tO"</f>
        <v>#VALUE!</v>
      </c>
      <c r="EQ151" t="e">
        <f>'Compiled Agents'!A895+"h_l!'tP"</f>
        <v>#VALUE!</v>
      </c>
      <c r="ER151" t="e">
        <f>'Compiled Agents'!B895+"h_l!'tQ"</f>
        <v>#VALUE!</v>
      </c>
      <c r="ES151" t="e">
        <f>'Compiled Agents'!C895+"h_l!'tR"</f>
        <v>#VALUE!</v>
      </c>
      <c r="ET151" t="e">
        <f>'Compiled Agents'!E895+"h_l!'tS"</f>
        <v>#VALUE!</v>
      </c>
      <c r="EU151" t="e">
        <f>'Compiled Agents'!F895+"h_l!'tT"</f>
        <v>#VALUE!</v>
      </c>
      <c r="EV151" t="e">
        <f>'Compiled Agents'!G895+"h_l!'tU"</f>
        <v>#VALUE!</v>
      </c>
      <c r="EW151" t="e">
        <f>'Compiled Agents'!H895+"h_l!'tV"</f>
        <v>#VALUE!</v>
      </c>
      <c r="EX151" t="e">
        <f>'Compiled Agents'!A896+"h_l!'tW"</f>
        <v>#VALUE!</v>
      </c>
      <c r="EY151" t="e">
        <f>'Compiled Agents'!B896+"h_l!'tX"</f>
        <v>#VALUE!</v>
      </c>
      <c r="EZ151" t="e">
        <f>'Compiled Agents'!C896+"h_l!'tY"</f>
        <v>#VALUE!</v>
      </c>
      <c r="FA151" t="e">
        <f>'Compiled Agents'!E896+"h_l!'tZ"</f>
        <v>#VALUE!</v>
      </c>
      <c r="FB151" t="e">
        <f>'Compiled Agents'!F896+"h_l!'t["</f>
        <v>#VALUE!</v>
      </c>
      <c r="FC151" t="e">
        <f>'Compiled Agents'!G896+"h_l!'t\"</f>
        <v>#VALUE!</v>
      </c>
      <c r="FD151" t="e">
        <f>'Compiled Agents'!H896+"h_l!'t]"</f>
        <v>#VALUE!</v>
      </c>
      <c r="FE151" t="e">
        <f>'Compiled Agents'!A897+"h_l!'t^"</f>
        <v>#VALUE!</v>
      </c>
      <c r="FF151" t="e">
        <f>'Compiled Agents'!B897+"h_l!'t_"</f>
        <v>#VALUE!</v>
      </c>
      <c r="FG151" t="e">
        <f>'Compiled Agents'!C897+"h_l!'t`"</f>
        <v>#VALUE!</v>
      </c>
      <c r="FH151" t="e">
        <f>'Compiled Agents'!E897+"h_l!'ta"</f>
        <v>#VALUE!</v>
      </c>
      <c r="FI151" t="e">
        <f>'Compiled Agents'!F897+"h_l!'tb"</f>
        <v>#VALUE!</v>
      </c>
      <c r="FJ151" t="e">
        <f>'Compiled Agents'!G897+"h_l!'tc"</f>
        <v>#VALUE!</v>
      </c>
      <c r="FK151" t="e">
        <f>'Compiled Agents'!H897+"h_l!'td"</f>
        <v>#VALUE!</v>
      </c>
      <c r="FL151" t="e">
        <f>'Compiled Agents'!A898+"h_l!'te"</f>
        <v>#VALUE!</v>
      </c>
      <c r="FM151" t="e">
        <f>'Compiled Agents'!B898+"h_l!'tf"</f>
        <v>#VALUE!</v>
      </c>
      <c r="FN151" t="e">
        <f>'Compiled Agents'!C898+"h_l!'tg"</f>
        <v>#VALUE!</v>
      </c>
      <c r="FO151" t="e">
        <f>'Compiled Agents'!E898+"h_l!'th"</f>
        <v>#VALUE!</v>
      </c>
      <c r="FP151" t="e">
        <f>'Compiled Agents'!F898+"h_l!'ti"</f>
        <v>#VALUE!</v>
      </c>
      <c r="FQ151" t="e">
        <f>'Compiled Agents'!G898+"h_l!'tj"</f>
        <v>#VALUE!</v>
      </c>
      <c r="FR151" t="e">
        <f>'Compiled Agents'!H898+"h_l!'tk"</f>
        <v>#VALUE!</v>
      </c>
      <c r="FS151" t="e">
        <f>'Compiled Agents'!A899+"h_l!'tl"</f>
        <v>#VALUE!</v>
      </c>
      <c r="FT151" t="e">
        <f>'Compiled Agents'!B899+"h_l!'tm"</f>
        <v>#VALUE!</v>
      </c>
      <c r="FU151" t="e">
        <f>'Compiled Agents'!C899+"h_l!'tn"</f>
        <v>#VALUE!</v>
      </c>
      <c r="FV151" t="e">
        <f>'Compiled Agents'!E899+"h_l!'to"</f>
        <v>#VALUE!</v>
      </c>
      <c r="FW151" t="e">
        <f>'Compiled Agents'!F899+"h_l!'tp"</f>
        <v>#VALUE!</v>
      </c>
      <c r="FX151" t="e">
        <f>'Compiled Agents'!G899+"h_l!'tq"</f>
        <v>#VALUE!</v>
      </c>
      <c r="FY151" t="e">
        <f>'Compiled Agents'!H899+"h_l!'tr"</f>
        <v>#VALUE!</v>
      </c>
      <c r="FZ151" t="e">
        <f>'Compiled Agents'!A900+"h_l!'ts"</f>
        <v>#VALUE!</v>
      </c>
      <c r="GA151" t="e">
        <f>'Compiled Agents'!B900+"h_l!'tt"</f>
        <v>#VALUE!</v>
      </c>
      <c r="GB151" t="e">
        <f>'Compiled Agents'!C900+"h_l!'tu"</f>
        <v>#VALUE!</v>
      </c>
      <c r="GC151" t="e">
        <f>'Compiled Agents'!E900+"h_l!'tv"</f>
        <v>#VALUE!</v>
      </c>
      <c r="GD151" t="e">
        <f>'Compiled Agents'!F900+"h_l!'tw"</f>
        <v>#VALUE!</v>
      </c>
      <c r="GE151" t="e">
        <f>'Compiled Agents'!G900+"h_l!'tx"</f>
        <v>#VALUE!</v>
      </c>
      <c r="GF151" t="e">
        <f>'Compiled Agents'!H900+"h_l!'ty"</f>
        <v>#VALUE!</v>
      </c>
      <c r="GG151" t="e">
        <f>'Compiled Agents'!A901+"h_l!'tz"</f>
        <v>#VALUE!</v>
      </c>
      <c r="GH151" t="e">
        <f>'Compiled Agents'!B901+"h_l!'t{"</f>
        <v>#VALUE!</v>
      </c>
      <c r="GI151" t="e">
        <f>'Compiled Agents'!C901+"h_l!'t|"</f>
        <v>#VALUE!</v>
      </c>
      <c r="GJ151" t="e">
        <f>'Compiled Agents'!E901+"h_l!'t}"</f>
        <v>#VALUE!</v>
      </c>
      <c r="GK151" t="e">
        <f>'Compiled Agents'!F901+"h_l!'t~"</f>
        <v>#VALUE!</v>
      </c>
      <c r="GL151" t="e">
        <f>'Compiled Agents'!G901+"h_l!'u#"</f>
        <v>#VALUE!</v>
      </c>
      <c r="GM151" t="e">
        <f>'Compiled Agents'!H901+"h_l!'u$"</f>
        <v>#VALUE!</v>
      </c>
      <c r="GN151" t="e">
        <f>'Compiled Agents'!A902+"h_l!'u%"</f>
        <v>#VALUE!</v>
      </c>
      <c r="GO151" t="e">
        <f>'Compiled Agents'!B902+"h_l!'u&amp;"</f>
        <v>#VALUE!</v>
      </c>
      <c r="GP151" t="e">
        <f>'Compiled Agents'!C902+"h_l!'u'"</f>
        <v>#VALUE!</v>
      </c>
      <c r="GQ151" t="e">
        <f>'Compiled Agents'!E902+"h_l!'u("</f>
        <v>#VALUE!</v>
      </c>
      <c r="GR151" t="e">
        <f>'Compiled Agents'!F902+"h_l!'u)"</f>
        <v>#VALUE!</v>
      </c>
      <c r="GS151" t="e">
        <f>'Compiled Agents'!G902+"h_l!'u."</f>
        <v>#VALUE!</v>
      </c>
      <c r="GT151" t="e">
        <f>'Compiled Agents'!H902+"h_l!'u/"</f>
        <v>#VALUE!</v>
      </c>
      <c r="GU151" t="e">
        <f>'Compiled Agents'!A903+"h_l!'u0"</f>
        <v>#VALUE!</v>
      </c>
      <c r="GV151" t="e">
        <f>'Compiled Agents'!B903+"h_l!'u1"</f>
        <v>#VALUE!</v>
      </c>
      <c r="GW151" t="e">
        <f>'Compiled Agents'!C903+"h_l!'u2"</f>
        <v>#VALUE!</v>
      </c>
      <c r="GX151" t="e">
        <f>'Compiled Agents'!E903+"h_l!'u3"</f>
        <v>#VALUE!</v>
      </c>
      <c r="GY151" t="e">
        <f>'Compiled Agents'!F903+"h_l!'u4"</f>
        <v>#VALUE!</v>
      </c>
      <c r="GZ151" t="e">
        <f>'Compiled Agents'!G903+"h_l!'u5"</f>
        <v>#VALUE!</v>
      </c>
      <c r="HA151" t="e">
        <f>'Compiled Agents'!H903+"h_l!'u6"</f>
        <v>#VALUE!</v>
      </c>
      <c r="HB151" t="e">
        <f>'Compiled Agents'!A904+"h_l!'u7"</f>
        <v>#VALUE!</v>
      </c>
      <c r="HC151" t="e">
        <f>'Compiled Agents'!B904+"h_l!'u8"</f>
        <v>#VALUE!</v>
      </c>
      <c r="HD151" t="e">
        <f>'Compiled Agents'!C904+"h_l!'u9"</f>
        <v>#VALUE!</v>
      </c>
      <c r="HE151" t="e">
        <f>'Compiled Agents'!E904+"h_l!'u:"</f>
        <v>#VALUE!</v>
      </c>
      <c r="HF151" t="e">
        <f>'Compiled Agents'!F904+"h_l!'u;"</f>
        <v>#VALUE!</v>
      </c>
      <c r="HG151" t="e">
        <f>'Compiled Agents'!G904+"h_l!'u&lt;"</f>
        <v>#VALUE!</v>
      </c>
      <c r="HH151" t="e">
        <f>'Compiled Agents'!H904+"h_l!'u="</f>
        <v>#VALUE!</v>
      </c>
      <c r="HI151" t="e">
        <f>'Compiled Agents'!A905+"h_l!'u&gt;"</f>
        <v>#VALUE!</v>
      </c>
      <c r="HJ151" t="e">
        <f>'Compiled Agents'!B905+"h_l!'u?"</f>
        <v>#VALUE!</v>
      </c>
      <c r="HK151" t="e">
        <f>'Compiled Agents'!C905+"h_l!'u@"</f>
        <v>#VALUE!</v>
      </c>
      <c r="HL151" t="e">
        <f>'Compiled Agents'!E905+"h_l!'uA"</f>
        <v>#VALUE!</v>
      </c>
      <c r="HM151" t="e">
        <f>'Compiled Agents'!F905+"h_l!'uB"</f>
        <v>#VALUE!</v>
      </c>
      <c r="HN151" t="e">
        <f>'Compiled Agents'!G905+"h_l!'uC"</f>
        <v>#VALUE!</v>
      </c>
      <c r="HO151" t="e">
        <f>'Compiled Agents'!H905+"h_l!'uD"</f>
        <v>#VALUE!</v>
      </c>
      <c r="HP151" t="e">
        <f>'Compiled Agents'!A906+"h_l!'uE"</f>
        <v>#VALUE!</v>
      </c>
      <c r="HQ151" t="e">
        <f>'Compiled Agents'!B906+"h_l!'uF"</f>
        <v>#VALUE!</v>
      </c>
      <c r="HR151" t="e">
        <f>'Compiled Agents'!C906+"h_l!'uG"</f>
        <v>#VALUE!</v>
      </c>
      <c r="HS151" t="e">
        <f>'Compiled Agents'!E906+"h_l!'uH"</f>
        <v>#VALUE!</v>
      </c>
      <c r="HT151" t="e">
        <f>'Compiled Agents'!F906+"h_l!'uI"</f>
        <v>#VALUE!</v>
      </c>
      <c r="HU151" t="e">
        <f>'Compiled Agents'!G906+"h_l!'uJ"</f>
        <v>#VALUE!</v>
      </c>
      <c r="HV151" t="e">
        <f>'Compiled Agents'!H906+"h_l!'uK"</f>
        <v>#VALUE!</v>
      </c>
      <c r="HW151" t="e">
        <f>'Compiled Agents'!A907+"h_l!'uL"</f>
        <v>#VALUE!</v>
      </c>
      <c r="HX151" t="e">
        <f>'Compiled Agents'!B907+"h_l!'uM"</f>
        <v>#VALUE!</v>
      </c>
      <c r="HY151" t="e">
        <f>'Compiled Agents'!C907+"h_l!'uN"</f>
        <v>#VALUE!</v>
      </c>
      <c r="HZ151" t="e">
        <f>'Compiled Agents'!E907+"h_l!'uO"</f>
        <v>#VALUE!</v>
      </c>
      <c r="IA151" t="e">
        <f>'Compiled Agents'!F907+"h_l!'uP"</f>
        <v>#VALUE!</v>
      </c>
      <c r="IB151" t="e">
        <f>'Compiled Agents'!G907+"h_l!'uQ"</f>
        <v>#VALUE!</v>
      </c>
      <c r="IC151" t="e">
        <f>'Compiled Agents'!H907+"h_l!'uR"</f>
        <v>#VALUE!</v>
      </c>
      <c r="ID151" t="e">
        <f>'Compiled Agents'!A908+"h_l!'uS"</f>
        <v>#VALUE!</v>
      </c>
      <c r="IE151" t="e">
        <f>'Compiled Agents'!B908+"h_l!'uT"</f>
        <v>#VALUE!</v>
      </c>
      <c r="IF151" t="e">
        <f>'Compiled Agents'!C908+"h_l!'uU"</f>
        <v>#VALUE!</v>
      </c>
      <c r="IG151" t="e">
        <f>'Compiled Agents'!E908+"h_l!'uV"</f>
        <v>#VALUE!</v>
      </c>
      <c r="IH151" t="e">
        <f>'Compiled Agents'!F908+"h_l!'uW"</f>
        <v>#VALUE!</v>
      </c>
      <c r="II151" t="e">
        <f>'Compiled Agents'!G908+"h_l!'uX"</f>
        <v>#VALUE!</v>
      </c>
      <c r="IJ151" t="e">
        <f>'Compiled Agents'!H908+"h_l!'uY"</f>
        <v>#VALUE!</v>
      </c>
      <c r="IK151" t="e">
        <f>'Compiled Agents'!A909+"h_l!'uZ"</f>
        <v>#VALUE!</v>
      </c>
      <c r="IL151" t="e">
        <f>'Compiled Agents'!B909+"h_l!'u["</f>
        <v>#VALUE!</v>
      </c>
      <c r="IM151" t="e">
        <f>'Compiled Agents'!C909+"h_l!'u\"</f>
        <v>#VALUE!</v>
      </c>
      <c r="IN151" t="e">
        <f>'Compiled Agents'!E909+"h_l!'u]"</f>
        <v>#VALUE!</v>
      </c>
      <c r="IO151" t="e">
        <f>'Compiled Agents'!F909+"h_l!'u^"</f>
        <v>#VALUE!</v>
      </c>
      <c r="IP151" t="e">
        <f>'Compiled Agents'!G909+"h_l!'u_"</f>
        <v>#VALUE!</v>
      </c>
      <c r="IQ151" t="e">
        <f>'Compiled Agents'!H909+"h_l!'u`"</f>
        <v>#VALUE!</v>
      </c>
      <c r="IR151" t="e">
        <f>'Compiled Agents'!A910+"h_l!'ua"</f>
        <v>#VALUE!</v>
      </c>
      <c r="IS151" t="e">
        <f>'Compiled Agents'!B910+"h_l!'ub"</f>
        <v>#VALUE!</v>
      </c>
      <c r="IT151" t="e">
        <f>'Compiled Agents'!C910+"h_l!'uc"</f>
        <v>#VALUE!</v>
      </c>
      <c r="IU151" t="e">
        <f>'Compiled Agents'!E910+"h_l!'ud"</f>
        <v>#VALUE!</v>
      </c>
      <c r="IV151" t="e">
        <f>'Compiled Agents'!F910+"h_l!'ue"</f>
        <v>#VALUE!</v>
      </c>
    </row>
    <row r="152" spans="6:256" x14ac:dyDescent="0.25">
      <c r="F152" t="e">
        <f>'Compiled Agents'!G910+"h_l!'uf"</f>
        <v>#VALUE!</v>
      </c>
      <c r="G152" t="e">
        <f>'Compiled Agents'!H910+"h_l!'ug"</f>
        <v>#VALUE!</v>
      </c>
      <c r="H152" t="e">
        <f>'Compiled Agents'!A911+"h_l!'uh"</f>
        <v>#VALUE!</v>
      </c>
      <c r="I152" t="e">
        <f>'Compiled Agents'!B911+"h_l!'ui"</f>
        <v>#VALUE!</v>
      </c>
      <c r="J152" t="e">
        <f>'Compiled Agents'!C911+"h_l!'uj"</f>
        <v>#VALUE!</v>
      </c>
      <c r="K152" t="e">
        <f>'Compiled Agents'!E911+"h_l!'uk"</f>
        <v>#VALUE!</v>
      </c>
      <c r="L152" t="e">
        <f>'Compiled Agents'!F911+"h_l!'ul"</f>
        <v>#VALUE!</v>
      </c>
      <c r="M152" t="e">
        <f>'Compiled Agents'!G911+"h_l!'um"</f>
        <v>#VALUE!</v>
      </c>
      <c r="N152" t="e">
        <f>'Compiled Agents'!H911+"h_l!'un"</f>
        <v>#VALUE!</v>
      </c>
      <c r="O152" t="e">
        <f>'Compiled Agents'!A912+"h_l!'uo"</f>
        <v>#VALUE!</v>
      </c>
      <c r="P152" t="e">
        <f>'Compiled Agents'!B912+"h_l!'up"</f>
        <v>#VALUE!</v>
      </c>
      <c r="Q152" t="e">
        <f>'Compiled Agents'!C912+"h_l!'uq"</f>
        <v>#VALUE!</v>
      </c>
      <c r="R152" t="e">
        <f>'Compiled Agents'!E912+"h_l!'ur"</f>
        <v>#VALUE!</v>
      </c>
      <c r="S152" t="e">
        <f>'Compiled Agents'!F912+"h_l!'us"</f>
        <v>#VALUE!</v>
      </c>
      <c r="T152" t="e">
        <f>'Compiled Agents'!G912+"h_l!'ut"</f>
        <v>#VALUE!</v>
      </c>
      <c r="U152" t="e">
        <f>'Compiled Agents'!H912+"h_l!'uu"</f>
        <v>#VALUE!</v>
      </c>
      <c r="V152" t="e">
        <f>'Compiled Agents'!A913+"h_l!'uv"</f>
        <v>#VALUE!</v>
      </c>
      <c r="W152" t="e">
        <f>'Compiled Agents'!B913+"h_l!'uw"</f>
        <v>#VALUE!</v>
      </c>
      <c r="X152" t="e">
        <f>'Compiled Agents'!C913+"h_l!'ux"</f>
        <v>#VALUE!</v>
      </c>
      <c r="Y152" t="e">
        <f>'Compiled Agents'!E913+"h_l!'uy"</f>
        <v>#VALUE!</v>
      </c>
      <c r="Z152" t="e">
        <f>'Compiled Agents'!F913+"h_l!'uz"</f>
        <v>#VALUE!</v>
      </c>
      <c r="AA152" t="e">
        <f>'Compiled Agents'!G913+"h_l!'u{"</f>
        <v>#VALUE!</v>
      </c>
      <c r="AB152" t="e">
        <f>'Compiled Agents'!H913+"h_l!'u|"</f>
        <v>#VALUE!</v>
      </c>
      <c r="AC152" t="e">
        <f>'Compiled Agents'!A914+"h_l!'u}"</f>
        <v>#VALUE!</v>
      </c>
      <c r="AD152" t="e">
        <f>'Compiled Agents'!B914+"h_l!'u~"</f>
        <v>#VALUE!</v>
      </c>
      <c r="AE152" t="e">
        <f>'Compiled Agents'!C914+"h_l!'v#"</f>
        <v>#VALUE!</v>
      </c>
      <c r="AF152" t="e">
        <f>'Compiled Agents'!E914+"h_l!'v$"</f>
        <v>#VALUE!</v>
      </c>
      <c r="AG152" t="e">
        <f>'Compiled Agents'!F914+"h_l!'v%"</f>
        <v>#VALUE!</v>
      </c>
      <c r="AH152" t="e">
        <f>'Compiled Agents'!G914+"h_l!'v&amp;"</f>
        <v>#VALUE!</v>
      </c>
      <c r="AI152" t="e">
        <f>'Compiled Agents'!H914+"h_l!'v'"</f>
        <v>#VALUE!</v>
      </c>
      <c r="AJ152" t="e">
        <f>'Compiled Agents'!A915+"h_l!'v("</f>
        <v>#VALUE!</v>
      </c>
      <c r="AK152" t="e">
        <f>'Compiled Agents'!B915+"h_l!'v)"</f>
        <v>#VALUE!</v>
      </c>
      <c r="AL152" t="e">
        <f>'Compiled Agents'!C915+"h_l!'v."</f>
        <v>#VALUE!</v>
      </c>
      <c r="AM152" t="e">
        <f>'Compiled Agents'!E915+"h_l!'v/"</f>
        <v>#VALUE!</v>
      </c>
      <c r="AN152" t="e">
        <f>'Compiled Agents'!F915+"h_l!'v0"</f>
        <v>#VALUE!</v>
      </c>
      <c r="AO152" t="e">
        <f>'Compiled Agents'!G915+"h_l!'v1"</f>
        <v>#VALUE!</v>
      </c>
      <c r="AP152" t="e">
        <f>'Compiled Agents'!H915+"h_l!'v2"</f>
        <v>#VALUE!</v>
      </c>
      <c r="AQ152" t="e">
        <f>'Compiled Agents'!A916+"h_l!'v3"</f>
        <v>#VALUE!</v>
      </c>
      <c r="AR152" t="e">
        <f>'Compiled Agents'!B916+"h_l!'v4"</f>
        <v>#VALUE!</v>
      </c>
      <c r="AS152" t="e">
        <f>'Compiled Agents'!C916+"h_l!'v5"</f>
        <v>#VALUE!</v>
      </c>
      <c r="AT152" t="e">
        <f>'Compiled Agents'!E916+"h_l!'v6"</f>
        <v>#VALUE!</v>
      </c>
      <c r="AU152" t="e">
        <f>'Compiled Agents'!F916+"h_l!'v7"</f>
        <v>#VALUE!</v>
      </c>
      <c r="AV152" t="e">
        <f>'Compiled Agents'!G916+"h_l!'v8"</f>
        <v>#VALUE!</v>
      </c>
      <c r="AW152" t="e">
        <f>'Compiled Agents'!H916+"h_l!'v9"</f>
        <v>#VALUE!</v>
      </c>
      <c r="AX152" t="e">
        <f>'Compiled Agents'!A917+"h_l!'v:"</f>
        <v>#VALUE!</v>
      </c>
      <c r="AY152" t="e">
        <f>'Compiled Agents'!B917+"h_l!'v;"</f>
        <v>#VALUE!</v>
      </c>
      <c r="AZ152" t="e">
        <f>'Compiled Agents'!C917+"h_l!'v&lt;"</f>
        <v>#VALUE!</v>
      </c>
      <c r="BA152" t="e">
        <f>'Compiled Agents'!E917+"h_l!'v="</f>
        <v>#VALUE!</v>
      </c>
      <c r="BB152" t="e">
        <f>'Compiled Agents'!F917+"h_l!'v&gt;"</f>
        <v>#VALUE!</v>
      </c>
      <c r="BC152" t="e">
        <f>'Compiled Agents'!G917+"h_l!'v?"</f>
        <v>#VALUE!</v>
      </c>
      <c r="BD152" t="e">
        <f>'Compiled Agents'!H917+"h_l!'v@"</f>
        <v>#VALUE!</v>
      </c>
      <c r="BE152" t="e">
        <f>'Compiled Agents'!A918+"h_l!'vA"</f>
        <v>#VALUE!</v>
      </c>
      <c r="BF152" t="e">
        <f>'Compiled Agents'!B918+"h_l!'vB"</f>
        <v>#VALUE!</v>
      </c>
      <c r="BG152" t="e">
        <f>'Compiled Agents'!C918+"h_l!'vC"</f>
        <v>#VALUE!</v>
      </c>
      <c r="BH152" t="e">
        <f>'Compiled Agents'!E918+"h_l!'vD"</f>
        <v>#VALUE!</v>
      </c>
      <c r="BI152" t="e">
        <f>'Compiled Agents'!F918+"h_l!'vE"</f>
        <v>#VALUE!</v>
      </c>
      <c r="BJ152" t="e">
        <f>'Compiled Agents'!G918+"h_l!'vF"</f>
        <v>#VALUE!</v>
      </c>
      <c r="BK152" t="e">
        <f>'Compiled Agents'!H918+"h_l!'vG"</f>
        <v>#VALUE!</v>
      </c>
      <c r="BL152" t="e">
        <f>'Compiled Agents'!A919+"h_l!'vH"</f>
        <v>#VALUE!</v>
      </c>
      <c r="BM152" t="e">
        <f>'Compiled Agents'!B919+"h_l!'vI"</f>
        <v>#VALUE!</v>
      </c>
      <c r="BN152" t="e">
        <f>'Compiled Agents'!C919+"h_l!'vJ"</f>
        <v>#VALUE!</v>
      </c>
      <c r="BO152" t="e">
        <f>'Compiled Agents'!E919+"h_l!'vK"</f>
        <v>#VALUE!</v>
      </c>
      <c r="BP152" t="e">
        <f>'Compiled Agents'!F919+"h_l!'vL"</f>
        <v>#VALUE!</v>
      </c>
      <c r="BQ152" t="e">
        <f>'Compiled Agents'!G919+"h_l!'vM"</f>
        <v>#VALUE!</v>
      </c>
      <c r="BR152" t="e">
        <f>'Compiled Agents'!H919+"h_l!'vN"</f>
        <v>#VALUE!</v>
      </c>
      <c r="BS152" t="e">
        <f>'Compiled Agents'!A920+"h_l!'vO"</f>
        <v>#VALUE!</v>
      </c>
      <c r="BT152" t="e">
        <f>'Compiled Agents'!B920+"h_l!'vP"</f>
        <v>#VALUE!</v>
      </c>
      <c r="BU152" t="e">
        <f>'Compiled Agents'!C920+"h_l!'vQ"</f>
        <v>#VALUE!</v>
      </c>
      <c r="BV152" t="e">
        <f>'Compiled Agents'!E920+"h_l!'vR"</f>
        <v>#VALUE!</v>
      </c>
      <c r="BW152" t="e">
        <f>'Compiled Agents'!F920+"h_l!'vS"</f>
        <v>#VALUE!</v>
      </c>
      <c r="BX152" t="e">
        <f>'Compiled Agents'!G920+"h_l!'vT"</f>
        <v>#VALUE!</v>
      </c>
      <c r="BY152" t="e">
        <f>'Compiled Agents'!H920+"h_l!'vU"</f>
        <v>#VALUE!</v>
      </c>
      <c r="BZ152" t="e">
        <f>'Compiled Agents'!A921+"h_l!'vV"</f>
        <v>#VALUE!</v>
      </c>
      <c r="CA152" t="e">
        <f>'Compiled Agents'!B921+"h_l!'vW"</f>
        <v>#VALUE!</v>
      </c>
      <c r="CB152" t="e">
        <f>'Compiled Agents'!C921+"h_l!'vX"</f>
        <v>#VALUE!</v>
      </c>
      <c r="CC152" t="e">
        <f>'Compiled Agents'!E921+"h_l!'vY"</f>
        <v>#VALUE!</v>
      </c>
      <c r="CD152" t="e">
        <f>'Compiled Agents'!F921+"h_l!'vZ"</f>
        <v>#VALUE!</v>
      </c>
      <c r="CE152" t="e">
        <f>'Compiled Agents'!G921+"h_l!'v["</f>
        <v>#VALUE!</v>
      </c>
      <c r="CF152" t="e">
        <f>'Compiled Agents'!H921+"h_l!'v\"</f>
        <v>#VALUE!</v>
      </c>
      <c r="CG152" t="e">
        <f>'Compiled Agents'!A922+"h_l!'v]"</f>
        <v>#VALUE!</v>
      </c>
      <c r="CH152" t="e">
        <f>'Compiled Agents'!B922+"h_l!'v^"</f>
        <v>#VALUE!</v>
      </c>
      <c r="CI152" t="e">
        <f>'Compiled Agents'!C922+"h_l!'v_"</f>
        <v>#VALUE!</v>
      </c>
      <c r="CJ152" t="e">
        <f>'Compiled Agents'!E922+"h_l!'v`"</f>
        <v>#VALUE!</v>
      </c>
      <c r="CK152" t="e">
        <f>'Compiled Agents'!F922+"h_l!'va"</f>
        <v>#VALUE!</v>
      </c>
      <c r="CL152" t="e">
        <f>'Compiled Agents'!G922+"h_l!'vb"</f>
        <v>#VALUE!</v>
      </c>
      <c r="CM152" t="e">
        <f>'Compiled Agents'!H922+"h_l!'vc"</f>
        <v>#VALUE!</v>
      </c>
      <c r="CN152" t="e">
        <f>'Compiled Agents'!A923+"h_l!'vd"</f>
        <v>#VALUE!</v>
      </c>
      <c r="CO152" t="e">
        <f>'Compiled Agents'!B923+"h_l!'ve"</f>
        <v>#VALUE!</v>
      </c>
      <c r="CP152" t="e">
        <f>'Compiled Agents'!C923+"h_l!'vf"</f>
        <v>#VALUE!</v>
      </c>
      <c r="CQ152" t="e">
        <f>'Compiled Agents'!E923+"h_l!'vg"</f>
        <v>#VALUE!</v>
      </c>
      <c r="CR152" t="e">
        <f>'Compiled Agents'!F923+"h_l!'vh"</f>
        <v>#VALUE!</v>
      </c>
      <c r="CS152" t="e">
        <f>'Compiled Agents'!G923+"h_l!'vi"</f>
        <v>#VALUE!</v>
      </c>
      <c r="CT152" t="e">
        <f>'Compiled Agents'!H923+"h_l!'vj"</f>
        <v>#VALUE!</v>
      </c>
      <c r="CU152" t="e">
        <f>'Compiled Agents'!A924+"h_l!'vk"</f>
        <v>#VALUE!</v>
      </c>
      <c r="CV152" t="e">
        <f>'Compiled Agents'!B924+"h_l!'vl"</f>
        <v>#VALUE!</v>
      </c>
      <c r="CW152" t="e">
        <f>'Compiled Agents'!C924+"h_l!'vm"</f>
        <v>#VALUE!</v>
      </c>
      <c r="CX152" t="e">
        <f>'Compiled Agents'!E924+"h_l!'vn"</f>
        <v>#VALUE!</v>
      </c>
      <c r="CY152" t="e">
        <f>'Compiled Agents'!F924+"h_l!'vo"</f>
        <v>#VALUE!</v>
      </c>
      <c r="CZ152" t="e">
        <f>'Compiled Agents'!G924+"h_l!'vp"</f>
        <v>#VALUE!</v>
      </c>
      <c r="DA152" t="e">
        <f>'Compiled Agents'!H924+"h_l!'vq"</f>
        <v>#VALUE!</v>
      </c>
      <c r="DB152" t="e">
        <f>'Compiled Agents'!A925+"h_l!'vr"</f>
        <v>#VALUE!</v>
      </c>
      <c r="DC152" t="e">
        <f>'Compiled Agents'!B925+"h_l!'vs"</f>
        <v>#VALUE!</v>
      </c>
      <c r="DD152" t="e">
        <f>'Compiled Agents'!C925+"h_l!'vt"</f>
        <v>#VALUE!</v>
      </c>
      <c r="DE152" t="e">
        <f>'Compiled Agents'!E925+"h_l!'vu"</f>
        <v>#VALUE!</v>
      </c>
      <c r="DF152" t="e">
        <f>'Compiled Agents'!F925+"h_l!'vv"</f>
        <v>#VALUE!</v>
      </c>
      <c r="DG152" t="e">
        <f>'Compiled Agents'!G925+"h_l!'vw"</f>
        <v>#VALUE!</v>
      </c>
      <c r="DH152" t="e">
        <f>'Compiled Agents'!H925+"h_l!'vx"</f>
        <v>#VALUE!</v>
      </c>
      <c r="DI152" t="e">
        <f>'Compiled Agents'!A926+"h_l!'vy"</f>
        <v>#VALUE!</v>
      </c>
      <c r="DJ152" t="e">
        <f>'Compiled Agents'!B926+"h_l!'vz"</f>
        <v>#VALUE!</v>
      </c>
      <c r="DK152" t="e">
        <f>'Compiled Agents'!C926+"h_l!'v{"</f>
        <v>#VALUE!</v>
      </c>
      <c r="DL152" t="e">
        <f>'Compiled Agents'!E926+"h_l!'v|"</f>
        <v>#VALUE!</v>
      </c>
      <c r="DM152" t="e">
        <f>'Compiled Agents'!F926+"h_l!'v}"</f>
        <v>#VALUE!</v>
      </c>
      <c r="DN152" t="e">
        <f>'Compiled Agents'!G926+"h_l!'v~"</f>
        <v>#VALUE!</v>
      </c>
      <c r="DO152" t="e">
        <f>'Compiled Agents'!H926+"h_l!'w#"</f>
        <v>#VALUE!</v>
      </c>
      <c r="DP152" t="e">
        <f>'Compiled Agents'!A927+"h_l!'w$"</f>
        <v>#VALUE!</v>
      </c>
      <c r="DQ152" t="e">
        <f>'Compiled Agents'!B927+"h_l!'w%"</f>
        <v>#VALUE!</v>
      </c>
      <c r="DR152" t="e">
        <f>'Compiled Agents'!C927+"h_l!'w&amp;"</f>
        <v>#VALUE!</v>
      </c>
      <c r="DS152" t="e">
        <f>'Compiled Agents'!E927+"h_l!'w'"</f>
        <v>#VALUE!</v>
      </c>
      <c r="DT152" t="e">
        <f>'Compiled Agents'!F927+"h_l!'w("</f>
        <v>#VALUE!</v>
      </c>
      <c r="DU152" t="e">
        <f>'Compiled Agents'!G927+"h_l!'w)"</f>
        <v>#VALUE!</v>
      </c>
      <c r="DV152" t="e">
        <f>'Compiled Agents'!H927+"h_l!'w."</f>
        <v>#VALUE!</v>
      </c>
      <c r="DW152" t="e">
        <f>'Compiled Agents'!A928+"h_l!'w/"</f>
        <v>#VALUE!</v>
      </c>
      <c r="DX152" t="e">
        <f>'Compiled Agents'!B928+"h_l!'w0"</f>
        <v>#VALUE!</v>
      </c>
      <c r="DY152" t="e">
        <f>'Compiled Agents'!C928+"h_l!'w1"</f>
        <v>#VALUE!</v>
      </c>
      <c r="DZ152" t="e">
        <f>'Compiled Agents'!E928+"h_l!'w2"</f>
        <v>#VALUE!</v>
      </c>
      <c r="EA152" t="e">
        <f>'Compiled Agents'!F928+"h_l!'w3"</f>
        <v>#VALUE!</v>
      </c>
      <c r="EB152" t="e">
        <f>'Compiled Agents'!G928+"h_l!'w4"</f>
        <v>#VALUE!</v>
      </c>
      <c r="EC152" t="e">
        <f>'Compiled Agents'!H928+"h_l!'w5"</f>
        <v>#VALUE!</v>
      </c>
      <c r="ED152" t="e">
        <f>'Compiled Agents'!A929+"h_l!'w6"</f>
        <v>#VALUE!</v>
      </c>
      <c r="EE152" t="e">
        <f>'Compiled Agents'!B929+"h_l!'w7"</f>
        <v>#VALUE!</v>
      </c>
      <c r="EF152" t="e">
        <f>'Compiled Agents'!C929+"h_l!'w8"</f>
        <v>#VALUE!</v>
      </c>
      <c r="EG152" t="e">
        <f>'Compiled Agents'!E929+"h_l!'w9"</f>
        <v>#VALUE!</v>
      </c>
      <c r="EH152" t="e">
        <f>'Compiled Agents'!F929+"h_l!'w:"</f>
        <v>#VALUE!</v>
      </c>
      <c r="EI152" t="e">
        <f>'Compiled Agents'!G929+"h_l!'w;"</f>
        <v>#VALUE!</v>
      </c>
      <c r="EJ152" t="e">
        <f>'Compiled Agents'!H929+"h_l!'w&lt;"</f>
        <v>#VALUE!</v>
      </c>
      <c r="EK152" t="e">
        <f>'Compiled Agents'!A930+"h_l!'w="</f>
        <v>#VALUE!</v>
      </c>
      <c r="EL152" t="e">
        <f>'Compiled Agents'!B930+"h_l!'w&gt;"</f>
        <v>#VALUE!</v>
      </c>
      <c r="EM152" t="e">
        <f>'Compiled Agents'!C930+"h_l!'w?"</f>
        <v>#VALUE!</v>
      </c>
      <c r="EN152" t="e">
        <f>'Compiled Agents'!E930+"h_l!'w@"</f>
        <v>#VALUE!</v>
      </c>
      <c r="EO152" t="e">
        <f>'Compiled Agents'!F930+"h_l!'wA"</f>
        <v>#VALUE!</v>
      </c>
      <c r="EP152" t="e">
        <f>'Compiled Agents'!G930+"h_l!'wB"</f>
        <v>#VALUE!</v>
      </c>
      <c r="EQ152" t="e">
        <f>'Compiled Agents'!H930+"h_l!'wC"</f>
        <v>#VALUE!</v>
      </c>
      <c r="ER152" t="e">
        <f>'Compiled Agents'!A931+"h_l!'wD"</f>
        <v>#VALUE!</v>
      </c>
      <c r="ES152" t="e">
        <f>'Compiled Agents'!B931+"h_l!'wE"</f>
        <v>#VALUE!</v>
      </c>
      <c r="ET152" t="e">
        <f>'Compiled Agents'!C931+"h_l!'wF"</f>
        <v>#VALUE!</v>
      </c>
      <c r="EU152" t="e">
        <f>'Compiled Agents'!E931+"h_l!'wG"</f>
        <v>#VALUE!</v>
      </c>
      <c r="EV152" t="e">
        <f>'Compiled Agents'!F931+"h_l!'wH"</f>
        <v>#VALUE!</v>
      </c>
      <c r="EW152" t="e">
        <f>'Compiled Agents'!G931+"h_l!'wI"</f>
        <v>#VALUE!</v>
      </c>
      <c r="EX152" t="e">
        <f>'Compiled Agents'!H931+"h_l!'wJ"</f>
        <v>#VALUE!</v>
      </c>
      <c r="EY152" t="e">
        <f>'Compiled Agents'!A932+"h_l!'wK"</f>
        <v>#VALUE!</v>
      </c>
      <c r="EZ152" t="e">
        <f>'Compiled Agents'!B932+"h_l!'wL"</f>
        <v>#VALUE!</v>
      </c>
      <c r="FA152" t="e">
        <f>'Compiled Agents'!C932+"h_l!'wM"</f>
        <v>#VALUE!</v>
      </c>
      <c r="FB152" t="e">
        <f>'Compiled Agents'!E932+"h_l!'wN"</f>
        <v>#VALUE!</v>
      </c>
      <c r="FC152" t="e">
        <f>'Compiled Agents'!F932+"h_l!'wO"</f>
        <v>#VALUE!</v>
      </c>
      <c r="FD152" t="e">
        <f>'Compiled Agents'!G932+"h_l!'wP"</f>
        <v>#VALUE!</v>
      </c>
      <c r="FE152" t="e">
        <f>'Compiled Agents'!H932+"h_l!'wQ"</f>
        <v>#VALUE!</v>
      </c>
      <c r="FF152" t="e">
        <f>'Compiled Agents'!A933+"h_l!'wR"</f>
        <v>#VALUE!</v>
      </c>
      <c r="FG152" t="e">
        <f>'Compiled Agents'!B933+"h_l!'wS"</f>
        <v>#VALUE!</v>
      </c>
      <c r="FH152" t="e">
        <f>'Compiled Agents'!C933+"h_l!'wT"</f>
        <v>#VALUE!</v>
      </c>
      <c r="FI152" t="e">
        <f>'Compiled Agents'!E933+"h_l!'wU"</f>
        <v>#VALUE!</v>
      </c>
      <c r="FJ152" t="e">
        <f>'Compiled Agents'!F933+"h_l!'wV"</f>
        <v>#VALUE!</v>
      </c>
      <c r="FK152" t="e">
        <f>'Compiled Agents'!G933+"h_l!'wW"</f>
        <v>#VALUE!</v>
      </c>
      <c r="FL152" t="e">
        <f>'Compiled Agents'!H933+"h_l!'wX"</f>
        <v>#VALUE!</v>
      </c>
      <c r="FM152" t="e">
        <f>'Compiled Agents'!A934+"h_l!'wY"</f>
        <v>#VALUE!</v>
      </c>
      <c r="FN152" t="e">
        <f>'Compiled Agents'!B934+"h_l!'wZ"</f>
        <v>#VALUE!</v>
      </c>
      <c r="FO152" t="e">
        <f>'Compiled Agents'!C934+"h_l!'w["</f>
        <v>#VALUE!</v>
      </c>
      <c r="FP152" t="e">
        <f>'Compiled Agents'!E934+"h_l!'w\"</f>
        <v>#VALUE!</v>
      </c>
      <c r="FQ152" t="e">
        <f>'Compiled Agents'!F934+"h_l!'w]"</f>
        <v>#VALUE!</v>
      </c>
      <c r="FR152" t="e">
        <f>'Compiled Agents'!G934+"h_l!'w^"</f>
        <v>#VALUE!</v>
      </c>
      <c r="FS152" t="e">
        <f>'Compiled Agents'!H934+"h_l!'w_"</f>
        <v>#VALUE!</v>
      </c>
      <c r="FT152" t="e">
        <f>'Compiled Agents'!A935+"h_l!'w`"</f>
        <v>#VALUE!</v>
      </c>
      <c r="FU152" t="e">
        <f>'Compiled Agents'!B935+"h_l!'wa"</f>
        <v>#VALUE!</v>
      </c>
      <c r="FV152" t="e">
        <f>'Compiled Agents'!C935+"h_l!'wb"</f>
        <v>#VALUE!</v>
      </c>
      <c r="FW152" t="e">
        <f>'Compiled Agents'!E935+"h_l!'wc"</f>
        <v>#VALUE!</v>
      </c>
      <c r="FX152" t="e">
        <f>'Compiled Agents'!F935+"h_l!'wd"</f>
        <v>#VALUE!</v>
      </c>
      <c r="FY152" t="e">
        <f>'Compiled Agents'!G935+"h_l!'we"</f>
        <v>#VALUE!</v>
      </c>
      <c r="FZ152" t="e">
        <f>'Compiled Agents'!H935+"h_l!'wf"</f>
        <v>#VALUE!</v>
      </c>
      <c r="GA152" t="e">
        <f>'Compiled Agents'!A936+"h_l!'wg"</f>
        <v>#VALUE!</v>
      </c>
      <c r="GB152" t="e">
        <f>'Compiled Agents'!B936+"h_l!'wh"</f>
        <v>#VALUE!</v>
      </c>
      <c r="GC152" t="e">
        <f>'Compiled Agents'!C936+"h_l!'wi"</f>
        <v>#VALUE!</v>
      </c>
      <c r="GD152" t="e">
        <f>'Compiled Agents'!E936+"h_l!'wj"</f>
        <v>#VALUE!</v>
      </c>
      <c r="GE152" t="e">
        <f>'Compiled Agents'!F936+"h_l!'wk"</f>
        <v>#VALUE!</v>
      </c>
      <c r="GF152" t="e">
        <f>'Compiled Agents'!G936+"h_l!'wl"</f>
        <v>#VALUE!</v>
      </c>
      <c r="GG152" t="e">
        <f>'Compiled Agents'!H936+"h_l!'wm"</f>
        <v>#VALUE!</v>
      </c>
      <c r="GH152" t="e">
        <f>'Compiled Agents'!A937+"h_l!'wn"</f>
        <v>#VALUE!</v>
      </c>
      <c r="GI152" t="e">
        <f>'Compiled Agents'!B937+"h_l!'wo"</f>
        <v>#VALUE!</v>
      </c>
      <c r="GJ152" t="e">
        <f>'Compiled Agents'!C937+"h_l!'wp"</f>
        <v>#VALUE!</v>
      </c>
      <c r="GK152" t="e">
        <f>'Compiled Agents'!E937+"h_l!'wq"</f>
        <v>#VALUE!</v>
      </c>
      <c r="GL152" t="e">
        <f>'Compiled Agents'!F937+"h_l!'wr"</f>
        <v>#VALUE!</v>
      </c>
      <c r="GM152" t="e">
        <f>'Compiled Agents'!G937+"h_l!'ws"</f>
        <v>#VALUE!</v>
      </c>
      <c r="GN152" t="e">
        <f>'Compiled Agents'!H937+"h_l!'wt"</f>
        <v>#VALUE!</v>
      </c>
      <c r="GO152" t="e">
        <f>'Compiled Agents'!A938+"h_l!'wu"</f>
        <v>#VALUE!</v>
      </c>
      <c r="GP152" t="e">
        <f>'Compiled Agents'!B938+"h_l!'wv"</f>
        <v>#VALUE!</v>
      </c>
      <c r="GQ152" t="e">
        <f>'Compiled Agents'!C938+"h_l!'ww"</f>
        <v>#VALUE!</v>
      </c>
      <c r="GR152" t="e">
        <f>'Compiled Agents'!E938+"h_l!'wx"</f>
        <v>#VALUE!</v>
      </c>
      <c r="GS152" t="e">
        <f>'Compiled Agents'!F938+"h_l!'wy"</f>
        <v>#VALUE!</v>
      </c>
      <c r="GT152" t="e">
        <f>'Compiled Agents'!G938+"h_l!'wz"</f>
        <v>#VALUE!</v>
      </c>
      <c r="GU152" t="e">
        <f>'Compiled Agents'!H938+"h_l!'w{"</f>
        <v>#VALUE!</v>
      </c>
      <c r="GV152" t="e">
        <f>'Compiled Agents'!A939+"h_l!'w|"</f>
        <v>#VALUE!</v>
      </c>
      <c r="GW152" t="e">
        <f>'Compiled Agents'!B939+"h_l!'w}"</f>
        <v>#VALUE!</v>
      </c>
      <c r="GX152" t="e">
        <f>'Compiled Agents'!C939+"h_l!'w~"</f>
        <v>#VALUE!</v>
      </c>
      <c r="GY152" t="e">
        <f>'Compiled Agents'!E939+"h_l!'x#"</f>
        <v>#VALUE!</v>
      </c>
      <c r="GZ152" t="e">
        <f>'Compiled Agents'!F939+"h_l!'x$"</f>
        <v>#VALUE!</v>
      </c>
      <c r="HA152" t="e">
        <f>'Compiled Agents'!G939+"h_l!'x%"</f>
        <v>#VALUE!</v>
      </c>
      <c r="HB152" t="e">
        <f>'Compiled Agents'!H939+"h_l!'x&amp;"</f>
        <v>#VALUE!</v>
      </c>
      <c r="HC152" t="e">
        <f>'Compiled Agents'!A940+"h_l!'x'"</f>
        <v>#VALUE!</v>
      </c>
      <c r="HD152" t="e">
        <f>'Compiled Agents'!B940+"h_l!'x("</f>
        <v>#VALUE!</v>
      </c>
      <c r="HE152" t="e">
        <f>'Compiled Agents'!C940+"h_l!'x)"</f>
        <v>#VALUE!</v>
      </c>
      <c r="HF152" t="e">
        <f>'Compiled Agents'!E940+"h_l!'x."</f>
        <v>#VALUE!</v>
      </c>
      <c r="HG152" t="e">
        <f>'Compiled Agents'!F940+"h_l!'x/"</f>
        <v>#VALUE!</v>
      </c>
      <c r="HH152" t="e">
        <f>'Compiled Agents'!G940+"h_l!'x0"</f>
        <v>#VALUE!</v>
      </c>
      <c r="HI152" t="e">
        <f>'Compiled Agents'!H940+"h_l!'x1"</f>
        <v>#VALUE!</v>
      </c>
      <c r="HJ152" t="e">
        <f>'Compiled Agents'!A941+"h_l!'x2"</f>
        <v>#VALUE!</v>
      </c>
      <c r="HK152" t="e">
        <f>'Compiled Agents'!B941+"h_l!'x3"</f>
        <v>#VALUE!</v>
      </c>
      <c r="HL152" t="e">
        <f>'Compiled Agents'!C941+"h_l!'x4"</f>
        <v>#VALUE!</v>
      </c>
      <c r="HM152" t="e">
        <f>'Compiled Agents'!E941+"h_l!'x5"</f>
        <v>#VALUE!</v>
      </c>
      <c r="HN152" t="e">
        <f>'Compiled Agents'!F941+"h_l!'x6"</f>
        <v>#VALUE!</v>
      </c>
      <c r="HO152" t="e">
        <f>'Compiled Agents'!G941+"h_l!'x7"</f>
        <v>#VALUE!</v>
      </c>
      <c r="HP152" t="e">
        <f>'Compiled Agents'!H941+"h_l!'x8"</f>
        <v>#VALUE!</v>
      </c>
      <c r="HQ152" t="e">
        <f>'Compiled Agents'!A942+"h_l!'x9"</f>
        <v>#VALUE!</v>
      </c>
      <c r="HR152" t="e">
        <f>'Compiled Agents'!B942+"h_l!'x:"</f>
        <v>#VALUE!</v>
      </c>
      <c r="HS152" t="e">
        <f>'Compiled Agents'!C942+"h_l!'x;"</f>
        <v>#VALUE!</v>
      </c>
      <c r="HT152" t="e">
        <f>'Compiled Agents'!E942+"h_l!'x&lt;"</f>
        <v>#VALUE!</v>
      </c>
      <c r="HU152" t="e">
        <f>'Compiled Agents'!F942+"h_l!'x="</f>
        <v>#VALUE!</v>
      </c>
      <c r="HV152" t="e">
        <f>'Compiled Agents'!G942+"h_l!'x&gt;"</f>
        <v>#VALUE!</v>
      </c>
      <c r="HW152" t="e">
        <f>'Compiled Agents'!H942+"h_l!'x?"</f>
        <v>#VALUE!</v>
      </c>
      <c r="HX152" t="e">
        <f>'Compiled Agents'!A943+"h_l!'x@"</f>
        <v>#VALUE!</v>
      </c>
      <c r="HY152" t="e">
        <f>'Compiled Agents'!B943+"h_l!'xA"</f>
        <v>#VALUE!</v>
      </c>
      <c r="HZ152" t="e">
        <f>'Compiled Agents'!C943+"h_l!'xB"</f>
        <v>#VALUE!</v>
      </c>
      <c r="IA152" t="e">
        <f>'Compiled Agents'!E943+"h_l!'xC"</f>
        <v>#VALUE!</v>
      </c>
      <c r="IB152" t="e">
        <f>'Compiled Agents'!F943+"h_l!'xD"</f>
        <v>#VALUE!</v>
      </c>
      <c r="IC152" t="e">
        <f>'Compiled Agents'!G943+"h_l!'xE"</f>
        <v>#VALUE!</v>
      </c>
      <c r="ID152" t="e">
        <f>'Compiled Agents'!H943+"h_l!'xF"</f>
        <v>#VALUE!</v>
      </c>
      <c r="IE152" t="e">
        <f>'Compiled Agents'!A944+"h_l!'xG"</f>
        <v>#VALUE!</v>
      </c>
      <c r="IF152" t="e">
        <f>'Compiled Agents'!B944+"h_l!'xH"</f>
        <v>#VALUE!</v>
      </c>
      <c r="IG152" t="e">
        <f>'Compiled Agents'!C944+"h_l!'xI"</f>
        <v>#VALUE!</v>
      </c>
      <c r="IH152" t="e">
        <f>'Compiled Agents'!E944+"h_l!'xJ"</f>
        <v>#VALUE!</v>
      </c>
      <c r="II152" t="e">
        <f>'Compiled Agents'!F944+"h_l!'xK"</f>
        <v>#VALUE!</v>
      </c>
      <c r="IJ152" t="e">
        <f>'Compiled Agents'!G944+"h_l!'xL"</f>
        <v>#VALUE!</v>
      </c>
      <c r="IK152" t="e">
        <f>'Compiled Agents'!H944+"h_l!'xM"</f>
        <v>#VALUE!</v>
      </c>
      <c r="IL152" t="e">
        <f>'Compiled Agents'!A945+"h_l!'xN"</f>
        <v>#VALUE!</v>
      </c>
      <c r="IM152" t="e">
        <f>'Compiled Agents'!B945+"h_l!'xO"</f>
        <v>#VALUE!</v>
      </c>
      <c r="IN152" t="e">
        <f>'Compiled Agents'!C945+"h_l!'xP"</f>
        <v>#VALUE!</v>
      </c>
      <c r="IO152" t="e">
        <f>'Compiled Agents'!E945+"h_l!'xQ"</f>
        <v>#VALUE!</v>
      </c>
      <c r="IP152" t="e">
        <f>'Compiled Agents'!F945+"h_l!'xR"</f>
        <v>#VALUE!</v>
      </c>
      <c r="IQ152" t="e">
        <f>'Compiled Agents'!G945+"h_l!'xS"</f>
        <v>#VALUE!</v>
      </c>
      <c r="IR152" t="e">
        <f>'Compiled Agents'!H945+"h_l!'xT"</f>
        <v>#VALUE!</v>
      </c>
      <c r="IS152" t="e">
        <f>'Compiled Agents'!A946+"h_l!'xU"</f>
        <v>#VALUE!</v>
      </c>
      <c r="IT152" t="e">
        <f>'Compiled Agents'!B946+"h_l!'xV"</f>
        <v>#VALUE!</v>
      </c>
      <c r="IU152" t="e">
        <f>'Compiled Agents'!C946+"h_l!'xW"</f>
        <v>#VALUE!</v>
      </c>
      <c r="IV152" t="e">
        <f>'Compiled Agents'!E946+"h_l!'xX"</f>
        <v>#VALUE!</v>
      </c>
    </row>
    <row r="153" spans="6:256" x14ac:dyDescent="0.25">
      <c r="F153" t="e">
        <f>'Compiled Agents'!F946+"h_l!'xY"</f>
        <v>#VALUE!</v>
      </c>
      <c r="G153" t="e">
        <f>'Compiled Agents'!G946+"h_l!'xZ"</f>
        <v>#VALUE!</v>
      </c>
      <c r="H153" t="e">
        <f>'Compiled Agents'!H946+"h_l!'x["</f>
        <v>#VALUE!</v>
      </c>
      <c r="I153" t="e">
        <f>'Compiled Agents'!A947+"h_l!'x\"</f>
        <v>#VALUE!</v>
      </c>
      <c r="J153" t="e">
        <f>'Compiled Agents'!B947+"h_l!'x]"</f>
        <v>#VALUE!</v>
      </c>
      <c r="K153" t="e">
        <f>'Compiled Agents'!C947+"h_l!'x^"</f>
        <v>#VALUE!</v>
      </c>
      <c r="L153" t="e">
        <f>'Compiled Agents'!E947+"h_l!'x_"</f>
        <v>#VALUE!</v>
      </c>
      <c r="M153" t="e">
        <f>'Compiled Agents'!F947+"h_l!'x`"</f>
        <v>#VALUE!</v>
      </c>
      <c r="N153" t="e">
        <f>'Compiled Agents'!G947+"h_l!'xa"</f>
        <v>#VALUE!</v>
      </c>
      <c r="O153" t="e">
        <f>'Compiled Agents'!H947+"h_l!'xb"</f>
        <v>#VALUE!</v>
      </c>
      <c r="P153" t="e">
        <f>'Compiled Agents'!A948+"h_l!'xc"</f>
        <v>#VALUE!</v>
      </c>
      <c r="Q153" t="e">
        <f>'Compiled Agents'!B948+"h_l!'xd"</f>
        <v>#VALUE!</v>
      </c>
      <c r="R153" t="e">
        <f>'Compiled Agents'!C948+"h_l!'xe"</f>
        <v>#VALUE!</v>
      </c>
      <c r="S153" t="e">
        <f>'Compiled Agents'!E948+"h_l!'xf"</f>
        <v>#VALUE!</v>
      </c>
      <c r="T153" t="e">
        <f>'Compiled Agents'!F948+"h_l!'xg"</f>
        <v>#VALUE!</v>
      </c>
      <c r="U153" t="e">
        <f>'Compiled Agents'!G948+"h_l!'xh"</f>
        <v>#VALUE!</v>
      </c>
      <c r="V153" t="e">
        <f>'Compiled Agents'!H948+"h_l!'xi"</f>
        <v>#VALUE!</v>
      </c>
      <c r="W153" t="e">
        <f>'Compiled Agents'!A949+"h_l!'xj"</f>
        <v>#VALUE!</v>
      </c>
      <c r="X153" t="e">
        <f>'Compiled Agents'!B949+"h_l!'xk"</f>
        <v>#VALUE!</v>
      </c>
      <c r="Y153" t="e">
        <f>'Compiled Agents'!C949+"h_l!'xl"</f>
        <v>#VALUE!</v>
      </c>
      <c r="Z153" t="e">
        <f>'Compiled Agents'!E949+"h_l!'xm"</f>
        <v>#VALUE!</v>
      </c>
      <c r="AA153" t="e">
        <f>'Compiled Agents'!F949+"h_l!'xn"</f>
        <v>#VALUE!</v>
      </c>
      <c r="AB153" t="e">
        <f>'Compiled Agents'!G949+"h_l!'xo"</f>
        <v>#VALUE!</v>
      </c>
      <c r="AC153" t="e">
        <f>'Compiled Agents'!H949+"h_l!'xp"</f>
        <v>#VALUE!</v>
      </c>
      <c r="AD153" t="e">
        <f>'Compiled Agents'!A950+"h_l!'xq"</f>
        <v>#VALUE!</v>
      </c>
      <c r="AE153" t="e">
        <f>'Compiled Agents'!B950+"h_l!'xr"</f>
        <v>#VALUE!</v>
      </c>
      <c r="AF153" t="e">
        <f>'Compiled Agents'!C950+"h_l!'xs"</f>
        <v>#VALUE!</v>
      </c>
      <c r="AG153" t="e">
        <f>'Compiled Agents'!E950+"h_l!'xt"</f>
        <v>#VALUE!</v>
      </c>
      <c r="AH153" t="e">
        <f>'Compiled Agents'!F950+"h_l!'xu"</f>
        <v>#VALUE!</v>
      </c>
      <c r="AI153" t="e">
        <f>'Compiled Agents'!G950+"h_l!'xv"</f>
        <v>#VALUE!</v>
      </c>
      <c r="AJ153" t="e">
        <f>'Compiled Agents'!H950+"h_l!'xw"</f>
        <v>#VALUE!</v>
      </c>
      <c r="AK153" t="e">
        <f>'Compiled Agents'!A951+"h_l!'xx"</f>
        <v>#VALUE!</v>
      </c>
      <c r="AL153" t="e">
        <f>'Compiled Agents'!B951+"h_l!'xy"</f>
        <v>#VALUE!</v>
      </c>
      <c r="AM153" t="e">
        <f>'Compiled Agents'!C951+"h_l!'xz"</f>
        <v>#VALUE!</v>
      </c>
      <c r="AN153" t="e">
        <f>'Compiled Agents'!E951+"h_l!'x{"</f>
        <v>#VALUE!</v>
      </c>
      <c r="AO153" t="e">
        <f>'Compiled Agents'!F951+"h_l!'x|"</f>
        <v>#VALUE!</v>
      </c>
      <c r="AP153" t="e">
        <f>'Compiled Agents'!G951+"h_l!'x}"</f>
        <v>#VALUE!</v>
      </c>
      <c r="AQ153" t="e">
        <f>'Compiled Agents'!H951+"h_l!'x~"</f>
        <v>#VALUE!</v>
      </c>
      <c r="AR153" t="e">
        <f>'Compiled Agents'!A952+"h_l!'y#"</f>
        <v>#VALUE!</v>
      </c>
      <c r="AS153" t="e">
        <f>'Compiled Agents'!B952+"h_l!'y$"</f>
        <v>#VALUE!</v>
      </c>
      <c r="AT153" t="e">
        <f>'Compiled Agents'!C952+"h_l!'y%"</f>
        <v>#VALUE!</v>
      </c>
      <c r="AU153" t="e">
        <f>'Compiled Agents'!E952+"h_l!'y&amp;"</f>
        <v>#VALUE!</v>
      </c>
      <c r="AV153" t="e">
        <f>'Compiled Agents'!F952+"h_l!'y'"</f>
        <v>#VALUE!</v>
      </c>
      <c r="AW153" t="e">
        <f>'Compiled Agents'!G952+"h_l!'y("</f>
        <v>#VALUE!</v>
      </c>
      <c r="AX153" t="e">
        <f>'Compiled Agents'!H952+"h_l!'y)"</f>
        <v>#VALUE!</v>
      </c>
      <c r="AY153" t="e">
        <f>'Compiled Agents'!A953+"h_l!'y."</f>
        <v>#VALUE!</v>
      </c>
      <c r="AZ153" t="e">
        <f>'Compiled Agents'!B953+"h_l!'y/"</f>
        <v>#VALUE!</v>
      </c>
      <c r="BA153" t="e">
        <f>'Compiled Agents'!C953+"h_l!'y0"</f>
        <v>#VALUE!</v>
      </c>
      <c r="BB153" t="e">
        <f>'Compiled Agents'!E953+"h_l!'y1"</f>
        <v>#VALUE!</v>
      </c>
      <c r="BC153" t="e">
        <f>'Compiled Agents'!F953+"h_l!'y2"</f>
        <v>#VALUE!</v>
      </c>
      <c r="BD153" t="e">
        <f>'Compiled Agents'!G953+"h_l!'y3"</f>
        <v>#VALUE!</v>
      </c>
      <c r="BE153" t="e">
        <f>'Compiled Agents'!H953+"h_l!'y4"</f>
        <v>#VALUE!</v>
      </c>
      <c r="BF153" t="e">
        <f>'Compiled Agents'!A954+"h_l!'y5"</f>
        <v>#VALUE!</v>
      </c>
      <c r="BG153" t="e">
        <f>'Compiled Agents'!B954+"h_l!'y6"</f>
        <v>#VALUE!</v>
      </c>
      <c r="BH153" t="e">
        <f>'Compiled Agents'!C954+"h_l!'y7"</f>
        <v>#VALUE!</v>
      </c>
      <c r="BI153" t="e">
        <f>'Compiled Agents'!E954+"h_l!'y8"</f>
        <v>#VALUE!</v>
      </c>
      <c r="BJ153" t="e">
        <f>'Compiled Agents'!F954+"h_l!'y9"</f>
        <v>#VALUE!</v>
      </c>
      <c r="BK153" t="e">
        <f>'Compiled Agents'!G954+"h_l!'y:"</f>
        <v>#VALUE!</v>
      </c>
      <c r="BL153" t="e">
        <f>'Compiled Agents'!H954+"h_l!'y;"</f>
        <v>#VALUE!</v>
      </c>
      <c r="BM153" t="e">
        <f>'Compiled Agents'!A955+"h_l!'y&lt;"</f>
        <v>#VALUE!</v>
      </c>
      <c r="BN153" t="e">
        <f>'Compiled Agents'!B955+"h_l!'y="</f>
        <v>#VALUE!</v>
      </c>
      <c r="BO153" t="e">
        <f>'Compiled Agents'!C955+"h_l!'y&gt;"</f>
        <v>#VALUE!</v>
      </c>
      <c r="BP153" t="e">
        <f>'Compiled Agents'!E955+"h_l!'y?"</f>
        <v>#VALUE!</v>
      </c>
      <c r="BQ153" t="e">
        <f>'Compiled Agents'!F955+"h_l!'y@"</f>
        <v>#VALUE!</v>
      </c>
      <c r="BR153" t="e">
        <f>'Compiled Agents'!G955+"h_l!'yA"</f>
        <v>#VALUE!</v>
      </c>
      <c r="BS153" t="e">
        <f>'Compiled Agents'!H955+"h_l!'yB"</f>
        <v>#VALUE!</v>
      </c>
      <c r="BT153" t="e">
        <f>'Compiled Agents'!A956+"h_l!'yC"</f>
        <v>#VALUE!</v>
      </c>
      <c r="BU153" t="e">
        <f>'Compiled Agents'!B956+"h_l!'yD"</f>
        <v>#VALUE!</v>
      </c>
      <c r="BV153" t="e">
        <f>'Compiled Agents'!C956+"h_l!'yE"</f>
        <v>#VALUE!</v>
      </c>
      <c r="BW153" t="e">
        <f>'Compiled Agents'!E956+"h_l!'yF"</f>
        <v>#VALUE!</v>
      </c>
      <c r="BX153" t="e">
        <f>'Compiled Agents'!F956+"h_l!'yG"</f>
        <v>#VALUE!</v>
      </c>
      <c r="BY153" t="e">
        <f>'Compiled Agents'!G956+"h_l!'yH"</f>
        <v>#VALUE!</v>
      </c>
      <c r="BZ153" t="e">
        <f>'Compiled Agents'!H956+"h_l!'yI"</f>
        <v>#VALUE!</v>
      </c>
      <c r="CA153" t="e">
        <f>'Compiled Agents'!A957+"h_l!'yJ"</f>
        <v>#VALUE!</v>
      </c>
      <c r="CB153" t="e">
        <f>'Compiled Agents'!B957+"h_l!'yK"</f>
        <v>#VALUE!</v>
      </c>
      <c r="CC153" t="e">
        <f>'Compiled Agents'!C957+"h_l!'yL"</f>
        <v>#VALUE!</v>
      </c>
      <c r="CD153" t="e">
        <f>'Compiled Agents'!E957+"h_l!'yM"</f>
        <v>#VALUE!</v>
      </c>
      <c r="CE153" t="e">
        <f>'Compiled Agents'!F957+"h_l!'yN"</f>
        <v>#VALUE!</v>
      </c>
      <c r="CF153" t="e">
        <f>'Compiled Agents'!G957+"h_l!'yO"</f>
        <v>#VALUE!</v>
      </c>
      <c r="CG153" t="e">
        <f>'Compiled Agents'!H957+"h_l!'yP"</f>
        <v>#VALUE!</v>
      </c>
      <c r="CH153" t="e">
        <f>'Compiled Agents'!A958+"h_l!'yQ"</f>
        <v>#VALUE!</v>
      </c>
      <c r="CI153" t="e">
        <f>'Compiled Agents'!B958+"h_l!'yR"</f>
        <v>#VALUE!</v>
      </c>
      <c r="CJ153" t="e">
        <f>'Compiled Agents'!C958+"h_l!'yS"</f>
        <v>#VALUE!</v>
      </c>
      <c r="CK153" t="e">
        <f>'Compiled Agents'!E958+"h_l!'yT"</f>
        <v>#VALUE!</v>
      </c>
      <c r="CL153" t="e">
        <f>'Compiled Agents'!F958+"h_l!'yU"</f>
        <v>#VALUE!</v>
      </c>
      <c r="CM153" t="e">
        <f>'Compiled Agents'!G958+"h_l!'yV"</f>
        <v>#VALUE!</v>
      </c>
      <c r="CN153" t="e">
        <f>'Compiled Agents'!H958+"h_l!'yW"</f>
        <v>#VALUE!</v>
      </c>
      <c r="CO153" t="e">
        <f>'Compiled Agents'!A959+"h_l!'yX"</f>
        <v>#VALUE!</v>
      </c>
      <c r="CP153" t="e">
        <f>'Compiled Agents'!B959+"h_l!'yY"</f>
        <v>#VALUE!</v>
      </c>
      <c r="CQ153" t="e">
        <f>'Compiled Agents'!C959+"h_l!'yZ"</f>
        <v>#VALUE!</v>
      </c>
      <c r="CR153" t="e">
        <f>'Compiled Agents'!E959+"h_l!'y["</f>
        <v>#VALUE!</v>
      </c>
      <c r="CS153" t="e">
        <f>'Compiled Agents'!F959+"h_l!'y\"</f>
        <v>#VALUE!</v>
      </c>
      <c r="CT153" t="e">
        <f>'Compiled Agents'!G959+"h_l!'y]"</f>
        <v>#VALUE!</v>
      </c>
      <c r="CU153" t="e">
        <f>'Compiled Agents'!H959+"h_l!'y^"</f>
        <v>#VALUE!</v>
      </c>
      <c r="CV153" t="e">
        <f>'Compiled Agents'!A960+"h_l!'y_"</f>
        <v>#VALUE!</v>
      </c>
      <c r="CW153" t="e">
        <f>'Compiled Agents'!B960+"h_l!'y`"</f>
        <v>#VALUE!</v>
      </c>
      <c r="CX153" t="e">
        <f>'Compiled Agents'!C960+"h_l!'ya"</f>
        <v>#VALUE!</v>
      </c>
      <c r="CY153" t="e">
        <f>'Compiled Agents'!E960+"h_l!'yb"</f>
        <v>#VALUE!</v>
      </c>
      <c r="CZ153" t="e">
        <f>'Compiled Agents'!F960+"h_l!'yc"</f>
        <v>#VALUE!</v>
      </c>
      <c r="DA153" t="e">
        <f>'Compiled Agents'!G960+"h_l!'yd"</f>
        <v>#VALUE!</v>
      </c>
      <c r="DB153" t="e">
        <f>'Compiled Agents'!H960+"h_l!'ye"</f>
        <v>#VALUE!</v>
      </c>
      <c r="DC153" t="e">
        <f>'Compiled Agents'!A961+"h_l!'yf"</f>
        <v>#VALUE!</v>
      </c>
      <c r="DD153" t="e">
        <f>'Compiled Agents'!B961+"h_l!'yg"</f>
        <v>#VALUE!</v>
      </c>
      <c r="DE153" t="e">
        <f>'Compiled Agents'!C961+"h_l!'yh"</f>
        <v>#VALUE!</v>
      </c>
      <c r="DF153" t="e">
        <f>'Compiled Agents'!E961+"h_l!'yi"</f>
        <v>#VALUE!</v>
      </c>
      <c r="DG153" t="e">
        <f>'Compiled Agents'!F961+"h_l!'yj"</f>
        <v>#VALUE!</v>
      </c>
      <c r="DH153" t="e">
        <f>'Compiled Agents'!G961+"h_l!'yk"</f>
        <v>#VALUE!</v>
      </c>
      <c r="DI153" t="e">
        <f>'Compiled Agents'!H961+"h_l!'yl"</f>
        <v>#VALUE!</v>
      </c>
      <c r="DJ153" t="e">
        <f>'Compiled Agents'!A962+"h_l!'ym"</f>
        <v>#VALUE!</v>
      </c>
      <c r="DK153" t="e">
        <f>'Compiled Agents'!B962+"h_l!'yn"</f>
        <v>#VALUE!</v>
      </c>
      <c r="DL153" t="e">
        <f>'Compiled Agents'!C962+"h_l!'yo"</f>
        <v>#VALUE!</v>
      </c>
      <c r="DM153" t="e">
        <f>'Compiled Agents'!E962+"h_l!'yp"</f>
        <v>#VALUE!</v>
      </c>
      <c r="DN153" t="e">
        <f>'Compiled Agents'!F962+"h_l!'yq"</f>
        <v>#VALUE!</v>
      </c>
      <c r="DO153" t="e">
        <f>'Compiled Agents'!G962+"h_l!'yr"</f>
        <v>#VALUE!</v>
      </c>
      <c r="DP153" t="e">
        <f>'Compiled Agents'!H962+"h_l!'ys"</f>
        <v>#VALUE!</v>
      </c>
      <c r="DQ153" t="e">
        <f>'Compiled Agents'!A963+"h_l!'yt"</f>
        <v>#VALUE!</v>
      </c>
      <c r="DR153" t="e">
        <f>'Compiled Agents'!B963+"h_l!'yu"</f>
        <v>#VALUE!</v>
      </c>
      <c r="DS153" t="e">
        <f>'Compiled Agents'!C963+"h_l!'yv"</f>
        <v>#VALUE!</v>
      </c>
      <c r="DT153" t="e">
        <f>'Compiled Agents'!E963+"h_l!'yw"</f>
        <v>#VALUE!</v>
      </c>
      <c r="DU153" t="e">
        <f>'Compiled Agents'!F963+"h_l!'yx"</f>
        <v>#VALUE!</v>
      </c>
      <c r="DV153" t="e">
        <f>'Compiled Agents'!G963+"h_l!'yy"</f>
        <v>#VALUE!</v>
      </c>
      <c r="DW153" t="e">
        <f>'Compiled Agents'!H963+"h_l!'yz"</f>
        <v>#VALUE!</v>
      </c>
      <c r="DX153" t="e">
        <f>'Compiled Agents'!A964+"h_l!'y{"</f>
        <v>#VALUE!</v>
      </c>
      <c r="DY153" t="e">
        <f>'Compiled Agents'!B964+"h_l!'y|"</f>
        <v>#VALUE!</v>
      </c>
      <c r="DZ153" t="e">
        <f>'Compiled Agents'!C964+"h_l!'y}"</f>
        <v>#VALUE!</v>
      </c>
      <c r="EA153" t="e">
        <f>'Compiled Agents'!E964+"h_l!'y~"</f>
        <v>#VALUE!</v>
      </c>
      <c r="EB153" t="e">
        <f>'Compiled Agents'!F964+"h_l!'z#"</f>
        <v>#VALUE!</v>
      </c>
      <c r="EC153" t="e">
        <f>'Compiled Agents'!G964+"h_l!'z$"</f>
        <v>#VALUE!</v>
      </c>
      <c r="ED153" t="e">
        <f>'Compiled Agents'!H964+"h_l!'z%"</f>
        <v>#VALUE!</v>
      </c>
      <c r="EE153" t="e">
        <f>'Compiled Agents'!A965+"h_l!'z&amp;"</f>
        <v>#VALUE!</v>
      </c>
      <c r="EF153" t="e">
        <f>'Compiled Agents'!B965+"h_l!'z'"</f>
        <v>#VALUE!</v>
      </c>
      <c r="EG153" t="e">
        <f>'Compiled Agents'!C965+"h_l!'z("</f>
        <v>#VALUE!</v>
      </c>
      <c r="EH153" t="e">
        <f>'Compiled Agents'!E965+"h_l!'z)"</f>
        <v>#VALUE!</v>
      </c>
      <c r="EI153" t="e">
        <f>'Compiled Agents'!F965+"h_l!'z."</f>
        <v>#VALUE!</v>
      </c>
      <c r="EJ153" t="e">
        <f>'Compiled Agents'!G965+"h_l!'z/"</f>
        <v>#VALUE!</v>
      </c>
      <c r="EK153" t="e">
        <f>'Compiled Agents'!H965+"h_l!'z0"</f>
        <v>#VALUE!</v>
      </c>
      <c r="EL153" t="e">
        <f>'Compiled Agents'!A966+"h_l!'z1"</f>
        <v>#VALUE!</v>
      </c>
      <c r="EM153" t="e">
        <f>'Compiled Agents'!B966+"h_l!'z2"</f>
        <v>#VALUE!</v>
      </c>
      <c r="EN153" t="e">
        <f>'Compiled Agents'!C966+"h_l!'z3"</f>
        <v>#VALUE!</v>
      </c>
      <c r="EO153" t="e">
        <f>'Compiled Agents'!E966+"h_l!'z4"</f>
        <v>#VALUE!</v>
      </c>
      <c r="EP153" t="e">
        <f>'Compiled Agents'!F966+"h_l!'z5"</f>
        <v>#VALUE!</v>
      </c>
      <c r="EQ153" t="e">
        <f>'Compiled Agents'!G966+"h_l!'z6"</f>
        <v>#VALUE!</v>
      </c>
      <c r="ER153" t="e">
        <f>'Compiled Agents'!H966+"h_l!'z7"</f>
        <v>#VALUE!</v>
      </c>
      <c r="ES153" t="e">
        <f>'Compiled Agents'!A967+"h_l!'z8"</f>
        <v>#VALUE!</v>
      </c>
      <c r="ET153" t="e">
        <f>'Compiled Agents'!B967+"h_l!'z9"</f>
        <v>#VALUE!</v>
      </c>
      <c r="EU153" t="e">
        <f>'Compiled Agents'!C967+"h_l!'z:"</f>
        <v>#VALUE!</v>
      </c>
      <c r="EV153" t="e">
        <f>'Compiled Agents'!E967+"h_l!'z;"</f>
        <v>#VALUE!</v>
      </c>
      <c r="EW153" t="e">
        <f>'Compiled Agents'!F967+"h_l!'z&lt;"</f>
        <v>#VALUE!</v>
      </c>
      <c r="EX153" t="e">
        <f>'Compiled Agents'!G967+"h_l!'z="</f>
        <v>#VALUE!</v>
      </c>
      <c r="EY153" t="e">
        <f>'Compiled Agents'!H967+"h_l!'z&gt;"</f>
        <v>#VALUE!</v>
      </c>
      <c r="EZ153" t="e">
        <f>'Compiled Agents'!A968+"h_l!'z?"</f>
        <v>#VALUE!</v>
      </c>
      <c r="FA153" t="e">
        <f>'Compiled Agents'!B968+"h_l!'z@"</f>
        <v>#VALUE!</v>
      </c>
      <c r="FB153" t="e">
        <f>'Compiled Agents'!C968+"h_l!'zA"</f>
        <v>#VALUE!</v>
      </c>
      <c r="FC153" t="e">
        <f>'Compiled Agents'!E968+"h_l!'zB"</f>
        <v>#VALUE!</v>
      </c>
      <c r="FD153" t="e">
        <f>'Compiled Agents'!F968+"h_l!'zC"</f>
        <v>#VALUE!</v>
      </c>
      <c r="FE153" t="e">
        <f>'Compiled Agents'!G968+"h_l!'zD"</f>
        <v>#VALUE!</v>
      </c>
      <c r="FF153" t="e">
        <f>'Compiled Agents'!H968+"h_l!'zE"</f>
        <v>#VALUE!</v>
      </c>
      <c r="FG153" t="e">
        <f>'Compiled Agents'!A969+"h_l!'zF"</f>
        <v>#VALUE!</v>
      </c>
      <c r="FH153" t="e">
        <f>'Compiled Agents'!B969+"h_l!'zG"</f>
        <v>#VALUE!</v>
      </c>
      <c r="FI153" t="e">
        <f>'Compiled Agents'!C969+"h_l!'zH"</f>
        <v>#VALUE!</v>
      </c>
      <c r="FJ153" t="e">
        <f>'Compiled Agents'!E969+"h_l!'zI"</f>
        <v>#VALUE!</v>
      </c>
      <c r="FK153" t="e">
        <f>'Compiled Agents'!F969+"h_l!'zJ"</f>
        <v>#VALUE!</v>
      </c>
      <c r="FL153" t="e">
        <f>'Compiled Agents'!G969+"h_l!'zK"</f>
        <v>#VALUE!</v>
      </c>
      <c r="FM153" t="e">
        <f>'Compiled Agents'!H969+"h_l!'zL"</f>
        <v>#VALUE!</v>
      </c>
      <c r="FN153" t="e">
        <f>'Compiled Agents'!A970+"h_l!'zM"</f>
        <v>#VALUE!</v>
      </c>
      <c r="FO153" t="e">
        <f>'Compiled Agents'!B970+"h_l!'zN"</f>
        <v>#VALUE!</v>
      </c>
      <c r="FP153" t="e">
        <f>'Compiled Agents'!C970+"h_l!'zO"</f>
        <v>#VALUE!</v>
      </c>
      <c r="FQ153" t="e">
        <f>'Compiled Agents'!E970+"h_l!'zP"</f>
        <v>#VALUE!</v>
      </c>
      <c r="FR153" t="e">
        <f>'Compiled Agents'!F970+"h_l!'zQ"</f>
        <v>#VALUE!</v>
      </c>
      <c r="FS153" t="e">
        <f>'Compiled Agents'!G970+"h_l!'zR"</f>
        <v>#VALUE!</v>
      </c>
      <c r="FT153" t="e">
        <f>'Compiled Agents'!H970+"h_l!'zS"</f>
        <v>#VALUE!</v>
      </c>
      <c r="FU153" t="e">
        <f>'Compiled Agents'!A971+"h_l!'zT"</f>
        <v>#VALUE!</v>
      </c>
      <c r="FV153" t="e">
        <f>'Compiled Agents'!B971+"h_l!'zU"</f>
        <v>#VALUE!</v>
      </c>
      <c r="FW153" t="e">
        <f>'Compiled Agents'!C971+"h_l!'zV"</f>
        <v>#VALUE!</v>
      </c>
      <c r="FX153" t="e">
        <f>'Compiled Agents'!E971+"h_l!'zW"</f>
        <v>#VALUE!</v>
      </c>
      <c r="FY153" t="e">
        <f>'Compiled Agents'!F971+"h_l!'zX"</f>
        <v>#VALUE!</v>
      </c>
      <c r="FZ153" t="e">
        <f>'Compiled Agents'!G971+"h_l!'zY"</f>
        <v>#VALUE!</v>
      </c>
      <c r="GA153" t="e">
        <f>'Compiled Agents'!H971+"h_l!'zZ"</f>
        <v>#VALUE!</v>
      </c>
      <c r="GB153" t="e">
        <f>'Compiled Agents'!A972+"h_l!'z["</f>
        <v>#VALUE!</v>
      </c>
      <c r="GC153" t="e">
        <f>'Compiled Agents'!B972+"h_l!'z\"</f>
        <v>#VALUE!</v>
      </c>
      <c r="GD153" t="e">
        <f>'Compiled Agents'!C972+"h_l!'z]"</f>
        <v>#VALUE!</v>
      </c>
      <c r="GE153" t="e">
        <f>'Compiled Agents'!E972+"h_l!'z^"</f>
        <v>#VALUE!</v>
      </c>
      <c r="GF153" t="e">
        <f>'Compiled Agents'!F972+"h_l!'z_"</f>
        <v>#VALUE!</v>
      </c>
      <c r="GG153" t="e">
        <f>'Compiled Agents'!G972+"h_l!'z`"</f>
        <v>#VALUE!</v>
      </c>
      <c r="GH153" t="e">
        <f>'Compiled Agents'!H972+"h_l!'za"</f>
        <v>#VALUE!</v>
      </c>
      <c r="GI153" t="e">
        <f>'Compiled Agents'!A973+"h_l!'zb"</f>
        <v>#VALUE!</v>
      </c>
      <c r="GJ153" t="e">
        <f>'Compiled Agents'!B973+"h_l!'zc"</f>
        <v>#VALUE!</v>
      </c>
      <c r="GK153" t="e">
        <f>'Compiled Agents'!C973+"h_l!'zd"</f>
        <v>#VALUE!</v>
      </c>
      <c r="GL153" t="e">
        <f>'Compiled Agents'!E973+"h_l!'ze"</f>
        <v>#VALUE!</v>
      </c>
      <c r="GM153" t="e">
        <f>'Compiled Agents'!F973+"h_l!'zf"</f>
        <v>#VALUE!</v>
      </c>
      <c r="GN153" t="e">
        <f>'Compiled Agents'!G973+"h_l!'zg"</f>
        <v>#VALUE!</v>
      </c>
      <c r="GO153" t="e">
        <f>'Compiled Agents'!H973+"h_l!'zh"</f>
        <v>#VALUE!</v>
      </c>
      <c r="GP153" t="e">
        <f>'Compiled Agents'!A974+"h_l!'zi"</f>
        <v>#VALUE!</v>
      </c>
      <c r="GQ153" t="e">
        <f>'Compiled Agents'!B974+"h_l!'zj"</f>
        <v>#VALUE!</v>
      </c>
      <c r="GR153" t="e">
        <f>'Compiled Agents'!C974+"h_l!'zk"</f>
        <v>#VALUE!</v>
      </c>
      <c r="GS153" t="e">
        <f>'Compiled Agents'!E974+"h_l!'zl"</f>
        <v>#VALUE!</v>
      </c>
      <c r="GT153" t="e">
        <f>'Compiled Agents'!F974+"h_l!'zm"</f>
        <v>#VALUE!</v>
      </c>
      <c r="GU153" t="e">
        <f>'Compiled Agents'!G974+"h_l!'zn"</f>
        <v>#VALUE!</v>
      </c>
      <c r="GV153" t="e">
        <f>'Compiled Agents'!H974+"h_l!'zo"</f>
        <v>#VALUE!</v>
      </c>
      <c r="GW153" t="e">
        <f>'Compiled Agents'!A975+"h_l!'zp"</f>
        <v>#VALUE!</v>
      </c>
      <c r="GX153" t="e">
        <f>'Compiled Agents'!B975+"h_l!'zq"</f>
        <v>#VALUE!</v>
      </c>
      <c r="GY153" t="e">
        <f>'Compiled Agents'!C975+"h_l!'zr"</f>
        <v>#VALUE!</v>
      </c>
      <c r="GZ153" t="e">
        <f>'Compiled Agents'!E975+"h_l!'zs"</f>
        <v>#VALUE!</v>
      </c>
      <c r="HA153" t="e">
        <f>'Compiled Agents'!F975+"h_l!'zt"</f>
        <v>#VALUE!</v>
      </c>
      <c r="HB153" t="e">
        <f>'Compiled Agents'!G975+"h_l!'zu"</f>
        <v>#VALUE!</v>
      </c>
      <c r="HC153" t="e">
        <f>'Compiled Agents'!H975+"h_l!'zv"</f>
        <v>#VALUE!</v>
      </c>
      <c r="HD153" t="e">
        <f>'Compiled Agents'!A976+"h_l!'zw"</f>
        <v>#VALUE!</v>
      </c>
      <c r="HE153" t="e">
        <f>'Compiled Agents'!B976+"h_l!'zx"</f>
        <v>#VALUE!</v>
      </c>
      <c r="HF153" t="e">
        <f>'Compiled Agents'!C976+"h_l!'zy"</f>
        <v>#VALUE!</v>
      </c>
      <c r="HG153" t="e">
        <f>'Compiled Agents'!E976+"h_l!'zz"</f>
        <v>#VALUE!</v>
      </c>
      <c r="HH153" t="e">
        <f>'Compiled Agents'!F976+"h_l!'z{"</f>
        <v>#VALUE!</v>
      </c>
      <c r="HI153" t="e">
        <f>'Compiled Agents'!G976+"h_l!'z|"</f>
        <v>#VALUE!</v>
      </c>
      <c r="HJ153" t="e">
        <f>'Compiled Agents'!H976+"h_l!'z}"</f>
        <v>#VALUE!</v>
      </c>
      <c r="HK153" t="e">
        <f>'Compiled Agents'!A977+"h_l!'z~"</f>
        <v>#VALUE!</v>
      </c>
      <c r="HL153" t="e">
        <f>'Compiled Agents'!B977+"h_l!'{#"</f>
        <v>#VALUE!</v>
      </c>
      <c r="HM153" t="e">
        <f>'Compiled Agents'!C977+"h_l!'{$"</f>
        <v>#VALUE!</v>
      </c>
      <c r="HN153" t="e">
        <f>'Compiled Agents'!E977+"h_l!'{%"</f>
        <v>#VALUE!</v>
      </c>
      <c r="HO153" t="e">
        <f>'Compiled Agents'!F977+"h_l!'{&amp;"</f>
        <v>#VALUE!</v>
      </c>
      <c r="HP153" t="e">
        <f>'Compiled Agents'!G977+"h_l!'{'"</f>
        <v>#VALUE!</v>
      </c>
      <c r="HQ153" t="e">
        <f>'Compiled Agents'!H977+"h_l!'{("</f>
        <v>#VALUE!</v>
      </c>
      <c r="HR153" t="e">
        <f>'Compiled Agents'!A978+"h_l!'{)"</f>
        <v>#VALUE!</v>
      </c>
      <c r="HS153" t="e">
        <f>'Compiled Agents'!B978+"h_l!'{."</f>
        <v>#VALUE!</v>
      </c>
      <c r="HT153" t="e">
        <f>'Compiled Agents'!C978+"h_l!'{/"</f>
        <v>#VALUE!</v>
      </c>
      <c r="HU153" t="e">
        <f>'Compiled Agents'!E978+"h_l!'{0"</f>
        <v>#VALUE!</v>
      </c>
      <c r="HV153" t="e">
        <f>'Compiled Agents'!F978+"h_l!'{1"</f>
        <v>#VALUE!</v>
      </c>
      <c r="HW153" t="e">
        <f>'Compiled Agents'!G978+"h_l!'{2"</f>
        <v>#VALUE!</v>
      </c>
      <c r="HX153" t="e">
        <f>'Compiled Agents'!H978+"h_l!'{3"</f>
        <v>#VALUE!</v>
      </c>
      <c r="HY153" t="e">
        <f>'Compiled Agents'!A979+"h_l!'{4"</f>
        <v>#VALUE!</v>
      </c>
      <c r="HZ153" t="e">
        <f>'Compiled Agents'!B979+"h_l!'{5"</f>
        <v>#VALUE!</v>
      </c>
      <c r="IA153" t="e">
        <f>'Compiled Agents'!C979+"h_l!'{6"</f>
        <v>#VALUE!</v>
      </c>
      <c r="IB153" t="e">
        <f>'Compiled Agents'!E979+"h_l!'{7"</f>
        <v>#VALUE!</v>
      </c>
      <c r="IC153" t="e">
        <f>'Compiled Agents'!F979+"h_l!'{8"</f>
        <v>#VALUE!</v>
      </c>
      <c r="ID153" t="e">
        <f>'Compiled Agents'!G979+"h_l!'{9"</f>
        <v>#VALUE!</v>
      </c>
      <c r="IE153" t="e">
        <f>'Compiled Agents'!H979+"h_l!'{:"</f>
        <v>#VALUE!</v>
      </c>
      <c r="IF153" t="e">
        <f>'Compiled Agents'!A980+"h_l!'{;"</f>
        <v>#VALUE!</v>
      </c>
      <c r="IG153" t="e">
        <f>'Compiled Agents'!B980+"h_l!'{&lt;"</f>
        <v>#VALUE!</v>
      </c>
      <c r="IH153" t="e">
        <f>'Compiled Agents'!C980+"h_l!'{="</f>
        <v>#VALUE!</v>
      </c>
      <c r="II153" t="e">
        <f>'Compiled Agents'!E980+"h_l!'{&gt;"</f>
        <v>#VALUE!</v>
      </c>
      <c r="IJ153" t="e">
        <f>'Compiled Agents'!F980+"h_l!'{?"</f>
        <v>#VALUE!</v>
      </c>
      <c r="IK153" t="e">
        <f>'Compiled Agents'!G980+"h_l!'{@"</f>
        <v>#VALUE!</v>
      </c>
      <c r="IL153" t="e">
        <f>'Compiled Agents'!H980+"h_l!'{A"</f>
        <v>#VALUE!</v>
      </c>
      <c r="IM153" t="e">
        <f>'Compiled Agents'!A981+"h_l!'{B"</f>
        <v>#VALUE!</v>
      </c>
      <c r="IN153" t="e">
        <f>'Compiled Agents'!B981+"h_l!'{C"</f>
        <v>#VALUE!</v>
      </c>
      <c r="IO153" t="e">
        <f>'Compiled Agents'!C981+"h_l!'{D"</f>
        <v>#VALUE!</v>
      </c>
      <c r="IP153" t="e">
        <f>'Compiled Agents'!E981+"h_l!'{E"</f>
        <v>#VALUE!</v>
      </c>
      <c r="IQ153" t="e">
        <f>'Compiled Agents'!F981+"h_l!'{F"</f>
        <v>#VALUE!</v>
      </c>
      <c r="IR153" t="e">
        <f>'Compiled Agents'!G981+"h_l!'{G"</f>
        <v>#VALUE!</v>
      </c>
      <c r="IS153" t="e">
        <f>'Compiled Agents'!H981+"h_l!'{H"</f>
        <v>#VALUE!</v>
      </c>
      <c r="IT153" t="e">
        <f>'Compiled Agents'!A982+"h_l!'{I"</f>
        <v>#VALUE!</v>
      </c>
      <c r="IU153" t="e">
        <f>'Compiled Agents'!B982+"h_l!'{J"</f>
        <v>#VALUE!</v>
      </c>
      <c r="IV153" t="e">
        <f>'Compiled Agents'!C982+"h_l!'{K"</f>
        <v>#VALUE!</v>
      </c>
    </row>
    <row r="154" spans="6:256" x14ac:dyDescent="0.25">
      <c r="F154" t="e">
        <f>'Compiled Agents'!E982+"h_l!'{L"</f>
        <v>#VALUE!</v>
      </c>
      <c r="G154" t="e">
        <f>'Compiled Agents'!F982+"h_l!'{M"</f>
        <v>#VALUE!</v>
      </c>
      <c r="H154" t="e">
        <f>'Compiled Agents'!G982+"h_l!'{N"</f>
        <v>#VALUE!</v>
      </c>
      <c r="I154" t="e">
        <f>'Compiled Agents'!H982+"h_l!'{O"</f>
        <v>#VALUE!</v>
      </c>
      <c r="J154" t="e">
        <f>'Compiled Agents'!A983+"h_l!'{P"</f>
        <v>#VALUE!</v>
      </c>
      <c r="K154" t="e">
        <f>'Compiled Agents'!B983+"h_l!'{Q"</f>
        <v>#VALUE!</v>
      </c>
      <c r="L154" t="e">
        <f>'Compiled Agents'!C983+"h_l!'{R"</f>
        <v>#VALUE!</v>
      </c>
      <c r="M154" t="e">
        <f>'Compiled Agents'!E983+"h_l!'{S"</f>
        <v>#VALUE!</v>
      </c>
      <c r="N154" t="e">
        <f>'Compiled Agents'!F983+"h_l!'{T"</f>
        <v>#VALUE!</v>
      </c>
      <c r="O154" t="e">
        <f>'Compiled Agents'!G983+"h_l!'{U"</f>
        <v>#VALUE!</v>
      </c>
      <c r="P154" t="e">
        <f>'Compiled Agents'!H983+"h_l!'{V"</f>
        <v>#VALUE!</v>
      </c>
      <c r="Q154" t="e">
        <f>'Compiled Agents'!A984+"h_l!'{W"</f>
        <v>#VALUE!</v>
      </c>
      <c r="R154" t="e">
        <f>'Compiled Agents'!B984+"h_l!'{X"</f>
        <v>#VALUE!</v>
      </c>
      <c r="S154" t="e">
        <f>'Compiled Agents'!C984+"h_l!'{Y"</f>
        <v>#VALUE!</v>
      </c>
      <c r="T154" t="e">
        <f>'Compiled Agents'!E984+"h_l!'{Z"</f>
        <v>#VALUE!</v>
      </c>
      <c r="U154" t="e">
        <f>'Compiled Agents'!F984+"h_l!'{["</f>
        <v>#VALUE!</v>
      </c>
      <c r="V154" t="e">
        <f>'Compiled Agents'!G984+"h_l!'{\"</f>
        <v>#VALUE!</v>
      </c>
      <c r="W154" t="e">
        <f>'Compiled Agents'!H984+"h_l!'{]"</f>
        <v>#VALUE!</v>
      </c>
      <c r="X154" t="e">
        <f>'Compiled Agents'!A985+"h_l!'{^"</f>
        <v>#VALUE!</v>
      </c>
      <c r="Y154" t="e">
        <f>'Compiled Agents'!B985+"h_l!'{_"</f>
        <v>#VALUE!</v>
      </c>
      <c r="Z154" t="e">
        <f>'Compiled Agents'!C985+"h_l!'{`"</f>
        <v>#VALUE!</v>
      </c>
      <c r="AA154" t="e">
        <f>'Compiled Agents'!E985+"h_l!'{a"</f>
        <v>#VALUE!</v>
      </c>
      <c r="AB154" t="e">
        <f>'Compiled Agents'!F985+"h_l!'{b"</f>
        <v>#VALUE!</v>
      </c>
      <c r="AC154" t="e">
        <f>'Compiled Agents'!G985+"h_l!'{c"</f>
        <v>#VALUE!</v>
      </c>
      <c r="AD154" t="e">
        <f>'Compiled Agents'!H985+"h_l!'{d"</f>
        <v>#VALUE!</v>
      </c>
      <c r="AE154" t="e">
        <f>'Compiled Agents'!A986+"h_l!'{e"</f>
        <v>#VALUE!</v>
      </c>
      <c r="AF154" t="e">
        <f>'Compiled Agents'!B986+"h_l!'{f"</f>
        <v>#VALUE!</v>
      </c>
      <c r="AG154" t="e">
        <f>'Compiled Agents'!C986+"h_l!'{g"</f>
        <v>#VALUE!</v>
      </c>
      <c r="AH154" t="e">
        <f>'Compiled Agents'!E986+"h_l!'{h"</f>
        <v>#VALUE!</v>
      </c>
      <c r="AI154" t="e">
        <f>'Compiled Agents'!F986+"h_l!'{i"</f>
        <v>#VALUE!</v>
      </c>
      <c r="AJ154" t="e">
        <f>'Compiled Agents'!G986+"h_l!'{j"</f>
        <v>#VALUE!</v>
      </c>
      <c r="AK154" t="e">
        <f>'Compiled Agents'!H986+"h_l!'{k"</f>
        <v>#VALUE!</v>
      </c>
      <c r="AL154" t="e">
        <f>'Compiled Agents'!A987+"h_l!'{l"</f>
        <v>#VALUE!</v>
      </c>
      <c r="AM154" t="e">
        <f>'Compiled Agents'!B987+"h_l!'{m"</f>
        <v>#VALUE!</v>
      </c>
      <c r="AN154" t="e">
        <f>'Compiled Agents'!C987+"h_l!'{n"</f>
        <v>#VALUE!</v>
      </c>
      <c r="AO154" t="e">
        <f>'Compiled Agents'!E987+"h_l!'{o"</f>
        <v>#VALUE!</v>
      </c>
      <c r="AP154" t="e">
        <f>'Compiled Agents'!F987+"h_l!'{p"</f>
        <v>#VALUE!</v>
      </c>
      <c r="AQ154" t="e">
        <f>'Compiled Agents'!G987+"h_l!'{q"</f>
        <v>#VALUE!</v>
      </c>
      <c r="AR154" t="e">
        <f>'Compiled Agents'!H987+"h_l!'{r"</f>
        <v>#VALUE!</v>
      </c>
      <c r="AS154" t="e">
        <f>'Compiled Agents'!A988+"h_l!'{s"</f>
        <v>#VALUE!</v>
      </c>
      <c r="AT154" t="e">
        <f>'Compiled Agents'!B988+"h_l!'{t"</f>
        <v>#VALUE!</v>
      </c>
      <c r="AU154" t="e">
        <f>'Compiled Agents'!C988+"h_l!'{u"</f>
        <v>#VALUE!</v>
      </c>
      <c r="AV154" t="e">
        <f>'Compiled Agents'!E988+"h_l!'{v"</f>
        <v>#VALUE!</v>
      </c>
      <c r="AW154" t="e">
        <f>'Compiled Agents'!F988+"h_l!'{w"</f>
        <v>#VALUE!</v>
      </c>
      <c r="AX154" t="e">
        <f>'Compiled Agents'!G988+"h_l!'{x"</f>
        <v>#VALUE!</v>
      </c>
      <c r="AY154" t="e">
        <f>'Compiled Agents'!H988+"h_l!'{y"</f>
        <v>#VALUE!</v>
      </c>
      <c r="AZ154" t="e">
        <f>'Compiled Agents'!A989+"h_l!'{z"</f>
        <v>#VALUE!</v>
      </c>
      <c r="BA154" t="e">
        <f>'Compiled Agents'!B989+"h_l!'{{"</f>
        <v>#VALUE!</v>
      </c>
      <c r="BB154" t="e">
        <f>'Compiled Agents'!C989+"h_l!'{|"</f>
        <v>#VALUE!</v>
      </c>
      <c r="BC154" t="e">
        <f>'Compiled Agents'!E989+"h_l!'{}"</f>
        <v>#VALUE!</v>
      </c>
      <c r="BD154" t="e">
        <f>'Compiled Agents'!F989+"h_l!'{~"</f>
        <v>#VALUE!</v>
      </c>
      <c r="BE154" t="e">
        <f>'Compiled Agents'!G989+"h_l!'|#"</f>
        <v>#VALUE!</v>
      </c>
      <c r="BF154" t="e">
        <f>'Compiled Agents'!H989+"h_l!'|$"</f>
        <v>#VALUE!</v>
      </c>
      <c r="BG154" t="e">
        <f>'Compiled Agents'!A990+"h_l!'|%"</f>
        <v>#VALUE!</v>
      </c>
      <c r="BH154" t="e">
        <f>'Compiled Agents'!B990+"h_l!'|&amp;"</f>
        <v>#VALUE!</v>
      </c>
      <c r="BI154" t="e">
        <f>'Compiled Agents'!C990+"h_l!'|'"</f>
        <v>#VALUE!</v>
      </c>
      <c r="BJ154" t="e">
        <f>'Compiled Agents'!E990+"h_l!'|("</f>
        <v>#VALUE!</v>
      </c>
      <c r="BK154" t="e">
        <f>'Compiled Agents'!F990+"h_l!'|)"</f>
        <v>#VALUE!</v>
      </c>
      <c r="BL154" t="e">
        <f>'Compiled Agents'!G990+"h_l!'|."</f>
        <v>#VALUE!</v>
      </c>
      <c r="BM154" t="e">
        <f>'Compiled Agents'!H990+"h_l!'|/"</f>
        <v>#VALUE!</v>
      </c>
      <c r="BN154" t="e">
        <f>'Compiled Agents'!A991+"h_l!'|0"</f>
        <v>#VALUE!</v>
      </c>
      <c r="BO154" t="e">
        <f>'Compiled Agents'!B991+"h_l!'|1"</f>
        <v>#VALUE!</v>
      </c>
      <c r="BP154" t="e">
        <f>'Compiled Agents'!C991+"h_l!'|2"</f>
        <v>#VALUE!</v>
      </c>
      <c r="BQ154" t="e">
        <f>'Compiled Agents'!E991+"h_l!'|3"</f>
        <v>#VALUE!</v>
      </c>
      <c r="BR154" t="e">
        <f>'Compiled Agents'!F991+"h_l!'|4"</f>
        <v>#VALUE!</v>
      </c>
      <c r="BS154" t="e">
        <f>'Compiled Agents'!G991+"h_l!'|5"</f>
        <v>#VALUE!</v>
      </c>
      <c r="BT154" t="e">
        <f>'Compiled Agents'!H991+"h_l!'|6"</f>
        <v>#VALUE!</v>
      </c>
      <c r="BU154" t="e">
        <f>'Compiled Agents'!A992+"h_l!'|7"</f>
        <v>#VALUE!</v>
      </c>
      <c r="BV154" t="e">
        <f>'Compiled Agents'!B992+"h_l!'|8"</f>
        <v>#VALUE!</v>
      </c>
      <c r="BW154" t="e">
        <f>'Compiled Agents'!C992+"h_l!'|9"</f>
        <v>#VALUE!</v>
      </c>
      <c r="BX154" t="e">
        <f>'Compiled Agents'!E992+"h_l!'|:"</f>
        <v>#VALUE!</v>
      </c>
      <c r="BY154" t="e">
        <f>'Compiled Agents'!F992+"h_l!'|;"</f>
        <v>#VALUE!</v>
      </c>
      <c r="BZ154" t="e">
        <f>'Compiled Agents'!G992+"h_l!'|&lt;"</f>
        <v>#VALUE!</v>
      </c>
      <c r="CA154" t="e">
        <f>'Compiled Agents'!H992+"h_l!'|="</f>
        <v>#VALUE!</v>
      </c>
      <c r="CB154" t="e">
        <f>'Compiled Agents'!A993+"h_l!'|&gt;"</f>
        <v>#VALUE!</v>
      </c>
      <c r="CC154" t="e">
        <f>'Compiled Agents'!B993+"h_l!'|?"</f>
        <v>#VALUE!</v>
      </c>
      <c r="CD154" t="e">
        <f>'Compiled Agents'!C993+"h_l!'|@"</f>
        <v>#VALUE!</v>
      </c>
      <c r="CE154" t="e">
        <f>'Compiled Agents'!E993+"h_l!'|A"</f>
        <v>#VALUE!</v>
      </c>
      <c r="CF154" t="e">
        <f>'Compiled Agents'!F993+"h_l!'|B"</f>
        <v>#VALUE!</v>
      </c>
      <c r="CG154" t="e">
        <f>'Compiled Agents'!G993+"h_l!'|C"</f>
        <v>#VALUE!</v>
      </c>
      <c r="CH154" t="e">
        <f>'Compiled Agents'!H993+"h_l!'|D"</f>
        <v>#VALUE!</v>
      </c>
      <c r="CI154" t="e">
        <f>'Compiled Agents'!A994+"h_l!'|E"</f>
        <v>#VALUE!</v>
      </c>
      <c r="CJ154" t="e">
        <f>'Compiled Agents'!B994+"h_l!'|F"</f>
        <v>#VALUE!</v>
      </c>
      <c r="CK154" t="e">
        <f>'Compiled Agents'!C994+"h_l!'|G"</f>
        <v>#VALUE!</v>
      </c>
      <c r="CL154" t="e">
        <f>'Compiled Agents'!E994+"h_l!'|H"</f>
        <v>#VALUE!</v>
      </c>
      <c r="CM154" t="e">
        <f>'Compiled Agents'!F994+"h_l!'|I"</f>
        <v>#VALUE!</v>
      </c>
      <c r="CN154" t="e">
        <f>'Compiled Agents'!G994+"h_l!'|J"</f>
        <v>#VALUE!</v>
      </c>
      <c r="CO154" t="e">
        <f>'Compiled Agents'!H994+"h_l!'|K"</f>
        <v>#VALUE!</v>
      </c>
      <c r="CP154" t="e">
        <f>'Compiled Agents'!A995+"h_l!'|L"</f>
        <v>#VALUE!</v>
      </c>
      <c r="CQ154" t="e">
        <f>'Compiled Agents'!B995+"h_l!'|M"</f>
        <v>#VALUE!</v>
      </c>
      <c r="CR154" t="e">
        <f>'Compiled Agents'!C995+"h_l!'|N"</f>
        <v>#VALUE!</v>
      </c>
      <c r="CS154" t="e">
        <f>'Compiled Agents'!E995+"h_l!'|O"</f>
        <v>#VALUE!</v>
      </c>
      <c r="CT154" t="e">
        <f>'Compiled Agents'!F995+"h_l!'|P"</f>
        <v>#VALUE!</v>
      </c>
      <c r="CU154" t="e">
        <f>'Compiled Agents'!G995+"h_l!'|Q"</f>
        <v>#VALUE!</v>
      </c>
      <c r="CV154" t="e">
        <f>'Compiled Agents'!H995+"h_l!'|R"</f>
        <v>#VALUE!</v>
      </c>
      <c r="CW154" t="e">
        <f>'Compiled Agents'!A996+"h_l!'|S"</f>
        <v>#VALUE!</v>
      </c>
      <c r="CX154" t="e">
        <f>'Compiled Agents'!B996+"h_l!'|T"</f>
        <v>#VALUE!</v>
      </c>
      <c r="CY154" t="e">
        <f>'Compiled Agents'!C996+"h_l!'|U"</f>
        <v>#VALUE!</v>
      </c>
      <c r="CZ154" t="e">
        <f>'Compiled Agents'!E996+"h_l!'|V"</f>
        <v>#VALUE!</v>
      </c>
      <c r="DA154" t="e">
        <f>'Compiled Agents'!F996+"h_l!'|W"</f>
        <v>#VALUE!</v>
      </c>
      <c r="DB154" t="e">
        <f>'Compiled Agents'!G996+"h_l!'|X"</f>
        <v>#VALUE!</v>
      </c>
      <c r="DC154" t="e">
        <f>'Compiled Agents'!H996+"h_l!'|Y"</f>
        <v>#VALUE!</v>
      </c>
      <c r="DD154" t="e">
        <f>'Compiled Agents'!A997+"h_l!'|Z"</f>
        <v>#VALUE!</v>
      </c>
      <c r="DE154" t="e">
        <f>'Compiled Agents'!B997+"h_l!'|["</f>
        <v>#VALUE!</v>
      </c>
      <c r="DF154" t="e">
        <f>'Compiled Agents'!C997+"h_l!'|\"</f>
        <v>#VALUE!</v>
      </c>
      <c r="DG154" t="e">
        <f>'Compiled Agents'!E997+"h_l!'|]"</f>
        <v>#VALUE!</v>
      </c>
      <c r="DH154" t="e">
        <f>'Compiled Agents'!F997+"h_l!'|^"</f>
        <v>#VALUE!</v>
      </c>
      <c r="DI154" t="e">
        <f>'Compiled Agents'!G997+"h_l!'|_"</f>
        <v>#VALUE!</v>
      </c>
      <c r="DJ154" t="e">
        <f>'Compiled Agents'!H997+"h_l!'|`"</f>
        <v>#VALUE!</v>
      </c>
      <c r="DK154" t="e">
        <f>'Compiled Agents'!A998+"h_l!'|a"</f>
        <v>#VALUE!</v>
      </c>
      <c r="DL154" t="e">
        <f>'Compiled Agents'!B998+"h_l!'|b"</f>
        <v>#VALUE!</v>
      </c>
      <c r="DM154" t="e">
        <f>'Compiled Agents'!C998+"h_l!'|c"</f>
        <v>#VALUE!</v>
      </c>
      <c r="DN154" t="e">
        <f>'Compiled Agents'!E998+"h_l!'|d"</f>
        <v>#VALUE!</v>
      </c>
      <c r="DO154" t="e">
        <f>'Compiled Agents'!F998+"h_l!'|e"</f>
        <v>#VALUE!</v>
      </c>
      <c r="DP154" t="e">
        <f>'Compiled Agents'!G998+"h_l!'|f"</f>
        <v>#VALUE!</v>
      </c>
      <c r="DQ154" t="e">
        <f>'Compiled Agents'!H998+"h_l!'|g"</f>
        <v>#VALUE!</v>
      </c>
      <c r="DR154" t="e">
        <f>'Compiled Agents'!A999+"h_l!'|h"</f>
        <v>#VALUE!</v>
      </c>
      <c r="DS154" t="e">
        <f>'Compiled Agents'!B999+"h_l!'|i"</f>
        <v>#VALUE!</v>
      </c>
      <c r="DT154" t="e">
        <f>'Compiled Agents'!C999+"h_l!'|j"</f>
        <v>#VALUE!</v>
      </c>
      <c r="DU154" t="e">
        <f>'Compiled Agents'!E999+"h_l!'|k"</f>
        <v>#VALUE!</v>
      </c>
      <c r="DV154" t="e">
        <f>'Compiled Agents'!F999+"h_l!'|l"</f>
        <v>#VALUE!</v>
      </c>
      <c r="DW154" t="e">
        <f>'Compiled Agents'!G999+"h_l!'|m"</f>
        <v>#VALUE!</v>
      </c>
      <c r="DX154" t="e">
        <f>'Compiled Agents'!H999+"h_l!'|n"</f>
        <v>#VALUE!</v>
      </c>
      <c r="DY154" t="e">
        <f>'Compiled Agents'!A1000+"h_l!'|o"</f>
        <v>#VALUE!</v>
      </c>
      <c r="DZ154" t="e">
        <f>'Compiled Agents'!B1000+"h_l!'|p"</f>
        <v>#VALUE!</v>
      </c>
      <c r="EA154" t="e">
        <f>'Compiled Agents'!C1000+"h_l!'|q"</f>
        <v>#VALUE!</v>
      </c>
      <c r="EB154" t="e">
        <f>'Compiled Agents'!E1000+"h_l!'|r"</f>
        <v>#VALUE!</v>
      </c>
      <c r="EC154" t="e">
        <f>'Compiled Agents'!F1000+"h_l!'|s"</f>
        <v>#VALUE!</v>
      </c>
      <c r="ED154" t="e">
        <f>'Compiled Agents'!G1000+"h_l!'|t"</f>
        <v>#VALUE!</v>
      </c>
      <c r="EE154" t="e">
        <f>'Compiled Agents'!H1000+"h_l!'|u"</f>
        <v>#VALUE!</v>
      </c>
      <c r="EF154" t="e">
        <f>'Compiled Agents'!A1001+"h_l!'|v"</f>
        <v>#VALUE!</v>
      </c>
      <c r="EG154" t="e">
        <f>'Compiled Agents'!B1001+"h_l!'|w"</f>
        <v>#VALUE!</v>
      </c>
      <c r="EH154" t="e">
        <f>'Compiled Agents'!C1001+"h_l!'|x"</f>
        <v>#VALUE!</v>
      </c>
      <c r="EI154" t="e">
        <f>'Compiled Agents'!E1001+"h_l!'|y"</f>
        <v>#VALUE!</v>
      </c>
      <c r="EJ154" t="e">
        <f>'Compiled Agents'!F1001+"h_l!'|z"</f>
        <v>#VALUE!</v>
      </c>
      <c r="EK154" t="e">
        <f>'Compiled Agents'!G1001+"h_l!'|{"</f>
        <v>#VALUE!</v>
      </c>
      <c r="EL154" t="e">
        <f>'Compiled Agents'!H1001+"h_l!'||"</f>
        <v>#VALUE!</v>
      </c>
      <c r="EM154" t="e">
        <f>'Compiled Agents'!A1002+"h_l!'|}"</f>
        <v>#VALUE!</v>
      </c>
      <c r="EN154" t="e">
        <f>'Compiled Agents'!B1002+"h_l!'|~"</f>
        <v>#VALUE!</v>
      </c>
      <c r="EO154" t="e">
        <f>'Compiled Agents'!C1002+"h_l!'}#"</f>
        <v>#VALUE!</v>
      </c>
      <c r="EP154" t="e">
        <f>'Compiled Agents'!E1002+"h_l!'}$"</f>
        <v>#VALUE!</v>
      </c>
      <c r="EQ154" t="e">
        <f>'Compiled Agents'!F1002+"h_l!'}%"</f>
        <v>#VALUE!</v>
      </c>
      <c r="ER154" t="e">
        <f>'Compiled Agents'!G1002+"h_l!'}&amp;"</f>
        <v>#VALUE!</v>
      </c>
      <c r="ES154" t="e">
        <f>'Compiled Agents'!H1002+"h_l!'}'"</f>
        <v>#VALUE!</v>
      </c>
      <c r="ET154" t="e">
        <f>'Compiled Agents'!A1003+"h_l!'}("</f>
        <v>#VALUE!</v>
      </c>
      <c r="EU154" t="e">
        <f>'Compiled Agents'!B1003+"h_l!'})"</f>
        <v>#VALUE!</v>
      </c>
      <c r="EV154" t="e">
        <f>'Compiled Agents'!C1003+"h_l!'}."</f>
        <v>#VALUE!</v>
      </c>
      <c r="EW154" t="e">
        <f>'Compiled Agents'!E1003+"h_l!'}/"</f>
        <v>#VALUE!</v>
      </c>
      <c r="EX154" t="e">
        <f>'Compiled Agents'!F1003+"h_l!'}0"</f>
        <v>#VALUE!</v>
      </c>
      <c r="EY154" t="e">
        <f>'Compiled Agents'!G1003+"h_l!'}1"</f>
        <v>#VALUE!</v>
      </c>
      <c r="EZ154" t="e">
        <f>'Compiled Agents'!H1003+"h_l!'}2"</f>
        <v>#VALUE!</v>
      </c>
      <c r="FA154" t="e">
        <f>'Compiled Agents'!A1004+"h_l!'}3"</f>
        <v>#VALUE!</v>
      </c>
      <c r="FB154" t="e">
        <f>'Compiled Agents'!B1004+"h_l!'}4"</f>
        <v>#VALUE!</v>
      </c>
      <c r="FC154" t="e">
        <f>'Compiled Agents'!C1004+"h_l!'}5"</f>
        <v>#VALUE!</v>
      </c>
      <c r="FD154" t="e">
        <f>'Compiled Agents'!E1004+"h_l!'}6"</f>
        <v>#VALUE!</v>
      </c>
      <c r="FE154" t="e">
        <f>'Compiled Agents'!F1004+"h_l!'}7"</f>
        <v>#VALUE!</v>
      </c>
      <c r="FF154" t="e">
        <f>'Compiled Agents'!G1004+"h_l!'}8"</f>
        <v>#VALUE!</v>
      </c>
      <c r="FG154" t="e">
        <f>'Compiled Agents'!H1004+"h_l!'}9"</f>
        <v>#VALUE!</v>
      </c>
      <c r="FH154" t="e">
        <f>'Compiled Agents'!A1005+"h_l!'}:"</f>
        <v>#VALUE!</v>
      </c>
      <c r="FI154" t="e">
        <f>'Compiled Agents'!B1005+"h_l!'};"</f>
        <v>#VALUE!</v>
      </c>
      <c r="FJ154" t="e">
        <f>'Compiled Agents'!C1005+"h_l!'}&lt;"</f>
        <v>#VALUE!</v>
      </c>
      <c r="FK154" t="e">
        <f>'Compiled Agents'!E1005+"h_l!'}="</f>
        <v>#VALUE!</v>
      </c>
      <c r="FL154" t="e">
        <f>'Compiled Agents'!F1005+"h_l!'}&gt;"</f>
        <v>#VALUE!</v>
      </c>
      <c r="FM154" t="e">
        <f>'Compiled Agents'!G1005+"h_l!'}?"</f>
        <v>#VALUE!</v>
      </c>
      <c r="FN154" t="e">
        <f>'Compiled Agents'!H1005+"h_l!'}@"</f>
        <v>#VALUE!</v>
      </c>
      <c r="FO154" t="e">
        <f>'Compiled Agents'!A1006+"h_l!'}A"</f>
        <v>#VALUE!</v>
      </c>
      <c r="FP154" t="e">
        <f>'Compiled Agents'!B1006+"h_l!'}B"</f>
        <v>#VALUE!</v>
      </c>
      <c r="FQ154" t="e">
        <f>'Compiled Agents'!C1006+"h_l!'}C"</f>
        <v>#VALUE!</v>
      </c>
      <c r="FR154" t="e">
        <f>'Compiled Agents'!E1006+"h_l!'}D"</f>
        <v>#VALUE!</v>
      </c>
      <c r="FS154" t="e">
        <f>'Compiled Agents'!F1006+"h_l!'}E"</f>
        <v>#VALUE!</v>
      </c>
      <c r="FT154" t="e">
        <f>'Compiled Agents'!G1006+"h_l!'}F"</f>
        <v>#VALUE!</v>
      </c>
      <c r="FU154" t="e">
        <f>'Compiled Agents'!H1006+"h_l!'}G"</f>
        <v>#VALUE!</v>
      </c>
      <c r="FV154" t="e">
        <f>'Compiled Agents'!A1007+"h_l!'}H"</f>
        <v>#VALUE!</v>
      </c>
      <c r="FW154" t="e">
        <f>'Compiled Agents'!B1007+"h_l!'}I"</f>
        <v>#VALUE!</v>
      </c>
      <c r="FX154" t="e">
        <f>'Compiled Agents'!C1007+"h_l!'}J"</f>
        <v>#VALUE!</v>
      </c>
      <c r="FY154" t="e">
        <f>'Compiled Agents'!E1007+"h_l!'}K"</f>
        <v>#VALUE!</v>
      </c>
      <c r="FZ154" t="e">
        <f>'Compiled Agents'!F1007+"h_l!'}L"</f>
        <v>#VALUE!</v>
      </c>
      <c r="GA154" t="e">
        <f>'Compiled Agents'!G1007+"h_l!'}M"</f>
        <v>#VALUE!</v>
      </c>
      <c r="GB154" t="e">
        <f>'Compiled Agents'!H1007+"h_l!'}N"</f>
        <v>#VALUE!</v>
      </c>
      <c r="GC154" t="e">
        <f>'Compiled Agents'!A1008+"h_l!'}O"</f>
        <v>#VALUE!</v>
      </c>
      <c r="GD154" t="e">
        <f>'Compiled Agents'!B1008+"h_l!'}P"</f>
        <v>#VALUE!</v>
      </c>
      <c r="GE154" t="e">
        <f>'Compiled Agents'!C1008+"h_l!'}Q"</f>
        <v>#VALUE!</v>
      </c>
      <c r="GF154" t="e">
        <f>'Compiled Agents'!E1008+"h_l!'}R"</f>
        <v>#VALUE!</v>
      </c>
      <c r="GG154" t="e">
        <f>'Compiled Agents'!F1008+"h_l!'}S"</f>
        <v>#VALUE!</v>
      </c>
      <c r="GH154" t="e">
        <f>'Compiled Agents'!G1008+"h_l!'}T"</f>
        <v>#VALUE!</v>
      </c>
      <c r="GI154" t="e">
        <f>'Compiled Agents'!H1008+"h_l!'}U"</f>
        <v>#VALUE!</v>
      </c>
      <c r="GJ154" t="e">
        <f>'Compiled Agents'!A1009+"h_l!'}V"</f>
        <v>#VALUE!</v>
      </c>
      <c r="GK154" t="e">
        <f>'Compiled Agents'!B1009+"h_l!'}W"</f>
        <v>#VALUE!</v>
      </c>
      <c r="GL154" t="e">
        <f>'Compiled Agents'!C1009+"h_l!'}X"</f>
        <v>#VALUE!</v>
      </c>
      <c r="GM154" t="e">
        <f>'Compiled Agents'!E1009+"h_l!'}Y"</f>
        <v>#VALUE!</v>
      </c>
      <c r="GN154" t="e">
        <f>'Compiled Agents'!F1009+"h_l!'}Z"</f>
        <v>#VALUE!</v>
      </c>
      <c r="GO154" t="e">
        <f>'Compiled Agents'!G1009+"h_l!'}["</f>
        <v>#VALUE!</v>
      </c>
      <c r="GP154" t="e">
        <f>'Compiled Agents'!H1009+"h_l!'}\"</f>
        <v>#VALUE!</v>
      </c>
      <c r="GQ154" t="e">
        <f>'Compiled Agents'!A1010+"h_l!'}]"</f>
        <v>#VALUE!</v>
      </c>
      <c r="GR154" t="e">
        <f>'Compiled Agents'!B1010+"h_l!'}^"</f>
        <v>#VALUE!</v>
      </c>
      <c r="GS154" t="e">
        <f>'Compiled Agents'!C1010+"h_l!'}_"</f>
        <v>#VALUE!</v>
      </c>
      <c r="GT154" t="e">
        <f>'Compiled Agents'!E1010+"h_l!'}`"</f>
        <v>#VALUE!</v>
      </c>
      <c r="GU154" t="e">
        <f>'Compiled Agents'!F1010+"h_l!'}a"</f>
        <v>#VALUE!</v>
      </c>
      <c r="GV154" t="e">
        <f>'Compiled Agents'!G1010+"h_l!'}b"</f>
        <v>#VALUE!</v>
      </c>
      <c r="GW154" t="e">
        <f>'Compiled Agents'!H1010+"h_l!'}c"</f>
        <v>#VALUE!</v>
      </c>
      <c r="GX154" t="e">
        <f>'Compiled Agents'!A1011+"h_l!'}d"</f>
        <v>#VALUE!</v>
      </c>
      <c r="GY154" t="e">
        <f>'Compiled Agents'!B1011+"h_l!'}e"</f>
        <v>#VALUE!</v>
      </c>
      <c r="GZ154" t="e">
        <f>'Compiled Agents'!C1011+"h_l!'}f"</f>
        <v>#VALUE!</v>
      </c>
      <c r="HA154" t="e">
        <f>'Compiled Agents'!E1011+"h_l!'}g"</f>
        <v>#VALUE!</v>
      </c>
      <c r="HB154" t="e">
        <f>'Compiled Agents'!F1011+"h_l!'}h"</f>
        <v>#VALUE!</v>
      </c>
      <c r="HC154" t="e">
        <f>'Compiled Agents'!G1011+"h_l!'}i"</f>
        <v>#VALUE!</v>
      </c>
      <c r="HD154" t="e">
        <f>'Compiled Agents'!H1011+"h_l!'}j"</f>
        <v>#VALUE!</v>
      </c>
      <c r="HE154" t="e">
        <f>'Compiled Agents'!A1012+"h_l!'}k"</f>
        <v>#VALUE!</v>
      </c>
      <c r="HF154" t="e">
        <f>'Compiled Agents'!B1012+"h_l!'}l"</f>
        <v>#VALUE!</v>
      </c>
      <c r="HG154" t="e">
        <f>'Compiled Agents'!C1012+"h_l!'}m"</f>
        <v>#VALUE!</v>
      </c>
      <c r="HH154" t="e">
        <f>'Compiled Agents'!E1012+"h_l!'}n"</f>
        <v>#VALUE!</v>
      </c>
      <c r="HI154" t="e">
        <f>'Compiled Agents'!F1012+"h_l!'}o"</f>
        <v>#VALUE!</v>
      </c>
      <c r="HJ154" t="e">
        <f>'Compiled Agents'!G1012+"h_l!'}p"</f>
        <v>#VALUE!</v>
      </c>
      <c r="HK154" t="e">
        <f>'Compiled Agents'!H1012+"h_l!'}q"</f>
        <v>#VALUE!</v>
      </c>
      <c r="HL154" t="e">
        <f>'Compiled Agents'!A1013+"h_l!'}r"</f>
        <v>#VALUE!</v>
      </c>
      <c r="HM154" t="e">
        <f>'Compiled Agents'!B1013+"h_l!'}s"</f>
        <v>#VALUE!</v>
      </c>
      <c r="HN154" t="e">
        <f>'Compiled Agents'!C1013+"h_l!'}t"</f>
        <v>#VALUE!</v>
      </c>
      <c r="HO154" t="e">
        <f>'Compiled Agents'!E1013+"h_l!'}u"</f>
        <v>#VALUE!</v>
      </c>
      <c r="HP154" t="e">
        <f>'Compiled Agents'!F1013+"h_l!'}v"</f>
        <v>#VALUE!</v>
      </c>
      <c r="HQ154" t="e">
        <f>'Compiled Agents'!G1013+"h_l!'}w"</f>
        <v>#VALUE!</v>
      </c>
      <c r="HR154" t="e">
        <f>'Compiled Agents'!H1013+"h_l!'}x"</f>
        <v>#VALUE!</v>
      </c>
      <c r="HS154" t="e">
        <f>'Compiled Agents'!A1014+"h_l!'}y"</f>
        <v>#VALUE!</v>
      </c>
      <c r="HT154" t="e">
        <f>'Compiled Agents'!B1014+"h_l!'}z"</f>
        <v>#VALUE!</v>
      </c>
      <c r="HU154" t="e">
        <f>'Compiled Agents'!C1014+"h_l!'}{"</f>
        <v>#VALUE!</v>
      </c>
      <c r="HV154" t="e">
        <f>'Compiled Agents'!E1014+"h_l!'}|"</f>
        <v>#VALUE!</v>
      </c>
      <c r="HW154" t="e">
        <f>'Compiled Agents'!F1014+"h_l!'}}"</f>
        <v>#VALUE!</v>
      </c>
      <c r="HX154" t="e">
        <f>'Compiled Agents'!G1014+"h_l!'}~"</f>
        <v>#VALUE!</v>
      </c>
      <c r="HY154" t="e">
        <f>'Compiled Agents'!H1014+"h_l!'~#"</f>
        <v>#VALUE!</v>
      </c>
      <c r="HZ154" t="e">
        <f>'Compiled Agents'!A1015+"h_l!'~$"</f>
        <v>#VALUE!</v>
      </c>
      <c r="IA154" t="e">
        <f>'Compiled Agents'!B1015+"h_l!'~%"</f>
        <v>#VALUE!</v>
      </c>
      <c r="IB154" t="e">
        <f>'Compiled Agents'!C1015+"h_l!'~&amp;"</f>
        <v>#VALUE!</v>
      </c>
      <c r="IC154" t="e">
        <f>'Compiled Agents'!E1015+"h_l!'~'"</f>
        <v>#VALUE!</v>
      </c>
      <c r="ID154" t="e">
        <f>'Compiled Agents'!F1015+"h_l!'~("</f>
        <v>#VALUE!</v>
      </c>
      <c r="IE154" t="e">
        <f>'Compiled Agents'!G1015+"h_l!'~)"</f>
        <v>#VALUE!</v>
      </c>
      <c r="IF154" t="e">
        <f>'Compiled Agents'!H1015+"h_l!'~."</f>
        <v>#VALUE!</v>
      </c>
      <c r="IG154" t="e">
        <f>'Compiled Agents'!A1016+"h_l!'~/"</f>
        <v>#VALUE!</v>
      </c>
      <c r="IH154" t="e">
        <f>'Compiled Agents'!B1016+"h_l!'~0"</f>
        <v>#VALUE!</v>
      </c>
      <c r="II154" t="e">
        <f>'Compiled Agents'!C1016+"h_l!'~1"</f>
        <v>#VALUE!</v>
      </c>
      <c r="IJ154" t="e">
        <f>'Compiled Agents'!E1016+"h_l!'~2"</f>
        <v>#VALUE!</v>
      </c>
      <c r="IK154" t="e">
        <f>'Compiled Agents'!F1016+"h_l!'~3"</f>
        <v>#VALUE!</v>
      </c>
      <c r="IL154" t="e">
        <f>'Compiled Agents'!G1016+"h_l!'~4"</f>
        <v>#VALUE!</v>
      </c>
      <c r="IM154" t="e">
        <f>'Compiled Agents'!H1016+"h_l!'~5"</f>
        <v>#VALUE!</v>
      </c>
      <c r="IN154" t="e">
        <f>'Compiled Agents'!A1017+"h_l!'~6"</f>
        <v>#VALUE!</v>
      </c>
      <c r="IO154" t="e">
        <f>'Compiled Agents'!B1017+"h_l!'~7"</f>
        <v>#VALUE!</v>
      </c>
      <c r="IP154" t="e">
        <f>'Compiled Agents'!C1017+"h_l!'~8"</f>
        <v>#VALUE!</v>
      </c>
      <c r="IQ154" t="e">
        <f>'Compiled Agents'!E1017+"h_l!'~9"</f>
        <v>#VALUE!</v>
      </c>
      <c r="IR154" t="e">
        <f>'Compiled Agents'!F1017+"h_l!'~:"</f>
        <v>#VALUE!</v>
      </c>
      <c r="IS154" t="e">
        <f>'Compiled Agents'!G1017+"h_l!'~;"</f>
        <v>#VALUE!</v>
      </c>
      <c r="IT154" t="e">
        <f>'Compiled Agents'!H1017+"h_l!'~&lt;"</f>
        <v>#VALUE!</v>
      </c>
      <c r="IU154" t="e">
        <f>'Compiled Agents'!A1018+"h_l!'~="</f>
        <v>#VALUE!</v>
      </c>
      <c r="IV154" t="e">
        <f>'Compiled Agents'!B1018+"h_l!'~&gt;"</f>
        <v>#VALUE!</v>
      </c>
    </row>
    <row r="155" spans="6:256" x14ac:dyDescent="0.25">
      <c r="F155" t="e">
        <f>'Compiled Agents'!C1018+"h_l!'~?"</f>
        <v>#VALUE!</v>
      </c>
      <c r="G155" t="e">
        <f>'Compiled Agents'!E1018+"h_l!'~@"</f>
        <v>#VALUE!</v>
      </c>
      <c r="H155" t="e">
        <f>'Compiled Agents'!F1018+"h_l!'~A"</f>
        <v>#VALUE!</v>
      </c>
      <c r="I155" t="e">
        <f>'Compiled Agents'!G1018+"h_l!'~B"</f>
        <v>#VALUE!</v>
      </c>
      <c r="J155" t="e">
        <f>'Compiled Agents'!H1018+"h_l!'~C"</f>
        <v>#VALUE!</v>
      </c>
      <c r="K155" t="e">
        <f>'Compiled Agents'!A1019+"h_l!'~D"</f>
        <v>#VALUE!</v>
      </c>
      <c r="L155" t="e">
        <f>'Compiled Agents'!B1019+"h_l!'~E"</f>
        <v>#VALUE!</v>
      </c>
      <c r="M155" t="e">
        <f>'Compiled Agents'!C1019+"h_l!'~F"</f>
        <v>#VALUE!</v>
      </c>
      <c r="N155" t="e">
        <f>'Compiled Agents'!E1019+"h_l!'~G"</f>
        <v>#VALUE!</v>
      </c>
      <c r="O155" t="e">
        <f>'Compiled Agents'!F1019+"h_l!'~H"</f>
        <v>#VALUE!</v>
      </c>
      <c r="P155" t="e">
        <f>'Compiled Agents'!G1019+"h_l!'~I"</f>
        <v>#VALUE!</v>
      </c>
      <c r="Q155" t="e">
        <f>'Compiled Agents'!H1019+"h_l!'~J"</f>
        <v>#VALUE!</v>
      </c>
      <c r="R155" t="e">
        <f>'Compiled Agents'!A1020+"h_l!'~K"</f>
        <v>#VALUE!</v>
      </c>
      <c r="S155" t="e">
        <f>'Compiled Agents'!B1020+"h_l!'~L"</f>
        <v>#VALUE!</v>
      </c>
      <c r="T155" t="e">
        <f>'Compiled Agents'!C1020+"h_l!'~M"</f>
        <v>#VALUE!</v>
      </c>
      <c r="U155" t="e">
        <f>'Compiled Agents'!E1020+"h_l!'~N"</f>
        <v>#VALUE!</v>
      </c>
      <c r="V155" t="e">
        <f>'Compiled Agents'!F1020+"h_l!'~O"</f>
        <v>#VALUE!</v>
      </c>
      <c r="W155" t="e">
        <f>'Compiled Agents'!G1020+"h_l!'~P"</f>
        <v>#VALUE!</v>
      </c>
      <c r="X155" t="e">
        <f>'Compiled Agents'!H1020+"h_l!'~Q"</f>
        <v>#VALUE!</v>
      </c>
      <c r="Y155" t="e">
        <f>'Compiled Agents'!A1021+"h_l!'~R"</f>
        <v>#VALUE!</v>
      </c>
      <c r="Z155" t="e">
        <f>'Compiled Agents'!B1021+"h_l!'~S"</f>
        <v>#VALUE!</v>
      </c>
      <c r="AA155" t="e">
        <f>'Compiled Agents'!C1021+"h_l!'~T"</f>
        <v>#VALUE!</v>
      </c>
      <c r="AB155" t="e">
        <f>'Compiled Agents'!E1021+"h_l!'~U"</f>
        <v>#VALUE!</v>
      </c>
      <c r="AC155" t="e">
        <f>'Compiled Agents'!F1021+"h_l!'~V"</f>
        <v>#VALUE!</v>
      </c>
      <c r="AD155" t="e">
        <f>'Compiled Agents'!G1021+"h_l!'~W"</f>
        <v>#VALUE!</v>
      </c>
      <c r="AE155" t="e">
        <f>'Compiled Agents'!H1021+"h_l!'~X"</f>
        <v>#VALUE!</v>
      </c>
      <c r="AF155" t="e">
        <f>'Compiled Agents'!A1022+"h_l!'~Y"</f>
        <v>#VALUE!</v>
      </c>
      <c r="AG155" t="e">
        <f>'Compiled Agents'!B1022+"h_l!'~Z"</f>
        <v>#VALUE!</v>
      </c>
      <c r="AH155" t="e">
        <f>'Compiled Agents'!C1022+"h_l!'~["</f>
        <v>#VALUE!</v>
      </c>
      <c r="AI155" t="e">
        <f>'Compiled Agents'!E1022+"h_l!'~\"</f>
        <v>#VALUE!</v>
      </c>
      <c r="AJ155" t="e">
        <f>'Compiled Agents'!F1022+"h_l!'~]"</f>
        <v>#VALUE!</v>
      </c>
      <c r="AK155" t="e">
        <f>'Compiled Agents'!G1022+"h_l!'~^"</f>
        <v>#VALUE!</v>
      </c>
      <c r="AL155" t="e">
        <f>'Compiled Agents'!H1022+"h_l!'~_"</f>
        <v>#VALUE!</v>
      </c>
      <c r="AM155" t="e">
        <f>'Compiled Agents'!A1023+"h_l!'~`"</f>
        <v>#VALUE!</v>
      </c>
      <c r="AN155" t="e">
        <f>'Compiled Agents'!B1023+"h_l!'~a"</f>
        <v>#VALUE!</v>
      </c>
      <c r="AO155" t="e">
        <f>'Compiled Agents'!C1023+"h_l!'~b"</f>
        <v>#VALUE!</v>
      </c>
      <c r="AP155" t="e">
        <f>'Compiled Agents'!E1023+"h_l!'~c"</f>
        <v>#VALUE!</v>
      </c>
      <c r="AQ155" t="e">
        <f>'Compiled Agents'!F1023+"h_l!'~d"</f>
        <v>#VALUE!</v>
      </c>
      <c r="AR155" t="e">
        <f>'Compiled Agents'!G1023+"h_l!'~e"</f>
        <v>#VALUE!</v>
      </c>
      <c r="AS155" t="e">
        <f>'Compiled Agents'!H1023+"h_l!'~f"</f>
        <v>#VALUE!</v>
      </c>
      <c r="AT155" t="e">
        <f>'Compiled Agents'!A1024+"h_l!'~g"</f>
        <v>#VALUE!</v>
      </c>
      <c r="AU155" t="e">
        <f>'Compiled Agents'!B1024+"h_l!'~h"</f>
        <v>#VALUE!</v>
      </c>
      <c r="AV155" t="e">
        <f>'Compiled Agents'!C1024+"h_l!'~i"</f>
        <v>#VALUE!</v>
      </c>
      <c r="AW155" t="e">
        <f>'Compiled Agents'!E1024+"h_l!'~j"</f>
        <v>#VALUE!</v>
      </c>
      <c r="AX155" t="e">
        <f>'Compiled Agents'!F1024+"h_l!'~k"</f>
        <v>#VALUE!</v>
      </c>
      <c r="AY155" t="e">
        <f>'Compiled Agents'!G1024+"h_l!'~l"</f>
        <v>#VALUE!</v>
      </c>
      <c r="AZ155" t="e">
        <f>'Compiled Agents'!H1024+"h_l!'~m"</f>
        <v>#VALUE!</v>
      </c>
      <c r="BA155" t="e">
        <f>'Compiled Agents'!A1025+"h_l!'~n"</f>
        <v>#VALUE!</v>
      </c>
      <c r="BB155" t="e">
        <f>'Compiled Agents'!B1025+"h_l!'~o"</f>
        <v>#VALUE!</v>
      </c>
      <c r="BC155" t="e">
        <f>'Compiled Agents'!C1025+"h_l!'~p"</f>
        <v>#VALUE!</v>
      </c>
      <c r="BD155" t="e">
        <f>'Compiled Agents'!E1025+"h_l!'~q"</f>
        <v>#VALUE!</v>
      </c>
      <c r="BE155" t="e">
        <f>'Compiled Agents'!F1025+"h_l!'~r"</f>
        <v>#VALUE!</v>
      </c>
      <c r="BF155" t="e">
        <f>'Compiled Agents'!G1025+"h_l!'~s"</f>
        <v>#VALUE!</v>
      </c>
      <c r="BG155" t="e">
        <f>'Compiled Agents'!H1025+"h_l!'~t"</f>
        <v>#VALUE!</v>
      </c>
      <c r="BH155" t="e">
        <f>'Compiled Agents'!A1026+"h_l!'~u"</f>
        <v>#VALUE!</v>
      </c>
      <c r="BI155" t="e">
        <f>'Compiled Agents'!B1026+"h_l!'~v"</f>
        <v>#VALUE!</v>
      </c>
      <c r="BJ155" t="e">
        <f>'Compiled Agents'!C1026+"h_l!'~w"</f>
        <v>#VALUE!</v>
      </c>
      <c r="BK155" t="e">
        <f>'Compiled Agents'!E1026+"h_l!'~x"</f>
        <v>#VALUE!</v>
      </c>
      <c r="BL155" t="e">
        <f>'Compiled Agents'!F1026+"h_l!'~y"</f>
        <v>#VALUE!</v>
      </c>
      <c r="BM155" t="e">
        <f>'Compiled Agents'!G1026+"h_l!'~z"</f>
        <v>#VALUE!</v>
      </c>
      <c r="BN155" t="e">
        <f>'Compiled Agents'!H1026+"h_l!'~{"</f>
        <v>#VALUE!</v>
      </c>
      <c r="BO155" t="e">
        <f>'Compiled Agents'!A1027+"h_l!'~|"</f>
        <v>#VALUE!</v>
      </c>
      <c r="BP155" t="e">
        <f>'Compiled Agents'!B1027+"h_l!'~}"</f>
        <v>#VALUE!</v>
      </c>
      <c r="BQ155" t="e">
        <f>'Compiled Agents'!C1027+"h_l!'~~"</f>
        <v>#VALUE!</v>
      </c>
      <c r="BR155" t="e">
        <f>'Compiled Agents'!E1027+"h_l!(##"</f>
        <v>#VALUE!</v>
      </c>
      <c r="BS155" t="e">
        <f>'Compiled Agents'!F1027+"h_l!(#$"</f>
        <v>#VALUE!</v>
      </c>
      <c r="BT155" t="e">
        <f>'Compiled Agents'!G1027+"h_l!(#%"</f>
        <v>#VALUE!</v>
      </c>
      <c r="BU155" t="e">
        <f>'Compiled Agents'!H1027+"h_l!(#&amp;"</f>
        <v>#VALUE!</v>
      </c>
      <c r="BV155" t="e">
        <f>'Compiled Agents'!A1028+"h_l!(#'"</f>
        <v>#VALUE!</v>
      </c>
      <c r="BW155" t="e">
        <f>'Compiled Agents'!B1028+"h_l!(#("</f>
        <v>#VALUE!</v>
      </c>
      <c r="BX155" t="e">
        <f>'Compiled Agents'!C1028+"h_l!(#)"</f>
        <v>#VALUE!</v>
      </c>
      <c r="BY155" t="e">
        <f>'Compiled Agents'!E1028+"h_l!(#."</f>
        <v>#VALUE!</v>
      </c>
      <c r="BZ155" t="e">
        <f>'Compiled Agents'!F1028+"h_l!(#/"</f>
        <v>#VALUE!</v>
      </c>
      <c r="CA155" t="e">
        <f>'Compiled Agents'!G1028+"h_l!(#0"</f>
        <v>#VALUE!</v>
      </c>
      <c r="CB155" t="e">
        <f>'Compiled Agents'!H1028+"h_l!(#1"</f>
        <v>#VALUE!</v>
      </c>
      <c r="CC155" t="e">
        <f>'Compiled Agents'!A1029+"h_l!(#2"</f>
        <v>#VALUE!</v>
      </c>
      <c r="CD155" t="e">
        <f>'Compiled Agents'!B1029+"h_l!(#3"</f>
        <v>#VALUE!</v>
      </c>
      <c r="CE155" t="e">
        <f>'Compiled Agents'!C1029+"h_l!(#4"</f>
        <v>#VALUE!</v>
      </c>
      <c r="CF155" t="e">
        <f>'Compiled Agents'!E1029+"h_l!(#5"</f>
        <v>#VALUE!</v>
      </c>
      <c r="CG155" t="e">
        <f>'Compiled Agents'!F1029+"h_l!(#6"</f>
        <v>#VALUE!</v>
      </c>
      <c r="CH155" t="e">
        <f>'Compiled Agents'!G1029+"h_l!(#7"</f>
        <v>#VALUE!</v>
      </c>
      <c r="CI155" t="e">
        <f>'Compiled Agents'!H1029+"h_l!(#8"</f>
        <v>#VALUE!</v>
      </c>
      <c r="CJ155" t="e">
        <f>'Compiled Agents'!A1030+"h_l!(#9"</f>
        <v>#VALUE!</v>
      </c>
      <c r="CK155" t="e">
        <f>'Compiled Agents'!B1030+"h_l!(#:"</f>
        <v>#VALUE!</v>
      </c>
      <c r="CL155" t="e">
        <f>'Compiled Agents'!C1030+"h_l!(#;"</f>
        <v>#VALUE!</v>
      </c>
      <c r="CM155" t="e">
        <f>'Compiled Agents'!E1030+"h_l!(#&lt;"</f>
        <v>#VALUE!</v>
      </c>
      <c r="CN155" t="e">
        <f>'Compiled Agents'!F1030+"h_l!(#="</f>
        <v>#VALUE!</v>
      </c>
      <c r="CO155" t="e">
        <f>'Compiled Agents'!G1030+"h_l!(#&gt;"</f>
        <v>#VALUE!</v>
      </c>
      <c r="CP155" t="e">
        <f>'Compiled Agents'!H1030+"h_l!(#?"</f>
        <v>#VALUE!</v>
      </c>
      <c r="CQ155" t="e">
        <f>'Compiled Agents'!A1031+"h_l!(#@"</f>
        <v>#VALUE!</v>
      </c>
      <c r="CR155" t="e">
        <f>'Compiled Agents'!B1031+"h_l!(#A"</f>
        <v>#VALUE!</v>
      </c>
      <c r="CS155" t="e">
        <f>'Compiled Agents'!C1031+"h_l!(#B"</f>
        <v>#VALUE!</v>
      </c>
      <c r="CT155" t="e">
        <f>'Compiled Agents'!E1031+"h_l!(#C"</f>
        <v>#VALUE!</v>
      </c>
      <c r="CU155" t="e">
        <f>'Compiled Agents'!F1031+"h_l!(#D"</f>
        <v>#VALUE!</v>
      </c>
      <c r="CV155" t="e">
        <f>'Compiled Agents'!G1031+"h_l!(#E"</f>
        <v>#VALUE!</v>
      </c>
      <c r="CW155" t="e">
        <f>'Compiled Agents'!H1031+"h_l!(#F"</f>
        <v>#VALUE!</v>
      </c>
      <c r="CX155" t="e">
        <f>'Compiled Agents'!A1032+"h_l!(#G"</f>
        <v>#VALUE!</v>
      </c>
      <c r="CY155" t="e">
        <f>'Compiled Agents'!B1032+"h_l!(#H"</f>
        <v>#VALUE!</v>
      </c>
      <c r="CZ155" t="e">
        <f>'Compiled Agents'!C1032+"h_l!(#I"</f>
        <v>#VALUE!</v>
      </c>
      <c r="DA155" t="e">
        <f>'Compiled Agents'!E1032+"h_l!(#J"</f>
        <v>#VALUE!</v>
      </c>
      <c r="DB155" t="e">
        <f>'Compiled Agents'!F1032+"h_l!(#K"</f>
        <v>#VALUE!</v>
      </c>
      <c r="DC155" t="e">
        <f>'Compiled Agents'!G1032+"h_l!(#L"</f>
        <v>#VALUE!</v>
      </c>
      <c r="DD155" t="e">
        <f>'Compiled Agents'!H1032+"h_l!(#M"</f>
        <v>#VALUE!</v>
      </c>
      <c r="DE155" t="e">
        <f>'Compiled Agents'!A1033+"h_l!(#N"</f>
        <v>#VALUE!</v>
      </c>
      <c r="DF155" t="e">
        <f>'Compiled Agents'!B1033+"h_l!(#O"</f>
        <v>#VALUE!</v>
      </c>
      <c r="DG155" t="e">
        <f>'Compiled Agents'!C1033+"h_l!(#P"</f>
        <v>#VALUE!</v>
      </c>
      <c r="DH155" t="e">
        <f>'Compiled Agents'!E1033+"h_l!(#Q"</f>
        <v>#VALUE!</v>
      </c>
      <c r="DI155" t="e">
        <f>'Compiled Agents'!F1033+"h_l!(#R"</f>
        <v>#VALUE!</v>
      </c>
      <c r="DJ155" t="e">
        <f>'Compiled Agents'!G1033+"h_l!(#S"</f>
        <v>#VALUE!</v>
      </c>
      <c r="DK155" t="e">
        <f>'Compiled Agents'!H1033+"h_l!(#T"</f>
        <v>#VALUE!</v>
      </c>
      <c r="DL155" t="e">
        <f>'Compiled Agents'!A1034+"h_l!(#U"</f>
        <v>#VALUE!</v>
      </c>
      <c r="DM155" t="e">
        <f>'Compiled Agents'!B1034+"h_l!(#V"</f>
        <v>#VALUE!</v>
      </c>
      <c r="DN155" t="e">
        <f>'Compiled Agents'!C1034+"h_l!(#W"</f>
        <v>#VALUE!</v>
      </c>
      <c r="DO155" t="e">
        <f>'Compiled Agents'!E1034+"h_l!(#X"</f>
        <v>#VALUE!</v>
      </c>
      <c r="DP155" t="e">
        <f>'Compiled Agents'!F1034+"h_l!(#Y"</f>
        <v>#VALUE!</v>
      </c>
      <c r="DQ155" t="e">
        <f>'Compiled Agents'!G1034+"h_l!(#Z"</f>
        <v>#VALUE!</v>
      </c>
      <c r="DR155" t="e">
        <f>'Compiled Agents'!H1034+"h_l!(#["</f>
        <v>#VALUE!</v>
      </c>
      <c r="DS155" t="e">
        <f>'Compiled Agents'!A1035+"h_l!(#\"</f>
        <v>#VALUE!</v>
      </c>
      <c r="DT155" t="e">
        <f>'Compiled Agents'!B1035+"h_l!(#]"</f>
        <v>#VALUE!</v>
      </c>
      <c r="DU155" t="e">
        <f>'Compiled Agents'!C1035+"h_l!(#^"</f>
        <v>#VALUE!</v>
      </c>
      <c r="DV155" t="e">
        <f>'Compiled Agents'!E1035+"h_l!(#_"</f>
        <v>#VALUE!</v>
      </c>
      <c r="DW155" t="e">
        <f>'Compiled Agents'!F1035+"h_l!(#`"</f>
        <v>#VALUE!</v>
      </c>
      <c r="DX155" t="e">
        <f>'Compiled Agents'!G1035+"h_l!(#a"</f>
        <v>#VALUE!</v>
      </c>
      <c r="DY155" t="e">
        <f>'Compiled Agents'!H1035+"h_l!(#b"</f>
        <v>#VALUE!</v>
      </c>
      <c r="DZ155" t="e">
        <f>'Compiled Agents'!A1036+"h_l!(#c"</f>
        <v>#VALUE!</v>
      </c>
      <c r="EA155" t="e">
        <f>'Compiled Agents'!B1036+"h_l!(#d"</f>
        <v>#VALUE!</v>
      </c>
      <c r="EB155" t="e">
        <f>'Compiled Agents'!C1036+"h_l!(#e"</f>
        <v>#VALUE!</v>
      </c>
      <c r="EC155" t="e">
        <f>'Compiled Agents'!E1036+"h_l!(#f"</f>
        <v>#VALUE!</v>
      </c>
      <c r="ED155" t="e">
        <f>'Compiled Agents'!F1036+"h_l!(#g"</f>
        <v>#VALUE!</v>
      </c>
      <c r="EE155" t="e">
        <f>'Compiled Agents'!G1036+"h_l!(#h"</f>
        <v>#VALUE!</v>
      </c>
      <c r="EF155" t="e">
        <f>'Compiled Agents'!H1036+"h_l!(#i"</f>
        <v>#VALUE!</v>
      </c>
      <c r="EG155" t="e">
        <f>'Compiled Agents'!A1037+"h_l!(#j"</f>
        <v>#VALUE!</v>
      </c>
      <c r="EH155" t="e">
        <f>'Compiled Agents'!B1037+"h_l!(#k"</f>
        <v>#VALUE!</v>
      </c>
      <c r="EI155" t="e">
        <f>'Compiled Agents'!C1037+"h_l!(#l"</f>
        <v>#VALUE!</v>
      </c>
      <c r="EJ155" t="e">
        <f>'Compiled Agents'!E1037+"h_l!(#m"</f>
        <v>#VALUE!</v>
      </c>
      <c r="EK155" t="e">
        <f>'Compiled Agents'!F1037+"h_l!(#n"</f>
        <v>#VALUE!</v>
      </c>
      <c r="EL155" t="e">
        <f>'Compiled Agents'!G1037+"h_l!(#o"</f>
        <v>#VALUE!</v>
      </c>
      <c r="EM155" t="e">
        <f>'Compiled Agents'!H1037+"h_l!(#p"</f>
        <v>#VALUE!</v>
      </c>
      <c r="EN155" t="e">
        <f>'Compiled Agents'!A1038+"h_l!(#q"</f>
        <v>#VALUE!</v>
      </c>
      <c r="EO155" t="e">
        <f>'Compiled Agents'!B1038+"h_l!(#r"</f>
        <v>#VALUE!</v>
      </c>
      <c r="EP155" t="e">
        <f>'Compiled Agents'!C1038+"h_l!(#s"</f>
        <v>#VALUE!</v>
      </c>
      <c r="EQ155" t="e">
        <f>'Compiled Agents'!E1038+"h_l!(#t"</f>
        <v>#VALUE!</v>
      </c>
      <c r="ER155" t="e">
        <f>'Compiled Agents'!F1038+"h_l!(#u"</f>
        <v>#VALUE!</v>
      </c>
      <c r="ES155" t="e">
        <f>'Compiled Agents'!G1038+"h_l!(#v"</f>
        <v>#VALUE!</v>
      </c>
      <c r="ET155" t="e">
        <f>'Compiled Agents'!H1038+"h_l!(#w"</f>
        <v>#VALUE!</v>
      </c>
      <c r="EU155" t="e">
        <f>'Compiled Agents'!A1039+"h_l!(#x"</f>
        <v>#VALUE!</v>
      </c>
      <c r="EV155" t="e">
        <f>'Compiled Agents'!B1039+"h_l!(#y"</f>
        <v>#VALUE!</v>
      </c>
      <c r="EW155" t="e">
        <f>'Compiled Agents'!C1039+"h_l!(#z"</f>
        <v>#VALUE!</v>
      </c>
      <c r="EX155" t="e">
        <f>'Compiled Agents'!E1039+"h_l!(#{"</f>
        <v>#VALUE!</v>
      </c>
      <c r="EY155" t="e">
        <f>'Compiled Agents'!F1039+"h_l!(#|"</f>
        <v>#VALUE!</v>
      </c>
      <c r="EZ155" t="e">
        <f>'Compiled Agents'!G1039+"h_l!(#}"</f>
        <v>#VALUE!</v>
      </c>
      <c r="FA155" t="e">
        <f>'Compiled Agents'!H1039+"h_l!(#~"</f>
        <v>#VALUE!</v>
      </c>
      <c r="FB155" t="e">
        <f>'Compiled Agents'!A1040+"h_l!($#"</f>
        <v>#VALUE!</v>
      </c>
      <c r="FC155" t="e">
        <f>'Compiled Agents'!B1040+"h_l!($$"</f>
        <v>#VALUE!</v>
      </c>
      <c r="FD155" t="e">
        <f>'Compiled Agents'!C1040+"h_l!($%"</f>
        <v>#VALUE!</v>
      </c>
      <c r="FE155" t="e">
        <f>'Compiled Agents'!E1040+"h_l!($&amp;"</f>
        <v>#VALUE!</v>
      </c>
      <c r="FF155" t="e">
        <f>'Compiled Agents'!F1040+"h_l!($'"</f>
        <v>#VALUE!</v>
      </c>
      <c r="FG155" t="e">
        <f>'Compiled Agents'!G1040+"h_l!($("</f>
        <v>#VALUE!</v>
      </c>
      <c r="FH155" t="e">
        <f>'Compiled Agents'!H1040+"h_l!($)"</f>
        <v>#VALUE!</v>
      </c>
      <c r="FI155" t="e">
        <f>'Compiled Agents'!A1041+"h_l!($."</f>
        <v>#VALUE!</v>
      </c>
      <c r="FJ155" t="e">
        <f>'Compiled Agents'!B1041+"h_l!($/"</f>
        <v>#VALUE!</v>
      </c>
      <c r="FK155" t="e">
        <f>'Compiled Agents'!C1041+"h_l!($0"</f>
        <v>#VALUE!</v>
      </c>
      <c r="FL155" t="e">
        <f>'Compiled Agents'!E1041+"h_l!($1"</f>
        <v>#VALUE!</v>
      </c>
      <c r="FM155" t="e">
        <f>'Compiled Agents'!F1041+"h_l!($2"</f>
        <v>#VALUE!</v>
      </c>
      <c r="FN155" t="e">
        <f>'Compiled Agents'!G1041+"h_l!($3"</f>
        <v>#VALUE!</v>
      </c>
      <c r="FO155" t="e">
        <f>'Compiled Agents'!H1041+"h_l!($4"</f>
        <v>#VALUE!</v>
      </c>
      <c r="FP155" t="e">
        <f>'Compiled Agents'!A1042+"h_l!($5"</f>
        <v>#VALUE!</v>
      </c>
      <c r="FQ155" t="e">
        <f>'Compiled Agents'!B1042+"h_l!($6"</f>
        <v>#VALUE!</v>
      </c>
      <c r="FR155" t="e">
        <f>'Compiled Agents'!C1042+"h_l!($7"</f>
        <v>#VALUE!</v>
      </c>
      <c r="FS155" t="e">
        <f>'Compiled Agents'!E1042+"h_l!($8"</f>
        <v>#VALUE!</v>
      </c>
      <c r="FT155" t="e">
        <f>'Compiled Agents'!F1042+"h_l!($9"</f>
        <v>#VALUE!</v>
      </c>
      <c r="FU155" t="e">
        <f>'Compiled Agents'!G1042+"h_l!($:"</f>
        <v>#VALUE!</v>
      </c>
      <c r="FV155" t="e">
        <f>'Compiled Agents'!H1042+"h_l!($;"</f>
        <v>#VALUE!</v>
      </c>
      <c r="FW155" t="e">
        <f>'Compiled Agents'!A1043+"h_l!($&lt;"</f>
        <v>#VALUE!</v>
      </c>
      <c r="FX155" t="e">
        <f>'Compiled Agents'!B1043+"h_l!($="</f>
        <v>#VALUE!</v>
      </c>
      <c r="FY155" t="e">
        <f>'Compiled Agents'!C1043+"h_l!($&gt;"</f>
        <v>#VALUE!</v>
      </c>
      <c r="FZ155" t="e">
        <f>'Compiled Agents'!E1043+"h_l!($?"</f>
        <v>#VALUE!</v>
      </c>
      <c r="GA155" t="e">
        <f>'Compiled Agents'!F1043+"h_l!($@"</f>
        <v>#VALUE!</v>
      </c>
      <c r="GB155" t="e">
        <f>'Compiled Agents'!G1043+"h_l!($A"</f>
        <v>#VALUE!</v>
      </c>
      <c r="GC155" t="e">
        <f>'Compiled Agents'!H1043+"h_l!($B"</f>
        <v>#VALUE!</v>
      </c>
      <c r="GD155" t="e">
        <f>'Compiled Agents'!A1044+"h_l!($C"</f>
        <v>#VALUE!</v>
      </c>
      <c r="GE155" t="e">
        <f>'Compiled Agents'!B1044+"h_l!($D"</f>
        <v>#VALUE!</v>
      </c>
      <c r="GF155" t="e">
        <f>'Compiled Agents'!C1044+"h_l!($E"</f>
        <v>#VALUE!</v>
      </c>
      <c r="GG155" t="e">
        <f>'Compiled Agents'!E1044+"h_l!($F"</f>
        <v>#VALUE!</v>
      </c>
      <c r="GH155" t="e">
        <f>'Compiled Agents'!F1044+"h_l!($G"</f>
        <v>#VALUE!</v>
      </c>
      <c r="GI155" t="e">
        <f>'Compiled Agents'!G1044+"h_l!($H"</f>
        <v>#VALUE!</v>
      </c>
      <c r="GJ155" t="e">
        <f>'Compiled Agents'!H1044+"h_l!($I"</f>
        <v>#VALUE!</v>
      </c>
      <c r="GK155" t="e">
        <f>'Compiled Agents'!A1045+"h_l!($J"</f>
        <v>#VALUE!</v>
      </c>
      <c r="GL155" t="e">
        <f>'Compiled Agents'!B1045+"h_l!($K"</f>
        <v>#VALUE!</v>
      </c>
      <c r="GM155" t="e">
        <f>'Compiled Agents'!C1045+"h_l!($L"</f>
        <v>#VALUE!</v>
      </c>
      <c r="GN155" t="e">
        <f>'Compiled Agents'!E1045+"h_l!($M"</f>
        <v>#VALUE!</v>
      </c>
      <c r="GO155" t="e">
        <f>'Compiled Agents'!F1045+"h_l!($N"</f>
        <v>#VALUE!</v>
      </c>
      <c r="GP155" t="e">
        <f>'Compiled Agents'!G1045+"h_l!($O"</f>
        <v>#VALUE!</v>
      </c>
      <c r="GQ155" t="e">
        <f>'Compiled Agents'!H1045+"h_l!($P"</f>
        <v>#VALUE!</v>
      </c>
      <c r="GR155" t="e">
        <f>'Compiled Agents'!A1046+"h_l!($Q"</f>
        <v>#VALUE!</v>
      </c>
      <c r="GS155" t="e">
        <f>'Compiled Agents'!B1046+"h_l!($R"</f>
        <v>#VALUE!</v>
      </c>
      <c r="GT155" t="e">
        <f>'Compiled Agents'!C1046+"h_l!($S"</f>
        <v>#VALUE!</v>
      </c>
      <c r="GU155" t="e">
        <f>'Compiled Agents'!E1046+"h_l!($T"</f>
        <v>#VALUE!</v>
      </c>
      <c r="GV155" t="e">
        <f>'Compiled Agents'!F1046+"h_l!($U"</f>
        <v>#VALUE!</v>
      </c>
      <c r="GW155" t="e">
        <f>'Compiled Agents'!G1046+"h_l!($V"</f>
        <v>#VALUE!</v>
      </c>
      <c r="GX155" t="e">
        <f>'Compiled Agents'!H1046+"h_l!($W"</f>
        <v>#VALUE!</v>
      </c>
      <c r="GY155" t="e">
        <f>'Compiled Agents'!A1047+"h_l!($X"</f>
        <v>#VALUE!</v>
      </c>
      <c r="GZ155" t="e">
        <f>'Compiled Agents'!B1047+"h_l!($Y"</f>
        <v>#VALUE!</v>
      </c>
      <c r="HA155" t="e">
        <f>'Compiled Agents'!C1047+"h_l!($Z"</f>
        <v>#VALUE!</v>
      </c>
      <c r="HB155" t="e">
        <f>'Compiled Agents'!E1047+"h_l!($["</f>
        <v>#VALUE!</v>
      </c>
      <c r="HC155" t="e">
        <f>'Compiled Agents'!F1047+"h_l!($\"</f>
        <v>#VALUE!</v>
      </c>
      <c r="HD155" t="e">
        <f>'Compiled Agents'!G1047+"h_l!($]"</f>
        <v>#VALUE!</v>
      </c>
      <c r="HE155" t="e">
        <f>'Compiled Agents'!H1047+"h_l!($^"</f>
        <v>#VALUE!</v>
      </c>
      <c r="HF155" t="e">
        <f>'Compiled Agents'!A1048+"h_l!($_"</f>
        <v>#VALUE!</v>
      </c>
      <c r="HG155" t="e">
        <f>'Compiled Agents'!B1048+"h_l!($`"</f>
        <v>#VALUE!</v>
      </c>
      <c r="HH155" t="e">
        <f>'Compiled Agents'!C1048+"h_l!($a"</f>
        <v>#VALUE!</v>
      </c>
      <c r="HI155" t="e">
        <f>'Compiled Agents'!E1048+"h_l!($b"</f>
        <v>#VALUE!</v>
      </c>
      <c r="HJ155" t="e">
        <f>'Compiled Agents'!F1048+"h_l!($c"</f>
        <v>#VALUE!</v>
      </c>
      <c r="HK155" t="e">
        <f>'Compiled Agents'!G1048+"h_l!($d"</f>
        <v>#VALUE!</v>
      </c>
      <c r="HL155" t="e">
        <f>'Compiled Agents'!H1048+"h_l!($e"</f>
        <v>#VALUE!</v>
      </c>
      <c r="HM155" t="e">
        <f>'Compiled Agents'!A1049+"h_l!($f"</f>
        <v>#VALUE!</v>
      </c>
      <c r="HN155" t="e">
        <f>'Compiled Agents'!B1049+"h_l!($g"</f>
        <v>#VALUE!</v>
      </c>
      <c r="HO155" t="e">
        <f>'Compiled Agents'!C1049+"h_l!($h"</f>
        <v>#VALUE!</v>
      </c>
      <c r="HP155" t="e">
        <f>'Compiled Agents'!E1049+"h_l!($i"</f>
        <v>#VALUE!</v>
      </c>
      <c r="HQ155" t="e">
        <f>'Compiled Agents'!F1049+"h_l!($j"</f>
        <v>#VALUE!</v>
      </c>
      <c r="HR155" t="e">
        <f>'Compiled Agents'!G1049+"h_l!($k"</f>
        <v>#VALUE!</v>
      </c>
      <c r="HS155" t="e">
        <f>'Compiled Agents'!H1049+"h_l!($l"</f>
        <v>#VALUE!</v>
      </c>
      <c r="HT155" t="e">
        <f>'Compiled Agents'!A1050+"h_l!($m"</f>
        <v>#VALUE!</v>
      </c>
      <c r="HU155" t="e">
        <f>'Compiled Agents'!B1050+"h_l!($n"</f>
        <v>#VALUE!</v>
      </c>
      <c r="HV155" t="e">
        <f>'Compiled Agents'!C1050+"h_l!($o"</f>
        <v>#VALUE!</v>
      </c>
      <c r="HW155" t="e">
        <f>'Compiled Agents'!E1050+"h_l!($p"</f>
        <v>#VALUE!</v>
      </c>
      <c r="HX155" t="e">
        <f>'Compiled Agents'!F1050+"h_l!($q"</f>
        <v>#VALUE!</v>
      </c>
      <c r="HY155" t="e">
        <f>'Compiled Agents'!G1050+"h_l!($r"</f>
        <v>#VALUE!</v>
      </c>
      <c r="HZ155" t="e">
        <f>'Compiled Agents'!H1050+"h_l!($s"</f>
        <v>#VALUE!</v>
      </c>
      <c r="IA155" t="e">
        <f>'Compiled Agents'!A1051+"h_l!($t"</f>
        <v>#VALUE!</v>
      </c>
      <c r="IB155" t="e">
        <f>'Compiled Agents'!B1051+"h_l!($u"</f>
        <v>#VALUE!</v>
      </c>
      <c r="IC155" t="e">
        <f>'Compiled Agents'!C1051+"h_l!($v"</f>
        <v>#VALUE!</v>
      </c>
      <c r="ID155" t="e">
        <f>'Compiled Agents'!E1051+"h_l!($w"</f>
        <v>#VALUE!</v>
      </c>
      <c r="IE155" t="e">
        <f>'Compiled Agents'!F1051+"h_l!($x"</f>
        <v>#VALUE!</v>
      </c>
      <c r="IF155" t="e">
        <f>'Compiled Agents'!G1051+"h_l!($y"</f>
        <v>#VALUE!</v>
      </c>
      <c r="IG155" t="e">
        <f>'Compiled Agents'!H1051+"h_l!($z"</f>
        <v>#VALUE!</v>
      </c>
      <c r="IH155" t="e">
        <f>'Compiled Agents'!A1052+"h_l!(${"</f>
        <v>#VALUE!</v>
      </c>
      <c r="II155" t="e">
        <f>'Compiled Agents'!B1052+"h_l!($|"</f>
        <v>#VALUE!</v>
      </c>
      <c r="IJ155" t="e">
        <f>'Compiled Agents'!C1052+"h_l!($}"</f>
        <v>#VALUE!</v>
      </c>
      <c r="IK155" t="e">
        <f>'Compiled Agents'!E1052+"h_l!($~"</f>
        <v>#VALUE!</v>
      </c>
      <c r="IL155" t="e">
        <f>'Compiled Agents'!F1052+"h_l!(%#"</f>
        <v>#VALUE!</v>
      </c>
      <c r="IM155" t="e">
        <f>'Compiled Agents'!G1052+"h_l!(%$"</f>
        <v>#VALUE!</v>
      </c>
      <c r="IN155" t="e">
        <f>'Compiled Agents'!H1052+"h_l!(%%"</f>
        <v>#VALUE!</v>
      </c>
      <c r="IO155" t="e">
        <f>'Compiled Agents'!A1053+"h_l!(%&amp;"</f>
        <v>#VALUE!</v>
      </c>
      <c r="IP155" t="e">
        <f>'Compiled Agents'!B1053+"h_l!(%'"</f>
        <v>#VALUE!</v>
      </c>
      <c r="IQ155" t="e">
        <f>'Compiled Agents'!C1053+"h_l!(%("</f>
        <v>#VALUE!</v>
      </c>
      <c r="IR155" t="e">
        <f>'Compiled Agents'!E1053+"h_l!(%)"</f>
        <v>#VALUE!</v>
      </c>
      <c r="IS155" t="e">
        <f>'Compiled Agents'!F1053+"h_l!(%."</f>
        <v>#VALUE!</v>
      </c>
      <c r="IT155" t="e">
        <f>'Compiled Agents'!G1053+"h_l!(%/"</f>
        <v>#VALUE!</v>
      </c>
      <c r="IU155" t="e">
        <f>'Compiled Agents'!H1053+"h_l!(%0"</f>
        <v>#VALUE!</v>
      </c>
      <c r="IV155" t="e">
        <f>'Compiled Agents'!A1054+"h_l!(%1"</f>
        <v>#VALUE!</v>
      </c>
    </row>
    <row r="156" spans="6:256" x14ac:dyDescent="0.25">
      <c r="F156" t="e">
        <f>'Compiled Agents'!B1054+"h_l!(%2"</f>
        <v>#VALUE!</v>
      </c>
      <c r="G156" t="e">
        <f>'Compiled Agents'!C1054+"h_l!(%3"</f>
        <v>#VALUE!</v>
      </c>
      <c r="H156" t="e">
        <f>'Compiled Agents'!E1054+"h_l!(%4"</f>
        <v>#VALUE!</v>
      </c>
      <c r="I156" t="e">
        <f>'Compiled Agents'!F1054+"h_l!(%5"</f>
        <v>#VALUE!</v>
      </c>
      <c r="J156" t="e">
        <f>'Compiled Agents'!G1054+"h_l!(%6"</f>
        <v>#VALUE!</v>
      </c>
      <c r="K156" t="e">
        <f>'Compiled Agents'!H1054+"h_l!(%7"</f>
        <v>#VALUE!</v>
      </c>
      <c r="L156" t="e">
        <f>'Compiled Agents'!A1055+"h_l!(%8"</f>
        <v>#VALUE!</v>
      </c>
      <c r="M156" t="e">
        <f>'Compiled Agents'!B1055+"h_l!(%9"</f>
        <v>#VALUE!</v>
      </c>
      <c r="N156" t="e">
        <f>'Compiled Agents'!C1055+"h_l!(%:"</f>
        <v>#VALUE!</v>
      </c>
      <c r="O156" t="e">
        <f>'Compiled Agents'!E1055+"h_l!(%;"</f>
        <v>#VALUE!</v>
      </c>
      <c r="P156" t="e">
        <f>'Compiled Agents'!F1055+"h_l!(%&lt;"</f>
        <v>#VALUE!</v>
      </c>
      <c r="Q156" t="e">
        <f>'Compiled Agents'!G1055+"h_l!(%="</f>
        <v>#VALUE!</v>
      </c>
      <c r="R156" t="e">
        <f>'Compiled Agents'!H1055+"h_l!(%&gt;"</f>
        <v>#VALUE!</v>
      </c>
      <c r="S156" t="e">
        <f>'Compiled Agents'!A1056+"h_l!(%?"</f>
        <v>#VALUE!</v>
      </c>
      <c r="T156" t="e">
        <f>'Compiled Agents'!B1056+"h_l!(%@"</f>
        <v>#VALUE!</v>
      </c>
      <c r="U156" t="e">
        <f>'Compiled Agents'!C1056+"h_l!(%A"</f>
        <v>#VALUE!</v>
      </c>
      <c r="V156" t="e">
        <f>'Compiled Agents'!E1056+"h_l!(%B"</f>
        <v>#VALUE!</v>
      </c>
      <c r="W156" t="e">
        <f>'Compiled Agents'!F1056+"h_l!(%C"</f>
        <v>#VALUE!</v>
      </c>
      <c r="X156" t="e">
        <f>'Compiled Agents'!G1056+"h_l!(%D"</f>
        <v>#VALUE!</v>
      </c>
      <c r="Y156" t="e">
        <f>'Compiled Agents'!H1056+"h_l!(%E"</f>
        <v>#VALUE!</v>
      </c>
      <c r="Z156" t="e">
        <f>'Compiled Agents'!A1057+"h_l!(%F"</f>
        <v>#VALUE!</v>
      </c>
      <c r="AA156" t="e">
        <f>'Compiled Agents'!B1057+"h_l!(%G"</f>
        <v>#VALUE!</v>
      </c>
      <c r="AB156" t="e">
        <f>'Compiled Agents'!C1057+"h_l!(%H"</f>
        <v>#VALUE!</v>
      </c>
      <c r="AC156" t="e">
        <f>'Compiled Agents'!E1057+"h_l!(%I"</f>
        <v>#VALUE!</v>
      </c>
      <c r="AD156" t="e">
        <f>'Compiled Agents'!F1057+"h_l!(%J"</f>
        <v>#VALUE!</v>
      </c>
      <c r="AE156" t="e">
        <f>'Compiled Agents'!G1057+"h_l!(%K"</f>
        <v>#VALUE!</v>
      </c>
      <c r="AF156" t="e">
        <f>'Compiled Agents'!H1057+"h_l!(%L"</f>
        <v>#VALUE!</v>
      </c>
      <c r="AG156" t="e">
        <f>'Compiled Agents'!A1058+"h_l!(%M"</f>
        <v>#VALUE!</v>
      </c>
      <c r="AH156" t="e">
        <f>'Compiled Agents'!B1058+"h_l!(%N"</f>
        <v>#VALUE!</v>
      </c>
      <c r="AI156" t="e">
        <f>'Compiled Agents'!C1058+"h_l!(%O"</f>
        <v>#VALUE!</v>
      </c>
      <c r="AJ156" t="e">
        <f>'Compiled Agents'!E1058+"h_l!(%P"</f>
        <v>#VALUE!</v>
      </c>
      <c r="AK156" t="e">
        <f>'Compiled Agents'!F1058+"h_l!(%Q"</f>
        <v>#VALUE!</v>
      </c>
      <c r="AL156" t="e">
        <f>'Compiled Agents'!G1058+"h_l!(%R"</f>
        <v>#VALUE!</v>
      </c>
      <c r="AM156" t="e">
        <f>'Compiled Agents'!H1058+"h_l!(%S"</f>
        <v>#VALUE!</v>
      </c>
      <c r="AN156" t="e">
        <f>'Compiled Agents'!A1059+"h_l!(%T"</f>
        <v>#VALUE!</v>
      </c>
      <c r="AO156" t="e">
        <f>'Compiled Agents'!B1059+"h_l!(%U"</f>
        <v>#VALUE!</v>
      </c>
      <c r="AP156" t="e">
        <f>'Compiled Agents'!C1059+"h_l!(%V"</f>
        <v>#VALUE!</v>
      </c>
      <c r="AQ156" t="e">
        <f>'Compiled Agents'!E1059+"h_l!(%W"</f>
        <v>#VALUE!</v>
      </c>
      <c r="AR156" t="e">
        <f>'Compiled Agents'!F1059+"h_l!(%X"</f>
        <v>#VALUE!</v>
      </c>
      <c r="AS156" t="e">
        <f>'Compiled Agents'!G1059+"h_l!(%Y"</f>
        <v>#VALUE!</v>
      </c>
      <c r="AT156" t="e">
        <f>'Compiled Agents'!H1059+"h_l!(%Z"</f>
        <v>#VALUE!</v>
      </c>
      <c r="AU156" t="e">
        <f>'Compiled Agents'!A1060+"h_l!(%["</f>
        <v>#VALUE!</v>
      </c>
      <c r="AV156" t="e">
        <f>'Compiled Agents'!B1060+"h_l!(%\"</f>
        <v>#VALUE!</v>
      </c>
      <c r="AW156" t="e">
        <f>'Compiled Agents'!C1060+"h_l!(%]"</f>
        <v>#VALUE!</v>
      </c>
      <c r="AX156" t="e">
        <f>'Compiled Agents'!E1060+"h_l!(%^"</f>
        <v>#VALUE!</v>
      </c>
      <c r="AY156" t="e">
        <f>'Compiled Agents'!F1060+"h_l!(%_"</f>
        <v>#VALUE!</v>
      </c>
      <c r="AZ156" t="e">
        <f>'Compiled Agents'!G1060+"h_l!(%`"</f>
        <v>#VALUE!</v>
      </c>
      <c r="BA156" t="e">
        <f>'Compiled Agents'!H1060+"h_l!(%a"</f>
        <v>#VALUE!</v>
      </c>
      <c r="BB156" t="e">
        <f>'Compiled Agents'!A1061+"h_l!(%b"</f>
        <v>#VALUE!</v>
      </c>
      <c r="BC156" t="e">
        <f>'Compiled Agents'!B1061+"h_l!(%c"</f>
        <v>#VALUE!</v>
      </c>
      <c r="BD156" t="e">
        <f>'Compiled Agents'!C1061+"h_l!(%d"</f>
        <v>#VALUE!</v>
      </c>
      <c r="BE156" t="e">
        <f>'Compiled Agents'!E1061+"h_l!(%e"</f>
        <v>#VALUE!</v>
      </c>
      <c r="BF156" t="e">
        <f>'Compiled Agents'!F1061+"h_l!(%f"</f>
        <v>#VALUE!</v>
      </c>
      <c r="BG156" t="e">
        <f>'Compiled Agents'!G1061+"h_l!(%g"</f>
        <v>#VALUE!</v>
      </c>
      <c r="BH156" t="e">
        <f>'Compiled Agents'!H1061+"h_l!(%h"</f>
        <v>#VALUE!</v>
      </c>
      <c r="BI156" t="e">
        <f>'Compiled Agents'!A1062+"h_l!(%i"</f>
        <v>#VALUE!</v>
      </c>
      <c r="BJ156" t="e">
        <f>'Compiled Agents'!B1062+"h_l!(%j"</f>
        <v>#VALUE!</v>
      </c>
      <c r="BK156" t="e">
        <f>'Compiled Agents'!C1062+"h_l!(%k"</f>
        <v>#VALUE!</v>
      </c>
      <c r="BL156" t="e">
        <f>'Compiled Agents'!E1062+"h_l!(%l"</f>
        <v>#VALUE!</v>
      </c>
      <c r="BM156" t="e">
        <f>'Compiled Agents'!F1062+"h_l!(%m"</f>
        <v>#VALUE!</v>
      </c>
      <c r="BN156" t="e">
        <f>'Compiled Agents'!G1062+"h_l!(%n"</f>
        <v>#VALUE!</v>
      </c>
      <c r="BO156" t="e">
        <f>'Compiled Agents'!H1062+"h_l!(%o"</f>
        <v>#VALUE!</v>
      </c>
      <c r="BP156" t="e">
        <f>'Compiled Agents'!A1063+"h_l!(%p"</f>
        <v>#VALUE!</v>
      </c>
      <c r="BQ156" t="e">
        <f>'Compiled Agents'!B1063+"h_l!(%q"</f>
        <v>#VALUE!</v>
      </c>
      <c r="BR156" t="e">
        <f>'Compiled Agents'!C1063+"h_l!(%r"</f>
        <v>#VALUE!</v>
      </c>
      <c r="BS156" t="e">
        <f>'Compiled Agents'!E1063+"h_l!(%s"</f>
        <v>#VALUE!</v>
      </c>
      <c r="BT156" t="e">
        <f>'Compiled Agents'!F1063+"h_l!(%t"</f>
        <v>#VALUE!</v>
      </c>
      <c r="BU156" t="e">
        <f>'Compiled Agents'!G1063+"h_l!(%u"</f>
        <v>#VALUE!</v>
      </c>
      <c r="BV156" t="e">
        <f>'Compiled Agents'!H1063+"h_l!(%v"</f>
        <v>#VALUE!</v>
      </c>
      <c r="BW156" t="e">
        <f>'Compiled Agents'!A1064+"h_l!(%w"</f>
        <v>#VALUE!</v>
      </c>
      <c r="BX156" t="e">
        <f>'Compiled Agents'!B1064+"h_l!(%x"</f>
        <v>#VALUE!</v>
      </c>
      <c r="BY156" t="e">
        <f>'Compiled Agents'!C1064+"h_l!(%y"</f>
        <v>#VALUE!</v>
      </c>
      <c r="BZ156" t="e">
        <f>'Compiled Agents'!E1064+"h_l!(%z"</f>
        <v>#VALUE!</v>
      </c>
      <c r="CA156" t="e">
        <f>'Compiled Agents'!F1064+"h_l!(%{"</f>
        <v>#VALUE!</v>
      </c>
      <c r="CB156" t="e">
        <f>'Compiled Agents'!G1064+"h_l!(%|"</f>
        <v>#VALUE!</v>
      </c>
      <c r="CC156" t="e">
        <f>'Compiled Agents'!H1064+"h_l!(%}"</f>
        <v>#VALUE!</v>
      </c>
      <c r="CD156" t="e">
        <f>'Compiled Agents'!A1065+"h_l!(%~"</f>
        <v>#VALUE!</v>
      </c>
      <c r="CE156" t="e">
        <f>'Compiled Agents'!B1065+"h_l!(&amp;#"</f>
        <v>#VALUE!</v>
      </c>
      <c r="CF156" t="e">
        <f>'Compiled Agents'!C1065+"h_l!(&amp;$"</f>
        <v>#VALUE!</v>
      </c>
      <c r="CG156" t="e">
        <f>'Compiled Agents'!E1065+"h_l!(&amp;%"</f>
        <v>#VALUE!</v>
      </c>
      <c r="CH156" t="e">
        <f>'Compiled Agents'!F1065+"h_l!(&amp;&amp;"</f>
        <v>#VALUE!</v>
      </c>
      <c r="CI156" t="e">
        <f>'Compiled Agents'!G1065+"h_l!(&amp;'"</f>
        <v>#VALUE!</v>
      </c>
      <c r="CJ156" t="e">
        <f>'Compiled Agents'!H1065+"h_l!(&amp;("</f>
        <v>#VALUE!</v>
      </c>
      <c r="CK156" t="e">
        <f>'Compiled Agents'!A1066+"h_l!(&amp;)"</f>
        <v>#VALUE!</v>
      </c>
      <c r="CL156" t="e">
        <f>'Compiled Agents'!B1066+"h_l!(&amp;."</f>
        <v>#VALUE!</v>
      </c>
      <c r="CM156" t="e">
        <f>'Compiled Agents'!C1066+"h_l!(&amp;/"</f>
        <v>#VALUE!</v>
      </c>
      <c r="CN156" t="e">
        <f>'Compiled Agents'!E1066+"h_l!(&amp;0"</f>
        <v>#VALUE!</v>
      </c>
      <c r="CO156" t="e">
        <f>'Compiled Agents'!F1066+"h_l!(&amp;1"</f>
        <v>#VALUE!</v>
      </c>
      <c r="CP156" t="e">
        <f>'Compiled Agents'!G1066+"h_l!(&amp;2"</f>
        <v>#VALUE!</v>
      </c>
      <c r="CQ156" t="e">
        <f>'Compiled Agents'!H1066+"h_l!(&amp;3"</f>
        <v>#VALUE!</v>
      </c>
      <c r="CR156" t="e">
        <f>'Compiled Agents'!A1067+"h_l!(&amp;4"</f>
        <v>#VALUE!</v>
      </c>
      <c r="CS156" t="e">
        <f>'Compiled Agents'!B1067+"h_l!(&amp;5"</f>
        <v>#VALUE!</v>
      </c>
      <c r="CT156" t="e">
        <f>'Compiled Agents'!C1067+"h_l!(&amp;6"</f>
        <v>#VALUE!</v>
      </c>
      <c r="CU156" t="e">
        <f>'Compiled Agents'!E1067+"h_l!(&amp;7"</f>
        <v>#VALUE!</v>
      </c>
      <c r="CV156" t="e">
        <f>'Compiled Agents'!F1067+"h_l!(&amp;8"</f>
        <v>#VALUE!</v>
      </c>
      <c r="CW156" t="e">
        <f>'Compiled Agents'!G1067+"h_l!(&amp;9"</f>
        <v>#VALUE!</v>
      </c>
      <c r="CX156" t="e">
        <f>'Compiled Agents'!H1067+"h_l!(&amp;:"</f>
        <v>#VALUE!</v>
      </c>
      <c r="CY156" t="e">
        <f>'Compiled Agents'!A1068+"h_l!(&amp;;"</f>
        <v>#VALUE!</v>
      </c>
      <c r="CZ156" t="e">
        <f>'Compiled Agents'!B1068+"h_l!(&amp;&lt;"</f>
        <v>#VALUE!</v>
      </c>
      <c r="DA156" t="e">
        <f>'Compiled Agents'!C1068+"h_l!(&amp;="</f>
        <v>#VALUE!</v>
      </c>
      <c r="DB156" t="e">
        <f>'Compiled Agents'!E1068+"h_l!(&amp;&gt;"</f>
        <v>#VALUE!</v>
      </c>
      <c r="DC156" t="e">
        <f>'Compiled Agents'!F1068+"h_l!(&amp;?"</f>
        <v>#VALUE!</v>
      </c>
      <c r="DD156" t="e">
        <f>'Compiled Agents'!G1068+"h_l!(&amp;@"</f>
        <v>#VALUE!</v>
      </c>
      <c r="DE156" t="e">
        <f>'Compiled Agents'!H1068+"h_l!(&amp;A"</f>
        <v>#VALUE!</v>
      </c>
      <c r="DF156" t="e">
        <f>'Compiled Agents'!A1069+"h_l!(&amp;B"</f>
        <v>#VALUE!</v>
      </c>
      <c r="DG156" t="e">
        <f>'Compiled Agents'!B1069+"h_l!(&amp;C"</f>
        <v>#VALUE!</v>
      </c>
      <c r="DH156" t="e">
        <f>'Compiled Agents'!C1069+"h_l!(&amp;D"</f>
        <v>#VALUE!</v>
      </c>
      <c r="DI156" t="e">
        <f>'Compiled Agents'!E1069+"h_l!(&amp;E"</f>
        <v>#VALUE!</v>
      </c>
      <c r="DJ156" t="e">
        <f>'Compiled Agents'!F1069+"h_l!(&amp;F"</f>
        <v>#VALUE!</v>
      </c>
      <c r="DK156" t="e">
        <f>'Compiled Agents'!G1069+"h_l!(&amp;G"</f>
        <v>#VALUE!</v>
      </c>
      <c r="DL156" t="e">
        <f>'Compiled Agents'!H1069+"h_l!(&amp;H"</f>
        <v>#VALUE!</v>
      </c>
      <c r="DM156" t="e">
        <f>'Compiled Agents'!A1070+"h_l!(&amp;I"</f>
        <v>#VALUE!</v>
      </c>
      <c r="DN156" t="e">
        <f>'Compiled Agents'!B1070+"h_l!(&amp;J"</f>
        <v>#VALUE!</v>
      </c>
      <c r="DO156" t="e">
        <f>'Compiled Agents'!C1070+"h_l!(&amp;K"</f>
        <v>#VALUE!</v>
      </c>
      <c r="DP156" t="e">
        <f>'Compiled Agents'!E1070+"h_l!(&amp;L"</f>
        <v>#VALUE!</v>
      </c>
      <c r="DQ156" t="e">
        <f>'Compiled Agents'!F1070+"h_l!(&amp;M"</f>
        <v>#VALUE!</v>
      </c>
      <c r="DR156" t="e">
        <f>'Compiled Agents'!G1070+"h_l!(&amp;N"</f>
        <v>#VALUE!</v>
      </c>
      <c r="DS156" t="e">
        <f>'Compiled Agents'!H1070+"h_l!(&amp;O"</f>
        <v>#VALUE!</v>
      </c>
      <c r="DT156" t="e">
        <f>'Compiled Agents'!A1071+"h_l!(&amp;P"</f>
        <v>#VALUE!</v>
      </c>
      <c r="DU156" t="e">
        <f>'Compiled Agents'!B1071+"h_l!(&amp;Q"</f>
        <v>#VALUE!</v>
      </c>
      <c r="DV156" t="e">
        <f>'Compiled Agents'!C1071+"h_l!(&amp;R"</f>
        <v>#VALUE!</v>
      </c>
      <c r="DW156" t="e">
        <f>'Compiled Agents'!E1071+"h_l!(&amp;S"</f>
        <v>#VALUE!</v>
      </c>
      <c r="DX156" t="e">
        <f>'Compiled Agents'!F1071+"h_l!(&amp;T"</f>
        <v>#VALUE!</v>
      </c>
      <c r="DY156" t="e">
        <f>'Compiled Agents'!G1071+"h_l!(&amp;U"</f>
        <v>#VALUE!</v>
      </c>
      <c r="DZ156" t="e">
        <f>'Compiled Agents'!H1071+"h_l!(&amp;V"</f>
        <v>#VALUE!</v>
      </c>
      <c r="EA156" t="e">
        <f>'Compiled Agents'!A1072+"h_l!(&amp;W"</f>
        <v>#VALUE!</v>
      </c>
      <c r="EB156" t="e">
        <f>'Compiled Agents'!B1072+"h_l!(&amp;X"</f>
        <v>#VALUE!</v>
      </c>
      <c r="EC156" t="e">
        <f>'Compiled Agents'!C1072+"h_l!(&amp;Y"</f>
        <v>#VALUE!</v>
      </c>
      <c r="ED156" t="e">
        <f>'Compiled Agents'!E1072+"h_l!(&amp;Z"</f>
        <v>#VALUE!</v>
      </c>
      <c r="EE156" t="e">
        <f>'Compiled Agents'!F1072+"h_l!(&amp;["</f>
        <v>#VALUE!</v>
      </c>
      <c r="EF156" t="e">
        <f>'Compiled Agents'!G1072+"h_l!(&amp;\"</f>
        <v>#VALUE!</v>
      </c>
      <c r="EG156" t="e">
        <f>'Compiled Agents'!H1072+"h_l!(&amp;]"</f>
        <v>#VALUE!</v>
      </c>
      <c r="EH156" t="e">
        <f>'Compiled Agents'!A1073+"h_l!(&amp;^"</f>
        <v>#VALUE!</v>
      </c>
      <c r="EI156" t="e">
        <f>'Compiled Agents'!B1073+"h_l!(&amp;_"</f>
        <v>#VALUE!</v>
      </c>
      <c r="EJ156" t="e">
        <f>'Compiled Agents'!C1073+"h_l!(&amp;`"</f>
        <v>#VALUE!</v>
      </c>
      <c r="EK156" t="e">
        <f>'Compiled Agents'!E1073+"h_l!(&amp;a"</f>
        <v>#VALUE!</v>
      </c>
      <c r="EL156" t="e">
        <f>'Compiled Agents'!F1073+"h_l!(&amp;b"</f>
        <v>#VALUE!</v>
      </c>
      <c r="EM156" t="e">
        <f>'Compiled Agents'!G1073+"h_l!(&amp;c"</f>
        <v>#VALUE!</v>
      </c>
      <c r="EN156" t="e">
        <f>'Compiled Agents'!H1073+"h_l!(&amp;d"</f>
        <v>#VALUE!</v>
      </c>
      <c r="EO156" t="e">
        <f>'Compiled Agents'!A1074+"h_l!(&amp;e"</f>
        <v>#VALUE!</v>
      </c>
      <c r="EP156" t="e">
        <f>'Compiled Agents'!B1074+"h_l!(&amp;f"</f>
        <v>#VALUE!</v>
      </c>
      <c r="EQ156" t="e">
        <f>'Compiled Agents'!C1074+"h_l!(&amp;g"</f>
        <v>#VALUE!</v>
      </c>
      <c r="ER156" t="e">
        <f>'Compiled Agents'!E1074+"h_l!(&amp;h"</f>
        <v>#VALUE!</v>
      </c>
      <c r="ES156" t="e">
        <f>'Compiled Agents'!F1074+"h_l!(&amp;i"</f>
        <v>#VALUE!</v>
      </c>
      <c r="ET156" t="e">
        <f>'Compiled Agents'!G1074+"h_l!(&amp;j"</f>
        <v>#VALUE!</v>
      </c>
      <c r="EU156" t="e">
        <f>'Compiled Agents'!H1074+"h_l!(&amp;k"</f>
        <v>#VALUE!</v>
      </c>
      <c r="EV156" t="e">
        <f>'Compiled Agents'!A1075+"h_l!(&amp;l"</f>
        <v>#VALUE!</v>
      </c>
      <c r="EW156" t="e">
        <f>'Compiled Agents'!B1075+"h_l!(&amp;m"</f>
        <v>#VALUE!</v>
      </c>
      <c r="EX156" t="e">
        <f>'Compiled Agents'!C1075+"h_l!(&amp;n"</f>
        <v>#VALUE!</v>
      </c>
      <c r="EY156" t="e">
        <f>'Compiled Agents'!E1075+"h_l!(&amp;o"</f>
        <v>#VALUE!</v>
      </c>
      <c r="EZ156" t="e">
        <f>'Compiled Agents'!F1075+"h_l!(&amp;p"</f>
        <v>#VALUE!</v>
      </c>
      <c r="FA156" t="e">
        <f>'Compiled Agents'!G1075+"h_l!(&amp;q"</f>
        <v>#VALUE!</v>
      </c>
      <c r="FB156" t="e">
        <f>'Compiled Agents'!H1075+"h_l!(&amp;r"</f>
        <v>#VALUE!</v>
      </c>
      <c r="FC156" t="e">
        <f>'Compiled Agents'!A1076+"h_l!(&amp;s"</f>
        <v>#VALUE!</v>
      </c>
      <c r="FD156" t="e">
        <f>'Compiled Agents'!B1076+"h_l!(&amp;t"</f>
        <v>#VALUE!</v>
      </c>
      <c r="FE156" t="e">
        <f>'Compiled Agents'!C1076+"h_l!(&amp;u"</f>
        <v>#VALUE!</v>
      </c>
      <c r="FF156" t="e">
        <f>'Compiled Agents'!E1076+"h_l!(&amp;v"</f>
        <v>#VALUE!</v>
      </c>
      <c r="FG156" t="e">
        <f>'Compiled Agents'!F1076+"h_l!(&amp;w"</f>
        <v>#VALUE!</v>
      </c>
      <c r="FH156" t="e">
        <f>'Compiled Agents'!G1076+"h_l!(&amp;x"</f>
        <v>#VALUE!</v>
      </c>
      <c r="FI156" t="e">
        <f>'Compiled Agents'!H1076+"h_l!(&amp;y"</f>
        <v>#VALUE!</v>
      </c>
      <c r="FJ156" t="e">
        <f>'Compiled Agents'!A1077+"h_l!(&amp;z"</f>
        <v>#VALUE!</v>
      </c>
      <c r="FK156" t="e">
        <f>'Compiled Agents'!B1077+"h_l!(&amp;{"</f>
        <v>#VALUE!</v>
      </c>
      <c r="FL156" t="e">
        <f>'Compiled Agents'!C1077+"h_l!(&amp;|"</f>
        <v>#VALUE!</v>
      </c>
      <c r="FM156" t="e">
        <f>'Compiled Agents'!E1077+"h_l!(&amp;}"</f>
        <v>#VALUE!</v>
      </c>
      <c r="FN156" t="e">
        <f>'Compiled Agents'!F1077+"h_l!(&amp;~"</f>
        <v>#VALUE!</v>
      </c>
      <c r="FO156" t="e">
        <f>'Compiled Agents'!G1077+"h_l!('#"</f>
        <v>#VALUE!</v>
      </c>
      <c r="FP156" t="e">
        <f>'Compiled Agents'!H1077+"h_l!('$"</f>
        <v>#VALUE!</v>
      </c>
      <c r="FQ156" t="e">
        <f>'Compiled Agents'!A1078+"h_l!('%"</f>
        <v>#VALUE!</v>
      </c>
      <c r="FR156" t="e">
        <f>'Compiled Agents'!B1078+"h_l!('&amp;"</f>
        <v>#VALUE!</v>
      </c>
      <c r="FS156" t="e">
        <f>'Compiled Agents'!C1078+"h_l!(''"</f>
        <v>#VALUE!</v>
      </c>
      <c r="FT156" t="e">
        <f>'Compiled Agents'!E1078+"h_l!('("</f>
        <v>#VALUE!</v>
      </c>
      <c r="FU156" t="e">
        <f>'Compiled Agents'!F1078+"h_l!(')"</f>
        <v>#VALUE!</v>
      </c>
      <c r="FV156" t="e">
        <f>'Compiled Agents'!G1078+"h_l!('."</f>
        <v>#VALUE!</v>
      </c>
      <c r="FW156" t="e">
        <f>'Compiled Agents'!H1078+"h_l!('/"</f>
        <v>#VALUE!</v>
      </c>
      <c r="FX156" t="e">
        <f>'Compiled Agents'!A1079+"h_l!('0"</f>
        <v>#VALUE!</v>
      </c>
      <c r="FY156" t="e">
        <f>'Compiled Agents'!B1079+"h_l!('1"</f>
        <v>#VALUE!</v>
      </c>
      <c r="FZ156" t="e">
        <f>'Compiled Agents'!C1079+"h_l!('2"</f>
        <v>#VALUE!</v>
      </c>
      <c r="GA156" t="e">
        <f>'Compiled Agents'!E1079+"h_l!('3"</f>
        <v>#VALUE!</v>
      </c>
      <c r="GB156" t="e">
        <f>'Compiled Agents'!F1079+"h_l!('4"</f>
        <v>#VALUE!</v>
      </c>
      <c r="GC156" t="e">
        <f>'Compiled Agents'!G1079+"h_l!('5"</f>
        <v>#VALUE!</v>
      </c>
      <c r="GD156" t="e">
        <f>'Compiled Agents'!H1079+"h_l!('6"</f>
        <v>#VALUE!</v>
      </c>
      <c r="GE156" t="e">
        <f>'Compiled Agents'!A1080+"h_l!('7"</f>
        <v>#VALUE!</v>
      </c>
      <c r="GF156" t="e">
        <f>'Compiled Agents'!B1080+"h_l!('8"</f>
        <v>#VALUE!</v>
      </c>
      <c r="GG156" t="e">
        <f>'Compiled Agents'!C1080+"h_l!('9"</f>
        <v>#VALUE!</v>
      </c>
      <c r="GH156" t="e">
        <f>'Compiled Agents'!E1080+"h_l!(':"</f>
        <v>#VALUE!</v>
      </c>
      <c r="GI156" t="e">
        <f>'Compiled Agents'!F1080+"h_l!(';"</f>
        <v>#VALUE!</v>
      </c>
      <c r="GJ156" t="e">
        <f>'Compiled Agents'!G1080+"h_l!('&lt;"</f>
        <v>#VALUE!</v>
      </c>
      <c r="GK156" t="e">
        <f>'Compiled Agents'!H1080+"h_l!('="</f>
        <v>#VALUE!</v>
      </c>
      <c r="GL156" t="e">
        <f>'Compiled Agents'!A1081+"h_l!('&gt;"</f>
        <v>#VALUE!</v>
      </c>
      <c r="GM156" t="e">
        <f>'Compiled Agents'!B1081+"h_l!('?"</f>
        <v>#VALUE!</v>
      </c>
      <c r="GN156" t="e">
        <f>'Compiled Agents'!C1081+"h_l!('@"</f>
        <v>#VALUE!</v>
      </c>
      <c r="GO156" t="e">
        <f>'Compiled Agents'!E1081+"h_l!('A"</f>
        <v>#VALUE!</v>
      </c>
      <c r="GP156" t="e">
        <f>'Compiled Agents'!F1081+"h_l!('B"</f>
        <v>#VALUE!</v>
      </c>
      <c r="GQ156" t="e">
        <f>'Compiled Agents'!G1081+"h_l!('C"</f>
        <v>#VALUE!</v>
      </c>
      <c r="GR156" t="e">
        <f>'Compiled Agents'!H1081+"h_l!('D"</f>
        <v>#VALUE!</v>
      </c>
      <c r="GS156" t="e">
        <f>'Compiled Agents'!A1082+"h_l!('E"</f>
        <v>#VALUE!</v>
      </c>
      <c r="GT156" t="e">
        <f>'Compiled Agents'!B1082+"h_l!('F"</f>
        <v>#VALUE!</v>
      </c>
      <c r="GU156" t="e">
        <f>'Compiled Agents'!C1082+"h_l!('G"</f>
        <v>#VALUE!</v>
      </c>
      <c r="GV156" t="e">
        <f>'Compiled Agents'!E1082+"h_l!('H"</f>
        <v>#VALUE!</v>
      </c>
      <c r="GW156" t="e">
        <f>'Compiled Agents'!F1082+"h_l!('I"</f>
        <v>#VALUE!</v>
      </c>
      <c r="GX156" t="e">
        <f>'Compiled Agents'!G1082+"h_l!('J"</f>
        <v>#VALUE!</v>
      </c>
      <c r="GY156" t="e">
        <f>'Compiled Agents'!H1082+"h_l!('K"</f>
        <v>#VALUE!</v>
      </c>
      <c r="GZ156" t="e">
        <f>'Compiled Agents'!A1083+"h_l!('L"</f>
        <v>#VALUE!</v>
      </c>
      <c r="HA156" t="e">
        <f>'Compiled Agents'!B1083+"h_l!('M"</f>
        <v>#VALUE!</v>
      </c>
      <c r="HB156" t="e">
        <f>'Compiled Agents'!C1083+"h_l!('N"</f>
        <v>#VALUE!</v>
      </c>
      <c r="HC156" t="e">
        <f>'Compiled Agents'!E1083+"h_l!('O"</f>
        <v>#VALUE!</v>
      </c>
      <c r="HD156" t="e">
        <f>'Compiled Agents'!F1083+"h_l!('P"</f>
        <v>#VALUE!</v>
      </c>
      <c r="HE156" t="e">
        <f>'Compiled Agents'!G1083+"h_l!('Q"</f>
        <v>#VALUE!</v>
      </c>
      <c r="HF156" t="e">
        <f>'Compiled Agents'!H1083+"h_l!('R"</f>
        <v>#VALUE!</v>
      </c>
      <c r="HG156" t="e">
        <f>'Compiled Agents'!A1084+"h_l!('S"</f>
        <v>#VALUE!</v>
      </c>
      <c r="HH156" t="e">
        <f>'Compiled Agents'!B1084+"h_l!('T"</f>
        <v>#VALUE!</v>
      </c>
      <c r="HI156" t="e">
        <f>'Compiled Agents'!C1084+"h_l!('U"</f>
        <v>#VALUE!</v>
      </c>
      <c r="HJ156" t="e">
        <f>'Compiled Agents'!E1084+"h_l!('V"</f>
        <v>#VALUE!</v>
      </c>
      <c r="HK156" t="e">
        <f>'Compiled Agents'!F1084+"h_l!('W"</f>
        <v>#VALUE!</v>
      </c>
      <c r="HL156" t="e">
        <f>'Compiled Agents'!G1084+"h_l!('X"</f>
        <v>#VALUE!</v>
      </c>
      <c r="HM156" t="e">
        <f>'Compiled Agents'!H1084+"h_l!('Y"</f>
        <v>#VALUE!</v>
      </c>
      <c r="HN156" t="e">
        <f>'Compiled Agents'!A1085+"h_l!('Z"</f>
        <v>#VALUE!</v>
      </c>
      <c r="HO156" t="e">
        <f>'Compiled Agents'!B1085+"h_l!('["</f>
        <v>#VALUE!</v>
      </c>
      <c r="HP156" t="e">
        <f>'Compiled Agents'!C1085+"h_l!('\"</f>
        <v>#VALUE!</v>
      </c>
      <c r="HQ156" t="e">
        <f>'Compiled Agents'!E1085+"h_l!(']"</f>
        <v>#VALUE!</v>
      </c>
      <c r="HR156" t="e">
        <f>'Compiled Agents'!F1085+"h_l!('^"</f>
        <v>#VALUE!</v>
      </c>
      <c r="HS156" t="e">
        <f>'Compiled Agents'!G1085+"h_l!('_"</f>
        <v>#VALUE!</v>
      </c>
      <c r="HT156" t="e">
        <f>'Compiled Agents'!H1085+"h_l!('`"</f>
        <v>#VALUE!</v>
      </c>
      <c r="HU156" t="e">
        <f>'Compiled Agents'!A1086+"h_l!('a"</f>
        <v>#VALUE!</v>
      </c>
      <c r="HV156" t="e">
        <f>'Compiled Agents'!B1086+"h_l!('b"</f>
        <v>#VALUE!</v>
      </c>
      <c r="HW156" t="e">
        <f>'Compiled Agents'!C1086+"h_l!('c"</f>
        <v>#VALUE!</v>
      </c>
      <c r="HX156" t="e">
        <f>'Compiled Agents'!E1086+"h_l!('d"</f>
        <v>#VALUE!</v>
      </c>
      <c r="HY156" t="e">
        <f>'Compiled Agents'!F1086+"h_l!('e"</f>
        <v>#VALUE!</v>
      </c>
      <c r="HZ156" t="e">
        <f>'Compiled Agents'!G1086+"h_l!('f"</f>
        <v>#VALUE!</v>
      </c>
      <c r="IA156" t="e">
        <f>'Compiled Agents'!H1086+"h_l!('g"</f>
        <v>#VALUE!</v>
      </c>
      <c r="IB156" t="e">
        <f>'Compiled Agents'!A1087+"h_l!('h"</f>
        <v>#VALUE!</v>
      </c>
      <c r="IC156" t="e">
        <f>'Compiled Agents'!B1087+"h_l!('i"</f>
        <v>#VALUE!</v>
      </c>
      <c r="ID156" t="e">
        <f>'Compiled Agents'!C1087+"h_l!('j"</f>
        <v>#VALUE!</v>
      </c>
      <c r="IE156" t="e">
        <f>'Compiled Agents'!E1087+"h_l!('k"</f>
        <v>#VALUE!</v>
      </c>
      <c r="IF156" t="e">
        <f>'Compiled Agents'!F1087+"h_l!('l"</f>
        <v>#VALUE!</v>
      </c>
      <c r="IG156" t="e">
        <f>'Compiled Agents'!G1087+"h_l!('m"</f>
        <v>#VALUE!</v>
      </c>
      <c r="IH156" t="e">
        <f>'Compiled Agents'!H1087+"h_l!('n"</f>
        <v>#VALUE!</v>
      </c>
      <c r="II156" t="e">
        <f>'Compiled Agents'!A1088+"h_l!('o"</f>
        <v>#VALUE!</v>
      </c>
      <c r="IJ156" t="e">
        <f>'Compiled Agents'!B1088+"h_l!('p"</f>
        <v>#VALUE!</v>
      </c>
      <c r="IK156" t="e">
        <f>'Compiled Agents'!C1088+"h_l!('q"</f>
        <v>#VALUE!</v>
      </c>
      <c r="IL156" t="e">
        <f>'Compiled Agents'!E1088+"h_l!('r"</f>
        <v>#VALUE!</v>
      </c>
      <c r="IM156" t="e">
        <f>'Compiled Agents'!F1088+"h_l!('s"</f>
        <v>#VALUE!</v>
      </c>
      <c r="IN156" t="e">
        <f>'Compiled Agents'!G1088+"h_l!('t"</f>
        <v>#VALUE!</v>
      </c>
      <c r="IO156" t="e">
        <f>'Compiled Agents'!H1088+"h_l!('u"</f>
        <v>#VALUE!</v>
      </c>
      <c r="IP156" t="e">
        <f>'Compiled Agents'!A1089+"h_l!('v"</f>
        <v>#VALUE!</v>
      </c>
      <c r="IQ156" t="e">
        <f>'Compiled Agents'!B1089+"h_l!('w"</f>
        <v>#VALUE!</v>
      </c>
      <c r="IR156" t="e">
        <f>'Compiled Agents'!C1089+"h_l!('x"</f>
        <v>#VALUE!</v>
      </c>
      <c r="IS156" t="e">
        <f>'Compiled Agents'!E1089+"h_l!('y"</f>
        <v>#VALUE!</v>
      </c>
      <c r="IT156" t="e">
        <f>'Compiled Agents'!F1089+"h_l!('z"</f>
        <v>#VALUE!</v>
      </c>
      <c r="IU156" t="e">
        <f>'Compiled Agents'!G1089+"h_l!('{"</f>
        <v>#VALUE!</v>
      </c>
      <c r="IV156" t="e">
        <f>'Compiled Agents'!H1089+"h_l!('|"</f>
        <v>#VALUE!</v>
      </c>
    </row>
    <row r="157" spans="6:256" x14ac:dyDescent="0.25">
      <c r="F157" t="e">
        <f>'Compiled Agents'!A1090+"h_l!('}"</f>
        <v>#VALUE!</v>
      </c>
      <c r="G157" t="e">
        <f>'Compiled Agents'!B1090+"h_l!('~"</f>
        <v>#VALUE!</v>
      </c>
      <c r="H157" t="e">
        <f>'Compiled Agents'!C1090+"h_l!((#"</f>
        <v>#VALUE!</v>
      </c>
      <c r="I157" t="e">
        <f>'Compiled Agents'!E1090+"h_l!(($"</f>
        <v>#VALUE!</v>
      </c>
      <c r="J157" t="e">
        <f>'Compiled Agents'!F1090+"h_l!((%"</f>
        <v>#VALUE!</v>
      </c>
      <c r="K157" t="e">
        <f>'Compiled Agents'!G1090+"h_l!((&amp;"</f>
        <v>#VALUE!</v>
      </c>
      <c r="L157" t="e">
        <f>'Compiled Agents'!H1090+"h_l!(('"</f>
        <v>#VALUE!</v>
      </c>
      <c r="M157" t="e">
        <f>'Compiled Agents'!A1091+"h_l!((("</f>
        <v>#VALUE!</v>
      </c>
      <c r="N157" t="e">
        <f>'Compiled Agents'!B1091+"h_l!(()"</f>
        <v>#VALUE!</v>
      </c>
      <c r="O157" t="e">
        <f>'Compiled Agents'!C1091+"h_l!((."</f>
        <v>#VALUE!</v>
      </c>
      <c r="P157" t="e">
        <f>'Compiled Agents'!E1091+"h_l!((/"</f>
        <v>#VALUE!</v>
      </c>
      <c r="Q157" t="e">
        <f>'Compiled Agents'!F1091+"h_l!((0"</f>
        <v>#VALUE!</v>
      </c>
      <c r="R157" t="e">
        <f>'Compiled Agents'!G1091+"h_l!((1"</f>
        <v>#VALUE!</v>
      </c>
      <c r="S157" t="e">
        <f>'Compiled Agents'!H1091+"h_l!((2"</f>
        <v>#VALUE!</v>
      </c>
      <c r="T157" t="e">
        <f>'Compiled Agents'!A1092+"h_l!((3"</f>
        <v>#VALUE!</v>
      </c>
      <c r="U157" t="e">
        <f>'Compiled Agents'!B1092+"h_l!((4"</f>
        <v>#VALUE!</v>
      </c>
      <c r="V157" t="e">
        <f>'Compiled Agents'!C1092+"h_l!((5"</f>
        <v>#VALUE!</v>
      </c>
      <c r="W157" t="e">
        <f>'Compiled Agents'!E1092+"h_l!((6"</f>
        <v>#VALUE!</v>
      </c>
      <c r="X157" t="e">
        <f>'Compiled Agents'!F1092+"h_l!((7"</f>
        <v>#VALUE!</v>
      </c>
      <c r="Y157" t="e">
        <f>'Compiled Agents'!G1092+"h_l!((8"</f>
        <v>#VALUE!</v>
      </c>
      <c r="Z157" t="e">
        <f>'Compiled Agents'!H1092+"h_l!((9"</f>
        <v>#VALUE!</v>
      </c>
      <c r="AA157" t="e">
        <f>'Compiled Agents'!A1093+"h_l!((:"</f>
        <v>#VALUE!</v>
      </c>
      <c r="AB157" t="e">
        <f>'Compiled Agents'!B1093+"h_l!((;"</f>
        <v>#VALUE!</v>
      </c>
      <c r="AC157" t="e">
        <f>'Compiled Agents'!C1093+"h_l!((&lt;"</f>
        <v>#VALUE!</v>
      </c>
      <c r="AD157" t="e">
        <f>'Compiled Agents'!E1093+"h_l!((="</f>
        <v>#VALUE!</v>
      </c>
      <c r="AE157" t="e">
        <f>'Compiled Agents'!F1093+"h_l!((&gt;"</f>
        <v>#VALUE!</v>
      </c>
      <c r="AF157" t="e">
        <f>'Compiled Agents'!G1093+"h_l!((?"</f>
        <v>#VALUE!</v>
      </c>
      <c r="AG157" t="e">
        <f>'Compiled Agents'!H1093+"h_l!((@"</f>
        <v>#VALUE!</v>
      </c>
      <c r="AH157" t="e">
        <f>'Compiled Agents'!A1094+"h_l!((A"</f>
        <v>#VALUE!</v>
      </c>
      <c r="AI157" t="e">
        <f>'Compiled Agents'!B1094+"h_l!((B"</f>
        <v>#VALUE!</v>
      </c>
      <c r="AJ157" t="e">
        <f>'Compiled Agents'!C1094+"h_l!((C"</f>
        <v>#VALUE!</v>
      </c>
      <c r="AK157" t="e">
        <f>'Compiled Agents'!E1094+"h_l!((D"</f>
        <v>#VALUE!</v>
      </c>
      <c r="AL157" t="e">
        <f>'Compiled Agents'!F1094+"h_l!((E"</f>
        <v>#VALUE!</v>
      </c>
      <c r="AM157" t="e">
        <f>'Compiled Agents'!G1094+"h_l!((F"</f>
        <v>#VALUE!</v>
      </c>
      <c r="AN157" t="e">
        <f>'Compiled Agents'!H1094+"h_l!((G"</f>
        <v>#VALUE!</v>
      </c>
      <c r="AO157" t="e">
        <f>'Compiled Agents'!A1095+"h_l!((H"</f>
        <v>#VALUE!</v>
      </c>
      <c r="AP157" t="e">
        <f>'Compiled Agents'!B1095+"h_l!((I"</f>
        <v>#VALUE!</v>
      </c>
      <c r="AQ157" t="e">
        <f>'Compiled Agents'!C1095+"h_l!((J"</f>
        <v>#VALUE!</v>
      </c>
      <c r="AR157" t="e">
        <f>'Compiled Agents'!E1095+"h_l!((K"</f>
        <v>#VALUE!</v>
      </c>
      <c r="AS157" t="e">
        <f>'Compiled Agents'!F1095+"h_l!((L"</f>
        <v>#VALUE!</v>
      </c>
      <c r="AT157" t="e">
        <f>'Compiled Agents'!G1095+"h_l!((M"</f>
        <v>#VALUE!</v>
      </c>
      <c r="AU157" t="e">
        <f>'Compiled Agents'!H1095+"h_l!((N"</f>
        <v>#VALUE!</v>
      </c>
      <c r="AV157" t="e">
        <f>'Compiled Agents'!A1096+"h_l!((O"</f>
        <v>#VALUE!</v>
      </c>
      <c r="AW157" t="e">
        <f>'Compiled Agents'!B1096+"h_l!((P"</f>
        <v>#VALUE!</v>
      </c>
      <c r="AX157" t="e">
        <f>'Compiled Agents'!C1096+"h_l!((Q"</f>
        <v>#VALUE!</v>
      </c>
      <c r="AY157" t="e">
        <f>'Compiled Agents'!E1096+"h_l!((R"</f>
        <v>#VALUE!</v>
      </c>
      <c r="AZ157" t="e">
        <f>'Compiled Agents'!F1096+"h_l!((S"</f>
        <v>#VALUE!</v>
      </c>
      <c r="BA157" t="e">
        <f>'Compiled Agents'!G1096+"h_l!((T"</f>
        <v>#VALUE!</v>
      </c>
      <c r="BB157" t="e">
        <f>'Compiled Agents'!H1096+"h_l!((U"</f>
        <v>#VALUE!</v>
      </c>
      <c r="BC157" t="e">
        <f>'Compiled Agents'!A1097+"h_l!((V"</f>
        <v>#VALUE!</v>
      </c>
      <c r="BD157" t="e">
        <f>'Compiled Agents'!B1097+"h_l!((W"</f>
        <v>#VALUE!</v>
      </c>
      <c r="BE157" t="e">
        <f>'Compiled Agents'!C1097+"h_l!((X"</f>
        <v>#VALUE!</v>
      </c>
      <c r="BF157" t="e">
        <f>'Compiled Agents'!E1097+"h_l!((Y"</f>
        <v>#VALUE!</v>
      </c>
      <c r="BG157" t="e">
        <f>'Compiled Agents'!F1097+"h_l!((Z"</f>
        <v>#VALUE!</v>
      </c>
      <c r="BH157" t="e">
        <f>'Compiled Agents'!G1097+"h_l!((["</f>
        <v>#VALUE!</v>
      </c>
      <c r="BI157" t="e">
        <f>'Compiled Agents'!H1097+"h_l!((\"</f>
        <v>#VALUE!</v>
      </c>
      <c r="BJ157" t="e">
        <f>'Compiled Agents'!A1098+"h_l!((]"</f>
        <v>#VALUE!</v>
      </c>
      <c r="BK157" t="e">
        <f>'Compiled Agents'!B1098+"h_l!((^"</f>
        <v>#VALUE!</v>
      </c>
      <c r="BL157" t="e">
        <f>'Compiled Agents'!C1098+"h_l!((_"</f>
        <v>#VALUE!</v>
      </c>
      <c r="BM157" t="e">
        <f>'Compiled Agents'!E1098+"h_l!((`"</f>
        <v>#VALUE!</v>
      </c>
      <c r="BN157" t="e">
        <f>'Compiled Agents'!F1098+"h_l!((a"</f>
        <v>#VALUE!</v>
      </c>
      <c r="BO157" t="e">
        <f>'Compiled Agents'!G1098+"h_l!((b"</f>
        <v>#VALUE!</v>
      </c>
      <c r="BP157" t="e">
        <f>'Compiled Agents'!H1098+"h_l!((c"</f>
        <v>#VALUE!</v>
      </c>
      <c r="BQ157" t="e">
        <f>'Compiled Agents'!A1099+"h_l!((d"</f>
        <v>#VALUE!</v>
      </c>
      <c r="BR157" t="e">
        <f>'Compiled Agents'!B1099+"h_l!((e"</f>
        <v>#VALUE!</v>
      </c>
      <c r="BS157" t="e">
        <f>'Compiled Agents'!C1099+"h_l!((f"</f>
        <v>#VALUE!</v>
      </c>
      <c r="BT157" t="e">
        <f>'Compiled Agents'!E1099+"h_l!((g"</f>
        <v>#VALUE!</v>
      </c>
      <c r="BU157" t="e">
        <f>'Compiled Agents'!F1099+"h_l!((h"</f>
        <v>#VALUE!</v>
      </c>
      <c r="BV157" t="e">
        <f>'Compiled Agents'!G1099+"h_l!((i"</f>
        <v>#VALUE!</v>
      </c>
      <c r="BW157" t="e">
        <f>'Compiled Agents'!H1099+"h_l!((j"</f>
        <v>#VALUE!</v>
      </c>
      <c r="BX157" t="e">
        <f>'Compiled Agents'!A1100+"h_l!((k"</f>
        <v>#VALUE!</v>
      </c>
      <c r="BY157" t="e">
        <f>'Compiled Agents'!B1100+"h_l!((l"</f>
        <v>#VALUE!</v>
      </c>
      <c r="BZ157" t="e">
        <f>'Compiled Agents'!C1100+"h_l!((m"</f>
        <v>#VALUE!</v>
      </c>
      <c r="CA157" t="e">
        <f>'Compiled Agents'!E1100+"h_l!((n"</f>
        <v>#VALUE!</v>
      </c>
      <c r="CB157" t="e">
        <f>'Compiled Agents'!F1100+"h_l!((o"</f>
        <v>#VALUE!</v>
      </c>
      <c r="CC157" t="e">
        <f>'Compiled Agents'!G1100+"h_l!((p"</f>
        <v>#VALUE!</v>
      </c>
      <c r="CD157" t="e">
        <f>'Compiled Agents'!H1100+"h_l!((q"</f>
        <v>#VALUE!</v>
      </c>
      <c r="CE157" t="e">
        <f>'Compiled Agents'!A1101+"h_l!((r"</f>
        <v>#VALUE!</v>
      </c>
      <c r="CF157" t="e">
        <f>'Compiled Agents'!B1101+"h_l!((s"</f>
        <v>#VALUE!</v>
      </c>
      <c r="CG157" t="e">
        <f>'Compiled Agents'!C1101+"h_l!((t"</f>
        <v>#VALUE!</v>
      </c>
      <c r="CH157" t="e">
        <f>'Compiled Agents'!E1101+"h_l!((u"</f>
        <v>#VALUE!</v>
      </c>
      <c r="CI157" t="e">
        <f>'Compiled Agents'!F1101+"h_l!((v"</f>
        <v>#VALUE!</v>
      </c>
      <c r="CJ157" t="e">
        <f>'Compiled Agents'!G1101+"h_l!((w"</f>
        <v>#VALUE!</v>
      </c>
      <c r="CK157" t="e">
        <f>'Compiled Agents'!H1101+"h_l!((x"</f>
        <v>#VALUE!</v>
      </c>
      <c r="CL157" t="e">
        <f>'Compiled Agents'!A1102+"h_l!((y"</f>
        <v>#VALUE!</v>
      </c>
      <c r="CM157" t="e">
        <f>'Compiled Agents'!B1102+"h_l!((z"</f>
        <v>#VALUE!</v>
      </c>
      <c r="CN157" t="e">
        <f>'Compiled Agents'!C1102+"h_l!(({"</f>
        <v>#VALUE!</v>
      </c>
      <c r="CO157" t="e">
        <f>'Compiled Agents'!E1102+"h_l!((|"</f>
        <v>#VALUE!</v>
      </c>
      <c r="CP157" t="e">
        <f>'Compiled Agents'!F1102+"h_l!((}"</f>
        <v>#VALUE!</v>
      </c>
      <c r="CQ157" t="e">
        <f>'Compiled Agents'!G1102+"h_l!((~"</f>
        <v>#VALUE!</v>
      </c>
      <c r="CR157" t="e">
        <f>'Compiled Agents'!H1102+"h_l!()#"</f>
        <v>#VALUE!</v>
      </c>
      <c r="CS157" t="e">
        <f>'Compiled Agents'!A1103+"h_l!()$"</f>
        <v>#VALUE!</v>
      </c>
      <c r="CT157" t="e">
        <f>'Compiled Agents'!B1103+"h_l!()%"</f>
        <v>#VALUE!</v>
      </c>
      <c r="CU157" t="e">
        <f>'Compiled Agents'!C1103+"h_l!()&amp;"</f>
        <v>#VALUE!</v>
      </c>
      <c r="CV157" t="e">
        <f>'Compiled Agents'!E1103+"h_l!()'"</f>
        <v>#VALUE!</v>
      </c>
      <c r="CW157" t="e">
        <f>'Compiled Agents'!F1103+"h_l!()("</f>
        <v>#VALUE!</v>
      </c>
      <c r="CX157" t="e">
        <f>'Compiled Agents'!G1103+"h_l!())"</f>
        <v>#VALUE!</v>
      </c>
      <c r="CY157" t="e">
        <f>'Compiled Agents'!H1103+"h_l!()."</f>
        <v>#VALUE!</v>
      </c>
      <c r="CZ157" t="e">
        <f>'Compiled Agents'!A1104+"h_l!()/"</f>
        <v>#VALUE!</v>
      </c>
      <c r="DA157" t="e">
        <f>'Compiled Agents'!B1104+"h_l!()0"</f>
        <v>#VALUE!</v>
      </c>
      <c r="DB157" t="e">
        <f>'Compiled Agents'!C1104+"h_l!()1"</f>
        <v>#VALUE!</v>
      </c>
      <c r="DC157" t="e">
        <f>'Compiled Agents'!E1104+"h_l!()2"</f>
        <v>#VALUE!</v>
      </c>
      <c r="DD157" t="e">
        <f>'Compiled Agents'!F1104+"h_l!()3"</f>
        <v>#VALUE!</v>
      </c>
      <c r="DE157" t="e">
        <f>'Compiled Agents'!G1104+"h_l!()4"</f>
        <v>#VALUE!</v>
      </c>
      <c r="DF157" t="e">
        <f>'Compiled Agents'!H1104+"h_l!()5"</f>
        <v>#VALUE!</v>
      </c>
      <c r="DG157" t="e">
        <f>'Compiled Agents'!A1105+"h_l!()6"</f>
        <v>#VALUE!</v>
      </c>
      <c r="DH157" t="e">
        <f>'Compiled Agents'!B1105+"h_l!()7"</f>
        <v>#VALUE!</v>
      </c>
      <c r="DI157" t="e">
        <f>'Compiled Agents'!C1105+"h_l!()8"</f>
        <v>#VALUE!</v>
      </c>
      <c r="DJ157" t="e">
        <f>'Compiled Agents'!E1105+"h_l!()9"</f>
        <v>#VALUE!</v>
      </c>
      <c r="DK157" t="e">
        <f>'Compiled Agents'!F1105+"h_l!():"</f>
        <v>#VALUE!</v>
      </c>
      <c r="DL157" t="e">
        <f>'Compiled Agents'!G1105+"h_l!();"</f>
        <v>#VALUE!</v>
      </c>
      <c r="DM157" t="e">
        <f>'Compiled Agents'!H1105+"h_l!()&lt;"</f>
        <v>#VALUE!</v>
      </c>
      <c r="DN157" t="e">
        <f>'Compiled Agents'!A1106+"h_l!()="</f>
        <v>#VALUE!</v>
      </c>
      <c r="DO157" t="e">
        <f>'Compiled Agents'!B1106+"h_l!()&gt;"</f>
        <v>#VALUE!</v>
      </c>
      <c r="DP157" t="e">
        <f>'Compiled Agents'!C1106+"h_l!()?"</f>
        <v>#VALUE!</v>
      </c>
      <c r="DQ157" t="e">
        <f>'Compiled Agents'!E1106+"h_l!()@"</f>
        <v>#VALUE!</v>
      </c>
      <c r="DR157" t="e">
        <f>'Compiled Agents'!F1106+"h_l!()A"</f>
        <v>#VALUE!</v>
      </c>
      <c r="DS157" t="e">
        <f>'Compiled Agents'!G1106+"h_l!()B"</f>
        <v>#VALUE!</v>
      </c>
      <c r="DT157" t="e">
        <f>'Compiled Agents'!H1106+"h_l!()C"</f>
        <v>#VALUE!</v>
      </c>
      <c r="DU157" t="e">
        <f>'Compiled Agents'!A1107+"h_l!()D"</f>
        <v>#VALUE!</v>
      </c>
      <c r="DV157" t="e">
        <f>'Compiled Agents'!B1107+"h_l!()E"</f>
        <v>#VALUE!</v>
      </c>
      <c r="DW157" t="e">
        <f>'Compiled Agents'!C1107+"h_l!()F"</f>
        <v>#VALUE!</v>
      </c>
      <c r="DX157" t="e">
        <f>'Compiled Agents'!E1107+"h_l!()G"</f>
        <v>#VALUE!</v>
      </c>
      <c r="DY157" t="e">
        <f>'Compiled Agents'!F1107+"h_l!()H"</f>
        <v>#VALUE!</v>
      </c>
      <c r="DZ157" t="e">
        <f>'Compiled Agents'!G1107+"h_l!()I"</f>
        <v>#VALUE!</v>
      </c>
      <c r="EA157" t="e">
        <f>'Compiled Agents'!H1107+"h_l!()J"</f>
        <v>#VALUE!</v>
      </c>
      <c r="EB157" t="e">
        <f>'Compiled Agents'!A1108+"h_l!()K"</f>
        <v>#VALUE!</v>
      </c>
      <c r="EC157" t="e">
        <f>'Compiled Agents'!B1108+"h_l!()L"</f>
        <v>#VALUE!</v>
      </c>
      <c r="ED157" t="e">
        <f>'Compiled Agents'!C1108+"h_l!()M"</f>
        <v>#VALUE!</v>
      </c>
      <c r="EE157" t="e">
        <f>'Compiled Agents'!E1108+"h_l!()N"</f>
        <v>#VALUE!</v>
      </c>
      <c r="EF157" t="e">
        <f>'Compiled Agents'!F1108+"h_l!()O"</f>
        <v>#VALUE!</v>
      </c>
      <c r="EG157" t="e">
        <f>'Compiled Agents'!G1108+"h_l!()P"</f>
        <v>#VALUE!</v>
      </c>
      <c r="EH157" t="e">
        <f>'Compiled Agents'!H1108+"h_l!()Q"</f>
        <v>#VALUE!</v>
      </c>
      <c r="EI157" t="e">
        <f>'Compiled Agents'!A1109+"h_l!()R"</f>
        <v>#VALUE!</v>
      </c>
      <c r="EJ157" t="e">
        <f>'Compiled Agents'!B1109+"h_l!()S"</f>
        <v>#VALUE!</v>
      </c>
      <c r="EK157" t="e">
        <f>'Compiled Agents'!C1109+"h_l!()T"</f>
        <v>#VALUE!</v>
      </c>
      <c r="EL157" t="e">
        <f>'Compiled Agents'!E1109+"h_l!()U"</f>
        <v>#VALUE!</v>
      </c>
      <c r="EM157" t="e">
        <f>'Compiled Agents'!F1109+"h_l!()V"</f>
        <v>#VALUE!</v>
      </c>
      <c r="EN157" t="e">
        <f>'Compiled Agents'!G1109+"h_l!()W"</f>
        <v>#VALUE!</v>
      </c>
      <c r="EO157" t="e">
        <f>'Compiled Agents'!H1109+"h_l!()X"</f>
        <v>#VALUE!</v>
      </c>
      <c r="EP157" t="e">
        <f>'Compiled Agents'!A1110+"h_l!()Y"</f>
        <v>#VALUE!</v>
      </c>
      <c r="EQ157" t="e">
        <f>'Compiled Agents'!B1110+"h_l!()Z"</f>
        <v>#VALUE!</v>
      </c>
      <c r="ER157" t="e">
        <f>'Compiled Agents'!C1110+"h_l!()["</f>
        <v>#VALUE!</v>
      </c>
      <c r="ES157" t="e">
        <f>'Compiled Agents'!E1110+"h_l!()\"</f>
        <v>#VALUE!</v>
      </c>
      <c r="ET157" t="e">
        <f>'Compiled Agents'!F1110+"h_l!()]"</f>
        <v>#VALUE!</v>
      </c>
      <c r="EU157" t="e">
        <f>'Compiled Agents'!G1110+"h_l!()^"</f>
        <v>#VALUE!</v>
      </c>
      <c r="EV157" t="e">
        <f>'Compiled Agents'!H1110+"h_l!()_"</f>
        <v>#VALUE!</v>
      </c>
      <c r="EW157" t="e">
        <f>'Compiled Agents'!A1111+"h_l!()`"</f>
        <v>#VALUE!</v>
      </c>
      <c r="EX157" t="e">
        <f>'Compiled Agents'!B1111+"h_l!()a"</f>
        <v>#VALUE!</v>
      </c>
      <c r="EY157" t="e">
        <f>'Compiled Agents'!C1111+"h_l!()b"</f>
        <v>#VALUE!</v>
      </c>
      <c r="EZ157" t="e">
        <f>'Compiled Agents'!E1111+"h_l!()c"</f>
        <v>#VALUE!</v>
      </c>
      <c r="FA157" t="e">
        <f>'Compiled Agents'!F1111+"h_l!()d"</f>
        <v>#VALUE!</v>
      </c>
      <c r="FB157" t="e">
        <f>'Compiled Agents'!G1111+"h_l!()e"</f>
        <v>#VALUE!</v>
      </c>
      <c r="FC157" t="e">
        <f>'Compiled Agents'!H1111+"h_l!()f"</f>
        <v>#VALUE!</v>
      </c>
      <c r="FD157" t="e">
        <f>'Compiled Agents'!A1112+"h_l!()g"</f>
        <v>#VALUE!</v>
      </c>
      <c r="FE157" t="e">
        <f>'Compiled Agents'!B1112+"h_l!()h"</f>
        <v>#VALUE!</v>
      </c>
      <c r="FF157" t="e">
        <f>'Compiled Agents'!C1112+"h_l!()i"</f>
        <v>#VALUE!</v>
      </c>
      <c r="FG157" t="e">
        <f>'Compiled Agents'!E1112+"h_l!()j"</f>
        <v>#VALUE!</v>
      </c>
      <c r="FH157" t="e">
        <f>'Compiled Agents'!F1112+"h_l!()k"</f>
        <v>#VALUE!</v>
      </c>
      <c r="FI157" t="e">
        <f>'Compiled Agents'!G1112+"h_l!()l"</f>
        <v>#VALUE!</v>
      </c>
      <c r="FJ157" t="e">
        <f>'Compiled Agents'!H1112+"h_l!()m"</f>
        <v>#VALUE!</v>
      </c>
      <c r="FK157" t="e">
        <f>'Compiled Agents'!A1113+"h_l!()n"</f>
        <v>#VALUE!</v>
      </c>
      <c r="FL157" t="e">
        <f>'Compiled Agents'!B1113+"h_l!()o"</f>
        <v>#VALUE!</v>
      </c>
      <c r="FM157" t="e">
        <f>'Compiled Agents'!C1113+"h_l!()p"</f>
        <v>#VALUE!</v>
      </c>
      <c r="FN157" t="e">
        <f>'Compiled Agents'!E1113+"h_l!()q"</f>
        <v>#VALUE!</v>
      </c>
      <c r="FO157" t="e">
        <f>'Compiled Agents'!F1113+"h_l!()r"</f>
        <v>#VALUE!</v>
      </c>
      <c r="FP157" t="e">
        <f>'Compiled Agents'!G1113+"h_l!()s"</f>
        <v>#VALUE!</v>
      </c>
      <c r="FQ157" t="e">
        <f>'Compiled Agents'!H1113+"h_l!()t"</f>
        <v>#VALUE!</v>
      </c>
      <c r="FR157" t="e">
        <f>'Compiled Agents'!A1114+"h_l!()u"</f>
        <v>#VALUE!</v>
      </c>
      <c r="FS157" t="e">
        <f>'Compiled Agents'!B1114+"h_l!()v"</f>
        <v>#VALUE!</v>
      </c>
      <c r="FT157" t="e">
        <f>'Compiled Agents'!C1114+"h_l!()w"</f>
        <v>#VALUE!</v>
      </c>
      <c r="FU157" t="e">
        <f>'Compiled Agents'!E1114+"h_l!()x"</f>
        <v>#VALUE!</v>
      </c>
      <c r="FV157" t="e">
        <f>'Compiled Agents'!F1114+"h_l!()y"</f>
        <v>#VALUE!</v>
      </c>
      <c r="FW157" t="e">
        <f>'Compiled Agents'!G1114+"h_l!()z"</f>
        <v>#VALUE!</v>
      </c>
      <c r="FX157" t="e">
        <f>'Compiled Agents'!H1114+"h_l!(){"</f>
        <v>#VALUE!</v>
      </c>
      <c r="FY157" t="e">
        <f>'Compiled Agents'!A1115+"h_l!()|"</f>
        <v>#VALUE!</v>
      </c>
      <c r="FZ157" t="e">
        <f>'Compiled Agents'!B1115+"h_l!()}"</f>
        <v>#VALUE!</v>
      </c>
      <c r="GA157" t="e">
        <f>'Compiled Agents'!C1115+"h_l!()~"</f>
        <v>#VALUE!</v>
      </c>
      <c r="GB157" t="e">
        <f>'Compiled Agents'!E1115+"h_l!(.#"</f>
        <v>#VALUE!</v>
      </c>
      <c r="GC157" t="e">
        <f>'Compiled Agents'!F1115+"h_l!(.$"</f>
        <v>#VALUE!</v>
      </c>
      <c r="GD157" t="e">
        <f>'Compiled Agents'!G1115+"h_l!(.%"</f>
        <v>#VALUE!</v>
      </c>
      <c r="GE157" t="e">
        <f>'Compiled Agents'!H1115+"h_l!(.&amp;"</f>
        <v>#VALUE!</v>
      </c>
      <c r="GF157" t="e">
        <f>'Compiled Agents'!A1116+"h_l!(.'"</f>
        <v>#VALUE!</v>
      </c>
      <c r="GG157" t="e">
        <f>'Compiled Agents'!B1116+"h_l!(.("</f>
        <v>#VALUE!</v>
      </c>
      <c r="GH157" t="e">
        <f>'Compiled Agents'!C1116+"h_l!(.)"</f>
        <v>#VALUE!</v>
      </c>
      <c r="GI157" t="e">
        <f>'Compiled Agents'!E1116+"h_l!(.."</f>
        <v>#VALUE!</v>
      </c>
      <c r="GJ157" t="e">
        <f>'Compiled Agents'!F1116+"h_l!(./"</f>
        <v>#VALUE!</v>
      </c>
      <c r="GK157" t="e">
        <f>'Compiled Agents'!G1116+"h_l!(.0"</f>
        <v>#VALUE!</v>
      </c>
      <c r="GL157" t="e">
        <f>'Compiled Agents'!H1116+"h_l!(.1"</f>
        <v>#VALUE!</v>
      </c>
      <c r="GM157" t="e">
        <f>'Compiled Agents'!A1117+"h_l!(.2"</f>
        <v>#VALUE!</v>
      </c>
      <c r="GN157" t="e">
        <f>'Compiled Agents'!B1117+"h_l!(.3"</f>
        <v>#VALUE!</v>
      </c>
      <c r="GO157" t="e">
        <f>'Compiled Agents'!C1117+"h_l!(.4"</f>
        <v>#VALUE!</v>
      </c>
      <c r="GP157" t="e">
        <f>'Compiled Agents'!E1117+"h_l!(.5"</f>
        <v>#VALUE!</v>
      </c>
      <c r="GQ157" t="e">
        <f>'Compiled Agents'!F1117+"h_l!(.6"</f>
        <v>#VALUE!</v>
      </c>
      <c r="GR157" t="e">
        <f>'Compiled Agents'!G1117+"h_l!(.7"</f>
        <v>#VALUE!</v>
      </c>
      <c r="GS157" t="e">
        <f>'Compiled Agents'!H1117+"h_l!(.8"</f>
        <v>#VALUE!</v>
      </c>
      <c r="GT157" t="e">
        <f>'Compiled Agents'!A1118+"h_l!(.9"</f>
        <v>#VALUE!</v>
      </c>
      <c r="GU157" t="e">
        <f>'Compiled Agents'!B1118+"h_l!(.:"</f>
        <v>#VALUE!</v>
      </c>
      <c r="GV157" t="e">
        <f>'Compiled Agents'!C1118+"h_l!(.;"</f>
        <v>#VALUE!</v>
      </c>
      <c r="GW157" t="e">
        <f>'Compiled Agents'!E1118+"h_l!(.&lt;"</f>
        <v>#VALUE!</v>
      </c>
      <c r="GX157" t="e">
        <f>'Compiled Agents'!F1118+"h_l!(.="</f>
        <v>#VALUE!</v>
      </c>
      <c r="GY157" t="e">
        <f>'Compiled Agents'!G1118+"h_l!(.&gt;"</f>
        <v>#VALUE!</v>
      </c>
      <c r="GZ157" t="e">
        <f>'Compiled Agents'!H1118+"h_l!(.?"</f>
        <v>#VALUE!</v>
      </c>
      <c r="HA157" t="e">
        <f>'Compiled Agents'!A1119+"h_l!(.@"</f>
        <v>#VALUE!</v>
      </c>
      <c r="HB157" t="e">
        <f>'Compiled Agents'!B1119+"h_l!(.A"</f>
        <v>#VALUE!</v>
      </c>
      <c r="HC157" t="e">
        <f>'Compiled Agents'!C1119+"h_l!(.B"</f>
        <v>#VALUE!</v>
      </c>
      <c r="HD157" t="e">
        <f>'Compiled Agents'!E1119+"h_l!(.C"</f>
        <v>#VALUE!</v>
      </c>
      <c r="HE157" t="e">
        <f>'Compiled Agents'!F1119+"h_l!(.D"</f>
        <v>#VALUE!</v>
      </c>
      <c r="HF157" t="e">
        <f>'Compiled Agents'!G1119+"h_l!(.E"</f>
        <v>#VALUE!</v>
      </c>
      <c r="HG157" t="e">
        <f>'Compiled Agents'!H1119+"h_l!(.F"</f>
        <v>#VALUE!</v>
      </c>
      <c r="HH157" t="e">
        <f>'Compiled Agents'!A1120+"h_l!(.G"</f>
        <v>#VALUE!</v>
      </c>
      <c r="HI157" t="e">
        <f>'Compiled Agents'!B1120+"h_l!(.H"</f>
        <v>#VALUE!</v>
      </c>
      <c r="HJ157" t="e">
        <f>'Compiled Agents'!C1120+"h_l!(.I"</f>
        <v>#VALUE!</v>
      </c>
      <c r="HK157" t="e">
        <f>'Compiled Agents'!E1120+"h_l!(.J"</f>
        <v>#VALUE!</v>
      </c>
      <c r="HL157" t="e">
        <f>'Compiled Agents'!F1120+"h_l!(.K"</f>
        <v>#VALUE!</v>
      </c>
      <c r="HM157" t="e">
        <f>'Compiled Agents'!G1120+"h_l!(.L"</f>
        <v>#VALUE!</v>
      </c>
      <c r="HN157" t="e">
        <f>'Compiled Agents'!H1120+"h_l!(.M"</f>
        <v>#VALUE!</v>
      </c>
      <c r="HO157" t="e">
        <f>'Compiled Agents'!A1121+"h_l!(.N"</f>
        <v>#VALUE!</v>
      </c>
      <c r="HP157" t="e">
        <f>'Compiled Agents'!B1121+"h_l!(.O"</f>
        <v>#VALUE!</v>
      </c>
      <c r="HQ157" t="e">
        <f>'Compiled Agents'!C1121+"h_l!(.P"</f>
        <v>#VALUE!</v>
      </c>
      <c r="HR157" t="e">
        <f>'Compiled Agents'!E1121+"h_l!(.Q"</f>
        <v>#VALUE!</v>
      </c>
      <c r="HS157" t="e">
        <f>'Compiled Agents'!F1121+"h_l!(.R"</f>
        <v>#VALUE!</v>
      </c>
      <c r="HT157" t="e">
        <f>'Compiled Agents'!G1121+"h_l!(.S"</f>
        <v>#VALUE!</v>
      </c>
      <c r="HU157" t="e">
        <f>'Compiled Agents'!H1121+"h_l!(.T"</f>
        <v>#VALUE!</v>
      </c>
      <c r="HV157" t="e">
        <f>'Compiled Agents'!A1122+"h_l!(.U"</f>
        <v>#VALUE!</v>
      </c>
      <c r="HW157" t="e">
        <f>'Compiled Agents'!B1122+"h_l!(.V"</f>
        <v>#VALUE!</v>
      </c>
      <c r="HX157" t="e">
        <f>'Compiled Agents'!C1122+"h_l!(.W"</f>
        <v>#VALUE!</v>
      </c>
      <c r="HY157" t="e">
        <f>'Compiled Agents'!E1122+"h_l!(.X"</f>
        <v>#VALUE!</v>
      </c>
      <c r="HZ157" t="e">
        <f>'Compiled Agents'!F1122+"h_l!(.Y"</f>
        <v>#VALUE!</v>
      </c>
      <c r="IA157" t="e">
        <f>'Compiled Agents'!G1122+"h_l!(.Z"</f>
        <v>#VALUE!</v>
      </c>
      <c r="IB157" t="e">
        <f>'Compiled Agents'!H1122+"h_l!(.["</f>
        <v>#VALUE!</v>
      </c>
      <c r="IC157" t="e">
        <f>'Compiled Agents'!A1123+"h_l!(.\"</f>
        <v>#VALUE!</v>
      </c>
      <c r="ID157" t="e">
        <f>'Compiled Agents'!B1123+"h_l!(.]"</f>
        <v>#VALUE!</v>
      </c>
      <c r="IE157" t="e">
        <f>'Compiled Agents'!C1123+"h_l!(.^"</f>
        <v>#VALUE!</v>
      </c>
      <c r="IF157" t="e">
        <f>'Compiled Agents'!E1123+"h_l!(._"</f>
        <v>#VALUE!</v>
      </c>
      <c r="IG157" t="e">
        <f>'Compiled Agents'!F1123+"h_l!(.`"</f>
        <v>#VALUE!</v>
      </c>
      <c r="IH157" t="e">
        <f>'Compiled Agents'!G1123+"h_l!(.a"</f>
        <v>#VALUE!</v>
      </c>
      <c r="II157" t="e">
        <f>'Compiled Agents'!H1123+"h_l!(.b"</f>
        <v>#VALUE!</v>
      </c>
      <c r="IJ157" t="e">
        <f>'Compiled Agents'!A1124+"h_l!(.c"</f>
        <v>#VALUE!</v>
      </c>
      <c r="IK157" t="e">
        <f>'Compiled Agents'!B1124+"h_l!(.d"</f>
        <v>#VALUE!</v>
      </c>
      <c r="IL157" t="e">
        <f>'Compiled Agents'!C1124+"h_l!(.e"</f>
        <v>#VALUE!</v>
      </c>
      <c r="IM157" t="e">
        <f>'Compiled Agents'!E1124+"h_l!(.f"</f>
        <v>#VALUE!</v>
      </c>
      <c r="IN157" t="e">
        <f>'Compiled Agents'!F1124+"h_l!(.g"</f>
        <v>#VALUE!</v>
      </c>
      <c r="IO157" t="e">
        <f>'Compiled Agents'!G1124+"h_l!(.h"</f>
        <v>#VALUE!</v>
      </c>
      <c r="IP157" t="e">
        <f>'Compiled Agents'!H1124+"h_l!(.i"</f>
        <v>#VALUE!</v>
      </c>
      <c r="IQ157" t="e">
        <f>'Compiled Agents'!A1125+"h_l!(.j"</f>
        <v>#VALUE!</v>
      </c>
      <c r="IR157" t="e">
        <f>'Compiled Agents'!B1125+"h_l!(.k"</f>
        <v>#VALUE!</v>
      </c>
      <c r="IS157" t="e">
        <f>'Compiled Agents'!C1125+"h_l!(.l"</f>
        <v>#VALUE!</v>
      </c>
      <c r="IT157" t="e">
        <f>'Compiled Agents'!E1125+"h_l!(.m"</f>
        <v>#VALUE!</v>
      </c>
      <c r="IU157" t="e">
        <f>'Compiled Agents'!F1125+"h_l!(.n"</f>
        <v>#VALUE!</v>
      </c>
      <c r="IV157" t="e">
        <f>'Compiled Agents'!G1125+"h_l!(.o"</f>
        <v>#VALUE!</v>
      </c>
    </row>
    <row r="158" spans="6:256" x14ac:dyDescent="0.25">
      <c r="F158" t="e">
        <f>'Compiled Agents'!H1125+"h_l!(.p"</f>
        <v>#VALUE!</v>
      </c>
      <c r="G158" t="e">
        <f>'Compiled Agents'!A1126+"h_l!(.q"</f>
        <v>#VALUE!</v>
      </c>
      <c r="H158" t="e">
        <f>'Compiled Agents'!B1126+"h_l!(.r"</f>
        <v>#VALUE!</v>
      </c>
      <c r="I158" t="e">
        <f>'Compiled Agents'!C1126+"h_l!(.s"</f>
        <v>#VALUE!</v>
      </c>
      <c r="J158" t="e">
        <f>'Compiled Agents'!E1126+"h_l!(.t"</f>
        <v>#VALUE!</v>
      </c>
      <c r="K158" t="e">
        <f>'Compiled Agents'!F1126+"h_l!(.u"</f>
        <v>#VALUE!</v>
      </c>
      <c r="L158" t="e">
        <f>'Compiled Agents'!G1126+"h_l!(.v"</f>
        <v>#VALUE!</v>
      </c>
      <c r="M158" t="e">
        <f>'Compiled Agents'!H1126+"h_l!(.w"</f>
        <v>#VALUE!</v>
      </c>
      <c r="N158" t="e">
        <f>'Compiled Agents'!A1127+"h_l!(.x"</f>
        <v>#VALUE!</v>
      </c>
      <c r="O158" t="e">
        <f>'Compiled Agents'!B1127+"h_l!(.y"</f>
        <v>#VALUE!</v>
      </c>
      <c r="P158" t="e">
        <f>'Compiled Agents'!C1127+"h_l!(.z"</f>
        <v>#VALUE!</v>
      </c>
      <c r="Q158" t="e">
        <f>'Compiled Agents'!E1127+"h_l!(.{"</f>
        <v>#VALUE!</v>
      </c>
      <c r="R158" t="e">
        <f>'Compiled Agents'!F1127+"h_l!(.|"</f>
        <v>#VALUE!</v>
      </c>
      <c r="S158" t="e">
        <f>'Compiled Agents'!G1127+"h_l!(.}"</f>
        <v>#VALUE!</v>
      </c>
      <c r="T158" t="e">
        <f>'Compiled Agents'!H1127+"h_l!(.~"</f>
        <v>#VALUE!</v>
      </c>
      <c r="U158" t="e">
        <f>'Compiled Agents'!A1128+"h_l!(/#"</f>
        <v>#VALUE!</v>
      </c>
      <c r="V158" t="e">
        <f>'Compiled Agents'!B1128+"h_l!(/$"</f>
        <v>#VALUE!</v>
      </c>
      <c r="W158" t="e">
        <f>'Compiled Agents'!C1128+"h_l!(/%"</f>
        <v>#VALUE!</v>
      </c>
      <c r="X158" t="e">
        <f>'Compiled Agents'!E1128+"h_l!(/&amp;"</f>
        <v>#VALUE!</v>
      </c>
      <c r="Y158" t="e">
        <f>'Compiled Agents'!F1128+"h_l!(/'"</f>
        <v>#VALUE!</v>
      </c>
      <c r="Z158" t="e">
        <f>'Compiled Agents'!G1128+"h_l!(/("</f>
        <v>#VALUE!</v>
      </c>
      <c r="AA158" t="e">
        <f>'Compiled Agents'!H1128+"h_l!(/)"</f>
        <v>#VALUE!</v>
      </c>
      <c r="AB158" t="e">
        <f>'Compiled Agents'!A1129+"h_l!(/."</f>
        <v>#VALUE!</v>
      </c>
      <c r="AC158" t="e">
        <f>'Compiled Agents'!B1129+"h_l!(//"</f>
        <v>#VALUE!</v>
      </c>
      <c r="AD158" t="e">
        <f>'Compiled Agents'!C1129+"h_l!(/0"</f>
        <v>#VALUE!</v>
      </c>
      <c r="AE158" t="e">
        <f>'Compiled Agents'!E1129+"h_l!(/1"</f>
        <v>#VALUE!</v>
      </c>
      <c r="AF158" t="e">
        <f>'Compiled Agents'!F1129+"h_l!(/2"</f>
        <v>#VALUE!</v>
      </c>
      <c r="AG158" t="e">
        <f>'Compiled Agents'!G1129+"h_l!(/3"</f>
        <v>#VALUE!</v>
      </c>
      <c r="AH158" t="e">
        <f>'Compiled Agents'!H1129+"h_l!(/4"</f>
        <v>#VALUE!</v>
      </c>
      <c r="AI158" t="e">
        <f>'Compiled Agents'!A1130+"h_l!(/5"</f>
        <v>#VALUE!</v>
      </c>
      <c r="AJ158" t="e">
        <f>'Compiled Agents'!B1130+"h_l!(/6"</f>
        <v>#VALUE!</v>
      </c>
      <c r="AK158" t="e">
        <f>'Compiled Agents'!C1130+"h_l!(/7"</f>
        <v>#VALUE!</v>
      </c>
      <c r="AL158" t="e">
        <f>'Compiled Agents'!E1130+"h_l!(/8"</f>
        <v>#VALUE!</v>
      </c>
      <c r="AM158" t="e">
        <f>'Compiled Agents'!F1130+"h_l!(/9"</f>
        <v>#VALUE!</v>
      </c>
      <c r="AN158" t="e">
        <f>'Compiled Agents'!G1130+"h_l!(/:"</f>
        <v>#VALUE!</v>
      </c>
      <c r="AO158" t="e">
        <f>'Compiled Agents'!H1130+"h_l!(/;"</f>
        <v>#VALUE!</v>
      </c>
      <c r="AP158" t="e">
        <f>'Compiled Agents'!A1131+"h_l!(/&lt;"</f>
        <v>#VALUE!</v>
      </c>
      <c r="AQ158" t="e">
        <f>'Compiled Agents'!B1131+"h_l!(/="</f>
        <v>#VALUE!</v>
      </c>
      <c r="AR158" t="e">
        <f>'Compiled Agents'!C1131+"h_l!(/&gt;"</f>
        <v>#VALUE!</v>
      </c>
      <c r="AS158" t="e">
        <f>'Compiled Agents'!E1131+"h_l!(/?"</f>
        <v>#VALUE!</v>
      </c>
      <c r="AT158" t="e">
        <f>'Compiled Agents'!F1131+"h_l!(/@"</f>
        <v>#VALUE!</v>
      </c>
      <c r="AU158" t="e">
        <f>'Compiled Agents'!G1131+"h_l!(/A"</f>
        <v>#VALUE!</v>
      </c>
      <c r="AV158" t="e">
        <f>'Compiled Agents'!H1131+"h_l!(/B"</f>
        <v>#VALUE!</v>
      </c>
      <c r="AW158" t="e">
        <f>'Compiled Agents'!A1132+"h_l!(/C"</f>
        <v>#VALUE!</v>
      </c>
      <c r="AX158" t="e">
        <f>'Compiled Agents'!B1132+"h_l!(/D"</f>
        <v>#VALUE!</v>
      </c>
      <c r="AY158" t="e">
        <f>'Compiled Agents'!C1132+"h_l!(/E"</f>
        <v>#VALUE!</v>
      </c>
      <c r="AZ158" t="e">
        <f>'Compiled Agents'!E1132+"h_l!(/F"</f>
        <v>#VALUE!</v>
      </c>
      <c r="BA158" t="e">
        <f>'Compiled Agents'!F1132+"h_l!(/G"</f>
        <v>#VALUE!</v>
      </c>
      <c r="BB158" t="e">
        <f>'Compiled Agents'!G1132+"h_l!(/H"</f>
        <v>#VALUE!</v>
      </c>
      <c r="BC158" t="e">
        <f>'Compiled Agents'!H1132+"h_l!(/I"</f>
        <v>#VALUE!</v>
      </c>
      <c r="BD158" t="e">
        <f>'Compiled Agents'!A1133+"h_l!(/J"</f>
        <v>#VALUE!</v>
      </c>
      <c r="BE158" t="e">
        <f>'Compiled Agents'!B1133+"h_l!(/K"</f>
        <v>#VALUE!</v>
      </c>
      <c r="BF158" t="e">
        <f>'Compiled Agents'!C1133+"h_l!(/L"</f>
        <v>#VALUE!</v>
      </c>
      <c r="BG158" t="e">
        <f>'Compiled Agents'!E1133+"h_l!(/M"</f>
        <v>#VALUE!</v>
      </c>
      <c r="BH158" t="e">
        <f>'Compiled Agents'!F1133+"h_l!(/N"</f>
        <v>#VALUE!</v>
      </c>
      <c r="BI158" t="e">
        <f>'Compiled Agents'!G1133+"h_l!(/O"</f>
        <v>#VALUE!</v>
      </c>
      <c r="BJ158" t="e">
        <f>'Compiled Agents'!H1133+"h_l!(/P"</f>
        <v>#VALUE!</v>
      </c>
      <c r="BK158" t="e">
        <f>'Compiled Agents'!A1134+"h_l!(/Q"</f>
        <v>#VALUE!</v>
      </c>
      <c r="BL158" t="e">
        <f>'Compiled Agents'!B1134+"h_l!(/R"</f>
        <v>#VALUE!</v>
      </c>
      <c r="BM158" t="e">
        <f>'Compiled Agents'!C1134+"h_l!(/S"</f>
        <v>#VALUE!</v>
      </c>
      <c r="BN158" t="e">
        <f>'Compiled Agents'!E1134+"h_l!(/T"</f>
        <v>#VALUE!</v>
      </c>
      <c r="BO158" t="e">
        <f>'Compiled Agents'!F1134+"h_l!(/U"</f>
        <v>#VALUE!</v>
      </c>
      <c r="BP158" t="e">
        <f>'Compiled Agents'!G1134+"h_l!(/V"</f>
        <v>#VALUE!</v>
      </c>
      <c r="BQ158" t="e">
        <f>'Compiled Agents'!H1134+"h_l!(/W"</f>
        <v>#VALUE!</v>
      </c>
      <c r="BR158" t="e">
        <f>'Compiled Agents'!A1135+"h_l!(/X"</f>
        <v>#VALUE!</v>
      </c>
      <c r="BS158" t="e">
        <f>'Compiled Agents'!B1135+"h_l!(/Y"</f>
        <v>#VALUE!</v>
      </c>
      <c r="BT158" t="e">
        <f>'Compiled Agents'!C1135+"h_l!(/Z"</f>
        <v>#VALUE!</v>
      </c>
      <c r="BU158" t="e">
        <f>'Compiled Agents'!E1135+"h_l!(/["</f>
        <v>#VALUE!</v>
      </c>
      <c r="BV158" t="e">
        <f>'Compiled Agents'!F1135+"h_l!(/\"</f>
        <v>#VALUE!</v>
      </c>
      <c r="BW158" t="e">
        <f>'Compiled Agents'!G1135+"h_l!(/]"</f>
        <v>#VALUE!</v>
      </c>
      <c r="BX158" t="e">
        <f>'Compiled Agents'!H1135+"h_l!(/^"</f>
        <v>#VALUE!</v>
      </c>
      <c r="BY158" t="e">
        <f>'Compiled Agents'!A1136+"h_l!(/_"</f>
        <v>#VALUE!</v>
      </c>
      <c r="BZ158" t="e">
        <f>'Compiled Agents'!B1136+"h_l!(/`"</f>
        <v>#VALUE!</v>
      </c>
      <c r="CA158" t="e">
        <f>'Compiled Agents'!C1136+"h_l!(/a"</f>
        <v>#VALUE!</v>
      </c>
      <c r="CB158" t="e">
        <f>'Compiled Agents'!E1136+"h_l!(/b"</f>
        <v>#VALUE!</v>
      </c>
      <c r="CC158" t="e">
        <f>'Compiled Agents'!F1136+"h_l!(/c"</f>
        <v>#VALUE!</v>
      </c>
      <c r="CD158" t="e">
        <f>'Compiled Agents'!G1136+"h_l!(/d"</f>
        <v>#VALUE!</v>
      </c>
      <c r="CE158" t="e">
        <f>'Compiled Agents'!H1136+"h_l!(/e"</f>
        <v>#VALUE!</v>
      </c>
      <c r="CF158" t="e">
        <f>'Compiled Agents'!A1137+"h_l!(/f"</f>
        <v>#VALUE!</v>
      </c>
      <c r="CG158" t="e">
        <f>'Compiled Agents'!B1137+"h_l!(/g"</f>
        <v>#VALUE!</v>
      </c>
      <c r="CH158" t="e">
        <f>'Compiled Agents'!C1137+"h_l!(/h"</f>
        <v>#VALUE!</v>
      </c>
      <c r="CI158" t="e">
        <f>'Compiled Agents'!E1137+"h_l!(/i"</f>
        <v>#VALUE!</v>
      </c>
      <c r="CJ158" t="e">
        <f>'Compiled Agents'!F1137+"h_l!(/j"</f>
        <v>#VALUE!</v>
      </c>
      <c r="CK158" t="e">
        <f>'Compiled Agents'!G1137+"h_l!(/k"</f>
        <v>#VALUE!</v>
      </c>
      <c r="CL158" t="e">
        <f>'Compiled Agents'!H1137+"h_l!(/l"</f>
        <v>#VALUE!</v>
      </c>
      <c r="CM158" t="e">
        <f>'Compiled Agents'!A1138+"h_l!(/m"</f>
        <v>#VALUE!</v>
      </c>
      <c r="CN158" t="e">
        <f>'Compiled Agents'!B1138+"h_l!(/n"</f>
        <v>#VALUE!</v>
      </c>
      <c r="CO158" t="e">
        <f>'Compiled Agents'!C1138+"h_l!(/o"</f>
        <v>#VALUE!</v>
      </c>
      <c r="CP158" t="e">
        <f>'Compiled Agents'!E1138+"h_l!(/p"</f>
        <v>#VALUE!</v>
      </c>
      <c r="CQ158" t="e">
        <f>'Compiled Agents'!F1138+"h_l!(/q"</f>
        <v>#VALUE!</v>
      </c>
      <c r="CR158" t="e">
        <f>'Compiled Agents'!G1138+"h_l!(/r"</f>
        <v>#VALUE!</v>
      </c>
      <c r="CS158" t="e">
        <f>'Compiled Agents'!H1138+"h_l!(/s"</f>
        <v>#VALUE!</v>
      </c>
      <c r="CT158" t="e">
        <f>'Compiled Agents'!A1139+"h_l!(/t"</f>
        <v>#VALUE!</v>
      </c>
      <c r="CU158" t="e">
        <f>'Compiled Agents'!B1139+"h_l!(/u"</f>
        <v>#VALUE!</v>
      </c>
      <c r="CV158" t="e">
        <f>'Compiled Agents'!C1139+"h_l!(/v"</f>
        <v>#VALUE!</v>
      </c>
      <c r="CW158" t="e">
        <f>'Compiled Agents'!E1139+"h_l!(/w"</f>
        <v>#VALUE!</v>
      </c>
      <c r="CX158" t="e">
        <f>'Compiled Agents'!F1139+"h_l!(/x"</f>
        <v>#VALUE!</v>
      </c>
      <c r="CY158" t="e">
        <f>'Compiled Agents'!G1139+"h_l!(/y"</f>
        <v>#VALUE!</v>
      </c>
      <c r="CZ158" t="e">
        <f>'Compiled Agents'!H1139+"h_l!(/z"</f>
        <v>#VALUE!</v>
      </c>
      <c r="DA158" t="e">
        <f>'Compiled Agents'!A1140+"h_l!(/{"</f>
        <v>#VALUE!</v>
      </c>
      <c r="DB158" t="e">
        <f>'Compiled Agents'!B1140+"h_l!(/|"</f>
        <v>#VALUE!</v>
      </c>
      <c r="DC158" t="e">
        <f>'Compiled Agents'!C1140+"h_l!(/}"</f>
        <v>#VALUE!</v>
      </c>
      <c r="DD158" t="e">
        <f>'Compiled Agents'!E1140+"h_l!(/~"</f>
        <v>#VALUE!</v>
      </c>
      <c r="DE158" t="e">
        <f>'Compiled Agents'!F1140+"h_l!(0#"</f>
        <v>#VALUE!</v>
      </c>
      <c r="DF158" t="e">
        <f>'Compiled Agents'!G1140+"h_l!(0$"</f>
        <v>#VALUE!</v>
      </c>
      <c r="DG158" t="e">
        <f>'Compiled Agents'!H1140+"h_l!(0%"</f>
        <v>#VALUE!</v>
      </c>
      <c r="DH158" t="e">
        <f>'Compiled Agents'!A1141+"h_l!(0&amp;"</f>
        <v>#VALUE!</v>
      </c>
      <c r="DI158" t="e">
        <f>'Compiled Agents'!B1141+"h_l!(0'"</f>
        <v>#VALUE!</v>
      </c>
      <c r="DJ158" t="e">
        <f>'Compiled Agents'!C1141+"h_l!(0("</f>
        <v>#VALUE!</v>
      </c>
      <c r="DK158" t="e">
        <f>'Compiled Agents'!E1141+"h_l!(0)"</f>
        <v>#VALUE!</v>
      </c>
      <c r="DL158" t="e">
        <f>'Compiled Agents'!F1141+"h_l!(0."</f>
        <v>#VALUE!</v>
      </c>
      <c r="DM158" t="e">
        <f>'Compiled Agents'!G1141+"h_l!(0/"</f>
        <v>#VALUE!</v>
      </c>
      <c r="DN158" t="e">
        <f>'Compiled Agents'!H1141+"h_l!(00"</f>
        <v>#VALUE!</v>
      </c>
      <c r="DO158" t="e">
        <f>'Compiled Agents'!A1142+"h_l!(01"</f>
        <v>#VALUE!</v>
      </c>
      <c r="DP158" t="e">
        <f>'Compiled Agents'!B1142+"h_l!(02"</f>
        <v>#VALUE!</v>
      </c>
      <c r="DQ158" t="e">
        <f>'Compiled Agents'!C1142+"h_l!(03"</f>
        <v>#VALUE!</v>
      </c>
      <c r="DR158" t="e">
        <f>'Compiled Agents'!E1142+"h_l!(04"</f>
        <v>#VALUE!</v>
      </c>
      <c r="DS158" t="e">
        <f>'Compiled Agents'!F1142+"h_l!(05"</f>
        <v>#VALUE!</v>
      </c>
      <c r="DT158" t="e">
        <f>'Compiled Agents'!G1142+"h_l!(06"</f>
        <v>#VALUE!</v>
      </c>
      <c r="DU158" t="e">
        <f>'Compiled Agents'!H1142+"h_l!(07"</f>
        <v>#VALUE!</v>
      </c>
      <c r="DV158" t="e">
        <f>'Compiled Agents'!A1143+"h_l!(08"</f>
        <v>#VALUE!</v>
      </c>
      <c r="DW158" t="e">
        <f>'Compiled Agents'!B1143+"h_l!(09"</f>
        <v>#VALUE!</v>
      </c>
      <c r="DX158" t="e">
        <f>'Compiled Agents'!C1143+"h_l!(0:"</f>
        <v>#VALUE!</v>
      </c>
      <c r="DY158" t="e">
        <f>'Compiled Agents'!E1143+"h_l!(0;"</f>
        <v>#VALUE!</v>
      </c>
      <c r="DZ158" t="e">
        <f>'Compiled Agents'!F1143+"h_l!(0&lt;"</f>
        <v>#VALUE!</v>
      </c>
      <c r="EA158" t="e">
        <f>'Compiled Agents'!G1143+"h_l!(0="</f>
        <v>#VALUE!</v>
      </c>
      <c r="EB158" t="e">
        <f>'Compiled Agents'!H1143+"h_l!(0&gt;"</f>
        <v>#VALUE!</v>
      </c>
      <c r="EC158" t="e">
        <f>'Compiled Agents'!A1144+"h_l!(0?"</f>
        <v>#VALUE!</v>
      </c>
      <c r="ED158" t="e">
        <f>'Compiled Agents'!B1144+"h_l!(0@"</f>
        <v>#VALUE!</v>
      </c>
      <c r="EE158" t="e">
        <f>'Compiled Agents'!C1144+"h_l!(0A"</f>
        <v>#VALUE!</v>
      </c>
      <c r="EF158" t="e">
        <f>'Compiled Agents'!E1144+"h_l!(0B"</f>
        <v>#VALUE!</v>
      </c>
      <c r="EG158" t="e">
        <f>'Compiled Agents'!F1144+"h_l!(0C"</f>
        <v>#VALUE!</v>
      </c>
      <c r="EH158" t="e">
        <f>'Compiled Agents'!G1144+"h_l!(0D"</f>
        <v>#VALUE!</v>
      </c>
      <c r="EI158" t="e">
        <f>'Compiled Agents'!H1144+"h_l!(0E"</f>
        <v>#VALUE!</v>
      </c>
      <c r="EJ158" t="e">
        <f>'Compiled Agents'!A1145+"h_l!(0F"</f>
        <v>#VALUE!</v>
      </c>
      <c r="EK158" t="e">
        <f>'Compiled Agents'!B1145+"h_l!(0G"</f>
        <v>#VALUE!</v>
      </c>
      <c r="EL158" t="e">
        <f>'Compiled Agents'!C1145+"h_l!(0H"</f>
        <v>#VALUE!</v>
      </c>
      <c r="EM158" t="e">
        <f>'Compiled Agents'!E1145+"h_l!(0I"</f>
        <v>#VALUE!</v>
      </c>
      <c r="EN158" t="e">
        <f>'Compiled Agents'!F1145+"h_l!(0J"</f>
        <v>#VALUE!</v>
      </c>
      <c r="EO158" t="e">
        <f>'Compiled Agents'!G1145+"h_l!(0K"</f>
        <v>#VALUE!</v>
      </c>
      <c r="EP158" t="e">
        <f>'Compiled Agents'!H1145+"h_l!(0L"</f>
        <v>#VALUE!</v>
      </c>
      <c r="EQ158" t="e">
        <f>'Compiled Agents'!A1146+"h_l!(0M"</f>
        <v>#VALUE!</v>
      </c>
      <c r="ER158" t="e">
        <f>'Compiled Agents'!B1146+"h_l!(0N"</f>
        <v>#VALUE!</v>
      </c>
      <c r="ES158" t="e">
        <f>'Compiled Agents'!C1146+"h_l!(0O"</f>
        <v>#VALUE!</v>
      </c>
      <c r="ET158" t="e">
        <f>'Compiled Agents'!E1146+"h_l!(0P"</f>
        <v>#VALUE!</v>
      </c>
      <c r="EU158" t="e">
        <f>'Compiled Agents'!F1146+"h_l!(0Q"</f>
        <v>#VALUE!</v>
      </c>
      <c r="EV158" t="e">
        <f>'Compiled Agents'!G1146+"h_l!(0R"</f>
        <v>#VALUE!</v>
      </c>
      <c r="EW158" t="e">
        <f>'Compiled Agents'!H1146+"h_l!(0S"</f>
        <v>#VALUE!</v>
      </c>
      <c r="EX158" t="e">
        <f>'Compiled Agents'!A1147+"h_l!(0T"</f>
        <v>#VALUE!</v>
      </c>
      <c r="EY158" t="e">
        <f>'Compiled Agents'!B1147+"h_l!(0U"</f>
        <v>#VALUE!</v>
      </c>
      <c r="EZ158" t="e">
        <f>'Compiled Agents'!C1147+"h_l!(0V"</f>
        <v>#VALUE!</v>
      </c>
      <c r="FA158" t="e">
        <f>'Compiled Agents'!E1147+"h_l!(0W"</f>
        <v>#VALUE!</v>
      </c>
      <c r="FB158" t="e">
        <f>'Compiled Agents'!F1147+"h_l!(0X"</f>
        <v>#VALUE!</v>
      </c>
      <c r="FC158" t="e">
        <f>'Compiled Agents'!G1147+"h_l!(0Y"</f>
        <v>#VALUE!</v>
      </c>
      <c r="FD158" t="e">
        <f>'Compiled Agents'!H1147+"h_l!(0Z"</f>
        <v>#VALUE!</v>
      </c>
      <c r="FE158" t="e">
        <f>'Compiled Agents'!A1148+"h_l!(0["</f>
        <v>#VALUE!</v>
      </c>
      <c r="FF158" t="e">
        <f>'Compiled Agents'!B1148+"h_l!(0\"</f>
        <v>#VALUE!</v>
      </c>
      <c r="FG158" t="e">
        <f>'Compiled Agents'!C1148+"h_l!(0]"</f>
        <v>#VALUE!</v>
      </c>
      <c r="FH158" t="e">
        <f>'Compiled Agents'!E1148+"h_l!(0^"</f>
        <v>#VALUE!</v>
      </c>
      <c r="FI158" t="e">
        <f>'Compiled Agents'!F1148+"h_l!(0_"</f>
        <v>#VALUE!</v>
      </c>
      <c r="FJ158" t="e">
        <f>'Compiled Agents'!G1148+"h_l!(0`"</f>
        <v>#VALUE!</v>
      </c>
      <c r="FK158" t="e">
        <f>'Compiled Agents'!H1148+"h_l!(0a"</f>
        <v>#VALUE!</v>
      </c>
      <c r="FL158" t="e">
        <f>'Compiled Agents'!A1149+"h_l!(0b"</f>
        <v>#VALUE!</v>
      </c>
      <c r="FM158" t="e">
        <f>'Compiled Agents'!B1149+"h_l!(0c"</f>
        <v>#VALUE!</v>
      </c>
      <c r="FN158" t="e">
        <f>'Compiled Agents'!C1149+"h_l!(0d"</f>
        <v>#VALUE!</v>
      </c>
      <c r="FO158" t="e">
        <f>'Compiled Agents'!E1149+"h_l!(0e"</f>
        <v>#VALUE!</v>
      </c>
      <c r="FP158" t="e">
        <f>'Compiled Agents'!F1149+"h_l!(0f"</f>
        <v>#VALUE!</v>
      </c>
      <c r="FQ158" t="e">
        <f>'Compiled Agents'!G1149+"h_l!(0g"</f>
        <v>#VALUE!</v>
      </c>
      <c r="FR158" t="e">
        <f>'Compiled Agents'!H1149+"h_l!(0h"</f>
        <v>#VALUE!</v>
      </c>
      <c r="FS158" t="e">
        <f>'Compiled Agents'!A1150+"h_l!(0i"</f>
        <v>#VALUE!</v>
      </c>
      <c r="FT158" t="e">
        <f>'Compiled Agents'!B1150+"h_l!(0j"</f>
        <v>#VALUE!</v>
      </c>
      <c r="FU158" t="e">
        <f>'Compiled Agents'!C1150+"h_l!(0k"</f>
        <v>#VALUE!</v>
      </c>
      <c r="FV158" t="e">
        <f>'Compiled Agents'!E1150+"h_l!(0l"</f>
        <v>#VALUE!</v>
      </c>
      <c r="FW158" t="e">
        <f>'Compiled Agents'!F1150+"h_l!(0m"</f>
        <v>#VALUE!</v>
      </c>
      <c r="FX158" t="e">
        <f>'Compiled Agents'!G1150+"h_l!(0n"</f>
        <v>#VALUE!</v>
      </c>
      <c r="FY158" t="e">
        <f>'Compiled Agents'!H1150+"h_l!(0o"</f>
        <v>#VALUE!</v>
      </c>
      <c r="FZ158" t="e">
        <f>'Compiled Agents'!A1151+"h_l!(0p"</f>
        <v>#VALUE!</v>
      </c>
      <c r="GA158" t="e">
        <f>'Compiled Agents'!B1151+"h_l!(0q"</f>
        <v>#VALUE!</v>
      </c>
      <c r="GB158" t="e">
        <f>'Compiled Agents'!C1151+"h_l!(0r"</f>
        <v>#VALUE!</v>
      </c>
      <c r="GC158" t="e">
        <f>'Compiled Agents'!E1151+"h_l!(0s"</f>
        <v>#VALUE!</v>
      </c>
      <c r="GD158" t="e">
        <f>'Compiled Agents'!F1151+"h_l!(0t"</f>
        <v>#VALUE!</v>
      </c>
      <c r="GE158" t="e">
        <f>'Compiled Agents'!G1151+"h_l!(0u"</f>
        <v>#VALUE!</v>
      </c>
      <c r="GF158" t="e">
        <f>'Compiled Agents'!H1151+"h_l!(0v"</f>
        <v>#VALUE!</v>
      </c>
      <c r="GG158" t="e">
        <f>'Compiled Agents'!A1152+"h_l!(0w"</f>
        <v>#VALUE!</v>
      </c>
      <c r="GH158" t="e">
        <f>'Compiled Agents'!B1152+"h_l!(0x"</f>
        <v>#VALUE!</v>
      </c>
      <c r="GI158" t="e">
        <f>'Compiled Agents'!C1152+"h_l!(0y"</f>
        <v>#VALUE!</v>
      </c>
      <c r="GJ158" t="e">
        <f>'Compiled Agents'!E1152+"h_l!(0z"</f>
        <v>#VALUE!</v>
      </c>
      <c r="GK158" t="e">
        <f>'Compiled Agents'!F1152+"h_l!(0{"</f>
        <v>#VALUE!</v>
      </c>
      <c r="GL158" t="e">
        <f>'Compiled Agents'!G1152+"h_l!(0|"</f>
        <v>#VALUE!</v>
      </c>
      <c r="GM158" t="e">
        <f>'Compiled Agents'!H1152+"h_l!(0}"</f>
        <v>#VALUE!</v>
      </c>
      <c r="GN158" t="e">
        <f>'Compiled Agents'!A1153+"h_l!(0~"</f>
        <v>#VALUE!</v>
      </c>
      <c r="GO158" t="e">
        <f>'Compiled Agents'!B1153+"h_l!(1#"</f>
        <v>#VALUE!</v>
      </c>
      <c r="GP158" t="e">
        <f>'Compiled Agents'!C1153+"h_l!(1$"</f>
        <v>#VALUE!</v>
      </c>
      <c r="GQ158" t="e">
        <f>'Compiled Agents'!E1153+"h_l!(1%"</f>
        <v>#VALUE!</v>
      </c>
      <c r="GR158" t="e">
        <f>'Compiled Agents'!F1153+"h_l!(1&amp;"</f>
        <v>#VALUE!</v>
      </c>
      <c r="GS158" t="e">
        <f>'Compiled Agents'!G1153+"h_l!(1'"</f>
        <v>#VALUE!</v>
      </c>
      <c r="GT158" t="e">
        <f>'Compiled Agents'!H1153+"h_l!(1("</f>
        <v>#VALUE!</v>
      </c>
      <c r="GU158" t="e">
        <f>'Compiled Agents'!A1154+"h_l!(1)"</f>
        <v>#VALUE!</v>
      </c>
      <c r="GV158" t="e">
        <f>'Compiled Agents'!B1154+"h_l!(1."</f>
        <v>#VALUE!</v>
      </c>
      <c r="GW158" t="e">
        <f>'Compiled Agents'!C1154+"h_l!(1/"</f>
        <v>#VALUE!</v>
      </c>
      <c r="GX158" t="e">
        <f>'Compiled Agents'!E1154+"h_l!(10"</f>
        <v>#VALUE!</v>
      </c>
      <c r="GY158" t="e">
        <f>'Compiled Agents'!F1154+"h_l!(11"</f>
        <v>#VALUE!</v>
      </c>
      <c r="GZ158" t="e">
        <f>'Compiled Agents'!G1154+"h_l!(12"</f>
        <v>#VALUE!</v>
      </c>
      <c r="HA158" t="e">
        <f>'Compiled Agents'!H1154+"h_l!(13"</f>
        <v>#VALUE!</v>
      </c>
      <c r="HB158" t="e">
        <f>'Compiled Agents'!A1155+"h_l!(14"</f>
        <v>#VALUE!</v>
      </c>
      <c r="HC158" t="e">
        <f>'Compiled Agents'!B1155+"h_l!(15"</f>
        <v>#VALUE!</v>
      </c>
      <c r="HD158" t="e">
        <f>'Compiled Agents'!C1155+"h_l!(16"</f>
        <v>#VALUE!</v>
      </c>
      <c r="HE158" t="e">
        <f>'Compiled Agents'!E1155+"h_l!(17"</f>
        <v>#VALUE!</v>
      </c>
      <c r="HF158" t="e">
        <f>'Compiled Agents'!F1155+"h_l!(18"</f>
        <v>#VALUE!</v>
      </c>
      <c r="HG158" t="e">
        <f>'Compiled Agents'!G1155+"h_l!(19"</f>
        <v>#VALUE!</v>
      </c>
      <c r="HH158" t="e">
        <f>'Compiled Agents'!H1155+"h_l!(1:"</f>
        <v>#VALUE!</v>
      </c>
      <c r="HI158" t="e">
        <f>'Compiled Agents'!A1156+"h_l!(1;"</f>
        <v>#VALUE!</v>
      </c>
      <c r="HJ158" t="e">
        <f>'Compiled Agents'!B1156+"h_l!(1&lt;"</f>
        <v>#VALUE!</v>
      </c>
      <c r="HK158" t="e">
        <f>'Compiled Agents'!C1156+"h_l!(1="</f>
        <v>#VALUE!</v>
      </c>
      <c r="HL158" t="e">
        <f>'Compiled Agents'!E1156+"h_l!(1&gt;"</f>
        <v>#VALUE!</v>
      </c>
      <c r="HM158" t="e">
        <f>'Compiled Agents'!F1156+"h_l!(1?"</f>
        <v>#VALUE!</v>
      </c>
      <c r="HN158" t="e">
        <f>'Compiled Agents'!G1156+"h_l!(1@"</f>
        <v>#VALUE!</v>
      </c>
      <c r="HO158" t="e">
        <f>'Compiled Agents'!H1156+"h_l!(1A"</f>
        <v>#VALUE!</v>
      </c>
      <c r="HP158" t="e">
        <f>'Compiled Agents'!A1157+"h_l!(1B"</f>
        <v>#VALUE!</v>
      </c>
      <c r="HQ158" t="e">
        <f>'Compiled Agents'!B1157+"h_l!(1C"</f>
        <v>#VALUE!</v>
      </c>
      <c r="HR158" t="e">
        <f>'Compiled Agents'!C1157+"h_l!(1D"</f>
        <v>#VALUE!</v>
      </c>
      <c r="HS158" t="e">
        <f>'Compiled Agents'!E1157+"h_l!(1E"</f>
        <v>#VALUE!</v>
      </c>
      <c r="HT158" t="e">
        <f>'Compiled Agents'!F1157+"h_l!(1F"</f>
        <v>#VALUE!</v>
      </c>
      <c r="HU158" t="e">
        <f>'Compiled Agents'!G1157+"h_l!(1G"</f>
        <v>#VALUE!</v>
      </c>
      <c r="HV158" t="e">
        <f>'Compiled Agents'!H1157+"h_l!(1H"</f>
        <v>#VALUE!</v>
      </c>
      <c r="HW158" t="e">
        <f>'Compiled Agents'!A1158+"h_l!(1I"</f>
        <v>#VALUE!</v>
      </c>
      <c r="HX158" t="e">
        <f>'Compiled Agents'!B1158+"h_l!(1J"</f>
        <v>#VALUE!</v>
      </c>
      <c r="HY158" t="e">
        <f>'Compiled Agents'!C1158+"h_l!(1K"</f>
        <v>#VALUE!</v>
      </c>
      <c r="HZ158" t="e">
        <f>'Compiled Agents'!E1158+"h_l!(1L"</f>
        <v>#VALUE!</v>
      </c>
      <c r="IA158" t="e">
        <f>'Compiled Agents'!F1158+"h_l!(1M"</f>
        <v>#VALUE!</v>
      </c>
      <c r="IB158" t="e">
        <f>'Compiled Agents'!G1158+"h_l!(1N"</f>
        <v>#VALUE!</v>
      </c>
      <c r="IC158" t="e">
        <f>'Compiled Agents'!H1158+"h_l!(1O"</f>
        <v>#VALUE!</v>
      </c>
      <c r="ID158" t="e">
        <f>'Compiled Agents'!A1159+"h_l!(1P"</f>
        <v>#VALUE!</v>
      </c>
      <c r="IE158" t="e">
        <f>'Compiled Agents'!B1159+"h_l!(1Q"</f>
        <v>#VALUE!</v>
      </c>
      <c r="IF158" t="e">
        <f>'Compiled Agents'!C1159+"h_l!(1R"</f>
        <v>#VALUE!</v>
      </c>
      <c r="IG158" t="e">
        <f>'Compiled Agents'!E1159+"h_l!(1S"</f>
        <v>#VALUE!</v>
      </c>
      <c r="IH158" t="e">
        <f>'Compiled Agents'!F1159+"h_l!(1T"</f>
        <v>#VALUE!</v>
      </c>
      <c r="II158" t="e">
        <f>'Compiled Agents'!G1159+"h_l!(1U"</f>
        <v>#VALUE!</v>
      </c>
      <c r="IJ158" t="e">
        <f>'Compiled Agents'!H1159+"h_l!(1V"</f>
        <v>#VALUE!</v>
      </c>
      <c r="IK158" t="e">
        <f>'Compiled Agents'!A1160+"h_l!(1W"</f>
        <v>#VALUE!</v>
      </c>
      <c r="IL158" t="e">
        <f>'Compiled Agents'!B1160+"h_l!(1X"</f>
        <v>#VALUE!</v>
      </c>
      <c r="IM158" t="e">
        <f>'Compiled Agents'!C1160+"h_l!(1Y"</f>
        <v>#VALUE!</v>
      </c>
      <c r="IN158" t="e">
        <f>'Compiled Agents'!E1160+"h_l!(1Z"</f>
        <v>#VALUE!</v>
      </c>
      <c r="IO158" t="e">
        <f>'Compiled Agents'!F1160+"h_l!(1["</f>
        <v>#VALUE!</v>
      </c>
      <c r="IP158" t="e">
        <f>'Compiled Agents'!G1160+"h_l!(1\"</f>
        <v>#VALUE!</v>
      </c>
      <c r="IQ158" t="e">
        <f>'Compiled Agents'!H1160+"h_l!(1]"</f>
        <v>#VALUE!</v>
      </c>
      <c r="IR158" t="e">
        <f>'Compiled Agents'!A1161+"h_l!(1^"</f>
        <v>#VALUE!</v>
      </c>
      <c r="IS158" t="e">
        <f>'Compiled Agents'!B1161+"h_l!(1_"</f>
        <v>#VALUE!</v>
      </c>
      <c r="IT158" t="e">
        <f>'Compiled Agents'!C1161+"h_l!(1`"</f>
        <v>#VALUE!</v>
      </c>
      <c r="IU158" t="e">
        <f>'Compiled Agents'!E1161+"h_l!(1a"</f>
        <v>#VALUE!</v>
      </c>
      <c r="IV158" t="e">
        <f>'Compiled Agents'!F1161+"h_l!(1b"</f>
        <v>#VALUE!</v>
      </c>
    </row>
    <row r="159" spans="6:256" x14ac:dyDescent="0.25">
      <c r="F159" t="e">
        <f>'Compiled Agents'!G1161+"h_l!(1c"</f>
        <v>#VALUE!</v>
      </c>
      <c r="G159" t="e">
        <f>'Compiled Agents'!H1161+"h_l!(1d"</f>
        <v>#VALUE!</v>
      </c>
      <c r="H159" t="e">
        <f>'Compiled Agents'!A1162+"h_l!(1e"</f>
        <v>#VALUE!</v>
      </c>
      <c r="I159" t="e">
        <f>'Compiled Agents'!B1162+"h_l!(1f"</f>
        <v>#VALUE!</v>
      </c>
      <c r="J159" t="e">
        <f>'Compiled Agents'!C1162+"h_l!(1g"</f>
        <v>#VALUE!</v>
      </c>
      <c r="K159" t="e">
        <f>'Compiled Agents'!E1162+"h_l!(1h"</f>
        <v>#VALUE!</v>
      </c>
      <c r="L159" t="e">
        <f>'Compiled Agents'!F1162+"h_l!(1i"</f>
        <v>#VALUE!</v>
      </c>
      <c r="M159" t="e">
        <f>'Compiled Agents'!G1162+"h_l!(1j"</f>
        <v>#VALUE!</v>
      </c>
      <c r="N159" t="e">
        <f>'Compiled Agents'!H1162+"h_l!(1k"</f>
        <v>#VALUE!</v>
      </c>
      <c r="O159" t="e">
        <f>'Compiled Agents'!A1163+"h_l!(1l"</f>
        <v>#VALUE!</v>
      </c>
      <c r="P159" t="e">
        <f>'Compiled Agents'!B1163+"h_l!(1m"</f>
        <v>#VALUE!</v>
      </c>
      <c r="Q159" t="e">
        <f>'Compiled Agents'!C1163+"h_l!(1n"</f>
        <v>#VALUE!</v>
      </c>
      <c r="R159" t="e">
        <f>'Compiled Agents'!E1163+"h_l!(1o"</f>
        <v>#VALUE!</v>
      </c>
      <c r="S159" t="e">
        <f>'Compiled Agents'!F1163+"h_l!(1p"</f>
        <v>#VALUE!</v>
      </c>
      <c r="T159" t="e">
        <f>'Compiled Agents'!G1163+"h_l!(1q"</f>
        <v>#VALUE!</v>
      </c>
      <c r="U159" t="e">
        <f>'Compiled Agents'!H1163+"h_l!(1r"</f>
        <v>#VALUE!</v>
      </c>
      <c r="V159" t="e">
        <f>'Compiled Agents'!A1164+"h_l!(1s"</f>
        <v>#VALUE!</v>
      </c>
      <c r="W159" t="e">
        <f>'Compiled Agents'!B1164+"h_l!(1t"</f>
        <v>#VALUE!</v>
      </c>
      <c r="X159" t="e">
        <f>'Compiled Agents'!C1164+"h_l!(1u"</f>
        <v>#VALUE!</v>
      </c>
      <c r="Y159" t="e">
        <f>'Compiled Agents'!E1164+"h_l!(1v"</f>
        <v>#VALUE!</v>
      </c>
      <c r="Z159" t="e">
        <f>'Compiled Agents'!F1164+"h_l!(1w"</f>
        <v>#VALUE!</v>
      </c>
      <c r="AA159" t="e">
        <f>'Compiled Agents'!G1164+"h_l!(1x"</f>
        <v>#VALUE!</v>
      </c>
      <c r="AB159" t="e">
        <f>'Compiled Agents'!H1164+"h_l!(1y"</f>
        <v>#VALUE!</v>
      </c>
      <c r="AC159" t="e">
        <f>'Compiled Agents'!A1165+"h_l!(1z"</f>
        <v>#VALUE!</v>
      </c>
      <c r="AD159" t="e">
        <f>'Compiled Agents'!B1165+"h_l!(1{"</f>
        <v>#VALUE!</v>
      </c>
      <c r="AE159" t="e">
        <f>'Compiled Agents'!C1165+"h_l!(1|"</f>
        <v>#VALUE!</v>
      </c>
      <c r="AF159" t="e">
        <f>'Compiled Agents'!E1165+"h_l!(1}"</f>
        <v>#VALUE!</v>
      </c>
      <c r="AG159" t="e">
        <f>'Compiled Agents'!F1165+"h_l!(1~"</f>
        <v>#VALUE!</v>
      </c>
      <c r="AH159" t="e">
        <f>'Compiled Agents'!G1165+"h_l!(2#"</f>
        <v>#VALUE!</v>
      </c>
      <c r="AI159" t="e">
        <f>'Compiled Agents'!H1165+"h_l!(2$"</f>
        <v>#VALUE!</v>
      </c>
      <c r="AJ159" t="e">
        <f>'Compiled Agents'!A1166+"h_l!(2%"</f>
        <v>#VALUE!</v>
      </c>
      <c r="AK159" t="e">
        <f>'Compiled Agents'!B1166+"h_l!(2&amp;"</f>
        <v>#VALUE!</v>
      </c>
      <c r="AL159" t="e">
        <f>'Compiled Agents'!C1166+"h_l!(2'"</f>
        <v>#VALUE!</v>
      </c>
      <c r="AM159" t="e">
        <f>'Compiled Agents'!E1166+"h_l!(2("</f>
        <v>#VALUE!</v>
      </c>
      <c r="AN159" t="e">
        <f>'Compiled Agents'!F1166+"h_l!(2)"</f>
        <v>#VALUE!</v>
      </c>
      <c r="AO159" t="e">
        <f>'Compiled Agents'!G1166+"h_l!(2."</f>
        <v>#VALUE!</v>
      </c>
      <c r="AP159" t="e">
        <f>'Compiled Agents'!H1166+"h_l!(2/"</f>
        <v>#VALUE!</v>
      </c>
      <c r="AQ159" t="e">
        <f>'Compiled Agents'!A1167+"h_l!(20"</f>
        <v>#VALUE!</v>
      </c>
      <c r="AR159" t="e">
        <f>'Compiled Agents'!B1167+"h_l!(21"</f>
        <v>#VALUE!</v>
      </c>
      <c r="AS159" t="e">
        <f>'Compiled Agents'!C1167+"h_l!(22"</f>
        <v>#VALUE!</v>
      </c>
      <c r="AT159" t="e">
        <f>'Compiled Agents'!E1167+"h_l!(23"</f>
        <v>#VALUE!</v>
      </c>
      <c r="AU159" t="e">
        <f>'Compiled Agents'!F1167+"h_l!(24"</f>
        <v>#VALUE!</v>
      </c>
      <c r="AV159" t="e">
        <f>'Compiled Agents'!G1167+"h_l!(25"</f>
        <v>#VALUE!</v>
      </c>
      <c r="AW159" t="e">
        <f>'Compiled Agents'!H1167+"h_l!(26"</f>
        <v>#VALUE!</v>
      </c>
      <c r="AX159" t="e">
        <f>'Compiled Agents'!A1168+"h_l!(27"</f>
        <v>#VALUE!</v>
      </c>
      <c r="AY159" t="e">
        <f>'Compiled Agents'!B1168+"h_l!(28"</f>
        <v>#VALUE!</v>
      </c>
      <c r="AZ159" t="e">
        <f>'Compiled Agents'!C1168+"h_l!(29"</f>
        <v>#VALUE!</v>
      </c>
      <c r="BA159" t="e">
        <f>'Compiled Agents'!E1168+"h_l!(2:"</f>
        <v>#VALUE!</v>
      </c>
      <c r="BB159" t="e">
        <f>'Compiled Agents'!F1168+"h_l!(2;"</f>
        <v>#VALUE!</v>
      </c>
      <c r="BC159" t="e">
        <f>'Compiled Agents'!G1168+"h_l!(2&lt;"</f>
        <v>#VALUE!</v>
      </c>
      <c r="BD159" t="e">
        <f>'Compiled Agents'!H1168+"h_l!(2="</f>
        <v>#VALUE!</v>
      </c>
      <c r="BE159" t="e">
        <f>'Compiled Agents'!A1169+"h_l!(2&gt;"</f>
        <v>#VALUE!</v>
      </c>
      <c r="BF159" t="e">
        <f>'Compiled Agents'!B1169+"h_l!(2?"</f>
        <v>#VALUE!</v>
      </c>
      <c r="BG159" t="e">
        <f>'Compiled Agents'!C1169+"h_l!(2@"</f>
        <v>#VALUE!</v>
      </c>
      <c r="BH159" t="e">
        <f>'Compiled Agents'!E1169+"h_l!(2A"</f>
        <v>#VALUE!</v>
      </c>
      <c r="BI159" t="e">
        <f>'Compiled Agents'!F1169+"h_l!(2B"</f>
        <v>#VALUE!</v>
      </c>
      <c r="BJ159" t="e">
        <f>'Compiled Agents'!G1169+"h_l!(2C"</f>
        <v>#VALUE!</v>
      </c>
      <c r="BK159" t="e">
        <f>'Compiled Agents'!H1169+"h_l!(2D"</f>
        <v>#VALUE!</v>
      </c>
      <c r="BL159" t="e">
        <f>'Compiled Agents'!A1170+"h_l!(2E"</f>
        <v>#VALUE!</v>
      </c>
      <c r="BM159" t="e">
        <f>'Compiled Agents'!B1170+"h_l!(2F"</f>
        <v>#VALUE!</v>
      </c>
      <c r="BN159" t="e">
        <f>'Compiled Agents'!C1170+"h_l!(2G"</f>
        <v>#VALUE!</v>
      </c>
      <c r="BO159" t="e">
        <f>'Compiled Agents'!E1170+"h_l!(2H"</f>
        <v>#VALUE!</v>
      </c>
      <c r="BP159" t="e">
        <f>'Compiled Agents'!F1170+"h_l!(2I"</f>
        <v>#VALUE!</v>
      </c>
      <c r="BQ159" t="e">
        <f>'Compiled Agents'!G1170+"h_l!(2J"</f>
        <v>#VALUE!</v>
      </c>
      <c r="BR159" t="e">
        <f>'Compiled Agents'!H1170+"h_l!(2K"</f>
        <v>#VALUE!</v>
      </c>
      <c r="BS159" t="e">
        <f>'Compiled Agents'!A1171+"h_l!(2L"</f>
        <v>#VALUE!</v>
      </c>
      <c r="BT159" t="e">
        <f>'Compiled Agents'!B1171+"h_l!(2M"</f>
        <v>#VALUE!</v>
      </c>
      <c r="BU159" t="e">
        <f>'Compiled Agents'!C1171+"h_l!(2N"</f>
        <v>#VALUE!</v>
      </c>
      <c r="BV159" t="e">
        <f>'Compiled Agents'!E1171+"h_l!(2O"</f>
        <v>#VALUE!</v>
      </c>
      <c r="BW159" t="e">
        <f>'Compiled Agents'!F1171+"h_l!(2P"</f>
        <v>#VALUE!</v>
      </c>
      <c r="BX159" t="e">
        <f>'Compiled Agents'!G1171+"h_l!(2Q"</f>
        <v>#VALUE!</v>
      </c>
      <c r="BY159" t="e">
        <f>'Compiled Agents'!H1171+"h_l!(2R"</f>
        <v>#VALUE!</v>
      </c>
      <c r="BZ159" t="e">
        <f>'Compiled Agents'!A1172+"h_l!(2S"</f>
        <v>#VALUE!</v>
      </c>
      <c r="CA159" t="e">
        <f>'Compiled Agents'!B1172+"h_l!(2T"</f>
        <v>#VALUE!</v>
      </c>
      <c r="CB159" t="e">
        <f>'Compiled Agents'!C1172+"h_l!(2U"</f>
        <v>#VALUE!</v>
      </c>
      <c r="CC159" t="e">
        <f>'Compiled Agents'!E1172+"h_l!(2V"</f>
        <v>#VALUE!</v>
      </c>
      <c r="CD159" t="e">
        <f>'Compiled Agents'!F1172+"h_l!(2W"</f>
        <v>#VALUE!</v>
      </c>
      <c r="CE159" t="e">
        <f>'Compiled Agents'!G1172+"h_l!(2X"</f>
        <v>#VALUE!</v>
      </c>
      <c r="CF159" t="e">
        <f>'Compiled Agents'!H1172+"h_l!(2Y"</f>
        <v>#VALUE!</v>
      </c>
      <c r="CG159" t="e">
        <f>'Compiled Agents'!A1173+"h_l!(2Z"</f>
        <v>#VALUE!</v>
      </c>
      <c r="CH159" t="e">
        <f>'Compiled Agents'!B1173+"h_l!(2["</f>
        <v>#VALUE!</v>
      </c>
      <c r="CI159" t="e">
        <f>'Compiled Agents'!C1173+"h_l!(2\"</f>
        <v>#VALUE!</v>
      </c>
      <c r="CJ159" t="e">
        <f>'Compiled Agents'!E1173+"h_l!(2]"</f>
        <v>#VALUE!</v>
      </c>
      <c r="CK159" t="e">
        <f>'Compiled Agents'!F1173+"h_l!(2^"</f>
        <v>#VALUE!</v>
      </c>
      <c r="CL159" t="e">
        <f>'Compiled Agents'!G1173+"h_l!(2_"</f>
        <v>#VALUE!</v>
      </c>
      <c r="CM159" t="e">
        <f>'Compiled Agents'!H1173+"h_l!(2`"</f>
        <v>#VALUE!</v>
      </c>
      <c r="CN159" t="e">
        <f>'Compiled Agents'!A1174+"h_l!(2a"</f>
        <v>#VALUE!</v>
      </c>
      <c r="CO159" t="e">
        <f>'Compiled Agents'!B1174+"h_l!(2b"</f>
        <v>#VALUE!</v>
      </c>
      <c r="CP159" t="e">
        <f>'Compiled Agents'!C1174+"h_l!(2c"</f>
        <v>#VALUE!</v>
      </c>
      <c r="CQ159" t="e">
        <f>'Compiled Agents'!E1174+"h_l!(2d"</f>
        <v>#VALUE!</v>
      </c>
      <c r="CR159" t="e">
        <f>'Compiled Agents'!F1174+"h_l!(2e"</f>
        <v>#VALUE!</v>
      </c>
      <c r="CS159" t="e">
        <f>'Compiled Agents'!G1174+"h_l!(2f"</f>
        <v>#VALUE!</v>
      </c>
      <c r="CT159" t="e">
        <f>'Compiled Agents'!H1174+"h_l!(2g"</f>
        <v>#VALUE!</v>
      </c>
      <c r="CU159" t="e">
        <f>'Compiled Agents'!A1175+"h_l!(2h"</f>
        <v>#VALUE!</v>
      </c>
      <c r="CV159" t="e">
        <f>'Compiled Agents'!B1175+"h_l!(2i"</f>
        <v>#VALUE!</v>
      </c>
      <c r="CW159" t="e">
        <f>'Compiled Agents'!C1175+"h_l!(2j"</f>
        <v>#VALUE!</v>
      </c>
      <c r="CX159" t="e">
        <f>'Compiled Agents'!E1175+"h_l!(2k"</f>
        <v>#VALUE!</v>
      </c>
      <c r="CY159" t="e">
        <f>'Compiled Agents'!F1175+"h_l!(2l"</f>
        <v>#VALUE!</v>
      </c>
      <c r="CZ159" t="e">
        <f>'Compiled Agents'!G1175+"h_l!(2m"</f>
        <v>#VALUE!</v>
      </c>
      <c r="DA159" t="e">
        <f>'Compiled Agents'!H1175+"h_l!(2n"</f>
        <v>#VALUE!</v>
      </c>
      <c r="DB159" t="e">
        <f>'Compiled Agents'!A1176+"h_l!(2o"</f>
        <v>#VALUE!</v>
      </c>
      <c r="DC159" t="e">
        <f>'Compiled Agents'!B1176+"h_l!(2p"</f>
        <v>#VALUE!</v>
      </c>
      <c r="DD159" t="e">
        <f>'Compiled Agents'!C1176+"h_l!(2q"</f>
        <v>#VALUE!</v>
      </c>
      <c r="DE159" t="e">
        <f>'Compiled Agents'!E1176+"h_l!(2r"</f>
        <v>#VALUE!</v>
      </c>
      <c r="DF159" t="e">
        <f>'Compiled Agents'!F1176+"h_l!(2s"</f>
        <v>#VALUE!</v>
      </c>
      <c r="DG159" t="e">
        <f>'Compiled Agents'!G1176+"h_l!(2t"</f>
        <v>#VALUE!</v>
      </c>
      <c r="DH159" t="e">
        <f>'Compiled Agents'!H1176+"h_l!(2u"</f>
        <v>#VALUE!</v>
      </c>
      <c r="DI159" t="e">
        <f>'Compiled Agents'!A1177+"h_l!(2v"</f>
        <v>#VALUE!</v>
      </c>
      <c r="DJ159" t="e">
        <f>'Compiled Agents'!B1177+"h_l!(2w"</f>
        <v>#VALUE!</v>
      </c>
      <c r="DK159" t="e">
        <f>'Compiled Agents'!C1177+"h_l!(2x"</f>
        <v>#VALUE!</v>
      </c>
      <c r="DL159" t="e">
        <f>'Compiled Agents'!E1177+"h_l!(2y"</f>
        <v>#VALUE!</v>
      </c>
      <c r="DM159" t="e">
        <f>'Compiled Agents'!F1177+"h_l!(2z"</f>
        <v>#VALUE!</v>
      </c>
      <c r="DN159" t="e">
        <f>'Compiled Agents'!G1177+"h_l!(2{"</f>
        <v>#VALUE!</v>
      </c>
      <c r="DO159" t="e">
        <f>'Compiled Agents'!H1177+"h_l!(2|"</f>
        <v>#VALUE!</v>
      </c>
      <c r="DP159" t="e">
        <f>'Compiled Agents'!A1178+"h_l!(2}"</f>
        <v>#VALUE!</v>
      </c>
      <c r="DQ159" t="e">
        <f>'Compiled Agents'!B1178+"h_l!(2~"</f>
        <v>#VALUE!</v>
      </c>
      <c r="DR159" t="e">
        <f>'Compiled Agents'!C1178+"h_l!(3#"</f>
        <v>#VALUE!</v>
      </c>
      <c r="DS159" t="e">
        <f>'Compiled Agents'!E1178+"h_l!(3$"</f>
        <v>#VALUE!</v>
      </c>
      <c r="DT159" t="e">
        <f>'Compiled Agents'!F1178+"h_l!(3%"</f>
        <v>#VALUE!</v>
      </c>
      <c r="DU159" t="e">
        <f>'Compiled Agents'!G1178+"h_l!(3&amp;"</f>
        <v>#VALUE!</v>
      </c>
      <c r="DV159" t="e">
        <f>'Compiled Agents'!H1178+"h_l!(3'"</f>
        <v>#VALUE!</v>
      </c>
      <c r="DW159" t="e">
        <f>'Compiled Agents'!A1179+"h_l!(3("</f>
        <v>#VALUE!</v>
      </c>
      <c r="DX159" t="e">
        <f>'Compiled Agents'!B1179+"h_l!(3)"</f>
        <v>#VALUE!</v>
      </c>
      <c r="DY159" t="e">
        <f>'Compiled Agents'!C1179+"h_l!(3."</f>
        <v>#VALUE!</v>
      </c>
      <c r="DZ159" t="e">
        <f>'Compiled Agents'!E1179+"h_l!(3/"</f>
        <v>#VALUE!</v>
      </c>
      <c r="EA159" t="e">
        <f>'Compiled Agents'!F1179+"h_l!(30"</f>
        <v>#VALUE!</v>
      </c>
      <c r="EB159" t="e">
        <f>'Compiled Agents'!G1179+"h_l!(31"</f>
        <v>#VALUE!</v>
      </c>
      <c r="EC159" t="e">
        <f>'Compiled Agents'!H1179+"h_l!(32"</f>
        <v>#VALUE!</v>
      </c>
      <c r="ED159" t="e">
        <f>'Compiled Agents'!A1180+"h_l!(33"</f>
        <v>#VALUE!</v>
      </c>
      <c r="EE159" t="e">
        <f>'Compiled Agents'!B1180+"h_l!(34"</f>
        <v>#VALUE!</v>
      </c>
      <c r="EF159" t="e">
        <f>'Compiled Agents'!C1180+"h_l!(35"</f>
        <v>#VALUE!</v>
      </c>
      <c r="EG159" t="e">
        <f>'Compiled Agents'!E1180+"h_l!(36"</f>
        <v>#VALUE!</v>
      </c>
      <c r="EH159" t="e">
        <f>'Compiled Agents'!F1180+"h_l!(37"</f>
        <v>#VALUE!</v>
      </c>
      <c r="EI159" t="e">
        <f>'Compiled Agents'!G1180+"h_l!(38"</f>
        <v>#VALUE!</v>
      </c>
      <c r="EJ159" t="e">
        <f>'Compiled Agents'!H1180+"h_l!(39"</f>
        <v>#VALUE!</v>
      </c>
      <c r="EK159" t="e">
        <f>'Compiled Agents'!A1181+"h_l!(3:"</f>
        <v>#VALUE!</v>
      </c>
      <c r="EL159" t="e">
        <f>'Compiled Agents'!B1181+"h_l!(3;"</f>
        <v>#VALUE!</v>
      </c>
      <c r="EM159" t="e">
        <f>'Compiled Agents'!C1181+"h_l!(3&lt;"</f>
        <v>#VALUE!</v>
      </c>
      <c r="EN159" t="e">
        <f>'Compiled Agents'!E1181+"h_l!(3="</f>
        <v>#VALUE!</v>
      </c>
      <c r="EO159" t="e">
        <f>'Compiled Agents'!F1181+"h_l!(3&gt;"</f>
        <v>#VALUE!</v>
      </c>
      <c r="EP159" t="e">
        <f>'Compiled Agents'!G1181+"h_l!(3?"</f>
        <v>#VALUE!</v>
      </c>
      <c r="EQ159" t="e">
        <f>'Compiled Agents'!H1181+"h_l!(3@"</f>
        <v>#VALUE!</v>
      </c>
      <c r="ER159" t="e">
        <f>'Compiled Agents'!A1182+"h_l!(3A"</f>
        <v>#VALUE!</v>
      </c>
      <c r="ES159" t="e">
        <f>'Compiled Agents'!B1182+"h_l!(3B"</f>
        <v>#VALUE!</v>
      </c>
      <c r="ET159" t="e">
        <f>'Compiled Agents'!C1182+"h_l!(3C"</f>
        <v>#VALUE!</v>
      </c>
      <c r="EU159" t="e">
        <f>'Compiled Agents'!E1182+"h_l!(3D"</f>
        <v>#VALUE!</v>
      </c>
      <c r="EV159" t="e">
        <f>'Compiled Agents'!F1182+"h_l!(3E"</f>
        <v>#VALUE!</v>
      </c>
      <c r="EW159" t="e">
        <f>'Compiled Agents'!G1182+"h_l!(3F"</f>
        <v>#VALUE!</v>
      </c>
      <c r="EX159" t="e">
        <f>'Compiled Agents'!H1182+"h_l!(3G"</f>
        <v>#VALUE!</v>
      </c>
      <c r="EY159" t="e">
        <f>'Compiled Agents'!A1183+"h_l!(3H"</f>
        <v>#VALUE!</v>
      </c>
      <c r="EZ159" t="e">
        <f>'Compiled Agents'!B1183+"h_l!(3I"</f>
        <v>#VALUE!</v>
      </c>
      <c r="FA159" t="e">
        <f>'Compiled Agents'!C1183+"h_l!(3J"</f>
        <v>#VALUE!</v>
      </c>
      <c r="FB159" t="e">
        <f>'Compiled Agents'!E1183+"h_l!(3K"</f>
        <v>#VALUE!</v>
      </c>
      <c r="FC159" t="e">
        <f>'Compiled Agents'!F1183+"h_l!(3L"</f>
        <v>#VALUE!</v>
      </c>
      <c r="FD159" t="e">
        <f>'Compiled Agents'!G1183+"h_l!(3M"</f>
        <v>#VALUE!</v>
      </c>
      <c r="FE159" t="e">
        <f>'Compiled Agents'!H1183+"h_l!(3N"</f>
        <v>#VALUE!</v>
      </c>
      <c r="FF159" t="e">
        <f>'Compiled Agents'!A1184+"h_l!(3O"</f>
        <v>#VALUE!</v>
      </c>
      <c r="FG159" t="e">
        <f>'Compiled Agents'!B1184+"h_l!(3P"</f>
        <v>#VALUE!</v>
      </c>
      <c r="FH159" t="e">
        <f>'Compiled Agents'!C1184+"h_l!(3Q"</f>
        <v>#VALUE!</v>
      </c>
      <c r="FI159" t="e">
        <f>'Compiled Agents'!E1184+"h_l!(3R"</f>
        <v>#VALUE!</v>
      </c>
      <c r="FJ159" t="e">
        <f>'Compiled Agents'!F1184+"h_l!(3S"</f>
        <v>#VALUE!</v>
      </c>
      <c r="FK159" t="e">
        <f>'Compiled Agents'!G1184+"h_l!(3T"</f>
        <v>#VALUE!</v>
      </c>
      <c r="FL159" t="e">
        <f>'Compiled Agents'!H1184+"h_l!(3U"</f>
        <v>#VALUE!</v>
      </c>
      <c r="FM159" t="e">
        <f>'Compiled Agents'!A1185+"h_l!(3V"</f>
        <v>#VALUE!</v>
      </c>
      <c r="FN159" t="e">
        <f>'Compiled Agents'!B1185+"h_l!(3W"</f>
        <v>#VALUE!</v>
      </c>
      <c r="FO159" t="e">
        <f>'Compiled Agents'!C1185+"h_l!(3X"</f>
        <v>#VALUE!</v>
      </c>
      <c r="FP159" t="e">
        <f>'Compiled Agents'!E1185+"h_l!(3Y"</f>
        <v>#VALUE!</v>
      </c>
      <c r="FQ159" t="e">
        <f>'Compiled Agents'!F1185+"h_l!(3Z"</f>
        <v>#VALUE!</v>
      </c>
      <c r="FR159" t="e">
        <f>'Compiled Agents'!G1185+"h_l!(3["</f>
        <v>#VALUE!</v>
      </c>
      <c r="FS159" t="e">
        <f>'Compiled Agents'!H1185+"h_l!(3\"</f>
        <v>#VALUE!</v>
      </c>
      <c r="FT159" t="e">
        <f>'Compiled Agents'!A1186+"h_l!(3]"</f>
        <v>#VALUE!</v>
      </c>
      <c r="FU159" t="e">
        <f>'Compiled Agents'!B1186+"h_l!(3^"</f>
        <v>#VALUE!</v>
      </c>
      <c r="FV159" t="e">
        <f>'Compiled Agents'!C1186+"h_l!(3_"</f>
        <v>#VALUE!</v>
      </c>
      <c r="FW159" t="e">
        <f>'Compiled Agents'!E1186+"h_l!(3`"</f>
        <v>#VALUE!</v>
      </c>
      <c r="FX159" t="e">
        <f>'Compiled Agents'!F1186+"h_l!(3a"</f>
        <v>#VALUE!</v>
      </c>
      <c r="FY159" t="e">
        <f>'Compiled Agents'!G1186+"h_l!(3b"</f>
        <v>#VALUE!</v>
      </c>
      <c r="FZ159" t="e">
        <f>'Compiled Agents'!H1186+"h_l!(3c"</f>
        <v>#VALUE!</v>
      </c>
      <c r="GA159" t="e">
        <f>'Compiled Agents'!A1187+"h_l!(3d"</f>
        <v>#VALUE!</v>
      </c>
      <c r="GB159" t="e">
        <f>'Compiled Agents'!B1187+"h_l!(3e"</f>
        <v>#VALUE!</v>
      </c>
      <c r="GC159" t="e">
        <f>'Compiled Agents'!C1187+"h_l!(3f"</f>
        <v>#VALUE!</v>
      </c>
      <c r="GD159" t="e">
        <f>'Compiled Agents'!E1187+"h_l!(3g"</f>
        <v>#VALUE!</v>
      </c>
      <c r="GE159" t="e">
        <f>'Compiled Agents'!F1187+"h_l!(3h"</f>
        <v>#VALUE!</v>
      </c>
      <c r="GF159" t="e">
        <f>'Compiled Agents'!G1187+"h_l!(3i"</f>
        <v>#VALUE!</v>
      </c>
      <c r="GG159" t="e">
        <f>'Compiled Agents'!H1187+"h_l!(3j"</f>
        <v>#VALUE!</v>
      </c>
      <c r="GH159" t="e">
        <f>'Compiled Agents'!A1188+"h_l!(3k"</f>
        <v>#VALUE!</v>
      </c>
      <c r="GI159" t="e">
        <f>'Compiled Agents'!B1188+"h_l!(3l"</f>
        <v>#VALUE!</v>
      </c>
      <c r="GJ159" t="e">
        <f>'Compiled Agents'!C1188+"h_l!(3m"</f>
        <v>#VALUE!</v>
      </c>
      <c r="GK159" t="e">
        <f>'Compiled Agents'!E1188+"h_l!(3n"</f>
        <v>#VALUE!</v>
      </c>
      <c r="GL159" t="e">
        <f>'Compiled Agents'!F1188+"h_l!(3o"</f>
        <v>#VALUE!</v>
      </c>
      <c r="GM159" t="e">
        <f>'Compiled Agents'!G1188+"h_l!(3p"</f>
        <v>#VALUE!</v>
      </c>
      <c r="GN159" t="e">
        <f>'Compiled Agents'!H1188+"h_l!(3q"</f>
        <v>#VALUE!</v>
      </c>
      <c r="GO159" t="e">
        <f>'Compiled Agents'!A1189+"h_l!(3r"</f>
        <v>#VALUE!</v>
      </c>
      <c r="GP159" t="e">
        <f>'Compiled Agents'!B1189+"h_l!(3s"</f>
        <v>#VALUE!</v>
      </c>
      <c r="GQ159" t="e">
        <f>'Compiled Agents'!C1189+"h_l!(3t"</f>
        <v>#VALUE!</v>
      </c>
      <c r="GR159" t="e">
        <f>'Compiled Agents'!E1189+"h_l!(3u"</f>
        <v>#VALUE!</v>
      </c>
      <c r="GS159" t="e">
        <f>'Compiled Agents'!F1189+"h_l!(3v"</f>
        <v>#VALUE!</v>
      </c>
      <c r="GT159" t="e">
        <f>'Compiled Agents'!G1189+"h_l!(3w"</f>
        <v>#VALUE!</v>
      </c>
      <c r="GU159" t="e">
        <f>'Compiled Agents'!H1189+"h_l!(3x"</f>
        <v>#VALUE!</v>
      </c>
      <c r="GV159" t="e">
        <f>'Compiled Agents'!A1190+"h_l!(3y"</f>
        <v>#VALUE!</v>
      </c>
      <c r="GW159" t="e">
        <f>'Compiled Agents'!B1190+"h_l!(3z"</f>
        <v>#VALUE!</v>
      </c>
      <c r="GX159" t="e">
        <f>'Compiled Agents'!C1190+"h_l!(3{"</f>
        <v>#VALUE!</v>
      </c>
      <c r="GY159" t="e">
        <f>'Compiled Agents'!E1190+"h_l!(3|"</f>
        <v>#VALUE!</v>
      </c>
      <c r="GZ159" t="e">
        <f>'Compiled Agents'!F1190+"h_l!(3}"</f>
        <v>#VALUE!</v>
      </c>
      <c r="HA159" t="e">
        <f>'Compiled Agents'!G1190+"h_l!(3~"</f>
        <v>#VALUE!</v>
      </c>
      <c r="HB159" t="e">
        <f>'Compiled Agents'!H1190+"h_l!(4#"</f>
        <v>#VALUE!</v>
      </c>
      <c r="HC159" t="e">
        <f>'Compiled Agents'!A1191+"h_l!(4$"</f>
        <v>#VALUE!</v>
      </c>
      <c r="HD159" t="e">
        <f>'Compiled Agents'!B1191+"h_l!(4%"</f>
        <v>#VALUE!</v>
      </c>
      <c r="HE159" t="e">
        <f>'Compiled Agents'!C1191+"h_l!(4&amp;"</f>
        <v>#VALUE!</v>
      </c>
      <c r="HF159" t="e">
        <f>'Compiled Agents'!E1191+"h_l!(4'"</f>
        <v>#VALUE!</v>
      </c>
      <c r="HG159" t="e">
        <f>'Compiled Agents'!F1191+"h_l!(4("</f>
        <v>#VALUE!</v>
      </c>
      <c r="HH159" t="e">
        <f>'Compiled Agents'!G1191+"h_l!(4)"</f>
        <v>#VALUE!</v>
      </c>
      <c r="HI159" t="e">
        <f>'Compiled Agents'!H1191+"h_l!(4."</f>
        <v>#VALUE!</v>
      </c>
      <c r="HJ159" t="e">
        <f>'Compiled Agents'!A1192+"h_l!(4/"</f>
        <v>#VALUE!</v>
      </c>
      <c r="HK159" t="e">
        <f>'Compiled Agents'!B1192+"h_l!(40"</f>
        <v>#VALUE!</v>
      </c>
      <c r="HL159" t="e">
        <f>'Compiled Agents'!C1192+"h_l!(41"</f>
        <v>#VALUE!</v>
      </c>
      <c r="HM159" t="e">
        <f>'Compiled Agents'!E1192+"h_l!(42"</f>
        <v>#VALUE!</v>
      </c>
      <c r="HN159" t="e">
        <f>'Compiled Agents'!F1192+"h_l!(43"</f>
        <v>#VALUE!</v>
      </c>
      <c r="HO159" t="e">
        <f>'Compiled Agents'!G1192+"h_l!(44"</f>
        <v>#VALUE!</v>
      </c>
      <c r="HP159" t="e">
        <f>'Compiled Agents'!H1192+"h_l!(45"</f>
        <v>#VALUE!</v>
      </c>
      <c r="HQ159" t="e">
        <f>'Compiled Agents'!A1193+"h_l!(46"</f>
        <v>#VALUE!</v>
      </c>
      <c r="HR159" t="e">
        <f>'Compiled Agents'!B1193+"h_l!(47"</f>
        <v>#VALUE!</v>
      </c>
      <c r="HS159" t="e">
        <f>'Compiled Agents'!C1193+"h_l!(48"</f>
        <v>#VALUE!</v>
      </c>
      <c r="HT159" t="e">
        <f>'Compiled Agents'!E1193+"h_l!(49"</f>
        <v>#VALUE!</v>
      </c>
      <c r="HU159" t="e">
        <f>'Compiled Agents'!F1193+"h_l!(4:"</f>
        <v>#VALUE!</v>
      </c>
      <c r="HV159" t="e">
        <f>'Compiled Agents'!G1193+"h_l!(4;"</f>
        <v>#VALUE!</v>
      </c>
      <c r="HW159" t="e">
        <f>'Compiled Agents'!H1193+"h_l!(4&lt;"</f>
        <v>#VALUE!</v>
      </c>
      <c r="HX159" t="e">
        <f>'Compiled Agents'!A1194+"h_l!(4="</f>
        <v>#VALUE!</v>
      </c>
      <c r="HY159" t="e">
        <f>'Compiled Agents'!B1194+"h_l!(4&gt;"</f>
        <v>#VALUE!</v>
      </c>
      <c r="HZ159" t="e">
        <f>'Compiled Agents'!C1194+"h_l!(4?"</f>
        <v>#VALUE!</v>
      </c>
      <c r="IA159" t="e">
        <f>'Compiled Agents'!E1194+"h_l!(4@"</f>
        <v>#VALUE!</v>
      </c>
      <c r="IB159" t="e">
        <f>'Compiled Agents'!F1194+"h_l!(4A"</f>
        <v>#VALUE!</v>
      </c>
      <c r="IC159" t="e">
        <f>'Compiled Agents'!G1194+"h_l!(4B"</f>
        <v>#VALUE!</v>
      </c>
      <c r="ID159" t="e">
        <f>'Compiled Agents'!H1194+"h_l!(4C"</f>
        <v>#VALUE!</v>
      </c>
      <c r="IE159" t="e">
        <f>'Compiled Agents'!A1195+"h_l!(4D"</f>
        <v>#VALUE!</v>
      </c>
      <c r="IF159" t="e">
        <f>'Compiled Agents'!B1195+"h_l!(4E"</f>
        <v>#VALUE!</v>
      </c>
      <c r="IG159" t="e">
        <f>'Compiled Agents'!C1195+"h_l!(4F"</f>
        <v>#VALUE!</v>
      </c>
      <c r="IH159" t="e">
        <f>'Compiled Agents'!E1195+"h_l!(4G"</f>
        <v>#VALUE!</v>
      </c>
      <c r="II159" t="e">
        <f>'Compiled Agents'!F1195+"h_l!(4H"</f>
        <v>#VALUE!</v>
      </c>
      <c r="IJ159" t="e">
        <f>'Compiled Agents'!G1195+"h_l!(4I"</f>
        <v>#VALUE!</v>
      </c>
      <c r="IK159" t="e">
        <f>'Compiled Agents'!H1195+"h_l!(4J"</f>
        <v>#VALUE!</v>
      </c>
      <c r="IL159" t="e">
        <f>'Compiled Agents'!A1196+"h_l!(4K"</f>
        <v>#VALUE!</v>
      </c>
      <c r="IM159" t="e">
        <f>'Compiled Agents'!B1196+"h_l!(4L"</f>
        <v>#VALUE!</v>
      </c>
      <c r="IN159" t="e">
        <f>'Compiled Agents'!C1196+"h_l!(4M"</f>
        <v>#VALUE!</v>
      </c>
      <c r="IO159" t="e">
        <f>'Compiled Agents'!E1196+"h_l!(4N"</f>
        <v>#VALUE!</v>
      </c>
      <c r="IP159" t="e">
        <f>'Compiled Agents'!F1196+"h_l!(4O"</f>
        <v>#VALUE!</v>
      </c>
      <c r="IQ159" t="e">
        <f>'Compiled Agents'!G1196+"h_l!(4P"</f>
        <v>#VALUE!</v>
      </c>
      <c r="IR159" t="e">
        <f>'Compiled Agents'!H1196+"h_l!(4Q"</f>
        <v>#VALUE!</v>
      </c>
      <c r="IS159" t="e">
        <f>'Compiled Agents'!A1197+"h_l!(4R"</f>
        <v>#VALUE!</v>
      </c>
      <c r="IT159" t="e">
        <f>'Compiled Agents'!B1197+"h_l!(4S"</f>
        <v>#VALUE!</v>
      </c>
      <c r="IU159" t="e">
        <f>'Compiled Agents'!C1197+"h_l!(4T"</f>
        <v>#VALUE!</v>
      </c>
      <c r="IV159" t="e">
        <f>'Compiled Agents'!E1197+"h_l!(4U"</f>
        <v>#VALUE!</v>
      </c>
    </row>
    <row r="160" spans="6:256" x14ac:dyDescent="0.25">
      <c r="F160" t="e">
        <f>'Compiled Agents'!F1197+"h_l!(4V"</f>
        <v>#VALUE!</v>
      </c>
      <c r="G160" t="e">
        <f>'Compiled Agents'!G1197+"h_l!(4W"</f>
        <v>#VALUE!</v>
      </c>
      <c r="H160" t="e">
        <f>'Compiled Agents'!H1197+"h_l!(4X"</f>
        <v>#VALUE!</v>
      </c>
      <c r="I160" t="e">
        <f>'Compiled Agents'!A1198+"h_l!(4Y"</f>
        <v>#VALUE!</v>
      </c>
      <c r="J160" t="e">
        <f>'Compiled Agents'!B1198+"h_l!(4Z"</f>
        <v>#VALUE!</v>
      </c>
      <c r="K160" t="e">
        <f>'Compiled Agents'!C1198+"h_l!(4["</f>
        <v>#VALUE!</v>
      </c>
      <c r="L160" t="e">
        <f>'Compiled Agents'!E1198+"h_l!(4\"</f>
        <v>#VALUE!</v>
      </c>
      <c r="M160" t="e">
        <f>'Compiled Agents'!F1198+"h_l!(4]"</f>
        <v>#VALUE!</v>
      </c>
      <c r="N160" t="e">
        <f>'Compiled Agents'!G1198+"h_l!(4^"</f>
        <v>#VALUE!</v>
      </c>
      <c r="O160" t="e">
        <f>'Compiled Agents'!H1198+"h_l!(4_"</f>
        <v>#VALUE!</v>
      </c>
      <c r="P160" t="e">
        <f>'Compiled Agents'!A1199+"h_l!(4`"</f>
        <v>#VALUE!</v>
      </c>
      <c r="Q160" t="e">
        <f>'Compiled Agents'!B1199+"h_l!(4a"</f>
        <v>#VALUE!</v>
      </c>
      <c r="R160" t="e">
        <f>'Compiled Agents'!C1199+"h_l!(4b"</f>
        <v>#VALUE!</v>
      </c>
      <c r="S160" t="e">
        <f>'Compiled Agents'!E1199+"h_l!(4c"</f>
        <v>#VALUE!</v>
      </c>
      <c r="T160" t="e">
        <f>'Compiled Agents'!F1199+"h_l!(4d"</f>
        <v>#VALUE!</v>
      </c>
      <c r="U160" t="e">
        <f>'Compiled Agents'!G1199+"h_l!(4e"</f>
        <v>#VALUE!</v>
      </c>
      <c r="V160" t="e">
        <f>'Compiled Agents'!H1199+"h_l!(4f"</f>
        <v>#VALUE!</v>
      </c>
      <c r="W160" t="e">
        <f>'Compiled Agents'!A1200+"h_l!(4g"</f>
        <v>#VALUE!</v>
      </c>
      <c r="X160" t="e">
        <f>'Compiled Agents'!B1200+"h_l!(4h"</f>
        <v>#VALUE!</v>
      </c>
      <c r="Y160" t="e">
        <f>'Compiled Agents'!C1200+"h_l!(4i"</f>
        <v>#VALUE!</v>
      </c>
      <c r="Z160" t="e">
        <f>'Compiled Agents'!E1200+"h_l!(4j"</f>
        <v>#VALUE!</v>
      </c>
      <c r="AA160" t="e">
        <f>'Compiled Agents'!F1200+"h_l!(4k"</f>
        <v>#VALUE!</v>
      </c>
      <c r="AB160" t="e">
        <f>'Compiled Agents'!G1200+"h_l!(4l"</f>
        <v>#VALUE!</v>
      </c>
      <c r="AC160" t="e">
        <f>'Compiled Agents'!H1200+"h_l!(4m"</f>
        <v>#VALUE!</v>
      </c>
      <c r="AD160" t="e">
        <f>'Compiled Agents'!A1201+"h_l!(4n"</f>
        <v>#VALUE!</v>
      </c>
      <c r="AE160" t="e">
        <f>'Compiled Agents'!B1201+"h_l!(4o"</f>
        <v>#VALUE!</v>
      </c>
      <c r="AF160" t="e">
        <f>'Compiled Agents'!C1201+"h_l!(4p"</f>
        <v>#VALUE!</v>
      </c>
      <c r="AG160" t="e">
        <f>'Compiled Agents'!E1201+"h_l!(4q"</f>
        <v>#VALUE!</v>
      </c>
      <c r="AH160" t="e">
        <f>'Compiled Agents'!F1201+"h_l!(4r"</f>
        <v>#VALUE!</v>
      </c>
      <c r="AI160" t="e">
        <f>'Compiled Agents'!G1201+"h_l!(4s"</f>
        <v>#VALUE!</v>
      </c>
      <c r="AJ160" t="e">
        <f>'Compiled Agents'!H1201+"h_l!(4t"</f>
        <v>#VALUE!</v>
      </c>
      <c r="AK160" t="e">
        <f>'Compiled Agents'!A1202+"h_l!(4u"</f>
        <v>#VALUE!</v>
      </c>
      <c r="AL160" t="e">
        <f>'Compiled Agents'!B1202+"h_l!(4v"</f>
        <v>#VALUE!</v>
      </c>
      <c r="AM160" t="e">
        <f>'Compiled Agents'!C1202+"h_l!(4w"</f>
        <v>#VALUE!</v>
      </c>
      <c r="AN160" t="e">
        <f>'Compiled Agents'!E1202+"h_l!(4x"</f>
        <v>#VALUE!</v>
      </c>
      <c r="AO160" t="e">
        <f>'Compiled Agents'!F1202+"h_l!(4y"</f>
        <v>#VALUE!</v>
      </c>
      <c r="AP160" t="e">
        <f>'Compiled Agents'!G1202+"h_l!(4z"</f>
        <v>#VALUE!</v>
      </c>
      <c r="AQ160" t="e">
        <f>'Compiled Agents'!H1202+"h_l!(4{"</f>
        <v>#VALUE!</v>
      </c>
      <c r="AR160" t="e">
        <f>'Compiled Agents'!A1203+"h_l!(4|"</f>
        <v>#VALUE!</v>
      </c>
      <c r="AS160" t="e">
        <f>'Compiled Agents'!B1203+"h_l!(4}"</f>
        <v>#VALUE!</v>
      </c>
      <c r="AT160" t="e">
        <f>'Compiled Agents'!C1203+"h_l!(4~"</f>
        <v>#VALUE!</v>
      </c>
      <c r="AU160" t="e">
        <f>'Compiled Agents'!E1203+"h_l!(5#"</f>
        <v>#VALUE!</v>
      </c>
      <c r="AV160" t="e">
        <f>'Compiled Agents'!F1203+"h_l!(5$"</f>
        <v>#VALUE!</v>
      </c>
      <c r="AW160" t="e">
        <f>'Compiled Agents'!G1203+"h_l!(5%"</f>
        <v>#VALUE!</v>
      </c>
      <c r="AX160" t="e">
        <f>'Compiled Agents'!H1203+"h_l!(5&amp;"</f>
        <v>#VALUE!</v>
      </c>
      <c r="AY160" t="e">
        <f>'Compiled Agents'!A1204+"h_l!(5'"</f>
        <v>#VALUE!</v>
      </c>
      <c r="AZ160" t="e">
        <f>'Compiled Agents'!B1204+"h_l!(5("</f>
        <v>#VALUE!</v>
      </c>
      <c r="BA160" t="e">
        <f>'Compiled Agents'!C1204+"h_l!(5)"</f>
        <v>#VALUE!</v>
      </c>
      <c r="BB160" t="e">
        <f>'Compiled Agents'!E1204+"h_l!(5."</f>
        <v>#VALUE!</v>
      </c>
      <c r="BC160" t="e">
        <f>'Compiled Agents'!F1204+"h_l!(5/"</f>
        <v>#VALUE!</v>
      </c>
      <c r="BD160" t="e">
        <f>'Compiled Agents'!G1204+"h_l!(50"</f>
        <v>#VALUE!</v>
      </c>
      <c r="BE160" t="e">
        <f>'Compiled Agents'!H1204+"h_l!(51"</f>
        <v>#VALUE!</v>
      </c>
      <c r="BF160" t="e">
        <f>'Compiled Agents'!A1205+"h_l!(52"</f>
        <v>#VALUE!</v>
      </c>
      <c r="BG160" t="e">
        <f>'Compiled Agents'!B1205+"h_l!(53"</f>
        <v>#VALUE!</v>
      </c>
      <c r="BH160" t="e">
        <f>'Compiled Agents'!C1205+"h_l!(54"</f>
        <v>#VALUE!</v>
      </c>
      <c r="BI160" t="e">
        <f>'Compiled Agents'!E1205+"h_l!(55"</f>
        <v>#VALUE!</v>
      </c>
      <c r="BJ160" t="e">
        <f>'Compiled Agents'!F1205+"h_l!(56"</f>
        <v>#VALUE!</v>
      </c>
      <c r="BK160" t="e">
        <f>'Compiled Agents'!G1205+"h_l!(57"</f>
        <v>#VALUE!</v>
      </c>
      <c r="BL160" t="e">
        <f>'Compiled Agents'!H1205+"h_l!(58"</f>
        <v>#VALUE!</v>
      </c>
      <c r="BM160" t="e">
        <f>'Compiled Agents'!A1206+"h_l!(59"</f>
        <v>#VALUE!</v>
      </c>
      <c r="BN160" t="e">
        <f>'Compiled Agents'!B1206+"h_l!(5:"</f>
        <v>#VALUE!</v>
      </c>
      <c r="BO160" t="e">
        <f>'Compiled Agents'!C1206+"h_l!(5;"</f>
        <v>#VALUE!</v>
      </c>
      <c r="BP160" t="e">
        <f>'Compiled Agents'!E1206+"h_l!(5&lt;"</f>
        <v>#VALUE!</v>
      </c>
      <c r="BQ160" t="e">
        <f>'Compiled Agents'!F1206+"h_l!(5="</f>
        <v>#VALUE!</v>
      </c>
      <c r="BR160" t="e">
        <f>'Compiled Agents'!G1206+"h_l!(5&gt;"</f>
        <v>#VALUE!</v>
      </c>
      <c r="BS160" t="e">
        <f>'Compiled Agents'!H1206+"h_l!(5?"</f>
        <v>#VALUE!</v>
      </c>
      <c r="BT160" t="e">
        <f>'Compiled Agents'!A1207+"h_l!(5@"</f>
        <v>#VALUE!</v>
      </c>
      <c r="BU160" t="e">
        <f>'Compiled Agents'!B1207+"h_l!(5A"</f>
        <v>#VALUE!</v>
      </c>
      <c r="BV160" t="e">
        <f>'Compiled Agents'!C1207+"h_l!(5B"</f>
        <v>#VALUE!</v>
      </c>
      <c r="BW160" t="e">
        <f>'Compiled Agents'!E1207+"h_l!(5C"</f>
        <v>#VALUE!</v>
      </c>
      <c r="BX160" t="e">
        <f>'Compiled Agents'!F1207+"h_l!(5D"</f>
        <v>#VALUE!</v>
      </c>
      <c r="BY160" t="e">
        <f>'Compiled Agents'!G1207+"h_l!(5E"</f>
        <v>#VALUE!</v>
      </c>
      <c r="BZ160" t="e">
        <f>'Compiled Agents'!H1207+"h_l!(5F"</f>
        <v>#VALUE!</v>
      </c>
      <c r="CA160" t="e">
        <f>'Compiled Agents'!A1208+"h_l!(5G"</f>
        <v>#VALUE!</v>
      </c>
      <c r="CB160" t="e">
        <f>'Compiled Agents'!B1208+"h_l!(5H"</f>
        <v>#VALUE!</v>
      </c>
      <c r="CC160" t="e">
        <f>'Compiled Agents'!C1208+"h_l!(5I"</f>
        <v>#VALUE!</v>
      </c>
      <c r="CD160" t="e">
        <f>'Compiled Agents'!E1208+"h_l!(5J"</f>
        <v>#VALUE!</v>
      </c>
      <c r="CE160" t="e">
        <f>'Compiled Agents'!F1208+"h_l!(5K"</f>
        <v>#VALUE!</v>
      </c>
      <c r="CF160" t="e">
        <f>'Compiled Agents'!G1208+"h_l!(5L"</f>
        <v>#VALUE!</v>
      </c>
      <c r="CG160" t="e">
        <f>'Compiled Agents'!H1208+"h_l!(5M"</f>
        <v>#VALUE!</v>
      </c>
      <c r="CH160" t="e">
        <f>'Compiled Agents'!A1209+"h_l!(5N"</f>
        <v>#VALUE!</v>
      </c>
      <c r="CI160" t="e">
        <f>'Compiled Agents'!B1209+"h_l!(5O"</f>
        <v>#VALUE!</v>
      </c>
      <c r="CJ160" t="e">
        <f>'Compiled Agents'!C1209+"h_l!(5P"</f>
        <v>#VALUE!</v>
      </c>
      <c r="CK160" t="e">
        <f>'Compiled Agents'!E1209+"h_l!(5Q"</f>
        <v>#VALUE!</v>
      </c>
      <c r="CL160" t="e">
        <f>'Compiled Agents'!F1209+"h_l!(5R"</f>
        <v>#VALUE!</v>
      </c>
      <c r="CM160" t="e">
        <f>'Compiled Agents'!G1209+"h_l!(5S"</f>
        <v>#VALUE!</v>
      </c>
      <c r="CN160" t="e">
        <f>'Compiled Agents'!H1209+"h_l!(5T"</f>
        <v>#VALUE!</v>
      </c>
      <c r="CO160" t="e">
        <f>'Compiled Agents'!A1210+"h_l!(5U"</f>
        <v>#VALUE!</v>
      </c>
      <c r="CP160" t="e">
        <f>'Compiled Agents'!B1210+"h_l!(5V"</f>
        <v>#VALUE!</v>
      </c>
      <c r="CQ160" t="e">
        <f>'Compiled Agents'!C1210+"h_l!(5W"</f>
        <v>#VALUE!</v>
      </c>
      <c r="CR160" t="e">
        <f>'Compiled Agents'!E1210+"h_l!(5X"</f>
        <v>#VALUE!</v>
      </c>
      <c r="CS160" t="e">
        <f>'Compiled Agents'!F1210+"h_l!(5Y"</f>
        <v>#VALUE!</v>
      </c>
      <c r="CT160" t="e">
        <f>'Compiled Agents'!G1210+"h_l!(5Z"</f>
        <v>#VALUE!</v>
      </c>
      <c r="CU160" t="e">
        <f>'Compiled Agents'!H1210+"h_l!(5["</f>
        <v>#VALUE!</v>
      </c>
      <c r="CV160" t="e">
        <f>'Compiled Agents'!A1211+"h_l!(5\"</f>
        <v>#VALUE!</v>
      </c>
      <c r="CW160" t="e">
        <f>'Compiled Agents'!B1211+"h_l!(5]"</f>
        <v>#VALUE!</v>
      </c>
      <c r="CX160" t="e">
        <f>'Compiled Agents'!C1211+"h_l!(5^"</f>
        <v>#VALUE!</v>
      </c>
      <c r="CY160" t="e">
        <f>'Compiled Agents'!E1211+"h_l!(5_"</f>
        <v>#VALUE!</v>
      </c>
      <c r="CZ160" t="e">
        <f>'Compiled Agents'!F1211+"h_l!(5`"</f>
        <v>#VALUE!</v>
      </c>
      <c r="DA160" t="e">
        <f>'Compiled Agents'!G1211+"h_l!(5a"</f>
        <v>#VALUE!</v>
      </c>
      <c r="DB160" t="e">
        <f>'Compiled Agents'!H1211+"h_l!(5b"</f>
        <v>#VALUE!</v>
      </c>
      <c r="DC160" t="e">
        <f>'Compiled Agents'!A1212+"h_l!(5c"</f>
        <v>#VALUE!</v>
      </c>
      <c r="DD160" t="e">
        <f>'Compiled Agents'!B1212+"h_l!(5d"</f>
        <v>#VALUE!</v>
      </c>
      <c r="DE160" t="e">
        <f>'Compiled Agents'!C1212+"h_l!(5e"</f>
        <v>#VALUE!</v>
      </c>
      <c r="DF160" t="e">
        <f>'Compiled Agents'!E1212+"h_l!(5f"</f>
        <v>#VALUE!</v>
      </c>
      <c r="DG160" t="e">
        <f>'Compiled Agents'!F1212+"h_l!(5g"</f>
        <v>#VALUE!</v>
      </c>
      <c r="DH160" t="e">
        <f>'Compiled Agents'!G1212+"h_l!(5h"</f>
        <v>#VALUE!</v>
      </c>
      <c r="DI160" t="e">
        <f>'Compiled Agents'!H1212+"h_l!(5i"</f>
        <v>#VALUE!</v>
      </c>
      <c r="DJ160" t="e">
        <f>'Compiled Agents'!A1213+"h_l!(5j"</f>
        <v>#VALUE!</v>
      </c>
      <c r="DK160" t="e">
        <f>'Compiled Agents'!B1213+"h_l!(5k"</f>
        <v>#VALUE!</v>
      </c>
      <c r="DL160" t="e">
        <f>'Compiled Agents'!C1213+"h_l!(5l"</f>
        <v>#VALUE!</v>
      </c>
      <c r="DM160" t="e">
        <f>'Compiled Agents'!E1213+"h_l!(5m"</f>
        <v>#VALUE!</v>
      </c>
      <c r="DN160" t="e">
        <f>'Compiled Agents'!F1213+"h_l!(5n"</f>
        <v>#VALUE!</v>
      </c>
      <c r="DO160" t="e">
        <f>'Compiled Agents'!G1213+"h_l!(5o"</f>
        <v>#VALUE!</v>
      </c>
      <c r="DP160" t="e">
        <f>'Compiled Agents'!H1213+"h_l!(5p"</f>
        <v>#VALUE!</v>
      </c>
      <c r="DQ160" t="e">
        <f>'Compiled Agents'!A1214+"h_l!(5q"</f>
        <v>#VALUE!</v>
      </c>
      <c r="DR160" t="e">
        <f>'Compiled Agents'!B1214+"h_l!(5r"</f>
        <v>#VALUE!</v>
      </c>
      <c r="DS160" t="e">
        <f>'Compiled Agents'!C1214+"h_l!(5s"</f>
        <v>#VALUE!</v>
      </c>
      <c r="DT160" t="e">
        <f>'Compiled Agents'!E1214+"h_l!(5t"</f>
        <v>#VALUE!</v>
      </c>
      <c r="DU160" t="e">
        <f>'Compiled Agents'!F1214+"h_l!(5u"</f>
        <v>#VALUE!</v>
      </c>
      <c r="DV160" t="e">
        <f>'Compiled Agents'!G1214+"h_l!(5v"</f>
        <v>#VALUE!</v>
      </c>
      <c r="DW160" t="e">
        <f>'Compiled Agents'!H1214+"h_l!(5w"</f>
        <v>#VALUE!</v>
      </c>
      <c r="DX160" t="e">
        <f>'Compiled Agents'!A1215+"h_l!(5x"</f>
        <v>#VALUE!</v>
      </c>
      <c r="DY160" t="e">
        <f>'Compiled Agents'!B1215+"h_l!(5y"</f>
        <v>#VALUE!</v>
      </c>
      <c r="DZ160" t="e">
        <f>'Compiled Agents'!C1215+"h_l!(5z"</f>
        <v>#VALUE!</v>
      </c>
      <c r="EA160" t="e">
        <f>'Compiled Agents'!E1215+"h_l!(5{"</f>
        <v>#VALUE!</v>
      </c>
      <c r="EB160" t="e">
        <f>'Compiled Agents'!F1215+"h_l!(5|"</f>
        <v>#VALUE!</v>
      </c>
      <c r="EC160" t="e">
        <f>'Compiled Agents'!G1215+"h_l!(5}"</f>
        <v>#VALUE!</v>
      </c>
      <c r="ED160" t="e">
        <f>'Compiled Agents'!H1215+"h_l!(5~"</f>
        <v>#VALUE!</v>
      </c>
      <c r="EE160" t="e">
        <f>'Compiled Agents'!A1216+"h_l!(6#"</f>
        <v>#VALUE!</v>
      </c>
      <c r="EF160" t="e">
        <f>'Compiled Agents'!B1216+"h_l!(6$"</f>
        <v>#VALUE!</v>
      </c>
      <c r="EG160" t="e">
        <f>'Compiled Agents'!C1216+"h_l!(6%"</f>
        <v>#VALUE!</v>
      </c>
      <c r="EH160" t="e">
        <f>'Compiled Agents'!E1216+"h_l!(6&amp;"</f>
        <v>#VALUE!</v>
      </c>
      <c r="EI160" t="e">
        <f>'Compiled Agents'!F1216+"h_l!(6'"</f>
        <v>#VALUE!</v>
      </c>
      <c r="EJ160" t="e">
        <f>'Compiled Agents'!G1216+"h_l!(6("</f>
        <v>#VALUE!</v>
      </c>
      <c r="EK160" t="e">
        <f>'Compiled Agents'!H1216+"h_l!(6)"</f>
        <v>#VALUE!</v>
      </c>
      <c r="EL160" t="e">
        <f>'Compiled Agents'!A1217+"h_l!(6."</f>
        <v>#VALUE!</v>
      </c>
      <c r="EM160" t="e">
        <f>'Compiled Agents'!B1217+"h_l!(6/"</f>
        <v>#VALUE!</v>
      </c>
      <c r="EN160" t="e">
        <f>'Compiled Agents'!C1217+"h_l!(60"</f>
        <v>#VALUE!</v>
      </c>
      <c r="EO160" t="e">
        <f>'Compiled Agents'!E1217+"h_l!(61"</f>
        <v>#VALUE!</v>
      </c>
      <c r="EP160" t="e">
        <f>'Compiled Agents'!F1217+"h_l!(62"</f>
        <v>#VALUE!</v>
      </c>
      <c r="EQ160" t="e">
        <f>'Compiled Agents'!G1217+"h_l!(63"</f>
        <v>#VALUE!</v>
      </c>
      <c r="ER160" t="e">
        <f>'Compiled Agents'!H1217+"h_l!(64"</f>
        <v>#VALUE!</v>
      </c>
      <c r="ES160" t="e">
        <f>'Compiled Agents'!A1218+"h_l!(65"</f>
        <v>#VALUE!</v>
      </c>
      <c r="ET160" t="e">
        <f>'Compiled Agents'!B1218+"h_l!(66"</f>
        <v>#VALUE!</v>
      </c>
      <c r="EU160" t="e">
        <f>'Compiled Agents'!C1218+"h_l!(67"</f>
        <v>#VALUE!</v>
      </c>
      <c r="EV160" t="e">
        <f>'Compiled Agents'!E1218+"h_l!(68"</f>
        <v>#VALUE!</v>
      </c>
      <c r="EW160" t="e">
        <f>'Compiled Agents'!F1218+"h_l!(69"</f>
        <v>#VALUE!</v>
      </c>
      <c r="EX160" t="e">
        <f>'Compiled Agents'!G1218+"h_l!(6:"</f>
        <v>#VALUE!</v>
      </c>
      <c r="EY160" t="e">
        <f>'Compiled Agents'!H1218+"h_l!(6;"</f>
        <v>#VALUE!</v>
      </c>
      <c r="EZ160" t="e">
        <f>'Compiled Agents'!A1219+"h_l!(6&lt;"</f>
        <v>#VALUE!</v>
      </c>
      <c r="FA160" t="e">
        <f>'Compiled Agents'!B1219+"h_l!(6="</f>
        <v>#VALUE!</v>
      </c>
      <c r="FB160" t="e">
        <f>'Compiled Agents'!C1219+"h_l!(6&gt;"</f>
        <v>#VALUE!</v>
      </c>
      <c r="FC160" t="e">
        <f>'Compiled Agents'!E1219+"h_l!(6?"</f>
        <v>#VALUE!</v>
      </c>
      <c r="FD160" t="e">
        <f>'Compiled Agents'!F1219+"h_l!(6@"</f>
        <v>#VALUE!</v>
      </c>
      <c r="FE160" t="e">
        <f>'Compiled Agents'!G1219+"h_l!(6A"</f>
        <v>#VALUE!</v>
      </c>
      <c r="FF160" t="e">
        <f>'Compiled Agents'!H1219+"h_l!(6B"</f>
        <v>#VALUE!</v>
      </c>
      <c r="FG160" t="e">
        <f>'Compiled Agents'!A1220+"h_l!(6C"</f>
        <v>#VALUE!</v>
      </c>
      <c r="FH160" t="e">
        <f>'Compiled Agents'!B1220+"h_l!(6D"</f>
        <v>#VALUE!</v>
      </c>
      <c r="FI160" t="e">
        <f>'Compiled Agents'!C1220+"h_l!(6E"</f>
        <v>#VALUE!</v>
      </c>
      <c r="FJ160" t="e">
        <f>'Compiled Agents'!E1220+"h_l!(6F"</f>
        <v>#VALUE!</v>
      </c>
      <c r="FK160" t="e">
        <f>'Compiled Agents'!F1220+"h_l!(6G"</f>
        <v>#VALUE!</v>
      </c>
      <c r="FL160" t="e">
        <f>'Compiled Agents'!G1220+"h_l!(6H"</f>
        <v>#VALUE!</v>
      </c>
      <c r="FM160" t="e">
        <f>'Compiled Agents'!H1220+"h_l!(6I"</f>
        <v>#VALUE!</v>
      </c>
      <c r="FN160" t="e">
        <f>'Compiled Agents'!A1221+"h_l!(6J"</f>
        <v>#VALUE!</v>
      </c>
      <c r="FO160" t="e">
        <f>'Compiled Agents'!B1221+"h_l!(6K"</f>
        <v>#VALUE!</v>
      </c>
      <c r="FP160" t="e">
        <f>'Compiled Agents'!C1221+"h_l!(6L"</f>
        <v>#VALUE!</v>
      </c>
      <c r="FQ160" t="e">
        <f>'Compiled Agents'!E1221+"h_l!(6M"</f>
        <v>#VALUE!</v>
      </c>
      <c r="FR160" t="e">
        <f>'Compiled Agents'!F1221+"h_l!(6N"</f>
        <v>#VALUE!</v>
      </c>
      <c r="FS160" t="e">
        <f>'Compiled Agents'!G1221+"h_l!(6O"</f>
        <v>#VALUE!</v>
      </c>
      <c r="FT160" t="e">
        <f>'Compiled Agents'!H1221+"h_l!(6P"</f>
        <v>#VALUE!</v>
      </c>
      <c r="FU160" t="e">
        <f>'Compiled Agents'!A1222+"h_l!(6Q"</f>
        <v>#VALUE!</v>
      </c>
      <c r="FV160" t="e">
        <f>'Compiled Agents'!B1222+"h_l!(6R"</f>
        <v>#VALUE!</v>
      </c>
      <c r="FW160" t="e">
        <f>'Compiled Agents'!C1222+"h_l!(6S"</f>
        <v>#VALUE!</v>
      </c>
      <c r="FX160" t="e">
        <f>'Compiled Agents'!E1222+"h_l!(6T"</f>
        <v>#VALUE!</v>
      </c>
      <c r="FY160" t="e">
        <f>'Compiled Agents'!F1222+"h_l!(6U"</f>
        <v>#VALUE!</v>
      </c>
      <c r="FZ160" t="e">
        <f>'Compiled Agents'!G1222+"h_l!(6V"</f>
        <v>#VALUE!</v>
      </c>
      <c r="GA160" t="e">
        <f>'Compiled Agents'!H1222+"h_l!(6W"</f>
        <v>#VALUE!</v>
      </c>
      <c r="GB160" t="e">
        <f>'Compiled Agents'!A1223+"h_l!(6X"</f>
        <v>#VALUE!</v>
      </c>
      <c r="GC160" t="e">
        <f>'Compiled Agents'!B1223+"h_l!(6Y"</f>
        <v>#VALUE!</v>
      </c>
      <c r="GD160" t="e">
        <f>'Compiled Agents'!C1223+"h_l!(6Z"</f>
        <v>#VALUE!</v>
      </c>
      <c r="GE160" t="e">
        <f>'Compiled Agents'!E1223+"h_l!(6["</f>
        <v>#VALUE!</v>
      </c>
      <c r="GF160" t="e">
        <f>'Compiled Agents'!F1223+"h_l!(6\"</f>
        <v>#VALUE!</v>
      </c>
      <c r="GG160" t="e">
        <f>'Compiled Agents'!G1223+"h_l!(6]"</f>
        <v>#VALUE!</v>
      </c>
      <c r="GH160" t="e">
        <f>'Compiled Agents'!H1223+"h_l!(6^"</f>
        <v>#VALUE!</v>
      </c>
      <c r="GI160" t="e">
        <f>'Compiled Agents'!A1224+"h_l!(6_"</f>
        <v>#VALUE!</v>
      </c>
      <c r="GJ160" t="e">
        <f>'Compiled Agents'!B1224+"h_l!(6`"</f>
        <v>#VALUE!</v>
      </c>
      <c r="GK160" t="e">
        <f>'Compiled Agents'!C1224+"h_l!(6a"</f>
        <v>#VALUE!</v>
      </c>
      <c r="GL160" t="e">
        <f>'Compiled Agents'!E1224+"h_l!(6b"</f>
        <v>#VALUE!</v>
      </c>
      <c r="GM160" t="e">
        <f>'Compiled Agents'!F1224+"h_l!(6c"</f>
        <v>#VALUE!</v>
      </c>
      <c r="GN160" t="e">
        <f>'Compiled Agents'!G1224+"h_l!(6d"</f>
        <v>#VALUE!</v>
      </c>
      <c r="GO160" t="e">
        <f>'Compiled Agents'!H1224+"h_l!(6e"</f>
        <v>#VALUE!</v>
      </c>
      <c r="GP160" t="e">
        <f>'Compiled Agents'!A1225+"h_l!(6f"</f>
        <v>#VALUE!</v>
      </c>
      <c r="GQ160" t="e">
        <f>'Compiled Agents'!B1225+"h_l!(6g"</f>
        <v>#VALUE!</v>
      </c>
      <c r="GR160" t="e">
        <f>'Compiled Agents'!C1225+"h_l!(6h"</f>
        <v>#VALUE!</v>
      </c>
      <c r="GS160" t="e">
        <f>'Compiled Agents'!E1225+"h_l!(6i"</f>
        <v>#VALUE!</v>
      </c>
      <c r="GT160" t="e">
        <f>'Compiled Agents'!F1225+"h_l!(6j"</f>
        <v>#VALUE!</v>
      </c>
      <c r="GU160" t="e">
        <f>'Compiled Agents'!G1225+"h_l!(6k"</f>
        <v>#VALUE!</v>
      </c>
      <c r="GV160" t="e">
        <f>'Compiled Agents'!H1225+"h_l!(6l"</f>
        <v>#VALUE!</v>
      </c>
      <c r="GW160" t="e">
        <f>'Compiled Agents'!A1226+"h_l!(6m"</f>
        <v>#VALUE!</v>
      </c>
      <c r="GX160" t="e">
        <f>'Compiled Agents'!B1226+"h_l!(6n"</f>
        <v>#VALUE!</v>
      </c>
      <c r="GY160" t="e">
        <f>'Compiled Agents'!C1226+"h_l!(6o"</f>
        <v>#VALUE!</v>
      </c>
      <c r="GZ160" t="e">
        <f>'Compiled Agents'!E1226+"h_l!(6p"</f>
        <v>#VALUE!</v>
      </c>
      <c r="HA160" t="e">
        <f>'Compiled Agents'!F1226+"h_l!(6q"</f>
        <v>#VALUE!</v>
      </c>
      <c r="HB160" t="e">
        <f>'Compiled Agents'!G1226+"h_l!(6r"</f>
        <v>#VALUE!</v>
      </c>
      <c r="HC160" t="e">
        <f>'Compiled Agents'!H1226+"h_l!(6s"</f>
        <v>#VALUE!</v>
      </c>
      <c r="HD160" t="e">
        <f>'Compiled Agents'!A1227+"h_l!(6t"</f>
        <v>#VALUE!</v>
      </c>
      <c r="HE160" t="e">
        <f>'Compiled Agents'!B1227+"h_l!(6u"</f>
        <v>#VALUE!</v>
      </c>
      <c r="HF160" t="e">
        <f>'Compiled Agents'!C1227+"h_l!(6v"</f>
        <v>#VALUE!</v>
      </c>
      <c r="HG160" t="e">
        <f>'Compiled Agents'!E1227+"h_l!(6w"</f>
        <v>#VALUE!</v>
      </c>
      <c r="HH160" t="e">
        <f>'Compiled Agents'!F1227+"h_l!(6x"</f>
        <v>#VALUE!</v>
      </c>
      <c r="HI160" t="e">
        <f>'Compiled Agents'!G1227+"h_l!(6y"</f>
        <v>#VALUE!</v>
      </c>
      <c r="HJ160" t="e">
        <f>'Compiled Agents'!H1227+"h_l!(6z"</f>
        <v>#VALUE!</v>
      </c>
      <c r="HK160" t="e">
        <f>'Compiled Agents'!A1228+"h_l!(6{"</f>
        <v>#VALUE!</v>
      </c>
      <c r="HL160" t="e">
        <f>'Compiled Agents'!B1228+"h_l!(6|"</f>
        <v>#VALUE!</v>
      </c>
      <c r="HM160" t="e">
        <f>'Compiled Agents'!C1228+"h_l!(6}"</f>
        <v>#VALUE!</v>
      </c>
      <c r="HN160" t="e">
        <f>'Compiled Agents'!E1228+"h_l!(6~"</f>
        <v>#VALUE!</v>
      </c>
      <c r="HO160" t="e">
        <f>'Compiled Agents'!F1228+"h_l!(7#"</f>
        <v>#VALUE!</v>
      </c>
      <c r="HP160" t="e">
        <f>'Compiled Agents'!G1228+"h_l!(7$"</f>
        <v>#VALUE!</v>
      </c>
      <c r="HQ160" t="e">
        <f>'Compiled Agents'!H1228+"h_l!(7%"</f>
        <v>#VALUE!</v>
      </c>
      <c r="HR160" t="e">
        <f>'Compiled Agents'!A1229+"h_l!(7&amp;"</f>
        <v>#VALUE!</v>
      </c>
      <c r="HS160" t="e">
        <f>'Compiled Agents'!B1229+"h_l!(7'"</f>
        <v>#VALUE!</v>
      </c>
      <c r="HT160" t="e">
        <f>'Compiled Agents'!C1229+"h_l!(7("</f>
        <v>#VALUE!</v>
      </c>
      <c r="HU160" t="e">
        <f>'Compiled Agents'!E1229+"h_l!(7)"</f>
        <v>#VALUE!</v>
      </c>
      <c r="HV160" t="e">
        <f>'Compiled Agents'!F1229+"h_l!(7."</f>
        <v>#VALUE!</v>
      </c>
      <c r="HW160" t="e">
        <f>'Compiled Agents'!G1229+"h_l!(7/"</f>
        <v>#VALUE!</v>
      </c>
      <c r="HX160" t="e">
        <f>'Compiled Agents'!H1229+"h_l!(70"</f>
        <v>#VALUE!</v>
      </c>
      <c r="HY160" t="e">
        <f>'Compiled Agents'!A1230+"h_l!(71"</f>
        <v>#VALUE!</v>
      </c>
      <c r="HZ160" t="e">
        <f>'Compiled Agents'!B1230+"h_l!(72"</f>
        <v>#VALUE!</v>
      </c>
      <c r="IA160" t="e">
        <f>'Compiled Agents'!C1230+"h_l!(73"</f>
        <v>#VALUE!</v>
      </c>
      <c r="IB160" t="e">
        <f>'Compiled Agents'!E1230+"h_l!(74"</f>
        <v>#VALUE!</v>
      </c>
      <c r="IC160" t="e">
        <f>'Compiled Agents'!F1230+"h_l!(75"</f>
        <v>#VALUE!</v>
      </c>
      <c r="ID160" t="e">
        <f>'Compiled Agents'!G1230+"h_l!(76"</f>
        <v>#VALUE!</v>
      </c>
      <c r="IE160" t="e">
        <f>'Compiled Agents'!H1230+"h_l!(77"</f>
        <v>#VALUE!</v>
      </c>
      <c r="IF160" t="e">
        <f>'Compiled Agents'!A1231+"h_l!(78"</f>
        <v>#VALUE!</v>
      </c>
      <c r="IG160" t="e">
        <f>'Compiled Agents'!B1231+"h_l!(79"</f>
        <v>#VALUE!</v>
      </c>
      <c r="IH160" t="e">
        <f>'Compiled Agents'!C1231+"h_l!(7:"</f>
        <v>#VALUE!</v>
      </c>
      <c r="II160" t="e">
        <f>'Compiled Agents'!E1231+"h_l!(7;"</f>
        <v>#VALUE!</v>
      </c>
      <c r="IJ160" t="e">
        <f>'Compiled Agents'!F1231+"h_l!(7&lt;"</f>
        <v>#VALUE!</v>
      </c>
      <c r="IK160" t="e">
        <f>'Compiled Agents'!G1231+"h_l!(7="</f>
        <v>#VALUE!</v>
      </c>
      <c r="IL160" t="e">
        <f>'Compiled Agents'!H1231+"h_l!(7&gt;"</f>
        <v>#VALUE!</v>
      </c>
      <c r="IM160" t="e">
        <f>'Compiled Agents'!A1232+"h_l!(7?"</f>
        <v>#VALUE!</v>
      </c>
      <c r="IN160" t="e">
        <f>'Compiled Agents'!B1232+"h_l!(7@"</f>
        <v>#VALUE!</v>
      </c>
      <c r="IO160" t="e">
        <f>'Compiled Agents'!C1232+"h_l!(7A"</f>
        <v>#VALUE!</v>
      </c>
      <c r="IP160" t="e">
        <f>'Compiled Agents'!E1232+"h_l!(7B"</f>
        <v>#VALUE!</v>
      </c>
      <c r="IQ160" t="e">
        <f>'Compiled Agents'!F1232+"h_l!(7C"</f>
        <v>#VALUE!</v>
      </c>
      <c r="IR160" t="e">
        <f>'Compiled Agents'!G1232+"h_l!(7D"</f>
        <v>#VALUE!</v>
      </c>
      <c r="IS160" t="e">
        <f>'Compiled Agents'!H1232+"h_l!(7E"</f>
        <v>#VALUE!</v>
      </c>
      <c r="IT160" t="e">
        <f>'Compiled Agents'!A1233+"h_l!(7F"</f>
        <v>#VALUE!</v>
      </c>
      <c r="IU160" t="e">
        <f>'Compiled Agents'!B1233+"h_l!(7G"</f>
        <v>#VALUE!</v>
      </c>
      <c r="IV160" t="e">
        <f>'Compiled Agents'!C1233+"h_l!(7H"</f>
        <v>#VALUE!</v>
      </c>
    </row>
    <row r="161" spans="6:256" x14ac:dyDescent="0.25">
      <c r="F161" t="e">
        <f>'Compiled Agents'!E1233+"h_l!(7I"</f>
        <v>#VALUE!</v>
      </c>
      <c r="G161" t="e">
        <f>'Compiled Agents'!F1233+"h_l!(7J"</f>
        <v>#VALUE!</v>
      </c>
      <c r="H161" t="e">
        <f>'Compiled Agents'!G1233+"h_l!(7K"</f>
        <v>#VALUE!</v>
      </c>
      <c r="I161" t="e">
        <f>'Compiled Agents'!H1233+"h_l!(7L"</f>
        <v>#VALUE!</v>
      </c>
      <c r="J161" t="e">
        <f>'Compiled Agents'!A1234+"h_l!(7M"</f>
        <v>#VALUE!</v>
      </c>
      <c r="K161" t="e">
        <f>'Compiled Agents'!B1234+"h_l!(7N"</f>
        <v>#VALUE!</v>
      </c>
      <c r="L161" t="e">
        <f>'Compiled Agents'!C1234+"h_l!(7O"</f>
        <v>#VALUE!</v>
      </c>
      <c r="M161" t="e">
        <f>'Compiled Agents'!E1234+"h_l!(7P"</f>
        <v>#VALUE!</v>
      </c>
      <c r="N161" t="e">
        <f>'Compiled Agents'!F1234+"h_l!(7Q"</f>
        <v>#VALUE!</v>
      </c>
      <c r="O161" t="e">
        <f>'Compiled Agents'!G1234+"h_l!(7R"</f>
        <v>#VALUE!</v>
      </c>
      <c r="P161" t="e">
        <f>'Compiled Agents'!H1234+"h_l!(7S"</f>
        <v>#VALUE!</v>
      </c>
      <c r="Q161" t="e">
        <f>'Compiled Agents'!A1235+"h_l!(7T"</f>
        <v>#VALUE!</v>
      </c>
      <c r="R161" t="e">
        <f>'Compiled Agents'!B1235+"h_l!(7U"</f>
        <v>#VALUE!</v>
      </c>
      <c r="S161" t="e">
        <f>'Compiled Agents'!C1235+"h_l!(7V"</f>
        <v>#VALUE!</v>
      </c>
      <c r="T161" t="e">
        <f>'Compiled Agents'!E1235+"h_l!(7W"</f>
        <v>#VALUE!</v>
      </c>
      <c r="U161" t="e">
        <f>'Compiled Agents'!F1235+"h_l!(7X"</f>
        <v>#VALUE!</v>
      </c>
      <c r="V161" t="e">
        <f>'Compiled Agents'!G1235+"h_l!(7Y"</f>
        <v>#VALUE!</v>
      </c>
      <c r="W161" t="e">
        <f>'Compiled Agents'!H1235+"h_l!(7Z"</f>
        <v>#VALUE!</v>
      </c>
      <c r="X161" t="e">
        <f>'Compiled Agents'!A1236+"h_l!(7["</f>
        <v>#VALUE!</v>
      </c>
      <c r="Y161" t="e">
        <f>'Compiled Agents'!B1236+"h_l!(7\"</f>
        <v>#VALUE!</v>
      </c>
      <c r="Z161" t="e">
        <f>'Compiled Agents'!C1236+"h_l!(7]"</f>
        <v>#VALUE!</v>
      </c>
      <c r="AA161" t="e">
        <f>'Compiled Agents'!E1236+"h_l!(7^"</f>
        <v>#VALUE!</v>
      </c>
      <c r="AB161" t="e">
        <f>'Compiled Agents'!F1236+"h_l!(7_"</f>
        <v>#VALUE!</v>
      </c>
      <c r="AC161" t="e">
        <f>'Compiled Agents'!G1236+"h_l!(7`"</f>
        <v>#VALUE!</v>
      </c>
      <c r="AD161" t="e">
        <f>'Compiled Agents'!H1236+"h_l!(7a"</f>
        <v>#VALUE!</v>
      </c>
      <c r="AE161" t="e">
        <f>'Compiled Agents'!A1237+"h_l!(7b"</f>
        <v>#VALUE!</v>
      </c>
      <c r="AF161" t="e">
        <f>'Compiled Agents'!B1237+"h_l!(7c"</f>
        <v>#VALUE!</v>
      </c>
      <c r="AG161" t="e">
        <f>'Compiled Agents'!C1237+"h_l!(7d"</f>
        <v>#VALUE!</v>
      </c>
      <c r="AH161" t="e">
        <f>'Compiled Agents'!E1237+"h_l!(7e"</f>
        <v>#VALUE!</v>
      </c>
      <c r="AI161" t="e">
        <f>'Compiled Agents'!F1237+"h_l!(7f"</f>
        <v>#VALUE!</v>
      </c>
      <c r="AJ161" t="e">
        <f>'Compiled Agents'!G1237+"h_l!(7g"</f>
        <v>#VALUE!</v>
      </c>
      <c r="AK161" t="e">
        <f>'Compiled Agents'!H1237+"h_l!(7h"</f>
        <v>#VALUE!</v>
      </c>
      <c r="AL161" t="e">
        <f>'Compiled Agents'!A1238+"h_l!(7i"</f>
        <v>#VALUE!</v>
      </c>
      <c r="AM161" t="e">
        <f>'Compiled Agents'!B1238+"h_l!(7j"</f>
        <v>#VALUE!</v>
      </c>
      <c r="AN161" t="e">
        <f>'Compiled Agents'!C1238+"h_l!(7k"</f>
        <v>#VALUE!</v>
      </c>
      <c r="AO161" t="e">
        <f>'Compiled Agents'!E1238+"h_l!(7l"</f>
        <v>#VALUE!</v>
      </c>
      <c r="AP161" t="e">
        <f>'Compiled Agents'!F1238+"h_l!(7m"</f>
        <v>#VALUE!</v>
      </c>
      <c r="AQ161" t="e">
        <f>'Compiled Agents'!G1238+"h_l!(7n"</f>
        <v>#VALUE!</v>
      </c>
      <c r="AR161" t="e">
        <f>'Compiled Agents'!H1238+"h_l!(7o"</f>
        <v>#VALUE!</v>
      </c>
      <c r="AS161" t="e">
        <f>'Compiled Agents'!A1239+"h_l!(7p"</f>
        <v>#VALUE!</v>
      </c>
      <c r="AT161" t="e">
        <f>'Compiled Agents'!B1239+"h_l!(7q"</f>
        <v>#VALUE!</v>
      </c>
      <c r="AU161" t="e">
        <f>'Compiled Agents'!C1239+"h_l!(7r"</f>
        <v>#VALUE!</v>
      </c>
      <c r="AV161" t="e">
        <f>'Compiled Agents'!E1239+"h_l!(7s"</f>
        <v>#VALUE!</v>
      </c>
      <c r="AW161" t="e">
        <f>'Compiled Agents'!F1239+"h_l!(7t"</f>
        <v>#VALUE!</v>
      </c>
      <c r="AX161" t="e">
        <f>'Compiled Agents'!G1239+"h_l!(7u"</f>
        <v>#VALUE!</v>
      </c>
      <c r="AY161" t="e">
        <f>'Compiled Agents'!H1239+"h_l!(7v"</f>
        <v>#VALUE!</v>
      </c>
      <c r="AZ161" t="e">
        <f>'Compiled Agents'!A1240+"h_l!(7w"</f>
        <v>#VALUE!</v>
      </c>
      <c r="BA161" t="e">
        <f>'Compiled Agents'!B1240+"h_l!(7x"</f>
        <v>#VALUE!</v>
      </c>
      <c r="BB161" t="e">
        <f>'Compiled Agents'!C1240+"h_l!(7y"</f>
        <v>#VALUE!</v>
      </c>
      <c r="BC161" t="e">
        <f>'Compiled Agents'!E1240+"h_l!(7z"</f>
        <v>#VALUE!</v>
      </c>
      <c r="BD161" t="e">
        <f>'Compiled Agents'!F1240+"h_l!(7{"</f>
        <v>#VALUE!</v>
      </c>
      <c r="BE161" t="e">
        <f>'Compiled Agents'!G1240+"h_l!(7|"</f>
        <v>#VALUE!</v>
      </c>
      <c r="BF161" t="e">
        <f>'Compiled Agents'!H1240+"h_l!(7}"</f>
        <v>#VALUE!</v>
      </c>
      <c r="BG161" t="e">
        <f>'Compiled Agents'!A1241+"h_l!(7~"</f>
        <v>#VALUE!</v>
      </c>
      <c r="BH161" t="e">
        <f>'Compiled Agents'!B1241+"h_l!(8#"</f>
        <v>#VALUE!</v>
      </c>
      <c r="BI161" t="e">
        <f>'Compiled Agents'!C1241+"h_l!(8$"</f>
        <v>#VALUE!</v>
      </c>
      <c r="BJ161" t="e">
        <f>'Compiled Agents'!E1241+"h_l!(8%"</f>
        <v>#VALUE!</v>
      </c>
      <c r="BK161" t="e">
        <f>'Compiled Agents'!F1241+"h_l!(8&amp;"</f>
        <v>#VALUE!</v>
      </c>
      <c r="BL161" t="e">
        <f>'Compiled Agents'!G1241+"h_l!(8'"</f>
        <v>#VALUE!</v>
      </c>
      <c r="BM161" t="e">
        <f>'Compiled Agents'!H1241+"h_l!(8("</f>
        <v>#VALUE!</v>
      </c>
      <c r="BN161" t="e">
        <f>'Compiled Agents'!A1242+"h_l!(8)"</f>
        <v>#VALUE!</v>
      </c>
      <c r="BO161" t="e">
        <f>'Compiled Agents'!B1242+"h_l!(8."</f>
        <v>#VALUE!</v>
      </c>
      <c r="BP161" t="e">
        <f>'Compiled Agents'!C1242+"h_l!(8/"</f>
        <v>#VALUE!</v>
      </c>
      <c r="BQ161" t="e">
        <f>'Compiled Agents'!E1242+"h_l!(80"</f>
        <v>#VALUE!</v>
      </c>
      <c r="BR161" t="e">
        <f>'Compiled Agents'!F1242+"h_l!(81"</f>
        <v>#VALUE!</v>
      </c>
      <c r="BS161" t="e">
        <f>'Compiled Agents'!G1242+"h_l!(82"</f>
        <v>#VALUE!</v>
      </c>
      <c r="BT161" t="e">
        <f>'Compiled Agents'!H1242+"h_l!(83"</f>
        <v>#VALUE!</v>
      </c>
      <c r="BU161" t="e">
        <f>'Compiled Agents'!A1243+"h_l!(84"</f>
        <v>#VALUE!</v>
      </c>
      <c r="BV161" t="e">
        <f>'Compiled Agents'!B1243+"h_l!(85"</f>
        <v>#VALUE!</v>
      </c>
      <c r="BW161" t="e">
        <f>'Compiled Agents'!C1243+"h_l!(86"</f>
        <v>#VALUE!</v>
      </c>
      <c r="BX161" t="e">
        <f>'Compiled Agents'!E1243+"h_l!(87"</f>
        <v>#VALUE!</v>
      </c>
      <c r="BY161" t="e">
        <f>'Compiled Agents'!F1243+"h_l!(88"</f>
        <v>#VALUE!</v>
      </c>
      <c r="BZ161" t="e">
        <f>'Compiled Agents'!G1243+"h_l!(89"</f>
        <v>#VALUE!</v>
      </c>
      <c r="CA161" t="e">
        <f>'Compiled Agents'!H1243+"h_l!(8:"</f>
        <v>#VALUE!</v>
      </c>
      <c r="CB161" t="e">
        <f>'Compiled Agents'!A1244+"h_l!(8;"</f>
        <v>#VALUE!</v>
      </c>
      <c r="CC161" t="e">
        <f>'Compiled Agents'!B1244+"h_l!(8&lt;"</f>
        <v>#VALUE!</v>
      </c>
      <c r="CD161" t="e">
        <f>'Compiled Agents'!C1244+"h_l!(8="</f>
        <v>#VALUE!</v>
      </c>
      <c r="CE161" t="e">
        <f>'Compiled Agents'!E1244+"h_l!(8&gt;"</f>
        <v>#VALUE!</v>
      </c>
      <c r="CF161" t="e">
        <f>'Compiled Agents'!F1244+"h_l!(8?"</f>
        <v>#VALUE!</v>
      </c>
      <c r="CG161" t="e">
        <f>'Compiled Agents'!G1244+"h_l!(8@"</f>
        <v>#VALUE!</v>
      </c>
      <c r="CH161" t="e">
        <f>'Compiled Agents'!H1244+"h_l!(8A"</f>
        <v>#VALUE!</v>
      </c>
      <c r="CI161" t="e">
        <f>'Compiled Agents'!A1245+"h_l!(8B"</f>
        <v>#VALUE!</v>
      </c>
      <c r="CJ161" t="e">
        <f>'Compiled Agents'!B1245+"h_l!(8C"</f>
        <v>#VALUE!</v>
      </c>
      <c r="CK161" t="e">
        <f>'Compiled Agents'!C1245+"h_l!(8D"</f>
        <v>#VALUE!</v>
      </c>
      <c r="CL161" t="e">
        <f>'Compiled Agents'!E1245+"h_l!(8E"</f>
        <v>#VALUE!</v>
      </c>
      <c r="CM161" t="e">
        <f>'Compiled Agents'!F1245+"h_l!(8F"</f>
        <v>#VALUE!</v>
      </c>
      <c r="CN161" t="e">
        <f>'Compiled Agents'!G1245+"h_l!(8G"</f>
        <v>#VALUE!</v>
      </c>
      <c r="CO161" t="e">
        <f>'Compiled Agents'!H1245+"h_l!(8H"</f>
        <v>#VALUE!</v>
      </c>
      <c r="CP161" t="e">
        <f>'Compiled Agents'!A1246+"h_l!(8I"</f>
        <v>#VALUE!</v>
      </c>
      <c r="CQ161" t="e">
        <f>'Compiled Agents'!B1246+"h_l!(8J"</f>
        <v>#VALUE!</v>
      </c>
      <c r="CR161" t="e">
        <f>'Compiled Agents'!C1246+"h_l!(8K"</f>
        <v>#VALUE!</v>
      </c>
      <c r="CS161" t="e">
        <f>'Compiled Agents'!E1246+"h_l!(8L"</f>
        <v>#VALUE!</v>
      </c>
      <c r="CT161" t="e">
        <f>'Compiled Agents'!F1246+"h_l!(8M"</f>
        <v>#VALUE!</v>
      </c>
      <c r="CU161" t="e">
        <f>'Compiled Agents'!G1246+"h_l!(8N"</f>
        <v>#VALUE!</v>
      </c>
      <c r="CV161" t="e">
        <f>'Compiled Agents'!H1246+"h_l!(8O"</f>
        <v>#VALUE!</v>
      </c>
      <c r="CW161" t="e">
        <f>'Compiled Agents'!A1247+"h_l!(8P"</f>
        <v>#VALUE!</v>
      </c>
      <c r="CX161" t="e">
        <f>'Compiled Agents'!B1247+"h_l!(8Q"</f>
        <v>#VALUE!</v>
      </c>
      <c r="CY161" t="e">
        <f>'Compiled Agents'!C1247+"h_l!(8R"</f>
        <v>#VALUE!</v>
      </c>
      <c r="CZ161" t="e">
        <f>'Compiled Agents'!E1247+"h_l!(8S"</f>
        <v>#VALUE!</v>
      </c>
      <c r="DA161" t="e">
        <f>'Compiled Agents'!F1247+"h_l!(8T"</f>
        <v>#VALUE!</v>
      </c>
      <c r="DB161" t="e">
        <f>'Compiled Agents'!G1247+"h_l!(8U"</f>
        <v>#VALUE!</v>
      </c>
      <c r="DC161" t="e">
        <f>'Compiled Agents'!H1247+"h_l!(8V"</f>
        <v>#VALUE!</v>
      </c>
      <c r="DD161" t="e">
        <f>'Compiled Agents'!A1248+"h_l!(8W"</f>
        <v>#VALUE!</v>
      </c>
      <c r="DE161" t="e">
        <f>'Compiled Agents'!B1248+"h_l!(8X"</f>
        <v>#VALUE!</v>
      </c>
      <c r="DF161" t="e">
        <f>'Compiled Agents'!C1248+"h_l!(8Y"</f>
        <v>#VALUE!</v>
      </c>
      <c r="DG161" t="e">
        <f>'Compiled Agents'!E1248+"h_l!(8Z"</f>
        <v>#VALUE!</v>
      </c>
      <c r="DH161" t="e">
        <f>'Compiled Agents'!F1248+"h_l!(8["</f>
        <v>#VALUE!</v>
      </c>
      <c r="DI161" t="e">
        <f>'Compiled Agents'!G1248+"h_l!(8\"</f>
        <v>#VALUE!</v>
      </c>
      <c r="DJ161" t="e">
        <f>'Compiled Agents'!H1248+"h_l!(8]"</f>
        <v>#VALUE!</v>
      </c>
      <c r="DK161" t="e">
        <f>'Compiled Agents'!A1249+"h_l!(8^"</f>
        <v>#VALUE!</v>
      </c>
      <c r="DL161" t="e">
        <f>'Compiled Agents'!B1249+"h_l!(8_"</f>
        <v>#VALUE!</v>
      </c>
      <c r="DM161" t="e">
        <f>'Compiled Agents'!C1249+"h_l!(8`"</f>
        <v>#VALUE!</v>
      </c>
      <c r="DN161" t="e">
        <f>'Compiled Agents'!E1249+"h_l!(8a"</f>
        <v>#VALUE!</v>
      </c>
      <c r="DO161" t="e">
        <f>'Compiled Agents'!F1249+"h_l!(8b"</f>
        <v>#VALUE!</v>
      </c>
      <c r="DP161" t="e">
        <f>'Compiled Agents'!G1249+"h_l!(8c"</f>
        <v>#VALUE!</v>
      </c>
      <c r="DQ161" t="e">
        <f>'Compiled Agents'!H1249+"h_l!(8d"</f>
        <v>#VALUE!</v>
      </c>
      <c r="DR161" t="e">
        <f>'Compiled Agents'!A1250+"h_l!(8e"</f>
        <v>#VALUE!</v>
      </c>
      <c r="DS161" t="e">
        <f>'Compiled Agents'!B1250+"h_l!(8f"</f>
        <v>#VALUE!</v>
      </c>
      <c r="DT161" t="e">
        <f>'Compiled Agents'!C1250+"h_l!(8g"</f>
        <v>#VALUE!</v>
      </c>
      <c r="DU161" t="e">
        <f>'Compiled Agents'!E1250+"h_l!(8h"</f>
        <v>#VALUE!</v>
      </c>
      <c r="DV161" t="e">
        <f>'Compiled Agents'!F1250+"h_l!(8i"</f>
        <v>#VALUE!</v>
      </c>
      <c r="DW161" t="e">
        <f>'Compiled Agents'!G1250+"h_l!(8j"</f>
        <v>#VALUE!</v>
      </c>
      <c r="DX161" t="e">
        <f>'Compiled Agents'!H1250+"h_l!(8k"</f>
        <v>#VALUE!</v>
      </c>
      <c r="DY161" t="e">
        <f>'Compiled Agents'!A1251+"h_l!(8l"</f>
        <v>#VALUE!</v>
      </c>
      <c r="DZ161" t="e">
        <f>'Compiled Agents'!B1251+"h_l!(8m"</f>
        <v>#VALUE!</v>
      </c>
      <c r="EA161" t="e">
        <f>'Compiled Agents'!C1251+"h_l!(8n"</f>
        <v>#VALUE!</v>
      </c>
      <c r="EB161" t="e">
        <f>'Compiled Agents'!E1251+"h_l!(8o"</f>
        <v>#VALUE!</v>
      </c>
      <c r="EC161" t="e">
        <f>'Compiled Agents'!F1251+"h_l!(8p"</f>
        <v>#VALUE!</v>
      </c>
      <c r="ED161" t="e">
        <f>'Compiled Agents'!G1251+"h_l!(8q"</f>
        <v>#VALUE!</v>
      </c>
      <c r="EE161" t="e">
        <f>'Compiled Agents'!H1251+"h_l!(8r"</f>
        <v>#VALUE!</v>
      </c>
      <c r="EF161" t="e">
        <f>'Compiled Agents'!A1252+"h_l!(8s"</f>
        <v>#VALUE!</v>
      </c>
      <c r="EG161" t="e">
        <f>'Compiled Agents'!B1252+"h_l!(8t"</f>
        <v>#VALUE!</v>
      </c>
      <c r="EH161" t="e">
        <f>'Compiled Agents'!C1252+"h_l!(8u"</f>
        <v>#VALUE!</v>
      </c>
      <c r="EI161" t="e">
        <f>'Compiled Agents'!E1252+"h_l!(8v"</f>
        <v>#VALUE!</v>
      </c>
      <c r="EJ161" t="e">
        <f>'Compiled Agents'!F1252+"h_l!(8w"</f>
        <v>#VALUE!</v>
      </c>
      <c r="EK161" t="e">
        <f>'Compiled Agents'!G1252+"h_l!(8x"</f>
        <v>#VALUE!</v>
      </c>
      <c r="EL161" t="e">
        <f>'Compiled Agents'!H1252+"h_l!(8y"</f>
        <v>#VALUE!</v>
      </c>
      <c r="EM161" t="e">
        <f>'Compiled Agents'!A1253+"h_l!(8z"</f>
        <v>#VALUE!</v>
      </c>
      <c r="EN161" t="e">
        <f>'Compiled Agents'!B1253+"h_l!(8{"</f>
        <v>#VALUE!</v>
      </c>
      <c r="EO161" t="e">
        <f>'Compiled Agents'!C1253+"h_l!(8|"</f>
        <v>#VALUE!</v>
      </c>
      <c r="EP161" t="e">
        <f>'Compiled Agents'!E1253+"h_l!(8}"</f>
        <v>#VALUE!</v>
      </c>
      <c r="EQ161" t="e">
        <f>'Compiled Agents'!F1253+"h_l!(8~"</f>
        <v>#VALUE!</v>
      </c>
      <c r="ER161" t="e">
        <f>'Compiled Agents'!G1253+"h_l!(9#"</f>
        <v>#VALUE!</v>
      </c>
      <c r="ES161" t="e">
        <f>'Compiled Agents'!H1253+"h_l!(9$"</f>
        <v>#VALUE!</v>
      </c>
      <c r="ET161" t="e">
        <f>'Compiled Agents'!A1254+"h_l!(9%"</f>
        <v>#VALUE!</v>
      </c>
      <c r="EU161" t="e">
        <f>'Compiled Agents'!B1254+"h_l!(9&amp;"</f>
        <v>#VALUE!</v>
      </c>
      <c r="EV161" t="e">
        <f>'Compiled Agents'!C1254+"h_l!(9'"</f>
        <v>#VALUE!</v>
      </c>
      <c r="EW161" t="e">
        <f>'Compiled Agents'!E1254+"h_l!(9("</f>
        <v>#VALUE!</v>
      </c>
      <c r="EX161" t="e">
        <f>'Compiled Agents'!F1254+"h_l!(9)"</f>
        <v>#VALUE!</v>
      </c>
      <c r="EY161" t="e">
        <f>'Compiled Agents'!G1254+"h_l!(9."</f>
        <v>#VALUE!</v>
      </c>
      <c r="EZ161" t="e">
        <f>'Compiled Agents'!H1254+"h_l!(9/"</f>
        <v>#VALUE!</v>
      </c>
      <c r="FA161" t="e">
        <f>'Compiled Agents'!A1255+"h_l!(90"</f>
        <v>#VALUE!</v>
      </c>
      <c r="FB161" t="e">
        <f>'Compiled Agents'!B1255+"h_l!(91"</f>
        <v>#VALUE!</v>
      </c>
      <c r="FC161" t="e">
        <f>'Compiled Agents'!C1255+"h_l!(92"</f>
        <v>#VALUE!</v>
      </c>
      <c r="FD161" t="e">
        <f>'Compiled Agents'!E1255+"h_l!(93"</f>
        <v>#VALUE!</v>
      </c>
      <c r="FE161" t="e">
        <f>'Compiled Agents'!F1255+"h_l!(94"</f>
        <v>#VALUE!</v>
      </c>
      <c r="FF161" t="e">
        <f>'Compiled Agents'!G1255+"h_l!(95"</f>
        <v>#VALUE!</v>
      </c>
      <c r="FG161" t="e">
        <f>'Compiled Agents'!H1255+"h_l!(96"</f>
        <v>#VALUE!</v>
      </c>
      <c r="FH161" t="e">
        <f>'Compiled Agents'!A1256+"h_l!(97"</f>
        <v>#VALUE!</v>
      </c>
      <c r="FI161" t="e">
        <f>'Compiled Agents'!B1256+"h_l!(98"</f>
        <v>#VALUE!</v>
      </c>
      <c r="FJ161" t="e">
        <f>'Compiled Agents'!C1256+"h_l!(99"</f>
        <v>#VALUE!</v>
      </c>
      <c r="FK161" t="e">
        <f>'Compiled Agents'!E1256+"h_l!(9:"</f>
        <v>#VALUE!</v>
      </c>
      <c r="FL161" t="e">
        <f>'Compiled Agents'!F1256+"h_l!(9;"</f>
        <v>#VALUE!</v>
      </c>
      <c r="FM161" t="e">
        <f>'Compiled Agents'!G1256+"h_l!(9&lt;"</f>
        <v>#VALUE!</v>
      </c>
      <c r="FN161" t="e">
        <f>'Compiled Agents'!H1256+"h_l!(9="</f>
        <v>#VALUE!</v>
      </c>
      <c r="FO161" t="e">
        <f>'Compiled Agents'!A1257+"h_l!(9&gt;"</f>
        <v>#VALUE!</v>
      </c>
      <c r="FP161" t="e">
        <f>'Compiled Agents'!B1257+"h_l!(9?"</f>
        <v>#VALUE!</v>
      </c>
      <c r="FQ161" t="e">
        <f>'Compiled Agents'!C1257+"h_l!(9@"</f>
        <v>#VALUE!</v>
      </c>
      <c r="FR161" t="e">
        <f>'Compiled Agents'!E1257+"h_l!(9A"</f>
        <v>#VALUE!</v>
      </c>
      <c r="FS161" t="e">
        <f>'Compiled Agents'!F1257+"h_l!(9B"</f>
        <v>#VALUE!</v>
      </c>
      <c r="FT161" t="e">
        <f>'Compiled Agents'!G1257+"h_l!(9C"</f>
        <v>#VALUE!</v>
      </c>
      <c r="FU161" t="e">
        <f>'Compiled Agents'!H1257+"h_l!(9D"</f>
        <v>#VALUE!</v>
      </c>
      <c r="FV161" t="e">
        <f>'Compiled Agents'!A1258+"h_l!(9E"</f>
        <v>#VALUE!</v>
      </c>
      <c r="FW161" t="e">
        <f>'Compiled Agents'!B1258+"h_l!(9F"</f>
        <v>#VALUE!</v>
      </c>
      <c r="FX161" t="e">
        <f>'Compiled Agents'!C1258+"h_l!(9G"</f>
        <v>#VALUE!</v>
      </c>
      <c r="FY161" t="e">
        <f>'Compiled Agents'!E1258+"h_l!(9H"</f>
        <v>#VALUE!</v>
      </c>
      <c r="FZ161" t="e">
        <f>'Compiled Agents'!F1258+"h_l!(9I"</f>
        <v>#VALUE!</v>
      </c>
      <c r="GA161" t="e">
        <f>'Compiled Agents'!G1258+"h_l!(9J"</f>
        <v>#VALUE!</v>
      </c>
      <c r="GB161" t="e">
        <f>'Compiled Agents'!H1258+"h_l!(9K"</f>
        <v>#VALUE!</v>
      </c>
      <c r="GC161" t="e">
        <f>'Compiled Agents'!A1259+"h_l!(9L"</f>
        <v>#VALUE!</v>
      </c>
      <c r="GD161" t="e">
        <f>'Compiled Agents'!B1259+"h_l!(9M"</f>
        <v>#VALUE!</v>
      </c>
      <c r="GE161" t="e">
        <f>'Compiled Agents'!C1259+"h_l!(9N"</f>
        <v>#VALUE!</v>
      </c>
      <c r="GF161" t="e">
        <f>'Compiled Agents'!E1259+"h_l!(9O"</f>
        <v>#VALUE!</v>
      </c>
      <c r="GG161" t="e">
        <f>'Compiled Agents'!F1259+"h_l!(9P"</f>
        <v>#VALUE!</v>
      </c>
      <c r="GH161" t="e">
        <f>'Compiled Agents'!G1259+"h_l!(9Q"</f>
        <v>#VALUE!</v>
      </c>
      <c r="GI161" t="e">
        <f>'Compiled Agents'!H1259+"h_l!(9R"</f>
        <v>#VALUE!</v>
      </c>
      <c r="GJ161" t="e">
        <f>'Compiled Agents'!A1260+"h_l!(9S"</f>
        <v>#VALUE!</v>
      </c>
      <c r="GK161" t="e">
        <f>'Compiled Agents'!B1260+"h_l!(9T"</f>
        <v>#VALUE!</v>
      </c>
      <c r="GL161" t="e">
        <f>'Compiled Agents'!C1260+"h_l!(9U"</f>
        <v>#VALUE!</v>
      </c>
      <c r="GM161" t="e">
        <f>'Compiled Agents'!E1260+"h_l!(9V"</f>
        <v>#VALUE!</v>
      </c>
      <c r="GN161" t="e">
        <f>'Compiled Agents'!F1260+"h_l!(9W"</f>
        <v>#VALUE!</v>
      </c>
      <c r="GO161" t="e">
        <f>'Compiled Agents'!G1260+"h_l!(9X"</f>
        <v>#VALUE!</v>
      </c>
      <c r="GP161" t="e">
        <f>'Compiled Agents'!H1260+"h_l!(9Y"</f>
        <v>#VALUE!</v>
      </c>
      <c r="GQ161" t="e">
        <f>'Compiled Agents'!A1261+"h_l!(9Z"</f>
        <v>#VALUE!</v>
      </c>
      <c r="GR161" t="e">
        <f>'Compiled Agents'!B1261+"h_l!(9["</f>
        <v>#VALUE!</v>
      </c>
      <c r="GS161" t="e">
        <f>'Compiled Agents'!C1261+"h_l!(9\"</f>
        <v>#VALUE!</v>
      </c>
      <c r="GT161" t="e">
        <f>'Compiled Agents'!E1261+"h_l!(9]"</f>
        <v>#VALUE!</v>
      </c>
      <c r="GU161" t="e">
        <f>'Compiled Agents'!F1261+"h_l!(9^"</f>
        <v>#VALUE!</v>
      </c>
      <c r="GV161" t="e">
        <f>'Compiled Agents'!G1261+"h_l!(9_"</f>
        <v>#VALUE!</v>
      </c>
      <c r="GW161" t="e">
        <f>'Compiled Agents'!H1261+"h_l!(9`"</f>
        <v>#VALUE!</v>
      </c>
      <c r="GX161" t="e">
        <f>'Compiled Agents'!A1262+"h_l!(9a"</f>
        <v>#VALUE!</v>
      </c>
      <c r="GY161" t="e">
        <f>'Compiled Agents'!B1262+"h_l!(9b"</f>
        <v>#VALUE!</v>
      </c>
      <c r="GZ161" t="e">
        <f>'Compiled Agents'!C1262+"h_l!(9c"</f>
        <v>#VALUE!</v>
      </c>
      <c r="HA161" t="e">
        <f>'Compiled Agents'!E1262+"h_l!(9d"</f>
        <v>#VALUE!</v>
      </c>
      <c r="HB161" t="e">
        <f>'Compiled Agents'!F1262+"h_l!(9e"</f>
        <v>#VALUE!</v>
      </c>
      <c r="HC161" t="e">
        <f>'Compiled Agents'!G1262+"h_l!(9f"</f>
        <v>#VALUE!</v>
      </c>
      <c r="HD161" t="e">
        <f>'Compiled Agents'!H1262+"h_l!(9g"</f>
        <v>#VALUE!</v>
      </c>
      <c r="HE161" t="e">
        <f>'Compiled Agents'!A1263+"h_l!(9h"</f>
        <v>#VALUE!</v>
      </c>
      <c r="HF161" t="e">
        <f>'Compiled Agents'!B1263+"h_l!(9i"</f>
        <v>#VALUE!</v>
      </c>
      <c r="HG161" t="e">
        <f>'Compiled Agents'!C1263+"h_l!(9j"</f>
        <v>#VALUE!</v>
      </c>
      <c r="HH161" t="e">
        <f>'Compiled Agents'!E1263+"h_l!(9k"</f>
        <v>#VALUE!</v>
      </c>
      <c r="HI161" t="e">
        <f>'Compiled Agents'!F1263+"h_l!(9l"</f>
        <v>#VALUE!</v>
      </c>
      <c r="HJ161" t="e">
        <f>'Compiled Agents'!G1263+"h_l!(9m"</f>
        <v>#VALUE!</v>
      </c>
      <c r="HK161" t="e">
        <f>'Compiled Agents'!H1263+"h_l!(9n"</f>
        <v>#VALUE!</v>
      </c>
      <c r="HL161" t="e">
        <f>'Compiled Agents'!A1264+"h_l!(9o"</f>
        <v>#VALUE!</v>
      </c>
      <c r="HM161" t="e">
        <f>'Compiled Agents'!B1264+"h_l!(9p"</f>
        <v>#VALUE!</v>
      </c>
      <c r="HN161" t="e">
        <f>'Compiled Agents'!C1264+"h_l!(9q"</f>
        <v>#VALUE!</v>
      </c>
      <c r="HO161" t="e">
        <f>'Compiled Agents'!E1264+"h_l!(9r"</f>
        <v>#VALUE!</v>
      </c>
      <c r="HP161" t="e">
        <f>'Compiled Agents'!F1264+"h_l!(9s"</f>
        <v>#VALUE!</v>
      </c>
      <c r="HQ161" t="e">
        <f>'Compiled Agents'!G1264+"h_l!(9t"</f>
        <v>#VALUE!</v>
      </c>
      <c r="HR161" t="e">
        <f>'Compiled Agents'!H1264+"h_l!(9u"</f>
        <v>#VALUE!</v>
      </c>
      <c r="HS161" t="e">
        <f>'Compiled Agents'!A1265+"h_l!(9v"</f>
        <v>#VALUE!</v>
      </c>
      <c r="HT161" t="e">
        <f>'Compiled Agents'!B1265+"h_l!(9w"</f>
        <v>#VALUE!</v>
      </c>
      <c r="HU161" t="e">
        <f>'Compiled Agents'!C1265+"h_l!(9x"</f>
        <v>#VALUE!</v>
      </c>
      <c r="HV161" t="e">
        <f>'Compiled Agents'!E1265+"h_l!(9y"</f>
        <v>#VALUE!</v>
      </c>
      <c r="HW161" t="e">
        <f>'Compiled Agents'!F1265+"h_l!(9z"</f>
        <v>#VALUE!</v>
      </c>
      <c r="HX161" t="e">
        <f>'Compiled Agents'!G1265+"h_l!(9{"</f>
        <v>#VALUE!</v>
      </c>
      <c r="HY161" t="e">
        <f>'Compiled Agents'!H1265+"h_l!(9|"</f>
        <v>#VALUE!</v>
      </c>
      <c r="HZ161" t="e">
        <f>'Compiled Agents'!A1266+"h_l!(9}"</f>
        <v>#VALUE!</v>
      </c>
      <c r="IA161" t="e">
        <f>'Compiled Agents'!B1266+"h_l!(9~"</f>
        <v>#VALUE!</v>
      </c>
      <c r="IB161" t="e">
        <f>'Compiled Agents'!C1266+"h_l!(:#"</f>
        <v>#VALUE!</v>
      </c>
      <c r="IC161" t="e">
        <f>'Compiled Agents'!E1266+"h_l!(:$"</f>
        <v>#VALUE!</v>
      </c>
      <c r="ID161" t="e">
        <f>'Compiled Agents'!F1266+"h_l!(:%"</f>
        <v>#VALUE!</v>
      </c>
      <c r="IE161" t="e">
        <f>'Compiled Agents'!G1266+"h_l!(:&amp;"</f>
        <v>#VALUE!</v>
      </c>
      <c r="IF161" t="e">
        <f>'Compiled Agents'!H1266+"h_l!(:'"</f>
        <v>#VALUE!</v>
      </c>
      <c r="IG161" t="e">
        <f>'Compiled Agents'!A1267+"h_l!(:("</f>
        <v>#VALUE!</v>
      </c>
      <c r="IH161" t="e">
        <f>'Compiled Agents'!B1267+"h_l!(:)"</f>
        <v>#VALUE!</v>
      </c>
      <c r="II161" t="e">
        <f>'Compiled Agents'!C1267+"h_l!(:."</f>
        <v>#VALUE!</v>
      </c>
      <c r="IJ161" t="e">
        <f>'Compiled Agents'!E1267+"h_l!(:/"</f>
        <v>#VALUE!</v>
      </c>
      <c r="IK161" t="e">
        <f>'Compiled Agents'!F1267+"h_l!(:0"</f>
        <v>#VALUE!</v>
      </c>
      <c r="IL161" t="e">
        <f>'Compiled Agents'!G1267+"h_l!(:1"</f>
        <v>#VALUE!</v>
      </c>
      <c r="IM161" t="e">
        <f>'Compiled Agents'!H1267+"h_l!(:2"</f>
        <v>#VALUE!</v>
      </c>
      <c r="IN161" t="e">
        <f>'Compiled Agents'!A1268+"h_l!(:3"</f>
        <v>#VALUE!</v>
      </c>
      <c r="IO161" t="e">
        <f>'Compiled Agents'!B1268+"h_l!(:4"</f>
        <v>#VALUE!</v>
      </c>
      <c r="IP161" t="e">
        <f>'Compiled Agents'!C1268+"h_l!(:5"</f>
        <v>#VALUE!</v>
      </c>
      <c r="IQ161" t="e">
        <f>'Compiled Agents'!E1268+"h_l!(:6"</f>
        <v>#VALUE!</v>
      </c>
      <c r="IR161" t="e">
        <f>'Compiled Agents'!F1268+"h_l!(:7"</f>
        <v>#VALUE!</v>
      </c>
      <c r="IS161" t="e">
        <f>'Compiled Agents'!G1268+"h_l!(:8"</f>
        <v>#VALUE!</v>
      </c>
      <c r="IT161" t="e">
        <f>'Compiled Agents'!H1268+"h_l!(:9"</f>
        <v>#VALUE!</v>
      </c>
      <c r="IU161" t="e">
        <f>'Compiled Agents'!A1269+"h_l!(::"</f>
        <v>#VALUE!</v>
      </c>
      <c r="IV161" t="e">
        <f>'Compiled Agents'!B1269+"h_l!(:;"</f>
        <v>#VALUE!</v>
      </c>
    </row>
    <row r="162" spans="6:256" x14ac:dyDescent="0.25">
      <c r="F162" t="e">
        <f>'Compiled Agents'!C1269+"h_l!(:&lt;"</f>
        <v>#VALUE!</v>
      </c>
      <c r="G162" t="e">
        <f>'Compiled Agents'!E1269+"h_l!(:="</f>
        <v>#VALUE!</v>
      </c>
      <c r="H162" t="e">
        <f>'Compiled Agents'!F1269+"h_l!(:&gt;"</f>
        <v>#VALUE!</v>
      </c>
      <c r="I162" t="e">
        <f>'Compiled Agents'!G1269+"h_l!(:?"</f>
        <v>#VALUE!</v>
      </c>
      <c r="J162" t="e">
        <f>'Compiled Agents'!H1269+"h_l!(:@"</f>
        <v>#VALUE!</v>
      </c>
      <c r="K162" t="e">
        <f>'Compiled Agents'!A1270+"h_l!(:A"</f>
        <v>#VALUE!</v>
      </c>
      <c r="L162" t="e">
        <f>'Compiled Agents'!B1270+"h_l!(:B"</f>
        <v>#VALUE!</v>
      </c>
      <c r="M162" t="e">
        <f>'Compiled Agents'!C1270+"h_l!(:C"</f>
        <v>#VALUE!</v>
      </c>
      <c r="N162" t="e">
        <f>'Compiled Agents'!E1270+"h_l!(:D"</f>
        <v>#VALUE!</v>
      </c>
      <c r="O162" t="e">
        <f>'Compiled Agents'!F1270+"h_l!(:E"</f>
        <v>#VALUE!</v>
      </c>
      <c r="P162" t="e">
        <f>'Compiled Agents'!G1270+"h_l!(:F"</f>
        <v>#VALUE!</v>
      </c>
      <c r="Q162" t="e">
        <f>'Compiled Agents'!H1270+"h_l!(:G"</f>
        <v>#VALUE!</v>
      </c>
      <c r="R162" t="e">
        <f>'Compiled Agents'!A1271+"h_l!(:H"</f>
        <v>#VALUE!</v>
      </c>
      <c r="S162" t="e">
        <f>'Compiled Agents'!B1271+"h_l!(:I"</f>
        <v>#VALUE!</v>
      </c>
      <c r="T162" t="e">
        <f>'Compiled Agents'!C1271+"h_l!(:J"</f>
        <v>#VALUE!</v>
      </c>
      <c r="U162" t="e">
        <f>'Compiled Agents'!E1271+"h_l!(:K"</f>
        <v>#VALUE!</v>
      </c>
      <c r="V162" t="e">
        <f>'Compiled Agents'!F1271+"h_l!(:L"</f>
        <v>#VALUE!</v>
      </c>
      <c r="W162" t="e">
        <f>'Compiled Agents'!G1271+"h_l!(:M"</f>
        <v>#VALUE!</v>
      </c>
      <c r="X162" t="e">
        <f>'Compiled Agents'!H1271+"h_l!(:N"</f>
        <v>#VALUE!</v>
      </c>
      <c r="Y162" t="e">
        <f>'Compiled Agents'!A1272+"h_l!(:O"</f>
        <v>#VALUE!</v>
      </c>
      <c r="Z162" t="e">
        <f>'Compiled Agents'!B1272+"h_l!(:P"</f>
        <v>#VALUE!</v>
      </c>
      <c r="AA162" t="e">
        <f>'Compiled Agents'!C1272+"h_l!(:Q"</f>
        <v>#VALUE!</v>
      </c>
      <c r="AB162" t="e">
        <f>'Compiled Agents'!E1272+"h_l!(:R"</f>
        <v>#VALUE!</v>
      </c>
      <c r="AC162" t="e">
        <f>'Compiled Agents'!F1272+"h_l!(:S"</f>
        <v>#VALUE!</v>
      </c>
      <c r="AD162" t="e">
        <f>'Compiled Agents'!G1272+"h_l!(:T"</f>
        <v>#VALUE!</v>
      </c>
      <c r="AE162" t="e">
        <f>'Compiled Agents'!H1272+"h_l!(:U"</f>
        <v>#VALUE!</v>
      </c>
      <c r="AF162" t="e">
        <f>'Compiled Agents'!A1273+"h_l!(:V"</f>
        <v>#VALUE!</v>
      </c>
      <c r="AG162" t="e">
        <f>'Compiled Agents'!B1273+"h_l!(:W"</f>
        <v>#VALUE!</v>
      </c>
      <c r="AH162" t="e">
        <f>'Compiled Agents'!C1273+"h_l!(:X"</f>
        <v>#VALUE!</v>
      </c>
      <c r="AI162" t="e">
        <f>'Compiled Agents'!E1273+"h_l!(:Y"</f>
        <v>#VALUE!</v>
      </c>
      <c r="AJ162" t="e">
        <f>'Compiled Agents'!F1273+"h_l!(:Z"</f>
        <v>#VALUE!</v>
      </c>
      <c r="AK162" t="e">
        <f>'Compiled Agents'!G1273+"h_l!(:["</f>
        <v>#VALUE!</v>
      </c>
      <c r="AL162" t="e">
        <f>'Compiled Agents'!H1273+"h_l!(:\"</f>
        <v>#VALUE!</v>
      </c>
      <c r="AM162" t="e">
        <f>'Compiled Agents'!A1274+"h_l!(:]"</f>
        <v>#VALUE!</v>
      </c>
      <c r="AN162" t="e">
        <f>'Compiled Agents'!B1274+"h_l!(:^"</f>
        <v>#VALUE!</v>
      </c>
      <c r="AO162" t="e">
        <f>'Compiled Agents'!C1274+"h_l!(:_"</f>
        <v>#VALUE!</v>
      </c>
      <c r="AP162" t="e">
        <f>'Compiled Agents'!E1274+"h_l!(:`"</f>
        <v>#VALUE!</v>
      </c>
      <c r="AQ162" t="e">
        <f>'Compiled Agents'!F1274+"h_l!(:a"</f>
        <v>#VALUE!</v>
      </c>
      <c r="AR162" t="e">
        <f>'Compiled Agents'!G1274+"h_l!(:b"</f>
        <v>#VALUE!</v>
      </c>
      <c r="AS162" t="e">
        <f>'Compiled Agents'!H1274+"h_l!(:c"</f>
        <v>#VALUE!</v>
      </c>
      <c r="AT162" t="e">
        <f>'Compiled Agents'!A1275+"h_l!(:d"</f>
        <v>#VALUE!</v>
      </c>
      <c r="AU162" t="e">
        <f>'Compiled Agents'!B1275+"h_l!(:e"</f>
        <v>#VALUE!</v>
      </c>
      <c r="AV162" t="e">
        <f>'Compiled Agents'!C1275+"h_l!(:f"</f>
        <v>#VALUE!</v>
      </c>
      <c r="AW162" t="e">
        <f>'Compiled Agents'!E1275+"h_l!(:g"</f>
        <v>#VALUE!</v>
      </c>
      <c r="AX162" t="e">
        <f>'Compiled Agents'!F1275+"h_l!(:h"</f>
        <v>#VALUE!</v>
      </c>
      <c r="AY162" t="e">
        <f>'Compiled Agents'!G1275+"h_l!(:i"</f>
        <v>#VALUE!</v>
      </c>
      <c r="AZ162" t="e">
        <f>'Compiled Agents'!H1275+"h_l!(:j"</f>
        <v>#VALUE!</v>
      </c>
      <c r="BA162" t="e">
        <f>'Compiled Agents'!A1276+"h_l!(:k"</f>
        <v>#VALUE!</v>
      </c>
      <c r="BB162" t="e">
        <f>'Compiled Agents'!B1276+"h_l!(:l"</f>
        <v>#VALUE!</v>
      </c>
      <c r="BC162" t="e">
        <f>'Compiled Agents'!C1276+"h_l!(:m"</f>
        <v>#VALUE!</v>
      </c>
      <c r="BD162" t="e">
        <f>'Compiled Agents'!E1276+"h_l!(:n"</f>
        <v>#VALUE!</v>
      </c>
      <c r="BE162" t="e">
        <f>'Compiled Agents'!F1276+"h_l!(:o"</f>
        <v>#VALUE!</v>
      </c>
      <c r="BF162" t="e">
        <f>'Compiled Agents'!G1276+"h_l!(:p"</f>
        <v>#VALUE!</v>
      </c>
      <c r="BG162" t="e">
        <f>'Compiled Agents'!H1276+"h_l!(:q"</f>
        <v>#VALUE!</v>
      </c>
      <c r="BH162" t="e">
        <f>'Compiled Agents'!A1277+"h_l!(:r"</f>
        <v>#VALUE!</v>
      </c>
      <c r="BI162" t="e">
        <f>'Compiled Agents'!B1277+"h_l!(:s"</f>
        <v>#VALUE!</v>
      </c>
      <c r="BJ162" t="e">
        <f>'Compiled Agents'!C1277+"h_l!(:t"</f>
        <v>#VALUE!</v>
      </c>
      <c r="BK162" t="e">
        <f>'Compiled Agents'!E1277+"h_l!(:u"</f>
        <v>#VALUE!</v>
      </c>
      <c r="BL162" t="e">
        <f>'Compiled Agents'!F1277+"h_l!(:v"</f>
        <v>#VALUE!</v>
      </c>
      <c r="BM162" t="e">
        <f>'Compiled Agents'!G1277+"h_l!(:w"</f>
        <v>#VALUE!</v>
      </c>
      <c r="BN162" t="e">
        <f>'Compiled Agents'!H1277+"h_l!(:x"</f>
        <v>#VALUE!</v>
      </c>
      <c r="BO162" t="e">
        <f>'Compiled Agents'!A1278+"h_l!(:y"</f>
        <v>#VALUE!</v>
      </c>
      <c r="BP162" t="e">
        <f>'Compiled Agents'!B1278+"h_l!(:z"</f>
        <v>#VALUE!</v>
      </c>
      <c r="BQ162" t="e">
        <f>'Compiled Agents'!C1278+"h_l!(:{"</f>
        <v>#VALUE!</v>
      </c>
      <c r="BR162" t="e">
        <f>'Compiled Agents'!E1278+"h_l!(:|"</f>
        <v>#VALUE!</v>
      </c>
      <c r="BS162" t="e">
        <f>'Compiled Agents'!F1278+"h_l!(:}"</f>
        <v>#VALUE!</v>
      </c>
      <c r="BT162" t="e">
        <f>'Compiled Agents'!G1278+"h_l!(:~"</f>
        <v>#VALUE!</v>
      </c>
      <c r="BU162" t="e">
        <f>'Compiled Agents'!H1278+"h_l!(;#"</f>
        <v>#VALUE!</v>
      </c>
      <c r="BV162" t="e">
        <f>'Compiled Agents'!A1279+"h_l!(;$"</f>
        <v>#VALUE!</v>
      </c>
      <c r="BW162" t="e">
        <f>'Compiled Agents'!B1279+"h_l!(;%"</f>
        <v>#VALUE!</v>
      </c>
      <c r="BX162" t="e">
        <f>'Compiled Agents'!C1279+"h_l!(;&amp;"</f>
        <v>#VALUE!</v>
      </c>
      <c r="BY162" t="e">
        <f>'Compiled Agents'!E1279+"h_l!(;'"</f>
        <v>#VALUE!</v>
      </c>
      <c r="BZ162" t="e">
        <f>'Compiled Agents'!F1279+"h_l!(;("</f>
        <v>#VALUE!</v>
      </c>
      <c r="CA162" t="e">
        <f>'Compiled Agents'!G1279+"h_l!(;)"</f>
        <v>#VALUE!</v>
      </c>
      <c r="CB162" t="e">
        <f>'Compiled Agents'!H1279+"h_l!(;."</f>
        <v>#VALUE!</v>
      </c>
      <c r="CC162" t="e">
        <f>'Compiled Agents'!A1280+"h_l!(;/"</f>
        <v>#VALUE!</v>
      </c>
      <c r="CD162" t="e">
        <f>'Compiled Agents'!B1280+"h_l!(;0"</f>
        <v>#VALUE!</v>
      </c>
      <c r="CE162" t="e">
        <f>'Compiled Agents'!C1280+"h_l!(;1"</f>
        <v>#VALUE!</v>
      </c>
      <c r="CF162" t="e">
        <f>'Compiled Agents'!E1280+"h_l!(;2"</f>
        <v>#VALUE!</v>
      </c>
      <c r="CG162" t="e">
        <f>'Compiled Agents'!F1280+"h_l!(;3"</f>
        <v>#VALUE!</v>
      </c>
      <c r="CH162" t="e">
        <f>'Compiled Agents'!G1280+"h_l!(;4"</f>
        <v>#VALUE!</v>
      </c>
      <c r="CI162" t="e">
        <f>'Compiled Agents'!H1280+"h_l!(;5"</f>
        <v>#VALUE!</v>
      </c>
      <c r="CJ162" t="e">
        <f>'Compiled Agents'!A1281+"h_l!(;6"</f>
        <v>#VALUE!</v>
      </c>
      <c r="CK162" t="e">
        <f>'Compiled Agents'!B1281+"h_l!(;7"</f>
        <v>#VALUE!</v>
      </c>
      <c r="CL162" t="e">
        <f>'Compiled Agents'!C1281+"h_l!(;8"</f>
        <v>#VALUE!</v>
      </c>
      <c r="CM162" t="e">
        <f>'Compiled Agents'!E1281+"h_l!(;9"</f>
        <v>#VALUE!</v>
      </c>
      <c r="CN162" t="e">
        <f>'Compiled Agents'!F1281+"h_l!(;:"</f>
        <v>#VALUE!</v>
      </c>
      <c r="CO162" t="e">
        <f>'Compiled Agents'!G1281+"h_l!(;;"</f>
        <v>#VALUE!</v>
      </c>
      <c r="CP162" t="e">
        <f>'Compiled Agents'!H1281+"h_l!(;&lt;"</f>
        <v>#VALUE!</v>
      </c>
      <c r="CQ162" t="e">
        <f>'Compiled Agents'!A1282+"h_l!(;="</f>
        <v>#VALUE!</v>
      </c>
      <c r="CR162" t="e">
        <f>'Compiled Agents'!B1282+"h_l!(;&gt;"</f>
        <v>#VALUE!</v>
      </c>
      <c r="CS162" t="e">
        <f>'Compiled Agents'!C1282+"h_l!(;?"</f>
        <v>#VALUE!</v>
      </c>
      <c r="CT162" t="e">
        <f>'Compiled Agents'!E1282+"h_l!(;@"</f>
        <v>#VALUE!</v>
      </c>
      <c r="CU162" t="e">
        <f>'Compiled Agents'!F1282+"h_l!(;A"</f>
        <v>#VALUE!</v>
      </c>
      <c r="CV162" t="e">
        <f>'Compiled Agents'!G1282+"h_l!(;B"</f>
        <v>#VALUE!</v>
      </c>
      <c r="CW162" t="e">
        <f>'Compiled Agents'!H1282+"h_l!(;C"</f>
        <v>#VALUE!</v>
      </c>
      <c r="CX162" t="e">
        <f>'Compiled Agents'!A1283+"h_l!(;D"</f>
        <v>#VALUE!</v>
      </c>
      <c r="CY162" t="e">
        <f>'Compiled Agents'!B1283+"h_l!(;E"</f>
        <v>#VALUE!</v>
      </c>
      <c r="CZ162" t="e">
        <f>'Compiled Agents'!C1283+"h_l!(;F"</f>
        <v>#VALUE!</v>
      </c>
      <c r="DA162" t="e">
        <f>'Compiled Agents'!E1283+"h_l!(;G"</f>
        <v>#VALUE!</v>
      </c>
      <c r="DB162" t="e">
        <f>'Compiled Agents'!F1283+"h_l!(;H"</f>
        <v>#VALUE!</v>
      </c>
      <c r="DC162" t="e">
        <f>'Compiled Agents'!G1283+"h_l!(;I"</f>
        <v>#VALUE!</v>
      </c>
      <c r="DD162" t="e">
        <f>'Compiled Agents'!H1283+"h_l!(;J"</f>
        <v>#VALUE!</v>
      </c>
      <c r="DE162" t="e">
        <f>'Compiled Agents'!A1284+"h_l!(;K"</f>
        <v>#VALUE!</v>
      </c>
      <c r="DF162" t="e">
        <f>'Compiled Agents'!B1284+"h_l!(;L"</f>
        <v>#VALUE!</v>
      </c>
      <c r="DG162" t="e">
        <f>'Compiled Agents'!C1284+"h_l!(;M"</f>
        <v>#VALUE!</v>
      </c>
      <c r="DH162" t="e">
        <f>'Compiled Agents'!E1284+"h_l!(;N"</f>
        <v>#VALUE!</v>
      </c>
      <c r="DI162" t="e">
        <f>'Compiled Agents'!F1284+"h_l!(;O"</f>
        <v>#VALUE!</v>
      </c>
      <c r="DJ162" t="e">
        <f>'Compiled Agents'!G1284+"h_l!(;P"</f>
        <v>#VALUE!</v>
      </c>
      <c r="DK162" t="e">
        <f>'Compiled Agents'!H1284+"h_l!(;Q"</f>
        <v>#VALUE!</v>
      </c>
      <c r="DL162" t="e">
        <f>'Compiled Agents'!A1285+"h_l!(;R"</f>
        <v>#VALUE!</v>
      </c>
      <c r="DM162" t="e">
        <f>'Compiled Agents'!B1285+"h_l!(;S"</f>
        <v>#VALUE!</v>
      </c>
      <c r="DN162" t="e">
        <f>'Compiled Agents'!C1285+"h_l!(;T"</f>
        <v>#VALUE!</v>
      </c>
      <c r="DO162" t="e">
        <f>'Compiled Agents'!E1285+"h_l!(;U"</f>
        <v>#VALUE!</v>
      </c>
      <c r="DP162" t="e">
        <f>'Compiled Agents'!F1285+"h_l!(;V"</f>
        <v>#VALUE!</v>
      </c>
      <c r="DQ162" t="e">
        <f>'Compiled Agents'!G1285+"h_l!(;W"</f>
        <v>#VALUE!</v>
      </c>
      <c r="DR162" t="e">
        <f>'Compiled Agents'!H1285+"h_l!(;X"</f>
        <v>#VALUE!</v>
      </c>
      <c r="DS162" t="e">
        <f>'Compiled Agents'!A1286+"h_l!(;Y"</f>
        <v>#VALUE!</v>
      </c>
      <c r="DT162" t="e">
        <f>'Compiled Agents'!B1286+"h_l!(;Z"</f>
        <v>#VALUE!</v>
      </c>
      <c r="DU162" t="e">
        <f>'Compiled Agents'!C1286+"h_l!(;["</f>
        <v>#VALUE!</v>
      </c>
      <c r="DV162" t="e">
        <f>'Compiled Agents'!E1286+"h_l!(;\"</f>
        <v>#VALUE!</v>
      </c>
      <c r="DW162" t="e">
        <f>'Compiled Agents'!F1286+"h_l!(;]"</f>
        <v>#VALUE!</v>
      </c>
      <c r="DX162" t="e">
        <f>'Compiled Agents'!G1286+"h_l!(;^"</f>
        <v>#VALUE!</v>
      </c>
      <c r="DY162" t="e">
        <f>'Compiled Agents'!H1286+"h_l!(;_"</f>
        <v>#VALUE!</v>
      </c>
      <c r="DZ162" t="e">
        <f>'Compiled Agents'!A1287+"h_l!(;`"</f>
        <v>#VALUE!</v>
      </c>
      <c r="EA162" t="e">
        <f>'Compiled Agents'!B1287+"h_l!(;a"</f>
        <v>#VALUE!</v>
      </c>
      <c r="EB162" t="e">
        <f>'Compiled Agents'!C1287+"h_l!(;b"</f>
        <v>#VALUE!</v>
      </c>
      <c r="EC162" t="e">
        <f>'Compiled Agents'!E1287+"h_l!(;c"</f>
        <v>#VALUE!</v>
      </c>
      <c r="ED162" t="e">
        <f>'Compiled Agents'!F1287+"h_l!(;d"</f>
        <v>#VALUE!</v>
      </c>
      <c r="EE162" t="e">
        <f>'Compiled Agents'!G1287+"h_l!(;e"</f>
        <v>#VALUE!</v>
      </c>
      <c r="EF162" t="e">
        <f>'Compiled Agents'!H1287+"h_l!(;f"</f>
        <v>#VALUE!</v>
      </c>
      <c r="EG162" t="e">
        <f>'Compiled Agents'!A1288+"h_l!(;g"</f>
        <v>#VALUE!</v>
      </c>
      <c r="EH162" t="e">
        <f>'Compiled Agents'!B1288+"h_l!(;h"</f>
        <v>#VALUE!</v>
      </c>
      <c r="EI162" t="e">
        <f>'Compiled Agents'!C1288+"h_l!(;i"</f>
        <v>#VALUE!</v>
      </c>
      <c r="EJ162" t="e">
        <f>'Compiled Agents'!E1288+"h_l!(;j"</f>
        <v>#VALUE!</v>
      </c>
      <c r="EK162" t="e">
        <f>'Compiled Agents'!F1288+"h_l!(;k"</f>
        <v>#VALUE!</v>
      </c>
      <c r="EL162" t="e">
        <f>'Compiled Agents'!G1288+"h_l!(;l"</f>
        <v>#VALUE!</v>
      </c>
      <c r="EM162" t="e">
        <f>'Compiled Agents'!H1288+"h_l!(;m"</f>
        <v>#VALUE!</v>
      </c>
      <c r="EN162" t="e">
        <f>'Compiled Agents'!A1289+"h_l!(;n"</f>
        <v>#VALUE!</v>
      </c>
      <c r="EO162" t="e">
        <f>'Compiled Agents'!B1289+"h_l!(;o"</f>
        <v>#VALUE!</v>
      </c>
      <c r="EP162" t="e">
        <f>'Compiled Agents'!C1289+"h_l!(;p"</f>
        <v>#VALUE!</v>
      </c>
      <c r="EQ162" t="e">
        <f>'Compiled Agents'!E1289+"h_l!(;q"</f>
        <v>#VALUE!</v>
      </c>
      <c r="ER162" t="e">
        <f>'Compiled Agents'!F1289+"h_l!(;r"</f>
        <v>#VALUE!</v>
      </c>
      <c r="ES162" t="e">
        <f>'Compiled Agents'!G1289+"h_l!(;s"</f>
        <v>#VALUE!</v>
      </c>
      <c r="ET162" t="e">
        <f>'Compiled Agents'!H1289+"h_l!(;t"</f>
        <v>#VALUE!</v>
      </c>
      <c r="EU162" t="e">
        <f>'Compiled Agents'!A1290+"h_l!(;u"</f>
        <v>#VALUE!</v>
      </c>
      <c r="EV162" t="e">
        <f>'Compiled Agents'!B1290+"h_l!(;v"</f>
        <v>#VALUE!</v>
      </c>
      <c r="EW162" t="e">
        <f>'Compiled Agents'!C1290+"h_l!(;w"</f>
        <v>#VALUE!</v>
      </c>
      <c r="EX162" t="e">
        <f>'Compiled Agents'!E1290+"h_l!(;x"</f>
        <v>#VALUE!</v>
      </c>
      <c r="EY162" t="e">
        <f>'Compiled Agents'!F1290+"h_l!(;y"</f>
        <v>#VALUE!</v>
      </c>
      <c r="EZ162" t="e">
        <f>'Compiled Agents'!G1290+"h_l!(;z"</f>
        <v>#VALUE!</v>
      </c>
      <c r="FA162" t="e">
        <f>'Compiled Agents'!H1290+"h_l!(;{"</f>
        <v>#VALUE!</v>
      </c>
      <c r="FB162" t="e">
        <f>'Compiled Agents'!A1291+"h_l!(;|"</f>
        <v>#VALUE!</v>
      </c>
      <c r="FC162" t="e">
        <f>'Compiled Agents'!B1291+"h_l!(;}"</f>
        <v>#VALUE!</v>
      </c>
      <c r="FD162" t="e">
        <f>'Compiled Agents'!C1291+"h_l!(;~"</f>
        <v>#VALUE!</v>
      </c>
      <c r="FE162" t="e">
        <f>'Compiled Agents'!E1291+"h_l!(&lt;#"</f>
        <v>#VALUE!</v>
      </c>
      <c r="FF162" t="e">
        <f>'Compiled Agents'!F1291+"h_l!(&lt;$"</f>
        <v>#VALUE!</v>
      </c>
      <c r="FG162" t="e">
        <f>'Compiled Agents'!G1291+"h_l!(&lt;%"</f>
        <v>#VALUE!</v>
      </c>
      <c r="FH162" t="e">
        <f>'Compiled Agents'!H1291+"h_l!(&lt;&amp;"</f>
        <v>#VALUE!</v>
      </c>
      <c r="FI162" t="e">
        <f>'Compiled Agents'!A1292+"h_l!(&lt;'"</f>
        <v>#VALUE!</v>
      </c>
      <c r="FJ162" t="e">
        <f>'Compiled Agents'!B1292+"h_l!(&lt;("</f>
        <v>#VALUE!</v>
      </c>
      <c r="FK162" t="e">
        <f>'Compiled Agents'!C1292+"h_l!(&lt;)"</f>
        <v>#VALUE!</v>
      </c>
      <c r="FL162" t="e">
        <f>'Compiled Agents'!E1292+"h_l!(&lt;."</f>
        <v>#VALUE!</v>
      </c>
      <c r="FM162" t="e">
        <f>'Compiled Agents'!F1292+"h_l!(&lt;/"</f>
        <v>#VALUE!</v>
      </c>
      <c r="FN162" t="e">
        <f>'Compiled Agents'!G1292+"h_l!(&lt;0"</f>
        <v>#VALUE!</v>
      </c>
      <c r="FO162" t="e">
        <f>'Compiled Agents'!H1292+"h_l!(&lt;1"</f>
        <v>#VALUE!</v>
      </c>
      <c r="FP162" t="e">
        <f>'Compiled Agents'!A1293+"h_l!(&lt;2"</f>
        <v>#VALUE!</v>
      </c>
      <c r="FQ162" t="e">
        <f>'Compiled Agents'!B1293+"h_l!(&lt;3"</f>
        <v>#VALUE!</v>
      </c>
      <c r="FR162" t="e">
        <f>'Compiled Agents'!C1293+"h_l!(&lt;4"</f>
        <v>#VALUE!</v>
      </c>
      <c r="FS162" t="e">
        <f>'Compiled Agents'!E1293+"h_l!(&lt;5"</f>
        <v>#VALUE!</v>
      </c>
      <c r="FT162" t="e">
        <f>'Compiled Agents'!F1293+"h_l!(&lt;6"</f>
        <v>#VALUE!</v>
      </c>
      <c r="FU162" t="e">
        <f>'Compiled Agents'!G1293+"h_l!(&lt;7"</f>
        <v>#VALUE!</v>
      </c>
      <c r="FV162" t="e">
        <f>'Compiled Agents'!H1293+"h_l!(&lt;8"</f>
        <v>#VALUE!</v>
      </c>
      <c r="FW162" t="e">
        <f>'Compiled Agents'!A1294+"h_l!(&lt;9"</f>
        <v>#VALUE!</v>
      </c>
      <c r="FX162" t="e">
        <f>'Compiled Agents'!B1294+"h_l!(&lt;:"</f>
        <v>#VALUE!</v>
      </c>
      <c r="FY162" t="e">
        <f>'Compiled Agents'!C1294+"h_l!(&lt;;"</f>
        <v>#VALUE!</v>
      </c>
      <c r="FZ162" t="e">
        <f>'Compiled Agents'!E1294+"h_l!(&lt;&lt;"</f>
        <v>#VALUE!</v>
      </c>
      <c r="GA162" t="e">
        <f>'Compiled Agents'!F1294+"h_l!(&lt;="</f>
        <v>#VALUE!</v>
      </c>
      <c r="GB162" t="e">
        <f>'Compiled Agents'!G1294+"h_l!(&lt;&gt;"</f>
        <v>#VALUE!</v>
      </c>
      <c r="GC162" t="e">
        <f>'Compiled Agents'!H1294+"h_l!(&lt;?"</f>
        <v>#VALUE!</v>
      </c>
      <c r="GD162" t="e">
        <f>'Compiled Agents'!A1295+"h_l!(&lt;@"</f>
        <v>#VALUE!</v>
      </c>
      <c r="GE162" t="e">
        <f>'Compiled Agents'!B1295+"h_l!(&lt;A"</f>
        <v>#VALUE!</v>
      </c>
      <c r="GF162" t="e">
        <f>'Compiled Agents'!C1295+"h_l!(&lt;B"</f>
        <v>#VALUE!</v>
      </c>
      <c r="GG162" t="e">
        <f>'Compiled Agents'!E1295+"h_l!(&lt;C"</f>
        <v>#VALUE!</v>
      </c>
      <c r="GH162" t="e">
        <f>'Compiled Agents'!F1295+"h_l!(&lt;D"</f>
        <v>#VALUE!</v>
      </c>
      <c r="GI162" t="e">
        <f>'Compiled Agents'!G1295+"h_l!(&lt;E"</f>
        <v>#VALUE!</v>
      </c>
      <c r="GJ162" t="e">
        <f>'Compiled Agents'!H1295+"h_l!(&lt;F"</f>
        <v>#VALUE!</v>
      </c>
      <c r="GK162" t="e">
        <f>'Compiled Agents'!A1296+"h_l!(&lt;G"</f>
        <v>#VALUE!</v>
      </c>
      <c r="GL162" t="e">
        <f>'Compiled Agents'!B1296+"h_l!(&lt;H"</f>
        <v>#VALUE!</v>
      </c>
      <c r="GM162" t="e">
        <f>'Compiled Agents'!C1296+"h_l!(&lt;I"</f>
        <v>#VALUE!</v>
      </c>
      <c r="GN162" t="e">
        <f>'Compiled Agents'!E1296+"h_l!(&lt;J"</f>
        <v>#VALUE!</v>
      </c>
      <c r="GO162" t="e">
        <f>'Compiled Agents'!F1296+"h_l!(&lt;K"</f>
        <v>#VALUE!</v>
      </c>
      <c r="GP162" t="e">
        <f>'Compiled Agents'!G1296+"h_l!(&lt;L"</f>
        <v>#VALUE!</v>
      </c>
      <c r="GQ162" t="e">
        <f>'Compiled Agents'!H1296+"h_l!(&lt;M"</f>
        <v>#VALUE!</v>
      </c>
      <c r="GR162" t="e">
        <f>'Compiled Agents'!A1297+"h_l!(&lt;N"</f>
        <v>#VALUE!</v>
      </c>
      <c r="GS162" t="e">
        <f>'Compiled Agents'!B1297+"h_l!(&lt;O"</f>
        <v>#VALUE!</v>
      </c>
      <c r="GT162" t="e">
        <f>'Compiled Agents'!C1297+"h_l!(&lt;P"</f>
        <v>#VALUE!</v>
      </c>
      <c r="GU162" t="e">
        <f>'Compiled Agents'!E1297+"h_l!(&lt;Q"</f>
        <v>#VALUE!</v>
      </c>
      <c r="GV162" t="e">
        <f>'Compiled Agents'!F1297+"h_l!(&lt;R"</f>
        <v>#VALUE!</v>
      </c>
      <c r="GW162" t="e">
        <f>'Compiled Agents'!G1297+"h_l!(&lt;S"</f>
        <v>#VALUE!</v>
      </c>
      <c r="GX162" t="e">
        <f>'Compiled Agents'!H1297+"h_l!(&lt;T"</f>
        <v>#VALUE!</v>
      </c>
      <c r="GY162" t="e">
        <f>'Compiled Agents'!A1298+"h_l!(&lt;U"</f>
        <v>#VALUE!</v>
      </c>
      <c r="GZ162" t="e">
        <f>'Compiled Agents'!B1298+"h_l!(&lt;V"</f>
        <v>#VALUE!</v>
      </c>
      <c r="HA162" t="e">
        <f>'Compiled Agents'!C1298+"h_l!(&lt;W"</f>
        <v>#VALUE!</v>
      </c>
      <c r="HB162" t="e">
        <f>'Compiled Agents'!E1298+"h_l!(&lt;X"</f>
        <v>#VALUE!</v>
      </c>
      <c r="HC162" t="e">
        <f>'Compiled Agents'!F1298+"h_l!(&lt;Y"</f>
        <v>#VALUE!</v>
      </c>
      <c r="HD162" t="e">
        <f>'Compiled Agents'!G1298+"h_l!(&lt;Z"</f>
        <v>#VALUE!</v>
      </c>
      <c r="HE162" t="e">
        <f>'Compiled Agents'!H1298+"h_l!(&lt;["</f>
        <v>#VALUE!</v>
      </c>
      <c r="HF162" t="e">
        <f>'Compiled Agents'!A1299+"h_l!(&lt;\"</f>
        <v>#VALUE!</v>
      </c>
      <c r="HG162" t="e">
        <f>'Compiled Agents'!B1299+"h_l!(&lt;]"</f>
        <v>#VALUE!</v>
      </c>
      <c r="HH162" t="e">
        <f>'Compiled Agents'!C1299+"h_l!(&lt;^"</f>
        <v>#VALUE!</v>
      </c>
      <c r="HI162" t="e">
        <f>'Compiled Agents'!E1299+"h_l!(&lt;_"</f>
        <v>#VALUE!</v>
      </c>
      <c r="HJ162" t="e">
        <f>'Compiled Agents'!F1299+"h_l!(&lt;`"</f>
        <v>#VALUE!</v>
      </c>
      <c r="HK162" t="e">
        <f>'Compiled Agents'!G1299+"h_l!(&lt;a"</f>
        <v>#VALUE!</v>
      </c>
      <c r="HL162" t="e">
        <f>'Compiled Agents'!H1299+"h_l!(&lt;b"</f>
        <v>#VALUE!</v>
      </c>
      <c r="HM162" t="e">
        <f>'Compiled Agents'!A1300+"h_l!(&lt;c"</f>
        <v>#VALUE!</v>
      </c>
      <c r="HN162" t="e">
        <f>'Compiled Agents'!B1300+"h_l!(&lt;d"</f>
        <v>#VALUE!</v>
      </c>
      <c r="HO162" t="e">
        <f>'Compiled Agents'!C1300+"h_l!(&lt;e"</f>
        <v>#VALUE!</v>
      </c>
      <c r="HP162" t="e">
        <f>'Compiled Agents'!E1300+"h_l!(&lt;f"</f>
        <v>#VALUE!</v>
      </c>
      <c r="HQ162" t="e">
        <f>'Compiled Agents'!F1300+"h_l!(&lt;g"</f>
        <v>#VALUE!</v>
      </c>
      <c r="HR162" t="e">
        <f>'Compiled Agents'!G1300+"h_l!(&lt;h"</f>
        <v>#VALUE!</v>
      </c>
      <c r="HS162" t="e">
        <f>'Compiled Agents'!H1300+"h_l!(&lt;i"</f>
        <v>#VALUE!</v>
      </c>
      <c r="HT162" t="e">
        <f>'Compiled Agents'!A1301+"h_l!(&lt;j"</f>
        <v>#VALUE!</v>
      </c>
      <c r="HU162" t="e">
        <f>'Compiled Agents'!B1301+"h_l!(&lt;k"</f>
        <v>#VALUE!</v>
      </c>
      <c r="HV162" t="e">
        <f>'Compiled Agents'!C1301+"h_l!(&lt;l"</f>
        <v>#VALUE!</v>
      </c>
      <c r="HW162" t="e">
        <f>'Compiled Agents'!E1301+"h_l!(&lt;m"</f>
        <v>#VALUE!</v>
      </c>
      <c r="HX162" t="e">
        <f>'Compiled Agents'!F1301+"h_l!(&lt;n"</f>
        <v>#VALUE!</v>
      </c>
      <c r="HY162" t="e">
        <f>'Compiled Agents'!G1301+"h_l!(&lt;o"</f>
        <v>#VALUE!</v>
      </c>
      <c r="HZ162" t="e">
        <f>'Compiled Agents'!H1301+"h_l!(&lt;p"</f>
        <v>#VALUE!</v>
      </c>
      <c r="IA162" t="e">
        <f>'Compiled Agents'!A1302+"h_l!(&lt;q"</f>
        <v>#VALUE!</v>
      </c>
      <c r="IB162" t="e">
        <f>'Compiled Agents'!B1302+"h_l!(&lt;r"</f>
        <v>#VALUE!</v>
      </c>
      <c r="IC162" t="e">
        <f>'Compiled Agents'!C1302+"h_l!(&lt;s"</f>
        <v>#VALUE!</v>
      </c>
      <c r="ID162" t="e">
        <f>'Compiled Agents'!E1302+"h_l!(&lt;t"</f>
        <v>#VALUE!</v>
      </c>
      <c r="IE162" t="e">
        <f>'Compiled Agents'!F1302+"h_l!(&lt;u"</f>
        <v>#VALUE!</v>
      </c>
      <c r="IF162" t="e">
        <f>'Compiled Agents'!G1302+"h_l!(&lt;v"</f>
        <v>#VALUE!</v>
      </c>
      <c r="IG162" t="e">
        <f>'Compiled Agents'!H1302+"h_l!(&lt;w"</f>
        <v>#VALUE!</v>
      </c>
      <c r="IH162" t="e">
        <f>'Compiled Agents'!A1303+"h_l!(&lt;x"</f>
        <v>#VALUE!</v>
      </c>
      <c r="II162" t="e">
        <f>'Compiled Agents'!B1303+"h_l!(&lt;y"</f>
        <v>#VALUE!</v>
      </c>
      <c r="IJ162" t="e">
        <f>'Compiled Agents'!C1303+"h_l!(&lt;z"</f>
        <v>#VALUE!</v>
      </c>
      <c r="IK162" t="e">
        <f>'Compiled Agents'!E1303+"h_l!(&lt;{"</f>
        <v>#VALUE!</v>
      </c>
      <c r="IL162" t="e">
        <f>'Compiled Agents'!F1303+"h_l!(&lt;|"</f>
        <v>#VALUE!</v>
      </c>
      <c r="IM162" t="e">
        <f>'Compiled Agents'!G1303+"h_l!(&lt;}"</f>
        <v>#VALUE!</v>
      </c>
      <c r="IN162" t="e">
        <f>'Compiled Agents'!H1303+"h_l!(&lt;~"</f>
        <v>#VALUE!</v>
      </c>
      <c r="IO162" t="e">
        <f>'Compiled Agents'!A1304+"h_l!(=#"</f>
        <v>#VALUE!</v>
      </c>
      <c r="IP162" t="e">
        <f>'Compiled Agents'!B1304+"h_l!(=$"</f>
        <v>#VALUE!</v>
      </c>
      <c r="IQ162" t="e">
        <f>'Compiled Agents'!C1304+"h_l!(=%"</f>
        <v>#VALUE!</v>
      </c>
      <c r="IR162" t="e">
        <f>'Compiled Agents'!E1304+"h_l!(=&amp;"</f>
        <v>#VALUE!</v>
      </c>
      <c r="IS162" t="e">
        <f>'Compiled Agents'!F1304+"h_l!(='"</f>
        <v>#VALUE!</v>
      </c>
      <c r="IT162" t="e">
        <f>'Compiled Agents'!G1304+"h_l!(=("</f>
        <v>#VALUE!</v>
      </c>
      <c r="IU162" t="e">
        <f>'Compiled Agents'!H1304+"h_l!(=)"</f>
        <v>#VALUE!</v>
      </c>
      <c r="IV162" t="e">
        <f>'Compiled Agents'!A1305+"h_l!(=."</f>
        <v>#VALUE!</v>
      </c>
    </row>
    <row r="163" spans="6:256" x14ac:dyDescent="0.25">
      <c r="F163" t="e">
        <f>'Compiled Agents'!B1305+"h_l!(=/"</f>
        <v>#VALUE!</v>
      </c>
      <c r="G163" t="e">
        <f>'Compiled Agents'!C1305+"h_l!(=0"</f>
        <v>#VALUE!</v>
      </c>
      <c r="H163" t="e">
        <f>'Compiled Agents'!E1305+"h_l!(=1"</f>
        <v>#VALUE!</v>
      </c>
      <c r="I163" t="e">
        <f>'Compiled Agents'!F1305+"h_l!(=2"</f>
        <v>#VALUE!</v>
      </c>
      <c r="J163" t="e">
        <f>'Compiled Agents'!G1305+"h_l!(=3"</f>
        <v>#VALUE!</v>
      </c>
      <c r="K163" t="e">
        <f>'Compiled Agents'!H1305+"h_l!(=4"</f>
        <v>#VALUE!</v>
      </c>
      <c r="L163" t="e">
        <f>'Compiled Agents'!A1306+"h_l!(=5"</f>
        <v>#VALUE!</v>
      </c>
      <c r="M163" t="e">
        <f>'Compiled Agents'!B1306+"h_l!(=6"</f>
        <v>#VALUE!</v>
      </c>
      <c r="N163" t="e">
        <f>'Compiled Agents'!C1306+"h_l!(=7"</f>
        <v>#VALUE!</v>
      </c>
      <c r="O163" t="e">
        <f>'Compiled Agents'!E1306+"h_l!(=8"</f>
        <v>#VALUE!</v>
      </c>
      <c r="P163" t="e">
        <f>'Compiled Agents'!F1306+"h_l!(=9"</f>
        <v>#VALUE!</v>
      </c>
      <c r="Q163" t="e">
        <f>'Compiled Agents'!G1306+"h_l!(=:"</f>
        <v>#VALUE!</v>
      </c>
      <c r="R163" t="e">
        <f>'Compiled Agents'!H1306+"h_l!(=;"</f>
        <v>#VALUE!</v>
      </c>
      <c r="S163" t="e">
        <f>'Compiled Agents'!A1307+"h_l!(=&lt;"</f>
        <v>#VALUE!</v>
      </c>
      <c r="T163" t="e">
        <f>'Compiled Agents'!B1307+"h_l!(=="</f>
        <v>#VALUE!</v>
      </c>
      <c r="U163" t="e">
        <f>'Compiled Agents'!C1307+"h_l!(=&gt;"</f>
        <v>#VALUE!</v>
      </c>
      <c r="V163" t="e">
        <f>'Compiled Agents'!E1307+"h_l!(=?"</f>
        <v>#VALUE!</v>
      </c>
      <c r="W163" t="e">
        <f>'Compiled Agents'!F1307+"h_l!(=@"</f>
        <v>#VALUE!</v>
      </c>
      <c r="X163" t="e">
        <f>'Compiled Agents'!G1307+"h_l!(=A"</f>
        <v>#VALUE!</v>
      </c>
      <c r="Y163" t="e">
        <f>'Compiled Agents'!H1307+"h_l!(=B"</f>
        <v>#VALUE!</v>
      </c>
      <c r="Z163" t="e">
        <f>'Compiled Agents'!A1308+"h_l!(=C"</f>
        <v>#VALUE!</v>
      </c>
      <c r="AA163" t="e">
        <f>'Compiled Agents'!B1308+"h_l!(=D"</f>
        <v>#VALUE!</v>
      </c>
      <c r="AB163" t="e">
        <f>'Compiled Agents'!C1308+"h_l!(=E"</f>
        <v>#VALUE!</v>
      </c>
      <c r="AC163" t="e">
        <f>'Compiled Agents'!E1308+"h_l!(=F"</f>
        <v>#VALUE!</v>
      </c>
      <c r="AD163" t="e">
        <f>'Compiled Agents'!F1308+"h_l!(=G"</f>
        <v>#VALUE!</v>
      </c>
      <c r="AE163" t="e">
        <f>'Compiled Agents'!G1308+"h_l!(=H"</f>
        <v>#VALUE!</v>
      </c>
      <c r="AF163" t="e">
        <f>'Compiled Agents'!H1308+"h_l!(=I"</f>
        <v>#VALUE!</v>
      </c>
      <c r="AG163" t="e">
        <f>'Compiled Agents'!A1309+"h_l!(=J"</f>
        <v>#VALUE!</v>
      </c>
      <c r="AH163" t="e">
        <f>'Compiled Agents'!B1309+"h_l!(=K"</f>
        <v>#VALUE!</v>
      </c>
      <c r="AI163" t="e">
        <f>'Compiled Agents'!C1309+"h_l!(=L"</f>
        <v>#VALUE!</v>
      </c>
      <c r="AJ163" t="e">
        <f>'Compiled Agents'!E1309+"h_l!(=M"</f>
        <v>#VALUE!</v>
      </c>
      <c r="AK163" t="e">
        <f>'Compiled Agents'!F1309+"h_l!(=N"</f>
        <v>#VALUE!</v>
      </c>
      <c r="AL163" t="e">
        <f>'Compiled Agents'!G1309+"h_l!(=O"</f>
        <v>#VALUE!</v>
      </c>
      <c r="AM163" t="e">
        <f>'Compiled Agents'!H1309+"h_l!(=P"</f>
        <v>#VALUE!</v>
      </c>
      <c r="AN163" t="e">
        <f>'Compiled Agents'!A1310+"h_l!(=Q"</f>
        <v>#VALUE!</v>
      </c>
      <c r="AO163" t="e">
        <f>'Compiled Agents'!B1310+"h_l!(=R"</f>
        <v>#VALUE!</v>
      </c>
      <c r="AP163" t="e">
        <f>'Compiled Agents'!C1310+"h_l!(=S"</f>
        <v>#VALUE!</v>
      </c>
      <c r="AQ163" t="e">
        <f>'Compiled Agents'!E1310+"h_l!(=T"</f>
        <v>#VALUE!</v>
      </c>
      <c r="AR163" t="e">
        <f>'Compiled Agents'!F1310+"h_l!(=U"</f>
        <v>#VALUE!</v>
      </c>
      <c r="AS163" t="e">
        <f>'Compiled Agents'!G1310+"h_l!(=V"</f>
        <v>#VALUE!</v>
      </c>
      <c r="AT163" t="e">
        <f>'Compiled Agents'!H1310+"h_l!(=W"</f>
        <v>#VALUE!</v>
      </c>
      <c r="AU163" t="e">
        <f>'Compiled Agents'!A1311+"h_l!(=X"</f>
        <v>#VALUE!</v>
      </c>
      <c r="AV163" t="e">
        <f>'Compiled Agents'!B1311+"h_l!(=Y"</f>
        <v>#VALUE!</v>
      </c>
      <c r="AW163" t="e">
        <f>'Compiled Agents'!C1311+"h_l!(=Z"</f>
        <v>#VALUE!</v>
      </c>
      <c r="AX163" t="e">
        <f>'Compiled Agents'!E1311+"h_l!(=["</f>
        <v>#VALUE!</v>
      </c>
      <c r="AY163" t="e">
        <f>'Compiled Agents'!F1311+"h_l!(=\"</f>
        <v>#VALUE!</v>
      </c>
      <c r="AZ163" t="e">
        <f>'Compiled Agents'!G1311+"h_l!(=]"</f>
        <v>#VALUE!</v>
      </c>
      <c r="BA163" t="e">
        <f>'Compiled Agents'!H1311+"h_l!(=^"</f>
        <v>#VALUE!</v>
      </c>
      <c r="BB163" t="e">
        <f>'Compiled Agents'!A1312+"h_l!(=_"</f>
        <v>#VALUE!</v>
      </c>
      <c r="BC163" t="e">
        <f>'Compiled Agents'!B1312+"h_l!(=`"</f>
        <v>#VALUE!</v>
      </c>
      <c r="BD163" t="e">
        <f>'Compiled Agents'!C1312+"h_l!(=a"</f>
        <v>#VALUE!</v>
      </c>
      <c r="BE163" t="e">
        <f>'Compiled Agents'!E1312+"h_l!(=b"</f>
        <v>#VALUE!</v>
      </c>
      <c r="BF163" t="e">
        <f>'Compiled Agents'!F1312+"h_l!(=c"</f>
        <v>#VALUE!</v>
      </c>
      <c r="BG163" t="e">
        <f>'Compiled Agents'!G1312+"h_l!(=d"</f>
        <v>#VALUE!</v>
      </c>
      <c r="BH163" t="e">
        <f>'Compiled Agents'!H1312+"h_l!(=e"</f>
        <v>#VALUE!</v>
      </c>
      <c r="BI163" t="e">
        <f>'Compiled Agents'!A1313+"h_l!(=f"</f>
        <v>#VALUE!</v>
      </c>
      <c r="BJ163" t="e">
        <f>'Compiled Agents'!B1313+"h_l!(=g"</f>
        <v>#VALUE!</v>
      </c>
      <c r="BK163" t="e">
        <f>'Compiled Agents'!C1313+"h_l!(=h"</f>
        <v>#VALUE!</v>
      </c>
      <c r="BL163" t="e">
        <f>'Compiled Agents'!E1313+"h_l!(=i"</f>
        <v>#VALUE!</v>
      </c>
      <c r="BM163" t="e">
        <f>'Compiled Agents'!F1313+"h_l!(=j"</f>
        <v>#VALUE!</v>
      </c>
      <c r="BN163" t="e">
        <f>'Compiled Agents'!G1313+"h_l!(=k"</f>
        <v>#VALUE!</v>
      </c>
      <c r="BO163" t="e">
        <f>'Compiled Agents'!H1313+"h_l!(=l"</f>
        <v>#VALUE!</v>
      </c>
      <c r="BP163" t="e">
        <f>'Compiled Agents'!A1314+"h_l!(=m"</f>
        <v>#VALUE!</v>
      </c>
      <c r="BQ163" t="e">
        <f>'Compiled Agents'!B1314+"h_l!(=n"</f>
        <v>#VALUE!</v>
      </c>
      <c r="BR163" t="e">
        <f>'Compiled Agents'!C1314+"h_l!(=o"</f>
        <v>#VALUE!</v>
      </c>
      <c r="BS163" t="e">
        <f>'Compiled Agents'!E1314+"h_l!(=p"</f>
        <v>#VALUE!</v>
      </c>
      <c r="BT163" t="e">
        <f>'Compiled Agents'!F1314+"h_l!(=q"</f>
        <v>#VALUE!</v>
      </c>
      <c r="BU163" t="e">
        <f>'Compiled Agents'!G1314+"h_l!(=r"</f>
        <v>#VALUE!</v>
      </c>
      <c r="BV163" t="e">
        <f>'Compiled Agents'!H1314+"h_l!(=s"</f>
        <v>#VALUE!</v>
      </c>
      <c r="BW163" t="e">
        <f>'Compiled Agents'!A1315+"h_l!(=t"</f>
        <v>#VALUE!</v>
      </c>
      <c r="BX163" t="e">
        <f>'Compiled Agents'!B1315+"h_l!(=u"</f>
        <v>#VALUE!</v>
      </c>
      <c r="BY163" t="e">
        <f>'Compiled Agents'!C1315+"h_l!(=v"</f>
        <v>#VALUE!</v>
      </c>
      <c r="BZ163" t="e">
        <f>'Compiled Agents'!E1315+"h_l!(=w"</f>
        <v>#VALUE!</v>
      </c>
      <c r="CA163" t="e">
        <f>'Compiled Agents'!F1315+"h_l!(=x"</f>
        <v>#VALUE!</v>
      </c>
      <c r="CB163" t="e">
        <f>'Compiled Agents'!G1315+"h_l!(=y"</f>
        <v>#VALUE!</v>
      </c>
      <c r="CC163" t="e">
        <f>'Compiled Agents'!H1315+"h_l!(=z"</f>
        <v>#VALUE!</v>
      </c>
      <c r="CD163" t="e">
        <f>'Compiled Agents'!A1316+"h_l!(={"</f>
        <v>#VALUE!</v>
      </c>
      <c r="CE163" t="e">
        <f>'Compiled Agents'!B1316+"h_l!(=|"</f>
        <v>#VALUE!</v>
      </c>
      <c r="CF163" t="e">
        <f>'Compiled Agents'!C1316+"h_l!(=}"</f>
        <v>#VALUE!</v>
      </c>
      <c r="CG163" t="e">
        <f>'Compiled Agents'!E1316+"h_l!(=~"</f>
        <v>#VALUE!</v>
      </c>
      <c r="CH163" t="e">
        <f>'Compiled Agents'!F1316+"h_l!(&gt;#"</f>
        <v>#VALUE!</v>
      </c>
      <c r="CI163" t="e">
        <f>'Compiled Agents'!G1316+"h_l!(&gt;$"</f>
        <v>#VALUE!</v>
      </c>
      <c r="CJ163" t="e">
        <f>'Compiled Agents'!H1316+"h_l!(&gt;%"</f>
        <v>#VALUE!</v>
      </c>
      <c r="CK163" t="e">
        <f>'Compiled Agents'!A1317+"h_l!(&gt;&amp;"</f>
        <v>#VALUE!</v>
      </c>
      <c r="CL163" t="e">
        <f>'Compiled Agents'!B1317+"h_l!(&gt;'"</f>
        <v>#VALUE!</v>
      </c>
      <c r="CM163" t="e">
        <f>'Compiled Agents'!C1317+"h_l!(&gt;("</f>
        <v>#VALUE!</v>
      </c>
      <c r="CN163" t="e">
        <f>'Compiled Agents'!E1317+"h_l!(&gt;)"</f>
        <v>#VALUE!</v>
      </c>
      <c r="CO163" t="e">
        <f>'Compiled Agents'!F1317+"h_l!(&gt;."</f>
        <v>#VALUE!</v>
      </c>
      <c r="CP163" t="e">
        <f>'Compiled Agents'!G1317+"h_l!(&gt;/"</f>
        <v>#VALUE!</v>
      </c>
      <c r="CQ163" t="e">
        <f>'Compiled Agents'!H1317+"h_l!(&gt;0"</f>
        <v>#VALUE!</v>
      </c>
      <c r="CR163" t="e">
        <f>'Compiled Agents'!A1318+"h_l!(&gt;1"</f>
        <v>#VALUE!</v>
      </c>
      <c r="CS163" t="e">
        <f>'Compiled Agents'!B1318+"h_l!(&gt;2"</f>
        <v>#VALUE!</v>
      </c>
      <c r="CT163" t="e">
        <f>'Compiled Agents'!C1318+"h_l!(&gt;3"</f>
        <v>#VALUE!</v>
      </c>
      <c r="CU163" t="e">
        <f>'Compiled Agents'!E1318+"h_l!(&gt;4"</f>
        <v>#VALUE!</v>
      </c>
      <c r="CV163" t="e">
        <f>'Compiled Agents'!F1318+"h_l!(&gt;5"</f>
        <v>#VALUE!</v>
      </c>
      <c r="CW163" t="e">
        <f>'Compiled Agents'!G1318+"h_l!(&gt;6"</f>
        <v>#VALUE!</v>
      </c>
      <c r="CX163" t="e">
        <f>'Compiled Agents'!H1318+"h_l!(&gt;7"</f>
        <v>#VALUE!</v>
      </c>
      <c r="CY163" t="e">
        <f>'Compiled Agents'!A1319+"h_l!(&gt;8"</f>
        <v>#VALUE!</v>
      </c>
      <c r="CZ163" t="e">
        <f>'Compiled Agents'!B1319+"h_l!(&gt;9"</f>
        <v>#VALUE!</v>
      </c>
      <c r="DA163" t="e">
        <f>'Compiled Agents'!C1319+"h_l!(&gt;:"</f>
        <v>#VALUE!</v>
      </c>
      <c r="DB163" t="e">
        <f>'Compiled Agents'!E1319+"h_l!(&gt;;"</f>
        <v>#VALUE!</v>
      </c>
      <c r="DC163" t="e">
        <f>'Compiled Agents'!F1319+"h_l!(&gt;&lt;"</f>
        <v>#VALUE!</v>
      </c>
      <c r="DD163" t="e">
        <f>'Compiled Agents'!G1319+"h_l!(&gt;="</f>
        <v>#VALUE!</v>
      </c>
      <c r="DE163" t="e">
        <f>'Compiled Agents'!H1319+"h_l!(&gt;&gt;"</f>
        <v>#VALUE!</v>
      </c>
      <c r="DF163" t="e">
        <f>'Compiled Agents'!A1320+"h_l!(&gt;?"</f>
        <v>#VALUE!</v>
      </c>
      <c r="DG163" t="e">
        <f>'Compiled Agents'!B1320+"h_l!(&gt;@"</f>
        <v>#VALUE!</v>
      </c>
      <c r="DH163" t="e">
        <f>'Compiled Agents'!C1320+"h_l!(&gt;A"</f>
        <v>#VALUE!</v>
      </c>
      <c r="DI163" t="e">
        <f>'Compiled Agents'!E1320+"h_l!(&gt;B"</f>
        <v>#VALUE!</v>
      </c>
      <c r="DJ163" t="e">
        <f>'Compiled Agents'!F1320+"h_l!(&gt;C"</f>
        <v>#VALUE!</v>
      </c>
      <c r="DK163" t="e">
        <f>'Compiled Agents'!G1320+"h_l!(&gt;D"</f>
        <v>#VALUE!</v>
      </c>
      <c r="DL163" t="e">
        <f>'Compiled Agents'!H1320+"h_l!(&gt;E"</f>
        <v>#VALUE!</v>
      </c>
      <c r="DM163" t="e">
        <f>'Compiled Agents'!A1321+"h_l!(&gt;F"</f>
        <v>#VALUE!</v>
      </c>
      <c r="DN163" t="e">
        <f>'Compiled Agents'!B1321+"h_l!(&gt;G"</f>
        <v>#VALUE!</v>
      </c>
      <c r="DO163" t="e">
        <f>'Compiled Agents'!C1321+"h_l!(&gt;H"</f>
        <v>#VALUE!</v>
      </c>
      <c r="DP163" t="e">
        <f>'Compiled Agents'!E1321+"h_l!(&gt;I"</f>
        <v>#VALUE!</v>
      </c>
      <c r="DQ163" t="e">
        <f>'Compiled Agents'!F1321+"h_l!(&gt;J"</f>
        <v>#VALUE!</v>
      </c>
      <c r="DR163" t="e">
        <f>'Compiled Agents'!G1321+"h_l!(&gt;K"</f>
        <v>#VALUE!</v>
      </c>
      <c r="DS163" t="e">
        <f>'Compiled Agents'!H1321+"h_l!(&gt;L"</f>
        <v>#VALUE!</v>
      </c>
      <c r="DT163" t="e">
        <f>'Compiled Agents'!A1322+"h_l!(&gt;M"</f>
        <v>#VALUE!</v>
      </c>
      <c r="DU163" t="e">
        <f>'Compiled Agents'!B1322+"h_l!(&gt;N"</f>
        <v>#VALUE!</v>
      </c>
      <c r="DV163" t="e">
        <f>'Compiled Agents'!C1322+"h_l!(&gt;O"</f>
        <v>#VALUE!</v>
      </c>
      <c r="DW163" t="e">
        <f>'Compiled Agents'!E1322+"h_l!(&gt;P"</f>
        <v>#VALUE!</v>
      </c>
      <c r="DX163" t="e">
        <f>'Compiled Agents'!F1322+"h_l!(&gt;Q"</f>
        <v>#VALUE!</v>
      </c>
      <c r="DY163" t="e">
        <f>'Compiled Agents'!G1322+"h_l!(&gt;R"</f>
        <v>#VALUE!</v>
      </c>
      <c r="DZ163" t="e">
        <f>'Compiled Agents'!H1322+"h_l!(&gt;S"</f>
        <v>#VALUE!</v>
      </c>
      <c r="EA163" t="e">
        <f>'Compiled Agents'!A1323+"h_l!(&gt;T"</f>
        <v>#VALUE!</v>
      </c>
      <c r="EB163" t="e">
        <f>'Compiled Agents'!B1323+"h_l!(&gt;U"</f>
        <v>#VALUE!</v>
      </c>
      <c r="EC163" t="e">
        <f>'Compiled Agents'!C1323+"h_l!(&gt;V"</f>
        <v>#VALUE!</v>
      </c>
      <c r="ED163" t="e">
        <f>'Compiled Agents'!E1323+"h_l!(&gt;W"</f>
        <v>#VALUE!</v>
      </c>
      <c r="EE163" t="e">
        <f>'Compiled Agents'!F1323+"h_l!(&gt;X"</f>
        <v>#VALUE!</v>
      </c>
      <c r="EF163" t="e">
        <f>'Compiled Agents'!G1323+"h_l!(&gt;Y"</f>
        <v>#VALUE!</v>
      </c>
      <c r="EG163" t="e">
        <f>'Compiled Agents'!H1323+"h_l!(&gt;Z"</f>
        <v>#VALUE!</v>
      </c>
      <c r="EH163" t="e">
        <f>'Compiled Agents'!A1324+"h_l!(&gt;["</f>
        <v>#VALUE!</v>
      </c>
      <c r="EI163" t="e">
        <f>'Compiled Agents'!B1324+"h_l!(&gt;\"</f>
        <v>#VALUE!</v>
      </c>
      <c r="EJ163" t="e">
        <f>'Compiled Agents'!C1324+"h_l!(&gt;]"</f>
        <v>#VALUE!</v>
      </c>
      <c r="EK163" t="e">
        <f>'Compiled Agents'!E1324+"h_l!(&gt;^"</f>
        <v>#VALUE!</v>
      </c>
      <c r="EL163" t="e">
        <f>'Compiled Agents'!F1324+"h_l!(&gt;_"</f>
        <v>#VALUE!</v>
      </c>
      <c r="EM163" t="e">
        <f>'Compiled Agents'!G1324+"h_l!(&gt;`"</f>
        <v>#VALUE!</v>
      </c>
      <c r="EN163" t="e">
        <f>'Compiled Agents'!H1324+"h_l!(&gt;a"</f>
        <v>#VALUE!</v>
      </c>
      <c r="EO163" t="e">
        <f>'Compiled Agents'!A1325+"h_l!(&gt;b"</f>
        <v>#VALUE!</v>
      </c>
      <c r="EP163" t="e">
        <f>'Compiled Agents'!B1325+"h_l!(&gt;c"</f>
        <v>#VALUE!</v>
      </c>
      <c r="EQ163" t="e">
        <f>'Compiled Agents'!C1325+"h_l!(&gt;d"</f>
        <v>#VALUE!</v>
      </c>
      <c r="ER163" t="e">
        <f>'Compiled Agents'!E1325+"h_l!(&gt;e"</f>
        <v>#VALUE!</v>
      </c>
      <c r="ES163" t="e">
        <f>'Compiled Agents'!F1325+"h_l!(&gt;f"</f>
        <v>#VALUE!</v>
      </c>
      <c r="ET163" t="e">
        <f>'Compiled Agents'!G1325+"h_l!(&gt;g"</f>
        <v>#VALUE!</v>
      </c>
      <c r="EU163" t="e">
        <f>'Compiled Agents'!H1325+"h_l!(&gt;h"</f>
        <v>#VALUE!</v>
      </c>
      <c r="EV163" t="e">
        <f>'Compiled Agents'!A1326+"h_l!(&gt;i"</f>
        <v>#VALUE!</v>
      </c>
      <c r="EW163" t="e">
        <f>'Compiled Agents'!B1326+"h_l!(&gt;j"</f>
        <v>#VALUE!</v>
      </c>
      <c r="EX163" t="e">
        <f>'Compiled Agents'!C1326+"h_l!(&gt;k"</f>
        <v>#VALUE!</v>
      </c>
      <c r="EY163" t="e">
        <f>'Compiled Agents'!E1326+"h_l!(&gt;l"</f>
        <v>#VALUE!</v>
      </c>
      <c r="EZ163" t="e">
        <f>'Compiled Agents'!F1326+"h_l!(&gt;m"</f>
        <v>#VALUE!</v>
      </c>
      <c r="FA163" t="e">
        <f>'Compiled Agents'!G1326+"h_l!(&gt;n"</f>
        <v>#VALUE!</v>
      </c>
      <c r="FB163" t="e">
        <f>'Compiled Agents'!H1326+"h_l!(&gt;o"</f>
        <v>#VALUE!</v>
      </c>
      <c r="FC163" t="e">
        <f>'Compiled Agents'!A1327+"h_l!(&gt;p"</f>
        <v>#VALUE!</v>
      </c>
      <c r="FD163" t="e">
        <f>'Compiled Agents'!B1327+"h_l!(&gt;q"</f>
        <v>#VALUE!</v>
      </c>
      <c r="FE163" t="e">
        <f>'Compiled Agents'!C1327+"h_l!(&gt;r"</f>
        <v>#VALUE!</v>
      </c>
      <c r="FF163" t="e">
        <f>'Compiled Agents'!E1327+"h_l!(&gt;s"</f>
        <v>#VALUE!</v>
      </c>
      <c r="FG163" t="e">
        <f>'Compiled Agents'!F1327+"h_l!(&gt;t"</f>
        <v>#VALUE!</v>
      </c>
      <c r="FH163" t="e">
        <f>'Compiled Agents'!G1327+"h_l!(&gt;u"</f>
        <v>#VALUE!</v>
      </c>
      <c r="FI163" t="e">
        <f>'Compiled Agents'!H1327+"h_l!(&gt;v"</f>
        <v>#VALUE!</v>
      </c>
      <c r="FJ163" t="e">
        <f>'Compiled Agents'!A1328+"h_l!(&gt;w"</f>
        <v>#VALUE!</v>
      </c>
      <c r="FK163" t="e">
        <f>'Compiled Agents'!B1328+"h_l!(&gt;x"</f>
        <v>#VALUE!</v>
      </c>
      <c r="FL163" t="e">
        <f>'Compiled Agents'!C1328+"h_l!(&gt;y"</f>
        <v>#VALUE!</v>
      </c>
      <c r="FM163" t="e">
        <f>'Compiled Agents'!E1328+"h_l!(&gt;z"</f>
        <v>#VALUE!</v>
      </c>
      <c r="FN163" t="e">
        <f>'Compiled Agents'!F1328+"h_l!(&gt;{"</f>
        <v>#VALUE!</v>
      </c>
      <c r="FO163" t="e">
        <f>'Compiled Agents'!G1328+"h_l!(&gt;|"</f>
        <v>#VALUE!</v>
      </c>
      <c r="FP163" t="e">
        <f>'Compiled Agents'!H1328+"h_l!(&gt;}"</f>
        <v>#VALUE!</v>
      </c>
      <c r="FQ163" t="e">
        <f>'Compiled Agents'!A1329+"h_l!(&gt;~"</f>
        <v>#VALUE!</v>
      </c>
      <c r="FR163" t="e">
        <f>'Compiled Agents'!B1329+"h_l!(?#"</f>
        <v>#VALUE!</v>
      </c>
      <c r="FS163" t="e">
        <f>'Compiled Agents'!C1329+"h_l!(?$"</f>
        <v>#VALUE!</v>
      </c>
      <c r="FT163" t="e">
        <f>'Compiled Agents'!E1329+"h_l!(?%"</f>
        <v>#VALUE!</v>
      </c>
      <c r="FU163" t="e">
        <f>'Compiled Agents'!F1329+"h_l!(?&amp;"</f>
        <v>#VALUE!</v>
      </c>
      <c r="FV163" t="e">
        <f>'Compiled Agents'!G1329+"h_l!(?'"</f>
        <v>#VALUE!</v>
      </c>
      <c r="FW163" t="e">
        <f>'Compiled Agents'!H1329+"h_l!(?("</f>
        <v>#VALUE!</v>
      </c>
      <c r="FX163" t="e">
        <f>'Compiled Agents'!A1330+"h_l!(?)"</f>
        <v>#VALUE!</v>
      </c>
      <c r="FY163" t="e">
        <f>'Compiled Agents'!B1330+"h_l!(?."</f>
        <v>#VALUE!</v>
      </c>
      <c r="FZ163" t="e">
        <f>'Compiled Agents'!C1330+"h_l!(?/"</f>
        <v>#VALUE!</v>
      </c>
      <c r="GA163" t="e">
        <f>'Compiled Agents'!E1330+"h_l!(?0"</f>
        <v>#VALUE!</v>
      </c>
      <c r="GB163" t="e">
        <f>'Compiled Agents'!F1330+"h_l!(?1"</f>
        <v>#VALUE!</v>
      </c>
      <c r="GC163" t="e">
        <f>'Compiled Agents'!G1330+"h_l!(?2"</f>
        <v>#VALUE!</v>
      </c>
      <c r="GD163" t="e">
        <f>'Compiled Agents'!H1330+"h_l!(?3"</f>
        <v>#VALUE!</v>
      </c>
      <c r="GE163" t="e">
        <f>'Compiled Agents'!A1331+"h_l!(?4"</f>
        <v>#VALUE!</v>
      </c>
      <c r="GF163" t="e">
        <f>'Compiled Agents'!B1331+"h_l!(?5"</f>
        <v>#VALUE!</v>
      </c>
      <c r="GG163" t="e">
        <f>'Compiled Agents'!C1331+"h_l!(?6"</f>
        <v>#VALUE!</v>
      </c>
      <c r="GH163" t="e">
        <f>'Compiled Agents'!E1331+"h_l!(?7"</f>
        <v>#VALUE!</v>
      </c>
      <c r="GI163" t="e">
        <f>'Compiled Agents'!F1331+"h_l!(?8"</f>
        <v>#VALUE!</v>
      </c>
      <c r="GJ163" t="e">
        <f>'Compiled Agents'!G1331+"h_l!(?9"</f>
        <v>#VALUE!</v>
      </c>
      <c r="GK163" t="e">
        <f>'Compiled Agents'!H1331+"h_l!(?:"</f>
        <v>#VALUE!</v>
      </c>
      <c r="GL163" t="e">
        <f>'Compiled Agents'!A1332+"h_l!(?;"</f>
        <v>#VALUE!</v>
      </c>
      <c r="GM163" t="e">
        <f>'Compiled Agents'!B1332+"h_l!(?&lt;"</f>
        <v>#VALUE!</v>
      </c>
      <c r="GN163" t="e">
        <f>'Compiled Agents'!C1332+"h_l!(?="</f>
        <v>#VALUE!</v>
      </c>
      <c r="GO163" t="e">
        <f>'Compiled Agents'!E1332+"h_l!(?&gt;"</f>
        <v>#VALUE!</v>
      </c>
      <c r="GP163" t="e">
        <f>'Compiled Agents'!F1332+"h_l!(??"</f>
        <v>#VALUE!</v>
      </c>
      <c r="GQ163" t="e">
        <f>'Compiled Agents'!G1332+"h_l!(?@"</f>
        <v>#VALUE!</v>
      </c>
      <c r="GR163" t="e">
        <f>'Compiled Agents'!H1332+"h_l!(?A"</f>
        <v>#VALUE!</v>
      </c>
      <c r="GS163" t="e">
        <f>'Compiled Agents'!A1333+"h_l!(?B"</f>
        <v>#VALUE!</v>
      </c>
      <c r="GT163" t="e">
        <f>'Compiled Agents'!B1333+"h_l!(?C"</f>
        <v>#VALUE!</v>
      </c>
      <c r="GU163" t="e">
        <f>'Compiled Agents'!C1333+"h_l!(?D"</f>
        <v>#VALUE!</v>
      </c>
      <c r="GV163" t="e">
        <f>'Compiled Agents'!E1333+"h_l!(?E"</f>
        <v>#VALUE!</v>
      </c>
      <c r="GW163" t="e">
        <f>'Compiled Agents'!F1333+"h_l!(?F"</f>
        <v>#VALUE!</v>
      </c>
      <c r="GX163" t="e">
        <f>'Compiled Agents'!G1333+"h_l!(?G"</f>
        <v>#VALUE!</v>
      </c>
      <c r="GY163" t="e">
        <f>'Compiled Agents'!H1333+"h_l!(?H"</f>
        <v>#VALUE!</v>
      </c>
      <c r="GZ163" t="e">
        <f>'Compiled Agents'!A1334+"h_l!(?I"</f>
        <v>#VALUE!</v>
      </c>
      <c r="HA163" t="e">
        <f>'Compiled Agents'!B1334+"h_l!(?J"</f>
        <v>#VALUE!</v>
      </c>
      <c r="HB163" t="e">
        <f>'Compiled Agents'!C1334+"h_l!(?K"</f>
        <v>#VALUE!</v>
      </c>
      <c r="HC163" t="e">
        <f>'Compiled Agents'!E1334+"h_l!(?L"</f>
        <v>#VALUE!</v>
      </c>
      <c r="HD163" t="e">
        <f>'Compiled Agents'!F1334+"h_l!(?M"</f>
        <v>#VALUE!</v>
      </c>
      <c r="HE163" t="e">
        <f>'Compiled Agents'!G1334+"h_l!(?N"</f>
        <v>#VALUE!</v>
      </c>
      <c r="HF163" t="e">
        <f>'Compiled Agents'!H1334+"h_l!(?O"</f>
        <v>#VALUE!</v>
      </c>
      <c r="HG163" t="e">
        <f>'Compiled Agents'!A1335+"h_l!(?P"</f>
        <v>#VALUE!</v>
      </c>
      <c r="HH163" t="e">
        <f>'Compiled Agents'!B1335+"h_l!(?Q"</f>
        <v>#VALUE!</v>
      </c>
      <c r="HI163" t="e">
        <f>'Compiled Agents'!C1335+"h_l!(?R"</f>
        <v>#VALUE!</v>
      </c>
      <c r="HJ163" t="e">
        <f>'Compiled Agents'!E1335+"h_l!(?S"</f>
        <v>#VALUE!</v>
      </c>
      <c r="HK163" t="e">
        <f>'Compiled Agents'!F1335+"h_l!(?T"</f>
        <v>#VALUE!</v>
      </c>
      <c r="HL163" t="e">
        <f>'Compiled Agents'!G1335+"h_l!(?U"</f>
        <v>#VALUE!</v>
      </c>
      <c r="HM163" t="e">
        <f>'Compiled Agents'!H1335+"h_l!(?V"</f>
        <v>#VALUE!</v>
      </c>
      <c r="HN163" t="e">
        <f>'Compiled Agents'!A1336+"h_l!(?W"</f>
        <v>#VALUE!</v>
      </c>
      <c r="HO163" t="e">
        <f>'Compiled Agents'!B1336+"h_l!(?X"</f>
        <v>#VALUE!</v>
      </c>
      <c r="HP163" t="e">
        <f>'Compiled Agents'!C1336+"h_l!(?Y"</f>
        <v>#VALUE!</v>
      </c>
      <c r="HQ163" t="e">
        <f>'Compiled Agents'!E1336+"h_l!(?Z"</f>
        <v>#VALUE!</v>
      </c>
      <c r="HR163" t="e">
        <f>'Compiled Agents'!F1336+"h_l!(?["</f>
        <v>#VALUE!</v>
      </c>
      <c r="HS163" t="e">
        <f>'Compiled Agents'!G1336+"h_l!(?\"</f>
        <v>#VALUE!</v>
      </c>
      <c r="HT163" t="e">
        <f>'Compiled Agents'!H1336+"h_l!(?]"</f>
        <v>#VALUE!</v>
      </c>
      <c r="HU163" t="e">
        <f>'Compiled Agents'!A1337+"h_l!(?^"</f>
        <v>#VALUE!</v>
      </c>
      <c r="HV163" t="e">
        <f>'Compiled Agents'!B1337+"h_l!(?_"</f>
        <v>#VALUE!</v>
      </c>
      <c r="HW163" t="e">
        <f>'Compiled Agents'!C1337+"h_l!(?`"</f>
        <v>#VALUE!</v>
      </c>
      <c r="HX163" t="e">
        <f>'Compiled Agents'!E1337+"h_l!(?a"</f>
        <v>#VALUE!</v>
      </c>
      <c r="HY163" t="e">
        <f>'Compiled Agents'!F1337+"h_l!(?b"</f>
        <v>#VALUE!</v>
      </c>
      <c r="HZ163" t="e">
        <f>'Compiled Agents'!G1337+"h_l!(?c"</f>
        <v>#VALUE!</v>
      </c>
      <c r="IA163" t="e">
        <f>'Compiled Agents'!H1337+"h_l!(?d"</f>
        <v>#VALUE!</v>
      </c>
      <c r="IB163" t="e">
        <f>'Compiled Agents'!A1338+"h_l!(?e"</f>
        <v>#VALUE!</v>
      </c>
      <c r="IC163" t="e">
        <f>'Compiled Agents'!B1338+"h_l!(?f"</f>
        <v>#VALUE!</v>
      </c>
      <c r="ID163" t="e">
        <f>'Compiled Agents'!C1338+"h_l!(?g"</f>
        <v>#VALUE!</v>
      </c>
      <c r="IE163" t="e">
        <f>'Compiled Agents'!E1338+"h_l!(?h"</f>
        <v>#VALUE!</v>
      </c>
      <c r="IF163" t="e">
        <f>'Compiled Agents'!F1338+"h_l!(?i"</f>
        <v>#VALUE!</v>
      </c>
      <c r="IG163" t="e">
        <f>'Compiled Agents'!G1338+"h_l!(?j"</f>
        <v>#VALUE!</v>
      </c>
      <c r="IH163" t="e">
        <f>'Compiled Agents'!H1338+"h_l!(?k"</f>
        <v>#VALUE!</v>
      </c>
      <c r="II163" t="e">
        <f>'Compiled Agents'!A1339+"h_l!(?l"</f>
        <v>#VALUE!</v>
      </c>
      <c r="IJ163" t="e">
        <f>'Compiled Agents'!B1339+"h_l!(?m"</f>
        <v>#VALUE!</v>
      </c>
      <c r="IK163" t="e">
        <f>'Compiled Agents'!C1339+"h_l!(?n"</f>
        <v>#VALUE!</v>
      </c>
      <c r="IL163" t="e">
        <f>'Compiled Agents'!E1339+"h_l!(?o"</f>
        <v>#VALUE!</v>
      </c>
      <c r="IM163" t="e">
        <f>'Compiled Agents'!F1339+"h_l!(?p"</f>
        <v>#VALUE!</v>
      </c>
      <c r="IN163" t="e">
        <f>'Compiled Agents'!G1339+"h_l!(?q"</f>
        <v>#VALUE!</v>
      </c>
      <c r="IO163" t="e">
        <f>'Compiled Agents'!H1339+"h_l!(?r"</f>
        <v>#VALUE!</v>
      </c>
      <c r="IP163" t="e">
        <f>'Compiled Agents'!A1340+"h_l!(?s"</f>
        <v>#VALUE!</v>
      </c>
      <c r="IQ163" t="e">
        <f>'Compiled Agents'!B1340+"h_l!(?t"</f>
        <v>#VALUE!</v>
      </c>
      <c r="IR163" t="e">
        <f>'Compiled Agents'!C1340+"h_l!(?u"</f>
        <v>#VALUE!</v>
      </c>
      <c r="IS163" t="e">
        <f>'Compiled Agents'!E1340+"h_l!(?v"</f>
        <v>#VALUE!</v>
      </c>
      <c r="IT163" t="e">
        <f>'Compiled Agents'!F1340+"h_l!(?w"</f>
        <v>#VALUE!</v>
      </c>
      <c r="IU163" t="e">
        <f>'Compiled Agents'!G1340+"h_l!(?x"</f>
        <v>#VALUE!</v>
      </c>
      <c r="IV163" t="e">
        <f>'Compiled Agents'!H1340+"h_l!(?y"</f>
        <v>#VALUE!</v>
      </c>
    </row>
    <row r="164" spans="6:256" x14ac:dyDescent="0.25">
      <c r="F164" t="e">
        <f>'Compiled Agents'!A1341+"h_l!(?z"</f>
        <v>#VALUE!</v>
      </c>
      <c r="G164" t="e">
        <f>'Compiled Agents'!B1341+"h_l!(?{"</f>
        <v>#VALUE!</v>
      </c>
      <c r="H164" t="e">
        <f>'Compiled Agents'!C1341+"h_l!(?|"</f>
        <v>#VALUE!</v>
      </c>
      <c r="I164" t="e">
        <f>'Compiled Agents'!E1341+"h_l!(?}"</f>
        <v>#VALUE!</v>
      </c>
      <c r="J164" t="e">
        <f>'Compiled Agents'!F1341+"h_l!(?~"</f>
        <v>#VALUE!</v>
      </c>
      <c r="K164" t="e">
        <f>'Compiled Agents'!G1341+"h_l!(@#"</f>
        <v>#VALUE!</v>
      </c>
      <c r="L164" t="e">
        <f>'Compiled Agents'!H1341+"h_l!(@$"</f>
        <v>#VALUE!</v>
      </c>
      <c r="M164" t="e">
        <f>'Compiled Agents'!A1342+"h_l!(@%"</f>
        <v>#VALUE!</v>
      </c>
      <c r="N164" t="e">
        <f>'Compiled Agents'!B1342+"h_l!(@&amp;"</f>
        <v>#VALUE!</v>
      </c>
      <c r="O164" t="e">
        <f>'Compiled Agents'!C1342+"h_l!(@'"</f>
        <v>#VALUE!</v>
      </c>
      <c r="P164" t="e">
        <f>'Compiled Agents'!E1342+"h_l!(@("</f>
        <v>#VALUE!</v>
      </c>
      <c r="Q164" t="e">
        <f>'Compiled Agents'!F1342+"h_l!(@)"</f>
        <v>#VALUE!</v>
      </c>
      <c r="R164" t="e">
        <f>'Compiled Agents'!G1342+"h_l!(@."</f>
        <v>#VALUE!</v>
      </c>
      <c r="S164" t="e">
        <f>'Compiled Agents'!H1342+"h_l!(@/"</f>
        <v>#VALUE!</v>
      </c>
      <c r="T164" t="e">
        <f>'Compiled Agents'!A1343+"h_l!(@0"</f>
        <v>#VALUE!</v>
      </c>
      <c r="U164" t="e">
        <f>'Compiled Agents'!B1343+"h_l!(@1"</f>
        <v>#VALUE!</v>
      </c>
      <c r="V164" t="e">
        <f>'Compiled Agents'!C1343+"h_l!(@2"</f>
        <v>#VALUE!</v>
      </c>
      <c r="W164" t="e">
        <f>'Compiled Agents'!E1343+"h_l!(@3"</f>
        <v>#VALUE!</v>
      </c>
      <c r="X164" t="e">
        <f>'Compiled Agents'!F1343+"h_l!(@4"</f>
        <v>#VALUE!</v>
      </c>
      <c r="Y164" t="e">
        <f>'Compiled Agents'!G1343+"h_l!(@5"</f>
        <v>#VALUE!</v>
      </c>
      <c r="Z164" t="e">
        <f>'Compiled Agents'!H1343+"h_l!(@6"</f>
        <v>#VALUE!</v>
      </c>
      <c r="AA164" t="e">
        <f>'Compiled Agents'!A1344+"h_l!(@7"</f>
        <v>#VALUE!</v>
      </c>
      <c r="AB164" t="e">
        <f>'Compiled Agents'!B1344+"h_l!(@8"</f>
        <v>#VALUE!</v>
      </c>
      <c r="AC164" t="e">
        <f>'Compiled Agents'!C1344+"h_l!(@9"</f>
        <v>#VALUE!</v>
      </c>
      <c r="AD164" t="e">
        <f>'Compiled Agents'!E1344+"h_l!(@:"</f>
        <v>#VALUE!</v>
      </c>
      <c r="AE164" t="e">
        <f>'Compiled Agents'!F1344+"h_l!(@;"</f>
        <v>#VALUE!</v>
      </c>
      <c r="AF164" t="e">
        <f>'Compiled Agents'!G1344+"h_l!(@&lt;"</f>
        <v>#VALUE!</v>
      </c>
      <c r="AG164" t="e">
        <f>'Compiled Agents'!H1344+"h_l!(@="</f>
        <v>#VALUE!</v>
      </c>
      <c r="AH164" t="e">
        <f>'Compiled Agents'!A1345+"h_l!(@&gt;"</f>
        <v>#VALUE!</v>
      </c>
      <c r="AI164" t="e">
        <f>'Compiled Agents'!B1345+"h_l!(@?"</f>
        <v>#VALUE!</v>
      </c>
      <c r="AJ164" t="e">
        <f>'Compiled Agents'!C1345+"h_l!(@@"</f>
        <v>#VALUE!</v>
      </c>
      <c r="AK164" t="e">
        <f>'Compiled Agents'!E1345+"h_l!(@A"</f>
        <v>#VALUE!</v>
      </c>
      <c r="AL164" t="e">
        <f>'Compiled Agents'!F1345+"h_l!(@B"</f>
        <v>#VALUE!</v>
      </c>
      <c r="AM164" t="e">
        <f>'Compiled Agents'!G1345+"h_l!(@C"</f>
        <v>#VALUE!</v>
      </c>
      <c r="AN164" t="e">
        <f>'Compiled Agents'!H1345+"h_l!(@D"</f>
        <v>#VALUE!</v>
      </c>
      <c r="AO164" t="e">
        <f>'Compiled Agents'!A1346+"h_l!(@E"</f>
        <v>#VALUE!</v>
      </c>
      <c r="AP164" t="e">
        <f>'Compiled Agents'!B1346+"h_l!(@F"</f>
        <v>#VALUE!</v>
      </c>
      <c r="AQ164" t="e">
        <f>'Compiled Agents'!C1346+"h_l!(@G"</f>
        <v>#VALUE!</v>
      </c>
      <c r="AR164" t="e">
        <f>'Compiled Agents'!E1346+"h_l!(@H"</f>
        <v>#VALUE!</v>
      </c>
      <c r="AS164" t="e">
        <f>'Compiled Agents'!F1346+"h_l!(@I"</f>
        <v>#VALUE!</v>
      </c>
      <c r="AT164" t="e">
        <f>'Compiled Agents'!G1346+"h_l!(@J"</f>
        <v>#VALUE!</v>
      </c>
      <c r="AU164" t="e">
        <f>'Compiled Agents'!H1346+"h_l!(@K"</f>
        <v>#VALUE!</v>
      </c>
      <c r="AV164" t="e">
        <f>'Compiled Agents'!A1347+"h_l!(@L"</f>
        <v>#VALUE!</v>
      </c>
      <c r="AW164" t="e">
        <f>'Compiled Agents'!B1347+"h_l!(@M"</f>
        <v>#VALUE!</v>
      </c>
      <c r="AX164" t="e">
        <f>'Compiled Agents'!C1347+"h_l!(@N"</f>
        <v>#VALUE!</v>
      </c>
      <c r="AY164" t="e">
        <f>'Compiled Agents'!E1347+"h_l!(@O"</f>
        <v>#VALUE!</v>
      </c>
      <c r="AZ164" t="e">
        <f>'Compiled Agents'!F1347+"h_l!(@P"</f>
        <v>#VALUE!</v>
      </c>
      <c r="BA164" t="e">
        <f>'Compiled Agents'!G1347+"h_l!(@Q"</f>
        <v>#VALUE!</v>
      </c>
      <c r="BB164" t="e">
        <f>'Compiled Agents'!H1347+"h_l!(@R"</f>
        <v>#VALUE!</v>
      </c>
      <c r="BC164" t="e">
        <f>'Compiled Agents'!A1348+"h_l!(@S"</f>
        <v>#VALUE!</v>
      </c>
      <c r="BD164" t="e">
        <f>'Compiled Agents'!B1348+"h_l!(@T"</f>
        <v>#VALUE!</v>
      </c>
      <c r="BE164" t="e">
        <f>'Compiled Agents'!C1348+"h_l!(@U"</f>
        <v>#VALUE!</v>
      </c>
      <c r="BF164" t="e">
        <f>'Compiled Agents'!E1348+"h_l!(@V"</f>
        <v>#VALUE!</v>
      </c>
      <c r="BG164" t="e">
        <f>'Compiled Agents'!F1348+"h_l!(@W"</f>
        <v>#VALUE!</v>
      </c>
      <c r="BH164" t="e">
        <f>'Compiled Agents'!G1348+"h_l!(@X"</f>
        <v>#VALUE!</v>
      </c>
      <c r="BI164" t="e">
        <f>'Compiled Agents'!H1348+"h_l!(@Y"</f>
        <v>#VALUE!</v>
      </c>
      <c r="BJ164" t="e">
        <f>'Compiled Agents'!A1349+"h_l!(@Z"</f>
        <v>#VALUE!</v>
      </c>
      <c r="BK164" t="e">
        <f>'Compiled Agents'!B1349+"h_l!(@["</f>
        <v>#VALUE!</v>
      </c>
      <c r="BL164" t="e">
        <f>'Compiled Agents'!C1349+"h_l!(@\"</f>
        <v>#VALUE!</v>
      </c>
      <c r="BM164" t="e">
        <f>'Compiled Agents'!E1349+"h_l!(@]"</f>
        <v>#VALUE!</v>
      </c>
      <c r="BN164" t="e">
        <f>'Compiled Agents'!F1349+"h_l!(@^"</f>
        <v>#VALUE!</v>
      </c>
      <c r="BO164" t="e">
        <f>'Compiled Agents'!G1349+"h_l!(@_"</f>
        <v>#VALUE!</v>
      </c>
      <c r="BP164" t="e">
        <f>'Compiled Agents'!H1349+"h_l!(@`"</f>
        <v>#VALUE!</v>
      </c>
      <c r="BQ164" t="e">
        <f>'Compiled Agents'!A1350+"h_l!(@a"</f>
        <v>#VALUE!</v>
      </c>
      <c r="BR164" t="e">
        <f>'Compiled Agents'!B1350+"h_l!(@b"</f>
        <v>#VALUE!</v>
      </c>
      <c r="BS164" t="e">
        <f>'Compiled Agents'!C1350+"h_l!(@c"</f>
        <v>#VALUE!</v>
      </c>
      <c r="BT164" t="e">
        <f>'Compiled Agents'!E1350+"h_l!(@d"</f>
        <v>#VALUE!</v>
      </c>
      <c r="BU164" t="e">
        <f>'Compiled Agents'!F1350+"h_l!(@e"</f>
        <v>#VALUE!</v>
      </c>
      <c r="BV164" t="e">
        <f>'Compiled Agents'!G1350+"h_l!(@f"</f>
        <v>#VALUE!</v>
      </c>
      <c r="BW164" t="e">
        <f>'Compiled Agents'!H1350+"h_l!(@g"</f>
        <v>#VALUE!</v>
      </c>
      <c r="BX164" t="e">
        <f>'Compiled Agents'!A1351+"h_l!(@h"</f>
        <v>#VALUE!</v>
      </c>
      <c r="BY164" t="e">
        <f>'Compiled Agents'!B1351+"h_l!(@i"</f>
        <v>#VALUE!</v>
      </c>
      <c r="BZ164" t="e">
        <f>'Compiled Agents'!C1351+"h_l!(@j"</f>
        <v>#VALUE!</v>
      </c>
      <c r="CA164" t="e">
        <f>'Compiled Agents'!E1351+"h_l!(@k"</f>
        <v>#VALUE!</v>
      </c>
      <c r="CB164" t="e">
        <f>'Compiled Agents'!F1351+"h_l!(@l"</f>
        <v>#VALUE!</v>
      </c>
      <c r="CC164" t="e">
        <f>'Compiled Agents'!G1351+"h_l!(@m"</f>
        <v>#VALUE!</v>
      </c>
      <c r="CD164" t="e">
        <f>'Compiled Agents'!H1351+"h_l!(@n"</f>
        <v>#VALUE!</v>
      </c>
      <c r="CE164" t="e">
        <f>'Compiled Agents'!A1352+"h_l!(@o"</f>
        <v>#VALUE!</v>
      </c>
      <c r="CF164" t="e">
        <f>'Compiled Agents'!B1352+"h_l!(@p"</f>
        <v>#VALUE!</v>
      </c>
      <c r="CG164" t="e">
        <f>'Compiled Agents'!C1352+"h_l!(@q"</f>
        <v>#VALUE!</v>
      </c>
      <c r="CH164" t="e">
        <f>'Compiled Agents'!E1352+"h_l!(@r"</f>
        <v>#VALUE!</v>
      </c>
      <c r="CI164" t="e">
        <f>'Compiled Agents'!F1352+"h_l!(@s"</f>
        <v>#VALUE!</v>
      </c>
      <c r="CJ164" t="e">
        <f>'Compiled Agents'!G1352+"h_l!(@t"</f>
        <v>#VALUE!</v>
      </c>
      <c r="CK164" t="e">
        <f>'Compiled Agents'!H1352+"h_l!(@u"</f>
        <v>#VALUE!</v>
      </c>
      <c r="CL164" t="e">
        <f>'Compiled Agents'!A1353+"h_l!(@v"</f>
        <v>#VALUE!</v>
      </c>
      <c r="CM164" t="e">
        <f>'Compiled Agents'!B1353+"h_l!(@w"</f>
        <v>#VALUE!</v>
      </c>
      <c r="CN164" t="e">
        <f>'Compiled Agents'!C1353+"h_l!(@x"</f>
        <v>#VALUE!</v>
      </c>
      <c r="CO164" t="e">
        <f>'Compiled Agents'!E1353+"h_l!(@y"</f>
        <v>#VALUE!</v>
      </c>
      <c r="CP164" t="e">
        <f>'Compiled Agents'!F1353+"h_l!(@z"</f>
        <v>#VALUE!</v>
      </c>
      <c r="CQ164" t="e">
        <f>'Compiled Agents'!G1353+"h_l!(@{"</f>
        <v>#VALUE!</v>
      </c>
      <c r="CR164" t="e">
        <f>'Compiled Agents'!H1353+"h_l!(@|"</f>
        <v>#VALUE!</v>
      </c>
      <c r="CS164" t="e">
        <f>'Compiled Agents'!A1354+"h_l!(@}"</f>
        <v>#VALUE!</v>
      </c>
      <c r="CT164" t="e">
        <f>'Compiled Agents'!B1354+"h_l!(@~"</f>
        <v>#VALUE!</v>
      </c>
      <c r="CU164" t="e">
        <f>'Compiled Agents'!C1354+"h_l!(A#"</f>
        <v>#VALUE!</v>
      </c>
      <c r="CV164" t="e">
        <f>'Compiled Agents'!E1354+"h_l!(A$"</f>
        <v>#VALUE!</v>
      </c>
      <c r="CW164" t="e">
        <f>'Compiled Agents'!F1354+"h_l!(A%"</f>
        <v>#VALUE!</v>
      </c>
      <c r="CX164" t="e">
        <f>'Compiled Agents'!G1354+"h_l!(A&amp;"</f>
        <v>#VALUE!</v>
      </c>
      <c r="CY164" t="e">
        <f>'Compiled Agents'!H1354+"h_l!(A'"</f>
        <v>#VALUE!</v>
      </c>
      <c r="CZ164" t="e">
        <f>'Compiled Agents'!A1355+"h_l!(A("</f>
        <v>#VALUE!</v>
      </c>
      <c r="DA164" t="e">
        <f>'Compiled Agents'!B1355+"h_l!(A)"</f>
        <v>#VALUE!</v>
      </c>
      <c r="DB164" t="e">
        <f>'Compiled Agents'!C1355+"h_l!(A."</f>
        <v>#VALUE!</v>
      </c>
      <c r="DC164" t="e">
        <f>'Compiled Agents'!E1355+"h_l!(A/"</f>
        <v>#VALUE!</v>
      </c>
      <c r="DD164" t="e">
        <f>'Compiled Agents'!F1355+"h_l!(A0"</f>
        <v>#VALUE!</v>
      </c>
      <c r="DE164" t="e">
        <f>'Compiled Agents'!G1355+"h_l!(A1"</f>
        <v>#VALUE!</v>
      </c>
      <c r="DF164" t="e">
        <f>'Compiled Agents'!H1355+"h_l!(A2"</f>
        <v>#VALUE!</v>
      </c>
      <c r="DG164" t="e">
        <f>'Compiled Agents'!A1356+"h_l!(A3"</f>
        <v>#VALUE!</v>
      </c>
      <c r="DH164" t="e">
        <f>'Compiled Agents'!B1356+"h_l!(A4"</f>
        <v>#VALUE!</v>
      </c>
      <c r="DI164" t="e">
        <f>'Compiled Agents'!C1356+"h_l!(A5"</f>
        <v>#VALUE!</v>
      </c>
      <c r="DJ164" t="e">
        <f>'Compiled Agents'!E1356+"h_l!(A6"</f>
        <v>#VALUE!</v>
      </c>
      <c r="DK164" t="e">
        <f>'Compiled Agents'!F1356+"h_l!(A7"</f>
        <v>#VALUE!</v>
      </c>
      <c r="DL164" t="e">
        <f>'Compiled Agents'!G1356+"h_l!(A8"</f>
        <v>#VALUE!</v>
      </c>
      <c r="DM164" t="e">
        <f>'Compiled Agents'!H1356+"h_l!(A9"</f>
        <v>#VALUE!</v>
      </c>
      <c r="DN164" t="e">
        <f>'Compiled Agents'!A1357+"h_l!(A:"</f>
        <v>#VALUE!</v>
      </c>
      <c r="DO164" t="e">
        <f>'Compiled Agents'!B1357+"h_l!(A;"</f>
        <v>#VALUE!</v>
      </c>
      <c r="DP164" t="e">
        <f>'Compiled Agents'!C1357+"h_l!(A&lt;"</f>
        <v>#VALUE!</v>
      </c>
      <c r="DQ164" t="e">
        <f>'Compiled Agents'!E1357+"h_l!(A="</f>
        <v>#VALUE!</v>
      </c>
      <c r="DR164" t="e">
        <f>'Compiled Agents'!F1357+"h_l!(A&gt;"</f>
        <v>#VALUE!</v>
      </c>
      <c r="DS164" t="e">
        <f>'Compiled Agents'!G1357+"h_l!(A?"</f>
        <v>#VALUE!</v>
      </c>
      <c r="DT164" t="e">
        <f>'Compiled Agents'!H1357+"h_l!(A@"</f>
        <v>#VALUE!</v>
      </c>
      <c r="DU164" t="e">
        <f>'Compiled Agents'!A1358+"h_l!(AA"</f>
        <v>#VALUE!</v>
      </c>
      <c r="DV164" t="e">
        <f>'Compiled Agents'!B1358+"h_l!(AB"</f>
        <v>#VALUE!</v>
      </c>
      <c r="DW164" t="e">
        <f>'Compiled Agents'!C1358+"h_l!(AC"</f>
        <v>#VALUE!</v>
      </c>
      <c r="DX164" t="e">
        <f>'Compiled Agents'!E1358+"h_l!(AD"</f>
        <v>#VALUE!</v>
      </c>
      <c r="DY164" t="e">
        <f>'Compiled Agents'!F1358+"h_l!(AE"</f>
        <v>#VALUE!</v>
      </c>
      <c r="DZ164" t="e">
        <f>'Compiled Agents'!G1358+"h_l!(AF"</f>
        <v>#VALUE!</v>
      </c>
      <c r="EA164" t="e">
        <f>'Compiled Agents'!H1358+"h_l!(AG"</f>
        <v>#VALUE!</v>
      </c>
      <c r="EB164" t="e">
        <f>'Compiled Agents'!A1359+"h_l!(AH"</f>
        <v>#VALUE!</v>
      </c>
      <c r="EC164" t="e">
        <f>'Compiled Agents'!B1359+"h_l!(AI"</f>
        <v>#VALUE!</v>
      </c>
      <c r="ED164" t="e">
        <f>'Compiled Agents'!C1359+"h_l!(AJ"</f>
        <v>#VALUE!</v>
      </c>
      <c r="EE164" t="e">
        <f>'Compiled Agents'!E1359+"h_l!(AK"</f>
        <v>#VALUE!</v>
      </c>
      <c r="EF164" t="e">
        <f>'Compiled Agents'!F1359+"h_l!(AL"</f>
        <v>#VALUE!</v>
      </c>
      <c r="EG164" t="e">
        <f>'Compiled Agents'!G1359+"h_l!(AM"</f>
        <v>#VALUE!</v>
      </c>
      <c r="EH164" t="e">
        <f>'Compiled Agents'!H1359+"h_l!(AN"</f>
        <v>#VALUE!</v>
      </c>
      <c r="EI164" t="e">
        <f>'Compiled Agents'!A1360+"h_l!(AO"</f>
        <v>#VALUE!</v>
      </c>
      <c r="EJ164" t="e">
        <f>'Compiled Agents'!B1360+"h_l!(AP"</f>
        <v>#VALUE!</v>
      </c>
      <c r="EK164" t="e">
        <f>'Compiled Agents'!C1360+"h_l!(AQ"</f>
        <v>#VALUE!</v>
      </c>
      <c r="EL164" t="e">
        <f>'Compiled Agents'!E1360+"h_l!(AR"</f>
        <v>#VALUE!</v>
      </c>
      <c r="EM164" t="e">
        <f>'Compiled Agents'!F1360+"h_l!(AS"</f>
        <v>#VALUE!</v>
      </c>
      <c r="EN164" t="e">
        <f>'Compiled Agents'!G1360+"h_l!(AT"</f>
        <v>#VALUE!</v>
      </c>
      <c r="EO164" t="e">
        <f>'Compiled Agents'!H1360+"h_l!(AU"</f>
        <v>#VALUE!</v>
      </c>
      <c r="EP164" t="e">
        <f>'Compiled Agents'!A1361+"h_l!(AV"</f>
        <v>#VALUE!</v>
      </c>
      <c r="EQ164" t="e">
        <f>'Compiled Agents'!B1361+"h_l!(AW"</f>
        <v>#VALUE!</v>
      </c>
      <c r="ER164" t="e">
        <f>'Compiled Agents'!C1361+"h_l!(AX"</f>
        <v>#VALUE!</v>
      </c>
      <c r="ES164" t="e">
        <f>'Compiled Agents'!E1361+"h_l!(AY"</f>
        <v>#VALUE!</v>
      </c>
      <c r="ET164" t="e">
        <f>'Compiled Agents'!F1361+"h_l!(AZ"</f>
        <v>#VALUE!</v>
      </c>
      <c r="EU164" t="e">
        <f>'Compiled Agents'!G1361+"h_l!(A["</f>
        <v>#VALUE!</v>
      </c>
      <c r="EV164" t="e">
        <f>'Compiled Agents'!H1361+"h_l!(A\"</f>
        <v>#VALUE!</v>
      </c>
      <c r="EW164" t="e">
        <f>'Compiled Agents'!A1362+"h_l!(A]"</f>
        <v>#VALUE!</v>
      </c>
      <c r="EX164" t="e">
        <f>'Compiled Agents'!B1362+"h_l!(A^"</f>
        <v>#VALUE!</v>
      </c>
      <c r="EY164" t="e">
        <f>'Compiled Agents'!C1362+"h_l!(A_"</f>
        <v>#VALUE!</v>
      </c>
      <c r="EZ164" t="e">
        <f>'Compiled Agents'!E1362+"h_l!(A`"</f>
        <v>#VALUE!</v>
      </c>
      <c r="FA164" t="e">
        <f>'Compiled Agents'!F1362+"h_l!(Aa"</f>
        <v>#VALUE!</v>
      </c>
      <c r="FB164" t="e">
        <f>'Compiled Agents'!G1362+"h_l!(Ab"</f>
        <v>#VALUE!</v>
      </c>
      <c r="FC164" t="e">
        <f>'Compiled Agents'!H1362+"h_l!(Ac"</f>
        <v>#VALUE!</v>
      </c>
      <c r="FD164" t="e">
        <f>'Compiled Agents'!A1363+"h_l!(Ad"</f>
        <v>#VALUE!</v>
      </c>
      <c r="FE164" t="e">
        <f>'Compiled Agents'!B1363+"h_l!(Ae"</f>
        <v>#VALUE!</v>
      </c>
      <c r="FF164" t="e">
        <f>'Compiled Agents'!C1363+"h_l!(Af"</f>
        <v>#VALUE!</v>
      </c>
      <c r="FG164" t="e">
        <f>'Compiled Agents'!E1363+"h_l!(Ag"</f>
        <v>#VALUE!</v>
      </c>
      <c r="FH164" t="e">
        <f>'Compiled Agents'!F1363+"h_l!(Ah"</f>
        <v>#VALUE!</v>
      </c>
      <c r="FI164" t="e">
        <f>'Compiled Agents'!G1363+"h_l!(Ai"</f>
        <v>#VALUE!</v>
      </c>
      <c r="FJ164" t="e">
        <f>'Compiled Agents'!H1363+"h_l!(Aj"</f>
        <v>#VALUE!</v>
      </c>
      <c r="FK164" t="e">
        <f>'Compiled Agents'!A1364+"h_l!(Ak"</f>
        <v>#VALUE!</v>
      </c>
      <c r="FL164" t="e">
        <f>'Compiled Agents'!B1364+"h_l!(Al"</f>
        <v>#VALUE!</v>
      </c>
      <c r="FM164" t="e">
        <f>'Compiled Agents'!C1364+"h_l!(Am"</f>
        <v>#VALUE!</v>
      </c>
      <c r="FN164" t="e">
        <f>'Compiled Agents'!E1364+"h_l!(An"</f>
        <v>#VALUE!</v>
      </c>
      <c r="FO164" t="e">
        <f>'Compiled Agents'!F1364+"h_l!(Ao"</f>
        <v>#VALUE!</v>
      </c>
      <c r="FP164" t="e">
        <f>'Compiled Agents'!G1364+"h_l!(Ap"</f>
        <v>#VALUE!</v>
      </c>
      <c r="FQ164" t="e">
        <f>'Compiled Agents'!H1364+"h_l!(Aq"</f>
        <v>#VALUE!</v>
      </c>
      <c r="FR164" t="e">
        <f>'Compiled Agents'!A1365+"h_l!(Ar"</f>
        <v>#VALUE!</v>
      </c>
      <c r="FS164" t="e">
        <f>'Compiled Agents'!B1365+"h_l!(As"</f>
        <v>#VALUE!</v>
      </c>
      <c r="FT164" t="e">
        <f>'Compiled Agents'!C1365+"h_l!(At"</f>
        <v>#VALUE!</v>
      </c>
      <c r="FU164" t="e">
        <f>'Compiled Agents'!E1365+"h_l!(Au"</f>
        <v>#VALUE!</v>
      </c>
      <c r="FV164" t="e">
        <f>'Compiled Agents'!F1365+"h_l!(Av"</f>
        <v>#VALUE!</v>
      </c>
      <c r="FW164" t="e">
        <f>'Compiled Agents'!G1365+"h_l!(Aw"</f>
        <v>#VALUE!</v>
      </c>
      <c r="FX164" t="e">
        <f>'Compiled Agents'!H1365+"h_l!(Ax"</f>
        <v>#VALUE!</v>
      </c>
      <c r="FY164" t="e">
        <f>'Compiled Agents'!A1366+"h_l!(Ay"</f>
        <v>#VALUE!</v>
      </c>
      <c r="FZ164" t="e">
        <f>'Compiled Agents'!B1366+"h_l!(Az"</f>
        <v>#VALUE!</v>
      </c>
      <c r="GA164" t="e">
        <f>'Compiled Agents'!C1366+"h_l!(A{"</f>
        <v>#VALUE!</v>
      </c>
      <c r="GB164" t="e">
        <f>'Compiled Agents'!E1366+"h_l!(A|"</f>
        <v>#VALUE!</v>
      </c>
      <c r="GC164" t="e">
        <f>'Compiled Agents'!F1366+"h_l!(A}"</f>
        <v>#VALUE!</v>
      </c>
      <c r="GD164" t="e">
        <f>'Compiled Agents'!G1366+"h_l!(A~"</f>
        <v>#VALUE!</v>
      </c>
      <c r="GE164" t="e">
        <f>'Compiled Agents'!H1366+"h_l!(B#"</f>
        <v>#VALUE!</v>
      </c>
      <c r="GF164" t="e">
        <f>'Compiled Agents'!A1367+"h_l!(B$"</f>
        <v>#VALUE!</v>
      </c>
      <c r="GG164" t="e">
        <f>'Compiled Agents'!B1367+"h_l!(B%"</f>
        <v>#VALUE!</v>
      </c>
      <c r="GH164" t="e">
        <f>'Compiled Agents'!C1367+"h_l!(B&amp;"</f>
        <v>#VALUE!</v>
      </c>
      <c r="GI164" t="e">
        <f>'Compiled Agents'!E1367+"h_l!(B'"</f>
        <v>#VALUE!</v>
      </c>
      <c r="GJ164" t="e">
        <f>'Compiled Agents'!F1367+"h_l!(B("</f>
        <v>#VALUE!</v>
      </c>
      <c r="GK164" t="e">
        <f>'Compiled Agents'!G1367+"h_l!(B)"</f>
        <v>#VALUE!</v>
      </c>
      <c r="GL164" t="e">
        <f>'Compiled Agents'!H1367+"h_l!(B."</f>
        <v>#VALUE!</v>
      </c>
      <c r="GM164" t="e">
        <f>'Compiled Agents'!A1368+"h_l!(B/"</f>
        <v>#VALUE!</v>
      </c>
      <c r="GN164" t="e">
        <f>'Compiled Agents'!B1368+"h_l!(B0"</f>
        <v>#VALUE!</v>
      </c>
      <c r="GO164" t="e">
        <f>'Compiled Agents'!C1368+"h_l!(B1"</f>
        <v>#VALUE!</v>
      </c>
      <c r="GP164" t="e">
        <f>'Compiled Agents'!E1368+"h_l!(B2"</f>
        <v>#VALUE!</v>
      </c>
      <c r="GQ164" t="e">
        <f>'Compiled Agents'!F1368+"h_l!(B3"</f>
        <v>#VALUE!</v>
      </c>
      <c r="GR164" t="e">
        <f>'Compiled Agents'!G1368+"h_l!(B4"</f>
        <v>#VALUE!</v>
      </c>
      <c r="GS164" t="e">
        <f>'Compiled Agents'!H1368+"h_l!(B5"</f>
        <v>#VALUE!</v>
      </c>
      <c r="GT164" t="e">
        <f>'Compiled Agents'!A1369+"h_l!(B6"</f>
        <v>#VALUE!</v>
      </c>
      <c r="GU164" t="e">
        <f>'Compiled Agents'!B1369+"h_l!(B7"</f>
        <v>#VALUE!</v>
      </c>
      <c r="GV164" t="e">
        <f>'Compiled Agents'!C1369+"h_l!(B8"</f>
        <v>#VALUE!</v>
      </c>
      <c r="GW164" t="e">
        <f>'Compiled Agents'!E1369+"h_l!(B9"</f>
        <v>#VALUE!</v>
      </c>
      <c r="GX164" t="e">
        <f>'Compiled Agents'!F1369+"h_l!(B:"</f>
        <v>#VALUE!</v>
      </c>
      <c r="GY164" t="e">
        <f>'Compiled Agents'!G1369+"h_l!(B;"</f>
        <v>#VALUE!</v>
      </c>
      <c r="GZ164" t="e">
        <f>'Compiled Agents'!H1369+"h_l!(B&lt;"</f>
        <v>#VALUE!</v>
      </c>
      <c r="HA164" t="e">
        <f>'Compiled Agents'!A1370+"h_l!(B="</f>
        <v>#VALUE!</v>
      </c>
      <c r="HB164" t="e">
        <f>'Compiled Agents'!B1370+"h_l!(B&gt;"</f>
        <v>#VALUE!</v>
      </c>
      <c r="HC164" t="e">
        <f>'Compiled Agents'!C1370+"h_l!(B?"</f>
        <v>#VALUE!</v>
      </c>
      <c r="HD164" t="e">
        <f>'Compiled Agents'!E1370+"h_l!(B@"</f>
        <v>#VALUE!</v>
      </c>
      <c r="HE164" t="e">
        <f>'Compiled Agents'!F1370+"h_l!(BA"</f>
        <v>#VALUE!</v>
      </c>
      <c r="HF164" t="e">
        <f>'Compiled Agents'!G1370+"h_l!(BB"</f>
        <v>#VALUE!</v>
      </c>
      <c r="HG164" t="e">
        <f>'Compiled Agents'!H1370+"h_l!(BC"</f>
        <v>#VALUE!</v>
      </c>
      <c r="HH164" t="e">
        <f>'Compiled Agents'!A1371+"h_l!(BD"</f>
        <v>#VALUE!</v>
      </c>
      <c r="HI164" t="e">
        <f>'Compiled Agents'!B1371+"h_l!(BE"</f>
        <v>#VALUE!</v>
      </c>
      <c r="HJ164" t="e">
        <f>'Compiled Agents'!C1371+"h_l!(BF"</f>
        <v>#VALUE!</v>
      </c>
      <c r="HK164" t="e">
        <f>'Compiled Agents'!E1371+"h_l!(BG"</f>
        <v>#VALUE!</v>
      </c>
      <c r="HL164" t="e">
        <f>'Compiled Agents'!F1371+"h_l!(BH"</f>
        <v>#VALUE!</v>
      </c>
      <c r="HM164" t="e">
        <f>'Compiled Agents'!G1371+"h_l!(BI"</f>
        <v>#VALUE!</v>
      </c>
      <c r="HN164" t="e">
        <f>'Compiled Agents'!H1371+"h_l!(BJ"</f>
        <v>#VALUE!</v>
      </c>
      <c r="HO164" t="e">
        <f>'Compiled Agents'!A1372+"h_l!(BK"</f>
        <v>#VALUE!</v>
      </c>
      <c r="HP164" t="e">
        <f>'Compiled Agents'!B1372+"h_l!(BL"</f>
        <v>#VALUE!</v>
      </c>
      <c r="HQ164" t="e">
        <f>'Compiled Agents'!C1372+"h_l!(BM"</f>
        <v>#VALUE!</v>
      </c>
      <c r="HR164" t="e">
        <f>'Compiled Agents'!E1372+"h_l!(BN"</f>
        <v>#VALUE!</v>
      </c>
      <c r="HS164" t="e">
        <f>'Compiled Agents'!F1372+"h_l!(BO"</f>
        <v>#VALUE!</v>
      </c>
      <c r="HT164" t="e">
        <f>'Compiled Agents'!G1372+"h_l!(BP"</f>
        <v>#VALUE!</v>
      </c>
      <c r="HU164" t="e">
        <f>'Compiled Agents'!H1372+"h_l!(BQ"</f>
        <v>#VALUE!</v>
      </c>
      <c r="HV164" t="e">
        <f>'Compiled Agents'!A1373+"h_l!(BR"</f>
        <v>#VALUE!</v>
      </c>
      <c r="HW164" t="e">
        <f>'Compiled Agents'!B1373+"h_l!(BS"</f>
        <v>#VALUE!</v>
      </c>
      <c r="HX164" t="e">
        <f>'Compiled Agents'!C1373+"h_l!(BT"</f>
        <v>#VALUE!</v>
      </c>
      <c r="HY164" t="e">
        <f>'Compiled Agents'!E1373+"h_l!(BU"</f>
        <v>#VALUE!</v>
      </c>
      <c r="HZ164" t="e">
        <f>'Compiled Agents'!F1373+"h_l!(BV"</f>
        <v>#VALUE!</v>
      </c>
      <c r="IA164" t="e">
        <f>'Compiled Agents'!G1373+"h_l!(BW"</f>
        <v>#VALUE!</v>
      </c>
      <c r="IB164" t="e">
        <f>'Compiled Agents'!H1373+"h_l!(BX"</f>
        <v>#VALUE!</v>
      </c>
      <c r="IC164" t="e">
        <f>'Compiled Agents'!A1374+"h_l!(BY"</f>
        <v>#VALUE!</v>
      </c>
      <c r="ID164" t="e">
        <f>'Compiled Agents'!B1374+"h_l!(BZ"</f>
        <v>#VALUE!</v>
      </c>
      <c r="IE164" t="e">
        <f>'Compiled Agents'!C1374+"h_l!(B["</f>
        <v>#VALUE!</v>
      </c>
      <c r="IF164" t="e">
        <f>'Compiled Agents'!E1374+"h_l!(B\"</f>
        <v>#VALUE!</v>
      </c>
      <c r="IG164" t="e">
        <f>'Compiled Agents'!F1374+"h_l!(B]"</f>
        <v>#VALUE!</v>
      </c>
      <c r="IH164" t="e">
        <f>'Compiled Agents'!G1374+"h_l!(B^"</f>
        <v>#VALUE!</v>
      </c>
      <c r="II164" t="e">
        <f>'Compiled Agents'!H1374+"h_l!(B_"</f>
        <v>#VALUE!</v>
      </c>
      <c r="IJ164" t="e">
        <f>'Compiled Agents'!A1375+"h_l!(B`"</f>
        <v>#VALUE!</v>
      </c>
      <c r="IK164" t="e">
        <f>'Compiled Agents'!B1375+"h_l!(Ba"</f>
        <v>#VALUE!</v>
      </c>
      <c r="IL164" t="e">
        <f>'Compiled Agents'!C1375+"h_l!(Bb"</f>
        <v>#VALUE!</v>
      </c>
      <c r="IM164" t="e">
        <f>'Compiled Agents'!E1375+"h_l!(Bc"</f>
        <v>#VALUE!</v>
      </c>
      <c r="IN164" t="e">
        <f>'Compiled Agents'!F1375+"h_l!(Bd"</f>
        <v>#VALUE!</v>
      </c>
      <c r="IO164" t="e">
        <f>'Compiled Agents'!G1375+"h_l!(Be"</f>
        <v>#VALUE!</v>
      </c>
      <c r="IP164" t="e">
        <f>'Compiled Agents'!H1375+"h_l!(Bf"</f>
        <v>#VALUE!</v>
      </c>
      <c r="IQ164" t="e">
        <f>'Compiled Agents'!A1376+"h_l!(Bg"</f>
        <v>#VALUE!</v>
      </c>
      <c r="IR164" t="e">
        <f>'Compiled Agents'!B1376+"h_l!(Bh"</f>
        <v>#VALUE!</v>
      </c>
      <c r="IS164" t="e">
        <f>'Compiled Agents'!C1376+"h_l!(Bi"</f>
        <v>#VALUE!</v>
      </c>
      <c r="IT164" t="e">
        <f>'Compiled Agents'!E1376+"h_l!(Bj"</f>
        <v>#VALUE!</v>
      </c>
      <c r="IU164" t="e">
        <f>'Compiled Agents'!F1376+"h_l!(Bk"</f>
        <v>#VALUE!</v>
      </c>
      <c r="IV164" t="e">
        <f>'Compiled Agents'!G1376+"h_l!(Bl"</f>
        <v>#VALUE!</v>
      </c>
    </row>
    <row r="165" spans="6:256" x14ac:dyDescent="0.25">
      <c r="F165" t="e">
        <f>'Compiled Agents'!H1376+"h_l!(Bm"</f>
        <v>#VALUE!</v>
      </c>
      <c r="G165" t="e">
        <f>'Compiled Agents'!A1377+"h_l!(Bn"</f>
        <v>#VALUE!</v>
      </c>
      <c r="H165" t="e">
        <f>'Compiled Agents'!B1377+"h_l!(Bo"</f>
        <v>#VALUE!</v>
      </c>
      <c r="I165" t="e">
        <f>'Compiled Agents'!C1377+"h_l!(Bp"</f>
        <v>#VALUE!</v>
      </c>
      <c r="J165" t="e">
        <f>'Compiled Agents'!E1377+"h_l!(Bq"</f>
        <v>#VALUE!</v>
      </c>
      <c r="K165" t="e">
        <f>'Compiled Agents'!F1377+"h_l!(Br"</f>
        <v>#VALUE!</v>
      </c>
      <c r="L165" t="e">
        <f>'Compiled Agents'!G1377+"h_l!(Bs"</f>
        <v>#VALUE!</v>
      </c>
      <c r="M165" t="e">
        <f>'Compiled Agents'!H1377+"h_l!(Bt"</f>
        <v>#VALUE!</v>
      </c>
      <c r="N165" t="e">
        <f>'Compiled Agents'!A1378+"h_l!(Bu"</f>
        <v>#VALUE!</v>
      </c>
      <c r="O165" t="e">
        <f>'Compiled Agents'!B1378+"h_l!(Bv"</f>
        <v>#VALUE!</v>
      </c>
      <c r="P165" t="e">
        <f>'Compiled Agents'!C1378+"h_l!(Bw"</f>
        <v>#VALUE!</v>
      </c>
      <c r="Q165" t="e">
        <f>'Compiled Agents'!E1378+"h_l!(Bx"</f>
        <v>#VALUE!</v>
      </c>
      <c r="R165" t="e">
        <f>'Compiled Agents'!F1378+"h_l!(By"</f>
        <v>#VALUE!</v>
      </c>
      <c r="S165" t="e">
        <f>'Compiled Agents'!G1378+"h_l!(Bz"</f>
        <v>#VALUE!</v>
      </c>
      <c r="T165" t="e">
        <f>'Compiled Agents'!H1378+"h_l!(B{"</f>
        <v>#VALUE!</v>
      </c>
      <c r="U165" t="e">
        <f>'Compiled Agents'!A1379+"h_l!(B|"</f>
        <v>#VALUE!</v>
      </c>
      <c r="V165" t="e">
        <f>'Compiled Agents'!B1379+"h_l!(B}"</f>
        <v>#VALUE!</v>
      </c>
      <c r="W165" t="e">
        <f>'Compiled Agents'!C1379+"h_l!(B~"</f>
        <v>#VALUE!</v>
      </c>
      <c r="X165" t="e">
        <f>'Compiled Agents'!E1379+"h_l!(C#"</f>
        <v>#VALUE!</v>
      </c>
      <c r="Y165" t="e">
        <f>'Compiled Agents'!F1379+"h_l!(C$"</f>
        <v>#VALUE!</v>
      </c>
      <c r="Z165" t="e">
        <f>'Compiled Agents'!G1379+"h_l!(C%"</f>
        <v>#VALUE!</v>
      </c>
      <c r="AA165" t="e">
        <f>'Compiled Agents'!H1379+"h_l!(C&amp;"</f>
        <v>#VALUE!</v>
      </c>
      <c r="AB165" t="e">
        <f>'Compiled Agents'!A1380+"h_l!(C'"</f>
        <v>#VALUE!</v>
      </c>
      <c r="AC165" t="e">
        <f>'Compiled Agents'!B1380+"h_l!(C("</f>
        <v>#VALUE!</v>
      </c>
      <c r="AD165" t="e">
        <f>'Compiled Agents'!C1380+"h_l!(C)"</f>
        <v>#VALUE!</v>
      </c>
      <c r="AE165" t="e">
        <f>'Compiled Agents'!E1380+"h_l!(C."</f>
        <v>#VALUE!</v>
      </c>
      <c r="AF165" t="e">
        <f>'Compiled Agents'!F1380+"h_l!(C/"</f>
        <v>#VALUE!</v>
      </c>
      <c r="AG165" t="e">
        <f>'Compiled Agents'!G1380+"h_l!(C0"</f>
        <v>#VALUE!</v>
      </c>
      <c r="AH165" t="e">
        <f>'Compiled Agents'!H1380+"h_l!(C1"</f>
        <v>#VALUE!</v>
      </c>
      <c r="AI165" t="e">
        <f>'Compiled Agents'!A1381+"h_l!(C2"</f>
        <v>#VALUE!</v>
      </c>
      <c r="AJ165" t="e">
        <f>'Compiled Agents'!B1381+"h_l!(C3"</f>
        <v>#VALUE!</v>
      </c>
      <c r="AK165" t="e">
        <f>'Compiled Agents'!C1381+"h_l!(C4"</f>
        <v>#VALUE!</v>
      </c>
      <c r="AL165" t="e">
        <f>'Compiled Agents'!E1381+"h_l!(C5"</f>
        <v>#VALUE!</v>
      </c>
      <c r="AM165" t="e">
        <f>'Compiled Agents'!F1381+"h_l!(C6"</f>
        <v>#VALUE!</v>
      </c>
      <c r="AN165" t="e">
        <f>'Compiled Agents'!G1381+"h_l!(C7"</f>
        <v>#VALUE!</v>
      </c>
      <c r="AO165" t="e">
        <f>'Compiled Agents'!H1381+"h_l!(C8"</f>
        <v>#VALUE!</v>
      </c>
      <c r="AP165" t="e">
        <f>'Compiled Agents'!A1382+"h_l!(C9"</f>
        <v>#VALUE!</v>
      </c>
      <c r="AQ165" t="e">
        <f>'Compiled Agents'!B1382+"h_l!(C:"</f>
        <v>#VALUE!</v>
      </c>
      <c r="AR165" t="e">
        <f>'Compiled Agents'!C1382+"h_l!(C;"</f>
        <v>#VALUE!</v>
      </c>
      <c r="AS165" t="e">
        <f>'Compiled Agents'!E1382+"h_l!(C&lt;"</f>
        <v>#VALUE!</v>
      </c>
      <c r="AT165" t="e">
        <f>'Compiled Agents'!F1382+"h_l!(C="</f>
        <v>#VALUE!</v>
      </c>
      <c r="AU165" t="e">
        <f>'Compiled Agents'!G1382+"h_l!(C&gt;"</f>
        <v>#VALUE!</v>
      </c>
      <c r="AV165" t="e">
        <f>'Compiled Agents'!H1382+"h_l!(C?"</f>
        <v>#VALUE!</v>
      </c>
      <c r="AW165" t="e">
        <f>'Compiled Agents'!A1383+"h_l!(C@"</f>
        <v>#VALUE!</v>
      </c>
      <c r="AX165" t="e">
        <f>'Compiled Agents'!B1383+"h_l!(CA"</f>
        <v>#VALUE!</v>
      </c>
      <c r="AY165" t="e">
        <f>'Compiled Agents'!C1383+"h_l!(CB"</f>
        <v>#VALUE!</v>
      </c>
      <c r="AZ165" t="e">
        <f>'Compiled Agents'!E1383+"h_l!(CC"</f>
        <v>#VALUE!</v>
      </c>
      <c r="BA165" t="e">
        <f>'Compiled Agents'!F1383+"h_l!(CD"</f>
        <v>#VALUE!</v>
      </c>
      <c r="BB165" t="e">
        <f>'Compiled Agents'!G1383+"h_l!(CE"</f>
        <v>#VALUE!</v>
      </c>
      <c r="BC165" t="e">
        <f>'Compiled Agents'!H1383+"h_l!(CF"</f>
        <v>#VALUE!</v>
      </c>
      <c r="BD165" t="e">
        <f>'Compiled Agents'!A1384+"h_l!(CG"</f>
        <v>#VALUE!</v>
      </c>
      <c r="BE165" t="e">
        <f>'Compiled Agents'!B1384+"h_l!(CH"</f>
        <v>#VALUE!</v>
      </c>
      <c r="BF165" t="e">
        <f>'Compiled Agents'!C1384+"h_l!(CI"</f>
        <v>#VALUE!</v>
      </c>
      <c r="BG165" t="e">
        <f>'Compiled Agents'!E1384+"h_l!(CJ"</f>
        <v>#VALUE!</v>
      </c>
      <c r="BH165" t="e">
        <f>'Compiled Agents'!F1384+"h_l!(CK"</f>
        <v>#VALUE!</v>
      </c>
      <c r="BI165" t="e">
        <f>'Compiled Agents'!G1384+"h_l!(CL"</f>
        <v>#VALUE!</v>
      </c>
      <c r="BJ165" t="e">
        <f>'Compiled Agents'!H1384+"h_l!(CM"</f>
        <v>#VALUE!</v>
      </c>
      <c r="BK165" t="e">
        <f>'Compiled Agents'!A1385+"h_l!(CN"</f>
        <v>#VALUE!</v>
      </c>
      <c r="BL165" t="e">
        <f>'Compiled Agents'!B1385+"h_l!(CO"</f>
        <v>#VALUE!</v>
      </c>
      <c r="BM165" t="e">
        <f>'Compiled Agents'!C1385+"h_l!(CP"</f>
        <v>#VALUE!</v>
      </c>
      <c r="BN165" t="e">
        <f>'Compiled Agents'!E1385+"h_l!(CQ"</f>
        <v>#VALUE!</v>
      </c>
      <c r="BO165" t="e">
        <f>'Compiled Agents'!F1385+"h_l!(CR"</f>
        <v>#VALUE!</v>
      </c>
      <c r="BP165" t="e">
        <f>'Compiled Agents'!G1385+"h_l!(CS"</f>
        <v>#VALUE!</v>
      </c>
      <c r="BQ165" t="e">
        <f>'Compiled Agents'!H1385+"h_l!(CT"</f>
        <v>#VALUE!</v>
      </c>
      <c r="BR165" t="e">
        <f>'Compiled Agents'!A1386+"h_l!(CU"</f>
        <v>#VALUE!</v>
      </c>
      <c r="BS165" t="e">
        <f>'Compiled Agents'!B1386+"h_l!(CV"</f>
        <v>#VALUE!</v>
      </c>
      <c r="BT165" t="e">
        <f>'Compiled Agents'!C1386+"h_l!(CW"</f>
        <v>#VALUE!</v>
      </c>
      <c r="BU165" t="e">
        <f>'Compiled Agents'!E1386+"h_l!(CX"</f>
        <v>#VALUE!</v>
      </c>
      <c r="BV165" t="e">
        <f>'Compiled Agents'!F1386+"h_l!(CY"</f>
        <v>#VALUE!</v>
      </c>
      <c r="BW165" t="e">
        <f>'Compiled Agents'!G1386+"h_l!(CZ"</f>
        <v>#VALUE!</v>
      </c>
      <c r="BX165" t="e">
        <f>'Compiled Agents'!H1386+"h_l!(C["</f>
        <v>#VALUE!</v>
      </c>
      <c r="BY165" t="e">
        <f>'Compiled Agents'!A1387+"h_l!(C\"</f>
        <v>#VALUE!</v>
      </c>
      <c r="BZ165" t="e">
        <f>'Compiled Agents'!B1387+"h_l!(C]"</f>
        <v>#VALUE!</v>
      </c>
      <c r="CA165" t="e">
        <f>'Compiled Agents'!C1387+"h_l!(C^"</f>
        <v>#VALUE!</v>
      </c>
      <c r="CB165" t="e">
        <f>'Compiled Agents'!E1387+"h_l!(C_"</f>
        <v>#VALUE!</v>
      </c>
      <c r="CC165" t="e">
        <f>'Compiled Agents'!F1387+"h_l!(C`"</f>
        <v>#VALUE!</v>
      </c>
      <c r="CD165" t="e">
        <f>'Compiled Agents'!G1387+"h_l!(Ca"</f>
        <v>#VALUE!</v>
      </c>
      <c r="CE165" t="e">
        <f>'Compiled Agents'!H1387+"h_l!(Cb"</f>
        <v>#VALUE!</v>
      </c>
      <c r="CF165" t="e">
        <f>'Compiled Agents'!A1388+"h_l!(Cc"</f>
        <v>#VALUE!</v>
      </c>
      <c r="CG165" t="e">
        <f>'Compiled Agents'!B1388+"h_l!(Cd"</f>
        <v>#VALUE!</v>
      </c>
      <c r="CH165" t="e">
        <f>'Compiled Agents'!C1388+"h_l!(Ce"</f>
        <v>#VALUE!</v>
      </c>
      <c r="CI165" t="e">
        <f>'Compiled Agents'!E1388+"h_l!(Cf"</f>
        <v>#VALUE!</v>
      </c>
      <c r="CJ165" t="e">
        <f>'Compiled Agents'!F1388+"h_l!(Cg"</f>
        <v>#VALUE!</v>
      </c>
      <c r="CK165" t="e">
        <f>'Compiled Agents'!G1388+"h_l!(Ch"</f>
        <v>#VALUE!</v>
      </c>
      <c r="CL165" t="e">
        <f>'Compiled Agents'!H1388+"h_l!(Ci"</f>
        <v>#VALUE!</v>
      </c>
      <c r="CM165" t="e">
        <f>'Compiled Agents'!A1389+"h_l!(Cj"</f>
        <v>#VALUE!</v>
      </c>
      <c r="CN165" t="e">
        <f>'Compiled Agents'!B1389+"h_l!(Ck"</f>
        <v>#VALUE!</v>
      </c>
      <c r="CO165" t="e">
        <f>'Compiled Agents'!C1389+"h_l!(Cl"</f>
        <v>#VALUE!</v>
      </c>
      <c r="CP165" t="e">
        <f>'Compiled Agents'!E1389+"h_l!(Cm"</f>
        <v>#VALUE!</v>
      </c>
      <c r="CQ165" t="e">
        <f>'Compiled Agents'!F1389+"h_l!(Cn"</f>
        <v>#VALUE!</v>
      </c>
      <c r="CR165" t="e">
        <f>'Compiled Agents'!G1389+"h_l!(Co"</f>
        <v>#VALUE!</v>
      </c>
      <c r="CS165" t="e">
        <f>'Compiled Agents'!H1389+"h_l!(Cp"</f>
        <v>#VALUE!</v>
      </c>
      <c r="CT165" t="e">
        <f>'Compiled Agents'!A1390+"h_l!(Cq"</f>
        <v>#VALUE!</v>
      </c>
      <c r="CU165" t="e">
        <f>'Compiled Agents'!B1390+"h_l!(Cr"</f>
        <v>#VALUE!</v>
      </c>
      <c r="CV165" t="e">
        <f>'Compiled Agents'!C1390+"h_l!(Cs"</f>
        <v>#VALUE!</v>
      </c>
      <c r="CW165" t="e">
        <f>'Compiled Agents'!E1390+"h_l!(Ct"</f>
        <v>#VALUE!</v>
      </c>
      <c r="CX165" t="e">
        <f>'Compiled Agents'!F1390+"h_l!(Cu"</f>
        <v>#VALUE!</v>
      </c>
      <c r="CY165" t="e">
        <f>'Compiled Agents'!G1390+"h_l!(Cv"</f>
        <v>#VALUE!</v>
      </c>
      <c r="CZ165" t="e">
        <f>'Compiled Agents'!H1390+"h_l!(Cw"</f>
        <v>#VALUE!</v>
      </c>
      <c r="DA165" t="e">
        <f>'Compiled Agents'!A1391+"h_l!(Cx"</f>
        <v>#VALUE!</v>
      </c>
      <c r="DB165" t="e">
        <f>'Compiled Agents'!B1391+"h_l!(Cy"</f>
        <v>#VALUE!</v>
      </c>
      <c r="DC165" t="e">
        <f>'Compiled Agents'!C1391+"h_l!(Cz"</f>
        <v>#VALUE!</v>
      </c>
      <c r="DD165" t="e">
        <f>'Compiled Agents'!E1391+"h_l!(C{"</f>
        <v>#VALUE!</v>
      </c>
      <c r="DE165" t="e">
        <f>'Compiled Agents'!F1391+"h_l!(C|"</f>
        <v>#VALUE!</v>
      </c>
      <c r="DF165" t="e">
        <f>'Compiled Agents'!G1391+"h_l!(C}"</f>
        <v>#VALUE!</v>
      </c>
      <c r="DG165" t="e">
        <f>'Compiled Agents'!H1391+"h_l!(C~"</f>
        <v>#VALUE!</v>
      </c>
      <c r="DH165" t="e">
        <f>'Compiled Agents'!A1392+"h_l!(D#"</f>
        <v>#VALUE!</v>
      </c>
      <c r="DI165" t="e">
        <f>'Compiled Agents'!B1392+"h_l!(D$"</f>
        <v>#VALUE!</v>
      </c>
      <c r="DJ165" t="e">
        <f>'Compiled Agents'!C1392+"h_l!(D%"</f>
        <v>#VALUE!</v>
      </c>
      <c r="DK165" t="e">
        <f>'Compiled Agents'!E1392+"h_l!(D&amp;"</f>
        <v>#VALUE!</v>
      </c>
      <c r="DL165" t="e">
        <f>'Compiled Agents'!F1392+"h_l!(D'"</f>
        <v>#VALUE!</v>
      </c>
      <c r="DM165" t="e">
        <f>'Compiled Agents'!G1392+"h_l!(D("</f>
        <v>#VALUE!</v>
      </c>
      <c r="DN165" t="e">
        <f>'Compiled Agents'!H1392+"h_l!(D)"</f>
        <v>#VALUE!</v>
      </c>
      <c r="DO165" t="e">
        <f>'Compiled Agents'!A1393+"h_l!(D."</f>
        <v>#VALUE!</v>
      </c>
      <c r="DP165" t="e">
        <f>'Compiled Agents'!B1393+"h_l!(D/"</f>
        <v>#VALUE!</v>
      </c>
      <c r="DQ165" t="e">
        <f>'Compiled Agents'!C1393+"h_l!(D0"</f>
        <v>#VALUE!</v>
      </c>
      <c r="DR165" t="e">
        <f>'Compiled Agents'!E1393+"h_l!(D1"</f>
        <v>#VALUE!</v>
      </c>
      <c r="DS165" t="e">
        <f>'Compiled Agents'!F1393+"h_l!(D2"</f>
        <v>#VALUE!</v>
      </c>
      <c r="DT165" t="e">
        <f>'Compiled Agents'!G1393+"h_l!(D3"</f>
        <v>#VALUE!</v>
      </c>
      <c r="DU165" t="e">
        <f>'Compiled Agents'!H1393+"h_l!(D4"</f>
        <v>#VALUE!</v>
      </c>
      <c r="DV165" t="e">
        <f>'Compiled Agents'!A1394+"h_l!(D5"</f>
        <v>#VALUE!</v>
      </c>
      <c r="DW165" t="e">
        <f>'Compiled Agents'!B1394+"h_l!(D6"</f>
        <v>#VALUE!</v>
      </c>
      <c r="DX165" t="e">
        <f>'Compiled Agents'!C1394+"h_l!(D7"</f>
        <v>#VALUE!</v>
      </c>
      <c r="DY165" t="e">
        <f>'Compiled Agents'!E1394+"h_l!(D8"</f>
        <v>#VALUE!</v>
      </c>
      <c r="DZ165" t="e">
        <f>'Compiled Agents'!F1394+"h_l!(D9"</f>
        <v>#VALUE!</v>
      </c>
      <c r="EA165" t="e">
        <f>'Compiled Agents'!G1394+"h_l!(D:"</f>
        <v>#VALUE!</v>
      </c>
      <c r="EB165" t="e">
        <f>'Compiled Agents'!H1394+"h_l!(D;"</f>
        <v>#VALUE!</v>
      </c>
      <c r="EC165" t="e">
        <f>'Compiled Agents'!A1395+"h_l!(D&lt;"</f>
        <v>#VALUE!</v>
      </c>
      <c r="ED165" t="e">
        <f>'Compiled Agents'!B1395+"h_l!(D="</f>
        <v>#VALUE!</v>
      </c>
      <c r="EE165" t="e">
        <f>'Compiled Agents'!C1395+"h_l!(D&gt;"</f>
        <v>#VALUE!</v>
      </c>
      <c r="EF165" t="e">
        <f>'Compiled Agents'!E1395+"h_l!(D?"</f>
        <v>#VALUE!</v>
      </c>
      <c r="EG165" t="e">
        <f>'Compiled Agents'!F1395+"h_l!(D@"</f>
        <v>#VALUE!</v>
      </c>
      <c r="EH165" t="e">
        <f>'Compiled Agents'!G1395+"h_l!(DA"</f>
        <v>#VALUE!</v>
      </c>
      <c r="EI165" t="e">
        <f>'Compiled Agents'!H1395+"h_l!(DB"</f>
        <v>#VALUE!</v>
      </c>
      <c r="EJ165" t="e">
        <f>'Compiled Agents'!A1396+"h_l!(DC"</f>
        <v>#VALUE!</v>
      </c>
      <c r="EK165" t="e">
        <f>'Compiled Agents'!B1396+"h_l!(DD"</f>
        <v>#VALUE!</v>
      </c>
      <c r="EL165" t="e">
        <f>'Compiled Agents'!C1396+"h_l!(DE"</f>
        <v>#VALUE!</v>
      </c>
      <c r="EM165" t="e">
        <f>'Compiled Agents'!E1396+"h_l!(DF"</f>
        <v>#VALUE!</v>
      </c>
      <c r="EN165" t="e">
        <f>'Compiled Agents'!F1396+"h_l!(DG"</f>
        <v>#VALUE!</v>
      </c>
      <c r="EO165" t="e">
        <f>'Compiled Agents'!G1396+"h_l!(DH"</f>
        <v>#VALUE!</v>
      </c>
      <c r="EP165" t="e">
        <f>'Compiled Agents'!H1396+"h_l!(DI"</f>
        <v>#VALUE!</v>
      </c>
      <c r="EQ165" t="e">
        <f>'Compiled Agents'!A1397+"h_l!(DJ"</f>
        <v>#VALUE!</v>
      </c>
      <c r="ER165" t="e">
        <f>'Compiled Agents'!B1397+"h_l!(DK"</f>
        <v>#VALUE!</v>
      </c>
      <c r="ES165" t="e">
        <f>'Compiled Agents'!C1397+"h_l!(DL"</f>
        <v>#VALUE!</v>
      </c>
      <c r="ET165" t="e">
        <f>'Compiled Agents'!E1397+"h_l!(DM"</f>
        <v>#VALUE!</v>
      </c>
      <c r="EU165" t="e">
        <f>'Compiled Agents'!F1397+"h_l!(DN"</f>
        <v>#VALUE!</v>
      </c>
      <c r="EV165" t="e">
        <f>'Compiled Agents'!G1397+"h_l!(DO"</f>
        <v>#VALUE!</v>
      </c>
      <c r="EW165" t="e">
        <f>'Compiled Agents'!H1397+"h_l!(DP"</f>
        <v>#VALUE!</v>
      </c>
      <c r="EX165" t="e">
        <f>'Compiled Agents'!A1398+"h_l!(DQ"</f>
        <v>#VALUE!</v>
      </c>
      <c r="EY165" t="e">
        <f>'Compiled Agents'!B1398+"h_l!(DR"</f>
        <v>#VALUE!</v>
      </c>
      <c r="EZ165" t="e">
        <f>'Compiled Agents'!C1398+"h_l!(DS"</f>
        <v>#VALUE!</v>
      </c>
      <c r="FA165" t="e">
        <f>'Compiled Agents'!E1398+"h_l!(DT"</f>
        <v>#VALUE!</v>
      </c>
      <c r="FB165" t="e">
        <f>'Compiled Agents'!F1398+"h_l!(DU"</f>
        <v>#VALUE!</v>
      </c>
      <c r="FC165" t="e">
        <f>'Compiled Agents'!G1398+"h_l!(DV"</f>
        <v>#VALUE!</v>
      </c>
      <c r="FD165" t="e">
        <f>'Compiled Agents'!H1398+"h_l!(DW"</f>
        <v>#VALUE!</v>
      </c>
      <c r="FE165" t="e">
        <f>'Compiled Agents'!A1399+"h_l!(DX"</f>
        <v>#VALUE!</v>
      </c>
      <c r="FF165" t="e">
        <f>'Compiled Agents'!B1399+"h_l!(DY"</f>
        <v>#VALUE!</v>
      </c>
      <c r="FG165" t="e">
        <f>'Compiled Agents'!C1399+"h_l!(DZ"</f>
        <v>#VALUE!</v>
      </c>
      <c r="FH165" t="e">
        <f>'Compiled Agents'!E1399+"h_l!(D["</f>
        <v>#VALUE!</v>
      </c>
      <c r="FI165" t="e">
        <f>'Compiled Agents'!F1399+"h_l!(D\"</f>
        <v>#VALUE!</v>
      </c>
      <c r="FJ165" t="e">
        <f>'Compiled Agents'!G1399+"h_l!(D]"</f>
        <v>#VALUE!</v>
      </c>
      <c r="FK165" t="e">
        <f>'Compiled Agents'!H1399+"h_l!(D^"</f>
        <v>#VALUE!</v>
      </c>
      <c r="FL165" t="e">
        <f>'Compiled Agents'!A1400+"h_l!(D_"</f>
        <v>#VALUE!</v>
      </c>
      <c r="FM165" t="e">
        <f>'Compiled Agents'!B1400+"h_l!(D`"</f>
        <v>#VALUE!</v>
      </c>
      <c r="FN165" t="e">
        <f>'Compiled Agents'!C1400+"h_l!(Da"</f>
        <v>#VALUE!</v>
      </c>
      <c r="FO165" t="e">
        <f>'Compiled Agents'!E1400+"h_l!(Db"</f>
        <v>#VALUE!</v>
      </c>
      <c r="FP165" t="e">
        <f>'Compiled Agents'!F1400+"h_l!(Dc"</f>
        <v>#VALUE!</v>
      </c>
      <c r="FQ165" t="e">
        <f>'Compiled Agents'!G1400+"h_l!(Dd"</f>
        <v>#VALUE!</v>
      </c>
      <c r="FR165" t="e">
        <f>'Compiled Agents'!H1400+"h_l!(De"</f>
        <v>#VALUE!</v>
      </c>
      <c r="FS165" t="e">
        <f>'Compiled Agents'!A1401+"h_l!(Df"</f>
        <v>#VALUE!</v>
      </c>
      <c r="FT165" t="e">
        <f>'Compiled Agents'!B1401+"h_l!(Dg"</f>
        <v>#VALUE!</v>
      </c>
      <c r="FU165" t="e">
        <f>'Compiled Agents'!C1401+"h_l!(Dh"</f>
        <v>#VALUE!</v>
      </c>
      <c r="FV165" t="e">
        <f>'Compiled Agents'!E1401+"h_l!(Di"</f>
        <v>#VALUE!</v>
      </c>
      <c r="FW165" t="e">
        <f>'Compiled Agents'!F1401+"h_l!(Dj"</f>
        <v>#VALUE!</v>
      </c>
      <c r="FX165" t="e">
        <f>'Compiled Agents'!G1401+"h_l!(Dk"</f>
        <v>#VALUE!</v>
      </c>
      <c r="FY165" t="e">
        <f>'Compiled Agents'!H1401+"h_l!(Dl"</f>
        <v>#VALUE!</v>
      </c>
      <c r="FZ165" t="e">
        <f>'Compiled Agents'!A1402+"h_l!(Dm"</f>
        <v>#VALUE!</v>
      </c>
      <c r="GA165" t="e">
        <f>'Compiled Agents'!B1402+"h_l!(Dn"</f>
        <v>#VALUE!</v>
      </c>
      <c r="GB165" t="e">
        <f>'Compiled Agents'!C1402+"h_l!(Do"</f>
        <v>#VALUE!</v>
      </c>
      <c r="GC165" t="e">
        <f>'Compiled Agents'!E1402+"h_l!(Dp"</f>
        <v>#VALUE!</v>
      </c>
      <c r="GD165" t="e">
        <f>'Compiled Agents'!F1402+"h_l!(Dq"</f>
        <v>#VALUE!</v>
      </c>
      <c r="GE165" t="e">
        <f>'Compiled Agents'!G1402+"h_l!(Dr"</f>
        <v>#VALUE!</v>
      </c>
      <c r="GF165" t="e">
        <f>'Compiled Agents'!H1402+"h_l!(Ds"</f>
        <v>#VALUE!</v>
      </c>
      <c r="GG165" t="e">
        <f>'Compiled Agents'!A1403+"h_l!(Dt"</f>
        <v>#VALUE!</v>
      </c>
      <c r="GH165" t="e">
        <f>'Compiled Agents'!B1403+"h_l!(Du"</f>
        <v>#VALUE!</v>
      </c>
      <c r="GI165" t="e">
        <f>'Compiled Agents'!C1403+"h_l!(Dv"</f>
        <v>#VALUE!</v>
      </c>
      <c r="GJ165" t="e">
        <f>'Compiled Agents'!E1403+"h_l!(Dw"</f>
        <v>#VALUE!</v>
      </c>
      <c r="GK165" t="e">
        <f>'Compiled Agents'!F1403+"h_l!(Dx"</f>
        <v>#VALUE!</v>
      </c>
      <c r="GL165" t="e">
        <f>'Compiled Agents'!G1403+"h_l!(Dy"</f>
        <v>#VALUE!</v>
      </c>
      <c r="GM165" t="e">
        <f>'Compiled Agents'!H1403+"h_l!(Dz"</f>
        <v>#VALUE!</v>
      </c>
      <c r="GN165" t="e">
        <f>'Compiled Agents'!A1404+"h_l!(D{"</f>
        <v>#VALUE!</v>
      </c>
      <c r="GO165" t="e">
        <f>'Compiled Agents'!B1404+"h_l!(D|"</f>
        <v>#VALUE!</v>
      </c>
      <c r="GP165" t="e">
        <f>'Compiled Agents'!C1404+"h_l!(D}"</f>
        <v>#VALUE!</v>
      </c>
      <c r="GQ165" t="e">
        <f>'Compiled Agents'!E1404+"h_l!(D~"</f>
        <v>#VALUE!</v>
      </c>
      <c r="GR165" t="e">
        <f>'Compiled Agents'!F1404+"h_l!(E#"</f>
        <v>#VALUE!</v>
      </c>
      <c r="GS165" t="e">
        <f>'Compiled Agents'!G1404+"h_l!(E$"</f>
        <v>#VALUE!</v>
      </c>
      <c r="GT165" t="e">
        <f>'Compiled Agents'!H1404+"h_l!(E%"</f>
        <v>#VALUE!</v>
      </c>
      <c r="GU165" t="e">
        <f>'Compiled Agents'!A1405+"h_l!(E&amp;"</f>
        <v>#VALUE!</v>
      </c>
      <c r="GV165" t="e">
        <f>'Compiled Agents'!B1405+"h_l!(E'"</f>
        <v>#VALUE!</v>
      </c>
      <c r="GW165" t="e">
        <f>'Compiled Agents'!C1405+"h_l!(E("</f>
        <v>#VALUE!</v>
      </c>
      <c r="GX165" t="e">
        <f>'Compiled Agents'!E1405+"h_l!(E)"</f>
        <v>#VALUE!</v>
      </c>
      <c r="GY165" t="e">
        <f>'Compiled Agents'!F1405+"h_l!(E."</f>
        <v>#VALUE!</v>
      </c>
      <c r="GZ165" t="e">
        <f>'Compiled Agents'!G1405+"h_l!(E/"</f>
        <v>#VALUE!</v>
      </c>
      <c r="HA165" t="e">
        <f>'Compiled Agents'!H1405+"h_l!(E0"</f>
        <v>#VALUE!</v>
      </c>
      <c r="HB165" t="e">
        <f>'Compiled Agents'!A1406+"h_l!(E1"</f>
        <v>#VALUE!</v>
      </c>
      <c r="HC165" t="e">
        <f>'Compiled Agents'!B1406+"h_l!(E2"</f>
        <v>#VALUE!</v>
      </c>
      <c r="HD165" t="e">
        <f>'Compiled Agents'!C1406+"h_l!(E3"</f>
        <v>#VALUE!</v>
      </c>
      <c r="HE165" t="e">
        <f>'Compiled Agents'!E1406+"h_l!(E4"</f>
        <v>#VALUE!</v>
      </c>
      <c r="HF165" t="e">
        <f>'Compiled Agents'!F1406+"h_l!(E5"</f>
        <v>#VALUE!</v>
      </c>
      <c r="HG165" t="e">
        <f>'Compiled Agents'!G1406+"h_l!(E6"</f>
        <v>#VALUE!</v>
      </c>
      <c r="HH165" t="e">
        <f>'Compiled Agents'!H1406+"h_l!(E7"</f>
        <v>#VALUE!</v>
      </c>
      <c r="HI165" t="e">
        <f>'Compiled Agents'!A1407+"h_l!(E8"</f>
        <v>#VALUE!</v>
      </c>
      <c r="HJ165" t="e">
        <f>'Compiled Agents'!B1407+"h_l!(E9"</f>
        <v>#VALUE!</v>
      </c>
      <c r="HK165" t="e">
        <f>'Compiled Agents'!C1407+"h_l!(E:"</f>
        <v>#VALUE!</v>
      </c>
      <c r="HL165" t="e">
        <f>'Compiled Agents'!E1407+"h_l!(E;"</f>
        <v>#VALUE!</v>
      </c>
      <c r="HM165" t="e">
        <f>'Compiled Agents'!F1407+"h_l!(E&lt;"</f>
        <v>#VALUE!</v>
      </c>
      <c r="HN165" t="e">
        <f>'Compiled Agents'!G1407+"h_l!(E="</f>
        <v>#VALUE!</v>
      </c>
      <c r="HO165" t="e">
        <f>'Compiled Agents'!H1407+"h_l!(E&gt;"</f>
        <v>#VALUE!</v>
      </c>
      <c r="HP165" t="e">
        <f>'Compiled Agents'!A1408+"h_l!(E?"</f>
        <v>#VALUE!</v>
      </c>
      <c r="HQ165" t="e">
        <f>'Compiled Agents'!B1408+"h_l!(E@"</f>
        <v>#VALUE!</v>
      </c>
      <c r="HR165" t="e">
        <f>'Compiled Agents'!C1408+"h_l!(EA"</f>
        <v>#VALUE!</v>
      </c>
      <c r="HS165" t="e">
        <f>'Compiled Agents'!E1408+"h_l!(EB"</f>
        <v>#VALUE!</v>
      </c>
      <c r="HT165" t="e">
        <f>'Compiled Agents'!F1408+"h_l!(EC"</f>
        <v>#VALUE!</v>
      </c>
      <c r="HU165" t="e">
        <f>'Compiled Agents'!G1408+"h_l!(ED"</f>
        <v>#VALUE!</v>
      </c>
      <c r="HV165" t="e">
        <f>'Compiled Agents'!H1408+"h_l!(EE"</f>
        <v>#VALUE!</v>
      </c>
      <c r="HW165" t="e">
        <f>'Compiled Agents'!A1409+"h_l!(EF"</f>
        <v>#VALUE!</v>
      </c>
      <c r="HX165" t="e">
        <f>'Compiled Agents'!B1409+"h_l!(EG"</f>
        <v>#VALUE!</v>
      </c>
      <c r="HY165" t="e">
        <f>'Compiled Agents'!C1409+"h_l!(EH"</f>
        <v>#VALUE!</v>
      </c>
      <c r="HZ165" t="e">
        <f>'Compiled Agents'!E1409+"h_l!(EI"</f>
        <v>#VALUE!</v>
      </c>
      <c r="IA165" t="e">
        <f>'Compiled Agents'!F1409+"h_l!(EJ"</f>
        <v>#VALUE!</v>
      </c>
      <c r="IB165" t="e">
        <f>'Compiled Agents'!G1409+"h_l!(EK"</f>
        <v>#VALUE!</v>
      </c>
      <c r="IC165" t="e">
        <f>'Compiled Agents'!H1409+"h_l!(EL"</f>
        <v>#VALUE!</v>
      </c>
      <c r="ID165" t="e">
        <f>'Compiled Agents'!A1410+"h_l!(EM"</f>
        <v>#VALUE!</v>
      </c>
      <c r="IE165" t="e">
        <f>'Compiled Agents'!B1410+"h_l!(EN"</f>
        <v>#VALUE!</v>
      </c>
      <c r="IF165" t="e">
        <f>'Compiled Agents'!C1410+"h_l!(EO"</f>
        <v>#VALUE!</v>
      </c>
      <c r="IG165" t="e">
        <f>'Compiled Agents'!E1410+"h_l!(EP"</f>
        <v>#VALUE!</v>
      </c>
      <c r="IH165" t="e">
        <f>'Compiled Agents'!F1410+"h_l!(EQ"</f>
        <v>#VALUE!</v>
      </c>
      <c r="II165" t="e">
        <f>'Compiled Agents'!G1410+"h_l!(ER"</f>
        <v>#VALUE!</v>
      </c>
      <c r="IJ165" t="e">
        <f>'Compiled Agents'!H1410+"h_l!(ES"</f>
        <v>#VALUE!</v>
      </c>
      <c r="IK165" t="e">
        <f>'Compiled Agents'!A1411+"h_l!(ET"</f>
        <v>#VALUE!</v>
      </c>
      <c r="IL165" t="e">
        <f>'Compiled Agents'!B1411+"h_l!(EU"</f>
        <v>#VALUE!</v>
      </c>
      <c r="IM165" t="e">
        <f>'Compiled Agents'!C1411+"h_l!(EV"</f>
        <v>#VALUE!</v>
      </c>
      <c r="IN165" t="e">
        <f>'Compiled Agents'!E1411+"h_l!(EW"</f>
        <v>#VALUE!</v>
      </c>
      <c r="IO165" t="e">
        <f>'Compiled Agents'!F1411+"h_l!(EX"</f>
        <v>#VALUE!</v>
      </c>
      <c r="IP165" t="e">
        <f>'Compiled Agents'!G1411+"h_l!(EY"</f>
        <v>#VALUE!</v>
      </c>
      <c r="IQ165" t="e">
        <f>'Compiled Agents'!H1411+"h_l!(EZ"</f>
        <v>#VALUE!</v>
      </c>
      <c r="IR165" t="e">
        <f>'Compiled Agents'!A1412+"h_l!(E["</f>
        <v>#VALUE!</v>
      </c>
      <c r="IS165" t="e">
        <f>'Compiled Agents'!B1412+"h_l!(E\"</f>
        <v>#VALUE!</v>
      </c>
      <c r="IT165" t="e">
        <f>'Compiled Agents'!C1412+"h_l!(E]"</f>
        <v>#VALUE!</v>
      </c>
      <c r="IU165" t="e">
        <f>'Compiled Agents'!E1412+"h_l!(E^"</f>
        <v>#VALUE!</v>
      </c>
      <c r="IV165" t="e">
        <f>'Compiled Agents'!F1412+"h_l!(E_"</f>
        <v>#VALUE!</v>
      </c>
    </row>
    <row r="166" spans="6:256" x14ac:dyDescent="0.25">
      <c r="F166" t="e">
        <f>'Compiled Agents'!G1412+"h_l!(E`"</f>
        <v>#VALUE!</v>
      </c>
      <c r="G166" t="e">
        <f>'Compiled Agents'!H1412+"h_l!(Ea"</f>
        <v>#VALUE!</v>
      </c>
      <c r="H166" t="e">
        <f>'Compiled Agents'!A1413+"h_l!(Eb"</f>
        <v>#VALUE!</v>
      </c>
      <c r="I166" t="e">
        <f>'Compiled Agents'!B1413+"h_l!(Ec"</f>
        <v>#VALUE!</v>
      </c>
      <c r="J166" t="e">
        <f>'Compiled Agents'!C1413+"h_l!(Ed"</f>
        <v>#VALUE!</v>
      </c>
      <c r="K166" t="e">
        <f>'Compiled Agents'!E1413+"h_l!(Ee"</f>
        <v>#VALUE!</v>
      </c>
      <c r="L166" t="e">
        <f>'Compiled Agents'!F1413+"h_l!(Ef"</f>
        <v>#VALUE!</v>
      </c>
      <c r="M166" t="e">
        <f>'Compiled Agents'!G1413+"h_l!(Eg"</f>
        <v>#VALUE!</v>
      </c>
      <c r="N166" t="e">
        <f>'Compiled Agents'!H1413+"h_l!(Eh"</f>
        <v>#VALUE!</v>
      </c>
      <c r="O166" t="e">
        <f>'Compiled Agents'!A1414+"h_l!(Ei"</f>
        <v>#VALUE!</v>
      </c>
      <c r="P166" t="e">
        <f>'Compiled Agents'!B1414+"h_l!(Ej"</f>
        <v>#VALUE!</v>
      </c>
      <c r="Q166" t="e">
        <f>'Compiled Agents'!C1414+"h_l!(Ek"</f>
        <v>#VALUE!</v>
      </c>
      <c r="R166" t="e">
        <f>'Compiled Agents'!E1414+"h_l!(El"</f>
        <v>#VALUE!</v>
      </c>
      <c r="S166" t="e">
        <f>'Compiled Agents'!F1414+"h_l!(Em"</f>
        <v>#VALUE!</v>
      </c>
      <c r="T166" t="e">
        <f>'Compiled Agents'!G1414+"h_l!(En"</f>
        <v>#VALUE!</v>
      </c>
      <c r="U166" t="e">
        <f>'Compiled Agents'!H1414+"h_l!(Eo"</f>
        <v>#VALUE!</v>
      </c>
      <c r="V166" t="e">
        <f>'Compiled Agents'!A1415+"h_l!(Ep"</f>
        <v>#VALUE!</v>
      </c>
      <c r="W166" t="e">
        <f>'Compiled Agents'!B1415+"h_l!(Eq"</f>
        <v>#VALUE!</v>
      </c>
      <c r="X166" t="e">
        <f>'Compiled Agents'!C1415+"h_l!(Er"</f>
        <v>#VALUE!</v>
      </c>
      <c r="Y166" t="e">
        <f>'Compiled Agents'!E1415+"h_l!(Es"</f>
        <v>#VALUE!</v>
      </c>
      <c r="Z166" t="e">
        <f>'Compiled Agents'!F1415+"h_l!(Et"</f>
        <v>#VALUE!</v>
      </c>
      <c r="AA166" t="e">
        <f>'Compiled Agents'!G1415+"h_l!(Eu"</f>
        <v>#VALUE!</v>
      </c>
      <c r="AB166" t="e">
        <f>'Compiled Agents'!H1415+"h_l!(Ev"</f>
        <v>#VALUE!</v>
      </c>
      <c r="AC166" t="e">
        <f>'Compiled Agents'!A1416+"h_l!(Ew"</f>
        <v>#VALUE!</v>
      </c>
      <c r="AD166" t="e">
        <f>'Compiled Agents'!B1416+"h_l!(Ex"</f>
        <v>#VALUE!</v>
      </c>
      <c r="AE166" t="e">
        <f>'Compiled Agents'!C1416+"h_l!(Ey"</f>
        <v>#VALUE!</v>
      </c>
      <c r="AF166" t="e">
        <f>'Compiled Agents'!E1416+"h_l!(Ez"</f>
        <v>#VALUE!</v>
      </c>
      <c r="AG166" t="e">
        <f>'Compiled Agents'!F1416+"h_l!(E{"</f>
        <v>#VALUE!</v>
      </c>
      <c r="AH166" t="e">
        <f>'Compiled Agents'!G1416+"h_l!(E|"</f>
        <v>#VALUE!</v>
      </c>
      <c r="AI166" t="e">
        <f>'Compiled Agents'!H1416+"h_l!(E}"</f>
        <v>#VALUE!</v>
      </c>
      <c r="AJ166" t="e">
        <f>'Compiled Agents'!A1417+"h_l!(E~"</f>
        <v>#VALUE!</v>
      </c>
      <c r="AK166" t="e">
        <f>'Compiled Agents'!B1417+"h_l!(F#"</f>
        <v>#VALUE!</v>
      </c>
      <c r="AL166" t="e">
        <f>'Compiled Agents'!C1417+"h_l!(F$"</f>
        <v>#VALUE!</v>
      </c>
      <c r="AM166" t="e">
        <f>'Compiled Agents'!E1417+"h_l!(F%"</f>
        <v>#VALUE!</v>
      </c>
      <c r="AN166" t="e">
        <f>'Compiled Agents'!F1417+"h_l!(F&amp;"</f>
        <v>#VALUE!</v>
      </c>
      <c r="AO166" t="e">
        <f>'Compiled Agents'!G1417+"h_l!(F'"</f>
        <v>#VALUE!</v>
      </c>
      <c r="AP166" t="e">
        <f>'Compiled Agents'!H1417+"h_l!(F("</f>
        <v>#VALUE!</v>
      </c>
      <c r="AQ166" t="e">
        <f>'Compiled Agents'!A1418+"h_l!(F)"</f>
        <v>#VALUE!</v>
      </c>
      <c r="AR166" t="e">
        <f>'Compiled Agents'!B1418+"h_l!(F."</f>
        <v>#VALUE!</v>
      </c>
      <c r="AS166" t="e">
        <f>'Compiled Agents'!C1418+"h_l!(F/"</f>
        <v>#VALUE!</v>
      </c>
      <c r="AT166" t="e">
        <f>'Compiled Agents'!E1418+"h_l!(F0"</f>
        <v>#VALUE!</v>
      </c>
      <c r="AU166" t="e">
        <f>'Compiled Agents'!F1418+"h_l!(F1"</f>
        <v>#VALUE!</v>
      </c>
      <c r="AV166" t="e">
        <f>'Compiled Agents'!G1418+"h_l!(F2"</f>
        <v>#VALUE!</v>
      </c>
      <c r="AW166" t="e">
        <f>'Compiled Agents'!H1418+"h_l!(F3"</f>
        <v>#VALUE!</v>
      </c>
      <c r="AX166" t="e">
        <f>'Compiled Agents'!A1419+"h_l!(F4"</f>
        <v>#VALUE!</v>
      </c>
      <c r="AY166" t="e">
        <f>'Compiled Agents'!B1419+"h_l!(F5"</f>
        <v>#VALUE!</v>
      </c>
      <c r="AZ166" t="e">
        <f>'Compiled Agents'!C1419+"h_l!(F6"</f>
        <v>#VALUE!</v>
      </c>
      <c r="BA166" t="e">
        <f>'Compiled Agents'!E1419+"h_l!(F7"</f>
        <v>#VALUE!</v>
      </c>
      <c r="BB166" t="e">
        <f>'Compiled Agents'!F1419+"h_l!(F8"</f>
        <v>#VALUE!</v>
      </c>
      <c r="BC166" t="e">
        <f>'Compiled Agents'!G1419+"h_l!(F9"</f>
        <v>#VALUE!</v>
      </c>
      <c r="BD166" t="e">
        <f>'Compiled Agents'!H1419+"h_l!(F:"</f>
        <v>#VALUE!</v>
      </c>
      <c r="BE166" t="e">
        <f>'Compiled Agents'!A1420+"h_l!(F;"</f>
        <v>#VALUE!</v>
      </c>
      <c r="BF166" t="e">
        <f>'Compiled Agents'!B1420+"h_l!(F&lt;"</f>
        <v>#VALUE!</v>
      </c>
      <c r="BG166" t="e">
        <f>'Compiled Agents'!C1420+"h_l!(F="</f>
        <v>#VALUE!</v>
      </c>
      <c r="BH166" t="e">
        <f>'Compiled Agents'!E1420+"h_l!(F&gt;"</f>
        <v>#VALUE!</v>
      </c>
      <c r="BI166" t="e">
        <f>'Compiled Agents'!F1420+"h_l!(F?"</f>
        <v>#VALUE!</v>
      </c>
      <c r="BJ166" t="e">
        <f>'Compiled Agents'!G1420+"h_l!(F@"</f>
        <v>#VALUE!</v>
      </c>
      <c r="BK166" t="e">
        <f>'Compiled Agents'!H1420+"h_l!(FA"</f>
        <v>#VALUE!</v>
      </c>
      <c r="BL166" t="e">
        <f>'Compiled Agents'!A1421+"h_l!(FB"</f>
        <v>#VALUE!</v>
      </c>
      <c r="BM166" t="e">
        <f>'Compiled Agents'!B1421+"h_l!(FC"</f>
        <v>#VALUE!</v>
      </c>
      <c r="BN166" t="e">
        <f>'Compiled Agents'!C1421+"h_l!(FD"</f>
        <v>#VALUE!</v>
      </c>
      <c r="BO166" t="e">
        <f>'Compiled Agents'!E1421+"h_l!(FE"</f>
        <v>#VALUE!</v>
      </c>
      <c r="BP166" t="e">
        <f>'Compiled Agents'!F1421+"h_l!(FF"</f>
        <v>#VALUE!</v>
      </c>
      <c r="BQ166" t="e">
        <f>'Compiled Agents'!G1421+"h_l!(FG"</f>
        <v>#VALUE!</v>
      </c>
      <c r="BR166" t="e">
        <f>'Compiled Agents'!H1421+"h_l!(FH"</f>
        <v>#VALUE!</v>
      </c>
      <c r="BS166" t="e">
        <f>'Compiled Agents'!A1422+"h_l!(FI"</f>
        <v>#VALUE!</v>
      </c>
      <c r="BT166" t="e">
        <f>'Compiled Agents'!B1422+"h_l!(FJ"</f>
        <v>#VALUE!</v>
      </c>
      <c r="BU166" t="e">
        <f>'Compiled Agents'!C1422+"h_l!(FK"</f>
        <v>#VALUE!</v>
      </c>
      <c r="BV166" t="e">
        <f>'Compiled Agents'!E1422+"h_l!(FL"</f>
        <v>#VALUE!</v>
      </c>
      <c r="BW166" t="e">
        <f>'Compiled Agents'!F1422+"h_l!(FM"</f>
        <v>#VALUE!</v>
      </c>
      <c r="BX166" t="e">
        <f>'Compiled Agents'!G1422+"h_l!(FN"</f>
        <v>#VALUE!</v>
      </c>
      <c r="BY166" t="e">
        <f>'Compiled Agents'!H1422+"h_l!(FO"</f>
        <v>#VALUE!</v>
      </c>
      <c r="BZ166" t="e">
        <f>'Compiled Agents'!A1423+"h_l!(FP"</f>
        <v>#VALUE!</v>
      </c>
      <c r="CA166" t="e">
        <f>'Compiled Agents'!B1423+"h_l!(FQ"</f>
        <v>#VALUE!</v>
      </c>
      <c r="CB166" t="e">
        <f>'Compiled Agents'!C1423+"h_l!(FR"</f>
        <v>#VALUE!</v>
      </c>
      <c r="CC166" t="e">
        <f>'Compiled Agents'!E1423+"h_l!(FS"</f>
        <v>#VALUE!</v>
      </c>
      <c r="CD166" t="e">
        <f>'Compiled Agents'!F1423+"h_l!(FT"</f>
        <v>#VALUE!</v>
      </c>
      <c r="CE166" t="e">
        <f>'Compiled Agents'!G1423+"h_l!(FU"</f>
        <v>#VALUE!</v>
      </c>
      <c r="CF166" t="e">
        <f>'Compiled Agents'!H1423+"h_l!(FV"</f>
        <v>#VALUE!</v>
      </c>
      <c r="CG166" t="e">
        <f>'Compiled Agents'!A1424+"h_l!(FW"</f>
        <v>#VALUE!</v>
      </c>
      <c r="CH166" t="e">
        <f>'Compiled Agents'!B1424+"h_l!(FX"</f>
        <v>#VALUE!</v>
      </c>
      <c r="CI166" t="e">
        <f>'Compiled Agents'!C1424+"h_l!(FY"</f>
        <v>#VALUE!</v>
      </c>
      <c r="CJ166" t="e">
        <f>'Compiled Agents'!E1424+"h_l!(FZ"</f>
        <v>#VALUE!</v>
      </c>
      <c r="CK166" t="e">
        <f>'Compiled Agents'!F1424+"h_l!(F["</f>
        <v>#VALUE!</v>
      </c>
      <c r="CL166" t="e">
        <f>'Compiled Agents'!G1424+"h_l!(F\"</f>
        <v>#VALUE!</v>
      </c>
      <c r="CM166" t="e">
        <f>'Compiled Agents'!H1424+"h_l!(F]"</f>
        <v>#VALUE!</v>
      </c>
      <c r="CN166" t="e">
        <f>'Compiled Agents'!A1425+"h_l!(F^"</f>
        <v>#VALUE!</v>
      </c>
      <c r="CO166" t="e">
        <f>'Compiled Agents'!B1425+"h_l!(F_"</f>
        <v>#VALUE!</v>
      </c>
      <c r="CP166" t="e">
        <f>'Compiled Agents'!C1425+"h_l!(F`"</f>
        <v>#VALUE!</v>
      </c>
      <c r="CQ166" t="e">
        <f>'Compiled Agents'!E1425+"h_l!(Fa"</f>
        <v>#VALUE!</v>
      </c>
      <c r="CR166" t="e">
        <f>'Compiled Agents'!F1425+"h_l!(Fb"</f>
        <v>#VALUE!</v>
      </c>
      <c r="CS166" t="e">
        <f>'Compiled Agents'!G1425+"h_l!(Fc"</f>
        <v>#VALUE!</v>
      </c>
      <c r="CT166" t="e">
        <f>'Compiled Agents'!H1425+"h_l!(Fd"</f>
        <v>#VALUE!</v>
      </c>
      <c r="CU166" t="e">
        <f>'Compiled Agents'!A1426+"h_l!(Fe"</f>
        <v>#VALUE!</v>
      </c>
      <c r="CV166" t="e">
        <f>'Compiled Agents'!B1426+"h_l!(Ff"</f>
        <v>#VALUE!</v>
      </c>
      <c r="CW166" t="e">
        <f>'Compiled Agents'!C1426+"h_l!(Fg"</f>
        <v>#VALUE!</v>
      </c>
      <c r="CX166" t="e">
        <f>'Compiled Agents'!E1426+"h_l!(Fh"</f>
        <v>#VALUE!</v>
      </c>
      <c r="CY166" t="e">
        <f>'Compiled Agents'!F1426+"h_l!(Fi"</f>
        <v>#VALUE!</v>
      </c>
      <c r="CZ166" t="e">
        <f>'Compiled Agents'!G1426+"h_l!(Fj"</f>
        <v>#VALUE!</v>
      </c>
      <c r="DA166" t="e">
        <f>'Compiled Agents'!H1426+"h_l!(Fk"</f>
        <v>#VALUE!</v>
      </c>
      <c r="DB166" t="e">
        <f>'Compiled Agents'!A1427+"h_l!(Fl"</f>
        <v>#VALUE!</v>
      </c>
      <c r="DC166" t="e">
        <f>'Compiled Agents'!B1427+"h_l!(Fm"</f>
        <v>#VALUE!</v>
      </c>
      <c r="DD166" t="e">
        <f>'Compiled Agents'!C1427+"h_l!(Fn"</f>
        <v>#VALUE!</v>
      </c>
      <c r="DE166" t="e">
        <f>'Compiled Agents'!E1427+"h_l!(Fo"</f>
        <v>#VALUE!</v>
      </c>
      <c r="DF166" t="e">
        <f>'Compiled Agents'!F1427+"h_l!(Fp"</f>
        <v>#VALUE!</v>
      </c>
      <c r="DG166" t="e">
        <f>'Compiled Agents'!G1427+"h_l!(Fq"</f>
        <v>#VALUE!</v>
      </c>
      <c r="DH166" t="e">
        <f>'Compiled Agents'!H1427+"h_l!(Fr"</f>
        <v>#VALUE!</v>
      </c>
      <c r="DI166" t="e">
        <f>'Compiled Agents'!A1428+"h_l!(Fs"</f>
        <v>#VALUE!</v>
      </c>
      <c r="DJ166" t="e">
        <f>'Compiled Agents'!B1428+"h_l!(Ft"</f>
        <v>#VALUE!</v>
      </c>
      <c r="DK166" t="e">
        <f>'Compiled Agents'!C1428+"h_l!(Fu"</f>
        <v>#VALUE!</v>
      </c>
      <c r="DL166" t="e">
        <f>'Compiled Agents'!E1428+"h_l!(Fv"</f>
        <v>#VALUE!</v>
      </c>
      <c r="DM166" t="e">
        <f>'Compiled Agents'!F1428+"h_l!(Fw"</f>
        <v>#VALUE!</v>
      </c>
      <c r="DN166" t="e">
        <f>'Compiled Agents'!G1428+"h_l!(Fx"</f>
        <v>#VALUE!</v>
      </c>
      <c r="DO166" t="e">
        <f>'Compiled Agents'!H1428+"h_l!(Fy"</f>
        <v>#VALUE!</v>
      </c>
      <c r="DP166" t="e">
        <f>'Compiled Agents'!A1429+"h_l!(Fz"</f>
        <v>#VALUE!</v>
      </c>
      <c r="DQ166" t="e">
        <f>'Compiled Agents'!B1429+"h_l!(F{"</f>
        <v>#VALUE!</v>
      </c>
      <c r="DR166" t="e">
        <f>'Compiled Agents'!C1429+"h_l!(F|"</f>
        <v>#VALUE!</v>
      </c>
      <c r="DS166" t="e">
        <f>'Compiled Agents'!E1429+"h_l!(F}"</f>
        <v>#VALUE!</v>
      </c>
      <c r="DT166" t="e">
        <f>'Compiled Agents'!F1429+"h_l!(F~"</f>
        <v>#VALUE!</v>
      </c>
      <c r="DU166" t="e">
        <f>'Compiled Agents'!G1429+"h_l!(G#"</f>
        <v>#VALUE!</v>
      </c>
      <c r="DV166" t="e">
        <f>'Compiled Agents'!H1429+"h_l!(G$"</f>
        <v>#VALUE!</v>
      </c>
      <c r="DW166" t="e">
        <f>'Compiled Agents'!A1430+"h_l!(G%"</f>
        <v>#VALUE!</v>
      </c>
      <c r="DX166" t="e">
        <f>'Compiled Agents'!B1430+"h_l!(G&amp;"</f>
        <v>#VALUE!</v>
      </c>
      <c r="DY166" t="e">
        <f>'Compiled Agents'!C1430+"h_l!(G'"</f>
        <v>#VALUE!</v>
      </c>
      <c r="DZ166" t="e">
        <f>'Compiled Agents'!E1430+"h_l!(G("</f>
        <v>#VALUE!</v>
      </c>
      <c r="EA166" t="e">
        <f>'Compiled Agents'!F1430+"h_l!(G)"</f>
        <v>#VALUE!</v>
      </c>
      <c r="EB166" t="e">
        <f>'Compiled Agents'!G1430+"h_l!(G."</f>
        <v>#VALUE!</v>
      </c>
      <c r="EC166" t="e">
        <f>'Compiled Agents'!H1430+"h_l!(G/"</f>
        <v>#VALUE!</v>
      </c>
      <c r="ED166" t="e">
        <f>'Compiled Agents'!A1431+"h_l!(G0"</f>
        <v>#VALUE!</v>
      </c>
      <c r="EE166" t="e">
        <f>'Compiled Agents'!B1431+"h_l!(G1"</f>
        <v>#VALUE!</v>
      </c>
      <c r="EF166" t="e">
        <f>'Compiled Agents'!C1431+"h_l!(G2"</f>
        <v>#VALUE!</v>
      </c>
      <c r="EG166" t="e">
        <f>'Compiled Agents'!E1431+"h_l!(G3"</f>
        <v>#VALUE!</v>
      </c>
      <c r="EH166" t="e">
        <f>'Compiled Agents'!F1431+"h_l!(G4"</f>
        <v>#VALUE!</v>
      </c>
      <c r="EI166" t="e">
        <f>'Compiled Agents'!G1431+"h_l!(G5"</f>
        <v>#VALUE!</v>
      </c>
      <c r="EJ166" t="e">
        <f>'Compiled Agents'!H1431+"h_l!(G6"</f>
        <v>#VALUE!</v>
      </c>
      <c r="EK166" t="e">
        <f>'Compiled Agents'!A1432+"h_l!(G7"</f>
        <v>#VALUE!</v>
      </c>
      <c r="EL166" t="e">
        <f>'Compiled Agents'!B1432+"h_l!(G8"</f>
        <v>#VALUE!</v>
      </c>
      <c r="EM166" t="e">
        <f>'Compiled Agents'!C1432+"h_l!(G9"</f>
        <v>#VALUE!</v>
      </c>
      <c r="EN166" t="e">
        <f>'Compiled Agents'!E1432+"h_l!(G:"</f>
        <v>#VALUE!</v>
      </c>
      <c r="EO166" t="e">
        <f>'Compiled Agents'!F1432+"h_l!(G;"</f>
        <v>#VALUE!</v>
      </c>
      <c r="EP166" t="e">
        <f>'Compiled Agents'!G1432+"h_l!(G&lt;"</f>
        <v>#VALUE!</v>
      </c>
      <c r="EQ166" t="e">
        <f>'Compiled Agents'!H1432+"h_l!(G="</f>
        <v>#VALUE!</v>
      </c>
      <c r="ER166" t="e">
        <f>'Compiled Agents'!A1433+"h_l!(G&gt;"</f>
        <v>#VALUE!</v>
      </c>
      <c r="ES166" t="e">
        <f>'Compiled Agents'!B1433+"h_l!(G?"</f>
        <v>#VALUE!</v>
      </c>
      <c r="ET166" t="e">
        <f>'Compiled Agents'!C1433+"h_l!(G@"</f>
        <v>#VALUE!</v>
      </c>
      <c r="EU166" t="e">
        <f>'Compiled Agents'!E1433+"h_l!(GA"</f>
        <v>#VALUE!</v>
      </c>
      <c r="EV166" t="e">
        <f>'Compiled Agents'!F1433+"h_l!(GB"</f>
        <v>#VALUE!</v>
      </c>
      <c r="EW166" t="e">
        <f>'Compiled Agents'!G1433+"h_l!(GC"</f>
        <v>#VALUE!</v>
      </c>
      <c r="EX166" t="e">
        <f>'Compiled Agents'!H1433+"h_l!(GD"</f>
        <v>#VALUE!</v>
      </c>
      <c r="EY166" t="e">
        <f>'Compiled Agents'!A1434+"h_l!(GE"</f>
        <v>#VALUE!</v>
      </c>
      <c r="EZ166" t="e">
        <f>'Compiled Agents'!B1434+"h_l!(GF"</f>
        <v>#VALUE!</v>
      </c>
      <c r="FA166" t="e">
        <f>'Compiled Agents'!C1434+"h_l!(GG"</f>
        <v>#VALUE!</v>
      </c>
      <c r="FB166" t="e">
        <f>'Compiled Agents'!E1434+"h_l!(GH"</f>
        <v>#VALUE!</v>
      </c>
      <c r="FC166" t="e">
        <f>'Compiled Agents'!F1434+"h_l!(GI"</f>
        <v>#VALUE!</v>
      </c>
      <c r="FD166" t="e">
        <f>'Compiled Agents'!G1434+"h_l!(GJ"</f>
        <v>#VALUE!</v>
      </c>
      <c r="FE166" t="e">
        <f>'Compiled Agents'!H1434+"h_l!(GK"</f>
        <v>#VALUE!</v>
      </c>
      <c r="FF166" t="e">
        <f>'Compiled Agents'!A1435+"h_l!(GL"</f>
        <v>#VALUE!</v>
      </c>
      <c r="FG166" t="e">
        <f>'Compiled Agents'!B1435+"h_l!(GM"</f>
        <v>#VALUE!</v>
      </c>
      <c r="FH166" t="e">
        <f>'Compiled Agents'!C1435+"h_l!(GN"</f>
        <v>#VALUE!</v>
      </c>
      <c r="FI166" t="e">
        <f>'Compiled Agents'!E1435+"h_l!(GO"</f>
        <v>#VALUE!</v>
      </c>
      <c r="FJ166" t="e">
        <f>'Compiled Agents'!F1435+"h_l!(GP"</f>
        <v>#VALUE!</v>
      </c>
      <c r="FK166" t="e">
        <f>'Compiled Agents'!G1435+"h_l!(GQ"</f>
        <v>#VALUE!</v>
      </c>
      <c r="FL166" t="e">
        <f>'Compiled Agents'!H1435+"h_l!(GR"</f>
        <v>#VALUE!</v>
      </c>
      <c r="FM166" t="e">
        <f>'Compiled Agents'!A1436+"h_l!(GS"</f>
        <v>#VALUE!</v>
      </c>
      <c r="FN166" t="e">
        <f>'Compiled Agents'!B1436+"h_l!(GT"</f>
        <v>#VALUE!</v>
      </c>
      <c r="FO166" t="e">
        <f>'Compiled Agents'!C1436+"h_l!(GU"</f>
        <v>#VALUE!</v>
      </c>
      <c r="FP166" t="e">
        <f>'Compiled Agents'!E1436+"h_l!(GV"</f>
        <v>#VALUE!</v>
      </c>
      <c r="FQ166" t="e">
        <f>'Compiled Agents'!F1436+"h_l!(GW"</f>
        <v>#VALUE!</v>
      </c>
      <c r="FR166" t="e">
        <f>'Compiled Agents'!G1436+"h_l!(GX"</f>
        <v>#VALUE!</v>
      </c>
      <c r="FS166" t="e">
        <f>'Compiled Agents'!H1436+"h_l!(GY"</f>
        <v>#VALUE!</v>
      </c>
      <c r="FT166" t="e">
        <f>'Compiled Agents'!A1437+"h_l!(GZ"</f>
        <v>#VALUE!</v>
      </c>
      <c r="FU166" t="e">
        <f>'Compiled Agents'!B1437+"h_l!(G["</f>
        <v>#VALUE!</v>
      </c>
      <c r="FV166" t="e">
        <f>'Compiled Agents'!C1437+"h_l!(G\"</f>
        <v>#VALUE!</v>
      </c>
      <c r="FW166" t="e">
        <f>'Compiled Agents'!E1437+"h_l!(G]"</f>
        <v>#VALUE!</v>
      </c>
      <c r="FX166" t="e">
        <f>'Compiled Agents'!F1437+"h_l!(G^"</f>
        <v>#VALUE!</v>
      </c>
      <c r="FY166" t="e">
        <f>'Compiled Agents'!G1437+"h_l!(G_"</f>
        <v>#VALUE!</v>
      </c>
      <c r="FZ166" t="e">
        <f>'Compiled Agents'!H1437+"h_l!(G`"</f>
        <v>#VALUE!</v>
      </c>
      <c r="GA166" t="e">
        <f>'Compiled Agents'!A1438+"h_l!(Ga"</f>
        <v>#VALUE!</v>
      </c>
      <c r="GB166" t="e">
        <f>'Compiled Agents'!B1438+"h_l!(Gb"</f>
        <v>#VALUE!</v>
      </c>
      <c r="GC166" t="e">
        <f>'Compiled Agents'!C1438+"h_l!(Gc"</f>
        <v>#VALUE!</v>
      </c>
      <c r="GD166" t="e">
        <f>'Compiled Agents'!E1438+"h_l!(Gd"</f>
        <v>#VALUE!</v>
      </c>
      <c r="GE166" t="e">
        <f>'Compiled Agents'!F1438+"h_l!(Ge"</f>
        <v>#VALUE!</v>
      </c>
      <c r="GF166" t="e">
        <f>'Compiled Agents'!G1438+"h_l!(Gf"</f>
        <v>#VALUE!</v>
      </c>
      <c r="GG166" t="e">
        <f>'Compiled Agents'!H1438+"h_l!(Gg"</f>
        <v>#VALUE!</v>
      </c>
      <c r="GH166" t="e">
        <f>'Compiled Agents'!A1439+"h_l!(Gh"</f>
        <v>#VALUE!</v>
      </c>
      <c r="GI166" t="e">
        <f>'Compiled Agents'!B1439+"h_l!(Gi"</f>
        <v>#VALUE!</v>
      </c>
      <c r="GJ166" t="e">
        <f>'Compiled Agents'!C1439+"h_l!(Gj"</f>
        <v>#VALUE!</v>
      </c>
      <c r="GK166" t="e">
        <f>'Compiled Agents'!E1439+"h_l!(Gk"</f>
        <v>#VALUE!</v>
      </c>
      <c r="GL166" t="e">
        <f>'Compiled Agents'!F1439+"h_l!(Gl"</f>
        <v>#VALUE!</v>
      </c>
      <c r="GM166" t="e">
        <f>'Compiled Agents'!G1439+"h_l!(Gm"</f>
        <v>#VALUE!</v>
      </c>
      <c r="GN166" t="e">
        <f>'Compiled Agents'!H1439+"h_l!(Gn"</f>
        <v>#VALUE!</v>
      </c>
      <c r="GO166" t="e">
        <f>Raw!A:A*"h_l!(Go"</f>
        <v>#VALUE!</v>
      </c>
      <c r="GP166" t="e">
        <f>Raw!B:B*"h_l!(Gp"</f>
        <v>#VALUE!</v>
      </c>
      <c r="GQ166" t="e">
        <f>Raw!C:C*"h_l!(Gq"</f>
        <v>#VALUE!</v>
      </c>
      <c r="GR166" t="e">
        <f>Raw!D:D*"h_l!(Gr"</f>
        <v>#VALUE!</v>
      </c>
      <c r="GS166" t="e">
        <f>Raw!E:E*"h_l!(Gs"</f>
        <v>#VALUE!</v>
      </c>
      <c r="GT166" t="e">
        <f>Raw!#REF!*"h_l!(Gt"</f>
        <v>#REF!</v>
      </c>
      <c r="GU166" t="e">
        <f>Raw!G:G*"h_l!(Gu"</f>
        <v>#VALUE!</v>
      </c>
      <c r="GV166" t="e">
        <f>Raw!H:H*"h_l!(Gv"</f>
        <v>#VALUE!</v>
      </c>
      <c r="GW166" t="e">
        <f>Raw!I:I*"h_l!(Gw"</f>
        <v>#VALUE!</v>
      </c>
      <c r="GX166" t="e">
        <f>Raw!J:J*"h_l!(Gx"</f>
        <v>#VALUE!</v>
      </c>
      <c r="GY166" t="e">
        <f>Raw!K:K*"h_l!(Gy"</f>
        <v>#VALUE!</v>
      </c>
      <c r="GZ166" t="e">
        <f>Raw!L:L*"h_l!(Gz"</f>
        <v>#VALUE!</v>
      </c>
      <c r="HA166" t="e">
        <f>Raw!M:M*"h_l!(G{"</f>
        <v>#VALUE!</v>
      </c>
      <c r="HB166" t="e">
        <f>Raw!N:N*"h_l!(G|"</f>
        <v>#VALUE!</v>
      </c>
      <c r="HC166" t="e">
        <f>Raw!O:O*"h_l!(G}"</f>
        <v>#VALUE!</v>
      </c>
      <c r="HD166" t="e">
        <f>Raw!P:P*"h_l!(G~"</f>
        <v>#VALUE!</v>
      </c>
      <c r="HE166" t="e">
        <f>Raw!Q:Q*"h_l!(H#"</f>
        <v>#VALUE!</v>
      </c>
      <c r="HF166" t="e">
        <f>Raw!R:R*"h_l!(H$"</f>
        <v>#VALUE!</v>
      </c>
      <c r="HG166" t="e">
        <f>Raw!S:S*"h_l!(H%"</f>
        <v>#VALUE!</v>
      </c>
      <c r="HH166" t="e">
        <f>Raw!T:T*"h_l!(H&amp;"</f>
        <v>#VALUE!</v>
      </c>
      <c r="HI166" t="e">
        <f>Raw!U:U*"h_l!(H'"</f>
        <v>#VALUE!</v>
      </c>
      <c r="HJ166" t="e">
        <f>Raw!V:V*"h_l!(H("</f>
        <v>#VALUE!</v>
      </c>
      <c r="HK166" t="e">
        <f>Raw!W:W*"h_l!(H)"</f>
        <v>#VALUE!</v>
      </c>
      <c r="HL166" t="e">
        <f>Raw!X:X*"h_l!(H."</f>
        <v>#VALUE!</v>
      </c>
      <c r="HM166" t="e">
        <f>Raw!Y:Y*"h_l!(H/"</f>
        <v>#VALUE!</v>
      </c>
      <c r="HN166" t="e">
        <f>Raw!Z:Z*"h_l!(H0"</f>
        <v>#VALUE!</v>
      </c>
      <c r="HO166" t="e">
        <f>Raw!AA:AA*"h_l!(H1"</f>
        <v>#VALUE!</v>
      </c>
      <c r="HP166" t="e">
        <f>Raw!AB:AB*"h_l!(H2"</f>
        <v>#VALUE!</v>
      </c>
      <c r="HQ166" t="e">
        <f>Raw!AC:AC*"h_l!(H3"</f>
        <v>#VALUE!</v>
      </c>
      <c r="HR166" t="e">
        <f>Raw!AD:AD*"h_l!(H4"</f>
        <v>#VALUE!</v>
      </c>
      <c r="HS166" t="e">
        <f>Raw!AE:AE*"h_l!(H5"</f>
        <v>#VALUE!</v>
      </c>
      <c r="HT166" t="e">
        <f>Raw!AF:AF*"h_l!(H6"</f>
        <v>#VALUE!</v>
      </c>
      <c r="HU166" t="e">
        <f>Raw!AG:AG*"h_l!(H7"</f>
        <v>#VALUE!</v>
      </c>
      <c r="HV166" t="e">
        <f>Raw!AH:AH*"h_l!(H8"</f>
        <v>#VALUE!</v>
      </c>
      <c r="HW166" t="e">
        <f>Raw!AI:AI*"h_l!(H9"</f>
        <v>#VALUE!</v>
      </c>
      <c r="HX166" t="e">
        <f>Raw!AJ:AJ*"h_l!(H:"</f>
        <v>#VALUE!</v>
      </c>
      <c r="HY166" t="e">
        <f>Raw!AK:AK*"h_l!(H;"</f>
        <v>#VALUE!</v>
      </c>
      <c r="HZ166" t="e">
        <f>Raw!AL:AL*"h_l!(H&lt;"</f>
        <v>#VALUE!</v>
      </c>
      <c r="IA166" t="e">
        <f>Raw!AM:AM*"h_l!(H="</f>
        <v>#VALUE!</v>
      </c>
      <c r="IB166" t="e">
        <f>Raw!AN:AN*"h_l!(H&gt;"</f>
        <v>#VALUE!</v>
      </c>
      <c r="IC166" t="e">
        <f>Raw!AO:AO*"h_l!(H?"</f>
        <v>#VALUE!</v>
      </c>
      <c r="ID166" t="e">
        <f>Raw!AP:AP*"h_l!(H@"</f>
        <v>#VALUE!</v>
      </c>
      <c r="IE166" t="e">
        <f>Raw!AQ:AQ*"h_l!(HA"</f>
        <v>#VALUE!</v>
      </c>
      <c r="IF166" t="e">
        <f>Raw!AR:AR*"h_l!(HB"</f>
        <v>#VALUE!</v>
      </c>
      <c r="IG166" t="e">
        <f>Raw!AS:AS*"h_l!(HC"</f>
        <v>#VALUE!</v>
      </c>
      <c r="IH166" t="e">
        <f>Raw!AT:AT*"h_l!(HD"</f>
        <v>#VALUE!</v>
      </c>
      <c r="II166" t="e">
        <f>Raw!AU:AU*"h_l!(HE"</f>
        <v>#VALUE!</v>
      </c>
      <c r="IJ166" t="e">
        <f>Raw!AV:AV*"h_l!(HF"</f>
        <v>#VALUE!</v>
      </c>
      <c r="IK166" t="e">
        <f>Raw!AW:AW*"h_l!(HG"</f>
        <v>#VALUE!</v>
      </c>
      <c r="IL166" t="e">
        <f>Raw!AX:AX*"h_l!(HH"</f>
        <v>#VALUE!</v>
      </c>
      <c r="IM166" t="e">
        <f>Raw!AY:AY*"h_l!(HI"</f>
        <v>#VALUE!</v>
      </c>
      <c r="IN166" t="e">
        <f>Raw!AZ:AZ*"h_l!(HJ"</f>
        <v>#VALUE!</v>
      </c>
      <c r="IO166" t="e">
        <f>Raw!BA:BA*"h_l!(HK"</f>
        <v>#VALUE!</v>
      </c>
      <c r="IP166" t="e">
        <f>Raw!BB:BB*"h_l!(HL"</f>
        <v>#VALUE!</v>
      </c>
      <c r="IQ166" t="e">
        <f>Raw!BC:BC*"h_l!(HM"</f>
        <v>#VALUE!</v>
      </c>
      <c r="IR166" t="e">
        <f>Raw!BD:BD*"h_l!(HN"</f>
        <v>#VALUE!</v>
      </c>
      <c r="IS166" t="e">
        <f>Raw!BE:BE*"h_l!(HO"</f>
        <v>#VALUE!</v>
      </c>
      <c r="IT166" t="e">
        <f>Raw!BF:BF*"h_l!(HP"</f>
        <v>#VALUE!</v>
      </c>
      <c r="IU166" t="e">
        <f>Raw!BG:BG*"h_l!(HQ"</f>
        <v>#VALUE!</v>
      </c>
      <c r="IV166" t="e">
        <f>Raw!BH:BH*"h_l!(HR"</f>
        <v>#VALUE!</v>
      </c>
    </row>
    <row r="167" spans="6:256" x14ac:dyDescent="0.25">
      <c r="F167" t="e">
        <f>Raw!BI:BI*"h_l!(HS"</f>
        <v>#VALUE!</v>
      </c>
      <c r="G167" t="e">
        <f>Raw!BJ:BJ*"h_l!(HT"</f>
        <v>#VALUE!</v>
      </c>
      <c r="H167" t="e">
        <f>Raw!BK:BK*"h_l!(HU"</f>
        <v>#VALUE!</v>
      </c>
      <c r="I167" t="e">
        <f>Raw!BL:BL*"h_l!(HV"</f>
        <v>#VALUE!</v>
      </c>
      <c r="J167" t="e">
        <f>Raw!BM:BM*"h_l!(HW"</f>
        <v>#VALUE!</v>
      </c>
      <c r="K167" t="e">
        <f>Raw!BN:BN*"h_l!(HX"</f>
        <v>#VALUE!</v>
      </c>
      <c r="L167" t="e">
        <f>Raw!BO:BO*"h_l!(HY"</f>
        <v>#VALUE!</v>
      </c>
      <c r="M167" t="e">
        <f>Raw!BP:BP*"h_l!(HZ"</f>
        <v>#VALUE!</v>
      </c>
      <c r="N167" t="e">
        <f>Raw!BQ:BQ*"h_l!(H["</f>
        <v>#VALUE!</v>
      </c>
      <c r="O167" t="e">
        <f>Raw!BR:BR*"h_l!(H\"</f>
        <v>#VALUE!</v>
      </c>
      <c r="P167" t="e">
        <f>Raw!BS:BS*"h_l!(H]"</f>
        <v>#VALUE!</v>
      </c>
      <c r="Q167" t="e">
        <f>Raw!BT:BT*"h_l!(H^"</f>
        <v>#VALUE!</v>
      </c>
      <c r="R167" t="e">
        <f>Raw!BU:BU*"h_l!(H_"</f>
        <v>#VALUE!</v>
      </c>
      <c r="S167" t="e">
        <f>Raw!1:1-"h_l!(H`"</f>
        <v>#VALUE!</v>
      </c>
      <c r="T167" t="e">
        <f>Raw!2:2-"h_l!(Ha"</f>
        <v>#VALUE!</v>
      </c>
      <c r="U167" t="e">
        <f>Raw!3:3-"h_l!(Hb"</f>
        <v>#VALUE!</v>
      </c>
      <c r="V167" t="e">
        <f>Raw!4:4-"h_l!(Hc"</f>
        <v>#VALUE!</v>
      </c>
      <c r="W167" t="e">
        <f>Raw!5:5-"h_l!(Hd"</f>
        <v>#VALUE!</v>
      </c>
      <c r="X167" t="e">
        <f>Raw!6:6-"h_l!(He"</f>
        <v>#VALUE!</v>
      </c>
      <c r="Y167" t="e">
        <f>Raw!7:7-"h_l!(Hf"</f>
        <v>#VALUE!</v>
      </c>
      <c r="Z167" t="e">
        <f>Raw!8:8-"h_l!(Hg"</f>
        <v>#VALUE!</v>
      </c>
      <c r="AA167" t="e">
        <f>Raw!9:9-"h_l!(Hh"</f>
        <v>#VALUE!</v>
      </c>
      <c r="AB167" t="e">
        <f>Raw!10:10-"h_l!(Hi"</f>
        <v>#VALUE!</v>
      </c>
      <c r="AC167" t="e">
        <f>Raw!11:11-"h_l!(Hj"</f>
        <v>#VALUE!</v>
      </c>
      <c r="AD167" t="e">
        <f>Raw!12:12-"h_l!(Hk"</f>
        <v>#VALUE!</v>
      </c>
      <c r="AE167" t="e">
        <f>Raw!13:13-"h_l!(Hl"</f>
        <v>#VALUE!</v>
      </c>
      <c r="AF167" t="e">
        <f>Raw!14:14-"h_l!(Hm"</f>
        <v>#VALUE!</v>
      </c>
      <c r="AG167" t="e">
        <f>Raw!15:15-"h_l!(Hn"</f>
        <v>#VALUE!</v>
      </c>
      <c r="AH167" t="e">
        <f>Raw!16:16-"h_l!(Ho"</f>
        <v>#VALUE!</v>
      </c>
      <c r="AI167" t="e">
        <f>Raw!17:17-"h_l!(Hp"</f>
        <v>#VALUE!</v>
      </c>
      <c r="AJ167" t="e">
        <f>Raw!18:18-"h_l!(Hq"</f>
        <v>#VALUE!</v>
      </c>
      <c r="AK167" t="e">
        <f>Raw!19:19-"h_l!(Hr"</f>
        <v>#VALUE!</v>
      </c>
      <c r="AL167" t="e">
        <f>Raw!20:20-"h_l!(Hs"</f>
        <v>#VALUE!</v>
      </c>
      <c r="AM167" t="e">
        <f>Raw!21:21-"h_l!(Ht"</f>
        <v>#VALUE!</v>
      </c>
      <c r="AN167" t="e">
        <f>Raw!22:22-"h_l!(Hu"</f>
        <v>#VALUE!</v>
      </c>
      <c r="AO167" t="e">
        <f>Raw!23:23-"h_l!(Hv"</f>
        <v>#VALUE!</v>
      </c>
      <c r="AP167" t="e">
        <f>Raw!24:24-"h_l!(Hw"</f>
        <v>#VALUE!</v>
      </c>
      <c r="AQ167" t="e">
        <f>Raw!25:25-"h_l!(Hx"</f>
        <v>#VALUE!</v>
      </c>
      <c r="AR167" t="e">
        <f>Raw!26:26-"h_l!(Hy"</f>
        <v>#VALUE!</v>
      </c>
      <c r="AS167" t="e">
        <f>Raw!27:27-"h_l!(Hz"</f>
        <v>#VALUE!</v>
      </c>
      <c r="AT167" t="e">
        <f>Raw!28:28-"h_l!(H{"</f>
        <v>#VALUE!</v>
      </c>
      <c r="AU167" t="e">
        <f>Raw!29:29-"h_l!(H|"</f>
        <v>#VALUE!</v>
      </c>
      <c r="AV167" t="e">
        <f>Raw!30:30-"h_l!(H}"</f>
        <v>#VALUE!</v>
      </c>
      <c r="AW167" t="e">
        <f>Raw!31:31-"h_l!(H~"</f>
        <v>#VALUE!</v>
      </c>
      <c r="AX167" t="e">
        <f>Raw!32:32-"h_l!(I#"</f>
        <v>#VALUE!</v>
      </c>
      <c r="AY167" t="e">
        <f>Raw!33:33-"h_l!(I$"</f>
        <v>#VALUE!</v>
      </c>
      <c r="AZ167" t="e">
        <f>Raw!34:34-"h_l!(I%"</f>
        <v>#VALUE!</v>
      </c>
      <c r="BA167" t="e">
        <f>Raw!35:35-"h_l!(I&amp;"</f>
        <v>#VALUE!</v>
      </c>
      <c r="BB167" t="e">
        <f>Raw!36:36-"h_l!(I'"</f>
        <v>#VALUE!</v>
      </c>
      <c r="BC167" t="e">
        <f>Raw!37:37-"h_l!(I("</f>
        <v>#VALUE!</v>
      </c>
      <c r="BD167" t="e">
        <f>Raw!38:38-"h_l!(I)"</f>
        <v>#VALUE!</v>
      </c>
      <c r="BE167" t="e">
        <f>Raw!39:39-"h_l!(I."</f>
        <v>#VALUE!</v>
      </c>
      <c r="BF167" t="e">
        <f>Raw!40:40-"h_l!(I/"</f>
        <v>#VALUE!</v>
      </c>
      <c r="BG167" t="e">
        <f>Raw!41:41-"h_l!(I0"</f>
        <v>#VALUE!</v>
      </c>
      <c r="BH167" t="e">
        <f>Raw!42:42-"h_l!(I1"</f>
        <v>#VALUE!</v>
      </c>
      <c r="BI167" t="e">
        <f>Raw!43:43-"h_l!(I2"</f>
        <v>#VALUE!</v>
      </c>
      <c r="BJ167" t="e">
        <f>Raw!44:44-"h_l!(I3"</f>
        <v>#VALUE!</v>
      </c>
      <c r="BK167" t="e">
        <f>Raw!45:45-"h_l!(I4"</f>
        <v>#VALUE!</v>
      </c>
      <c r="BL167" t="e">
        <f>Raw!46:46-"h_l!(I5"</f>
        <v>#VALUE!</v>
      </c>
      <c r="BM167" t="e">
        <f>Raw!47:47-"h_l!(I6"</f>
        <v>#VALUE!</v>
      </c>
      <c r="BN167" t="e">
        <f>Raw!48:48-"h_l!(I7"</f>
        <v>#VALUE!</v>
      </c>
      <c r="BO167" t="e">
        <f>Raw!49:49-"h_l!(I8"</f>
        <v>#VALUE!</v>
      </c>
      <c r="BP167" t="e">
        <f>Raw!50:50-"h_l!(I9"</f>
        <v>#VALUE!</v>
      </c>
      <c r="BQ167" t="e">
        <f>Raw!51:51-"h_l!(I:"</f>
        <v>#VALUE!</v>
      </c>
      <c r="BR167" t="e">
        <f>Raw!52:52-"h_l!(I;"</f>
        <v>#VALUE!</v>
      </c>
      <c r="BS167" t="e">
        <f>Raw!53:53-"h_l!(I&lt;"</f>
        <v>#VALUE!</v>
      </c>
      <c r="BT167" t="e">
        <f>Raw!54:54-"h_l!(I="</f>
        <v>#VALUE!</v>
      </c>
      <c r="BU167" t="e">
        <f>Raw!55:55-"h_l!(I&gt;"</f>
        <v>#VALUE!</v>
      </c>
      <c r="BV167" t="e">
        <f>Raw!56:56-"h_l!(I?"</f>
        <v>#VALUE!</v>
      </c>
      <c r="BW167" t="e">
        <f>Raw!57:57-"h_l!(I@"</f>
        <v>#VALUE!</v>
      </c>
      <c r="BX167" t="e">
        <f>Raw!58:58-"h_l!(IA"</f>
        <v>#VALUE!</v>
      </c>
      <c r="BY167" t="e">
        <f>Raw!59:59-"h_l!(IB"</f>
        <v>#VALUE!</v>
      </c>
      <c r="BZ167" t="e">
        <f>Raw!60:60-"h_l!(IC"</f>
        <v>#VALUE!</v>
      </c>
      <c r="CA167" t="e">
        <f>Raw!61:61-"h_l!(ID"</f>
        <v>#VALUE!</v>
      </c>
      <c r="CB167" t="e">
        <f>Raw!62:62-"h_l!(IE"</f>
        <v>#VALUE!</v>
      </c>
      <c r="CC167" t="e">
        <f>Raw!63:63-"h_l!(IF"</f>
        <v>#VALUE!</v>
      </c>
      <c r="CD167" t="e">
        <f>Raw!64:64-"h_l!(IG"</f>
        <v>#VALUE!</v>
      </c>
      <c r="CE167" t="e">
        <f>Raw!65:65-"h_l!(IH"</f>
        <v>#VALUE!</v>
      </c>
      <c r="CF167" t="e">
        <f>Raw!66:66-"h_l!(II"</f>
        <v>#VALUE!</v>
      </c>
      <c r="CG167" t="e">
        <f>Raw!67:67-"h_l!(IJ"</f>
        <v>#VALUE!</v>
      </c>
      <c r="CH167" t="e">
        <f>Raw!68:68-"h_l!(IK"</f>
        <v>#VALUE!</v>
      </c>
      <c r="CI167" t="e">
        <f>Raw!69:69-"h_l!(IL"</f>
        <v>#VALUE!</v>
      </c>
      <c r="CJ167" t="e">
        <f>Raw!70:70-"h_l!(IM"</f>
        <v>#VALUE!</v>
      </c>
      <c r="CK167" t="e">
        <f>Raw!71:71-"h_l!(IN"</f>
        <v>#VALUE!</v>
      </c>
      <c r="CL167" t="e">
        <f>Raw!72:72-"h_l!(IO"</f>
        <v>#VALUE!</v>
      </c>
      <c r="CM167" t="e">
        <f>Raw!73:73-"h_l!(IP"</f>
        <v>#VALUE!</v>
      </c>
      <c r="CN167" t="e">
        <f>Raw!74:74-"h_l!(IQ"</f>
        <v>#VALUE!</v>
      </c>
      <c r="CO167" t="e">
        <f>Raw!75:75-"h_l!(IR"</f>
        <v>#VALUE!</v>
      </c>
      <c r="CP167" t="e">
        <f>Raw!76:76-"h_l!(IS"</f>
        <v>#VALUE!</v>
      </c>
      <c r="CQ167" t="e">
        <f>Raw!77:77-"h_l!(IT"</f>
        <v>#VALUE!</v>
      </c>
      <c r="CR167" t="e">
        <f>Raw!78:78-"h_l!(IU"</f>
        <v>#VALUE!</v>
      </c>
      <c r="CS167" t="e">
        <f>Raw!79:79-"h_l!(IV"</f>
        <v>#VALUE!</v>
      </c>
      <c r="CT167" t="e">
        <f>Raw!80:80-"h_l!(IW"</f>
        <v>#VALUE!</v>
      </c>
      <c r="CU167" t="e">
        <f>Raw!81:81-"h_l!(IX"</f>
        <v>#VALUE!</v>
      </c>
      <c r="CV167" t="e">
        <f>Raw!82:82-"h_l!(IY"</f>
        <v>#VALUE!</v>
      </c>
      <c r="CW167" t="e">
        <f>Raw!83:83-"h_l!(IZ"</f>
        <v>#VALUE!</v>
      </c>
      <c r="CX167" t="e">
        <f>Raw!84:84-"h_l!(I["</f>
        <v>#VALUE!</v>
      </c>
      <c r="CY167" t="e">
        <f>Raw!85:85-"h_l!(I\"</f>
        <v>#VALUE!</v>
      </c>
      <c r="CZ167" t="e">
        <f>Raw!86:86-"h_l!(I]"</f>
        <v>#VALUE!</v>
      </c>
      <c r="DA167" t="e">
        <f>Raw!87:87-"h_l!(I^"</f>
        <v>#VALUE!</v>
      </c>
      <c r="DB167" t="e">
        <f>Raw!88:88-"h_l!(I_"</f>
        <v>#VALUE!</v>
      </c>
      <c r="DC167" t="e">
        <f>Raw!89:89-"h_l!(I`"</f>
        <v>#VALUE!</v>
      </c>
      <c r="DD167" t="e">
        <f>Raw!90:90-"h_l!(Ia"</f>
        <v>#VALUE!</v>
      </c>
      <c r="DE167" t="e">
        <f>Raw!91:91-"h_l!(Ib"</f>
        <v>#VALUE!</v>
      </c>
      <c r="DF167" t="e">
        <f>Raw!92:92-"h_l!(Ic"</f>
        <v>#VALUE!</v>
      </c>
      <c r="DG167" t="e">
        <f>Raw!93:93-"h_l!(Id"</f>
        <v>#VALUE!</v>
      </c>
      <c r="DH167" t="e">
        <f>Raw!94:94-"h_l!(Ie"</f>
        <v>#VALUE!</v>
      </c>
      <c r="DI167" t="e">
        <f>Raw!95:95-"h_l!(If"</f>
        <v>#VALUE!</v>
      </c>
      <c r="DJ167" t="e">
        <f>Raw!96:96-"h_l!(Ig"</f>
        <v>#VALUE!</v>
      </c>
      <c r="DK167" t="e">
        <f>Raw!97:97-"h_l!(Ih"</f>
        <v>#VALUE!</v>
      </c>
      <c r="DL167" t="e">
        <f>Raw!98:98-"h_l!(Ii"</f>
        <v>#VALUE!</v>
      </c>
      <c r="DM167" t="e">
        <f>Raw!99:99-"h_l!(Ij"</f>
        <v>#VALUE!</v>
      </c>
      <c r="DN167" t="e">
        <f>Raw!100:100-"h_l!(Ik"</f>
        <v>#VALUE!</v>
      </c>
      <c r="DO167" t="e">
        <f>Raw!101:101-"h_l!(Il"</f>
        <v>#VALUE!</v>
      </c>
      <c r="DP167" t="e">
        <f>Raw!102:102-"h_l!(Im"</f>
        <v>#VALUE!</v>
      </c>
      <c r="DQ167" t="e">
        <f>Raw!103:103-"h_l!(In"</f>
        <v>#VALUE!</v>
      </c>
      <c r="DR167" t="e">
        <f>Raw!104:104-"h_l!(Io"</f>
        <v>#VALUE!</v>
      </c>
      <c r="DS167" t="e">
        <f>Raw!105:105-"h_l!(Ip"</f>
        <v>#VALUE!</v>
      </c>
      <c r="DT167" t="e">
        <f>Raw!106:106-"h_l!(Iq"</f>
        <v>#VALUE!</v>
      </c>
      <c r="DU167" t="e">
        <f>Raw!107:107-"h_l!(Ir"</f>
        <v>#VALUE!</v>
      </c>
      <c r="DV167" t="e">
        <f>Raw!108:108-"h_l!(Is"</f>
        <v>#VALUE!</v>
      </c>
      <c r="DW167" t="e">
        <f>Raw!109:109-"h_l!(It"</f>
        <v>#VALUE!</v>
      </c>
      <c r="DX167" t="e">
        <f>Raw!110:110-"h_l!(Iu"</f>
        <v>#VALUE!</v>
      </c>
      <c r="DY167" t="e">
        <f>Raw!111:111-"h_l!(Iv"</f>
        <v>#VALUE!</v>
      </c>
      <c r="DZ167" t="e">
        <f>Raw!112:112-"h_l!(Iw"</f>
        <v>#VALUE!</v>
      </c>
      <c r="EA167" t="e">
        <f>Raw!113:113-"h_l!(Ix"</f>
        <v>#VALUE!</v>
      </c>
      <c r="EB167" t="e">
        <f>Raw!114:114-"h_l!(Iy"</f>
        <v>#VALUE!</v>
      </c>
      <c r="EC167" t="e">
        <f>Raw!115:115-"h_l!(Iz"</f>
        <v>#VALUE!</v>
      </c>
      <c r="ED167" t="e">
        <f>Raw!116:116-"h_l!(I{"</f>
        <v>#VALUE!</v>
      </c>
      <c r="EE167" t="e">
        <f>Raw!117:117-"h_l!(I|"</f>
        <v>#VALUE!</v>
      </c>
      <c r="EF167" t="e">
        <f>Raw!118:118-"h_l!(I}"</f>
        <v>#VALUE!</v>
      </c>
      <c r="EG167" t="e">
        <f>Raw!119:119-"h_l!(I~"</f>
        <v>#VALUE!</v>
      </c>
      <c r="EH167" t="e">
        <f>Raw!120:120-"h_l!(J#"</f>
        <v>#VALUE!</v>
      </c>
      <c r="EI167" t="e">
        <f>Raw!121:121-"h_l!(J$"</f>
        <v>#VALUE!</v>
      </c>
      <c r="EJ167" t="e">
        <f>Raw!122:122-"h_l!(J%"</f>
        <v>#VALUE!</v>
      </c>
      <c r="EK167" t="e">
        <f>Raw!123:123-"h_l!(J&amp;"</f>
        <v>#VALUE!</v>
      </c>
      <c r="EL167" t="e">
        <f>Raw!124:124-"h_l!(J'"</f>
        <v>#VALUE!</v>
      </c>
      <c r="EM167" t="e">
        <f>Raw!125:125-"h_l!(J("</f>
        <v>#VALUE!</v>
      </c>
      <c r="EN167" t="e">
        <f>Raw!126:126-"h_l!(J)"</f>
        <v>#VALUE!</v>
      </c>
      <c r="EO167" t="e">
        <f>Raw!127:127-"h_l!(J."</f>
        <v>#VALUE!</v>
      </c>
      <c r="EP167" t="e">
        <f>Raw!128:128-"h_l!(J/"</f>
        <v>#VALUE!</v>
      </c>
      <c r="EQ167" t="e">
        <f>Raw!129:129-"h_l!(J0"</f>
        <v>#VALUE!</v>
      </c>
      <c r="ER167" t="e">
        <f>Raw!130:130-"h_l!(J1"</f>
        <v>#VALUE!</v>
      </c>
      <c r="ES167" t="e">
        <f>Raw!131:131-"h_l!(J2"</f>
        <v>#VALUE!</v>
      </c>
      <c r="ET167" t="e">
        <f>Raw!132:132-"h_l!(J3"</f>
        <v>#VALUE!</v>
      </c>
      <c r="EU167" t="e">
        <f>Raw!133:133-"h_l!(J4"</f>
        <v>#VALUE!</v>
      </c>
      <c r="EV167" t="e">
        <f>Raw!134:134-"h_l!(J5"</f>
        <v>#VALUE!</v>
      </c>
      <c r="EW167" t="e">
        <f>Raw!135:135-"h_l!(J6"</f>
        <v>#VALUE!</v>
      </c>
      <c r="EX167" t="e">
        <f>Raw!136:136-"h_l!(J7"</f>
        <v>#VALUE!</v>
      </c>
      <c r="EY167" t="e">
        <f>Raw!137:137-"h_l!(J8"</f>
        <v>#VALUE!</v>
      </c>
      <c r="EZ167" t="e">
        <f>Raw!138:138-"h_l!(J9"</f>
        <v>#VALUE!</v>
      </c>
      <c r="FA167" t="e">
        <f>Raw!139:139-"h_l!(J:"</f>
        <v>#VALUE!</v>
      </c>
      <c r="FB167" t="e">
        <f>Raw!140:140-"h_l!(J;"</f>
        <v>#VALUE!</v>
      </c>
      <c r="FC167" t="e">
        <f>Raw!141:141-"h_l!(J&lt;"</f>
        <v>#VALUE!</v>
      </c>
      <c r="FD167" t="e">
        <f>Raw!142:142-"h_l!(J="</f>
        <v>#VALUE!</v>
      </c>
      <c r="FE167" t="e">
        <f>Raw!143:143-"h_l!(J&gt;"</f>
        <v>#VALUE!</v>
      </c>
      <c r="FF167" t="e">
        <f>Raw!144:144-"h_l!(J?"</f>
        <v>#VALUE!</v>
      </c>
      <c r="FG167" t="e">
        <f>Raw!145:145-"h_l!(J@"</f>
        <v>#VALUE!</v>
      </c>
      <c r="FH167" t="e">
        <f>Raw!146:146-"h_l!(JA"</f>
        <v>#VALUE!</v>
      </c>
      <c r="FI167" t="e">
        <f>Raw!147:147-"h_l!(JB"</f>
        <v>#VALUE!</v>
      </c>
      <c r="FJ167" t="e">
        <f>Raw!148:148-"h_l!(JC"</f>
        <v>#VALUE!</v>
      </c>
      <c r="FK167" t="e">
        <f>Raw!149:149-"h_l!(JD"</f>
        <v>#VALUE!</v>
      </c>
      <c r="FL167" t="e">
        <f>Raw!150:150-"h_l!(JE"</f>
        <v>#VALUE!</v>
      </c>
      <c r="FM167" t="e">
        <f>Raw!151:151-"h_l!(JF"</f>
        <v>#VALUE!</v>
      </c>
      <c r="FN167" t="e">
        <f>Raw!152:152-"h_l!(JG"</f>
        <v>#VALUE!</v>
      </c>
      <c r="FO167" t="e">
        <f>Raw!153:153-"h_l!(JH"</f>
        <v>#VALUE!</v>
      </c>
      <c r="FP167" t="e">
        <f>Raw!154:154-"h_l!(JI"</f>
        <v>#VALUE!</v>
      </c>
      <c r="FQ167" t="e">
        <f>Raw!155:155-"h_l!(JJ"</f>
        <v>#VALUE!</v>
      </c>
      <c r="FR167" t="e">
        <f>Raw!156:156-"h_l!(JK"</f>
        <v>#VALUE!</v>
      </c>
      <c r="FS167" t="e">
        <f>Raw!157:157-"h_l!(JL"</f>
        <v>#VALUE!</v>
      </c>
      <c r="FT167" t="e">
        <f>Raw!158:158-"h_l!(JM"</f>
        <v>#VALUE!</v>
      </c>
      <c r="FU167" t="e">
        <f>Raw!159:159-"h_l!(JN"</f>
        <v>#VALUE!</v>
      </c>
      <c r="FV167" t="e">
        <f>Raw!160:160-"h_l!(JO"</f>
        <v>#VALUE!</v>
      </c>
      <c r="FW167" t="e">
        <f>Raw!161:161-"h_l!(JP"</f>
        <v>#VALUE!</v>
      </c>
      <c r="FX167" t="e">
        <f>Raw!162:162-"h_l!(JQ"</f>
        <v>#VALUE!</v>
      </c>
      <c r="FY167" t="e">
        <f>Raw!163:163-"h_l!(JR"</f>
        <v>#VALUE!</v>
      </c>
      <c r="FZ167" t="e">
        <f>Raw!164:164-"h_l!(JS"</f>
        <v>#VALUE!</v>
      </c>
      <c r="GA167" t="e">
        <f>Raw!165:165-"h_l!(JT"</f>
        <v>#VALUE!</v>
      </c>
      <c r="GB167" t="e">
        <f>Raw!166:166-"h_l!(JU"</f>
        <v>#VALUE!</v>
      </c>
      <c r="GC167" t="e">
        <f>Raw!167:167-"h_l!(JV"</f>
        <v>#VALUE!</v>
      </c>
      <c r="GD167" t="e">
        <f>Raw!168:168-"h_l!(JW"</f>
        <v>#VALUE!</v>
      </c>
      <c r="GE167" t="e">
        <f>Raw!169:169-"h_l!(JX"</f>
        <v>#VALUE!</v>
      </c>
      <c r="GF167" t="e">
        <f>Raw!170:170-"h_l!(JY"</f>
        <v>#VALUE!</v>
      </c>
      <c r="GG167" t="e">
        <f>Raw!171:171-"h_l!(JZ"</f>
        <v>#VALUE!</v>
      </c>
      <c r="GH167" t="e">
        <f>Raw!172:172-"h_l!(J["</f>
        <v>#VALUE!</v>
      </c>
      <c r="GI167" t="e">
        <f>Raw!173:173-"h_l!(J\"</f>
        <v>#VALUE!</v>
      </c>
      <c r="GJ167" t="e">
        <f>Raw!174:174-"h_l!(J]"</f>
        <v>#VALUE!</v>
      </c>
      <c r="GK167" t="e">
        <f>Raw!175:175-"h_l!(J^"</f>
        <v>#VALUE!</v>
      </c>
      <c r="GL167" t="e">
        <f>Raw!176:176-"h_l!(J_"</f>
        <v>#VALUE!</v>
      </c>
      <c r="GM167" t="e">
        <f>Raw!177:177-"h_l!(J`"</f>
        <v>#VALUE!</v>
      </c>
      <c r="GN167" t="e">
        <f>Raw!178:178-"h_l!(Ja"</f>
        <v>#VALUE!</v>
      </c>
      <c r="GO167" t="e">
        <f>Raw!179:179-"h_l!(Jb"</f>
        <v>#VALUE!</v>
      </c>
      <c r="GP167" t="e">
        <f>Raw!180:180-"h_l!(Jc"</f>
        <v>#VALUE!</v>
      </c>
      <c r="GQ167" t="e">
        <f>Raw!181:181-"h_l!(Jd"</f>
        <v>#VALUE!</v>
      </c>
      <c r="GR167" t="e">
        <f>Raw!182:182-"h_l!(Je"</f>
        <v>#VALUE!</v>
      </c>
      <c r="GS167" t="e">
        <f>Raw!183:183-"h_l!(Jf"</f>
        <v>#VALUE!</v>
      </c>
      <c r="GT167" t="e">
        <f>Raw!184:184-"h_l!(Jg"</f>
        <v>#VALUE!</v>
      </c>
      <c r="GU167" t="e">
        <f>Raw!185:185-"h_l!(Jh"</f>
        <v>#VALUE!</v>
      </c>
      <c r="GV167" t="e">
        <f>Raw!186:186-"h_l!(Ji"</f>
        <v>#VALUE!</v>
      </c>
      <c r="GW167" t="e">
        <f>Raw!187:187-"h_l!(Jj"</f>
        <v>#VALUE!</v>
      </c>
      <c r="GX167" t="e">
        <f>Raw!188:188-"h_l!(Jk"</f>
        <v>#VALUE!</v>
      </c>
      <c r="GY167" t="e">
        <f>Raw!189:189-"h_l!(Jl"</f>
        <v>#VALUE!</v>
      </c>
      <c r="GZ167" t="e">
        <f>Raw!190:190-"h_l!(Jm"</f>
        <v>#VALUE!</v>
      </c>
      <c r="HA167" t="e">
        <f>Raw!191:191-"h_l!(Jn"</f>
        <v>#VALUE!</v>
      </c>
      <c r="HB167" t="e">
        <f>Raw!192:192-"h_l!(Jo"</f>
        <v>#VALUE!</v>
      </c>
      <c r="HC167" t="e">
        <f>Raw!193:193-"h_l!(Jp"</f>
        <v>#VALUE!</v>
      </c>
      <c r="HD167" t="e">
        <f>Raw!194:194-"h_l!(Jq"</f>
        <v>#VALUE!</v>
      </c>
      <c r="HE167" t="e">
        <f>Raw!195:195-"h_l!(Jr"</f>
        <v>#VALUE!</v>
      </c>
      <c r="HF167" t="e">
        <f>Raw!196:196-"h_l!(Js"</f>
        <v>#VALUE!</v>
      </c>
      <c r="HG167" t="e">
        <f>Raw!197:197-"h_l!(Jt"</f>
        <v>#VALUE!</v>
      </c>
      <c r="HH167" t="e">
        <f>Raw!198:198-"h_l!(Ju"</f>
        <v>#VALUE!</v>
      </c>
      <c r="HI167" t="e">
        <f>Raw!199:199-"h_l!(Jv"</f>
        <v>#VALUE!</v>
      </c>
      <c r="HJ167" t="e">
        <f>Raw!200:200-"h_l!(Jw"</f>
        <v>#VALUE!</v>
      </c>
      <c r="HK167" t="e">
        <f>Raw!201:201-"h_l!(Jx"</f>
        <v>#VALUE!</v>
      </c>
      <c r="HL167" t="e">
        <f>Raw!202:202-"h_l!(Jy"</f>
        <v>#VALUE!</v>
      </c>
      <c r="HM167" t="e">
        <f>Raw!203:203-"h_l!(Jz"</f>
        <v>#VALUE!</v>
      </c>
      <c r="HN167" t="e">
        <f>Raw!204:204-"h_l!(J{"</f>
        <v>#VALUE!</v>
      </c>
      <c r="HO167" t="e">
        <f>Raw!205:205-"h_l!(J|"</f>
        <v>#VALUE!</v>
      </c>
      <c r="HP167" t="e">
        <f>Raw!206:206-"h_l!(J}"</f>
        <v>#VALUE!</v>
      </c>
      <c r="HQ167" t="e">
        <f>Raw!207:207-"h_l!(J~"</f>
        <v>#VALUE!</v>
      </c>
      <c r="HR167" t="e">
        <f>Raw!208:208-"h_l!(K#"</f>
        <v>#VALUE!</v>
      </c>
      <c r="HS167" t="e">
        <f>Raw!209:209-"h_l!(K$"</f>
        <v>#VALUE!</v>
      </c>
      <c r="HT167" t="e">
        <f>Raw!210:210-"h_l!(K%"</f>
        <v>#VALUE!</v>
      </c>
      <c r="HU167" t="e">
        <f>Raw!211:211-"h_l!(K&amp;"</f>
        <v>#VALUE!</v>
      </c>
      <c r="HV167" t="e">
        <f>Raw!212:212-"h_l!(K'"</f>
        <v>#VALUE!</v>
      </c>
      <c r="HW167" t="e">
        <f>Raw!213:213-"h_l!(K("</f>
        <v>#VALUE!</v>
      </c>
      <c r="HX167" t="e">
        <f>Raw!214:214-"h_l!(K)"</f>
        <v>#VALUE!</v>
      </c>
      <c r="HY167" t="e">
        <f>Raw!215:215-"h_l!(K."</f>
        <v>#VALUE!</v>
      </c>
      <c r="HZ167" t="e">
        <f>Raw!216:216-"h_l!(K/"</f>
        <v>#VALUE!</v>
      </c>
      <c r="IA167" t="e">
        <f>Raw!217:217-"h_l!(K0"</f>
        <v>#VALUE!</v>
      </c>
      <c r="IB167" t="e">
        <f>Raw!218:218-"h_l!(K1"</f>
        <v>#VALUE!</v>
      </c>
      <c r="IC167" t="e">
        <f>Raw!219:219-"h_l!(K2"</f>
        <v>#VALUE!</v>
      </c>
      <c r="ID167" t="e">
        <f>Raw!220:220-"h_l!(K3"</f>
        <v>#VALUE!</v>
      </c>
      <c r="IE167" t="e">
        <f>Raw!221:221-"h_l!(K4"</f>
        <v>#VALUE!</v>
      </c>
      <c r="IF167" t="e">
        <f>Raw!222:222-"h_l!(K5"</f>
        <v>#VALUE!</v>
      </c>
      <c r="IG167" t="e">
        <f>Raw!223:223-"h_l!(K6"</f>
        <v>#VALUE!</v>
      </c>
      <c r="IH167" t="e">
        <f>Raw!224:224-"h_l!(K7"</f>
        <v>#VALUE!</v>
      </c>
      <c r="II167" t="e">
        <f>Raw!225:225-"h_l!(K8"</f>
        <v>#VALUE!</v>
      </c>
      <c r="IJ167" t="e">
        <f>Raw!226:226-"h_l!(K9"</f>
        <v>#VALUE!</v>
      </c>
      <c r="IK167" t="e">
        <f>Raw!227:227-"h_l!(K:"</f>
        <v>#VALUE!</v>
      </c>
      <c r="IL167" t="e">
        <f>Raw!228:228-"h_l!(K;"</f>
        <v>#VALUE!</v>
      </c>
      <c r="IM167" t="e">
        <f>Raw!229:229-"h_l!(K&lt;"</f>
        <v>#VALUE!</v>
      </c>
      <c r="IN167" t="e">
        <f>Raw!230:230-"h_l!(K="</f>
        <v>#VALUE!</v>
      </c>
      <c r="IO167" t="e">
        <f>Raw!231:231-"h_l!(K&gt;"</f>
        <v>#VALUE!</v>
      </c>
      <c r="IP167" t="e">
        <f>Raw!232:232-"h_l!(K?"</f>
        <v>#VALUE!</v>
      </c>
      <c r="IQ167" t="e">
        <f>Raw!233:233-"h_l!(K@"</f>
        <v>#VALUE!</v>
      </c>
      <c r="IR167" t="e">
        <f>Raw!234:234-"h_l!(KA"</f>
        <v>#VALUE!</v>
      </c>
      <c r="IS167" t="e">
        <f>Raw!235:235-"h_l!(KB"</f>
        <v>#VALUE!</v>
      </c>
      <c r="IT167" t="e">
        <f>Raw!236:236-"h_l!(KC"</f>
        <v>#VALUE!</v>
      </c>
      <c r="IU167" t="e">
        <f>Raw!237:237-"h_l!(KD"</f>
        <v>#VALUE!</v>
      </c>
      <c r="IV167" t="e">
        <f>Raw!238:238-"h_l!(KE"</f>
        <v>#VALUE!</v>
      </c>
    </row>
    <row r="168" spans="6:256" x14ac:dyDescent="0.25">
      <c r="F168" t="e">
        <f>Raw!239:239-"h_l!(KF"</f>
        <v>#VALUE!</v>
      </c>
      <c r="G168" t="e">
        <f>Raw!240:240-"h_l!(KG"</f>
        <v>#VALUE!</v>
      </c>
      <c r="H168" t="e">
        <f>Raw!241:241-"h_l!(KH"</f>
        <v>#VALUE!</v>
      </c>
      <c r="I168" t="e">
        <f>Raw!242:242-"h_l!(KI"</f>
        <v>#VALUE!</v>
      </c>
      <c r="J168" t="e">
        <f>Raw!243:243-"h_l!(KJ"</f>
        <v>#VALUE!</v>
      </c>
      <c r="K168" t="e">
        <f>Raw!244:244-"h_l!(KK"</f>
        <v>#VALUE!</v>
      </c>
      <c r="L168" t="e">
        <f>Raw!245:245-"h_l!(KL"</f>
        <v>#VALUE!</v>
      </c>
      <c r="M168" t="e">
        <f>Raw!246:246-"h_l!(KM"</f>
        <v>#VALUE!</v>
      </c>
      <c r="N168" t="e">
        <f>Raw!247:247-"h_l!(KN"</f>
        <v>#VALUE!</v>
      </c>
      <c r="O168" t="e">
        <f>Raw!248:248-"h_l!(KO"</f>
        <v>#VALUE!</v>
      </c>
      <c r="P168" t="e">
        <f>Raw!249:249-"h_l!(KP"</f>
        <v>#VALUE!</v>
      </c>
      <c r="Q168" t="e">
        <f>Raw!250:250-"h_l!(KQ"</f>
        <v>#VALUE!</v>
      </c>
      <c r="R168" t="e">
        <f>Raw!251:251-"h_l!(KR"</f>
        <v>#VALUE!</v>
      </c>
      <c r="S168" t="e">
        <f>Raw!252:252-"h_l!(KS"</f>
        <v>#VALUE!</v>
      </c>
      <c r="T168" t="e">
        <f>Raw!253:253-"h_l!(KT"</f>
        <v>#VALUE!</v>
      </c>
      <c r="U168" t="e">
        <f>Raw!254:254-"h_l!(KU"</f>
        <v>#VALUE!</v>
      </c>
      <c r="V168" t="e">
        <f>Raw!255:255-"h_l!(KV"</f>
        <v>#VALUE!</v>
      </c>
      <c r="W168" t="e">
        <f>Raw!256:256-"h_l!(KW"</f>
        <v>#VALUE!</v>
      </c>
      <c r="X168" t="e">
        <f>Raw!257:257-"h_l!(KX"</f>
        <v>#VALUE!</v>
      </c>
      <c r="Y168" t="e">
        <f>Raw!258:258-"h_l!(KY"</f>
        <v>#VALUE!</v>
      </c>
      <c r="Z168" t="e">
        <f>Raw!259:259-"h_l!(KZ"</f>
        <v>#VALUE!</v>
      </c>
      <c r="AA168" t="e">
        <f>Raw!260:260-"h_l!(K["</f>
        <v>#VALUE!</v>
      </c>
      <c r="AB168" t="e">
        <f>Raw!261:261-"h_l!(K\"</f>
        <v>#VALUE!</v>
      </c>
      <c r="AC168" t="e">
        <f>Raw!262:262-"h_l!(K]"</f>
        <v>#VALUE!</v>
      </c>
      <c r="AD168" t="e">
        <f>Raw!263:263-"h_l!(K^"</f>
        <v>#VALUE!</v>
      </c>
      <c r="AE168" t="e">
        <f>Raw!264:264-"h_l!(K_"</f>
        <v>#VALUE!</v>
      </c>
      <c r="AF168" t="e">
        <f>Raw!265:265-"h_l!(K`"</f>
        <v>#VALUE!</v>
      </c>
      <c r="AG168" t="e">
        <f>Raw!266:266-"h_l!(Ka"</f>
        <v>#VALUE!</v>
      </c>
      <c r="AH168" t="e">
        <f>Raw!267:267-"h_l!(Kb"</f>
        <v>#VALUE!</v>
      </c>
      <c r="AI168" t="e">
        <f>Raw!268:268-"h_l!(Kc"</f>
        <v>#VALUE!</v>
      </c>
      <c r="AJ168" t="e">
        <f>Raw!269:269-"h_l!(Kd"</f>
        <v>#VALUE!</v>
      </c>
      <c r="AK168" t="e">
        <f>Raw!270:270-"h_l!(Ke"</f>
        <v>#VALUE!</v>
      </c>
      <c r="AL168" t="e">
        <f>Raw!271:271-"h_l!(Kf"</f>
        <v>#VALUE!</v>
      </c>
      <c r="AM168" t="e">
        <f>Raw!272:272-"h_l!(Kg"</f>
        <v>#VALUE!</v>
      </c>
      <c r="AN168" t="e">
        <f>Raw!273:273-"h_l!(Kh"</f>
        <v>#VALUE!</v>
      </c>
      <c r="AO168" t="e">
        <f>Raw!274:274-"h_l!(Ki"</f>
        <v>#VALUE!</v>
      </c>
      <c r="AP168" t="e">
        <f>Raw!275:275-"h_l!(Kj"</f>
        <v>#VALUE!</v>
      </c>
      <c r="AQ168" t="e">
        <f>Raw!276:276-"h_l!(Kk"</f>
        <v>#VALUE!</v>
      </c>
      <c r="AR168" t="e">
        <f>Raw!277:277-"h_l!(Kl"</f>
        <v>#VALUE!</v>
      </c>
      <c r="AS168" t="e">
        <f>Raw!278:278-"h_l!(Km"</f>
        <v>#VALUE!</v>
      </c>
      <c r="AT168" t="e">
        <f>Raw!279:279-"h_l!(Kn"</f>
        <v>#VALUE!</v>
      </c>
      <c r="AU168" t="e">
        <f>Raw!280:280-"h_l!(Ko"</f>
        <v>#VALUE!</v>
      </c>
      <c r="AV168" t="e">
        <f>Raw!281:281-"h_l!(Kp"</f>
        <v>#VALUE!</v>
      </c>
      <c r="AW168" t="e">
        <f>Raw!282:282-"h_l!(Kq"</f>
        <v>#VALUE!</v>
      </c>
      <c r="AX168" t="e">
        <f>Raw!283:283-"h_l!(Kr"</f>
        <v>#VALUE!</v>
      </c>
      <c r="AY168" t="e">
        <f>Raw!284:284-"h_l!(Ks"</f>
        <v>#VALUE!</v>
      </c>
      <c r="AZ168" t="e">
        <f>Raw!285:285-"h_l!(Kt"</f>
        <v>#VALUE!</v>
      </c>
      <c r="BA168" t="e">
        <f>Raw!286:286-"h_l!(Ku"</f>
        <v>#VALUE!</v>
      </c>
      <c r="BB168" t="e">
        <f>Raw!287:287-"h_l!(Kv"</f>
        <v>#VALUE!</v>
      </c>
      <c r="BC168" t="e">
        <f>Raw!288:288-"h_l!(Kw"</f>
        <v>#VALUE!</v>
      </c>
      <c r="BD168" t="e">
        <f>Raw!289:289-"h_l!(Kx"</f>
        <v>#VALUE!</v>
      </c>
      <c r="BE168" t="e">
        <f>Raw!290:290-"h_l!(Ky"</f>
        <v>#VALUE!</v>
      </c>
      <c r="BF168" t="e">
        <f>Raw!291:291-"h_l!(Kz"</f>
        <v>#VALUE!</v>
      </c>
      <c r="BG168" t="e">
        <f>Raw!292:292-"h_l!(K{"</f>
        <v>#VALUE!</v>
      </c>
      <c r="BH168" t="e">
        <f>Raw!293:293-"h_l!(K|"</f>
        <v>#VALUE!</v>
      </c>
      <c r="BI168" t="e">
        <f>Raw!294:294-"h_l!(K}"</f>
        <v>#VALUE!</v>
      </c>
      <c r="BJ168" t="e">
        <f>Raw!295:295-"h_l!(K~"</f>
        <v>#VALUE!</v>
      </c>
      <c r="BK168" t="e">
        <f>Raw!296:296-"h_l!(L#"</f>
        <v>#VALUE!</v>
      </c>
      <c r="BL168" t="e">
        <f>Raw!297:297-"h_l!(L$"</f>
        <v>#VALUE!</v>
      </c>
      <c r="BM168" t="e">
        <f>Raw!298:298-"h_l!(L%"</f>
        <v>#VALUE!</v>
      </c>
      <c r="BN168" t="e">
        <f>Raw!299:299-"h_l!(L&amp;"</f>
        <v>#VALUE!</v>
      </c>
      <c r="BO168" t="e">
        <f>Raw!300:300-"h_l!(L'"</f>
        <v>#VALUE!</v>
      </c>
      <c r="BP168" t="e">
        <f>Raw!301:301-"h_l!(L("</f>
        <v>#VALUE!</v>
      </c>
      <c r="BQ168" t="e">
        <f>Raw!302:302-"h_l!(L)"</f>
        <v>#VALUE!</v>
      </c>
      <c r="BR168" t="e">
        <f>Raw!303:303-"h_l!(L."</f>
        <v>#VALUE!</v>
      </c>
      <c r="BS168" t="e">
        <f>Raw!304:304-"h_l!(L/"</f>
        <v>#VALUE!</v>
      </c>
      <c r="BT168" t="e">
        <f>Raw!305:305-"h_l!(L0"</f>
        <v>#VALUE!</v>
      </c>
      <c r="BU168" t="e">
        <f>Raw!306:306-"h_l!(L1"</f>
        <v>#VALUE!</v>
      </c>
      <c r="BV168" t="e">
        <f>Raw!307:307-"h_l!(L2"</f>
        <v>#VALUE!</v>
      </c>
      <c r="BW168" t="e">
        <f>Raw!308:308-"h_l!(L3"</f>
        <v>#VALUE!</v>
      </c>
      <c r="BX168" t="e">
        <f>Raw!309:309-"h_l!(L4"</f>
        <v>#VALUE!</v>
      </c>
      <c r="BY168" t="e">
        <f>Raw!310:310-"h_l!(L5"</f>
        <v>#VALUE!</v>
      </c>
      <c r="BZ168" t="e">
        <f>Raw!311:311-"h_l!(L6"</f>
        <v>#VALUE!</v>
      </c>
      <c r="CA168" t="e">
        <f>Raw!312:312-"h_l!(L7"</f>
        <v>#VALUE!</v>
      </c>
      <c r="CB168" t="e">
        <f>Raw!313:313-"h_l!(L8"</f>
        <v>#VALUE!</v>
      </c>
      <c r="CC168" t="e">
        <f>Raw!314:314-"h_l!(L9"</f>
        <v>#VALUE!</v>
      </c>
      <c r="CD168" t="e">
        <f>Raw!315:315-"h_l!(L:"</f>
        <v>#VALUE!</v>
      </c>
      <c r="CE168" t="e">
        <f>Raw!316:316-"h_l!(L;"</f>
        <v>#VALUE!</v>
      </c>
      <c r="CF168" t="e">
        <f>Raw!317:317-"h_l!(L&lt;"</f>
        <v>#VALUE!</v>
      </c>
      <c r="CG168" t="e">
        <f>Raw!318:318-"h_l!(L="</f>
        <v>#VALUE!</v>
      </c>
      <c r="CH168" t="e">
        <f>Raw!319:319-"h_l!(L&gt;"</f>
        <v>#VALUE!</v>
      </c>
      <c r="CI168" t="e">
        <f>Raw!320:320-"h_l!(L?"</f>
        <v>#VALUE!</v>
      </c>
      <c r="CJ168" t="e">
        <f>Raw!321:321-"h_l!(L@"</f>
        <v>#VALUE!</v>
      </c>
      <c r="CK168" t="e">
        <f>Raw!322:322-"h_l!(LA"</f>
        <v>#VALUE!</v>
      </c>
      <c r="CL168" t="e">
        <f>Raw!323:323-"h_l!(LB"</f>
        <v>#VALUE!</v>
      </c>
      <c r="CM168" t="e">
        <f>Raw!324:324-"h_l!(LC"</f>
        <v>#VALUE!</v>
      </c>
      <c r="CN168" t="e">
        <f>Raw!325:325-"h_l!(LD"</f>
        <v>#VALUE!</v>
      </c>
      <c r="CO168" t="e">
        <f>Raw!326:326-"h_l!(LE"</f>
        <v>#VALUE!</v>
      </c>
      <c r="CP168" t="e">
        <f>Raw!327:327-"h_l!(LF"</f>
        <v>#VALUE!</v>
      </c>
      <c r="CQ168" t="e">
        <f>Raw!328:328-"h_l!(LG"</f>
        <v>#VALUE!</v>
      </c>
      <c r="CR168" t="e">
        <f>Raw!329:329-"h_l!(LH"</f>
        <v>#VALUE!</v>
      </c>
      <c r="CS168" t="e">
        <f>Raw!330:330-"h_l!(LI"</f>
        <v>#VALUE!</v>
      </c>
      <c r="CT168" t="e">
        <f>Raw!331:331-"h_l!(LJ"</f>
        <v>#VALUE!</v>
      </c>
      <c r="CU168" t="e">
        <f>Raw!332:332-"h_l!(LK"</f>
        <v>#VALUE!</v>
      </c>
      <c r="CV168" t="e">
        <f>Raw!333:333-"h_l!(LL"</f>
        <v>#VALUE!</v>
      </c>
      <c r="CW168" t="e">
        <f>Raw!334:334-"h_l!(LM"</f>
        <v>#VALUE!</v>
      </c>
      <c r="CX168" t="e">
        <f>Raw!335:335-"h_l!(LN"</f>
        <v>#VALUE!</v>
      </c>
      <c r="CY168" t="e">
        <f>Raw!336:336-"h_l!(LO"</f>
        <v>#VALUE!</v>
      </c>
      <c r="CZ168" t="e">
        <f>Raw!337:337-"h_l!(LP"</f>
        <v>#VALUE!</v>
      </c>
      <c r="DA168" t="e">
        <f>Raw!338:338-"h_l!(LQ"</f>
        <v>#VALUE!</v>
      </c>
      <c r="DB168" t="e">
        <f>Raw!339:339-"h_l!(LR"</f>
        <v>#VALUE!</v>
      </c>
      <c r="DC168" t="e">
        <f>Raw!340:340-"h_l!(LS"</f>
        <v>#VALUE!</v>
      </c>
      <c r="DD168" t="e">
        <f>Raw!341:341-"h_l!(LT"</f>
        <v>#VALUE!</v>
      </c>
      <c r="DE168" t="e">
        <f>Raw!342:342-"h_l!(LU"</f>
        <v>#VALUE!</v>
      </c>
      <c r="DF168" t="e">
        <f>Raw!343:343-"h_l!(LV"</f>
        <v>#VALUE!</v>
      </c>
      <c r="DG168" t="e">
        <f>Raw!344:344-"h_l!(LW"</f>
        <v>#VALUE!</v>
      </c>
      <c r="DH168" t="e">
        <f>Raw!345:345-"h_l!(LX"</f>
        <v>#VALUE!</v>
      </c>
      <c r="DI168" t="e">
        <f>Raw!346:346-"h_l!(LY"</f>
        <v>#VALUE!</v>
      </c>
      <c r="DJ168" t="e">
        <f>Raw!347:347-"h_l!(LZ"</f>
        <v>#VALUE!</v>
      </c>
      <c r="DK168" t="e">
        <f>Raw!348:348-"h_l!(L["</f>
        <v>#VALUE!</v>
      </c>
      <c r="DL168" t="e">
        <f>Raw!349:349-"h_l!(L\"</f>
        <v>#VALUE!</v>
      </c>
      <c r="DM168" t="e">
        <f>Raw!350:350-"h_l!(L]"</f>
        <v>#VALUE!</v>
      </c>
      <c r="DN168" t="e">
        <f>Raw!351:351-"h_l!(L^"</f>
        <v>#VALUE!</v>
      </c>
      <c r="DO168" t="e">
        <f>Raw!352:352-"h_l!(L_"</f>
        <v>#VALUE!</v>
      </c>
      <c r="DP168" t="e">
        <f>Raw!353:353-"h_l!(L`"</f>
        <v>#VALUE!</v>
      </c>
      <c r="DQ168" t="e">
        <f>Raw!354:354-"h_l!(La"</f>
        <v>#VALUE!</v>
      </c>
      <c r="DR168" t="e">
        <f>Raw!355:355-"h_l!(Lb"</f>
        <v>#VALUE!</v>
      </c>
      <c r="DS168" t="e">
        <f>Raw!356:356-"h_l!(Lc"</f>
        <v>#VALUE!</v>
      </c>
      <c r="DT168" t="e">
        <f>Raw!357:357-"h_l!(Ld"</f>
        <v>#VALUE!</v>
      </c>
      <c r="DU168" t="e">
        <f>Raw!358:358-"h_l!(Le"</f>
        <v>#VALUE!</v>
      </c>
      <c r="DV168" t="e">
        <f>Raw!359:359-"h_l!(Lf"</f>
        <v>#VALUE!</v>
      </c>
      <c r="DW168" t="e">
        <f>Raw!360:360-"h_l!(Lg"</f>
        <v>#VALUE!</v>
      </c>
      <c r="DX168" t="e">
        <f>Raw!361:361-"h_l!(Lh"</f>
        <v>#VALUE!</v>
      </c>
      <c r="DY168" t="e">
        <f>Raw!362:362-"h_l!(Li"</f>
        <v>#VALUE!</v>
      </c>
      <c r="DZ168" t="e">
        <f>Raw!363:363-"h_l!(Lj"</f>
        <v>#VALUE!</v>
      </c>
      <c r="EA168" t="e">
        <f>Raw!364:364-"h_l!(Lk"</f>
        <v>#VALUE!</v>
      </c>
      <c r="EB168" t="e">
        <f>Raw!365:365-"h_l!(Ll"</f>
        <v>#VALUE!</v>
      </c>
      <c r="EC168" t="e">
        <f>Raw!366:366-"h_l!(Lm"</f>
        <v>#VALUE!</v>
      </c>
      <c r="ED168" t="e">
        <f>Raw!367:367-"h_l!(Ln"</f>
        <v>#VALUE!</v>
      </c>
      <c r="EE168" t="e">
        <f>Raw!368:368-"h_l!(Lo"</f>
        <v>#VALUE!</v>
      </c>
      <c r="EF168" t="e">
        <f>Raw!369:369-"h_l!(Lp"</f>
        <v>#VALUE!</v>
      </c>
      <c r="EG168" t="e">
        <f>Raw!370:370-"h_l!(Lq"</f>
        <v>#VALUE!</v>
      </c>
      <c r="EH168" t="e">
        <f>Raw!371:371-"h_l!(Lr"</f>
        <v>#VALUE!</v>
      </c>
      <c r="EI168" t="e">
        <f>Raw!372:372-"h_l!(Ls"</f>
        <v>#VALUE!</v>
      </c>
      <c r="EJ168" t="e">
        <f>Raw!373:373-"h_l!(Lt"</f>
        <v>#VALUE!</v>
      </c>
      <c r="EK168" t="e">
        <f>Raw!374:374-"h_l!(Lu"</f>
        <v>#VALUE!</v>
      </c>
      <c r="EL168" t="e">
        <f>Raw!375:375-"h_l!(Lv"</f>
        <v>#VALUE!</v>
      </c>
      <c r="EM168" t="e">
        <f>Raw!376:376-"h_l!(Lw"</f>
        <v>#VALUE!</v>
      </c>
      <c r="EN168" t="e">
        <f>Raw!377:377-"h_l!(Lx"</f>
        <v>#VALUE!</v>
      </c>
      <c r="EO168" t="e">
        <f>Raw!378:378-"h_l!(Ly"</f>
        <v>#VALUE!</v>
      </c>
      <c r="EP168" t="e">
        <f>Raw!379:379-"h_l!(Lz"</f>
        <v>#VALUE!</v>
      </c>
      <c r="EQ168" t="e">
        <f>Raw!380:380-"h_l!(L{"</f>
        <v>#VALUE!</v>
      </c>
      <c r="ER168" t="e">
        <f>Raw!381:381-"h_l!(L|"</f>
        <v>#VALUE!</v>
      </c>
      <c r="ES168" t="e">
        <f>Raw!382:382-"h_l!(L}"</f>
        <v>#VALUE!</v>
      </c>
      <c r="ET168" t="e">
        <f>Raw!383:383-"h_l!(L~"</f>
        <v>#VALUE!</v>
      </c>
      <c r="EU168" t="e">
        <f>Raw!384:384-"h_l!(M#"</f>
        <v>#VALUE!</v>
      </c>
      <c r="EV168" t="e">
        <f>Raw!385:385-"h_l!(M$"</f>
        <v>#VALUE!</v>
      </c>
      <c r="EW168" t="e">
        <f>Raw!386:386-"h_l!(M%"</f>
        <v>#VALUE!</v>
      </c>
      <c r="EX168" t="e">
        <f>Raw!387:387-"h_l!(M&amp;"</f>
        <v>#VALUE!</v>
      </c>
      <c r="EY168" t="e">
        <f>Raw!388:388-"h_l!(M'"</f>
        <v>#VALUE!</v>
      </c>
      <c r="EZ168" t="e">
        <f>Raw!389:389-"h_l!(M("</f>
        <v>#VALUE!</v>
      </c>
      <c r="FA168" t="e">
        <f>Raw!390:390-"h_l!(M)"</f>
        <v>#VALUE!</v>
      </c>
      <c r="FB168" t="e">
        <f>Raw!391:391-"h_l!(M."</f>
        <v>#VALUE!</v>
      </c>
      <c r="FC168" t="e">
        <f>Raw!392:392-"h_l!(M/"</f>
        <v>#VALUE!</v>
      </c>
      <c r="FD168" t="e">
        <f>Raw!393:393-"h_l!(M0"</f>
        <v>#VALUE!</v>
      </c>
      <c r="FE168" t="e">
        <f>Raw!394:394-"h_l!(M1"</f>
        <v>#VALUE!</v>
      </c>
      <c r="FF168" t="e">
        <f>Raw!395:395-"h_l!(M2"</f>
        <v>#VALUE!</v>
      </c>
      <c r="FG168" t="e">
        <f>Raw!396:396-"h_l!(M3"</f>
        <v>#VALUE!</v>
      </c>
      <c r="FH168" t="e">
        <f>Raw!397:397-"h_l!(M4"</f>
        <v>#VALUE!</v>
      </c>
      <c r="FI168" t="e">
        <f>Raw!398:398-"h_l!(M5"</f>
        <v>#VALUE!</v>
      </c>
      <c r="FJ168" t="e">
        <f>Raw!399:399-"h_l!(M6"</f>
        <v>#VALUE!</v>
      </c>
      <c r="FK168" t="e">
        <f>Raw!400:400-"h_l!(M7"</f>
        <v>#VALUE!</v>
      </c>
      <c r="FL168" t="e">
        <f>Raw!401:401-"h_l!(M8"</f>
        <v>#VALUE!</v>
      </c>
      <c r="FM168" t="e">
        <f>Raw!402:402-"h_l!(M9"</f>
        <v>#VALUE!</v>
      </c>
      <c r="FN168" t="e">
        <f>Raw!403:403-"h_l!(M:"</f>
        <v>#VALUE!</v>
      </c>
      <c r="FO168" t="e">
        <f>Raw!404:404-"h_l!(M;"</f>
        <v>#VALUE!</v>
      </c>
      <c r="FP168" t="e">
        <f>Raw!405:405-"h_l!(M&lt;"</f>
        <v>#VALUE!</v>
      </c>
      <c r="FQ168" t="e">
        <f>Raw!406:406-"h_l!(M="</f>
        <v>#VALUE!</v>
      </c>
      <c r="FR168" t="e">
        <f>Raw!407:407-"h_l!(M&gt;"</f>
        <v>#VALUE!</v>
      </c>
      <c r="FS168" t="e">
        <f>Raw!408:408-"h_l!(M?"</f>
        <v>#VALUE!</v>
      </c>
      <c r="FT168" t="e">
        <f>Raw!409:409-"h_l!(M@"</f>
        <v>#VALUE!</v>
      </c>
      <c r="FU168" t="e">
        <f>Raw!410:410-"h_l!(MA"</f>
        <v>#VALUE!</v>
      </c>
      <c r="FV168" t="e">
        <f>Raw!411:411-"h_l!(MB"</f>
        <v>#VALUE!</v>
      </c>
      <c r="FW168" t="e">
        <f>Raw!412:412-"h_l!(MC"</f>
        <v>#VALUE!</v>
      </c>
      <c r="FX168" t="e">
        <f>Raw!413:413-"h_l!(MD"</f>
        <v>#VALUE!</v>
      </c>
      <c r="FY168" t="e">
        <f>Raw!414:414-"h_l!(ME"</f>
        <v>#VALUE!</v>
      </c>
      <c r="FZ168" t="e">
        <f>Raw!415:415-"h_l!(MF"</f>
        <v>#VALUE!</v>
      </c>
      <c r="GA168" t="e">
        <f>Raw!416:416-"h_l!(MG"</f>
        <v>#VALUE!</v>
      </c>
      <c r="GB168" t="e">
        <f>Raw!417:417-"h_l!(MH"</f>
        <v>#VALUE!</v>
      </c>
      <c r="GC168" t="e">
        <f>Raw!418:418-"h_l!(MI"</f>
        <v>#VALUE!</v>
      </c>
      <c r="GD168" t="e">
        <f>Raw!419:419-"h_l!(MJ"</f>
        <v>#VALUE!</v>
      </c>
      <c r="GE168" t="e">
        <f>Raw!420:420-"h_l!(MK"</f>
        <v>#VALUE!</v>
      </c>
      <c r="GF168" t="e">
        <f>Raw!421:421-"h_l!(ML"</f>
        <v>#VALUE!</v>
      </c>
      <c r="GG168" t="e">
        <f>Raw!422:422-"h_l!(MM"</f>
        <v>#VALUE!</v>
      </c>
      <c r="GH168" t="e">
        <f>Raw!423:423-"h_l!(MN"</f>
        <v>#VALUE!</v>
      </c>
      <c r="GI168" t="e">
        <f>Raw!424:424-"h_l!(MO"</f>
        <v>#VALUE!</v>
      </c>
      <c r="GJ168" t="e">
        <f>Raw!425:425-"h_l!(MP"</f>
        <v>#VALUE!</v>
      </c>
      <c r="GK168" t="e">
        <f>Raw!426:426-"h_l!(MQ"</f>
        <v>#VALUE!</v>
      </c>
      <c r="GL168" t="e">
        <f>Raw!427:427-"h_l!(MR"</f>
        <v>#VALUE!</v>
      </c>
      <c r="GM168" t="e">
        <f>Raw!428:428-"h_l!(MS"</f>
        <v>#VALUE!</v>
      </c>
      <c r="GN168" t="e">
        <f>Raw!429:429-"h_l!(MT"</f>
        <v>#VALUE!</v>
      </c>
      <c r="GO168" t="e">
        <f>Raw!430:430-"h_l!(MU"</f>
        <v>#VALUE!</v>
      </c>
      <c r="GP168" t="e">
        <f>Raw!431:431-"h_l!(MV"</f>
        <v>#VALUE!</v>
      </c>
      <c r="GQ168" t="e">
        <f>Raw!432:432-"h_l!(MW"</f>
        <v>#VALUE!</v>
      </c>
      <c r="GR168" t="e">
        <f>Raw!433:433-"h_l!(MX"</f>
        <v>#VALUE!</v>
      </c>
      <c r="GS168" t="e">
        <f>Raw!434:434-"h_l!(MY"</f>
        <v>#VALUE!</v>
      </c>
      <c r="GT168" t="e">
        <f>Raw!435:435-"h_l!(MZ"</f>
        <v>#VALUE!</v>
      </c>
      <c r="GU168" t="e">
        <f>Raw!436:436-"h_l!(M["</f>
        <v>#VALUE!</v>
      </c>
      <c r="GV168" t="e">
        <f>Raw!437:437-"h_l!(M\"</f>
        <v>#VALUE!</v>
      </c>
      <c r="GW168" t="e">
        <f>Raw!438:438-"h_l!(M]"</f>
        <v>#VALUE!</v>
      </c>
      <c r="GX168" t="e">
        <f>Raw!439:439-"h_l!(M^"</f>
        <v>#VALUE!</v>
      </c>
      <c r="GY168" t="e">
        <f>Raw!440:440-"h_l!(M_"</f>
        <v>#VALUE!</v>
      </c>
      <c r="GZ168" t="e">
        <f>Raw!441:441-"h_l!(M`"</f>
        <v>#VALUE!</v>
      </c>
      <c r="HA168" t="e">
        <f>Raw!442:442-"h_l!(Ma"</f>
        <v>#VALUE!</v>
      </c>
      <c r="HB168" t="e">
        <f>Raw!443:443-"h_l!(Mb"</f>
        <v>#VALUE!</v>
      </c>
      <c r="HC168" t="e">
        <f>Raw!444:444-"h_l!(Mc"</f>
        <v>#VALUE!</v>
      </c>
      <c r="HD168" t="e">
        <f>Raw!445:445-"h_l!(Md"</f>
        <v>#VALUE!</v>
      </c>
      <c r="HE168" t="e">
        <f>Raw!446:446-"h_l!(Me"</f>
        <v>#VALUE!</v>
      </c>
      <c r="HF168" t="e">
        <f>Raw!447:447-"h_l!(Mf"</f>
        <v>#VALUE!</v>
      </c>
      <c r="HG168" t="e">
        <f>Raw!448:448-"h_l!(Mg"</f>
        <v>#VALUE!</v>
      </c>
      <c r="HH168" t="e">
        <f>Raw!449:449-"h_l!(Mh"</f>
        <v>#VALUE!</v>
      </c>
      <c r="HI168" t="e">
        <f>Raw!450:450-"h_l!(Mi"</f>
        <v>#VALUE!</v>
      </c>
      <c r="HJ168" t="e">
        <f>Raw!451:451-"h_l!(Mj"</f>
        <v>#VALUE!</v>
      </c>
      <c r="HK168" t="e">
        <f>Raw!452:452-"h_l!(Mk"</f>
        <v>#VALUE!</v>
      </c>
      <c r="HL168" t="e">
        <f>Raw!453:453-"h_l!(Ml"</f>
        <v>#VALUE!</v>
      </c>
      <c r="HM168" t="e">
        <f>Raw!454:454-"h_l!(Mm"</f>
        <v>#VALUE!</v>
      </c>
      <c r="HN168" t="e">
        <f>Raw!455:455-"h_l!(Mn"</f>
        <v>#VALUE!</v>
      </c>
      <c r="HO168" t="e">
        <f>Raw!456:456-"h_l!(Mo"</f>
        <v>#VALUE!</v>
      </c>
      <c r="HP168" t="e">
        <f>Raw!457:457-"h_l!(Mp"</f>
        <v>#VALUE!</v>
      </c>
      <c r="HQ168" t="e">
        <f>Raw!458:458-"h_l!(Mq"</f>
        <v>#VALUE!</v>
      </c>
      <c r="HR168" t="e">
        <f>Raw!459:459-"h_l!(Mr"</f>
        <v>#VALUE!</v>
      </c>
      <c r="HS168" t="e">
        <f>Raw!460:460-"h_l!(Ms"</f>
        <v>#VALUE!</v>
      </c>
      <c r="HT168" t="e">
        <f>Raw!461:461-"h_l!(Mt"</f>
        <v>#VALUE!</v>
      </c>
      <c r="HU168" t="e">
        <f>Raw!462:462-"h_l!(Mu"</f>
        <v>#VALUE!</v>
      </c>
      <c r="HV168" t="e">
        <f>Raw!463:463-"h_l!(Mv"</f>
        <v>#VALUE!</v>
      </c>
      <c r="HW168" t="e">
        <f>Raw!464:464-"h_l!(Mw"</f>
        <v>#VALUE!</v>
      </c>
      <c r="HX168" t="e">
        <f>Raw!465:465-"h_l!(Mx"</f>
        <v>#VALUE!</v>
      </c>
      <c r="HY168" t="e">
        <f>Raw!466:466-"h_l!(My"</f>
        <v>#VALUE!</v>
      </c>
      <c r="HZ168" t="e">
        <f>Raw!467:467-"h_l!(Mz"</f>
        <v>#VALUE!</v>
      </c>
      <c r="IA168" t="e">
        <f>Raw!468:468-"h_l!(M{"</f>
        <v>#VALUE!</v>
      </c>
      <c r="IB168" t="e">
        <f>Raw!469:469-"h_l!(M|"</f>
        <v>#VALUE!</v>
      </c>
      <c r="IC168" t="e">
        <f>Raw!470:470-"h_l!(M}"</f>
        <v>#VALUE!</v>
      </c>
      <c r="ID168" t="e">
        <f>Raw!471:471-"h_l!(M~"</f>
        <v>#VALUE!</v>
      </c>
      <c r="IE168" t="e">
        <f>Raw!472:472-"h_l!(N#"</f>
        <v>#VALUE!</v>
      </c>
      <c r="IF168" t="e">
        <f>Raw!473:473-"h_l!(N$"</f>
        <v>#VALUE!</v>
      </c>
      <c r="IG168" t="e">
        <f>Raw!474:474-"h_l!(N%"</f>
        <v>#VALUE!</v>
      </c>
      <c r="IH168" t="e">
        <f>Raw!475:475-"h_l!(N&amp;"</f>
        <v>#VALUE!</v>
      </c>
      <c r="II168" t="e">
        <f>Raw!476:476-"h_l!(N'"</f>
        <v>#VALUE!</v>
      </c>
      <c r="IJ168" t="e">
        <f>Raw!477:477-"h_l!(N("</f>
        <v>#VALUE!</v>
      </c>
      <c r="IK168" t="e">
        <f>Raw!478:478-"h_l!(N)"</f>
        <v>#VALUE!</v>
      </c>
      <c r="IL168" t="e">
        <f>Raw!479:479-"h_l!(N."</f>
        <v>#VALUE!</v>
      </c>
      <c r="IM168" t="e">
        <f>Raw!480:480-"h_l!(N/"</f>
        <v>#VALUE!</v>
      </c>
      <c r="IN168" t="e">
        <f>Raw!481:481-"h_l!(N0"</f>
        <v>#VALUE!</v>
      </c>
      <c r="IO168" t="e">
        <f>Raw!482:482-"h_l!(N1"</f>
        <v>#VALUE!</v>
      </c>
      <c r="IP168" t="e">
        <f>Raw!483:483-"h_l!(N2"</f>
        <v>#VALUE!</v>
      </c>
      <c r="IQ168" t="e">
        <f>Raw!484:484-"h_l!(N3"</f>
        <v>#VALUE!</v>
      </c>
      <c r="IR168" t="e">
        <f>Raw!485:485-"h_l!(N4"</f>
        <v>#VALUE!</v>
      </c>
      <c r="IS168" t="e">
        <f>Raw!486:486-"h_l!(N5"</f>
        <v>#VALUE!</v>
      </c>
      <c r="IT168" t="e">
        <f>Raw!487:487-"h_l!(N6"</f>
        <v>#VALUE!</v>
      </c>
      <c r="IU168" t="e">
        <f>Raw!488:488-"h_l!(N7"</f>
        <v>#VALUE!</v>
      </c>
      <c r="IV168" t="e">
        <f>Raw!489:489-"h_l!(N8"</f>
        <v>#VALUE!</v>
      </c>
    </row>
    <row r="169" spans="6:256" x14ac:dyDescent="0.25">
      <c r="F169" t="e">
        <f>Raw!490:490-"h_l!(N9"</f>
        <v>#VALUE!</v>
      </c>
      <c r="G169" t="e">
        <f>Raw!491:491-"h_l!(N:"</f>
        <v>#VALUE!</v>
      </c>
      <c r="H169" t="e">
        <f>Raw!492:492-"h_l!(N;"</f>
        <v>#VALUE!</v>
      </c>
      <c r="I169" t="e">
        <f>Raw!493:493-"h_l!(N&lt;"</f>
        <v>#VALUE!</v>
      </c>
      <c r="J169" t="e">
        <f>Raw!494:494-"h_l!(N="</f>
        <v>#VALUE!</v>
      </c>
      <c r="K169" t="e">
        <f>Raw!495:495-"h_l!(N&gt;"</f>
        <v>#VALUE!</v>
      </c>
      <c r="L169" t="e">
        <f>Raw!496:496-"h_l!(N?"</f>
        <v>#VALUE!</v>
      </c>
      <c r="M169" t="e">
        <f>Raw!497:497-"h_l!(N@"</f>
        <v>#VALUE!</v>
      </c>
      <c r="N169" t="e">
        <f>Raw!498:498-"h_l!(NA"</f>
        <v>#VALUE!</v>
      </c>
      <c r="O169" t="e">
        <f>Raw!499:499-"h_l!(NB"</f>
        <v>#VALUE!</v>
      </c>
      <c r="P169" t="e">
        <f>Raw!500:500-"h_l!(NC"</f>
        <v>#VALUE!</v>
      </c>
      <c r="Q169" t="e">
        <f>Raw!501:501-"h_l!(ND"</f>
        <v>#VALUE!</v>
      </c>
      <c r="R169" t="e">
        <f>Raw!502:502-"h_l!(NE"</f>
        <v>#VALUE!</v>
      </c>
      <c r="S169" t="e">
        <f>Raw!503:503-"h_l!(NF"</f>
        <v>#VALUE!</v>
      </c>
      <c r="T169" t="e">
        <f>Raw!504:504-"h_l!(NG"</f>
        <v>#VALUE!</v>
      </c>
      <c r="U169" t="e">
        <f>Raw!505:505-"h_l!(NH"</f>
        <v>#VALUE!</v>
      </c>
      <c r="V169" t="e">
        <f>Raw!506:506-"h_l!(NI"</f>
        <v>#VALUE!</v>
      </c>
      <c r="W169" t="e">
        <f>Raw!507:507-"h_l!(NJ"</f>
        <v>#VALUE!</v>
      </c>
      <c r="X169" t="e">
        <f>Raw!508:508-"h_l!(NK"</f>
        <v>#VALUE!</v>
      </c>
      <c r="Y169" t="e">
        <f>Raw!509:509-"h_l!(NL"</f>
        <v>#VALUE!</v>
      </c>
      <c r="Z169" t="e">
        <f>Raw!510:510-"h_l!(NM"</f>
        <v>#VALUE!</v>
      </c>
      <c r="AA169" t="e">
        <f>Raw!511:511-"h_l!(NN"</f>
        <v>#VALUE!</v>
      </c>
      <c r="AB169" t="e">
        <f>Raw!512:512-"h_l!(NO"</f>
        <v>#VALUE!</v>
      </c>
      <c r="AC169" t="e">
        <f>Raw!513:513-"h_l!(NP"</f>
        <v>#VALUE!</v>
      </c>
      <c r="AD169" t="e">
        <f>Raw!514:514-"h_l!(NQ"</f>
        <v>#VALUE!</v>
      </c>
      <c r="AE169" t="e">
        <f>Raw!515:515-"h_l!(NR"</f>
        <v>#VALUE!</v>
      </c>
      <c r="AF169" t="e">
        <f>Raw!516:516-"h_l!(NS"</f>
        <v>#VALUE!</v>
      </c>
      <c r="AG169" t="e">
        <f>Raw!517:517-"h_l!(NT"</f>
        <v>#VALUE!</v>
      </c>
      <c r="AH169" t="e">
        <f>Raw!518:518-"h_l!(NU"</f>
        <v>#VALUE!</v>
      </c>
      <c r="AI169" t="e">
        <f>Raw!519:519-"h_l!(NV"</f>
        <v>#VALUE!</v>
      </c>
      <c r="AJ169" t="e">
        <f>Raw!520:520-"h_l!(NW"</f>
        <v>#VALUE!</v>
      </c>
      <c r="AK169" t="e">
        <f>Raw!521:521-"h_l!(NX"</f>
        <v>#VALUE!</v>
      </c>
      <c r="AL169" t="e">
        <f>Raw!522:522-"h_l!(NY"</f>
        <v>#VALUE!</v>
      </c>
      <c r="AM169" t="e">
        <f>Raw!523:523-"h_l!(NZ"</f>
        <v>#VALUE!</v>
      </c>
      <c r="AN169" t="e">
        <f>Raw!524:524-"h_l!(N["</f>
        <v>#VALUE!</v>
      </c>
      <c r="AO169" t="e">
        <f>Raw!525:525-"h_l!(N\"</f>
        <v>#VALUE!</v>
      </c>
      <c r="AP169" t="e">
        <f>Raw!526:526-"h_l!(N]"</f>
        <v>#VALUE!</v>
      </c>
      <c r="AQ169" t="e">
        <f>Raw!527:527-"h_l!(N^"</f>
        <v>#VALUE!</v>
      </c>
      <c r="AR169" t="e">
        <f>Raw!528:528-"h_l!(N_"</f>
        <v>#VALUE!</v>
      </c>
      <c r="AS169" t="e">
        <f>Raw!529:529-"h_l!(N`"</f>
        <v>#VALUE!</v>
      </c>
      <c r="AT169" t="e">
        <f>Raw!530:530-"h_l!(Na"</f>
        <v>#VALUE!</v>
      </c>
      <c r="AU169" t="e">
        <f>Raw!531:531-"h_l!(Nb"</f>
        <v>#VALUE!</v>
      </c>
      <c r="AV169" t="e">
        <f>Raw!532:532-"h_l!(Nc"</f>
        <v>#VALUE!</v>
      </c>
      <c r="AW169" t="e">
        <f>Raw!533:533-"h_l!(Nd"</f>
        <v>#VALUE!</v>
      </c>
      <c r="AX169" t="e">
        <f>Raw!534:534-"h_l!(Ne"</f>
        <v>#VALUE!</v>
      </c>
      <c r="AY169" t="e">
        <f>Raw!535:535-"h_l!(Nf"</f>
        <v>#VALUE!</v>
      </c>
      <c r="AZ169" t="e">
        <f>Raw!536:536-"h_l!(Ng"</f>
        <v>#VALUE!</v>
      </c>
      <c r="BA169" t="e">
        <f>Raw!537:537-"h_l!(Nh"</f>
        <v>#VALUE!</v>
      </c>
      <c r="BB169" t="e">
        <f>Raw!538:538-"h_l!(Ni"</f>
        <v>#VALUE!</v>
      </c>
      <c r="BC169" t="e">
        <f>Raw!539:539-"h_l!(Nj"</f>
        <v>#VALUE!</v>
      </c>
      <c r="BD169" t="e">
        <f>Raw!540:540-"h_l!(Nk"</f>
        <v>#VALUE!</v>
      </c>
      <c r="BE169" t="e">
        <f>Raw!541:541-"h_l!(Nl"</f>
        <v>#VALUE!</v>
      </c>
      <c r="BF169" t="e">
        <f>Raw!542:542-"h_l!(Nm"</f>
        <v>#VALUE!</v>
      </c>
      <c r="BG169" t="e">
        <f>Raw!543:543-"h_l!(Nn"</f>
        <v>#VALUE!</v>
      </c>
      <c r="BH169" t="e">
        <f>Raw!544:544-"h_l!(No"</f>
        <v>#VALUE!</v>
      </c>
      <c r="BI169" t="e">
        <f>Raw!545:545-"h_l!(Np"</f>
        <v>#VALUE!</v>
      </c>
      <c r="BJ169" t="e">
        <f>Raw!546:546-"h_l!(Nq"</f>
        <v>#VALUE!</v>
      </c>
      <c r="BK169" t="e">
        <f>Raw!547:547-"h_l!(Nr"</f>
        <v>#VALUE!</v>
      </c>
      <c r="BL169" t="e">
        <f>Raw!548:548-"h_l!(Ns"</f>
        <v>#VALUE!</v>
      </c>
      <c r="BM169" t="e">
        <f>Raw!549:549-"h_l!(Nt"</f>
        <v>#VALUE!</v>
      </c>
      <c r="BN169" t="e">
        <f>Raw!550:550-"h_l!(Nu"</f>
        <v>#VALUE!</v>
      </c>
      <c r="BO169" t="e">
        <f>Raw!551:551-"h_l!(Nv"</f>
        <v>#VALUE!</v>
      </c>
      <c r="BP169" t="e">
        <f>Raw!552:552-"h_l!(Nw"</f>
        <v>#VALUE!</v>
      </c>
      <c r="BQ169" t="e">
        <f>Raw!553:553-"h_l!(Nx"</f>
        <v>#VALUE!</v>
      </c>
      <c r="BR169" t="e">
        <f>Raw!554:554-"h_l!(Ny"</f>
        <v>#VALUE!</v>
      </c>
      <c r="BS169" t="e">
        <f>Raw!555:555-"h_l!(Nz"</f>
        <v>#VALUE!</v>
      </c>
      <c r="BT169" t="e">
        <f>Raw!556:556-"h_l!(N{"</f>
        <v>#VALUE!</v>
      </c>
      <c r="BU169" t="e">
        <f>Raw!557:557-"h_l!(N|"</f>
        <v>#VALUE!</v>
      </c>
      <c r="BV169" t="e">
        <f>Raw!558:558-"h_l!(N}"</f>
        <v>#VALUE!</v>
      </c>
      <c r="BW169" t="e">
        <f>Raw!559:559-"h_l!(N~"</f>
        <v>#VALUE!</v>
      </c>
      <c r="BX169" t="e">
        <f>Raw!560:560-"h_l!(O#"</f>
        <v>#VALUE!</v>
      </c>
      <c r="BY169" t="e">
        <f>Raw!561:561-"h_l!(O$"</f>
        <v>#VALUE!</v>
      </c>
      <c r="BZ169" t="e">
        <f>Raw!562:562-"h_l!(O%"</f>
        <v>#VALUE!</v>
      </c>
      <c r="CA169" t="e">
        <f>Raw!563:563-"h_l!(O&amp;"</f>
        <v>#VALUE!</v>
      </c>
      <c r="CB169" t="e">
        <f>Raw!564:564-"h_l!(O'"</f>
        <v>#VALUE!</v>
      </c>
      <c r="CC169" t="e">
        <f>Raw!565:565-"h_l!(O("</f>
        <v>#VALUE!</v>
      </c>
      <c r="CD169" t="e">
        <f>Raw!566:566-"h_l!(O)"</f>
        <v>#VALUE!</v>
      </c>
      <c r="CE169" t="e">
        <f>Raw!567:567-"h_l!(O."</f>
        <v>#VALUE!</v>
      </c>
      <c r="CF169" t="e">
        <f>Raw!568:568-"h_l!(O/"</f>
        <v>#VALUE!</v>
      </c>
      <c r="CG169" t="e">
        <f>Raw!569:569-"h_l!(O0"</f>
        <v>#VALUE!</v>
      </c>
      <c r="CH169" t="e">
        <f>Raw!570:570-"h_l!(O1"</f>
        <v>#VALUE!</v>
      </c>
      <c r="CI169" t="e">
        <f>Raw!571:571-"h_l!(O2"</f>
        <v>#VALUE!</v>
      </c>
      <c r="CJ169" t="e">
        <f>Raw!572:572-"h_l!(O3"</f>
        <v>#VALUE!</v>
      </c>
      <c r="CK169" t="e">
        <f>Raw!573:573-"h_l!(O4"</f>
        <v>#VALUE!</v>
      </c>
      <c r="CL169" t="e">
        <f>Raw!574:574-"h_l!(O5"</f>
        <v>#VALUE!</v>
      </c>
      <c r="CM169" t="e">
        <f>Raw!575:575-"h_l!(O6"</f>
        <v>#VALUE!</v>
      </c>
      <c r="CN169" t="e">
        <f>Raw!576:576-"h_l!(O7"</f>
        <v>#VALUE!</v>
      </c>
      <c r="CO169" t="e">
        <f>Raw!577:577-"h_l!(O8"</f>
        <v>#VALUE!</v>
      </c>
      <c r="CP169" t="e">
        <f>Raw!578:578-"h_l!(O9"</f>
        <v>#VALUE!</v>
      </c>
      <c r="CQ169" t="e">
        <f>Raw!579:579-"h_l!(O:"</f>
        <v>#VALUE!</v>
      </c>
      <c r="CR169" t="e">
        <f>Raw!580:580-"h_l!(O;"</f>
        <v>#VALUE!</v>
      </c>
      <c r="CS169" t="e">
        <f>Raw!581:581-"h_l!(O&lt;"</f>
        <v>#VALUE!</v>
      </c>
      <c r="CT169" t="e">
        <f>Raw!582:582-"h_l!(O="</f>
        <v>#VALUE!</v>
      </c>
      <c r="CU169" t="e">
        <f>Raw!583:583-"h_l!(O&gt;"</f>
        <v>#VALUE!</v>
      </c>
      <c r="CV169" t="e">
        <f>Raw!584:584-"h_l!(O?"</f>
        <v>#VALUE!</v>
      </c>
      <c r="CW169" t="e">
        <f>Raw!585:585-"h_l!(O@"</f>
        <v>#VALUE!</v>
      </c>
      <c r="CX169" t="e">
        <f>Raw!586:586-"h_l!(OA"</f>
        <v>#VALUE!</v>
      </c>
      <c r="CY169" t="e">
        <f>Raw!587:587-"h_l!(OB"</f>
        <v>#VALUE!</v>
      </c>
      <c r="CZ169" t="e">
        <f>Raw!588:588-"h_l!(OC"</f>
        <v>#VALUE!</v>
      </c>
      <c r="DA169" t="e">
        <f>Raw!589:589-"h_l!(OD"</f>
        <v>#VALUE!</v>
      </c>
      <c r="DB169" t="e">
        <f>Raw!590:590-"h_l!(OE"</f>
        <v>#VALUE!</v>
      </c>
      <c r="DC169" t="e">
        <f>Raw!591:591-"h_l!(OF"</f>
        <v>#VALUE!</v>
      </c>
      <c r="DD169" t="e">
        <f>Raw!592:592-"h_l!(OG"</f>
        <v>#VALUE!</v>
      </c>
      <c r="DE169" t="e">
        <f>Raw!593:593-"h_l!(OH"</f>
        <v>#VALUE!</v>
      </c>
      <c r="DF169" t="e">
        <f>Raw!594:594-"h_l!(OI"</f>
        <v>#VALUE!</v>
      </c>
      <c r="DG169" t="e">
        <f>Raw!595:595-"h_l!(OJ"</f>
        <v>#VALUE!</v>
      </c>
      <c r="DH169" t="e">
        <f>Raw!596:596-"h_l!(OK"</f>
        <v>#VALUE!</v>
      </c>
      <c r="DI169" t="e">
        <f>Raw!597:597-"h_l!(OL"</f>
        <v>#VALUE!</v>
      </c>
      <c r="DJ169" t="e">
        <f>Raw!598:598-"h_l!(OM"</f>
        <v>#VALUE!</v>
      </c>
      <c r="DK169" t="e">
        <f>Raw!599:599-"h_l!(ON"</f>
        <v>#VALUE!</v>
      </c>
      <c r="DL169" t="e">
        <f>Raw!600:600-"h_l!(OO"</f>
        <v>#VALUE!</v>
      </c>
      <c r="DM169" t="e">
        <f>Raw!601:601-"h_l!(OP"</f>
        <v>#VALUE!</v>
      </c>
      <c r="DN169" t="e">
        <f>Raw!602:602-"h_l!(OQ"</f>
        <v>#VALUE!</v>
      </c>
      <c r="DO169" t="e">
        <f>Raw!603:603-"h_l!(OR"</f>
        <v>#VALUE!</v>
      </c>
      <c r="DP169" t="e">
        <f>Raw!604:604-"h_l!(OS"</f>
        <v>#VALUE!</v>
      </c>
      <c r="DQ169" t="e">
        <f>Raw!605:605-"h_l!(OT"</f>
        <v>#VALUE!</v>
      </c>
      <c r="DR169" t="e">
        <f>Raw!606:606-"h_l!(OU"</f>
        <v>#VALUE!</v>
      </c>
      <c r="DS169" t="e">
        <f>Raw!607:607-"h_l!(OV"</f>
        <v>#VALUE!</v>
      </c>
      <c r="DT169" t="e">
        <f>Raw!608:608-"h_l!(OW"</f>
        <v>#VALUE!</v>
      </c>
      <c r="DU169" t="e">
        <f>Raw!609:609-"h_l!(OX"</f>
        <v>#VALUE!</v>
      </c>
      <c r="DV169" t="e">
        <f>Raw!610:610-"h_l!(OY"</f>
        <v>#VALUE!</v>
      </c>
      <c r="DW169" t="e">
        <f>Raw!611:611-"h_l!(OZ"</f>
        <v>#VALUE!</v>
      </c>
      <c r="DX169" t="e">
        <f>Raw!612:612-"h_l!(O["</f>
        <v>#VALUE!</v>
      </c>
      <c r="DY169" t="e">
        <f>Raw!613:613-"h_l!(O\"</f>
        <v>#VALUE!</v>
      </c>
      <c r="DZ169" t="e">
        <f>Raw!614:614-"h_l!(O]"</f>
        <v>#VALUE!</v>
      </c>
      <c r="EA169" t="e">
        <f>Raw!615:615-"h_l!(O^"</f>
        <v>#VALUE!</v>
      </c>
      <c r="EB169" t="e">
        <f>Raw!616:616-"h_l!(O_"</f>
        <v>#VALUE!</v>
      </c>
      <c r="EC169" t="e">
        <f>Raw!617:617-"h_l!(O`"</f>
        <v>#VALUE!</v>
      </c>
      <c r="ED169" t="e">
        <f>Raw!618:618-"h_l!(Oa"</f>
        <v>#VALUE!</v>
      </c>
      <c r="EE169" t="e">
        <f>Raw!619:619-"h_l!(Ob"</f>
        <v>#VALUE!</v>
      </c>
      <c r="EF169" t="e">
        <f>Raw!620:620-"h_l!(Oc"</f>
        <v>#VALUE!</v>
      </c>
      <c r="EG169" t="e">
        <f>Raw!621:621-"h_l!(Od"</f>
        <v>#VALUE!</v>
      </c>
      <c r="EH169" t="e">
        <f>Raw!622:622-"h_l!(Oe"</f>
        <v>#VALUE!</v>
      </c>
      <c r="EI169" t="e">
        <f>Raw!623:623-"h_l!(Of"</f>
        <v>#VALUE!</v>
      </c>
      <c r="EJ169" t="e">
        <f>Raw!624:624-"h_l!(Og"</f>
        <v>#VALUE!</v>
      </c>
      <c r="EK169" t="e">
        <f>Raw!625:625-"h_l!(Oh"</f>
        <v>#VALUE!</v>
      </c>
      <c r="EL169" t="e">
        <f>Raw!626:626-"h_l!(Oi"</f>
        <v>#VALUE!</v>
      </c>
      <c r="EM169" t="e">
        <f>Raw!627:627-"h_l!(Oj"</f>
        <v>#VALUE!</v>
      </c>
      <c r="EN169" t="e">
        <f>Raw!628:628-"h_l!(Ok"</f>
        <v>#VALUE!</v>
      </c>
      <c r="EO169" t="e">
        <f>Raw!629:629-"h_l!(Ol"</f>
        <v>#VALUE!</v>
      </c>
      <c r="EP169" t="e">
        <f>Raw!630:630-"h_l!(Om"</f>
        <v>#VALUE!</v>
      </c>
      <c r="EQ169" t="e">
        <f>Raw!631:631-"h_l!(On"</f>
        <v>#VALUE!</v>
      </c>
      <c r="ER169" t="e">
        <f>Raw!632:632-"h_l!(Oo"</f>
        <v>#VALUE!</v>
      </c>
      <c r="ES169" t="e">
        <f>Raw!633:633-"h_l!(Op"</f>
        <v>#VALUE!</v>
      </c>
      <c r="ET169" t="e">
        <f>Raw!634:634-"h_l!(Oq"</f>
        <v>#VALUE!</v>
      </c>
      <c r="EU169" t="e">
        <f>Raw!635:635-"h_l!(Or"</f>
        <v>#VALUE!</v>
      </c>
      <c r="EV169" t="e">
        <f>Raw!636:636-"h_l!(Os"</f>
        <v>#VALUE!</v>
      </c>
      <c r="EW169" t="e">
        <f>Raw!637:637-"h_l!(Ot"</f>
        <v>#VALUE!</v>
      </c>
      <c r="EX169" t="e">
        <f>Raw!638:638-"h_l!(Ou"</f>
        <v>#VALUE!</v>
      </c>
      <c r="EY169" t="e">
        <f>Raw!639:639-"h_l!(Ov"</f>
        <v>#VALUE!</v>
      </c>
      <c r="EZ169" t="e">
        <f>Raw!640:640-"h_l!(Ow"</f>
        <v>#VALUE!</v>
      </c>
      <c r="FA169" t="e">
        <f>Raw!641:641-"h_l!(Ox"</f>
        <v>#VALUE!</v>
      </c>
      <c r="FB169" t="e">
        <f>Raw!642:642-"h_l!(Oy"</f>
        <v>#VALUE!</v>
      </c>
      <c r="FC169" t="e">
        <f>Raw!643:643-"h_l!(Oz"</f>
        <v>#VALUE!</v>
      </c>
      <c r="FD169" t="e">
        <f>Raw!644:644-"h_l!(O{"</f>
        <v>#VALUE!</v>
      </c>
      <c r="FE169" t="e">
        <f>Raw!645:645-"h_l!(O|"</f>
        <v>#VALUE!</v>
      </c>
      <c r="FF169" t="e">
        <f>Raw!646:646-"h_l!(O}"</f>
        <v>#VALUE!</v>
      </c>
      <c r="FG169" t="e">
        <f>Raw!647:647-"h_l!(O~"</f>
        <v>#VALUE!</v>
      </c>
      <c r="FH169" t="e">
        <f>Raw!648:648-"h_l!(P#"</f>
        <v>#VALUE!</v>
      </c>
      <c r="FI169" t="e">
        <f>Raw!649:649-"h_l!(P$"</f>
        <v>#VALUE!</v>
      </c>
      <c r="FJ169" t="e">
        <f>Raw!650:650-"h_l!(P%"</f>
        <v>#VALUE!</v>
      </c>
      <c r="FK169" t="e">
        <f>Raw!651:651-"h_l!(P&amp;"</f>
        <v>#VALUE!</v>
      </c>
      <c r="FL169" t="e">
        <f>Raw!652:652-"h_l!(P'"</f>
        <v>#VALUE!</v>
      </c>
      <c r="FM169" t="e">
        <f>Raw!653:653-"h_l!(P("</f>
        <v>#VALUE!</v>
      </c>
      <c r="FN169" t="e">
        <f>Raw!654:654-"h_l!(P)"</f>
        <v>#VALUE!</v>
      </c>
      <c r="FO169" t="e">
        <f>Raw!655:655-"h_l!(P."</f>
        <v>#VALUE!</v>
      </c>
      <c r="FP169" t="e">
        <f>Raw!656:656-"h_l!(P/"</f>
        <v>#VALUE!</v>
      </c>
      <c r="FQ169" t="e">
        <f>Raw!657:657-"h_l!(P0"</f>
        <v>#VALUE!</v>
      </c>
      <c r="FR169" t="e">
        <f>Raw!658:658-"h_l!(P1"</f>
        <v>#VALUE!</v>
      </c>
      <c r="FS169" t="e">
        <f>Raw!659:659-"h_l!(P2"</f>
        <v>#VALUE!</v>
      </c>
      <c r="FT169" t="e">
        <f>Raw!660:660-"h_l!(P3"</f>
        <v>#VALUE!</v>
      </c>
      <c r="FU169" t="e">
        <f>Raw!661:661-"h_l!(P4"</f>
        <v>#VALUE!</v>
      </c>
      <c r="FV169" t="e">
        <f>Raw!662:662-"h_l!(P5"</f>
        <v>#VALUE!</v>
      </c>
      <c r="FW169" t="e">
        <f>Raw!663:663-"h_l!(P6"</f>
        <v>#VALUE!</v>
      </c>
      <c r="FX169" t="e">
        <f>Raw!664:664-"h_l!(P7"</f>
        <v>#VALUE!</v>
      </c>
      <c r="FY169" t="e">
        <f>Raw!665:665-"h_l!(P8"</f>
        <v>#VALUE!</v>
      </c>
      <c r="FZ169" t="e">
        <f>Raw!666:666-"h_l!(P9"</f>
        <v>#VALUE!</v>
      </c>
      <c r="GA169" t="e">
        <f>Raw!667:667-"h_l!(P:"</f>
        <v>#VALUE!</v>
      </c>
      <c r="GB169" t="e">
        <f>Raw!668:668-"h_l!(P;"</f>
        <v>#VALUE!</v>
      </c>
      <c r="GC169" t="e">
        <f>Raw!669:669-"h_l!(P&lt;"</f>
        <v>#VALUE!</v>
      </c>
      <c r="GD169" t="e">
        <f>Raw!670:670-"h_l!(P="</f>
        <v>#VALUE!</v>
      </c>
      <c r="GE169" t="e">
        <f>Raw!671:671-"h_l!(P&gt;"</f>
        <v>#VALUE!</v>
      </c>
      <c r="GF169" t="e">
        <f>Raw!672:672-"h_l!(P?"</f>
        <v>#VALUE!</v>
      </c>
      <c r="GG169" t="e">
        <f>Raw!673:673-"h_l!(P@"</f>
        <v>#VALUE!</v>
      </c>
      <c r="GH169" t="e">
        <f>Raw!674:674-"h_l!(PA"</f>
        <v>#VALUE!</v>
      </c>
      <c r="GI169" t="e">
        <f>Raw!675:675-"h_l!(PB"</f>
        <v>#VALUE!</v>
      </c>
      <c r="GJ169" t="e">
        <f>Raw!676:676-"h_l!(PC"</f>
        <v>#VALUE!</v>
      </c>
      <c r="GK169" t="e">
        <f>Raw!677:677-"h_l!(PD"</f>
        <v>#VALUE!</v>
      </c>
      <c r="GL169" t="e">
        <f>Raw!678:678-"h_l!(PE"</f>
        <v>#VALUE!</v>
      </c>
      <c r="GM169" t="e">
        <f>Raw!679:679-"h_l!(PF"</f>
        <v>#VALUE!</v>
      </c>
      <c r="GN169" t="e">
        <f>Raw!680:680-"h_l!(PG"</f>
        <v>#VALUE!</v>
      </c>
      <c r="GO169" t="e">
        <f>Raw!681:681-"h_l!(PH"</f>
        <v>#VALUE!</v>
      </c>
      <c r="GP169" t="e">
        <f>Raw!682:682-"h_l!(PI"</f>
        <v>#VALUE!</v>
      </c>
      <c r="GQ169" t="e">
        <f>Raw!683:683-"h_l!(PJ"</f>
        <v>#VALUE!</v>
      </c>
      <c r="GR169" t="e">
        <f>Raw!684:684-"h_l!(PK"</f>
        <v>#VALUE!</v>
      </c>
      <c r="GS169" t="e">
        <f>Raw!685:685-"h_l!(PL"</f>
        <v>#VALUE!</v>
      </c>
      <c r="GT169" t="e">
        <f>Raw!686:686-"h_l!(PM"</f>
        <v>#VALUE!</v>
      </c>
      <c r="GU169" t="e">
        <f>Raw!687:687-"h_l!(PN"</f>
        <v>#VALUE!</v>
      </c>
      <c r="GV169" t="e">
        <f>Raw!688:688-"h_l!(PO"</f>
        <v>#VALUE!</v>
      </c>
      <c r="GW169" t="e">
        <f>Raw!689:689-"h_l!(PP"</f>
        <v>#VALUE!</v>
      </c>
      <c r="GX169" t="e">
        <f>Raw!690:690-"h_l!(PQ"</f>
        <v>#VALUE!</v>
      </c>
      <c r="GY169" t="e">
        <f>Raw!691:691-"h_l!(PR"</f>
        <v>#VALUE!</v>
      </c>
      <c r="GZ169" t="e">
        <f>Raw!692:692-"h_l!(PS"</f>
        <v>#VALUE!</v>
      </c>
      <c r="HA169" t="e">
        <f>Raw!693:693-"h_l!(PT"</f>
        <v>#VALUE!</v>
      </c>
      <c r="HB169" t="e">
        <f>Raw!694:694-"h_l!(PU"</f>
        <v>#VALUE!</v>
      </c>
      <c r="HC169" t="e">
        <f>Raw!695:695-"h_l!(PV"</f>
        <v>#VALUE!</v>
      </c>
      <c r="HD169" t="e">
        <f>Raw!696:696-"h_l!(PW"</f>
        <v>#VALUE!</v>
      </c>
      <c r="HE169" t="e">
        <f>Raw!697:697-"h_l!(PX"</f>
        <v>#VALUE!</v>
      </c>
      <c r="HF169" t="e">
        <f>Raw!698:698-"h_l!(PY"</f>
        <v>#VALUE!</v>
      </c>
      <c r="HG169" t="e">
        <f>Raw!699:699-"h_l!(PZ"</f>
        <v>#VALUE!</v>
      </c>
      <c r="HH169" t="e">
        <f>Raw!700:700-"h_l!(P["</f>
        <v>#VALUE!</v>
      </c>
      <c r="HI169" t="e">
        <f>Raw!701:701-"h_l!(P\"</f>
        <v>#VALUE!</v>
      </c>
      <c r="HJ169" t="e">
        <f>Raw!702:702-"h_l!(P]"</f>
        <v>#VALUE!</v>
      </c>
      <c r="HK169" t="e">
        <f>Raw!703:703-"h_l!(P^"</f>
        <v>#VALUE!</v>
      </c>
      <c r="HL169" t="e">
        <f>Raw!704:704-"h_l!(P_"</f>
        <v>#VALUE!</v>
      </c>
      <c r="HM169" t="e">
        <f>Raw!705:705-"h_l!(P`"</f>
        <v>#VALUE!</v>
      </c>
      <c r="HN169" t="e">
        <f>Raw!706:706-"h_l!(Pa"</f>
        <v>#VALUE!</v>
      </c>
      <c r="HO169" t="e">
        <f>Raw!707:707-"h_l!(Pb"</f>
        <v>#VALUE!</v>
      </c>
      <c r="HP169" t="e">
        <f>Raw!708:708-"h_l!(Pc"</f>
        <v>#VALUE!</v>
      </c>
      <c r="HQ169" t="e">
        <f>Raw!709:709-"h_l!(Pd"</f>
        <v>#VALUE!</v>
      </c>
      <c r="HR169" t="e">
        <f>Raw!710:710-"h_l!(Pe"</f>
        <v>#VALUE!</v>
      </c>
      <c r="HS169" t="e">
        <f>Raw!711:711-"h_l!(Pf"</f>
        <v>#VALUE!</v>
      </c>
      <c r="HT169" t="e">
        <f>Raw!712:712-"h_l!(Pg"</f>
        <v>#VALUE!</v>
      </c>
      <c r="HU169" t="e">
        <f>Raw!713:713-"h_l!(Ph"</f>
        <v>#VALUE!</v>
      </c>
      <c r="HV169" t="e">
        <f>Raw!714:714-"h_l!(Pi"</f>
        <v>#VALUE!</v>
      </c>
      <c r="HW169" t="e">
        <f>Raw!715:715-"h_l!(Pj"</f>
        <v>#VALUE!</v>
      </c>
      <c r="HX169" t="e">
        <f>Raw!716:716-"h_l!(Pk"</f>
        <v>#VALUE!</v>
      </c>
      <c r="HY169" t="e">
        <f>Raw!717:717-"h_l!(Pl"</f>
        <v>#VALUE!</v>
      </c>
      <c r="HZ169" t="e">
        <f>Raw!718:718-"h_l!(Pm"</f>
        <v>#VALUE!</v>
      </c>
      <c r="IA169" t="e">
        <f>Raw!719:719-"h_l!(Pn"</f>
        <v>#VALUE!</v>
      </c>
      <c r="IB169" t="e">
        <f>Raw!720:720-"h_l!(Po"</f>
        <v>#VALUE!</v>
      </c>
      <c r="IC169" t="e">
        <f>Raw!721:721-"h_l!(Pp"</f>
        <v>#VALUE!</v>
      </c>
      <c r="ID169" t="e">
        <f>Raw!722:722-"h_l!(Pq"</f>
        <v>#VALUE!</v>
      </c>
      <c r="IE169" t="e">
        <f>Raw!723:723-"h_l!(Pr"</f>
        <v>#VALUE!</v>
      </c>
      <c r="IF169" t="e">
        <f>Raw!724:724-"h_l!(Ps"</f>
        <v>#VALUE!</v>
      </c>
      <c r="IG169" t="e">
        <f>Raw!725:725-"h_l!(Pt"</f>
        <v>#VALUE!</v>
      </c>
      <c r="IH169" t="e">
        <f>Raw!726:726-"h_l!(Pu"</f>
        <v>#VALUE!</v>
      </c>
      <c r="II169" t="e">
        <f>Raw!727:727-"h_l!(Pv"</f>
        <v>#VALUE!</v>
      </c>
      <c r="IJ169" t="e">
        <f>Raw!728:728-"h_l!(Pw"</f>
        <v>#VALUE!</v>
      </c>
      <c r="IK169" t="e">
        <f>Raw!729:729-"h_l!(Px"</f>
        <v>#VALUE!</v>
      </c>
      <c r="IL169" t="e">
        <f>Raw!730:730-"h_l!(Py"</f>
        <v>#VALUE!</v>
      </c>
      <c r="IM169" t="e">
        <f>Raw!731:731-"h_l!(Pz"</f>
        <v>#VALUE!</v>
      </c>
      <c r="IN169" t="e">
        <f>Raw!732:732-"h_l!(P{"</f>
        <v>#VALUE!</v>
      </c>
      <c r="IO169" t="e">
        <f>Raw!733:733-"h_l!(P|"</f>
        <v>#VALUE!</v>
      </c>
      <c r="IP169" t="e">
        <f>Raw!734:734-"h_l!(P}"</f>
        <v>#VALUE!</v>
      </c>
      <c r="IQ169" t="e">
        <f>Raw!735:735-"h_l!(P~"</f>
        <v>#VALUE!</v>
      </c>
      <c r="IR169" t="e">
        <f>Raw!736:736-"h_l!(Q#"</f>
        <v>#VALUE!</v>
      </c>
      <c r="IS169" t="e">
        <f>Raw!737:737-"h_l!(Q$"</f>
        <v>#VALUE!</v>
      </c>
      <c r="IT169" t="e">
        <f>Raw!738:738-"h_l!(Q%"</f>
        <v>#VALUE!</v>
      </c>
      <c r="IU169" t="e">
        <f>Raw!739:739-"h_l!(Q&amp;"</f>
        <v>#VALUE!</v>
      </c>
      <c r="IV169" t="e">
        <f>Raw!740:740-"h_l!(Q'"</f>
        <v>#VALUE!</v>
      </c>
    </row>
    <row r="170" spans="6:256" x14ac:dyDescent="0.25">
      <c r="F170" t="e">
        <f>Raw!741:741-"h_l!(Q("</f>
        <v>#VALUE!</v>
      </c>
      <c r="G170" t="e">
        <f>Raw!742:742-"h_l!(Q)"</f>
        <v>#VALUE!</v>
      </c>
      <c r="H170" t="e">
        <f>Raw!743:743-"h_l!(Q."</f>
        <v>#VALUE!</v>
      </c>
      <c r="I170" t="e">
        <f>Raw!744:744-"h_l!(Q/"</f>
        <v>#VALUE!</v>
      </c>
      <c r="J170" t="e">
        <f>Raw!745:745-"h_l!(Q0"</f>
        <v>#VALUE!</v>
      </c>
      <c r="K170" t="e">
        <f>Raw!746:746-"h_l!(Q1"</f>
        <v>#VALUE!</v>
      </c>
      <c r="L170" t="e">
        <f>Raw!747:747-"h_l!(Q2"</f>
        <v>#VALUE!</v>
      </c>
      <c r="M170" t="e">
        <f>Raw!748:748-"h_l!(Q3"</f>
        <v>#VALUE!</v>
      </c>
      <c r="N170" t="e">
        <f>Raw!749:749-"h_l!(Q4"</f>
        <v>#VALUE!</v>
      </c>
      <c r="O170" t="e">
        <f>Raw!750:750-"h_l!(Q5"</f>
        <v>#VALUE!</v>
      </c>
      <c r="P170" t="e">
        <f>Raw!751:751-"h_l!(Q6"</f>
        <v>#VALUE!</v>
      </c>
      <c r="Q170" t="e">
        <f>Raw!752:752-"h_l!(Q7"</f>
        <v>#VALUE!</v>
      </c>
      <c r="R170" t="e">
        <f>Raw!753:753-"h_l!(Q8"</f>
        <v>#VALUE!</v>
      </c>
      <c r="S170" t="e">
        <f>Raw!754:754-"h_l!(Q9"</f>
        <v>#VALUE!</v>
      </c>
      <c r="T170" t="e">
        <f>Raw!755:755-"h_l!(Q:"</f>
        <v>#VALUE!</v>
      </c>
      <c r="U170" t="e">
        <f>Raw!756:756-"h_l!(Q;"</f>
        <v>#VALUE!</v>
      </c>
      <c r="V170" t="e">
        <f>Raw!757:757-"h_l!(Q&lt;"</f>
        <v>#VALUE!</v>
      </c>
      <c r="W170" t="e">
        <f>Raw!758:758-"h_l!(Q="</f>
        <v>#VALUE!</v>
      </c>
      <c r="X170" t="e">
        <f>Raw!759:759-"h_l!(Q&gt;"</f>
        <v>#VALUE!</v>
      </c>
      <c r="Y170" t="e">
        <f>Raw!760:760-"h_l!(Q?"</f>
        <v>#VALUE!</v>
      </c>
      <c r="Z170" t="e">
        <f>Raw!761:761-"h_l!(Q@"</f>
        <v>#VALUE!</v>
      </c>
      <c r="AA170" t="e">
        <f>Raw!762:762-"h_l!(QA"</f>
        <v>#VALUE!</v>
      </c>
      <c r="AB170" t="e">
        <f>Raw!763:763-"h_l!(QB"</f>
        <v>#VALUE!</v>
      </c>
      <c r="AC170" t="e">
        <f>Raw!764:764-"h_l!(QC"</f>
        <v>#VALUE!</v>
      </c>
      <c r="AD170" t="e">
        <f>Raw!765:765-"h_l!(QD"</f>
        <v>#VALUE!</v>
      </c>
      <c r="AE170" t="e">
        <f>Raw!766:766-"h_l!(QE"</f>
        <v>#VALUE!</v>
      </c>
      <c r="AF170" t="e">
        <f>Raw!767:767-"h_l!(QF"</f>
        <v>#VALUE!</v>
      </c>
      <c r="AG170" t="e">
        <f>Raw!768:768-"h_l!(QG"</f>
        <v>#VALUE!</v>
      </c>
      <c r="AH170" t="e">
        <f>Raw!769:769-"h_l!(QH"</f>
        <v>#VALUE!</v>
      </c>
      <c r="AI170" t="e">
        <f>Raw!770:770-"h_l!(QI"</f>
        <v>#VALUE!</v>
      </c>
      <c r="AJ170" t="e">
        <f>Raw!771:771-"h_l!(QJ"</f>
        <v>#VALUE!</v>
      </c>
      <c r="AK170" t="e">
        <f>Raw!772:772-"h_l!(QK"</f>
        <v>#VALUE!</v>
      </c>
      <c r="AL170" t="e">
        <f>Raw!773:773-"h_l!(QL"</f>
        <v>#VALUE!</v>
      </c>
      <c r="AM170" t="e">
        <f>Raw!774:774-"h_l!(QM"</f>
        <v>#VALUE!</v>
      </c>
      <c r="AN170" t="e">
        <f>Raw!775:775-"h_l!(QN"</f>
        <v>#VALUE!</v>
      </c>
      <c r="AO170" t="e">
        <f>Raw!776:776-"h_l!(QO"</f>
        <v>#VALUE!</v>
      </c>
      <c r="AP170" t="e">
        <f>Raw!777:777-"h_l!(QP"</f>
        <v>#VALUE!</v>
      </c>
      <c r="AQ170" t="e">
        <f>Raw!778:778-"h_l!(QQ"</f>
        <v>#VALUE!</v>
      </c>
      <c r="AR170" t="e">
        <f>Raw!779:779-"h_l!(QR"</f>
        <v>#VALUE!</v>
      </c>
      <c r="AS170" t="e">
        <f>Raw!780:780-"h_l!(QS"</f>
        <v>#VALUE!</v>
      </c>
      <c r="AT170" t="e">
        <f>Raw!781:781-"h_l!(QT"</f>
        <v>#VALUE!</v>
      </c>
      <c r="AU170" t="e">
        <f>Raw!782:782-"h_l!(QU"</f>
        <v>#VALUE!</v>
      </c>
      <c r="AV170" t="e">
        <f>Raw!783:783-"h_l!(QV"</f>
        <v>#VALUE!</v>
      </c>
      <c r="AW170" t="e">
        <f>Raw!784:784-"h_l!(QW"</f>
        <v>#VALUE!</v>
      </c>
      <c r="AX170" t="e">
        <f>Raw!785:785-"h_l!(QX"</f>
        <v>#VALUE!</v>
      </c>
      <c r="AY170" t="e">
        <f>Raw!786:786-"h_l!(QY"</f>
        <v>#VALUE!</v>
      </c>
      <c r="AZ170" t="e">
        <f>Raw!787:787-"h_l!(QZ"</f>
        <v>#VALUE!</v>
      </c>
      <c r="BA170" t="e">
        <f>Raw!788:788-"h_l!(Q["</f>
        <v>#VALUE!</v>
      </c>
      <c r="BB170" t="e">
        <f>Raw!789:789-"h_l!(Q\"</f>
        <v>#VALUE!</v>
      </c>
      <c r="BC170" t="e">
        <f>Raw!790:790-"h_l!(Q]"</f>
        <v>#VALUE!</v>
      </c>
      <c r="BD170" t="e">
        <f>Raw!791:791-"h_l!(Q^"</f>
        <v>#VALUE!</v>
      </c>
      <c r="BE170" t="e">
        <f>Raw!792:792-"h_l!(Q_"</f>
        <v>#VALUE!</v>
      </c>
      <c r="BF170" t="e">
        <f>Raw!793:793-"h_l!(Q`"</f>
        <v>#VALUE!</v>
      </c>
      <c r="BG170" t="e">
        <f>Raw!794:794-"h_l!(Qa"</f>
        <v>#VALUE!</v>
      </c>
      <c r="BH170" t="e">
        <f>Raw!795:795-"h_l!(Qb"</f>
        <v>#VALUE!</v>
      </c>
      <c r="BI170" t="e">
        <f>Raw!796:796-"h_l!(Qc"</f>
        <v>#VALUE!</v>
      </c>
      <c r="BJ170" t="e">
        <f>Raw!797:797-"h_l!(Qd"</f>
        <v>#VALUE!</v>
      </c>
      <c r="BK170" t="e">
        <f>Raw!798:798-"h_l!(Qe"</f>
        <v>#VALUE!</v>
      </c>
      <c r="BL170" t="e">
        <f>Raw!799:799-"h_l!(Qf"</f>
        <v>#VALUE!</v>
      </c>
      <c r="BM170" t="e">
        <f>Raw!800:800-"h_l!(Qg"</f>
        <v>#VALUE!</v>
      </c>
      <c r="BN170" t="e">
        <f>Raw!801:801-"h_l!(Qh"</f>
        <v>#VALUE!</v>
      </c>
      <c r="BO170" t="e">
        <f>Raw!802:802-"h_l!(Qi"</f>
        <v>#VALUE!</v>
      </c>
      <c r="BP170" t="e">
        <f>Raw!803:803-"h_l!(Qj"</f>
        <v>#VALUE!</v>
      </c>
      <c r="BQ170" t="e">
        <f>Raw!804:804-"h_l!(Qk"</f>
        <v>#VALUE!</v>
      </c>
      <c r="BR170" t="e">
        <f>Raw!805:805-"h_l!(Ql"</f>
        <v>#VALUE!</v>
      </c>
      <c r="BS170" t="e">
        <f>Raw!806:806-"h_l!(Qm"</f>
        <v>#VALUE!</v>
      </c>
      <c r="BT170" t="e">
        <f>Raw!807:807-"h_l!(Qn"</f>
        <v>#VALUE!</v>
      </c>
      <c r="BU170" t="e">
        <f>Raw!808:808-"h_l!(Qo"</f>
        <v>#VALUE!</v>
      </c>
      <c r="BV170" t="e">
        <f>Raw!809:809-"h_l!(Qp"</f>
        <v>#VALUE!</v>
      </c>
      <c r="BW170" t="e">
        <f>Raw!810:810-"h_l!(Qq"</f>
        <v>#VALUE!</v>
      </c>
      <c r="BX170" t="e">
        <f>Raw!811:811-"h_l!(Qr"</f>
        <v>#VALUE!</v>
      </c>
      <c r="BY170" t="e">
        <f>Raw!812:812-"h_l!(Qs"</f>
        <v>#VALUE!</v>
      </c>
      <c r="BZ170" t="e">
        <f>Raw!813:813-"h_l!(Qt"</f>
        <v>#VALUE!</v>
      </c>
      <c r="CA170" t="e">
        <f>Raw!814:814-"h_l!(Qu"</f>
        <v>#VALUE!</v>
      </c>
      <c r="CB170" t="e">
        <f>Raw!815:815-"h_l!(Qv"</f>
        <v>#VALUE!</v>
      </c>
      <c r="CC170" t="e">
        <f>Raw!816:816-"h_l!(Qw"</f>
        <v>#VALUE!</v>
      </c>
      <c r="CD170" t="e">
        <f>Raw!817:817-"h_l!(Qx"</f>
        <v>#VALUE!</v>
      </c>
      <c r="CE170" t="e">
        <f>Raw!818:818-"h_l!(Qy"</f>
        <v>#VALUE!</v>
      </c>
      <c r="CF170" t="e">
        <f>Raw!819:819-"h_l!(Qz"</f>
        <v>#VALUE!</v>
      </c>
      <c r="CG170" t="e">
        <f>Raw!820:820-"h_l!(Q{"</f>
        <v>#VALUE!</v>
      </c>
      <c r="CH170" t="e">
        <f>Raw!821:821-"h_l!(Q|"</f>
        <v>#VALUE!</v>
      </c>
      <c r="CI170" t="e">
        <f>Raw!822:822-"h_l!(Q}"</f>
        <v>#VALUE!</v>
      </c>
      <c r="CJ170" t="e">
        <f>Raw!823:823-"h_l!(Q~"</f>
        <v>#VALUE!</v>
      </c>
      <c r="CK170" t="e">
        <f>Raw!824:824-"h_l!(R#"</f>
        <v>#VALUE!</v>
      </c>
      <c r="CL170" t="e">
        <f>Raw!825:825-"h_l!(R$"</f>
        <v>#VALUE!</v>
      </c>
      <c r="CM170" t="e">
        <f>Raw!826:826-"h_l!(R%"</f>
        <v>#VALUE!</v>
      </c>
      <c r="CN170" t="e">
        <f>Raw!827:827-"h_l!(R&amp;"</f>
        <v>#VALUE!</v>
      </c>
      <c r="CO170" t="e">
        <f>Raw!828:828-"h_l!(R'"</f>
        <v>#VALUE!</v>
      </c>
      <c r="CP170" t="e">
        <f>Raw!829:829-"h_l!(R("</f>
        <v>#VALUE!</v>
      </c>
      <c r="CQ170" t="e">
        <f>Raw!830:830-"h_l!(R)"</f>
        <v>#VALUE!</v>
      </c>
      <c r="CR170" t="e">
        <f>Raw!831:831-"h_l!(R."</f>
        <v>#VALUE!</v>
      </c>
      <c r="CS170" t="e">
        <f>Raw!832:832-"h_l!(R/"</f>
        <v>#VALUE!</v>
      </c>
      <c r="CT170" t="e">
        <f>Raw!833:833-"h_l!(R0"</f>
        <v>#VALUE!</v>
      </c>
      <c r="CU170" t="e">
        <f>Raw!834:834-"h_l!(R1"</f>
        <v>#VALUE!</v>
      </c>
      <c r="CV170" t="e">
        <f>Raw!835:835-"h_l!(R2"</f>
        <v>#VALUE!</v>
      </c>
      <c r="CW170" t="e">
        <f>Raw!836:836-"h_l!(R3"</f>
        <v>#VALUE!</v>
      </c>
      <c r="CX170" t="e">
        <f>Raw!837:837-"h_l!(R4"</f>
        <v>#VALUE!</v>
      </c>
      <c r="CY170" t="e">
        <f>Raw!838:838-"h_l!(R5"</f>
        <v>#VALUE!</v>
      </c>
      <c r="CZ170" t="e">
        <f>Raw!839:839-"h_l!(R6"</f>
        <v>#VALUE!</v>
      </c>
      <c r="DA170" t="e">
        <f>Raw!840:840-"h_l!(R7"</f>
        <v>#VALUE!</v>
      </c>
      <c r="DB170" t="e">
        <f>Raw!841:841-"h_l!(R8"</f>
        <v>#VALUE!</v>
      </c>
      <c r="DC170" t="e">
        <f>Raw!842:842-"h_l!(R9"</f>
        <v>#VALUE!</v>
      </c>
      <c r="DD170" t="e">
        <f>Raw!843:843-"h_l!(R:"</f>
        <v>#VALUE!</v>
      </c>
      <c r="DE170" t="e">
        <f>Raw!844:844-"h_l!(R;"</f>
        <v>#VALUE!</v>
      </c>
      <c r="DF170" t="e">
        <f>Raw!845:845-"h_l!(R&lt;"</f>
        <v>#VALUE!</v>
      </c>
      <c r="DG170" t="e">
        <f>Raw!846:846-"h_l!(R="</f>
        <v>#VALUE!</v>
      </c>
      <c r="DH170" t="e">
        <f>Raw!847:847-"h_l!(R&gt;"</f>
        <v>#VALUE!</v>
      </c>
      <c r="DI170" t="e">
        <f>Raw!848:848-"h_l!(R?"</f>
        <v>#VALUE!</v>
      </c>
      <c r="DJ170" t="e">
        <f>Raw!849:849-"h_l!(R@"</f>
        <v>#VALUE!</v>
      </c>
      <c r="DK170" t="e">
        <f>Raw!850:850-"h_l!(RA"</f>
        <v>#VALUE!</v>
      </c>
      <c r="DL170" t="e">
        <f>Raw!851:851-"h_l!(RB"</f>
        <v>#VALUE!</v>
      </c>
      <c r="DM170" t="e">
        <f>Raw!852:852-"h_l!(RC"</f>
        <v>#VALUE!</v>
      </c>
      <c r="DN170" t="e">
        <f>Raw!853:853-"h_l!(RD"</f>
        <v>#VALUE!</v>
      </c>
      <c r="DO170" t="e">
        <f>Raw!854:854-"h_l!(RE"</f>
        <v>#VALUE!</v>
      </c>
      <c r="DP170" t="e">
        <f>Raw!855:855-"h_l!(RF"</f>
        <v>#VALUE!</v>
      </c>
      <c r="DQ170" t="e">
        <f>Raw!856:856-"h_l!(RG"</f>
        <v>#VALUE!</v>
      </c>
      <c r="DR170" t="e">
        <f>Raw!857:857-"h_l!(RH"</f>
        <v>#VALUE!</v>
      </c>
      <c r="DS170" t="e">
        <f>Raw!858:858-"h_l!(RI"</f>
        <v>#VALUE!</v>
      </c>
      <c r="DT170" t="e">
        <f>Raw!859:859-"h_l!(RJ"</f>
        <v>#VALUE!</v>
      </c>
      <c r="DU170" t="e">
        <f>Raw!860:860-"h_l!(RK"</f>
        <v>#VALUE!</v>
      </c>
      <c r="DV170" t="e">
        <f>Raw!861:861-"h_l!(RL"</f>
        <v>#VALUE!</v>
      </c>
      <c r="DW170" t="e">
        <f>Raw!862:862-"h_l!(RM"</f>
        <v>#VALUE!</v>
      </c>
      <c r="DX170" t="e">
        <f>Raw!863:863-"h_l!(RN"</f>
        <v>#VALUE!</v>
      </c>
      <c r="DY170" t="e">
        <f>Raw!864:864-"h_l!(RO"</f>
        <v>#VALUE!</v>
      </c>
      <c r="DZ170" t="e">
        <f>Raw!865:865-"h_l!(RP"</f>
        <v>#VALUE!</v>
      </c>
      <c r="EA170" t="e">
        <f>Raw!866:866-"h_l!(RQ"</f>
        <v>#VALUE!</v>
      </c>
      <c r="EB170" t="e">
        <f>Raw!867:867-"h_l!(RR"</f>
        <v>#VALUE!</v>
      </c>
      <c r="EC170" t="e">
        <f>Raw!868:868-"h_l!(RS"</f>
        <v>#VALUE!</v>
      </c>
      <c r="ED170" t="e">
        <f>Raw!869:869-"h_l!(RT"</f>
        <v>#VALUE!</v>
      </c>
      <c r="EE170" t="e">
        <f>Raw!870:870-"h_l!(RU"</f>
        <v>#VALUE!</v>
      </c>
      <c r="EF170" t="e">
        <f>Raw!871:871-"h_l!(RV"</f>
        <v>#VALUE!</v>
      </c>
      <c r="EG170" t="e">
        <f>Raw!872:872-"h_l!(RW"</f>
        <v>#VALUE!</v>
      </c>
      <c r="EH170" t="e">
        <f>Raw!873:873-"h_l!(RX"</f>
        <v>#VALUE!</v>
      </c>
      <c r="EI170" t="e">
        <f>Raw!874:874-"h_l!(RY"</f>
        <v>#VALUE!</v>
      </c>
      <c r="EJ170" t="e">
        <f>Raw!875:875-"h_l!(RZ"</f>
        <v>#VALUE!</v>
      </c>
      <c r="EK170" t="e">
        <f>Raw!876:876-"h_l!(R["</f>
        <v>#VALUE!</v>
      </c>
      <c r="EL170" t="e">
        <f>Raw!877:877-"h_l!(R\"</f>
        <v>#VALUE!</v>
      </c>
      <c r="EM170" t="e">
        <f>Raw!878:878-"h_l!(R]"</f>
        <v>#VALUE!</v>
      </c>
      <c r="EN170" t="e">
        <f>Raw!879:879-"h_l!(R^"</f>
        <v>#VALUE!</v>
      </c>
      <c r="EO170" t="e">
        <f>Raw!880:880-"h_l!(R_"</f>
        <v>#VALUE!</v>
      </c>
      <c r="EP170" t="e">
        <f>Raw!881:881-"h_l!(R`"</f>
        <v>#VALUE!</v>
      </c>
      <c r="EQ170" t="e">
        <f>Raw!882:882-"h_l!(Ra"</f>
        <v>#VALUE!</v>
      </c>
      <c r="ER170" t="e">
        <f>Raw!883:883-"h_l!(Rb"</f>
        <v>#VALUE!</v>
      </c>
      <c r="ES170" t="e">
        <f>Raw!884:884-"h_l!(Rc"</f>
        <v>#VALUE!</v>
      </c>
      <c r="ET170" t="e">
        <f>Raw!885:885-"h_l!(Rd"</f>
        <v>#VALUE!</v>
      </c>
      <c r="EU170" t="e">
        <f>Raw!886:886-"h_l!(Re"</f>
        <v>#VALUE!</v>
      </c>
      <c r="EV170" t="e">
        <f>Raw!887:887-"h_l!(Rf"</f>
        <v>#VALUE!</v>
      </c>
      <c r="EW170" t="e">
        <f>Raw!888:888-"h_l!(Rg"</f>
        <v>#VALUE!</v>
      </c>
      <c r="EX170" t="e">
        <f>Raw!889:889-"h_l!(Rh"</f>
        <v>#VALUE!</v>
      </c>
      <c r="EY170" t="e">
        <f>Raw!890:890-"h_l!(Ri"</f>
        <v>#VALUE!</v>
      </c>
      <c r="EZ170" t="e">
        <f>Raw!891:891-"h_l!(Rj"</f>
        <v>#VALUE!</v>
      </c>
      <c r="FA170" t="e">
        <f>Raw!892:892-"h_l!(Rk"</f>
        <v>#VALUE!</v>
      </c>
      <c r="FB170" t="e">
        <f>Raw!893:893-"h_l!(Rl"</f>
        <v>#VALUE!</v>
      </c>
      <c r="FC170" t="e">
        <f>Raw!894:894-"h_l!(Rm"</f>
        <v>#VALUE!</v>
      </c>
      <c r="FD170" t="e">
        <f>Raw!895:895-"h_l!(Rn"</f>
        <v>#VALUE!</v>
      </c>
      <c r="FE170" t="e">
        <f>Raw!896:896-"h_l!(Ro"</f>
        <v>#VALUE!</v>
      </c>
      <c r="FF170" t="e">
        <f>Raw!897:897-"h_l!(Rp"</f>
        <v>#VALUE!</v>
      </c>
      <c r="FG170" t="e">
        <f>Raw!898:898-"h_l!(Rq"</f>
        <v>#VALUE!</v>
      </c>
      <c r="FH170" t="e">
        <f>Raw!899:899-"h_l!(Rr"</f>
        <v>#VALUE!</v>
      </c>
      <c r="FI170" t="e">
        <f>Raw!900:900-"h_l!(Rs"</f>
        <v>#VALUE!</v>
      </c>
      <c r="FJ170" t="e">
        <f>Raw!901:901-"h_l!(Rt"</f>
        <v>#VALUE!</v>
      </c>
      <c r="FK170" t="e">
        <f>Raw!902:902-"h_l!(Ru"</f>
        <v>#VALUE!</v>
      </c>
      <c r="FL170" t="e">
        <f>Raw!A1+"h_l!(Rv"</f>
        <v>#VALUE!</v>
      </c>
      <c r="FM170" t="e">
        <f>Raw!B1+"h_l!(Rw"</f>
        <v>#VALUE!</v>
      </c>
      <c r="FN170" t="e">
        <f>Raw!C1+"h_l!(Rx"</f>
        <v>#VALUE!</v>
      </c>
      <c r="FO170" t="e">
        <f>Raw!D1+"h_l!(Ry"</f>
        <v>#VALUE!</v>
      </c>
      <c r="FP170" t="e">
        <f>Raw!E1+"h_l!(Rz"</f>
        <v>#VALUE!</v>
      </c>
      <c r="FQ170" t="e">
        <f>Raw!#REF!+"h_l!(R{"</f>
        <v>#REF!</v>
      </c>
      <c r="FR170" t="e">
        <f>Raw!G1+"h_l!(R|"</f>
        <v>#VALUE!</v>
      </c>
      <c r="FS170" t="e">
        <f>Raw!H1+"h_l!(R}"</f>
        <v>#VALUE!</v>
      </c>
      <c r="FT170" t="e">
        <f>Raw!I1+"h_l!(R~"</f>
        <v>#VALUE!</v>
      </c>
      <c r="FU170" t="e">
        <f>Raw!J1+"h_l!(S#"</f>
        <v>#VALUE!</v>
      </c>
      <c r="FV170" t="e">
        <f>Raw!K1+"h_l!(S$"</f>
        <v>#VALUE!</v>
      </c>
      <c r="FW170" t="e">
        <f>Raw!L1+"h_l!(S%"</f>
        <v>#VALUE!</v>
      </c>
      <c r="FX170" t="e">
        <f>Raw!M1+"h_l!(S&amp;"</f>
        <v>#VALUE!</v>
      </c>
      <c r="FY170" t="e">
        <f>Raw!N1+"h_l!(S'"</f>
        <v>#VALUE!</v>
      </c>
      <c r="FZ170" t="e">
        <f>Raw!O1+"h_l!(S("</f>
        <v>#VALUE!</v>
      </c>
      <c r="GA170" t="e">
        <f>Raw!P1+"h_l!(S)"</f>
        <v>#VALUE!</v>
      </c>
      <c r="GB170" t="e">
        <f>Raw!Q1+"h_l!(S."</f>
        <v>#VALUE!</v>
      </c>
      <c r="GC170" t="e">
        <f>Raw!R1+"h_l!(S/"</f>
        <v>#VALUE!</v>
      </c>
      <c r="GD170" t="e">
        <f>Raw!S1+"h_l!(S0"</f>
        <v>#VALUE!</v>
      </c>
      <c r="GE170" t="e">
        <f>Raw!T1+"h_l!(S1"</f>
        <v>#VALUE!</v>
      </c>
      <c r="GF170" t="e">
        <f>Raw!U1+"h_l!(S2"</f>
        <v>#VALUE!</v>
      </c>
      <c r="GG170" t="e">
        <f>Raw!V1+"h_l!(S3"</f>
        <v>#VALUE!</v>
      </c>
      <c r="GH170" t="e">
        <f>Raw!W1+"h_l!(S4"</f>
        <v>#VALUE!</v>
      </c>
      <c r="GI170" t="e">
        <f>Raw!A2+"h_l!(S5"</f>
        <v>#VALUE!</v>
      </c>
      <c r="GJ170" t="e">
        <f>Raw!B2+"h_l!(S6"</f>
        <v>#VALUE!</v>
      </c>
      <c r="GK170" t="e">
        <f>Raw!C2+"h_l!(S7"</f>
        <v>#VALUE!</v>
      </c>
      <c r="GL170" t="e">
        <f>Raw!D2+"h_l!(S8"</f>
        <v>#VALUE!</v>
      </c>
      <c r="GM170" t="e">
        <f>Raw!E2+"h_l!(S9"</f>
        <v>#VALUE!</v>
      </c>
      <c r="GN170" t="e">
        <f>Raw!#REF!+"h_l!(S:"</f>
        <v>#REF!</v>
      </c>
      <c r="GO170" t="e">
        <f>Raw!G2+"h_l!(S;"</f>
        <v>#VALUE!</v>
      </c>
      <c r="GP170" t="e">
        <f>Raw!H2+"h_l!(S&lt;"</f>
        <v>#VALUE!</v>
      </c>
      <c r="GQ170" t="e">
        <f>Raw!I2+"h_l!(S="</f>
        <v>#VALUE!</v>
      </c>
      <c r="GR170" t="e">
        <f>Raw!J2+"h_l!(S&gt;"</f>
        <v>#VALUE!</v>
      </c>
      <c r="GS170" t="e">
        <f>Raw!K2+"h_l!(S?"</f>
        <v>#VALUE!</v>
      </c>
      <c r="GT170" t="e">
        <f>Raw!L2+"h_l!(S@"</f>
        <v>#VALUE!</v>
      </c>
      <c r="GU170" t="e">
        <f>Raw!M2+"h_l!(SA"</f>
        <v>#VALUE!</v>
      </c>
      <c r="GV170" t="e">
        <f>Raw!N2+"h_l!(SB"</f>
        <v>#VALUE!</v>
      </c>
      <c r="GW170" t="e">
        <f>Raw!O2+"h_l!(SC"</f>
        <v>#VALUE!</v>
      </c>
      <c r="GX170" t="e">
        <f>Raw!P2+"h_l!(SD"</f>
        <v>#VALUE!</v>
      </c>
      <c r="GY170" t="e">
        <f>Raw!Q2+"h_l!(SE"</f>
        <v>#VALUE!</v>
      </c>
      <c r="GZ170" t="e">
        <f>Raw!R2+"h_l!(SF"</f>
        <v>#VALUE!</v>
      </c>
      <c r="HA170" t="e">
        <f>Raw!S2+"h_l!(SG"</f>
        <v>#VALUE!</v>
      </c>
      <c r="HB170" t="e">
        <f>Raw!T2+"h_l!(SH"</f>
        <v>#VALUE!</v>
      </c>
      <c r="HC170" t="e">
        <f>Raw!U2+"h_l!(SI"</f>
        <v>#VALUE!</v>
      </c>
      <c r="HD170" t="e">
        <f>Raw!V2+"h_l!(SJ"</f>
        <v>#VALUE!</v>
      </c>
      <c r="HE170" t="e">
        <f>Raw!W2+"h_l!(SK"</f>
        <v>#VALUE!</v>
      </c>
      <c r="HF170" t="e">
        <f>Raw!A3+"h_l!(SL"</f>
        <v>#VALUE!</v>
      </c>
      <c r="HG170" t="e">
        <f>Raw!B3+"h_l!(SM"</f>
        <v>#VALUE!</v>
      </c>
      <c r="HH170" t="e">
        <f>Raw!C3+"h_l!(SN"</f>
        <v>#VALUE!</v>
      </c>
      <c r="HI170" t="e">
        <f>Raw!D3+"h_l!(SO"</f>
        <v>#VALUE!</v>
      </c>
      <c r="HJ170" t="e">
        <f>Raw!E3+"h_l!(SP"</f>
        <v>#VALUE!</v>
      </c>
      <c r="HK170" t="e">
        <f>Raw!#REF!+"h_l!(SQ"</f>
        <v>#REF!</v>
      </c>
      <c r="HL170" t="e">
        <f>Raw!G3+"h_l!(SR"</f>
        <v>#VALUE!</v>
      </c>
      <c r="HM170" t="e">
        <f>Raw!H3+"h_l!(SS"</f>
        <v>#VALUE!</v>
      </c>
      <c r="HN170" t="e">
        <f>Raw!I3+"h_l!(ST"</f>
        <v>#VALUE!</v>
      </c>
      <c r="HO170" t="e">
        <f>Raw!J3+"h_l!(SU"</f>
        <v>#VALUE!</v>
      </c>
      <c r="HP170" t="e">
        <f>Raw!K3+"h_l!(SV"</f>
        <v>#VALUE!</v>
      </c>
      <c r="HQ170" t="e">
        <f>Raw!L3+"h_l!(SW"</f>
        <v>#VALUE!</v>
      </c>
      <c r="HR170" t="e">
        <f>Raw!M3+"h_l!(SX"</f>
        <v>#VALUE!</v>
      </c>
      <c r="HS170" t="e">
        <f>Raw!N3+"h_l!(SY"</f>
        <v>#VALUE!</v>
      </c>
      <c r="HT170" t="e">
        <f>Raw!O3+"h_l!(SZ"</f>
        <v>#VALUE!</v>
      </c>
      <c r="HU170" t="e">
        <f>Raw!P3+"h_l!(S["</f>
        <v>#VALUE!</v>
      </c>
      <c r="HV170" t="e">
        <f>Raw!Q3+"h_l!(S\"</f>
        <v>#VALUE!</v>
      </c>
      <c r="HW170" t="e">
        <f>Raw!R3+"h_l!(S]"</f>
        <v>#VALUE!</v>
      </c>
      <c r="HX170" t="e">
        <f>Raw!S3+"h_l!(S^"</f>
        <v>#VALUE!</v>
      </c>
      <c r="HY170" t="e">
        <f>Raw!T3+"h_l!(S_"</f>
        <v>#VALUE!</v>
      </c>
      <c r="HZ170" t="e">
        <f>Raw!U3+"h_l!(S`"</f>
        <v>#VALUE!</v>
      </c>
      <c r="IA170" t="e">
        <f>Raw!V3+"h_l!(Sa"</f>
        <v>#VALUE!</v>
      </c>
      <c r="IB170" t="e">
        <f>Raw!W3+"h_l!(Sb"</f>
        <v>#VALUE!</v>
      </c>
      <c r="IC170" t="e">
        <f>Raw!A4+"h_l!(Sc"</f>
        <v>#VALUE!</v>
      </c>
      <c r="ID170" t="e">
        <f>Raw!B4+"h_l!(Sd"</f>
        <v>#VALUE!</v>
      </c>
      <c r="IE170" t="e">
        <f>Raw!C4+"h_l!(Se"</f>
        <v>#VALUE!</v>
      </c>
      <c r="IF170" t="e">
        <f>Raw!D4+"h_l!(Sf"</f>
        <v>#VALUE!</v>
      </c>
      <c r="IG170" t="e">
        <f>Raw!E4+"h_l!(Sg"</f>
        <v>#VALUE!</v>
      </c>
      <c r="IH170" t="e">
        <f>Raw!#REF!+"h_l!(Sh"</f>
        <v>#REF!</v>
      </c>
      <c r="II170" t="e">
        <f>Raw!G4+"h_l!(Si"</f>
        <v>#VALUE!</v>
      </c>
      <c r="IJ170" t="e">
        <f>Raw!H4+"h_l!(Sj"</f>
        <v>#VALUE!</v>
      </c>
      <c r="IK170" t="e">
        <f>Raw!I4+"h_l!(Sk"</f>
        <v>#VALUE!</v>
      </c>
      <c r="IL170" t="e">
        <f>Raw!J4+"h_l!(Sl"</f>
        <v>#VALUE!</v>
      </c>
      <c r="IM170" t="e">
        <f>Raw!K4+"h_l!(Sm"</f>
        <v>#VALUE!</v>
      </c>
      <c r="IN170" t="e">
        <f>Raw!L4+"h_l!(Sn"</f>
        <v>#VALUE!</v>
      </c>
      <c r="IO170" t="e">
        <f>Raw!M4+"h_l!(So"</f>
        <v>#VALUE!</v>
      </c>
      <c r="IP170" t="e">
        <f>Raw!N4+"h_l!(Sp"</f>
        <v>#VALUE!</v>
      </c>
      <c r="IQ170" t="e">
        <f>Raw!O4+"h_l!(Sq"</f>
        <v>#VALUE!</v>
      </c>
      <c r="IR170" t="e">
        <f>Raw!P4+"h_l!(Sr"</f>
        <v>#VALUE!</v>
      </c>
      <c r="IS170" t="e">
        <f>Raw!Q4+"h_l!(Ss"</f>
        <v>#VALUE!</v>
      </c>
      <c r="IT170" t="e">
        <f>Raw!R4+"h_l!(St"</f>
        <v>#VALUE!</v>
      </c>
      <c r="IU170" t="e">
        <f>Raw!S4+"h_l!(Su"</f>
        <v>#VALUE!</v>
      </c>
      <c r="IV170" t="e">
        <f>Raw!T4+"h_l!(Sv"</f>
        <v>#VALUE!</v>
      </c>
    </row>
    <row r="171" spans="6:256" x14ac:dyDescent="0.25">
      <c r="F171" t="e">
        <f>Raw!U4+"h_l!(Sw"</f>
        <v>#VALUE!</v>
      </c>
      <c r="G171" t="e">
        <f>Raw!V4+"h_l!(Sx"</f>
        <v>#VALUE!</v>
      </c>
      <c r="H171" t="e">
        <f>Raw!W4+"h_l!(Sy"</f>
        <v>#VALUE!</v>
      </c>
      <c r="I171" t="e">
        <f>Raw!A5+"h_l!(Sz"</f>
        <v>#VALUE!</v>
      </c>
      <c r="J171" t="e">
        <f>Raw!B5+"h_l!(S{"</f>
        <v>#VALUE!</v>
      </c>
      <c r="K171" t="e">
        <f>Raw!C5+"h_l!(S|"</f>
        <v>#VALUE!</v>
      </c>
      <c r="L171" t="e">
        <f>Raw!D5+"h_l!(S}"</f>
        <v>#VALUE!</v>
      </c>
      <c r="M171" t="e">
        <f>Raw!E5+"h_l!(S~"</f>
        <v>#VALUE!</v>
      </c>
      <c r="N171" t="e">
        <f>Raw!#REF!+"h_l!(T#"</f>
        <v>#REF!</v>
      </c>
      <c r="O171" t="e">
        <f>Raw!G5+"h_l!(T$"</f>
        <v>#VALUE!</v>
      </c>
      <c r="P171" t="e">
        <f>Raw!H5+"h_l!(T%"</f>
        <v>#VALUE!</v>
      </c>
      <c r="Q171" t="e">
        <f>Raw!I5+"h_l!(T&amp;"</f>
        <v>#VALUE!</v>
      </c>
      <c r="R171" t="e">
        <f>Raw!J5+"h_l!(T'"</f>
        <v>#VALUE!</v>
      </c>
      <c r="S171" t="e">
        <f>Raw!K5+"h_l!(T("</f>
        <v>#VALUE!</v>
      </c>
      <c r="T171" t="e">
        <f>Raw!L5+"h_l!(T)"</f>
        <v>#VALUE!</v>
      </c>
      <c r="U171" t="e">
        <f>Raw!M5+"h_l!(T."</f>
        <v>#VALUE!</v>
      </c>
      <c r="V171" t="e">
        <f>Raw!N5+"h_l!(T/"</f>
        <v>#VALUE!</v>
      </c>
      <c r="W171" t="e">
        <f>Raw!O5+"h_l!(T0"</f>
        <v>#VALUE!</v>
      </c>
      <c r="X171" t="e">
        <f>Raw!P5+"h_l!(T1"</f>
        <v>#VALUE!</v>
      </c>
      <c r="Y171" t="e">
        <f>Raw!Q5+"h_l!(T2"</f>
        <v>#VALUE!</v>
      </c>
      <c r="Z171" t="e">
        <f>Raw!R5+"h_l!(T3"</f>
        <v>#VALUE!</v>
      </c>
      <c r="AA171" t="e">
        <f>Raw!S5+"h_l!(T4"</f>
        <v>#VALUE!</v>
      </c>
      <c r="AB171" t="e">
        <f>Raw!T5+"h_l!(T5"</f>
        <v>#VALUE!</v>
      </c>
      <c r="AC171" t="e">
        <f>Raw!U5+"h_l!(T6"</f>
        <v>#VALUE!</v>
      </c>
      <c r="AD171" t="e">
        <f>Raw!V5+"h_l!(T7"</f>
        <v>#VALUE!</v>
      </c>
      <c r="AE171" t="e">
        <f>Raw!W5+"h_l!(T8"</f>
        <v>#VALUE!</v>
      </c>
      <c r="AF171" t="e">
        <f>Raw!A6+"h_l!(T9"</f>
        <v>#VALUE!</v>
      </c>
      <c r="AG171" t="e">
        <f>Raw!B6+"h_l!(T:"</f>
        <v>#VALUE!</v>
      </c>
      <c r="AH171" t="e">
        <f>Raw!C6+"h_l!(T;"</f>
        <v>#VALUE!</v>
      </c>
      <c r="AI171" t="e">
        <f>Raw!D6+"h_l!(T&lt;"</f>
        <v>#VALUE!</v>
      </c>
      <c r="AJ171" t="e">
        <f>Raw!E6+"h_l!(T="</f>
        <v>#VALUE!</v>
      </c>
      <c r="AK171" t="e">
        <f>Raw!#REF!+"h_l!(T&gt;"</f>
        <v>#REF!</v>
      </c>
      <c r="AL171" t="e">
        <f>Raw!G6+"h_l!(T?"</f>
        <v>#VALUE!</v>
      </c>
      <c r="AM171" t="e">
        <f>Raw!H6+"h_l!(T@"</f>
        <v>#VALUE!</v>
      </c>
      <c r="AN171" t="e">
        <f>Raw!I6+"h_l!(TA"</f>
        <v>#VALUE!</v>
      </c>
      <c r="AO171" t="e">
        <f>Raw!J6+"h_l!(TB"</f>
        <v>#VALUE!</v>
      </c>
      <c r="AP171" t="e">
        <f>Raw!K6+"h_l!(TC"</f>
        <v>#VALUE!</v>
      </c>
      <c r="AQ171" t="e">
        <f>Raw!L6+"h_l!(TD"</f>
        <v>#VALUE!</v>
      </c>
      <c r="AR171" t="e">
        <f>Raw!M6+"h_l!(TE"</f>
        <v>#VALUE!</v>
      </c>
      <c r="AS171" t="e">
        <f>Raw!N6+"h_l!(TF"</f>
        <v>#VALUE!</v>
      </c>
      <c r="AT171" t="e">
        <f>Raw!O6+"h_l!(TG"</f>
        <v>#VALUE!</v>
      </c>
      <c r="AU171" t="e">
        <f>Raw!P6+"h_l!(TH"</f>
        <v>#VALUE!</v>
      </c>
      <c r="AV171" t="e">
        <f>Raw!Q6+"h_l!(TI"</f>
        <v>#VALUE!</v>
      </c>
      <c r="AW171" t="e">
        <f>Raw!R6+"h_l!(TJ"</f>
        <v>#VALUE!</v>
      </c>
      <c r="AX171" t="e">
        <f>Raw!S6+"h_l!(TK"</f>
        <v>#VALUE!</v>
      </c>
      <c r="AY171" t="e">
        <f>Raw!T6+"h_l!(TL"</f>
        <v>#VALUE!</v>
      </c>
      <c r="AZ171" t="e">
        <f>Raw!U6+"h_l!(TM"</f>
        <v>#VALUE!</v>
      </c>
      <c r="BA171" t="e">
        <f>Raw!V6+"h_l!(TN"</f>
        <v>#VALUE!</v>
      </c>
      <c r="BB171" t="e">
        <f>Raw!W6+"h_l!(TO"</f>
        <v>#VALUE!</v>
      </c>
      <c r="BC171" t="e">
        <f>Raw!A7+"h_l!(TP"</f>
        <v>#VALUE!</v>
      </c>
      <c r="BD171" t="e">
        <f>Raw!B7+"h_l!(TQ"</f>
        <v>#VALUE!</v>
      </c>
      <c r="BE171" t="e">
        <f>Raw!C7+"h_l!(TR"</f>
        <v>#VALUE!</v>
      </c>
      <c r="BF171" t="e">
        <f>Raw!D7+"h_l!(TS"</f>
        <v>#VALUE!</v>
      </c>
      <c r="BG171" t="e">
        <f>Raw!E7+"h_l!(TT"</f>
        <v>#VALUE!</v>
      </c>
      <c r="BH171" t="e">
        <f>Raw!#REF!+"h_l!(TU"</f>
        <v>#REF!</v>
      </c>
      <c r="BI171" t="e">
        <f>Raw!G7+"h_l!(TV"</f>
        <v>#VALUE!</v>
      </c>
      <c r="BJ171" t="e">
        <f>Raw!H7+"h_l!(TW"</f>
        <v>#VALUE!</v>
      </c>
      <c r="BK171" t="e">
        <f>Raw!I7+"h_l!(TX"</f>
        <v>#VALUE!</v>
      </c>
      <c r="BL171" t="e">
        <f>Raw!J7+"h_l!(TY"</f>
        <v>#VALUE!</v>
      </c>
      <c r="BM171" t="e">
        <f>Raw!K7+"h_l!(TZ"</f>
        <v>#VALUE!</v>
      </c>
      <c r="BN171" t="e">
        <f>Raw!L7+"h_l!(T["</f>
        <v>#VALUE!</v>
      </c>
      <c r="BO171" t="e">
        <f>Raw!M7+"h_l!(T\"</f>
        <v>#VALUE!</v>
      </c>
      <c r="BP171" t="e">
        <f>Raw!N7+"h_l!(T]"</f>
        <v>#VALUE!</v>
      </c>
      <c r="BQ171" t="e">
        <f>Raw!O7+"h_l!(T^"</f>
        <v>#VALUE!</v>
      </c>
      <c r="BR171" t="e">
        <f>Raw!P7+"h_l!(T_"</f>
        <v>#VALUE!</v>
      </c>
      <c r="BS171" t="e">
        <f>Raw!Q7+"h_l!(T`"</f>
        <v>#VALUE!</v>
      </c>
      <c r="BT171" t="e">
        <f>Raw!R7+"h_l!(Ta"</f>
        <v>#VALUE!</v>
      </c>
      <c r="BU171" t="e">
        <f>Raw!S7+"h_l!(Tb"</f>
        <v>#VALUE!</v>
      </c>
      <c r="BV171" t="e">
        <f>Raw!T7+"h_l!(Tc"</f>
        <v>#VALUE!</v>
      </c>
      <c r="BW171" t="e">
        <f>Raw!U7+"h_l!(Td"</f>
        <v>#VALUE!</v>
      </c>
      <c r="BX171" t="e">
        <f>Raw!V7+"h_l!(Te"</f>
        <v>#VALUE!</v>
      </c>
      <c r="BY171" t="e">
        <f>Raw!W7+"h_l!(Tf"</f>
        <v>#VALUE!</v>
      </c>
      <c r="BZ171" t="e">
        <f>Raw!A8+"h_l!(Tg"</f>
        <v>#VALUE!</v>
      </c>
      <c r="CA171" t="e">
        <f>Raw!B8+"h_l!(Th"</f>
        <v>#VALUE!</v>
      </c>
      <c r="CB171" t="e">
        <f>Raw!C8+"h_l!(Ti"</f>
        <v>#VALUE!</v>
      </c>
      <c r="CC171" t="e">
        <f>Raw!D8+"h_l!(Tj"</f>
        <v>#VALUE!</v>
      </c>
      <c r="CD171" t="e">
        <f>Raw!E8+"h_l!(Tk"</f>
        <v>#VALUE!</v>
      </c>
      <c r="CE171" t="e">
        <f>Raw!#REF!+"h_l!(Tl"</f>
        <v>#REF!</v>
      </c>
      <c r="CF171" t="e">
        <f>Raw!G8+"h_l!(Tm"</f>
        <v>#VALUE!</v>
      </c>
      <c r="CG171" t="e">
        <f>Raw!H8+"h_l!(Tn"</f>
        <v>#VALUE!</v>
      </c>
      <c r="CH171" t="e">
        <f>Raw!I8+"h_l!(To"</f>
        <v>#VALUE!</v>
      </c>
      <c r="CI171" t="e">
        <f>Raw!J8+"h_l!(Tp"</f>
        <v>#VALUE!</v>
      </c>
      <c r="CJ171" t="e">
        <f>Raw!K8+"h_l!(Tq"</f>
        <v>#VALUE!</v>
      </c>
      <c r="CK171" t="e">
        <f>Raw!L8+"h_l!(Tr"</f>
        <v>#VALUE!</v>
      </c>
      <c r="CL171" t="e">
        <f>Raw!M8+"h_l!(Ts"</f>
        <v>#VALUE!</v>
      </c>
      <c r="CM171" t="e">
        <f>Raw!N8+"h_l!(Tt"</f>
        <v>#VALUE!</v>
      </c>
      <c r="CN171" t="e">
        <f>Raw!O8+"h_l!(Tu"</f>
        <v>#VALUE!</v>
      </c>
      <c r="CO171" t="e">
        <f>Raw!P8+"h_l!(Tv"</f>
        <v>#VALUE!</v>
      </c>
      <c r="CP171" t="e">
        <f>Raw!Q8+"h_l!(Tw"</f>
        <v>#VALUE!</v>
      </c>
      <c r="CQ171" t="e">
        <f>Raw!R8+"h_l!(Tx"</f>
        <v>#VALUE!</v>
      </c>
      <c r="CR171" t="e">
        <f>Raw!S8+"h_l!(Ty"</f>
        <v>#VALUE!</v>
      </c>
      <c r="CS171" t="e">
        <f>Raw!T8+"h_l!(Tz"</f>
        <v>#VALUE!</v>
      </c>
      <c r="CT171" t="e">
        <f>Raw!U8+"h_l!(T{"</f>
        <v>#VALUE!</v>
      </c>
      <c r="CU171" t="e">
        <f>Raw!V8+"h_l!(T|"</f>
        <v>#VALUE!</v>
      </c>
      <c r="CV171" t="e">
        <f>Raw!W8+"h_l!(T}"</f>
        <v>#VALUE!</v>
      </c>
      <c r="CW171" t="e">
        <f>Raw!A9+"h_l!(T~"</f>
        <v>#VALUE!</v>
      </c>
      <c r="CX171" t="e">
        <f>Raw!B9+"h_l!(U#"</f>
        <v>#VALUE!</v>
      </c>
      <c r="CY171" t="e">
        <f>Raw!C9+"h_l!(U$"</f>
        <v>#VALUE!</v>
      </c>
      <c r="CZ171" t="e">
        <f>Raw!D9+"h_l!(U%"</f>
        <v>#VALUE!</v>
      </c>
      <c r="DA171" t="e">
        <f>Raw!E9+"h_l!(U&amp;"</f>
        <v>#VALUE!</v>
      </c>
      <c r="DB171" t="e">
        <f>Raw!#REF!+"h_l!(U'"</f>
        <v>#REF!</v>
      </c>
      <c r="DC171" t="e">
        <f>Raw!G9+"h_l!(U("</f>
        <v>#VALUE!</v>
      </c>
      <c r="DD171" t="e">
        <f>Raw!H9+"h_l!(U)"</f>
        <v>#VALUE!</v>
      </c>
      <c r="DE171" t="e">
        <f>Raw!I9+"h_l!(U."</f>
        <v>#VALUE!</v>
      </c>
      <c r="DF171" t="e">
        <f>Raw!J9+"h_l!(U/"</f>
        <v>#VALUE!</v>
      </c>
      <c r="DG171" t="e">
        <f>Raw!K9+"h_l!(U0"</f>
        <v>#VALUE!</v>
      </c>
      <c r="DH171" t="e">
        <f>Raw!L9+"h_l!(U1"</f>
        <v>#VALUE!</v>
      </c>
      <c r="DI171" t="e">
        <f>Raw!M9+"h_l!(U2"</f>
        <v>#VALUE!</v>
      </c>
      <c r="DJ171" t="e">
        <f>Raw!N9+"h_l!(U3"</f>
        <v>#VALUE!</v>
      </c>
      <c r="DK171" t="e">
        <f>Raw!O9+"h_l!(U4"</f>
        <v>#VALUE!</v>
      </c>
      <c r="DL171" t="e">
        <f>Raw!P9+"h_l!(U5"</f>
        <v>#VALUE!</v>
      </c>
      <c r="DM171" t="e">
        <f>Raw!Q9+"h_l!(U6"</f>
        <v>#VALUE!</v>
      </c>
      <c r="DN171" t="e">
        <f>Raw!R9+"h_l!(U7"</f>
        <v>#VALUE!</v>
      </c>
      <c r="DO171" t="e">
        <f>Raw!S9+"h_l!(U8"</f>
        <v>#VALUE!</v>
      </c>
      <c r="DP171" t="e">
        <f>Raw!T9+"h_l!(U9"</f>
        <v>#VALUE!</v>
      </c>
      <c r="DQ171" t="e">
        <f>Raw!U9+"h_l!(U:"</f>
        <v>#VALUE!</v>
      </c>
      <c r="DR171" t="e">
        <f>Raw!V9+"h_l!(U;"</f>
        <v>#VALUE!</v>
      </c>
      <c r="DS171" t="e">
        <f>Raw!W9+"h_l!(U&lt;"</f>
        <v>#VALUE!</v>
      </c>
      <c r="DT171" t="e">
        <f>Raw!A10+"h_l!(U="</f>
        <v>#VALUE!</v>
      </c>
      <c r="DU171" t="e">
        <f>Raw!B10+"h_l!(U&gt;"</f>
        <v>#VALUE!</v>
      </c>
      <c r="DV171" t="e">
        <f>Raw!C10+"h_l!(U?"</f>
        <v>#VALUE!</v>
      </c>
      <c r="DW171" t="e">
        <f>Raw!D10+"h_l!(U@"</f>
        <v>#VALUE!</v>
      </c>
      <c r="DX171" t="e">
        <f>Raw!E10+"h_l!(UA"</f>
        <v>#VALUE!</v>
      </c>
      <c r="DY171" t="e">
        <f>Raw!#REF!+"h_l!(UB"</f>
        <v>#REF!</v>
      </c>
      <c r="DZ171" t="e">
        <f>Raw!G10+"h_l!(UC"</f>
        <v>#VALUE!</v>
      </c>
      <c r="EA171" t="e">
        <f>Raw!H10+"h_l!(UD"</f>
        <v>#VALUE!</v>
      </c>
      <c r="EB171" t="e">
        <f>Raw!I10+"h_l!(UE"</f>
        <v>#VALUE!</v>
      </c>
      <c r="EC171" t="e">
        <f>Raw!J10+"h_l!(UF"</f>
        <v>#VALUE!</v>
      </c>
      <c r="ED171" t="e">
        <f>Raw!K10+"h_l!(UG"</f>
        <v>#VALUE!</v>
      </c>
      <c r="EE171" t="e">
        <f>Raw!L10+"h_l!(UH"</f>
        <v>#VALUE!</v>
      </c>
      <c r="EF171" t="e">
        <f>Raw!M10+"h_l!(UI"</f>
        <v>#VALUE!</v>
      </c>
      <c r="EG171" t="e">
        <f>Raw!N10+"h_l!(UJ"</f>
        <v>#VALUE!</v>
      </c>
      <c r="EH171" t="e">
        <f>Raw!O10+"h_l!(UK"</f>
        <v>#VALUE!</v>
      </c>
      <c r="EI171" t="e">
        <f>Raw!P10+"h_l!(UL"</f>
        <v>#VALUE!</v>
      </c>
      <c r="EJ171" t="e">
        <f>Raw!Q10+"h_l!(UM"</f>
        <v>#VALUE!</v>
      </c>
      <c r="EK171" t="e">
        <f>Raw!R10+"h_l!(UN"</f>
        <v>#VALUE!</v>
      </c>
      <c r="EL171" t="e">
        <f>Raw!S10+"h_l!(UO"</f>
        <v>#VALUE!</v>
      </c>
      <c r="EM171" t="e">
        <f>Raw!T10+"h_l!(UP"</f>
        <v>#VALUE!</v>
      </c>
      <c r="EN171" t="e">
        <f>Raw!U10+"h_l!(UQ"</f>
        <v>#VALUE!</v>
      </c>
      <c r="EO171" t="e">
        <f>Raw!V10+"h_l!(UR"</f>
        <v>#VALUE!</v>
      </c>
      <c r="EP171" t="e">
        <f>Raw!W10+"h_l!(US"</f>
        <v>#VALUE!</v>
      </c>
      <c r="EQ171" t="e">
        <f>Raw!A11+"h_l!(UT"</f>
        <v>#VALUE!</v>
      </c>
      <c r="ER171" t="e">
        <f>Raw!B11+"h_l!(UU"</f>
        <v>#VALUE!</v>
      </c>
      <c r="ES171" t="e">
        <f>Raw!C11+"h_l!(UV"</f>
        <v>#VALUE!</v>
      </c>
      <c r="ET171" t="e">
        <f>Raw!D11+"h_l!(UW"</f>
        <v>#VALUE!</v>
      </c>
      <c r="EU171" t="e">
        <f>Raw!E11+"h_l!(UX"</f>
        <v>#VALUE!</v>
      </c>
      <c r="EV171" t="e">
        <f>Raw!#REF!+"h_l!(UY"</f>
        <v>#REF!</v>
      </c>
      <c r="EW171" t="e">
        <f>Raw!G11+"h_l!(UZ"</f>
        <v>#VALUE!</v>
      </c>
      <c r="EX171" t="e">
        <f>Raw!H11+"h_l!(U["</f>
        <v>#VALUE!</v>
      </c>
      <c r="EY171" t="e">
        <f>Raw!I11+"h_l!(U\"</f>
        <v>#VALUE!</v>
      </c>
      <c r="EZ171" t="e">
        <f>Raw!J11+"h_l!(U]"</f>
        <v>#VALUE!</v>
      </c>
      <c r="FA171" t="e">
        <f>Raw!K11+"h_l!(U^"</f>
        <v>#VALUE!</v>
      </c>
      <c r="FB171" t="e">
        <f>Raw!L11+"h_l!(U_"</f>
        <v>#VALUE!</v>
      </c>
      <c r="FC171" t="e">
        <f>Raw!M11+"h_l!(U`"</f>
        <v>#VALUE!</v>
      </c>
      <c r="FD171" t="e">
        <f>Raw!N11+"h_l!(Ua"</f>
        <v>#VALUE!</v>
      </c>
      <c r="FE171" t="e">
        <f>Raw!O11+"h_l!(Ub"</f>
        <v>#VALUE!</v>
      </c>
      <c r="FF171" t="e">
        <f>Raw!P11+"h_l!(Uc"</f>
        <v>#VALUE!</v>
      </c>
      <c r="FG171" t="e">
        <f>Raw!Q11+"h_l!(Ud"</f>
        <v>#VALUE!</v>
      </c>
      <c r="FH171" t="e">
        <f>Raw!R11+"h_l!(Ue"</f>
        <v>#VALUE!</v>
      </c>
      <c r="FI171" t="e">
        <f>Raw!S11+"h_l!(Uf"</f>
        <v>#VALUE!</v>
      </c>
      <c r="FJ171" t="e">
        <f>Raw!T11+"h_l!(Ug"</f>
        <v>#VALUE!</v>
      </c>
      <c r="FK171" t="e">
        <f>Raw!U11+"h_l!(Uh"</f>
        <v>#VALUE!</v>
      </c>
      <c r="FL171" t="e">
        <f>Raw!V11+"h_l!(Ui"</f>
        <v>#VALUE!</v>
      </c>
      <c r="FM171" t="e">
        <f>Raw!W11+"h_l!(Uj"</f>
        <v>#VALUE!</v>
      </c>
      <c r="FN171" t="e">
        <f>Raw!A12+"h_l!(Uk"</f>
        <v>#VALUE!</v>
      </c>
      <c r="FO171" t="e">
        <f>Raw!B12+"h_l!(Ul"</f>
        <v>#VALUE!</v>
      </c>
      <c r="FP171" t="e">
        <f>Raw!C12+"h_l!(Um"</f>
        <v>#VALUE!</v>
      </c>
      <c r="FQ171" t="e">
        <f>Raw!D12+"h_l!(Un"</f>
        <v>#VALUE!</v>
      </c>
      <c r="FR171" t="e">
        <f>Raw!E12+"h_l!(Uo"</f>
        <v>#VALUE!</v>
      </c>
      <c r="FS171" t="e">
        <f>Raw!#REF!+"h_l!(Up"</f>
        <v>#REF!</v>
      </c>
      <c r="FT171" t="e">
        <f>Raw!G12+"h_l!(Uq"</f>
        <v>#VALUE!</v>
      </c>
      <c r="FU171" t="e">
        <f>Raw!H12+"h_l!(Ur"</f>
        <v>#VALUE!</v>
      </c>
      <c r="FV171" t="e">
        <f>Raw!I12+"h_l!(Us"</f>
        <v>#VALUE!</v>
      </c>
      <c r="FW171" t="e">
        <f>Raw!J12+"h_l!(Ut"</f>
        <v>#VALUE!</v>
      </c>
      <c r="FX171" t="e">
        <f>Raw!K12+"h_l!(Uu"</f>
        <v>#VALUE!</v>
      </c>
      <c r="FY171" t="e">
        <f>Raw!L12+"h_l!(Uv"</f>
        <v>#VALUE!</v>
      </c>
      <c r="FZ171" t="e">
        <f>Raw!M12+"h_l!(Uw"</f>
        <v>#VALUE!</v>
      </c>
      <c r="GA171" t="e">
        <f>Raw!N12+"h_l!(Ux"</f>
        <v>#VALUE!</v>
      </c>
      <c r="GB171" t="e">
        <f>Raw!O12+"h_l!(Uy"</f>
        <v>#VALUE!</v>
      </c>
      <c r="GC171" t="e">
        <f>Raw!P12+"h_l!(Uz"</f>
        <v>#VALUE!</v>
      </c>
      <c r="GD171" t="e">
        <f>Raw!Q12+"h_l!(U{"</f>
        <v>#VALUE!</v>
      </c>
      <c r="GE171" t="e">
        <f>Raw!R12+"h_l!(U|"</f>
        <v>#VALUE!</v>
      </c>
      <c r="GF171" t="e">
        <f>Raw!S12+"h_l!(U}"</f>
        <v>#VALUE!</v>
      </c>
      <c r="GG171" t="e">
        <f>Raw!T12+"h_l!(U~"</f>
        <v>#VALUE!</v>
      </c>
      <c r="GH171" t="e">
        <f>Raw!U12+"h_l!(V#"</f>
        <v>#VALUE!</v>
      </c>
      <c r="GI171" t="e">
        <f>Raw!V12+"h_l!(V$"</f>
        <v>#VALUE!</v>
      </c>
      <c r="GJ171" t="e">
        <f>Raw!W12+"h_l!(V%"</f>
        <v>#VALUE!</v>
      </c>
      <c r="GK171" t="e">
        <f>Raw!A13+"h_l!(V&amp;"</f>
        <v>#VALUE!</v>
      </c>
      <c r="GL171" t="e">
        <f>Raw!B13+"h_l!(V'"</f>
        <v>#VALUE!</v>
      </c>
      <c r="GM171" t="e">
        <f>Raw!C13+"h_l!(V("</f>
        <v>#VALUE!</v>
      </c>
      <c r="GN171" t="e">
        <f>Raw!D13+"h_l!(V)"</f>
        <v>#VALUE!</v>
      </c>
      <c r="GO171" t="e">
        <f>Raw!E13+"h_l!(V."</f>
        <v>#VALUE!</v>
      </c>
      <c r="GP171" t="e">
        <f>Raw!#REF!+"h_l!(V/"</f>
        <v>#REF!</v>
      </c>
      <c r="GQ171" t="e">
        <f>Raw!G13+"h_l!(V0"</f>
        <v>#VALUE!</v>
      </c>
      <c r="GR171" t="e">
        <f>Raw!H13+"h_l!(V1"</f>
        <v>#VALUE!</v>
      </c>
      <c r="GS171" t="e">
        <f>Raw!I13+"h_l!(V2"</f>
        <v>#VALUE!</v>
      </c>
      <c r="GT171" t="e">
        <f>Raw!J13+"h_l!(V3"</f>
        <v>#VALUE!</v>
      </c>
      <c r="GU171" t="e">
        <f>Raw!K13+"h_l!(V4"</f>
        <v>#VALUE!</v>
      </c>
      <c r="GV171" t="e">
        <f>Raw!L13+"h_l!(V5"</f>
        <v>#VALUE!</v>
      </c>
      <c r="GW171" t="e">
        <f>Raw!M13+"h_l!(V6"</f>
        <v>#VALUE!</v>
      </c>
      <c r="GX171" t="e">
        <f>Raw!N13+"h_l!(V7"</f>
        <v>#VALUE!</v>
      </c>
      <c r="GY171" t="e">
        <f>Raw!O13+"h_l!(V8"</f>
        <v>#VALUE!</v>
      </c>
      <c r="GZ171" t="e">
        <f>Raw!P13+"h_l!(V9"</f>
        <v>#VALUE!</v>
      </c>
      <c r="HA171" t="e">
        <f>Raw!Q13+"h_l!(V:"</f>
        <v>#VALUE!</v>
      </c>
      <c r="HB171" t="e">
        <f>Raw!R13+"h_l!(V;"</f>
        <v>#VALUE!</v>
      </c>
      <c r="HC171" t="e">
        <f>Raw!S13+"h_l!(V&lt;"</f>
        <v>#VALUE!</v>
      </c>
      <c r="HD171" t="e">
        <f>Raw!T13+"h_l!(V="</f>
        <v>#VALUE!</v>
      </c>
      <c r="HE171" t="e">
        <f>Raw!U13+"h_l!(V&gt;"</f>
        <v>#VALUE!</v>
      </c>
      <c r="HF171" t="e">
        <f>Raw!V13+"h_l!(V?"</f>
        <v>#VALUE!</v>
      </c>
      <c r="HG171" t="e">
        <f>Raw!W13+"h_l!(V@"</f>
        <v>#VALUE!</v>
      </c>
      <c r="HH171" t="e">
        <f>Raw!A14+"h_l!(VA"</f>
        <v>#VALUE!</v>
      </c>
      <c r="HI171" t="e">
        <f>Raw!B14+"h_l!(VB"</f>
        <v>#VALUE!</v>
      </c>
      <c r="HJ171" t="e">
        <f>Raw!C14+"h_l!(VC"</f>
        <v>#VALUE!</v>
      </c>
      <c r="HK171" t="e">
        <f>Raw!D14+"h_l!(VD"</f>
        <v>#VALUE!</v>
      </c>
      <c r="HL171" t="e">
        <f>Raw!E14+"h_l!(VE"</f>
        <v>#VALUE!</v>
      </c>
      <c r="HM171" t="e">
        <f>Raw!#REF!+"h_l!(VF"</f>
        <v>#REF!</v>
      </c>
      <c r="HN171" t="e">
        <f>Raw!G14+"h_l!(VG"</f>
        <v>#VALUE!</v>
      </c>
      <c r="HO171" t="e">
        <f>Raw!H14+"h_l!(VH"</f>
        <v>#VALUE!</v>
      </c>
      <c r="HP171" t="e">
        <f>Raw!I14+"h_l!(VI"</f>
        <v>#VALUE!</v>
      </c>
      <c r="HQ171" t="e">
        <f>Raw!J14+"h_l!(VJ"</f>
        <v>#VALUE!</v>
      </c>
      <c r="HR171" t="e">
        <f>Raw!K14+"h_l!(VK"</f>
        <v>#VALUE!</v>
      </c>
      <c r="HS171" t="e">
        <f>Raw!L14+"h_l!(VL"</f>
        <v>#VALUE!</v>
      </c>
      <c r="HT171" t="e">
        <f>Raw!M14+"h_l!(VM"</f>
        <v>#VALUE!</v>
      </c>
      <c r="HU171" t="e">
        <f>Raw!N14+"h_l!(VN"</f>
        <v>#VALUE!</v>
      </c>
      <c r="HV171" t="e">
        <f>Raw!O14+"h_l!(VO"</f>
        <v>#VALUE!</v>
      </c>
      <c r="HW171" t="e">
        <f>Raw!P14+"h_l!(VP"</f>
        <v>#VALUE!</v>
      </c>
      <c r="HX171" t="e">
        <f>Raw!Q14+"h_l!(VQ"</f>
        <v>#VALUE!</v>
      </c>
      <c r="HY171" t="e">
        <f>Raw!R14+"h_l!(VR"</f>
        <v>#VALUE!</v>
      </c>
      <c r="HZ171" t="e">
        <f>Raw!S14+"h_l!(VS"</f>
        <v>#VALUE!</v>
      </c>
      <c r="IA171" t="e">
        <f>Raw!T14+"h_l!(VT"</f>
        <v>#VALUE!</v>
      </c>
      <c r="IB171" t="e">
        <f>Raw!U14+"h_l!(VU"</f>
        <v>#VALUE!</v>
      </c>
      <c r="IC171" t="e">
        <f>Raw!V14+"h_l!(VV"</f>
        <v>#VALUE!</v>
      </c>
      <c r="ID171" t="e">
        <f>Raw!W14+"h_l!(VW"</f>
        <v>#VALUE!</v>
      </c>
      <c r="IE171" t="e">
        <f>Raw!A15+"h_l!(VX"</f>
        <v>#VALUE!</v>
      </c>
      <c r="IF171" t="e">
        <f>Raw!B15+"h_l!(VY"</f>
        <v>#VALUE!</v>
      </c>
      <c r="IG171" t="e">
        <f>Raw!C15+"h_l!(VZ"</f>
        <v>#VALUE!</v>
      </c>
      <c r="IH171" t="e">
        <f>Raw!D15+"h_l!(V["</f>
        <v>#VALUE!</v>
      </c>
      <c r="II171" t="e">
        <f>Raw!E15+"h_l!(V\"</f>
        <v>#VALUE!</v>
      </c>
      <c r="IJ171" t="e">
        <f>Raw!#REF!+"h_l!(V]"</f>
        <v>#REF!</v>
      </c>
      <c r="IK171" t="e">
        <f>Raw!G15+"h_l!(V^"</f>
        <v>#VALUE!</v>
      </c>
      <c r="IL171" t="e">
        <f>Raw!H15+"h_l!(V_"</f>
        <v>#VALUE!</v>
      </c>
      <c r="IM171" t="e">
        <f>Raw!I15+"h_l!(V`"</f>
        <v>#VALUE!</v>
      </c>
      <c r="IN171" t="e">
        <f>Raw!J15+"h_l!(Va"</f>
        <v>#VALUE!</v>
      </c>
      <c r="IO171" t="e">
        <f>Raw!K15+"h_l!(Vb"</f>
        <v>#VALUE!</v>
      </c>
      <c r="IP171" t="e">
        <f>Raw!L15+"h_l!(Vc"</f>
        <v>#VALUE!</v>
      </c>
      <c r="IQ171" t="e">
        <f>Raw!M15+"h_l!(Vd"</f>
        <v>#VALUE!</v>
      </c>
      <c r="IR171" t="e">
        <f>Raw!N15+"h_l!(Ve"</f>
        <v>#VALUE!</v>
      </c>
      <c r="IS171" t="e">
        <f>Raw!O15+"h_l!(Vf"</f>
        <v>#VALUE!</v>
      </c>
      <c r="IT171" t="e">
        <f>Raw!P15+"h_l!(Vg"</f>
        <v>#VALUE!</v>
      </c>
      <c r="IU171" t="e">
        <f>Raw!Q15+"h_l!(Vh"</f>
        <v>#VALUE!</v>
      </c>
      <c r="IV171" t="e">
        <f>Raw!R15+"h_l!(Vi"</f>
        <v>#VALUE!</v>
      </c>
    </row>
    <row r="172" spans="6:256" x14ac:dyDescent="0.25">
      <c r="F172" t="e">
        <f>Raw!S15+"h_l!(Vj"</f>
        <v>#VALUE!</v>
      </c>
      <c r="G172" t="e">
        <f>Raw!T15+"h_l!(Vk"</f>
        <v>#VALUE!</v>
      </c>
      <c r="H172" t="e">
        <f>Raw!U15+"h_l!(Vl"</f>
        <v>#VALUE!</v>
      </c>
      <c r="I172" t="e">
        <f>Raw!V15+"h_l!(Vm"</f>
        <v>#VALUE!</v>
      </c>
      <c r="J172" t="e">
        <f>Raw!W15+"h_l!(Vn"</f>
        <v>#VALUE!</v>
      </c>
      <c r="K172" t="e">
        <f>Raw!A16+"h_l!(Vo"</f>
        <v>#VALUE!</v>
      </c>
      <c r="L172" t="e">
        <f>Raw!B16+"h_l!(Vp"</f>
        <v>#VALUE!</v>
      </c>
      <c r="M172" t="e">
        <f>Raw!C16+"h_l!(Vq"</f>
        <v>#VALUE!</v>
      </c>
      <c r="N172" t="e">
        <f>Raw!D16+"h_l!(Vr"</f>
        <v>#VALUE!</v>
      </c>
      <c r="O172" t="e">
        <f>Raw!E16+"h_l!(Vs"</f>
        <v>#VALUE!</v>
      </c>
      <c r="P172" t="e">
        <f>Raw!#REF!+"h_l!(Vt"</f>
        <v>#REF!</v>
      </c>
      <c r="Q172" t="e">
        <f>Raw!G16+"h_l!(Vu"</f>
        <v>#VALUE!</v>
      </c>
      <c r="R172" t="e">
        <f>Raw!H16+"h_l!(Vv"</f>
        <v>#VALUE!</v>
      </c>
      <c r="S172" t="e">
        <f>Raw!I16+"h_l!(Vw"</f>
        <v>#VALUE!</v>
      </c>
      <c r="T172" t="e">
        <f>Raw!J16+"h_l!(Vx"</f>
        <v>#VALUE!</v>
      </c>
      <c r="U172" t="e">
        <f>Raw!K16+"h_l!(Vy"</f>
        <v>#VALUE!</v>
      </c>
      <c r="V172" t="e">
        <f>Raw!L16+"h_l!(Vz"</f>
        <v>#VALUE!</v>
      </c>
      <c r="W172" t="e">
        <f>Raw!M16+"h_l!(V{"</f>
        <v>#VALUE!</v>
      </c>
      <c r="X172" t="e">
        <f>Raw!N16+"h_l!(V|"</f>
        <v>#VALUE!</v>
      </c>
      <c r="Y172" t="e">
        <f>Raw!O16+"h_l!(V}"</f>
        <v>#VALUE!</v>
      </c>
      <c r="Z172" t="e">
        <f>Raw!P16+"h_l!(V~"</f>
        <v>#VALUE!</v>
      </c>
      <c r="AA172" t="e">
        <f>Raw!Q16+"h_l!(W#"</f>
        <v>#VALUE!</v>
      </c>
      <c r="AB172" t="e">
        <f>Raw!R16+"h_l!(W$"</f>
        <v>#VALUE!</v>
      </c>
      <c r="AC172" t="e">
        <f>Raw!S16+"h_l!(W%"</f>
        <v>#VALUE!</v>
      </c>
      <c r="AD172" t="e">
        <f>Raw!T16+"h_l!(W&amp;"</f>
        <v>#VALUE!</v>
      </c>
      <c r="AE172" t="e">
        <f>Raw!U16+"h_l!(W'"</f>
        <v>#VALUE!</v>
      </c>
      <c r="AF172" t="e">
        <f>Raw!V16+"h_l!(W("</f>
        <v>#VALUE!</v>
      </c>
      <c r="AG172" t="e">
        <f>Raw!W16+"h_l!(W)"</f>
        <v>#VALUE!</v>
      </c>
      <c r="AH172" t="e">
        <f>Raw!A17+"h_l!(W."</f>
        <v>#VALUE!</v>
      </c>
      <c r="AI172" t="e">
        <f>Raw!B17+"h_l!(W/"</f>
        <v>#VALUE!</v>
      </c>
      <c r="AJ172" t="e">
        <f>Raw!C17+"h_l!(W0"</f>
        <v>#VALUE!</v>
      </c>
      <c r="AK172" t="e">
        <f>Raw!D17+"h_l!(W1"</f>
        <v>#VALUE!</v>
      </c>
      <c r="AL172" t="e">
        <f>Raw!E17+"h_l!(W2"</f>
        <v>#VALUE!</v>
      </c>
      <c r="AM172" t="e">
        <f>Raw!#REF!+"h_l!(W3"</f>
        <v>#REF!</v>
      </c>
      <c r="AN172" t="e">
        <f>Raw!G17+"h_l!(W4"</f>
        <v>#VALUE!</v>
      </c>
      <c r="AO172" t="e">
        <f>Raw!H17+"h_l!(W5"</f>
        <v>#VALUE!</v>
      </c>
      <c r="AP172" t="e">
        <f>Raw!I17+"h_l!(W6"</f>
        <v>#VALUE!</v>
      </c>
      <c r="AQ172" t="e">
        <f>Raw!J17+"h_l!(W7"</f>
        <v>#VALUE!</v>
      </c>
      <c r="AR172" t="e">
        <f>Raw!K17+"h_l!(W8"</f>
        <v>#VALUE!</v>
      </c>
      <c r="AS172" t="e">
        <f>Raw!L17+"h_l!(W9"</f>
        <v>#VALUE!</v>
      </c>
      <c r="AT172" t="e">
        <f>Raw!M17+"h_l!(W:"</f>
        <v>#VALUE!</v>
      </c>
      <c r="AU172" t="e">
        <f>Raw!N17+"h_l!(W;"</f>
        <v>#VALUE!</v>
      </c>
      <c r="AV172" t="e">
        <f>Raw!O17+"h_l!(W&lt;"</f>
        <v>#VALUE!</v>
      </c>
      <c r="AW172" t="e">
        <f>Raw!P17+"h_l!(W="</f>
        <v>#VALUE!</v>
      </c>
      <c r="AX172" t="e">
        <f>Raw!Q17+"h_l!(W&gt;"</f>
        <v>#VALUE!</v>
      </c>
      <c r="AY172" t="e">
        <f>Raw!R17+"h_l!(W?"</f>
        <v>#VALUE!</v>
      </c>
      <c r="AZ172" t="e">
        <f>Raw!S17+"h_l!(W@"</f>
        <v>#VALUE!</v>
      </c>
      <c r="BA172" t="e">
        <f>Raw!T17+"h_l!(WA"</f>
        <v>#VALUE!</v>
      </c>
      <c r="BB172" t="e">
        <f>Raw!U17+"h_l!(WB"</f>
        <v>#VALUE!</v>
      </c>
      <c r="BC172" t="e">
        <f>Raw!V17+"h_l!(WC"</f>
        <v>#VALUE!</v>
      </c>
      <c r="BD172" t="e">
        <f>Raw!W17+"h_l!(WD"</f>
        <v>#VALUE!</v>
      </c>
      <c r="BE172" t="e">
        <f>Raw!A18+"h_l!(WE"</f>
        <v>#VALUE!</v>
      </c>
      <c r="BF172" t="e">
        <f>Raw!B18+"h_l!(WF"</f>
        <v>#VALUE!</v>
      </c>
      <c r="BG172" t="e">
        <f>Raw!C18+"h_l!(WG"</f>
        <v>#VALUE!</v>
      </c>
      <c r="BH172" t="e">
        <f>Raw!D18+"h_l!(WH"</f>
        <v>#VALUE!</v>
      </c>
      <c r="BI172" t="e">
        <f>Raw!E18+"h_l!(WI"</f>
        <v>#VALUE!</v>
      </c>
      <c r="BJ172" t="e">
        <f>Raw!#REF!+"h_l!(WJ"</f>
        <v>#REF!</v>
      </c>
      <c r="BK172" t="e">
        <f>Raw!G18+"h_l!(WK"</f>
        <v>#VALUE!</v>
      </c>
      <c r="BL172" t="e">
        <f>Raw!H18+"h_l!(WL"</f>
        <v>#VALUE!</v>
      </c>
      <c r="BM172" t="e">
        <f>Raw!I18+"h_l!(WM"</f>
        <v>#VALUE!</v>
      </c>
      <c r="BN172" t="e">
        <f>Raw!J18+"h_l!(WN"</f>
        <v>#VALUE!</v>
      </c>
      <c r="BO172" t="e">
        <f>Raw!K18+"h_l!(WO"</f>
        <v>#VALUE!</v>
      </c>
      <c r="BP172" t="e">
        <f>Raw!L18+"h_l!(WP"</f>
        <v>#VALUE!</v>
      </c>
      <c r="BQ172" t="e">
        <f>Raw!M18+"h_l!(WQ"</f>
        <v>#VALUE!</v>
      </c>
      <c r="BR172" t="e">
        <f>Raw!N18+"h_l!(WR"</f>
        <v>#VALUE!</v>
      </c>
      <c r="BS172" t="e">
        <f>Raw!O18+"h_l!(WS"</f>
        <v>#VALUE!</v>
      </c>
      <c r="BT172" t="e">
        <f>Raw!P18+"h_l!(WT"</f>
        <v>#VALUE!</v>
      </c>
      <c r="BU172" t="e">
        <f>Raw!Q18+"h_l!(WU"</f>
        <v>#VALUE!</v>
      </c>
      <c r="BV172" t="e">
        <f>Raw!R18+"h_l!(WV"</f>
        <v>#VALUE!</v>
      </c>
      <c r="BW172" t="e">
        <f>Raw!S18+"h_l!(WW"</f>
        <v>#VALUE!</v>
      </c>
      <c r="BX172" t="e">
        <f>Raw!T18+"h_l!(WX"</f>
        <v>#VALUE!</v>
      </c>
      <c r="BY172" t="e">
        <f>Raw!U18+"h_l!(WY"</f>
        <v>#VALUE!</v>
      </c>
      <c r="BZ172" t="e">
        <f>Raw!V18+"h_l!(WZ"</f>
        <v>#VALUE!</v>
      </c>
      <c r="CA172" t="e">
        <f>Raw!W18+"h_l!(W["</f>
        <v>#VALUE!</v>
      </c>
      <c r="CB172" t="e">
        <f>Raw!A19+"h_l!(W\"</f>
        <v>#VALUE!</v>
      </c>
      <c r="CC172" t="e">
        <f>Raw!B19+"h_l!(W]"</f>
        <v>#VALUE!</v>
      </c>
      <c r="CD172" t="e">
        <f>Raw!C19+"h_l!(W^"</f>
        <v>#VALUE!</v>
      </c>
      <c r="CE172" t="e">
        <f>Raw!D19+"h_l!(W_"</f>
        <v>#VALUE!</v>
      </c>
      <c r="CF172" t="e">
        <f>Raw!E19+"h_l!(W`"</f>
        <v>#VALUE!</v>
      </c>
      <c r="CG172" t="e">
        <f>Raw!#REF!+"h_l!(Wa"</f>
        <v>#REF!</v>
      </c>
      <c r="CH172" t="e">
        <f>Raw!G19+"h_l!(Wb"</f>
        <v>#VALUE!</v>
      </c>
      <c r="CI172" t="e">
        <f>Raw!H19+"h_l!(Wc"</f>
        <v>#VALUE!</v>
      </c>
      <c r="CJ172" t="e">
        <f>Raw!I19+"h_l!(Wd"</f>
        <v>#VALUE!</v>
      </c>
      <c r="CK172" t="e">
        <f>Raw!J19+"h_l!(We"</f>
        <v>#VALUE!</v>
      </c>
      <c r="CL172" t="e">
        <f>Raw!K19+"h_l!(Wf"</f>
        <v>#VALUE!</v>
      </c>
      <c r="CM172" t="e">
        <f>Raw!L19+"h_l!(Wg"</f>
        <v>#VALUE!</v>
      </c>
      <c r="CN172" t="e">
        <f>Raw!M19+"h_l!(Wh"</f>
        <v>#VALUE!</v>
      </c>
      <c r="CO172" t="e">
        <f>Raw!N19+"h_l!(Wi"</f>
        <v>#VALUE!</v>
      </c>
      <c r="CP172" t="e">
        <f>Raw!O19+"h_l!(Wj"</f>
        <v>#VALUE!</v>
      </c>
      <c r="CQ172" t="e">
        <f>Raw!P19+"h_l!(Wk"</f>
        <v>#VALUE!</v>
      </c>
      <c r="CR172" t="e">
        <f>Raw!Q19+"h_l!(Wl"</f>
        <v>#VALUE!</v>
      </c>
      <c r="CS172" t="e">
        <f>Raw!R19+"h_l!(Wm"</f>
        <v>#VALUE!</v>
      </c>
      <c r="CT172" t="e">
        <f>Raw!S19+"h_l!(Wn"</f>
        <v>#VALUE!</v>
      </c>
      <c r="CU172" t="e">
        <f>Raw!T19+"h_l!(Wo"</f>
        <v>#VALUE!</v>
      </c>
      <c r="CV172" t="e">
        <f>Raw!U19+"h_l!(Wp"</f>
        <v>#VALUE!</v>
      </c>
      <c r="CW172" t="e">
        <f>Raw!V19+"h_l!(Wq"</f>
        <v>#VALUE!</v>
      </c>
      <c r="CX172" t="e">
        <f>Raw!W19+"h_l!(Wr"</f>
        <v>#VALUE!</v>
      </c>
      <c r="CY172" t="e">
        <f>Raw!A20+"h_l!(Ws"</f>
        <v>#VALUE!</v>
      </c>
      <c r="CZ172" t="e">
        <f>Raw!B20+"h_l!(Wt"</f>
        <v>#VALUE!</v>
      </c>
      <c r="DA172" t="e">
        <f>Raw!C20+"h_l!(Wu"</f>
        <v>#VALUE!</v>
      </c>
      <c r="DB172" t="e">
        <f>Raw!D20+"h_l!(Wv"</f>
        <v>#VALUE!</v>
      </c>
      <c r="DC172" t="e">
        <f>Raw!E20+"h_l!(Ww"</f>
        <v>#VALUE!</v>
      </c>
      <c r="DD172" t="e">
        <f>Raw!#REF!+"h_l!(Wx"</f>
        <v>#REF!</v>
      </c>
      <c r="DE172" t="e">
        <f>Raw!G20+"h_l!(Wy"</f>
        <v>#VALUE!</v>
      </c>
      <c r="DF172" t="e">
        <f>Raw!H20+"h_l!(Wz"</f>
        <v>#VALUE!</v>
      </c>
      <c r="DG172" t="e">
        <f>Raw!I20+"h_l!(W{"</f>
        <v>#VALUE!</v>
      </c>
      <c r="DH172" t="e">
        <f>Raw!J20+"h_l!(W|"</f>
        <v>#VALUE!</v>
      </c>
      <c r="DI172" t="e">
        <f>Raw!K20+"h_l!(W}"</f>
        <v>#VALUE!</v>
      </c>
      <c r="DJ172" t="e">
        <f>Raw!L20+"h_l!(W~"</f>
        <v>#VALUE!</v>
      </c>
      <c r="DK172" t="e">
        <f>Raw!M20+"h_l!(X#"</f>
        <v>#VALUE!</v>
      </c>
      <c r="DL172" t="e">
        <f>Raw!N20+"h_l!(X$"</f>
        <v>#VALUE!</v>
      </c>
      <c r="DM172" t="e">
        <f>Raw!O20+"h_l!(X%"</f>
        <v>#VALUE!</v>
      </c>
      <c r="DN172" t="e">
        <f>Raw!P20+"h_l!(X&amp;"</f>
        <v>#VALUE!</v>
      </c>
      <c r="DO172" t="e">
        <f>Raw!Q20+"h_l!(X'"</f>
        <v>#VALUE!</v>
      </c>
      <c r="DP172" t="e">
        <f>Raw!R20+"h_l!(X("</f>
        <v>#VALUE!</v>
      </c>
      <c r="DQ172" t="e">
        <f>Raw!S20+"h_l!(X)"</f>
        <v>#VALUE!</v>
      </c>
      <c r="DR172" t="e">
        <f>Raw!T20+"h_l!(X."</f>
        <v>#VALUE!</v>
      </c>
      <c r="DS172" t="e">
        <f>Raw!U20+"h_l!(X/"</f>
        <v>#VALUE!</v>
      </c>
      <c r="DT172" t="e">
        <f>Raw!V20+"h_l!(X0"</f>
        <v>#VALUE!</v>
      </c>
      <c r="DU172" t="e">
        <f>Raw!W20+"h_l!(X1"</f>
        <v>#VALUE!</v>
      </c>
      <c r="DV172" t="e">
        <f>Raw!A21+"h_l!(X2"</f>
        <v>#VALUE!</v>
      </c>
      <c r="DW172" t="e">
        <f>Raw!B21+"h_l!(X3"</f>
        <v>#VALUE!</v>
      </c>
      <c r="DX172" t="e">
        <f>Raw!C21+"h_l!(X4"</f>
        <v>#VALUE!</v>
      </c>
      <c r="DY172" t="e">
        <f>Raw!D21+"h_l!(X5"</f>
        <v>#VALUE!</v>
      </c>
      <c r="DZ172" t="e">
        <f>Raw!E21+"h_l!(X6"</f>
        <v>#VALUE!</v>
      </c>
      <c r="EA172" t="e">
        <f>Raw!#REF!+"h_l!(X7"</f>
        <v>#REF!</v>
      </c>
      <c r="EB172" t="e">
        <f>Raw!G21+"h_l!(X8"</f>
        <v>#VALUE!</v>
      </c>
      <c r="EC172" t="e">
        <f>Raw!H21+"h_l!(X9"</f>
        <v>#VALUE!</v>
      </c>
      <c r="ED172" t="e">
        <f>Raw!I21+"h_l!(X:"</f>
        <v>#VALUE!</v>
      </c>
      <c r="EE172" t="e">
        <f>Raw!J21+"h_l!(X;"</f>
        <v>#VALUE!</v>
      </c>
      <c r="EF172" t="e">
        <f>Raw!K21+"h_l!(X&lt;"</f>
        <v>#VALUE!</v>
      </c>
      <c r="EG172" t="e">
        <f>Raw!L21+"h_l!(X="</f>
        <v>#VALUE!</v>
      </c>
      <c r="EH172" t="e">
        <f>Raw!M21+"h_l!(X&gt;"</f>
        <v>#VALUE!</v>
      </c>
      <c r="EI172" t="e">
        <f>Raw!N21+"h_l!(X?"</f>
        <v>#VALUE!</v>
      </c>
      <c r="EJ172" t="e">
        <f>Raw!O21+"h_l!(X@"</f>
        <v>#VALUE!</v>
      </c>
      <c r="EK172" t="e">
        <f>Raw!P21+"h_l!(XA"</f>
        <v>#VALUE!</v>
      </c>
      <c r="EL172" t="e">
        <f>Raw!Q21+"h_l!(XB"</f>
        <v>#VALUE!</v>
      </c>
      <c r="EM172" t="e">
        <f>Raw!R21+"h_l!(XC"</f>
        <v>#VALUE!</v>
      </c>
      <c r="EN172" t="e">
        <f>Raw!S21+"h_l!(XD"</f>
        <v>#VALUE!</v>
      </c>
      <c r="EO172" t="e">
        <f>Raw!T21+"h_l!(XE"</f>
        <v>#VALUE!</v>
      </c>
      <c r="EP172" t="e">
        <f>Raw!U21+"h_l!(XF"</f>
        <v>#VALUE!</v>
      </c>
      <c r="EQ172" t="e">
        <f>Raw!V21+"h_l!(XG"</f>
        <v>#VALUE!</v>
      </c>
      <c r="ER172" t="e">
        <f>Raw!W21+"h_l!(XH"</f>
        <v>#VALUE!</v>
      </c>
      <c r="ES172" t="e">
        <f>Raw!A22+"h_l!(XI"</f>
        <v>#VALUE!</v>
      </c>
      <c r="ET172" t="e">
        <f>Raw!B22+"h_l!(XJ"</f>
        <v>#VALUE!</v>
      </c>
      <c r="EU172" t="e">
        <f>Raw!C22+"h_l!(XK"</f>
        <v>#VALUE!</v>
      </c>
      <c r="EV172" t="e">
        <f>Raw!D22+"h_l!(XL"</f>
        <v>#VALUE!</v>
      </c>
      <c r="EW172" t="e">
        <f>Raw!E22+"h_l!(XM"</f>
        <v>#VALUE!</v>
      </c>
      <c r="EX172" t="e">
        <f>Raw!#REF!+"h_l!(XN"</f>
        <v>#REF!</v>
      </c>
      <c r="EY172" t="e">
        <f>Raw!G22+"h_l!(XO"</f>
        <v>#VALUE!</v>
      </c>
      <c r="EZ172" t="e">
        <f>Raw!H22+"h_l!(XP"</f>
        <v>#VALUE!</v>
      </c>
      <c r="FA172" t="e">
        <f>Raw!I22+"h_l!(XQ"</f>
        <v>#VALUE!</v>
      </c>
      <c r="FB172" t="e">
        <f>Raw!J22+"h_l!(XR"</f>
        <v>#VALUE!</v>
      </c>
      <c r="FC172" t="e">
        <f>Raw!K22+"h_l!(XS"</f>
        <v>#VALUE!</v>
      </c>
      <c r="FD172" t="e">
        <f>Raw!L22+"h_l!(XT"</f>
        <v>#VALUE!</v>
      </c>
      <c r="FE172" t="e">
        <f>Raw!M22+"h_l!(XU"</f>
        <v>#VALUE!</v>
      </c>
      <c r="FF172" t="e">
        <f>Raw!N22+"h_l!(XV"</f>
        <v>#VALUE!</v>
      </c>
      <c r="FG172" t="e">
        <f>Raw!O22+"h_l!(XW"</f>
        <v>#VALUE!</v>
      </c>
      <c r="FH172" t="e">
        <f>Raw!P22+"h_l!(XX"</f>
        <v>#VALUE!</v>
      </c>
      <c r="FI172" t="e">
        <f>Raw!Q22+"h_l!(XY"</f>
        <v>#VALUE!</v>
      </c>
      <c r="FJ172" t="e">
        <f>Raw!R22+"h_l!(XZ"</f>
        <v>#VALUE!</v>
      </c>
      <c r="FK172" t="e">
        <f>Raw!S22+"h_l!(X["</f>
        <v>#VALUE!</v>
      </c>
      <c r="FL172" t="e">
        <f>Raw!T22+"h_l!(X\"</f>
        <v>#VALUE!</v>
      </c>
      <c r="FM172" t="e">
        <f>Raw!U22+"h_l!(X]"</f>
        <v>#VALUE!</v>
      </c>
      <c r="FN172" t="e">
        <f>Raw!V22+"h_l!(X^"</f>
        <v>#VALUE!</v>
      </c>
      <c r="FO172" t="e">
        <f>Raw!W22+"h_l!(X_"</f>
        <v>#VALUE!</v>
      </c>
      <c r="FP172" t="e">
        <f>Raw!A23+"h_l!(X`"</f>
        <v>#VALUE!</v>
      </c>
      <c r="FQ172" t="e">
        <f>Raw!B23+"h_l!(Xa"</f>
        <v>#VALUE!</v>
      </c>
      <c r="FR172" t="e">
        <f>Raw!C23+"h_l!(Xb"</f>
        <v>#VALUE!</v>
      </c>
      <c r="FS172" t="e">
        <f>Raw!D23+"h_l!(Xc"</f>
        <v>#VALUE!</v>
      </c>
      <c r="FT172" t="e">
        <f>Raw!E23+"h_l!(Xd"</f>
        <v>#VALUE!</v>
      </c>
      <c r="FU172" t="e">
        <f>Raw!#REF!+"h_l!(Xe"</f>
        <v>#REF!</v>
      </c>
      <c r="FV172" t="e">
        <f>Raw!G23+"h_l!(Xf"</f>
        <v>#VALUE!</v>
      </c>
      <c r="FW172" t="e">
        <f>Raw!H23+"h_l!(Xg"</f>
        <v>#VALUE!</v>
      </c>
      <c r="FX172" t="e">
        <f>Raw!I23+"h_l!(Xh"</f>
        <v>#VALUE!</v>
      </c>
      <c r="FY172" t="e">
        <f>Raw!J23+"h_l!(Xi"</f>
        <v>#VALUE!</v>
      </c>
      <c r="FZ172" t="e">
        <f>Raw!K23+"h_l!(Xj"</f>
        <v>#VALUE!</v>
      </c>
      <c r="GA172" t="e">
        <f>Raw!L23+"h_l!(Xk"</f>
        <v>#VALUE!</v>
      </c>
      <c r="GB172" t="e">
        <f>Raw!M23+"h_l!(Xl"</f>
        <v>#VALUE!</v>
      </c>
      <c r="GC172" t="e">
        <f>Raw!N23+"h_l!(Xm"</f>
        <v>#VALUE!</v>
      </c>
      <c r="GD172" t="e">
        <f>Raw!O23+"h_l!(Xn"</f>
        <v>#VALUE!</v>
      </c>
      <c r="GE172" t="e">
        <f>Raw!P23+"h_l!(Xo"</f>
        <v>#VALUE!</v>
      </c>
      <c r="GF172" t="e">
        <f>Raw!Q23+"h_l!(Xp"</f>
        <v>#VALUE!</v>
      </c>
      <c r="GG172" t="e">
        <f>Raw!R23+"h_l!(Xq"</f>
        <v>#VALUE!</v>
      </c>
      <c r="GH172" t="e">
        <f>Raw!S23+"h_l!(Xr"</f>
        <v>#VALUE!</v>
      </c>
      <c r="GI172" t="e">
        <f>Raw!T23+"h_l!(Xs"</f>
        <v>#VALUE!</v>
      </c>
      <c r="GJ172" t="e">
        <f>Raw!U23+"h_l!(Xt"</f>
        <v>#VALUE!</v>
      </c>
      <c r="GK172" t="e">
        <f>Raw!V23+"h_l!(Xu"</f>
        <v>#VALUE!</v>
      </c>
      <c r="GL172" t="e">
        <f>Raw!W23+"h_l!(Xv"</f>
        <v>#VALUE!</v>
      </c>
      <c r="GM172" t="e">
        <f>Raw!A24+"h_l!(Xw"</f>
        <v>#VALUE!</v>
      </c>
      <c r="GN172" t="e">
        <f>Raw!B24+"h_l!(Xx"</f>
        <v>#VALUE!</v>
      </c>
      <c r="GO172" t="e">
        <f>Raw!C24+"h_l!(Xy"</f>
        <v>#VALUE!</v>
      </c>
      <c r="GP172" t="e">
        <f>Raw!D24+"h_l!(Xz"</f>
        <v>#VALUE!</v>
      </c>
      <c r="GQ172" t="e">
        <f>Raw!E24+"h_l!(X{"</f>
        <v>#VALUE!</v>
      </c>
      <c r="GR172" t="e">
        <f>Raw!#REF!+"h_l!(X|"</f>
        <v>#REF!</v>
      </c>
      <c r="GS172" t="e">
        <f>Raw!G24+"h_l!(X}"</f>
        <v>#VALUE!</v>
      </c>
      <c r="GT172" t="e">
        <f>Raw!H24+"h_l!(X~"</f>
        <v>#VALUE!</v>
      </c>
      <c r="GU172" t="e">
        <f>Raw!I24+"h_l!(Y#"</f>
        <v>#VALUE!</v>
      </c>
      <c r="GV172" t="e">
        <f>Raw!J24+"h_l!(Y$"</f>
        <v>#VALUE!</v>
      </c>
      <c r="GW172" t="e">
        <f>Raw!K24+"h_l!(Y%"</f>
        <v>#VALUE!</v>
      </c>
      <c r="GX172" t="e">
        <f>Raw!L24+"h_l!(Y&amp;"</f>
        <v>#VALUE!</v>
      </c>
      <c r="GY172" t="e">
        <f>Raw!M24+"h_l!(Y'"</f>
        <v>#VALUE!</v>
      </c>
      <c r="GZ172" t="e">
        <f>Raw!N24+"h_l!(Y("</f>
        <v>#VALUE!</v>
      </c>
      <c r="HA172" t="e">
        <f>Raw!O24+"h_l!(Y)"</f>
        <v>#VALUE!</v>
      </c>
      <c r="HB172" t="e">
        <f>Raw!P24+"h_l!(Y."</f>
        <v>#VALUE!</v>
      </c>
      <c r="HC172" t="e">
        <f>Raw!Q24+"h_l!(Y/"</f>
        <v>#VALUE!</v>
      </c>
      <c r="HD172" t="e">
        <f>Raw!R24+"h_l!(Y0"</f>
        <v>#VALUE!</v>
      </c>
      <c r="HE172" t="e">
        <f>Raw!S24+"h_l!(Y1"</f>
        <v>#VALUE!</v>
      </c>
      <c r="HF172" t="e">
        <f>Raw!T24+"h_l!(Y2"</f>
        <v>#VALUE!</v>
      </c>
      <c r="HG172" t="e">
        <f>Raw!U24+"h_l!(Y3"</f>
        <v>#VALUE!</v>
      </c>
      <c r="HH172" t="e">
        <f>Raw!V24+"h_l!(Y4"</f>
        <v>#VALUE!</v>
      </c>
      <c r="HI172" t="e">
        <f>Raw!W24+"h_l!(Y5"</f>
        <v>#VALUE!</v>
      </c>
      <c r="HJ172" t="e">
        <f>Raw!A25+"h_l!(Y6"</f>
        <v>#VALUE!</v>
      </c>
      <c r="HK172" t="e">
        <f>Raw!B25+"h_l!(Y7"</f>
        <v>#VALUE!</v>
      </c>
      <c r="HL172" t="e">
        <f>Raw!C25+"h_l!(Y8"</f>
        <v>#VALUE!</v>
      </c>
      <c r="HM172" t="e">
        <f>Raw!D25+"h_l!(Y9"</f>
        <v>#VALUE!</v>
      </c>
      <c r="HN172" t="e">
        <f>Raw!E25+"h_l!(Y:"</f>
        <v>#VALUE!</v>
      </c>
      <c r="HO172" t="e">
        <f>Raw!#REF!+"h_l!(Y;"</f>
        <v>#REF!</v>
      </c>
      <c r="HP172" t="e">
        <f>Raw!G25+"h_l!(Y&lt;"</f>
        <v>#VALUE!</v>
      </c>
      <c r="HQ172" t="e">
        <f>Raw!H25+"h_l!(Y="</f>
        <v>#VALUE!</v>
      </c>
      <c r="HR172" t="e">
        <f>Raw!I25+"h_l!(Y&gt;"</f>
        <v>#VALUE!</v>
      </c>
      <c r="HS172" t="e">
        <f>Raw!J25+"h_l!(Y?"</f>
        <v>#VALUE!</v>
      </c>
      <c r="HT172" t="e">
        <f>Raw!K25+"h_l!(Y@"</f>
        <v>#VALUE!</v>
      </c>
      <c r="HU172" t="e">
        <f>Raw!L25+"h_l!(YA"</f>
        <v>#VALUE!</v>
      </c>
      <c r="HV172" t="e">
        <f>Raw!M25+"h_l!(YB"</f>
        <v>#VALUE!</v>
      </c>
      <c r="HW172" t="e">
        <f>Raw!N25+"h_l!(YC"</f>
        <v>#VALUE!</v>
      </c>
      <c r="HX172" t="e">
        <f>Raw!O25+"h_l!(YD"</f>
        <v>#VALUE!</v>
      </c>
      <c r="HY172" t="e">
        <f>Raw!P25+"h_l!(YE"</f>
        <v>#VALUE!</v>
      </c>
      <c r="HZ172" t="e">
        <f>Raw!Q25+"h_l!(YF"</f>
        <v>#VALUE!</v>
      </c>
      <c r="IA172" t="e">
        <f>Raw!R25+"h_l!(YG"</f>
        <v>#VALUE!</v>
      </c>
      <c r="IB172" t="e">
        <f>Raw!S25+"h_l!(YH"</f>
        <v>#VALUE!</v>
      </c>
      <c r="IC172" t="e">
        <f>Raw!T25+"h_l!(YI"</f>
        <v>#VALUE!</v>
      </c>
      <c r="ID172" t="e">
        <f>Raw!U25+"h_l!(YJ"</f>
        <v>#VALUE!</v>
      </c>
      <c r="IE172" t="e">
        <f>Raw!V25+"h_l!(YK"</f>
        <v>#VALUE!</v>
      </c>
      <c r="IF172" t="e">
        <f>Raw!W25+"h_l!(YL"</f>
        <v>#VALUE!</v>
      </c>
      <c r="IG172" t="e">
        <f>Raw!A26+"h_l!(YM"</f>
        <v>#VALUE!</v>
      </c>
      <c r="IH172" t="e">
        <f>Raw!B26+"h_l!(YN"</f>
        <v>#VALUE!</v>
      </c>
      <c r="II172" t="e">
        <f>Raw!C26+"h_l!(YO"</f>
        <v>#VALUE!</v>
      </c>
      <c r="IJ172" t="e">
        <f>Raw!D26+"h_l!(YP"</f>
        <v>#VALUE!</v>
      </c>
      <c r="IK172" t="e">
        <f>Raw!E26+"h_l!(YQ"</f>
        <v>#VALUE!</v>
      </c>
      <c r="IL172" t="e">
        <f>Raw!#REF!+"h_l!(YR"</f>
        <v>#REF!</v>
      </c>
      <c r="IM172" t="e">
        <f>Raw!G26+"h_l!(YS"</f>
        <v>#VALUE!</v>
      </c>
      <c r="IN172" t="e">
        <f>Raw!H26+"h_l!(YT"</f>
        <v>#VALUE!</v>
      </c>
      <c r="IO172" t="e">
        <f>Raw!I26+"h_l!(YU"</f>
        <v>#VALUE!</v>
      </c>
      <c r="IP172" t="e">
        <f>Raw!J26+"h_l!(YV"</f>
        <v>#VALUE!</v>
      </c>
      <c r="IQ172" t="e">
        <f>Raw!K26+"h_l!(YW"</f>
        <v>#VALUE!</v>
      </c>
      <c r="IR172" t="e">
        <f>Raw!L26+"h_l!(YX"</f>
        <v>#VALUE!</v>
      </c>
      <c r="IS172" t="e">
        <f>Raw!M26+"h_l!(YY"</f>
        <v>#VALUE!</v>
      </c>
      <c r="IT172" t="e">
        <f>Raw!N26+"h_l!(YZ"</f>
        <v>#VALUE!</v>
      </c>
      <c r="IU172" t="e">
        <f>Raw!O26+"h_l!(Y["</f>
        <v>#VALUE!</v>
      </c>
      <c r="IV172" t="e">
        <f>Raw!P26+"h_l!(Y\"</f>
        <v>#VALUE!</v>
      </c>
    </row>
    <row r="173" spans="6:256" x14ac:dyDescent="0.25">
      <c r="F173" t="e">
        <f>Raw!Q26+"h_l!(Y]"</f>
        <v>#VALUE!</v>
      </c>
      <c r="G173" t="e">
        <f>Raw!R26+"h_l!(Y^"</f>
        <v>#VALUE!</v>
      </c>
      <c r="H173" t="e">
        <f>Raw!S26+"h_l!(Y_"</f>
        <v>#VALUE!</v>
      </c>
      <c r="I173" t="e">
        <f>Raw!T26+"h_l!(Y`"</f>
        <v>#VALUE!</v>
      </c>
      <c r="J173" t="e">
        <f>Raw!U26+"h_l!(Ya"</f>
        <v>#VALUE!</v>
      </c>
      <c r="K173" t="e">
        <f>Raw!V26+"h_l!(Yb"</f>
        <v>#VALUE!</v>
      </c>
      <c r="L173" t="e">
        <f>Raw!W26+"h_l!(Yc"</f>
        <v>#VALUE!</v>
      </c>
      <c r="M173" t="e">
        <f>Raw!A27+"h_l!(Yd"</f>
        <v>#VALUE!</v>
      </c>
      <c r="N173" t="e">
        <f>Raw!B27+"h_l!(Ye"</f>
        <v>#VALUE!</v>
      </c>
      <c r="O173" t="e">
        <f>Raw!C27+"h_l!(Yf"</f>
        <v>#VALUE!</v>
      </c>
      <c r="P173" t="e">
        <f>Raw!D27+"h_l!(Yg"</f>
        <v>#VALUE!</v>
      </c>
      <c r="Q173" t="e">
        <f>Raw!E27+"h_l!(Yh"</f>
        <v>#VALUE!</v>
      </c>
      <c r="R173" t="e">
        <f>Raw!#REF!+"h_l!(Yi"</f>
        <v>#REF!</v>
      </c>
      <c r="S173" t="e">
        <f>Raw!G27+"h_l!(Yj"</f>
        <v>#VALUE!</v>
      </c>
      <c r="T173" t="e">
        <f>Raw!H27+"h_l!(Yk"</f>
        <v>#VALUE!</v>
      </c>
      <c r="U173" t="e">
        <f>Raw!I27+"h_l!(Yl"</f>
        <v>#VALUE!</v>
      </c>
      <c r="V173" t="e">
        <f>Raw!J27+"h_l!(Ym"</f>
        <v>#VALUE!</v>
      </c>
      <c r="W173" t="e">
        <f>Raw!K27+"h_l!(Yn"</f>
        <v>#VALUE!</v>
      </c>
      <c r="X173" t="e">
        <f>Raw!L27+"h_l!(Yo"</f>
        <v>#VALUE!</v>
      </c>
      <c r="Y173" t="e">
        <f>Raw!M27+"h_l!(Yp"</f>
        <v>#VALUE!</v>
      </c>
      <c r="Z173" t="e">
        <f>Raw!N27+"h_l!(Yq"</f>
        <v>#VALUE!</v>
      </c>
      <c r="AA173" t="e">
        <f>Raw!O27+"h_l!(Yr"</f>
        <v>#VALUE!</v>
      </c>
      <c r="AB173" t="e">
        <f>Raw!P27+"h_l!(Ys"</f>
        <v>#VALUE!</v>
      </c>
      <c r="AC173" t="e">
        <f>Raw!Q27+"h_l!(Yt"</f>
        <v>#VALUE!</v>
      </c>
      <c r="AD173" t="e">
        <f>Raw!R27+"h_l!(Yu"</f>
        <v>#VALUE!</v>
      </c>
      <c r="AE173" t="e">
        <f>Raw!S27+"h_l!(Yv"</f>
        <v>#VALUE!</v>
      </c>
      <c r="AF173" t="e">
        <f>Raw!T27+"h_l!(Yw"</f>
        <v>#VALUE!</v>
      </c>
      <c r="AG173" t="e">
        <f>Raw!U27+"h_l!(Yx"</f>
        <v>#VALUE!</v>
      </c>
      <c r="AH173" t="e">
        <f>Raw!V27+"h_l!(Yy"</f>
        <v>#VALUE!</v>
      </c>
      <c r="AI173" t="e">
        <f>Raw!W27+"h_l!(Yz"</f>
        <v>#VALUE!</v>
      </c>
      <c r="AJ173" t="e">
        <f>Raw!A28+"h_l!(Y{"</f>
        <v>#VALUE!</v>
      </c>
      <c r="AK173" t="e">
        <f>Raw!B28+"h_l!(Y|"</f>
        <v>#VALUE!</v>
      </c>
      <c r="AL173" t="e">
        <f>Raw!C28+"h_l!(Y}"</f>
        <v>#VALUE!</v>
      </c>
      <c r="AM173" t="e">
        <f>Raw!D28+"h_l!(Y~"</f>
        <v>#VALUE!</v>
      </c>
      <c r="AN173" t="e">
        <f>Raw!E28+"h_l!(Z#"</f>
        <v>#VALUE!</v>
      </c>
      <c r="AO173" t="e">
        <f>Raw!#REF!+"h_l!(Z$"</f>
        <v>#REF!</v>
      </c>
      <c r="AP173" t="e">
        <f>Raw!G28+"h_l!(Z%"</f>
        <v>#VALUE!</v>
      </c>
      <c r="AQ173" t="e">
        <f>Raw!H28+"h_l!(Z&amp;"</f>
        <v>#VALUE!</v>
      </c>
      <c r="AR173" t="e">
        <f>Raw!I28+"h_l!(Z'"</f>
        <v>#VALUE!</v>
      </c>
      <c r="AS173" t="e">
        <f>Raw!J28+"h_l!(Z("</f>
        <v>#VALUE!</v>
      </c>
      <c r="AT173" t="e">
        <f>Raw!K28+"h_l!(Z)"</f>
        <v>#VALUE!</v>
      </c>
      <c r="AU173" t="e">
        <f>Raw!L28+"h_l!(Z."</f>
        <v>#VALUE!</v>
      </c>
      <c r="AV173" t="e">
        <f>Raw!M28+"h_l!(Z/"</f>
        <v>#VALUE!</v>
      </c>
      <c r="AW173" t="e">
        <f>Raw!N28+"h_l!(Z0"</f>
        <v>#VALUE!</v>
      </c>
      <c r="AX173" t="e">
        <f>Raw!O28+"h_l!(Z1"</f>
        <v>#VALUE!</v>
      </c>
      <c r="AY173" t="e">
        <f>Raw!P28+"h_l!(Z2"</f>
        <v>#VALUE!</v>
      </c>
      <c r="AZ173" t="e">
        <f>Raw!Q28+"h_l!(Z3"</f>
        <v>#VALUE!</v>
      </c>
      <c r="BA173" t="e">
        <f>Raw!R28+"h_l!(Z4"</f>
        <v>#VALUE!</v>
      </c>
      <c r="BB173" t="e">
        <f>Raw!S28+"h_l!(Z5"</f>
        <v>#VALUE!</v>
      </c>
      <c r="BC173" t="e">
        <f>Raw!T28+"h_l!(Z6"</f>
        <v>#VALUE!</v>
      </c>
      <c r="BD173" t="e">
        <f>Raw!U28+"h_l!(Z7"</f>
        <v>#VALUE!</v>
      </c>
      <c r="BE173" t="e">
        <f>Raw!V28+"h_l!(Z8"</f>
        <v>#VALUE!</v>
      </c>
      <c r="BF173" t="e">
        <f>Raw!W28+"h_l!(Z9"</f>
        <v>#VALUE!</v>
      </c>
      <c r="BG173" t="e">
        <f>Raw!A29+"h_l!(Z:"</f>
        <v>#VALUE!</v>
      </c>
      <c r="BH173" t="e">
        <f>Raw!B29+"h_l!(Z;"</f>
        <v>#VALUE!</v>
      </c>
      <c r="BI173" t="e">
        <f>Raw!C29+"h_l!(Z&lt;"</f>
        <v>#VALUE!</v>
      </c>
      <c r="BJ173" t="e">
        <f>Raw!D29+"h_l!(Z="</f>
        <v>#VALUE!</v>
      </c>
      <c r="BK173" t="e">
        <f>Raw!E29+"h_l!(Z&gt;"</f>
        <v>#VALUE!</v>
      </c>
      <c r="BL173" t="e">
        <f>Raw!#REF!+"h_l!(Z?"</f>
        <v>#REF!</v>
      </c>
      <c r="BM173" t="e">
        <f>Raw!G29+"h_l!(Z@"</f>
        <v>#VALUE!</v>
      </c>
      <c r="BN173" t="e">
        <f>Raw!H29+"h_l!(ZA"</f>
        <v>#VALUE!</v>
      </c>
      <c r="BO173" t="e">
        <f>Raw!I29+"h_l!(ZB"</f>
        <v>#VALUE!</v>
      </c>
      <c r="BP173" t="e">
        <f>Raw!J29+"h_l!(ZC"</f>
        <v>#VALUE!</v>
      </c>
      <c r="BQ173" t="e">
        <f>Raw!K29+"h_l!(ZD"</f>
        <v>#VALUE!</v>
      </c>
      <c r="BR173" t="e">
        <f>Raw!L29+"h_l!(ZE"</f>
        <v>#VALUE!</v>
      </c>
      <c r="BS173" t="e">
        <f>Raw!M29+"h_l!(ZF"</f>
        <v>#VALUE!</v>
      </c>
      <c r="BT173" t="e">
        <f>Raw!N29+"h_l!(ZG"</f>
        <v>#VALUE!</v>
      </c>
      <c r="BU173" t="e">
        <f>Raw!O29+"h_l!(ZH"</f>
        <v>#VALUE!</v>
      </c>
      <c r="BV173" t="e">
        <f>Raw!P29+"h_l!(ZI"</f>
        <v>#VALUE!</v>
      </c>
      <c r="BW173" t="e">
        <f>Raw!Q29+"h_l!(ZJ"</f>
        <v>#VALUE!</v>
      </c>
      <c r="BX173" t="e">
        <f>Raw!R29+"h_l!(ZK"</f>
        <v>#VALUE!</v>
      </c>
      <c r="BY173" t="e">
        <f>Raw!S29+"h_l!(ZL"</f>
        <v>#VALUE!</v>
      </c>
      <c r="BZ173" t="e">
        <f>Raw!T29+"h_l!(ZM"</f>
        <v>#VALUE!</v>
      </c>
      <c r="CA173" t="e">
        <f>Raw!U29+"h_l!(ZN"</f>
        <v>#VALUE!</v>
      </c>
      <c r="CB173" t="e">
        <f>Raw!V29+"h_l!(ZO"</f>
        <v>#VALUE!</v>
      </c>
      <c r="CC173" t="e">
        <f>Raw!W29+"h_l!(ZP"</f>
        <v>#VALUE!</v>
      </c>
      <c r="CD173" t="e">
        <f>Raw!A30+"h_l!(ZQ"</f>
        <v>#VALUE!</v>
      </c>
      <c r="CE173" t="e">
        <f>Raw!B30+"h_l!(ZR"</f>
        <v>#VALUE!</v>
      </c>
      <c r="CF173" t="e">
        <f>Raw!C30+"h_l!(ZS"</f>
        <v>#VALUE!</v>
      </c>
      <c r="CG173" t="e">
        <f>Raw!D30+"h_l!(ZT"</f>
        <v>#VALUE!</v>
      </c>
      <c r="CH173" t="e">
        <f>Raw!E30+"h_l!(ZU"</f>
        <v>#VALUE!</v>
      </c>
      <c r="CI173" t="e">
        <f>Raw!#REF!+"h_l!(ZV"</f>
        <v>#REF!</v>
      </c>
      <c r="CJ173" t="e">
        <f>Raw!G30+"h_l!(ZW"</f>
        <v>#VALUE!</v>
      </c>
      <c r="CK173" t="e">
        <f>Raw!H30+"h_l!(ZX"</f>
        <v>#VALUE!</v>
      </c>
      <c r="CL173" t="e">
        <f>Raw!I30+"h_l!(ZY"</f>
        <v>#VALUE!</v>
      </c>
      <c r="CM173" t="e">
        <f>Raw!J30+"h_l!(ZZ"</f>
        <v>#VALUE!</v>
      </c>
      <c r="CN173" t="e">
        <f>Raw!K30+"h_l!(Z["</f>
        <v>#VALUE!</v>
      </c>
      <c r="CO173" t="e">
        <f>Raw!L30+"h_l!(Z\"</f>
        <v>#VALUE!</v>
      </c>
      <c r="CP173" t="e">
        <f>Raw!M30+"h_l!(Z]"</f>
        <v>#VALUE!</v>
      </c>
      <c r="CQ173" t="e">
        <f>Raw!N30+"h_l!(Z^"</f>
        <v>#VALUE!</v>
      </c>
      <c r="CR173" t="e">
        <f>Raw!O30+"h_l!(Z_"</f>
        <v>#VALUE!</v>
      </c>
      <c r="CS173" t="e">
        <f>Raw!P30+"h_l!(Z`"</f>
        <v>#VALUE!</v>
      </c>
      <c r="CT173" t="e">
        <f>Raw!Q30+"h_l!(Za"</f>
        <v>#VALUE!</v>
      </c>
      <c r="CU173" t="e">
        <f>Raw!R30+"h_l!(Zb"</f>
        <v>#VALUE!</v>
      </c>
      <c r="CV173" t="e">
        <f>Raw!S30+"h_l!(Zc"</f>
        <v>#VALUE!</v>
      </c>
      <c r="CW173" t="e">
        <f>Raw!T30+"h_l!(Zd"</f>
        <v>#VALUE!</v>
      </c>
      <c r="CX173" t="e">
        <f>Raw!U30+"h_l!(Ze"</f>
        <v>#VALUE!</v>
      </c>
      <c r="CY173" t="e">
        <f>Raw!V30+"h_l!(Zf"</f>
        <v>#VALUE!</v>
      </c>
      <c r="CZ173" t="e">
        <f>Raw!W30+"h_l!(Zg"</f>
        <v>#VALUE!</v>
      </c>
      <c r="DA173" t="e">
        <f>Raw!A31+"h_l!(Zh"</f>
        <v>#VALUE!</v>
      </c>
      <c r="DB173" t="e">
        <f>Raw!B31+"h_l!(Zi"</f>
        <v>#VALUE!</v>
      </c>
      <c r="DC173" t="e">
        <f>Raw!C31+"h_l!(Zj"</f>
        <v>#VALUE!</v>
      </c>
      <c r="DD173" t="e">
        <f>Raw!D31+"h_l!(Zk"</f>
        <v>#VALUE!</v>
      </c>
      <c r="DE173" t="e">
        <f>Raw!E31+"h_l!(Zl"</f>
        <v>#VALUE!</v>
      </c>
      <c r="DF173" t="e">
        <f>Raw!#REF!+"h_l!(Zm"</f>
        <v>#REF!</v>
      </c>
      <c r="DG173" t="e">
        <f>Raw!G31+"h_l!(Zn"</f>
        <v>#VALUE!</v>
      </c>
      <c r="DH173" t="e">
        <f>Raw!H31+"h_l!(Zo"</f>
        <v>#VALUE!</v>
      </c>
      <c r="DI173" t="e">
        <f>Raw!I31+"h_l!(Zp"</f>
        <v>#VALUE!</v>
      </c>
      <c r="DJ173" t="e">
        <f>Raw!J31+"h_l!(Zq"</f>
        <v>#VALUE!</v>
      </c>
      <c r="DK173" t="e">
        <f>Raw!K31+"h_l!(Zr"</f>
        <v>#VALUE!</v>
      </c>
      <c r="DL173" t="e">
        <f>Raw!L31+"h_l!(Zs"</f>
        <v>#VALUE!</v>
      </c>
      <c r="DM173" t="e">
        <f>Raw!M31+"h_l!(Zt"</f>
        <v>#VALUE!</v>
      </c>
      <c r="DN173" t="e">
        <f>Raw!N31+"h_l!(Zu"</f>
        <v>#VALUE!</v>
      </c>
      <c r="DO173" t="e">
        <f>Raw!O31+"h_l!(Zv"</f>
        <v>#VALUE!</v>
      </c>
      <c r="DP173" t="e">
        <f>Raw!P31+"h_l!(Zw"</f>
        <v>#VALUE!</v>
      </c>
      <c r="DQ173" t="e">
        <f>Raw!Q31+"h_l!(Zx"</f>
        <v>#VALUE!</v>
      </c>
      <c r="DR173" t="e">
        <f>Raw!R31+"h_l!(Zy"</f>
        <v>#VALUE!</v>
      </c>
      <c r="DS173" t="e">
        <f>Raw!S31+"h_l!(Zz"</f>
        <v>#VALUE!</v>
      </c>
      <c r="DT173" t="e">
        <f>Raw!T31+"h_l!(Z{"</f>
        <v>#VALUE!</v>
      </c>
      <c r="DU173" t="e">
        <f>Raw!U31+"h_l!(Z|"</f>
        <v>#VALUE!</v>
      </c>
      <c r="DV173" t="e">
        <f>Raw!V31+"h_l!(Z}"</f>
        <v>#VALUE!</v>
      </c>
      <c r="DW173" t="e">
        <f>Raw!W31+"h_l!(Z~"</f>
        <v>#VALUE!</v>
      </c>
      <c r="DX173" t="e">
        <f>Raw!A32+"h_l!([#"</f>
        <v>#VALUE!</v>
      </c>
      <c r="DY173" t="e">
        <f>Raw!B32+"h_l!([$"</f>
        <v>#VALUE!</v>
      </c>
      <c r="DZ173" t="e">
        <f>Raw!C32+"h_l!([%"</f>
        <v>#VALUE!</v>
      </c>
      <c r="EA173" t="e">
        <f>Raw!D32+"h_l!([&amp;"</f>
        <v>#VALUE!</v>
      </c>
      <c r="EB173" t="e">
        <f>Raw!E32+"h_l!(['"</f>
        <v>#VALUE!</v>
      </c>
      <c r="EC173" t="e">
        <f>Raw!#REF!+"h_l!([("</f>
        <v>#REF!</v>
      </c>
      <c r="ED173" t="e">
        <f>Raw!G32+"h_l!([)"</f>
        <v>#VALUE!</v>
      </c>
      <c r="EE173" t="e">
        <f>Raw!H32+"h_l!([."</f>
        <v>#VALUE!</v>
      </c>
      <c r="EF173" t="e">
        <f>Raw!I32+"h_l!([/"</f>
        <v>#VALUE!</v>
      </c>
      <c r="EG173" t="e">
        <f>Raw!J32+"h_l!([0"</f>
        <v>#VALUE!</v>
      </c>
      <c r="EH173" t="e">
        <f>Raw!K32+"h_l!([1"</f>
        <v>#VALUE!</v>
      </c>
      <c r="EI173" t="e">
        <f>Raw!L32+"h_l!([2"</f>
        <v>#VALUE!</v>
      </c>
      <c r="EJ173" t="e">
        <f>Raw!M32+"h_l!([3"</f>
        <v>#VALUE!</v>
      </c>
      <c r="EK173" t="e">
        <f>Raw!N32+"h_l!([4"</f>
        <v>#VALUE!</v>
      </c>
      <c r="EL173" t="e">
        <f>Raw!O32+"h_l!([5"</f>
        <v>#VALUE!</v>
      </c>
      <c r="EM173" t="e">
        <f>Raw!P32+"h_l!([6"</f>
        <v>#VALUE!</v>
      </c>
      <c r="EN173" t="e">
        <f>Raw!Q32+"h_l!([7"</f>
        <v>#VALUE!</v>
      </c>
      <c r="EO173" t="e">
        <f>Raw!R32+"h_l!([8"</f>
        <v>#VALUE!</v>
      </c>
      <c r="EP173" t="e">
        <f>Raw!S32+"h_l!([9"</f>
        <v>#VALUE!</v>
      </c>
      <c r="EQ173" t="e">
        <f>Raw!T32+"h_l!([:"</f>
        <v>#VALUE!</v>
      </c>
      <c r="ER173" t="e">
        <f>Raw!U32+"h_l!([;"</f>
        <v>#VALUE!</v>
      </c>
      <c r="ES173" t="e">
        <f>Raw!V32+"h_l!([&lt;"</f>
        <v>#VALUE!</v>
      </c>
      <c r="ET173" t="e">
        <f>Raw!W32+"h_l!([="</f>
        <v>#VALUE!</v>
      </c>
      <c r="EU173" t="e">
        <f>Raw!A33+"h_l!([&gt;"</f>
        <v>#VALUE!</v>
      </c>
      <c r="EV173" t="e">
        <f>Raw!B33+"h_l!([?"</f>
        <v>#VALUE!</v>
      </c>
      <c r="EW173" t="e">
        <f>Raw!C33+"h_l!([@"</f>
        <v>#VALUE!</v>
      </c>
      <c r="EX173" t="e">
        <f>Raw!D33+"h_l!([A"</f>
        <v>#VALUE!</v>
      </c>
      <c r="EY173" t="e">
        <f>Raw!E33+"h_l!([B"</f>
        <v>#VALUE!</v>
      </c>
      <c r="EZ173" t="e">
        <f>Raw!#REF!+"h_l!([C"</f>
        <v>#REF!</v>
      </c>
      <c r="FA173" t="e">
        <f>Raw!G33+"h_l!([D"</f>
        <v>#VALUE!</v>
      </c>
      <c r="FB173" t="e">
        <f>Raw!H33+"h_l!([E"</f>
        <v>#VALUE!</v>
      </c>
      <c r="FC173" t="e">
        <f>Raw!I33+"h_l!([F"</f>
        <v>#VALUE!</v>
      </c>
      <c r="FD173" t="e">
        <f>Raw!J33+"h_l!([G"</f>
        <v>#VALUE!</v>
      </c>
      <c r="FE173" t="e">
        <f>Raw!K33+"h_l!([H"</f>
        <v>#VALUE!</v>
      </c>
      <c r="FF173" t="e">
        <f>Raw!L33+"h_l!([I"</f>
        <v>#VALUE!</v>
      </c>
      <c r="FG173" t="e">
        <f>Raw!M33+"h_l!([J"</f>
        <v>#VALUE!</v>
      </c>
      <c r="FH173" t="e">
        <f>Raw!N33+"h_l!([K"</f>
        <v>#VALUE!</v>
      </c>
      <c r="FI173" t="e">
        <f>Raw!O33+"h_l!([L"</f>
        <v>#VALUE!</v>
      </c>
      <c r="FJ173" t="e">
        <f>Raw!P33+"h_l!([M"</f>
        <v>#VALUE!</v>
      </c>
      <c r="FK173" t="e">
        <f>Raw!Q33+"h_l!([N"</f>
        <v>#VALUE!</v>
      </c>
      <c r="FL173" t="e">
        <f>Raw!R33+"h_l!([O"</f>
        <v>#VALUE!</v>
      </c>
      <c r="FM173" t="e">
        <f>Raw!S33+"h_l!([P"</f>
        <v>#VALUE!</v>
      </c>
      <c r="FN173" t="e">
        <f>Raw!T33+"h_l!([Q"</f>
        <v>#VALUE!</v>
      </c>
      <c r="FO173" t="e">
        <f>Raw!U33+"h_l!([R"</f>
        <v>#VALUE!</v>
      </c>
      <c r="FP173" t="e">
        <f>Raw!V33+"h_l!([S"</f>
        <v>#VALUE!</v>
      </c>
      <c r="FQ173" t="e">
        <f>Raw!W33+"h_l!([T"</f>
        <v>#VALUE!</v>
      </c>
      <c r="FR173" t="e">
        <f>Raw!A34+"h_l!([U"</f>
        <v>#VALUE!</v>
      </c>
      <c r="FS173" t="e">
        <f>Raw!B34+"h_l!([V"</f>
        <v>#VALUE!</v>
      </c>
      <c r="FT173" t="e">
        <f>Raw!C34+"h_l!([W"</f>
        <v>#VALUE!</v>
      </c>
      <c r="FU173" t="e">
        <f>Raw!D34+"h_l!([X"</f>
        <v>#VALUE!</v>
      </c>
      <c r="FV173" t="e">
        <f>Raw!E34+"h_l!([Y"</f>
        <v>#VALUE!</v>
      </c>
      <c r="FW173" t="e">
        <f>Raw!#REF!+"h_l!([Z"</f>
        <v>#REF!</v>
      </c>
      <c r="FX173" t="e">
        <f>Raw!G34+"h_l!([["</f>
        <v>#VALUE!</v>
      </c>
      <c r="FY173" t="e">
        <f>Raw!H34+"h_l!([\"</f>
        <v>#VALUE!</v>
      </c>
      <c r="FZ173" t="e">
        <f>Raw!I34+"h_l!([]"</f>
        <v>#VALUE!</v>
      </c>
      <c r="GA173" t="e">
        <f>Raw!J34+"h_l!([^"</f>
        <v>#VALUE!</v>
      </c>
      <c r="GB173" t="e">
        <f>Raw!K34+"h_l!([_"</f>
        <v>#VALUE!</v>
      </c>
      <c r="GC173" t="e">
        <f>Raw!L34+"h_l!([`"</f>
        <v>#VALUE!</v>
      </c>
      <c r="GD173" t="e">
        <f>Raw!M34+"h_l!([a"</f>
        <v>#VALUE!</v>
      </c>
      <c r="GE173" t="e">
        <f>Raw!N34+"h_l!([b"</f>
        <v>#VALUE!</v>
      </c>
      <c r="GF173" t="e">
        <f>Raw!O34+"h_l!([c"</f>
        <v>#VALUE!</v>
      </c>
      <c r="GG173" t="e">
        <f>Raw!P34+"h_l!([d"</f>
        <v>#VALUE!</v>
      </c>
      <c r="GH173" t="e">
        <f>Raw!Q34+"h_l!([e"</f>
        <v>#VALUE!</v>
      </c>
      <c r="GI173" t="e">
        <f>Raw!R34+"h_l!([f"</f>
        <v>#VALUE!</v>
      </c>
      <c r="GJ173" t="e">
        <f>Raw!S34+"h_l!([g"</f>
        <v>#VALUE!</v>
      </c>
      <c r="GK173" t="e">
        <f>Raw!T34+"h_l!([h"</f>
        <v>#VALUE!</v>
      </c>
      <c r="GL173" t="e">
        <f>Raw!U34+"h_l!([i"</f>
        <v>#VALUE!</v>
      </c>
      <c r="GM173" t="e">
        <f>Raw!V34+"h_l!([j"</f>
        <v>#VALUE!</v>
      </c>
      <c r="GN173" t="e">
        <f>Raw!W34+"h_l!([k"</f>
        <v>#VALUE!</v>
      </c>
      <c r="GO173" t="e">
        <f>Raw!A35+"h_l!([l"</f>
        <v>#VALUE!</v>
      </c>
      <c r="GP173" t="e">
        <f>Raw!B35+"h_l!([m"</f>
        <v>#VALUE!</v>
      </c>
      <c r="GQ173" t="e">
        <f>Raw!C35+"h_l!([n"</f>
        <v>#VALUE!</v>
      </c>
      <c r="GR173" t="e">
        <f>Raw!D35+"h_l!([o"</f>
        <v>#VALUE!</v>
      </c>
      <c r="GS173" t="e">
        <f>Raw!E35+"h_l!([p"</f>
        <v>#VALUE!</v>
      </c>
      <c r="GT173" t="e">
        <f>Raw!#REF!+"h_l!([q"</f>
        <v>#REF!</v>
      </c>
      <c r="GU173" t="e">
        <f>Raw!G35+"h_l!([r"</f>
        <v>#VALUE!</v>
      </c>
      <c r="GV173" t="e">
        <f>Raw!H35+"h_l!([s"</f>
        <v>#VALUE!</v>
      </c>
      <c r="GW173" t="e">
        <f>Raw!I35+"h_l!([t"</f>
        <v>#VALUE!</v>
      </c>
      <c r="GX173" t="e">
        <f>Raw!J35+"h_l!([u"</f>
        <v>#VALUE!</v>
      </c>
      <c r="GY173" t="e">
        <f>Raw!K35+"h_l!([v"</f>
        <v>#VALUE!</v>
      </c>
      <c r="GZ173" t="e">
        <f>Raw!L35+"h_l!([w"</f>
        <v>#VALUE!</v>
      </c>
      <c r="HA173" t="e">
        <f>Raw!M35+"h_l!([x"</f>
        <v>#VALUE!</v>
      </c>
      <c r="HB173" t="e">
        <f>Raw!N35+"h_l!([y"</f>
        <v>#VALUE!</v>
      </c>
      <c r="HC173" t="e">
        <f>Raw!O35+"h_l!([z"</f>
        <v>#VALUE!</v>
      </c>
      <c r="HD173" t="e">
        <f>Raw!P35+"h_l!([{"</f>
        <v>#VALUE!</v>
      </c>
      <c r="HE173" t="e">
        <f>Raw!Q35+"h_l!([|"</f>
        <v>#VALUE!</v>
      </c>
      <c r="HF173" t="e">
        <f>Raw!R35+"h_l!([}"</f>
        <v>#VALUE!</v>
      </c>
      <c r="HG173" t="e">
        <f>Raw!S35+"h_l!([~"</f>
        <v>#VALUE!</v>
      </c>
      <c r="HH173" t="e">
        <f>Raw!T35+"h_l!(\#"</f>
        <v>#VALUE!</v>
      </c>
      <c r="HI173" t="e">
        <f>Raw!U35+"h_l!(\$"</f>
        <v>#VALUE!</v>
      </c>
      <c r="HJ173" t="e">
        <f>Raw!V35+"h_l!(\%"</f>
        <v>#VALUE!</v>
      </c>
      <c r="HK173" t="e">
        <f>Raw!W35+"h_l!(\&amp;"</f>
        <v>#VALUE!</v>
      </c>
      <c r="HL173" t="e">
        <f>Raw!A36+"h_l!(\'"</f>
        <v>#VALUE!</v>
      </c>
      <c r="HM173" t="e">
        <f>Raw!B36+"h_l!(\("</f>
        <v>#VALUE!</v>
      </c>
      <c r="HN173" t="e">
        <f>Raw!C36+"h_l!(\)"</f>
        <v>#VALUE!</v>
      </c>
      <c r="HO173" t="e">
        <f>Raw!D36+"h_l!(\."</f>
        <v>#VALUE!</v>
      </c>
      <c r="HP173" t="e">
        <f>Raw!E36+"h_l!(\/"</f>
        <v>#VALUE!</v>
      </c>
      <c r="HQ173" t="e">
        <f>Raw!#REF!+"h_l!(\0"</f>
        <v>#REF!</v>
      </c>
      <c r="HR173" t="e">
        <f>Raw!G36+"h_l!(\1"</f>
        <v>#VALUE!</v>
      </c>
      <c r="HS173" t="e">
        <f>Raw!H36+"h_l!(\2"</f>
        <v>#VALUE!</v>
      </c>
      <c r="HT173" t="e">
        <f>Raw!I36+"h_l!(\3"</f>
        <v>#VALUE!</v>
      </c>
      <c r="HU173" t="e">
        <f>Raw!J36+"h_l!(\4"</f>
        <v>#VALUE!</v>
      </c>
      <c r="HV173" t="e">
        <f>Raw!K36+"h_l!(\5"</f>
        <v>#VALUE!</v>
      </c>
      <c r="HW173" t="e">
        <f>Raw!L36+"h_l!(\6"</f>
        <v>#VALUE!</v>
      </c>
      <c r="HX173" t="e">
        <f>Raw!M36+"h_l!(\7"</f>
        <v>#VALUE!</v>
      </c>
      <c r="HY173" t="e">
        <f>Raw!N36+"h_l!(\8"</f>
        <v>#VALUE!</v>
      </c>
      <c r="HZ173" t="e">
        <f>Raw!O36+"h_l!(\9"</f>
        <v>#VALUE!</v>
      </c>
      <c r="IA173" t="e">
        <f>Raw!P36+"h_l!(\:"</f>
        <v>#VALUE!</v>
      </c>
      <c r="IB173" t="e">
        <f>Raw!Q36+"h_l!(\;"</f>
        <v>#VALUE!</v>
      </c>
      <c r="IC173" t="e">
        <f>Raw!R36+"h_l!(\&lt;"</f>
        <v>#VALUE!</v>
      </c>
      <c r="ID173" t="e">
        <f>Raw!S36+"h_l!(\="</f>
        <v>#VALUE!</v>
      </c>
      <c r="IE173" t="e">
        <f>Raw!T36+"h_l!(\&gt;"</f>
        <v>#VALUE!</v>
      </c>
      <c r="IF173" t="e">
        <f>Raw!U36+"h_l!(\?"</f>
        <v>#VALUE!</v>
      </c>
      <c r="IG173" t="e">
        <f>Raw!V36+"h_l!(\@"</f>
        <v>#VALUE!</v>
      </c>
      <c r="IH173" t="e">
        <f>Raw!W36+"h_l!(\A"</f>
        <v>#VALUE!</v>
      </c>
      <c r="II173" t="e">
        <f>Raw!A37+"h_l!(\B"</f>
        <v>#VALUE!</v>
      </c>
      <c r="IJ173" t="e">
        <f>Raw!B37+"h_l!(\C"</f>
        <v>#VALUE!</v>
      </c>
      <c r="IK173" t="e">
        <f>Raw!C37+"h_l!(\D"</f>
        <v>#VALUE!</v>
      </c>
      <c r="IL173" t="e">
        <f>Raw!D37+"h_l!(\E"</f>
        <v>#VALUE!</v>
      </c>
      <c r="IM173" t="e">
        <f>Raw!E37+"h_l!(\F"</f>
        <v>#VALUE!</v>
      </c>
      <c r="IN173" t="e">
        <f>Raw!#REF!+"h_l!(\G"</f>
        <v>#REF!</v>
      </c>
      <c r="IO173" t="e">
        <f>Raw!G37+"h_l!(\H"</f>
        <v>#VALUE!</v>
      </c>
      <c r="IP173" t="e">
        <f>Raw!H37+"h_l!(\I"</f>
        <v>#VALUE!</v>
      </c>
      <c r="IQ173" t="e">
        <f>Raw!I37+"h_l!(\J"</f>
        <v>#VALUE!</v>
      </c>
      <c r="IR173" t="e">
        <f>Raw!J37+"h_l!(\K"</f>
        <v>#VALUE!</v>
      </c>
      <c r="IS173" t="e">
        <f>Raw!K37+"h_l!(\L"</f>
        <v>#VALUE!</v>
      </c>
      <c r="IT173" t="e">
        <f>Raw!L37+"h_l!(\M"</f>
        <v>#VALUE!</v>
      </c>
      <c r="IU173" t="e">
        <f>Raw!M37+"h_l!(\N"</f>
        <v>#VALUE!</v>
      </c>
      <c r="IV173" t="e">
        <f>Raw!N37+"h_l!(\O"</f>
        <v>#VALUE!</v>
      </c>
    </row>
    <row r="174" spans="6:256" x14ac:dyDescent="0.25">
      <c r="F174" t="e">
        <f>Raw!O37+"h_l!(\P"</f>
        <v>#VALUE!</v>
      </c>
      <c r="G174" t="e">
        <f>Raw!P37+"h_l!(\Q"</f>
        <v>#VALUE!</v>
      </c>
      <c r="H174" t="e">
        <f>Raw!Q37+"h_l!(\R"</f>
        <v>#VALUE!</v>
      </c>
      <c r="I174" t="e">
        <f>Raw!R37+"h_l!(\S"</f>
        <v>#VALUE!</v>
      </c>
      <c r="J174" t="e">
        <f>Raw!S37+"h_l!(\T"</f>
        <v>#VALUE!</v>
      </c>
      <c r="K174" t="e">
        <f>Raw!T37+"h_l!(\U"</f>
        <v>#VALUE!</v>
      </c>
      <c r="L174" t="e">
        <f>Raw!U37+"h_l!(\V"</f>
        <v>#VALUE!</v>
      </c>
      <c r="M174" t="e">
        <f>Raw!V37+"h_l!(\W"</f>
        <v>#VALUE!</v>
      </c>
      <c r="N174" t="e">
        <f>Raw!W37+"h_l!(\X"</f>
        <v>#VALUE!</v>
      </c>
      <c r="O174" t="e">
        <f>Raw!A38+"h_l!(\Y"</f>
        <v>#VALUE!</v>
      </c>
      <c r="P174" t="e">
        <f>Raw!B38+"h_l!(\Z"</f>
        <v>#VALUE!</v>
      </c>
      <c r="Q174" t="e">
        <f>Raw!C38+"h_l!(\["</f>
        <v>#VALUE!</v>
      </c>
      <c r="R174" t="e">
        <f>Raw!D38+"h_l!(\\"</f>
        <v>#VALUE!</v>
      </c>
      <c r="S174" t="e">
        <f>Raw!E38+"h_l!(\]"</f>
        <v>#VALUE!</v>
      </c>
      <c r="T174" t="e">
        <f>Raw!#REF!+"h_l!(\^"</f>
        <v>#REF!</v>
      </c>
      <c r="U174" t="e">
        <f>Raw!G38+"h_l!(\_"</f>
        <v>#VALUE!</v>
      </c>
      <c r="V174" t="e">
        <f>Raw!H38+"h_l!(\`"</f>
        <v>#VALUE!</v>
      </c>
      <c r="W174" t="e">
        <f>Raw!I38+"h_l!(\a"</f>
        <v>#VALUE!</v>
      </c>
      <c r="X174" t="e">
        <f>Raw!J38+"h_l!(\b"</f>
        <v>#VALUE!</v>
      </c>
      <c r="Y174" t="e">
        <f>Raw!K38+"h_l!(\c"</f>
        <v>#VALUE!</v>
      </c>
      <c r="Z174" t="e">
        <f>Raw!L38+"h_l!(\d"</f>
        <v>#VALUE!</v>
      </c>
      <c r="AA174" t="e">
        <f>Raw!M38+"h_l!(\e"</f>
        <v>#VALUE!</v>
      </c>
      <c r="AB174" t="e">
        <f>Raw!N38+"h_l!(\f"</f>
        <v>#VALUE!</v>
      </c>
      <c r="AC174" t="e">
        <f>Raw!O38+"h_l!(\g"</f>
        <v>#VALUE!</v>
      </c>
      <c r="AD174" t="e">
        <f>Raw!P38+"h_l!(\h"</f>
        <v>#VALUE!</v>
      </c>
      <c r="AE174" t="e">
        <f>Raw!Q38+"h_l!(\i"</f>
        <v>#VALUE!</v>
      </c>
      <c r="AF174" t="e">
        <f>Raw!R38+"h_l!(\j"</f>
        <v>#VALUE!</v>
      </c>
      <c r="AG174" t="e">
        <f>Raw!S38+"h_l!(\k"</f>
        <v>#VALUE!</v>
      </c>
      <c r="AH174" t="e">
        <f>Raw!T38+"h_l!(\l"</f>
        <v>#VALUE!</v>
      </c>
      <c r="AI174" t="e">
        <f>Raw!U38+"h_l!(\m"</f>
        <v>#VALUE!</v>
      </c>
      <c r="AJ174" t="e">
        <f>Raw!V38+"h_l!(\n"</f>
        <v>#VALUE!</v>
      </c>
      <c r="AK174" t="e">
        <f>Raw!W38+"h_l!(\o"</f>
        <v>#VALUE!</v>
      </c>
      <c r="AL174" t="e">
        <f>Raw!A39+"h_l!(\p"</f>
        <v>#VALUE!</v>
      </c>
      <c r="AM174" t="e">
        <f>Raw!B39+"h_l!(\q"</f>
        <v>#VALUE!</v>
      </c>
      <c r="AN174" t="e">
        <f>Raw!C39+"h_l!(\r"</f>
        <v>#VALUE!</v>
      </c>
      <c r="AO174" t="e">
        <f>Raw!D39+"h_l!(\s"</f>
        <v>#VALUE!</v>
      </c>
      <c r="AP174" t="e">
        <f>Raw!E39+"h_l!(\t"</f>
        <v>#VALUE!</v>
      </c>
      <c r="AQ174" t="e">
        <f>Raw!#REF!+"h_l!(\u"</f>
        <v>#REF!</v>
      </c>
      <c r="AR174" t="e">
        <f>Raw!G39+"h_l!(\v"</f>
        <v>#VALUE!</v>
      </c>
      <c r="AS174" t="e">
        <f>Raw!H39+"h_l!(\w"</f>
        <v>#VALUE!</v>
      </c>
      <c r="AT174" t="e">
        <f>Raw!I39+"h_l!(\x"</f>
        <v>#VALUE!</v>
      </c>
      <c r="AU174" t="e">
        <f>Raw!J39+"h_l!(\y"</f>
        <v>#VALUE!</v>
      </c>
      <c r="AV174" t="e">
        <f>Raw!K39+"h_l!(\z"</f>
        <v>#VALUE!</v>
      </c>
      <c r="AW174" t="e">
        <f>Raw!L39+"h_l!(\{"</f>
        <v>#VALUE!</v>
      </c>
      <c r="AX174" t="e">
        <f>Raw!M39+"h_l!(\|"</f>
        <v>#VALUE!</v>
      </c>
      <c r="AY174" t="e">
        <f>Raw!N39+"h_l!(\}"</f>
        <v>#VALUE!</v>
      </c>
      <c r="AZ174" t="e">
        <f>Raw!O39+"h_l!(\~"</f>
        <v>#VALUE!</v>
      </c>
      <c r="BA174" t="e">
        <f>Raw!P39+"h_l!(]#"</f>
        <v>#VALUE!</v>
      </c>
      <c r="BB174" t="e">
        <f>Raw!Q39+"h_l!(]$"</f>
        <v>#VALUE!</v>
      </c>
      <c r="BC174" t="e">
        <f>Raw!R39+"h_l!(]%"</f>
        <v>#VALUE!</v>
      </c>
      <c r="BD174" t="e">
        <f>Raw!S39+"h_l!(]&amp;"</f>
        <v>#VALUE!</v>
      </c>
      <c r="BE174" t="e">
        <f>Raw!T39+"h_l!(]'"</f>
        <v>#VALUE!</v>
      </c>
      <c r="BF174" t="e">
        <f>Raw!U39+"h_l!(]("</f>
        <v>#VALUE!</v>
      </c>
      <c r="BG174" t="e">
        <f>Raw!V39+"h_l!(])"</f>
        <v>#VALUE!</v>
      </c>
      <c r="BH174" t="e">
        <f>Raw!W39+"h_l!(]."</f>
        <v>#VALUE!</v>
      </c>
      <c r="BI174" t="e">
        <f>Raw!A40+"h_l!(]/"</f>
        <v>#VALUE!</v>
      </c>
      <c r="BJ174" t="e">
        <f>Raw!B40+"h_l!(]0"</f>
        <v>#VALUE!</v>
      </c>
      <c r="BK174" t="e">
        <f>Raw!C40+"h_l!(]1"</f>
        <v>#VALUE!</v>
      </c>
      <c r="BL174" t="e">
        <f>Raw!D40+"h_l!(]2"</f>
        <v>#VALUE!</v>
      </c>
      <c r="BM174" t="e">
        <f>Raw!E40+"h_l!(]3"</f>
        <v>#VALUE!</v>
      </c>
      <c r="BN174" t="e">
        <f>Raw!#REF!+"h_l!(]4"</f>
        <v>#REF!</v>
      </c>
      <c r="BO174" t="e">
        <f>Raw!G40+"h_l!(]5"</f>
        <v>#VALUE!</v>
      </c>
      <c r="BP174" t="e">
        <f>Raw!H40+"h_l!(]6"</f>
        <v>#VALUE!</v>
      </c>
      <c r="BQ174" t="e">
        <f>Raw!I40+"h_l!(]7"</f>
        <v>#VALUE!</v>
      </c>
      <c r="BR174" t="e">
        <f>Raw!J40+"h_l!(]8"</f>
        <v>#VALUE!</v>
      </c>
      <c r="BS174" t="e">
        <f>Raw!K40+"h_l!(]9"</f>
        <v>#VALUE!</v>
      </c>
      <c r="BT174" t="e">
        <f>Raw!L40+"h_l!(]:"</f>
        <v>#VALUE!</v>
      </c>
      <c r="BU174" t="e">
        <f>Raw!M40+"h_l!(];"</f>
        <v>#VALUE!</v>
      </c>
      <c r="BV174" t="e">
        <f>Raw!N40+"h_l!(]&lt;"</f>
        <v>#VALUE!</v>
      </c>
      <c r="BW174" t="e">
        <f>Raw!O40+"h_l!(]="</f>
        <v>#VALUE!</v>
      </c>
      <c r="BX174" t="e">
        <f>Raw!P40+"h_l!(]&gt;"</f>
        <v>#VALUE!</v>
      </c>
      <c r="BY174" t="e">
        <f>Raw!Q40+"h_l!(]?"</f>
        <v>#VALUE!</v>
      </c>
      <c r="BZ174" t="e">
        <f>Raw!R40+"h_l!(]@"</f>
        <v>#VALUE!</v>
      </c>
      <c r="CA174" t="e">
        <f>Raw!S40+"h_l!(]A"</f>
        <v>#VALUE!</v>
      </c>
      <c r="CB174" t="e">
        <f>Raw!T40+"h_l!(]B"</f>
        <v>#VALUE!</v>
      </c>
      <c r="CC174" t="e">
        <f>Raw!U40+"h_l!(]C"</f>
        <v>#VALUE!</v>
      </c>
      <c r="CD174" t="e">
        <f>Raw!V40+"h_l!(]D"</f>
        <v>#VALUE!</v>
      </c>
      <c r="CE174" t="e">
        <f>Raw!W40+"h_l!(]E"</f>
        <v>#VALUE!</v>
      </c>
      <c r="CF174" t="e">
        <f>Raw!A41+"h_l!(]F"</f>
        <v>#VALUE!</v>
      </c>
      <c r="CG174" t="e">
        <f>Raw!B41+"h_l!(]G"</f>
        <v>#VALUE!</v>
      </c>
      <c r="CH174" t="e">
        <f>Raw!C41+"h_l!(]H"</f>
        <v>#VALUE!</v>
      </c>
      <c r="CI174" t="e">
        <f>Raw!D41+"h_l!(]I"</f>
        <v>#VALUE!</v>
      </c>
      <c r="CJ174" t="e">
        <f>Raw!E41+"h_l!(]J"</f>
        <v>#VALUE!</v>
      </c>
      <c r="CK174" t="e">
        <f>Raw!#REF!+"h_l!(]K"</f>
        <v>#REF!</v>
      </c>
      <c r="CL174" t="e">
        <f>Raw!G41+"h_l!(]L"</f>
        <v>#VALUE!</v>
      </c>
      <c r="CM174" t="e">
        <f>Raw!H41+"h_l!(]M"</f>
        <v>#VALUE!</v>
      </c>
      <c r="CN174" t="e">
        <f>Raw!I41+"h_l!(]N"</f>
        <v>#VALUE!</v>
      </c>
      <c r="CO174" t="e">
        <f>Raw!J41+"h_l!(]O"</f>
        <v>#VALUE!</v>
      </c>
      <c r="CP174" t="e">
        <f>Raw!K41+"h_l!(]P"</f>
        <v>#VALUE!</v>
      </c>
      <c r="CQ174" t="e">
        <f>Raw!L41+"h_l!(]Q"</f>
        <v>#VALUE!</v>
      </c>
      <c r="CR174" t="e">
        <f>Raw!M41+"h_l!(]R"</f>
        <v>#VALUE!</v>
      </c>
      <c r="CS174" t="e">
        <f>Raw!N41+"h_l!(]S"</f>
        <v>#VALUE!</v>
      </c>
      <c r="CT174" t="e">
        <f>Raw!O41+"h_l!(]T"</f>
        <v>#VALUE!</v>
      </c>
      <c r="CU174" t="e">
        <f>Raw!P41+"h_l!(]U"</f>
        <v>#VALUE!</v>
      </c>
      <c r="CV174" t="e">
        <f>Raw!Q41+"h_l!(]V"</f>
        <v>#VALUE!</v>
      </c>
      <c r="CW174" t="e">
        <f>Raw!R41+"h_l!(]W"</f>
        <v>#VALUE!</v>
      </c>
      <c r="CX174" t="e">
        <f>Raw!S41+"h_l!(]X"</f>
        <v>#VALUE!</v>
      </c>
      <c r="CY174" t="e">
        <f>Raw!T41+"h_l!(]Y"</f>
        <v>#VALUE!</v>
      </c>
      <c r="CZ174" t="e">
        <f>Raw!U41+"h_l!(]Z"</f>
        <v>#VALUE!</v>
      </c>
      <c r="DA174" t="e">
        <f>Raw!V41+"h_l!(]["</f>
        <v>#VALUE!</v>
      </c>
      <c r="DB174" t="e">
        <f>Raw!W41+"h_l!(]\"</f>
        <v>#VALUE!</v>
      </c>
      <c r="DC174" t="e">
        <f>Raw!A42+"h_l!(]]"</f>
        <v>#VALUE!</v>
      </c>
      <c r="DD174" t="e">
        <f>Raw!B42+"h_l!(]^"</f>
        <v>#VALUE!</v>
      </c>
      <c r="DE174" t="e">
        <f>Raw!C42+"h_l!(]_"</f>
        <v>#VALUE!</v>
      </c>
      <c r="DF174" t="e">
        <f>Raw!D42+"h_l!(]`"</f>
        <v>#VALUE!</v>
      </c>
      <c r="DG174" t="e">
        <f>Raw!E42+"h_l!(]a"</f>
        <v>#VALUE!</v>
      </c>
      <c r="DH174" t="e">
        <f>Raw!#REF!+"h_l!(]b"</f>
        <v>#REF!</v>
      </c>
      <c r="DI174" t="e">
        <f>Raw!G42+"h_l!(]c"</f>
        <v>#VALUE!</v>
      </c>
      <c r="DJ174" t="e">
        <f>Raw!H42+"h_l!(]d"</f>
        <v>#VALUE!</v>
      </c>
      <c r="DK174" t="e">
        <f>Raw!I42+"h_l!(]e"</f>
        <v>#VALUE!</v>
      </c>
      <c r="DL174" t="e">
        <f>Raw!J42+"h_l!(]f"</f>
        <v>#VALUE!</v>
      </c>
      <c r="DM174" t="e">
        <f>Raw!K42+"h_l!(]g"</f>
        <v>#VALUE!</v>
      </c>
      <c r="DN174" t="e">
        <f>Raw!L42+"h_l!(]h"</f>
        <v>#VALUE!</v>
      </c>
      <c r="DO174" t="e">
        <f>Raw!M42+"h_l!(]i"</f>
        <v>#VALUE!</v>
      </c>
      <c r="DP174" t="e">
        <f>Raw!N42+"h_l!(]j"</f>
        <v>#VALUE!</v>
      </c>
      <c r="DQ174" t="e">
        <f>Raw!O42+"h_l!(]k"</f>
        <v>#VALUE!</v>
      </c>
      <c r="DR174" t="e">
        <f>Raw!P42+"h_l!(]l"</f>
        <v>#VALUE!</v>
      </c>
      <c r="DS174" t="e">
        <f>Raw!Q42+"h_l!(]m"</f>
        <v>#VALUE!</v>
      </c>
      <c r="DT174" t="e">
        <f>Raw!R42+"h_l!(]n"</f>
        <v>#VALUE!</v>
      </c>
      <c r="DU174" t="e">
        <f>Raw!S42+"h_l!(]o"</f>
        <v>#VALUE!</v>
      </c>
      <c r="DV174" t="e">
        <f>Raw!T42+"h_l!(]p"</f>
        <v>#VALUE!</v>
      </c>
      <c r="DW174" t="e">
        <f>Raw!U42+"h_l!(]q"</f>
        <v>#VALUE!</v>
      </c>
      <c r="DX174" t="e">
        <f>Raw!V42+"h_l!(]r"</f>
        <v>#VALUE!</v>
      </c>
      <c r="DY174" t="e">
        <f>Raw!W42+"h_l!(]s"</f>
        <v>#VALUE!</v>
      </c>
      <c r="DZ174" t="e">
        <f>Raw!A43+"h_l!(]t"</f>
        <v>#VALUE!</v>
      </c>
      <c r="EA174" t="e">
        <f>Raw!B43+"h_l!(]u"</f>
        <v>#VALUE!</v>
      </c>
      <c r="EB174" t="e">
        <f>Raw!C43+"h_l!(]v"</f>
        <v>#VALUE!</v>
      </c>
      <c r="EC174" t="e">
        <f>Raw!D43+"h_l!(]w"</f>
        <v>#VALUE!</v>
      </c>
      <c r="ED174" t="e">
        <f>Raw!E43+"h_l!(]x"</f>
        <v>#VALUE!</v>
      </c>
      <c r="EE174" t="e">
        <f>Raw!#REF!+"h_l!(]y"</f>
        <v>#REF!</v>
      </c>
      <c r="EF174" t="e">
        <f>Raw!G43+"h_l!(]z"</f>
        <v>#VALUE!</v>
      </c>
      <c r="EG174" t="e">
        <f>Raw!H43+"h_l!(]{"</f>
        <v>#VALUE!</v>
      </c>
      <c r="EH174" t="e">
        <f>Raw!I43+"h_l!(]|"</f>
        <v>#VALUE!</v>
      </c>
      <c r="EI174" t="e">
        <f>Raw!J43+"h_l!(]}"</f>
        <v>#VALUE!</v>
      </c>
      <c r="EJ174" t="e">
        <f>Raw!K43+"h_l!(]~"</f>
        <v>#VALUE!</v>
      </c>
      <c r="EK174" t="e">
        <f>Raw!L43+"h_l!(^#"</f>
        <v>#VALUE!</v>
      </c>
      <c r="EL174" t="e">
        <f>Raw!M43+"h_l!(^$"</f>
        <v>#VALUE!</v>
      </c>
      <c r="EM174" t="e">
        <f>Raw!N43+"h_l!(^%"</f>
        <v>#VALUE!</v>
      </c>
      <c r="EN174" t="e">
        <f>Raw!O43+"h_l!(^&amp;"</f>
        <v>#VALUE!</v>
      </c>
      <c r="EO174" t="e">
        <f>Raw!P43+"h_l!(^'"</f>
        <v>#VALUE!</v>
      </c>
      <c r="EP174" t="e">
        <f>Raw!Q43+"h_l!(^("</f>
        <v>#VALUE!</v>
      </c>
      <c r="EQ174" t="e">
        <f>Raw!R43+"h_l!(^)"</f>
        <v>#VALUE!</v>
      </c>
      <c r="ER174" t="e">
        <f>Raw!S43+"h_l!(^."</f>
        <v>#VALUE!</v>
      </c>
      <c r="ES174" t="e">
        <f>Raw!T43+"h_l!(^/"</f>
        <v>#VALUE!</v>
      </c>
      <c r="ET174" t="e">
        <f>Raw!U43+"h_l!(^0"</f>
        <v>#VALUE!</v>
      </c>
      <c r="EU174" t="e">
        <f>Raw!V43+"h_l!(^1"</f>
        <v>#VALUE!</v>
      </c>
      <c r="EV174" t="e">
        <f>Raw!W43+"h_l!(^2"</f>
        <v>#VALUE!</v>
      </c>
      <c r="EW174" t="e">
        <f>Raw!A44+"h_l!(^3"</f>
        <v>#VALUE!</v>
      </c>
      <c r="EX174" t="e">
        <f>Raw!B44+"h_l!(^4"</f>
        <v>#VALUE!</v>
      </c>
      <c r="EY174" t="e">
        <f>Raw!C44+"h_l!(^5"</f>
        <v>#VALUE!</v>
      </c>
      <c r="EZ174" t="e">
        <f>Raw!D44+"h_l!(^6"</f>
        <v>#VALUE!</v>
      </c>
      <c r="FA174" t="e">
        <f>Raw!E44+"h_l!(^7"</f>
        <v>#VALUE!</v>
      </c>
      <c r="FB174" t="e">
        <f>Raw!#REF!+"h_l!(^8"</f>
        <v>#REF!</v>
      </c>
      <c r="FC174" t="e">
        <f>Raw!G44+"h_l!(^9"</f>
        <v>#VALUE!</v>
      </c>
      <c r="FD174" t="e">
        <f>Raw!H44+"h_l!(^:"</f>
        <v>#VALUE!</v>
      </c>
      <c r="FE174" t="e">
        <f>Raw!I44+"h_l!(^;"</f>
        <v>#VALUE!</v>
      </c>
      <c r="FF174" t="e">
        <f>Raw!J44+"h_l!(^&lt;"</f>
        <v>#VALUE!</v>
      </c>
      <c r="FG174" t="e">
        <f>Raw!K44+"h_l!(^="</f>
        <v>#VALUE!</v>
      </c>
      <c r="FH174" t="e">
        <f>Raw!L44+"h_l!(^&gt;"</f>
        <v>#VALUE!</v>
      </c>
      <c r="FI174" t="e">
        <f>Raw!M44+"h_l!(^?"</f>
        <v>#VALUE!</v>
      </c>
      <c r="FJ174" t="e">
        <f>Raw!N44+"h_l!(^@"</f>
        <v>#VALUE!</v>
      </c>
      <c r="FK174" t="e">
        <f>Raw!O44+"h_l!(^A"</f>
        <v>#VALUE!</v>
      </c>
      <c r="FL174" t="e">
        <f>Raw!P44+"h_l!(^B"</f>
        <v>#VALUE!</v>
      </c>
      <c r="FM174" t="e">
        <f>Raw!Q44+"h_l!(^C"</f>
        <v>#VALUE!</v>
      </c>
      <c r="FN174" t="e">
        <f>Raw!R44+"h_l!(^D"</f>
        <v>#VALUE!</v>
      </c>
      <c r="FO174" t="e">
        <f>Raw!S44+"h_l!(^E"</f>
        <v>#VALUE!</v>
      </c>
      <c r="FP174" t="e">
        <f>Raw!T44+"h_l!(^F"</f>
        <v>#VALUE!</v>
      </c>
      <c r="FQ174" t="e">
        <f>Raw!U44+"h_l!(^G"</f>
        <v>#VALUE!</v>
      </c>
      <c r="FR174" t="e">
        <f>Raw!V44+"h_l!(^H"</f>
        <v>#VALUE!</v>
      </c>
      <c r="FS174" t="e">
        <f>Raw!W44+"h_l!(^I"</f>
        <v>#VALUE!</v>
      </c>
      <c r="FT174" t="e">
        <f>Raw!A45+"h_l!(^J"</f>
        <v>#VALUE!</v>
      </c>
      <c r="FU174" t="e">
        <f>Raw!B45+"h_l!(^K"</f>
        <v>#VALUE!</v>
      </c>
      <c r="FV174" t="e">
        <f>Raw!C45+"h_l!(^L"</f>
        <v>#VALUE!</v>
      </c>
      <c r="FW174" t="e">
        <f>Raw!D45+"h_l!(^M"</f>
        <v>#VALUE!</v>
      </c>
      <c r="FX174" t="e">
        <f>Raw!E45+"h_l!(^N"</f>
        <v>#VALUE!</v>
      </c>
      <c r="FY174" t="e">
        <f>Raw!#REF!+"h_l!(^O"</f>
        <v>#REF!</v>
      </c>
      <c r="FZ174" t="e">
        <f>Raw!G45+"h_l!(^P"</f>
        <v>#VALUE!</v>
      </c>
      <c r="GA174" t="e">
        <f>Raw!H45+"h_l!(^Q"</f>
        <v>#VALUE!</v>
      </c>
      <c r="GB174" t="e">
        <f>Raw!I45+"h_l!(^R"</f>
        <v>#VALUE!</v>
      </c>
      <c r="GC174" t="e">
        <f>Raw!J45+"h_l!(^S"</f>
        <v>#VALUE!</v>
      </c>
      <c r="GD174" t="e">
        <f>Raw!K45+"h_l!(^T"</f>
        <v>#VALUE!</v>
      </c>
      <c r="GE174" t="e">
        <f>Raw!L45+"h_l!(^U"</f>
        <v>#VALUE!</v>
      </c>
      <c r="GF174" t="e">
        <f>Raw!M45+"h_l!(^V"</f>
        <v>#VALUE!</v>
      </c>
      <c r="GG174" t="e">
        <f>Raw!N45+"h_l!(^W"</f>
        <v>#VALUE!</v>
      </c>
      <c r="GH174" t="e">
        <f>Raw!O45+"h_l!(^X"</f>
        <v>#VALUE!</v>
      </c>
      <c r="GI174" t="e">
        <f>Raw!P45+"h_l!(^Y"</f>
        <v>#VALUE!</v>
      </c>
      <c r="GJ174" t="e">
        <f>Raw!Q45+"h_l!(^Z"</f>
        <v>#VALUE!</v>
      </c>
      <c r="GK174" t="e">
        <f>Raw!R45+"h_l!(^["</f>
        <v>#VALUE!</v>
      </c>
      <c r="GL174" t="e">
        <f>Raw!S45+"h_l!(^\"</f>
        <v>#VALUE!</v>
      </c>
      <c r="GM174" t="e">
        <f>Raw!T45+"h_l!(^]"</f>
        <v>#VALUE!</v>
      </c>
      <c r="GN174" t="e">
        <f>Raw!U45+"h_l!(^^"</f>
        <v>#VALUE!</v>
      </c>
      <c r="GO174" t="e">
        <f>Raw!V45+"h_l!(^_"</f>
        <v>#VALUE!</v>
      </c>
      <c r="GP174" t="e">
        <f>Raw!W45+"h_l!(^`"</f>
        <v>#VALUE!</v>
      </c>
      <c r="GQ174" t="e">
        <f>Raw!A46+"h_l!(^a"</f>
        <v>#VALUE!</v>
      </c>
      <c r="GR174" t="e">
        <f>Raw!B46+"h_l!(^b"</f>
        <v>#VALUE!</v>
      </c>
      <c r="GS174" t="e">
        <f>Raw!C46+"h_l!(^c"</f>
        <v>#VALUE!</v>
      </c>
      <c r="GT174" t="e">
        <f>Raw!D46+"h_l!(^d"</f>
        <v>#VALUE!</v>
      </c>
      <c r="GU174" t="e">
        <f>Raw!E46+"h_l!(^e"</f>
        <v>#VALUE!</v>
      </c>
      <c r="GV174" t="e">
        <f>Raw!#REF!+"h_l!(^f"</f>
        <v>#REF!</v>
      </c>
      <c r="GW174" t="e">
        <f>Raw!G46+"h_l!(^g"</f>
        <v>#VALUE!</v>
      </c>
      <c r="GX174" t="e">
        <f>Raw!H46+"h_l!(^h"</f>
        <v>#VALUE!</v>
      </c>
      <c r="GY174" t="e">
        <f>Raw!I46+"h_l!(^i"</f>
        <v>#VALUE!</v>
      </c>
      <c r="GZ174" t="e">
        <f>Raw!J46+"h_l!(^j"</f>
        <v>#VALUE!</v>
      </c>
      <c r="HA174" t="e">
        <f>Raw!K46+"h_l!(^k"</f>
        <v>#VALUE!</v>
      </c>
      <c r="HB174" t="e">
        <f>Raw!L46+"h_l!(^l"</f>
        <v>#VALUE!</v>
      </c>
      <c r="HC174" t="e">
        <f>Raw!M46+"h_l!(^m"</f>
        <v>#VALUE!</v>
      </c>
      <c r="HD174" t="e">
        <f>Raw!N46+"h_l!(^n"</f>
        <v>#VALUE!</v>
      </c>
      <c r="HE174" t="e">
        <f>Raw!O46+"h_l!(^o"</f>
        <v>#VALUE!</v>
      </c>
      <c r="HF174" t="e">
        <f>Raw!P46+"h_l!(^p"</f>
        <v>#VALUE!</v>
      </c>
      <c r="HG174" t="e">
        <f>Raw!Q46+"h_l!(^q"</f>
        <v>#VALUE!</v>
      </c>
      <c r="HH174" t="e">
        <f>Raw!R46+"h_l!(^r"</f>
        <v>#VALUE!</v>
      </c>
      <c r="HI174" t="e">
        <f>Raw!S46+"h_l!(^s"</f>
        <v>#VALUE!</v>
      </c>
      <c r="HJ174" t="e">
        <f>Raw!T46+"h_l!(^t"</f>
        <v>#VALUE!</v>
      </c>
      <c r="HK174" t="e">
        <f>Raw!U46+"h_l!(^u"</f>
        <v>#VALUE!</v>
      </c>
      <c r="HL174" t="e">
        <f>Raw!V46+"h_l!(^v"</f>
        <v>#VALUE!</v>
      </c>
      <c r="HM174" t="e">
        <f>Raw!W46+"h_l!(^w"</f>
        <v>#VALUE!</v>
      </c>
      <c r="HN174" t="e">
        <f>Raw!A47+"h_l!(^x"</f>
        <v>#VALUE!</v>
      </c>
      <c r="HO174" t="e">
        <f>Raw!B47+"h_l!(^y"</f>
        <v>#VALUE!</v>
      </c>
      <c r="HP174" t="e">
        <f>Raw!C47+"h_l!(^z"</f>
        <v>#VALUE!</v>
      </c>
      <c r="HQ174" t="e">
        <f>Raw!D47+"h_l!(^{"</f>
        <v>#VALUE!</v>
      </c>
      <c r="HR174" t="e">
        <f>Raw!E47+"h_l!(^|"</f>
        <v>#VALUE!</v>
      </c>
      <c r="HS174" t="e">
        <f>Raw!#REF!+"h_l!(^}"</f>
        <v>#REF!</v>
      </c>
      <c r="HT174" t="e">
        <f>Raw!G47+"h_l!(^~"</f>
        <v>#VALUE!</v>
      </c>
      <c r="HU174" t="e">
        <f>Raw!H47+"h_l!(_#"</f>
        <v>#VALUE!</v>
      </c>
      <c r="HV174" t="e">
        <f>Raw!I47+"h_l!(_$"</f>
        <v>#VALUE!</v>
      </c>
      <c r="HW174" t="e">
        <f>Raw!J47+"h_l!(_%"</f>
        <v>#VALUE!</v>
      </c>
      <c r="HX174" t="e">
        <f>Raw!K47+"h_l!(_&amp;"</f>
        <v>#VALUE!</v>
      </c>
      <c r="HY174" t="e">
        <f>Raw!L47+"h_l!(_'"</f>
        <v>#VALUE!</v>
      </c>
      <c r="HZ174" t="e">
        <f>Raw!M47+"h_l!(_("</f>
        <v>#VALUE!</v>
      </c>
      <c r="IA174" t="e">
        <f>Raw!N47+"h_l!(_)"</f>
        <v>#VALUE!</v>
      </c>
      <c r="IB174" t="e">
        <f>Raw!O47+"h_l!(_."</f>
        <v>#VALUE!</v>
      </c>
      <c r="IC174" t="e">
        <f>Raw!P47+"h_l!(_/"</f>
        <v>#VALUE!</v>
      </c>
      <c r="ID174" t="e">
        <f>Raw!Q47+"h_l!(_0"</f>
        <v>#VALUE!</v>
      </c>
      <c r="IE174" t="e">
        <f>Raw!R47+"h_l!(_1"</f>
        <v>#VALUE!</v>
      </c>
      <c r="IF174" t="e">
        <f>Raw!S47+"h_l!(_2"</f>
        <v>#VALUE!</v>
      </c>
      <c r="IG174" t="e">
        <f>Raw!T47+"h_l!(_3"</f>
        <v>#VALUE!</v>
      </c>
      <c r="IH174" t="e">
        <f>Raw!U47+"h_l!(_4"</f>
        <v>#VALUE!</v>
      </c>
      <c r="II174" t="e">
        <f>Raw!V47+"h_l!(_5"</f>
        <v>#VALUE!</v>
      </c>
      <c r="IJ174" t="e">
        <f>Raw!W47+"h_l!(_6"</f>
        <v>#VALUE!</v>
      </c>
      <c r="IK174" t="e">
        <f>Raw!A48+"h_l!(_7"</f>
        <v>#VALUE!</v>
      </c>
      <c r="IL174" t="e">
        <f>Raw!B48+"h_l!(_8"</f>
        <v>#VALUE!</v>
      </c>
      <c r="IM174" t="e">
        <f>Raw!C48+"h_l!(_9"</f>
        <v>#VALUE!</v>
      </c>
      <c r="IN174" t="e">
        <f>Raw!D48+"h_l!(_:"</f>
        <v>#VALUE!</v>
      </c>
      <c r="IO174" t="e">
        <f>Raw!E48+"h_l!(_;"</f>
        <v>#VALUE!</v>
      </c>
      <c r="IP174" t="e">
        <f>Raw!#REF!+"h_l!(_&lt;"</f>
        <v>#REF!</v>
      </c>
      <c r="IQ174" t="e">
        <f>Raw!G48+"h_l!(_="</f>
        <v>#VALUE!</v>
      </c>
      <c r="IR174" t="e">
        <f>Raw!H48+"h_l!(_&gt;"</f>
        <v>#VALUE!</v>
      </c>
      <c r="IS174" t="e">
        <f>Raw!I48+"h_l!(_?"</f>
        <v>#VALUE!</v>
      </c>
      <c r="IT174" t="e">
        <f>Raw!J48+"h_l!(_@"</f>
        <v>#VALUE!</v>
      </c>
      <c r="IU174" t="e">
        <f>Raw!K48+"h_l!(_A"</f>
        <v>#VALUE!</v>
      </c>
      <c r="IV174" t="e">
        <f>Raw!L48+"h_l!(_B"</f>
        <v>#VALUE!</v>
      </c>
    </row>
    <row r="175" spans="6:256" x14ac:dyDescent="0.25">
      <c r="F175" t="e">
        <f>Raw!M48+"h_l!(_C"</f>
        <v>#VALUE!</v>
      </c>
      <c r="G175" t="e">
        <f>Raw!N48+"h_l!(_D"</f>
        <v>#VALUE!</v>
      </c>
      <c r="H175" t="e">
        <f>Raw!O48+"h_l!(_E"</f>
        <v>#VALUE!</v>
      </c>
      <c r="I175" t="e">
        <f>Raw!P48+"h_l!(_F"</f>
        <v>#VALUE!</v>
      </c>
      <c r="J175" t="e">
        <f>Raw!Q48+"h_l!(_G"</f>
        <v>#VALUE!</v>
      </c>
      <c r="K175" t="e">
        <f>Raw!R48+"h_l!(_H"</f>
        <v>#VALUE!</v>
      </c>
      <c r="L175" t="e">
        <f>Raw!S48+"h_l!(_I"</f>
        <v>#VALUE!</v>
      </c>
      <c r="M175" t="e">
        <f>Raw!T48+"h_l!(_J"</f>
        <v>#VALUE!</v>
      </c>
      <c r="N175" t="e">
        <f>Raw!U48+"h_l!(_K"</f>
        <v>#VALUE!</v>
      </c>
      <c r="O175" t="e">
        <f>Raw!V48+"h_l!(_L"</f>
        <v>#VALUE!</v>
      </c>
      <c r="P175" t="e">
        <f>Raw!W48+"h_l!(_M"</f>
        <v>#VALUE!</v>
      </c>
      <c r="Q175" t="e">
        <f>Raw!A49+"h_l!(_N"</f>
        <v>#VALUE!</v>
      </c>
      <c r="R175" t="e">
        <f>Raw!B49+"h_l!(_O"</f>
        <v>#VALUE!</v>
      </c>
      <c r="S175" t="e">
        <f>Raw!C49+"h_l!(_P"</f>
        <v>#VALUE!</v>
      </c>
      <c r="T175" t="e">
        <f>Raw!D49+"h_l!(_Q"</f>
        <v>#VALUE!</v>
      </c>
      <c r="U175" t="e">
        <f>Raw!E49+"h_l!(_R"</f>
        <v>#VALUE!</v>
      </c>
      <c r="V175" t="e">
        <f>Raw!#REF!+"h_l!(_S"</f>
        <v>#REF!</v>
      </c>
      <c r="W175" t="e">
        <f>Raw!G49+"h_l!(_T"</f>
        <v>#VALUE!</v>
      </c>
      <c r="X175" t="e">
        <f>Raw!H49+"h_l!(_U"</f>
        <v>#VALUE!</v>
      </c>
      <c r="Y175" t="e">
        <f>Raw!I49+"h_l!(_V"</f>
        <v>#VALUE!</v>
      </c>
      <c r="Z175" t="e">
        <f>Raw!J49+"h_l!(_W"</f>
        <v>#VALUE!</v>
      </c>
      <c r="AA175" t="e">
        <f>Raw!K49+"h_l!(_X"</f>
        <v>#VALUE!</v>
      </c>
      <c r="AB175" t="e">
        <f>Raw!L49+"h_l!(_Y"</f>
        <v>#VALUE!</v>
      </c>
      <c r="AC175" t="e">
        <f>Raw!M49+"h_l!(_Z"</f>
        <v>#VALUE!</v>
      </c>
      <c r="AD175" t="e">
        <f>Raw!N49+"h_l!(_["</f>
        <v>#VALUE!</v>
      </c>
      <c r="AE175" t="e">
        <f>Raw!O49+"h_l!(_\"</f>
        <v>#VALUE!</v>
      </c>
      <c r="AF175" t="e">
        <f>Raw!P49+"h_l!(_]"</f>
        <v>#VALUE!</v>
      </c>
      <c r="AG175" t="e">
        <f>Raw!Q49+"h_l!(_^"</f>
        <v>#VALUE!</v>
      </c>
      <c r="AH175" t="e">
        <f>Raw!R49+"h_l!(__"</f>
        <v>#VALUE!</v>
      </c>
      <c r="AI175" t="e">
        <f>Raw!S49+"h_l!(_`"</f>
        <v>#VALUE!</v>
      </c>
      <c r="AJ175" t="e">
        <f>Raw!T49+"h_l!(_a"</f>
        <v>#VALUE!</v>
      </c>
      <c r="AK175" t="e">
        <f>Raw!U49+"h_l!(_b"</f>
        <v>#VALUE!</v>
      </c>
      <c r="AL175" t="e">
        <f>Raw!V49+"h_l!(_c"</f>
        <v>#VALUE!</v>
      </c>
      <c r="AM175" t="e">
        <f>Raw!W49+"h_l!(_d"</f>
        <v>#VALUE!</v>
      </c>
      <c r="AN175" t="e">
        <f>Raw!A50+"h_l!(_e"</f>
        <v>#VALUE!</v>
      </c>
      <c r="AO175" t="e">
        <f>Raw!B50+"h_l!(_f"</f>
        <v>#VALUE!</v>
      </c>
      <c r="AP175" t="e">
        <f>Raw!C50+"h_l!(_g"</f>
        <v>#VALUE!</v>
      </c>
      <c r="AQ175" t="e">
        <f>Raw!D50+"h_l!(_h"</f>
        <v>#VALUE!</v>
      </c>
      <c r="AR175" t="e">
        <f>Raw!E50+"h_l!(_i"</f>
        <v>#VALUE!</v>
      </c>
      <c r="AS175" t="e">
        <f>Raw!#REF!+"h_l!(_j"</f>
        <v>#REF!</v>
      </c>
      <c r="AT175" t="e">
        <f>Raw!G50+"h_l!(_k"</f>
        <v>#VALUE!</v>
      </c>
      <c r="AU175" t="e">
        <f>Raw!H50+"h_l!(_l"</f>
        <v>#VALUE!</v>
      </c>
      <c r="AV175" t="e">
        <f>Raw!I50+"h_l!(_m"</f>
        <v>#VALUE!</v>
      </c>
      <c r="AW175" t="e">
        <f>Raw!J50+"h_l!(_n"</f>
        <v>#VALUE!</v>
      </c>
      <c r="AX175" t="e">
        <f>Raw!K50+"h_l!(_o"</f>
        <v>#VALUE!</v>
      </c>
      <c r="AY175" t="e">
        <f>Raw!L50+"h_l!(_p"</f>
        <v>#VALUE!</v>
      </c>
      <c r="AZ175" t="e">
        <f>Raw!M50+"h_l!(_q"</f>
        <v>#VALUE!</v>
      </c>
      <c r="BA175" t="e">
        <f>Raw!N50+"h_l!(_r"</f>
        <v>#VALUE!</v>
      </c>
      <c r="BB175" t="e">
        <f>Raw!O50+"h_l!(_s"</f>
        <v>#VALUE!</v>
      </c>
      <c r="BC175" t="e">
        <f>Raw!P50+"h_l!(_t"</f>
        <v>#VALUE!</v>
      </c>
      <c r="BD175" t="e">
        <f>Raw!Q50+"h_l!(_u"</f>
        <v>#VALUE!</v>
      </c>
      <c r="BE175" t="e">
        <f>Raw!R50+"h_l!(_v"</f>
        <v>#VALUE!</v>
      </c>
      <c r="BF175" t="e">
        <f>Raw!S50+"h_l!(_w"</f>
        <v>#VALUE!</v>
      </c>
      <c r="BG175" t="e">
        <f>Raw!T50+"h_l!(_x"</f>
        <v>#VALUE!</v>
      </c>
      <c r="BH175" t="e">
        <f>Raw!U50+"h_l!(_y"</f>
        <v>#VALUE!</v>
      </c>
      <c r="BI175" t="e">
        <f>Raw!V50+"h_l!(_z"</f>
        <v>#VALUE!</v>
      </c>
      <c r="BJ175" t="e">
        <f>Raw!W50+"h_l!(_{"</f>
        <v>#VALUE!</v>
      </c>
      <c r="BK175" t="e">
        <f>Raw!A51+"h_l!(_|"</f>
        <v>#VALUE!</v>
      </c>
      <c r="BL175" t="e">
        <f>Raw!B51+"h_l!(_}"</f>
        <v>#VALUE!</v>
      </c>
      <c r="BM175" t="e">
        <f>Raw!C51+"h_l!(_~"</f>
        <v>#VALUE!</v>
      </c>
      <c r="BN175" t="e">
        <f>Raw!D51+"h_l!(`#"</f>
        <v>#VALUE!</v>
      </c>
      <c r="BO175" t="e">
        <f>Raw!E51+"h_l!(`$"</f>
        <v>#VALUE!</v>
      </c>
      <c r="BP175" t="e">
        <f>Raw!#REF!+"h_l!(`%"</f>
        <v>#REF!</v>
      </c>
      <c r="BQ175" t="e">
        <f>Raw!G51+"h_l!(`&amp;"</f>
        <v>#VALUE!</v>
      </c>
      <c r="BR175" t="e">
        <f>Raw!H51+"h_l!(`'"</f>
        <v>#VALUE!</v>
      </c>
      <c r="BS175" t="e">
        <f>Raw!I51+"h_l!(`("</f>
        <v>#VALUE!</v>
      </c>
      <c r="BT175" t="e">
        <f>Raw!J51+"h_l!(`)"</f>
        <v>#VALUE!</v>
      </c>
      <c r="BU175" t="e">
        <f>Raw!K51+"h_l!(`."</f>
        <v>#VALUE!</v>
      </c>
      <c r="BV175" t="e">
        <f>Raw!L51+"h_l!(`/"</f>
        <v>#VALUE!</v>
      </c>
      <c r="BW175" t="e">
        <f>Raw!M51+"h_l!(`0"</f>
        <v>#VALUE!</v>
      </c>
      <c r="BX175" t="e">
        <f>Raw!N51+"h_l!(`1"</f>
        <v>#VALUE!</v>
      </c>
      <c r="BY175" t="e">
        <f>Raw!O51+"h_l!(`2"</f>
        <v>#VALUE!</v>
      </c>
      <c r="BZ175" t="e">
        <f>Raw!P51+"h_l!(`3"</f>
        <v>#VALUE!</v>
      </c>
      <c r="CA175" t="e">
        <f>Raw!Q51+"h_l!(`4"</f>
        <v>#VALUE!</v>
      </c>
      <c r="CB175" t="e">
        <f>Raw!R51+"h_l!(`5"</f>
        <v>#VALUE!</v>
      </c>
      <c r="CC175" t="e">
        <f>Raw!S51+"h_l!(`6"</f>
        <v>#VALUE!</v>
      </c>
      <c r="CD175" t="e">
        <f>Raw!T51+"h_l!(`7"</f>
        <v>#VALUE!</v>
      </c>
      <c r="CE175" t="e">
        <f>Raw!U51+"h_l!(`8"</f>
        <v>#VALUE!</v>
      </c>
      <c r="CF175" t="e">
        <f>Raw!V51+"h_l!(`9"</f>
        <v>#VALUE!</v>
      </c>
      <c r="CG175" t="e">
        <f>Raw!W51+"h_l!(`:"</f>
        <v>#VALUE!</v>
      </c>
      <c r="CH175" t="e">
        <f>Raw!A52+"h_l!(`;"</f>
        <v>#VALUE!</v>
      </c>
      <c r="CI175" t="e">
        <f>Raw!B52+"h_l!(`&lt;"</f>
        <v>#VALUE!</v>
      </c>
      <c r="CJ175" t="e">
        <f>Raw!C52+"h_l!(`="</f>
        <v>#VALUE!</v>
      </c>
      <c r="CK175" t="e">
        <f>Raw!D52+"h_l!(`&gt;"</f>
        <v>#VALUE!</v>
      </c>
      <c r="CL175" t="e">
        <f>Raw!E52+"h_l!(`?"</f>
        <v>#VALUE!</v>
      </c>
      <c r="CM175" t="e">
        <f>Raw!#REF!+"h_l!(`@"</f>
        <v>#REF!</v>
      </c>
      <c r="CN175" t="e">
        <f>Raw!G52+"h_l!(`A"</f>
        <v>#VALUE!</v>
      </c>
      <c r="CO175" t="e">
        <f>Raw!H52+"h_l!(`B"</f>
        <v>#VALUE!</v>
      </c>
      <c r="CP175" t="e">
        <f>Raw!I52+"h_l!(`C"</f>
        <v>#VALUE!</v>
      </c>
      <c r="CQ175" t="e">
        <f>Raw!J52+"h_l!(`D"</f>
        <v>#VALUE!</v>
      </c>
      <c r="CR175" t="e">
        <f>Raw!K52+"h_l!(`E"</f>
        <v>#VALUE!</v>
      </c>
      <c r="CS175" t="e">
        <f>Raw!L52+"h_l!(`F"</f>
        <v>#VALUE!</v>
      </c>
      <c r="CT175" t="e">
        <f>Raw!M52+"h_l!(`G"</f>
        <v>#VALUE!</v>
      </c>
      <c r="CU175" t="e">
        <f>Raw!N52+"h_l!(`H"</f>
        <v>#VALUE!</v>
      </c>
      <c r="CV175" t="e">
        <f>Raw!O52+"h_l!(`I"</f>
        <v>#VALUE!</v>
      </c>
      <c r="CW175" t="e">
        <f>Raw!P52+"h_l!(`J"</f>
        <v>#VALUE!</v>
      </c>
      <c r="CX175" t="e">
        <f>Raw!Q52+"h_l!(`K"</f>
        <v>#VALUE!</v>
      </c>
      <c r="CY175" t="e">
        <f>Raw!R52+"h_l!(`L"</f>
        <v>#VALUE!</v>
      </c>
      <c r="CZ175" t="e">
        <f>Raw!S52+"h_l!(`M"</f>
        <v>#VALUE!</v>
      </c>
      <c r="DA175" t="e">
        <f>Raw!T52+"h_l!(`N"</f>
        <v>#VALUE!</v>
      </c>
      <c r="DB175" t="e">
        <f>Raw!U52+"h_l!(`O"</f>
        <v>#VALUE!</v>
      </c>
      <c r="DC175" t="e">
        <f>Raw!V52+"h_l!(`P"</f>
        <v>#VALUE!</v>
      </c>
      <c r="DD175" t="e">
        <f>Raw!W52+"h_l!(`Q"</f>
        <v>#VALUE!</v>
      </c>
      <c r="DE175" t="e">
        <f>Raw!A53+"h_l!(`R"</f>
        <v>#VALUE!</v>
      </c>
      <c r="DF175" t="e">
        <f>Raw!B53+"h_l!(`S"</f>
        <v>#VALUE!</v>
      </c>
      <c r="DG175" t="e">
        <f>Raw!C53+"h_l!(`T"</f>
        <v>#VALUE!</v>
      </c>
      <c r="DH175" t="e">
        <f>Raw!D53+"h_l!(`U"</f>
        <v>#VALUE!</v>
      </c>
      <c r="DI175" t="e">
        <f>Raw!E53+"h_l!(`V"</f>
        <v>#VALUE!</v>
      </c>
      <c r="DJ175" t="e">
        <f>Raw!#REF!+"h_l!(`W"</f>
        <v>#REF!</v>
      </c>
      <c r="DK175" t="e">
        <f>Raw!G53+"h_l!(`X"</f>
        <v>#VALUE!</v>
      </c>
      <c r="DL175" t="e">
        <f>Raw!H53+"h_l!(`Y"</f>
        <v>#VALUE!</v>
      </c>
      <c r="DM175" t="e">
        <f>Raw!I53+"h_l!(`Z"</f>
        <v>#VALUE!</v>
      </c>
      <c r="DN175" t="e">
        <f>Raw!J53+"h_l!(`["</f>
        <v>#VALUE!</v>
      </c>
      <c r="DO175" t="e">
        <f>Raw!K53+"h_l!(`\"</f>
        <v>#VALUE!</v>
      </c>
      <c r="DP175" t="e">
        <f>Raw!L53+"h_l!(`]"</f>
        <v>#VALUE!</v>
      </c>
      <c r="DQ175" t="e">
        <f>Raw!M53+"h_l!(`^"</f>
        <v>#VALUE!</v>
      </c>
      <c r="DR175" t="e">
        <f>Raw!N53+"h_l!(`_"</f>
        <v>#VALUE!</v>
      </c>
      <c r="DS175" t="e">
        <f>Raw!O53+"h_l!(``"</f>
        <v>#VALUE!</v>
      </c>
      <c r="DT175" t="e">
        <f>Raw!P53+"h_l!(`a"</f>
        <v>#VALUE!</v>
      </c>
      <c r="DU175" t="e">
        <f>Raw!Q53+"h_l!(`b"</f>
        <v>#VALUE!</v>
      </c>
      <c r="DV175" t="e">
        <f>Raw!R53+"h_l!(`c"</f>
        <v>#VALUE!</v>
      </c>
      <c r="DW175" t="e">
        <f>Raw!S53+"h_l!(`d"</f>
        <v>#VALUE!</v>
      </c>
      <c r="DX175" t="e">
        <f>Raw!T53+"h_l!(`e"</f>
        <v>#VALUE!</v>
      </c>
      <c r="DY175" t="e">
        <f>Raw!U53+"h_l!(`f"</f>
        <v>#VALUE!</v>
      </c>
      <c r="DZ175" t="e">
        <f>Raw!V53+"h_l!(`g"</f>
        <v>#VALUE!</v>
      </c>
      <c r="EA175" t="e">
        <f>Raw!W53+"h_l!(`h"</f>
        <v>#VALUE!</v>
      </c>
      <c r="EB175" t="e">
        <f>Raw!A54+"h_l!(`i"</f>
        <v>#VALUE!</v>
      </c>
      <c r="EC175" t="e">
        <f>Raw!B54+"h_l!(`j"</f>
        <v>#VALUE!</v>
      </c>
      <c r="ED175" t="e">
        <f>Raw!C54+"h_l!(`k"</f>
        <v>#VALUE!</v>
      </c>
      <c r="EE175" t="e">
        <f>Raw!D54+"h_l!(`l"</f>
        <v>#VALUE!</v>
      </c>
      <c r="EF175" t="e">
        <f>Raw!E54+"h_l!(`m"</f>
        <v>#VALUE!</v>
      </c>
      <c r="EG175" t="e">
        <f>Raw!#REF!+"h_l!(`n"</f>
        <v>#REF!</v>
      </c>
      <c r="EH175" t="e">
        <f>Raw!G54+"h_l!(`o"</f>
        <v>#VALUE!</v>
      </c>
      <c r="EI175" t="e">
        <f>Raw!H54+"h_l!(`p"</f>
        <v>#VALUE!</v>
      </c>
      <c r="EJ175" t="e">
        <f>Raw!I54+"h_l!(`q"</f>
        <v>#VALUE!</v>
      </c>
      <c r="EK175" t="e">
        <f>Raw!J54+"h_l!(`r"</f>
        <v>#VALUE!</v>
      </c>
      <c r="EL175" t="e">
        <f>Raw!K54+"h_l!(`s"</f>
        <v>#VALUE!</v>
      </c>
      <c r="EM175" t="e">
        <f>Raw!L54+"h_l!(`t"</f>
        <v>#VALUE!</v>
      </c>
      <c r="EN175" t="e">
        <f>Raw!M54+"h_l!(`u"</f>
        <v>#VALUE!</v>
      </c>
      <c r="EO175" t="e">
        <f>Raw!N54+"h_l!(`v"</f>
        <v>#VALUE!</v>
      </c>
      <c r="EP175" t="e">
        <f>Raw!O54+"h_l!(`w"</f>
        <v>#VALUE!</v>
      </c>
      <c r="EQ175" t="e">
        <f>Raw!P54+"h_l!(`x"</f>
        <v>#VALUE!</v>
      </c>
      <c r="ER175" t="e">
        <f>Raw!Q54+"h_l!(`y"</f>
        <v>#VALUE!</v>
      </c>
      <c r="ES175" t="e">
        <f>Raw!R54+"h_l!(`z"</f>
        <v>#VALUE!</v>
      </c>
      <c r="ET175" t="e">
        <f>Raw!S54+"h_l!(`{"</f>
        <v>#VALUE!</v>
      </c>
      <c r="EU175" t="e">
        <f>Raw!T54+"h_l!(`|"</f>
        <v>#VALUE!</v>
      </c>
      <c r="EV175" t="e">
        <f>Raw!U54+"h_l!(`}"</f>
        <v>#VALUE!</v>
      </c>
      <c r="EW175" t="e">
        <f>Raw!V54+"h_l!(`~"</f>
        <v>#VALUE!</v>
      </c>
      <c r="EX175" t="e">
        <f>Raw!W54+"h_l!(a#"</f>
        <v>#VALUE!</v>
      </c>
      <c r="EY175" t="e">
        <f>Raw!A55+"h_l!(a$"</f>
        <v>#VALUE!</v>
      </c>
      <c r="EZ175" t="e">
        <f>Raw!B55+"h_l!(a%"</f>
        <v>#VALUE!</v>
      </c>
      <c r="FA175" t="e">
        <f>Raw!C55+"h_l!(a&amp;"</f>
        <v>#VALUE!</v>
      </c>
      <c r="FB175" t="e">
        <f>Raw!D55+"h_l!(a'"</f>
        <v>#VALUE!</v>
      </c>
      <c r="FC175" t="e">
        <f>Raw!E55+"h_l!(a("</f>
        <v>#VALUE!</v>
      </c>
      <c r="FD175" t="e">
        <f>Raw!#REF!+"h_l!(a)"</f>
        <v>#REF!</v>
      </c>
      <c r="FE175" t="e">
        <f>Raw!G55+"h_l!(a."</f>
        <v>#VALUE!</v>
      </c>
      <c r="FF175" t="e">
        <f>Raw!H55+"h_l!(a/"</f>
        <v>#VALUE!</v>
      </c>
      <c r="FG175" t="e">
        <f>Raw!I55+"h_l!(a0"</f>
        <v>#VALUE!</v>
      </c>
      <c r="FH175" t="e">
        <f>Raw!J55+"h_l!(a1"</f>
        <v>#VALUE!</v>
      </c>
      <c r="FI175" t="e">
        <f>Raw!K55+"h_l!(a2"</f>
        <v>#VALUE!</v>
      </c>
      <c r="FJ175" t="e">
        <f>Raw!L55+"h_l!(a3"</f>
        <v>#VALUE!</v>
      </c>
      <c r="FK175" t="e">
        <f>Raw!M55+"h_l!(a4"</f>
        <v>#VALUE!</v>
      </c>
      <c r="FL175" t="e">
        <f>Raw!N55+"h_l!(a5"</f>
        <v>#VALUE!</v>
      </c>
      <c r="FM175" t="e">
        <f>Raw!O55+"h_l!(a6"</f>
        <v>#VALUE!</v>
      </c>
      <c r="FN175" t="e">
        <f>Raw!P55+"h_l!(a7"</f>
        <v>#VALUE!</v>
      </c>
      <c r="FO175" t="e">
        <f>Raw!Q55+"h_l!(a8"</f>
        <v>#VALUE!</v>
      </c>
      <c r="FP175" t="e">
        <f>Raw!R55+"h_l!(a9"</f>
        <v>#VALUE!</v>
      </c>
      <c r="FQ175" t="e">
        <f>Raw!S55+"h_l!(a:"</f>
        <v>#VALUE!</v>
      </c>
      <c r="FR175" t="e">
        <f>Raw!T55+"h_l!(a;"</f>
        <v>#VALUE!</v>
      </c>
      <c r="FS175" t="e">
        <f>Raw!U55+"h_l!(a&lt;"</f>
        <v>#VALUE!</v>
      </c>
      <c r="FT175" t="e">
        <f>Raw!V55+"h_l!(a="</f>
        <v>#VALUE!</v>
      </c>
      <c r="FU175" t="e">
        <f>Raw!W55+"h_l!(a&gt;"</f>
        <v>#VALUE!</v>
      </c>
      <c r="FV175" t="e">
        <f>Raw!A56+"h_l!(a?"</f>
        <v>#VALUE!</v>
      </c>
      <c r="FW175" t="e">
        <f>Raw!B56+"h_l!(a@"</f>
        <v>#VALUE!</v>
      </c>
      <c r="FX175" t="e">
        <f>Raw!C56+"h_l!(aA"</f>
        <v>#VALUE!</v>
      </c>
      <c r="FY175" t="e">
        <f>Raw!D56+"h_l!(aB"</f>
        <v>#VALUE!</v>
      </c>
      <c r="FZ175" t="e">
        <f>Raw!E56+"h_l!(aC"</f>
        <v>#VALUE!</v>
      </c>
      <c r="GA175" t="e">
        <f>Raw!#REF!+"h_l!(aD"</f>
        <v>#REF!</v>
      </c>
      <c r="GB175" t="e">
        <f>Raw!G56+"h_l!(aE"</f>
        <v>#VALUE!</v>
      </c>
      <c r="GC175" t="e">
        <f>Raw!H56+"h_l!(aF"</f>
        <v>#VALUE!</v>
      </c>
      <c r="GD175" t="e">
        <f>Raw!I56+"h_l!(aG"</f>
        <v>#VALUE!</v>
      </c>
      <c r="GE175" t="e">
        <f>Raw!J56+"h_l!(aH"</f>
        <v>#VALUE!</v>
      </c>
      <c r="GF175" t="e">
        <f>Raw!K56+"h_l!(aI"</f>
        <v>#VALUE!</v>
      </c>
      <c r="GG175" t="e">
        <f>Raw!L56+"h_l!(aJ"</f>
        <v>#VALUE!</v>
      </c>
      <c r="GH175" t="e">
        <f>Raw!M56+"h_l!(aK"</f>
        <v>#VALUE!</v>
      </c>
      <c r="GI175" t="e">
        <f>Raw!N56+"h_l!(aL"</f>
        <v>#VALUE!</v>
      </c>
      <c r="GJ175" t="e">
        <f>Raw!O56+"h_l!(aM"</f>
        <v>#VALUE!</v>
      </c>
      <c r="GK175" t="e">
        <f>Raw!P56+"h_l!(aN"</f>
        <v>#VALUE!</v>
      </c>
      <c r="GL175" t="e">
        <f>Raw!Q56+"h_l!(aO"</f>
        <v>#VALUE!</v>
      </c>
      <c r="GM175" t="e">
        <f>Raw!R56+"h_l!(aP"</f>
        <v>#VALUE!</v>
      </c>
      <c r="GN175" t="e">
        <f>Raw!S56+"h_l!(aQ"</f>
        <v>#VALUE!</v>
      </c>
      <c r="GO175" t="e">
        <f>Raw!T56+"h_l!(aR"</f>
        <v>#VALUE!</v>
      </c>
      <c r="GP175" t="e">
        <f>Raw!U56+"h_l!(aS"</f>
        <v>#VALUE!</v>
      </c>
      <c r="GQ175" t="e">
        <f>Raw!V56+"h_l!(aT"</f>
        <v>#VALUE!</v>
      </c>
      <c r="GR175" t="e">
        <f>Raw!W56+"h_l!(aU"</f>
        <v>#VALUE!</v>
      </c>
      <c r="GS175" t="e">
        <f>Raw!A57+"h_l!(aV"</f>
        <v>#VALUE!</v>
      </c>
      <c r="GT175" t="e">
        <f>Raw!B57+"h_l!(aW"</f>
        <v>#VALUE!</v>
      </c>
      <c r="GU175" t="e">
        <f>Raw!C57+"h_l!(aX"</f>
        <v>#VALUE!</v>
      </c>
      <c r="GV175" t="e">
        <f>Raw!D57+"h_l!(aY"</f>
        <v>#VALUE!</v>
      </c>
      <c r="GW175" t="e">
        <f>Raw!E57+"h_l!(aZ"</f>
        <v>#VALUE!</v>
      </c>
      <c r="GX175" t="e">
        <f>Raw!#REF!+"h_l!(a["</f>
        <v>#REF!</v>
      </c>
      <c r="GY175" t="e">
        <f>Raw!G57+"h_l!(a\"</f>
        <v>#VALUE!</v>
      </c>
      <c r="GZ175" t="e">
        <f>Raw!H57+"h_l!(a]"</f>
        <v>#VALUE!</v>
      </c>
      <c r="HA175" t="e">
        <f>Raw!I57+"h_l!(a^"</f>
        <v>#VALUE!</v>
      </c>
      <c r="HB175" t="e">
        <f>Raw!J57+"h_l!(a_"</f>
        <v>#VALUE!</v>
      </c>
      <c r="HC175" t="e">
        <f>Raw!K57+"h_l!(a`"</f>
        <v>#VALUE!</v>
      </c>
      <c r="HD175" t="e">
        <f>Raw!L57+"h_l!(aa"</f>
        <v>#VALUE!</v>
      </c>
      <c r="HE175" t="e">
        <f>Raw!M57+"h_l!(ab"</f>
        <v>#VALUE!</v>
      </c>
      <c r="HF175" t="e">
        <f>Raw!N57+"h_l!(ac"</f>
        <v>#VALUE!</v>
      </c>
      <c r="HG175" t="e">
        <f>Raw!O57+"h_l!(ad"</f>
        <v>#VALUE!</v>
      </c>
      <c r="HH175" t="e">
        <f>Raw!P57+"h_l!(ae"</f>
        <v>#VALUE!</v>
      </c>
      <c r="HI175" t="e">
        <f>Raw!Q57+"h_l!(af"</f>
        <v>#VALUE!</v>
      </c>
      <c r="HJ175" t="e">
        <f>Raw!R57+"h_l!(ag"</f>
        <v>#VALUE!</v>
      </c>
      <c r="HK175" t="e">
        <f>Raw!S57+"h_l!(ah"</f>
        <v>#VALUE!</v>
      </c>
      <c r="HL175" t="e">
        <f>Raw!T57+"h_l!(ai"</f>
        <v>#VALUE!</v>
      </c>
      <c r="HM175" t="e">
        <f>Raw!U57+"h_l!(aj"</f>
        <v>#VALUE!</v>
      </c>
      <c r="HN175" t="e">
        <f>Raw!V57+"h_l!(ak"</f>
        <v>#VALUE!</v>
      </c>
      <c r="HO175" t="e">
        <f>Raw!W57+"h_l!(al"</f>
        <v>#VALUE!</v>
      </c>
      <c r="HP175" t="e">
        <f>Raw!A58+"h_l!(am"</f>
        <v>#VALUE!</v>
      </c>
      <c r="HQ175" t="e">
        <f>Raw!B58+"h_l!(an"</f>
        <v>#VALUE!</v>
      </c>
      <c r="HR175" t="e">
        <f>Raw!C58+"h_l!(ao"</f>
        <v>#VALUE!</v>
      </c>
      <c r="HS175" t="e">
        <f>Raw!D58+"h_l!(ap"</f>
        <v>#VALUE!</v>
      </c>
      <c r="HT175" t="e">
        <f>Raw!E58+"h_l!(aq"</f>
        <v>#VALUE!</v>
      </c>
      <c r="HU175" t="e">
        <f>Raw!#REF!+"h_l!(ar"</f>
        <v>#REF!</v>
      </c>
      <c r="HV175" t="e">
        <f>Raw!G58+"h_l!(as"</f>
        <v>#VALUE!</v>
      </c>
      <c r="HW175" t="e">
        <f>Raw!H58+"h_l!(at"</f>
        <v>#VALUE!</v>
      </c>
      <c r="HX175" t="e">
        <f>Raw!I58+"h_l!(au"</f>
        <v>#VALUE!</v>
      </c>
      <c r="HY175" t="e">
        <f>Raw!J58+"h_l!(av"</f>
        <v>#VALUE!</v>
      </c>
      <c r="HZ175" t="e">
        <f>Raw!K58+"h_l!(aw"</f>
        <v>#VALUE!</v>
      </c>
      <c r="IA175" t="e">
        <f>Raw!L58+"h_l!(ax"</f>
        <v>#VALUE!</v>
      </c>
      <c r="IB175" t="e">
        <f>Raw!M58+"h_l!(ay"</f>
        <v>#VALUE!</v>
      </c>
      <c r="IC175" t="e">
        <f>Raw!N58+"h_l!(az"</f>
        <v>#VALUE!</v>
      </c>
      <c r="ID175" t="e">
        <f>Raw!O58+"h_l!(a{"</f>
        <v>#VALUE!</v>
      </c>
      <c r="IE175" t="e">
        <f>Raw!P58+"h_l!(a|"</f>
        <v>#VALUE!</v>
      </c>
      <c r="IF175" t="e">
        <f>Raw!Q58+"h_l!(a}"</f>
        <v>#VALUE!</v>
      </c>
      <c r="IG175" t="e">
        <f>Raw!R58+"h_l!(a~"</f>
        <v>#VALUE!</v>
      </c>
      <c r="IH175" t="e">
        <f>Raw!S58+"h_l!(b#"</f>
        <v>#VALUE!</v>
      </c>
      <c r="II175" t="e">
        <f>Raw!T58+"h_l!(b$"</f>
        <v>#VALUE!</v>
      </c>
      <c r="IJ175" t="e">
        <f>Raw!U58+"h_l!(b%"</f>
        <v>#VALUE!</v>
      </c>
      <c r="IK175" t="e">
        <f>Raw!V58+"h_l!(b&amp;"</f>
        <v>#VALUE!</v>
      </c>
      <c r="IL175" t="e">
        <f>Raw!W58+"h_l!(b'"</f>
        <v>#VALUE!</v>
      </c>
      <c r="IM175" t="e">
        <f>Raw!A59+"h_l!(b("</f>
        <v>#VALUE!</v>
      </c>
      <c r="IN175" t="e">
        <f>Raw!B59+"h_l!(b)"</f>
        <v>#VALUE!</v>
      </c>
      <c r="IO175" t="e">
        <f>Raw!C59+"h_l!(b."</f>
        <v>#VALUE!</v>
      </c>
      <c r="IP175" t="e">
        <f>Raw!D59+"h_l!(b/"</f>
        <v>#VALUE!</v>
      </c>
      <c r="IQ175" t="e">
        <f>Raw!E59+"h_l!(b0"</f>
        <v>#VALUE!</v>
      </c>
      <c r="IR175" t="e">
        <f>Raw!#REF!+"h_l!(b1"</f>
        <v>#REF!</v>
      </c>
      <c r="IS175" t="e">
        <f>Raw!G59+"h_l!(b2"</f>
        <v>#VALUE!</v>
      </c>
      <c r="IT175" t="e">
        <f>Raw!H59+"h_l!(b3"</f>
        <v>#VALUE!</v>
      </c>
      <c r="IU175" t="e">
        <f>Raw!I59+"h_l!(b4"</f>
        <v>#VALUE!</v>
      </c>
      <c r="IV175" t="e">
        <f>Raw!J59+"h_l!(b5"</f>
        <v>#VALUE!</v>
      </c>
    </row>
    <row r="176" spans="6:256" x14ac:dyDescent="0.25">
      <c r="F176" t="e">
        <f>Raw!K59+"h_l!(b6"</f>
        <v>#VALUE!</v>
      </c>
      <c r="G176" t="e">
        <f>Raw!L59+"h_l!(b7"</f>
        <v>#VALUE!</v>
      </c>
      <c r="H176" t="e">
        <f>Raw!M59+"h_l!(b8"</f>
        <v>#VALUE!</v>
      </c>
      <c r="I176" t="e">
        <f>Raw!N59+"h_l!(b9"</f>
        <v>#VALUE!</v>
      </c>
      <c r="J176" t="e">
        <f>Raw!O59+"h_l!(b:"</f>
        <v>#VALUE!</v>
      </c>
      <c r="K176" t="e">
        <f>Raw!P59+"h_l!(b;"</f>
        <v>#VALUE!</v>
      </c>
      <c r="L176" t="e">
        <f>Raw!Q59+"h_l!(b&lt;"</f>
        <v>#VALUE!</v>
      </c>
      <c r="M176" t="e">
        <f>Raw!R59+"h_l!(b="</f>
        <v>#VALUE!</v>
      </c>
      <c r="N176" t="e">
        <f>Raw!S59+"h_l!(b&gt;"</f>
        <v>#VALUE!</v>
      </c>
      <c r="O176" t="e">
        <f>Raw!T59+"h_l!(b?"</f>
        <v>#VALUE!</v>
      </c>
      <c r="P176" t="e">
        <f>Raw!U59+"h_l!(b@"</f>
        <v>#VALUE!</v>
      </c>
      <c r="Q176" t="e">
        <f>Raw!V59+"h_l!(bA"</f>
        <v>#VALUE!</v>
      </c>
      <c r="R176" t="e">
        <f>Raw!W59+"h_l!(bB"</f>
        <v>#VALUE!</v>
      </c>
      <c r="S176" t="e">
        <f>Raw!A60+"h_l!(bC"</f>
        <v>#VALUE!</v>
      </c>
      <c r="T176" t="e">
        <f>Raw!B60+"h_l!(bD"</f>
        <v>#VALUE!</v>
      </c>
      <c r="U176" t="e">
        <f>Raw!C60+"h_l!(bE"</f>
        <v>#VALUE!</v>
      </c>
      <c r="V176" t="e">
        <f>Raw!D60+"h_l!(bF"</f>
        <v>#VALUE!</v>
      </c>
      <c r="W176" t="e">
        <f>Raw!E60+"h_l!(bG"</f>
        <v>#VALUE!</v>
      </c>
      <c r="X176" t="e">
        <f>Raw!#REF!+"h_l!(bH"</f>
        <v>#REF!</v>
      </c>
      <c r="Y176" t="e">
        <f>Raw!G60+"h_l!(bI"</f>
        <v>#VALUE!</v>
      </c>
      <c r="Z176" t="e">
        <f>Raw!H60+"h_l!(bJ"</f>
        <v>#VALUE!</v>
      </c>
      <c r="AA176" t="e">
        <f>Raw!I60+"h_l!(bK"</f>
        <v>#VALUE!</v>
      </c>
      <c r="AB176" t="e">
        <f>Raw!J60+"h_l!(bL"</f>
        <v>#VALUE!</v>
      </c>
      <c r="AC176" t="e">
        <f>Raw!K60+"h_l!(bM"</f>
        <v>#VALUE!</v>
      </c>
      <c r="AD176" t="e">
        <f>Raw!L60+"h_l!(bN"</f>
        <v>#VALUE!</v>
      </c>
      <c r="AE176" t="e">
        <f>Raw!M60+"h_l!(bO"</f>
        <v>#VALUE!</v>
      </c>
      <c r="AF176" t="e">
        <f>Raw!N60+"h_l!(bP"</f>
        <v>#VALUE!</v>
      </c>
      <c r="AG176" t="e">
        <f>Raw!O60+"h_l!(bQ"</f>
        <v>#VALUE!</v>
      </c>
      <c r="AH176" t="e">
        <f>Raw!P60+"h_l!(bR"</f>
        <v>#VALUE!</v>
      </c>
      <c r="AI176" t="e">
        <f>Raw!Q60+"h_l!(bS"</f>
        <v>#VALUE!</v>
      </c>
      <c r="AJ176" t="e">
        <f>Raw!R60+"h_l!(bT"</f>
        <v>#VALUE!</v>
      </c>
      <c r="AK176" t="e">
        <f>Raw!S60+"h_l!(bU"</f>
        <v>#VALUE!</v>
      </c>
      <c r="AL176" t="e">
        <f>Raw!T60+"h_l!(bV"</f>
        <v>#VALUE!</v>
      </c>
      <c r="AM176" t="e">
        <f>Raw!U60+"h_l!(bW"</f>
        <v>#VALUE!</v>
      </c>
      <c r="AN176" t="e">
        <f>Raw!V60+"h_l!(bX"</f>
        <v>#VALUE!</v>
      </c>
      <c r="AO176" t="e">
        <f>Raw!W60+"h_l!(bY"</f>
        <v>#VALUE!</v>
      </c>
      <c r="AP176" t="e">
        <f>Raw!A61+"h_l!(bZ"</f>
        <v>#VALUE!</v>
      </c>
      <c r="AQ176" t="e">
        <f>Raw!B61+"h_l!(b["</f>
        <v>#VALUE!</v>
      </c>
      <c r="AR176" t="e">
        <f>Raw!C61+"h_l!(b\"</f>
        <v>#VALUE!</v>
      </c>
      <c r="AS176" t="e">
        <f>Raw!D61+"h_l!(b]"</f>
        <v>#VALUE!</v>
      </c>
      <c r="AT176" t="e">
        <f>Raw!E61+"h_l!(b^"</f>
        <v>#VALUE!</v>
      </c>
      <c r="AU176" t="e">
        <f>Raw!#REF!+"h_l!(b_"</f>
        <v>#REF!</v>
      </c>
      <c r="AV176" t="e">
        <f>Raw!G61+"h_l!(b`"</f>
        <v>#VALUE!</v>
      </c>
      <c r="AW176" t="e">
        <f>Raw!H61+"h_l!(ba"</f>
        <v>#VALUE!</v>
      </c>
      <c r="AX176" t="e">
        <f>Raw!I61+"h_l!(bb"</f>
        <v>#VALUE!</v>
      </c>
      <c r="AY176" t="e">
        <f>Raw!J61+"h_l!(bc"</f>
        <v>#VALUE!</v>
      </c>
      <c r="AZ176" t="e">
        <f>Raw!K61+"h_l!(bd"</f>
        <v>#VALUE!</v>
      </c>
      <c r="BA176" t="e">
        <f>Raw!L61+"h_l!(be"</f>
        <v>#VALUE!</v>
      </c>
      <c r="BB176" t="e">
        <f>Raw!M61+"h_l!(bf"</f>
        <v>#VALUE!</v>
      </c>
      <c r="BC176" t="e">
        <f>Raw!N61+"h_l!(bg"</f>
        <v>#VALUE!</v>
      </c>
      <c r="BD176" t="e">
        <f>Raw!O61+"h_l!(bh"</f>
        <v>#VALUE!</v>
      </c>
      <c r="BE176" t="e">
        <f>Raw!P61+"h_l!(bi"</f>
        <v>#VALUE!</v>
      </c>
      <c r="BF176" t="e">
        <f>Raw!Q61+"h_l!(bj"</f>
        <v>#VALUE!</v>
      </c>
      <c r="BG176" t="e">
        <f>Raw!R61+"h_l!(bk"</f>
        <v>#VALUE!</v>
      </c>
      <c r="BH176" t="e">
        <f>Raw!S61+"h_l!(bl"</f>
        <v>#VALUE!</v>
      </c>
      <c r="BI176" t="e">
        <f>Raw!T61+"h_l!(bm"</f>
        <v>#VALUE!</v>
      </c>
      <c r="BJ176" t="e">
        <f>Raw!U61+"h_l!(bn"</f>
        <v>#VALUE!</v>
      </c>
      <c r="BK176" t="e">
        <f>Raw!V61+"h_l!(bo"</f>
        <v>#VALUE!</v>
      </c>
      <c r="BL176" t="e">
        <f>Raw!W61+"h_l!(bp"</f>
        <v>#VALUE!</v>
      </c>
      <c r="BM176" t="e">
        <f>Raw!A62+"h_l!(bq"</f>
        <v>#VALUE!</v>
      </c>
      <c r="BN176" t="e">
        <f>Raw!B62+"h_l!(br"</f>
        <v>#VALUE!</v>
      </c>
      <c r="BO176" t="e">
        <f>Raw!C62+"h_l!(bs"</f>
        <v>#VALUE!</v>
      </c>
      <c r="BP176" t="e">
        <f>Raw!D62+"h_l!(bt"</f>
        <v>#VALUE!</v>
      </c>
      <c r="BQ176" t="e">
        <f>Raw!E62+"h_l!(bu"</f>
        <v>#VALUE!</v>
      </c>
      <c r="BR176" t="e">
        <f>Raw!#REF!+"h_l!(bv"</f>
        <v>#REF!</v>
      </c>
      <c r="BS176" t="e">
        <f>Raw!G62+"h_l!(bw"</f>
        <v>#VALUE!</v>
      </c>
      <c r="BT176" t="e">
        <f>Raw!H62+"h_l!(bx"</f>
        <v>#VALUE!</v>
      </c>
      <c r="BU176" t="e">
        <f>Raw!I62+"h_l!(by"</f>
        <v>#VALUE!</v>
      </c>
      <c r="BV176" t="e">
        <f>Raw!J62+"h_l!(bz"</f>
        <v>#VALUE!</v>
      </c>
      <c r="BW176" t="e">
        <f>Raw!K62+"h_l!(b{"</f>
        <v>#VALUE!</v>
      </c>
      <c r="BX176" t="e">
        <f>Raw!L62+"h_l!(b|"</f>
        <v>#VALUE!</v>
      </c>
      <c r="BY176" t="e">
        <f>Raw!M62+"h_l!(b}"</f>
        <v>#VALUE!</v>
      </c>
      <c r="BZ176" t="e">
        <f>Raw!N62+"h_l!(b~"</f>
        <v>#VALUE!</v>
      </c>
      <c r="CA176" t="e">
        <f>Raw!O62+"h_l!(c#"</f>
        <v>#VALUE!</v>
      </c>
      <c r="CB176" t="e">
        <f>Raw!P62+"h_l!(c$"</f>
        <v>#VALUE!</v>
      </c>
      <c r="CC176" t="e">
        <f>Raw!Q62+"h_l!(c%"</f>
        <v>#VALUE!</v>
      </c>
      <c r="CD176" t="e">
        <f>Raw!R62+"h_l!(c&amp;"</f>
        <v>#VALUE!</v>
      </c>
      <c r="CE176" t="e">
        <f>Raw!S62+"h_l!(c'"</f>
        <v>#VALUE!</v>
      </c>
      <c r="CF176" t="e">
        <f>Raw!T62+"h_l!(c("</f>
        <v>#VALUE!</v>
      </c>
      <c r="CG176" t="e">
        <f>Raw!U62+"h_l!(c)"</f>
        <v>#VALUE!</v>
      </c>
      <c r="CH176" t="e">
        <f>Raw!V62+"h_l!(c."</f>
        <v>#VALUE!</v>
      </c>
      <c r="CI176" t="e">
        <f>Raw!W62+"h_l!(c/"</f>
        <v>#VALUE!</v>
      </c>
      <c r="CJ176" t="e">
        <f>Raw!A63+"h_l!(c0"</f>
        <v>#VALUE!</v>
      </c>
      <c r="CK176" t="e">
        <f>Raw!B63+"h_l!(c1"</f>
        <v>#VALUE!</v>
      </c>
      <c r="CL176" t="e">
        <f>Raw!C63+"h_l!(c2"</f>
        <v>#VALUE!</v>
      </c>
      <c r="CM176" t="e">
        <f>Raw!D63+"h_l!(c3"</f>
        <v>#VALUE!</v>
      </c>
      <c r="CN176" t="e">
        <f>Raw!E63+"h_l!(c4"</f>
        <v>#VALUE!</v>
      </c>
      <c r="CO176" t="e">
        <f>Raw!#REF!+"h_l!(c5"</f>
        <v>#REF!</v>
      </c>
      <c r="CP176" t="e">
        <f>Raw!G63+"h_l!(c6"</f>
        <v>#VALUE!</v>
      </c>
      <c r="CQ176" t="e">
        <f>Raw!H63+"h_l!(c7"</f>
        <v>#VALUE!</v>
      </c>
      <c r="CR176" t="e">
        <f>Raw!I63+"h_l!(c8"</f>
        <v>#VALUE!</v>
      </c>
      <c r="CS176" t="e">
        <f>Raw!J63+"h_l!(c9"</f>
        <v>#VALUE!</v>
      </c>
      <c r="CT176" t="e">
        <f>Raw!K63+"h_l!(c:"</f>
        <v>#VALUE!</v>
      </c>
      <c r="CU176" t="e">
        <f>Raw!L63+"h_l!(c;"</f>
        <v>#VALUE!</v>
      </c>
      <c r="CV176" t="e">
        <f>Raw!M63+"h_l!(c&lt;"</f>
        <v>#VALUE!</v>
      </c>
      <c r="CW176" t="e">
        <f>Raw!N63+"h_l!(c="</f>
        <v>#VALUE!</v>
      </c>
      <c r="CX176" t="e">
        <f>Raw!O63+"h_l!(c&gt;"</f>
        <v>#VALUE!</v>
      </c>
      <c r="CY176" t="e">
        <f>Raw!P63+"h_l!(c?"</f>
        <v>#VALUE!</v>
      </c>
      <c r="CZ176" t="e">
        <f>Raw!Q63+"h_l!(c@"</f>
        <v>#VALUE!</v>
      </c>
      <c r="DA176" t="e">
        <f>Raw!R63+"h_l!(cA"</f>
        <v>#VALUE!</v>
      </c>
      <c r="DB176" t="e">
        <f>Raw!S63+"h_l!(cB"</f>
        <v>#VALUE!</v>
      </c>
      <c r="DC176" t="e">
        <f>Raw!T63+"h_l!(cC"</f>
        <v>#VALUE!</v>
      </c>
      <c r="DD176" t="e">
        <f>Raw!U63+"h_l!(cD"</f>
        <v>#VALUE!</v>
      </c>
      <c r="DE176" t="e">
        <f>Raw!V63+"h_l!(cE"</f>
        <v>#VALUE!</v>
      </c>
      <c r="DF176" t="e">
        <f>Raw!W63+"h_l!(cF"</f>
        <v>#VALUE!</v>
      </c>
      <c r="DG176" t="e">
        <f>Raw!A64+"h_l!(cG"</f>
        <v>#VALUE!</v>
      </c>
      <c r="DH176" t="e">
        <f>Raw!B64+"h_l!(cH"</f>
        <v>#VALUE!</v>
      </c>
      <c r="DI176" t="e">
        <f>Raw!C64+"h_l!(cI"</f>
        <v>#VALUE!</v>
      </c>
      <c r="DJ176" t="e">
        <f>Raw!D64+"h_l!(cJ"</f>
        <v>#VALUE!</v>
      </c>
      <c r="DK176" t="e">
        <f>Raw!E64+"h_l!(cK"</f>
        <v>#VALUE!</v>
      </c>
      <c r="DL176" t="e">
        <f>Raw!#REF!+"h_l!(cL"</f>
        <v>#REF!</v>
      </c>
      <c r="DM176" t="e">
        <f>Raw!G64+"h_l!(cM"</f>
        <v>#VALUE!</v>
      </c>
      <c r="DN176" t="e">
        <f>Raw!H64+"h_l!(cN"</f>
        <v>#VALUE!</v>
      </c>
      <c r="DO176" t="e">
        <f>Raw!I64+"h_l!(cO"</f>
        <v>#VALUE!</v>
      </c>
      <c r="DP176" t="e">
        <f>Raw!J64+"h_l!(cP"</f>
        <v>#VALUE!</v>
      </c>
      <c r="DQ176" t="e">
        <f>Raw!K64+"h_l!(cQ"</f>
        <v>#VALUE!</v>
      </c>
      <c r="DR176" t="e">
        <f>Raw!L64+"h_l!(cR"</f>
        <v>#VALUE!</v>
      </c>
      <c r="DS176" t="e">
        <f>Raw!M64+"h_l!(cS"</f>
        <v>#VALUE!</v>
      </c>
      <c r="DT176" t="e">
        <f>Raw!N64+"h_l!(cT"</f>
        <v>#VALUE!</v>
      </c>
      <c r="DU176" t="e">
        <f>Raw!O64+"h_l!(cU"</f>
        <v>#VALUE!</v>
      </c>
      <c r="DV176" t="e">
        <f>Raw!P64+"h_l!(cV"</f>
        <v>#VALUE!</v>
      </c>
      <c r="DW176" t="e">
        <f>Raw!Q64+"h_l!(cW"</f>
        <v>#VALUE!</v>
      </c>
      <c r="DX176" t="e">
        <f>Raw!R64+"h_l!(cX"</f>
        <v>#VALUE!</v>
      </c>
      <c r="DY176" t="e">
        <f>Raw!S64+"h_l!(cY"</f>
        <v>#VALUE!</v>
      </c>
      <c r="DZ176" t="e">
        <f>Raw!T64+"h_l!(cZ"</f>
        <v>#VALUE!</v>
      </c>
      <c r="EA176" t="e">
        <f>Raw!U64+"h_l!(c["</f>
        <v>#VALUE!</v>
      </c>
      <c r="EB176" t="e">
        <f>Raw!V64+"h_l!(c\"</f>
        <v>#VALUE!</v>
      </c>
      <c r="EC176" t="e">
        <f>Raw!W64+"h_l!(c]"</f>
        <v>#VALUE!</v>
      </c>
      <c r="ED176" t="e">
        <f>Raw!A65+"h_l!(c^"</f>
        <v>#VALUE!</v>
      </c>
      <c r="EE176" t="e">
        <f>Raw!B65+"h_l!(c_"</f>
        <v>#VALUE!</v>
      </c>
      <c r="EF176" t="e">
        <f>Raw!C65+"h_l!(c`"</f>
        <v>#VALUE!</v>
      </c>
      <c r="EG176" t="e">
        <f>Raw!D65+"h_l!(ca"</f>
        <v>#VALUE!</v>
      </c>
      <c r="EH176" t="e">
        <f>Raw!E65+"h_l!(cb"</f>
        <v>#VALUE!</v>
      </c>
      <c r="EI176" t="e">
        <f>Raw!#REF!+"h_l!(cc"</f>
        <v>#REF!</v>
      </c>
      <c r="EJ176" t="e">
        <f>Raw!G65+"h_l!(cd"</f>
        <v>#VALUE!</v>
      </c>
      <c r="EK176" t="e">
        <f>Raw!H65+"h_l!(ce"</f>
        <v>#VALUE!</v>
      </c>
      <c r="EL176" t="e">
        <f>Raw!I65+"h_l!(cf"</f>
        <v>#VALUE!</v>
      </c>
      <c r="EM176" t="e">
        <f>Raw!J65+"h_l!(cg"</f>
        <v>#VALUE!</v>
      </c>
      <c r="EN176" t="e">
        <f>Raw!K65+"h_l!(ch"</f>
        <v>#VALUE!</v>
      </c>
      <c r="EO176" t="e">
        <f>Raw!L65+"h_l!(ci"</f>
        <v>#VALUE!</v>
      </c>
      <c r="EP176" t="e">
        <f>Raw!M65+"h_l!(cj"</f>
        <v>#VALUE!</v>
      </c>
      <c r="EQ176" t="e">
        <f>Raw!N65+"h_l!(ck"</f>
        <v>#VALUE!</v>
      </c>
      <c r="ER176" t="e">
        <f>Raw!O65+"h_l!(cl"</f>
        <v>#VALUE!</v>
      </c>
      <c r="ES176" t="e">
        <f>Raw!P65+"h_l!(cm"</f>
        <v>#VALUE!</v>
      </c>
      <c r="ET176" t="e">
        <f>Raw!Q65+"h_l!(cn"</f>
        <v>#VALUE!</v>
      </c>
      <c r="EU176" t="e">
        <f>Raw!R65+"h_l!(co"</f>
        <v>#VALUE!</v>
      </c>
      <c r="EV176" t="e">
        <f>Raw!S65+"h_l!(cp"</f>
        <v>#VALUE!</v>
      </c>
      <c r="EW176" t="e">
        <f>Raw!T65+"h_l!(cq"</f>
        <v>#VALUE!</v>
      </c>
      <c r="EX176" t="e">
        <f>Raw!U65+"h_l!(cr"</f>
        <v>#VALUE!</v>
      </c>
      <c r="EY176" t="e">
        <f>Raw!V65+"h_l!(cs"</f>
        <v>#VALUE!</v>
      </c>
      <c r="EZ176" t="e">
        <f>Raw!W65+"h_l!(ct"</f>
        <v>#VALUE!</v>
      </c>
      <c r="FA176" t="e">
        <f>Raw!A66+"h_l!(cu"</f>
        <v>#VALUE!</v>
      </c>
      <c r="FB176" t="e">
        <f>Raw!B66+"h_l!(cv"</f>
        <v>#VALUE!</v>
      </c>
      <c r="FC176" t="e">
        <f>Raw!C66+"h_l!(cw"</f>
        <v>#VALUE!</v>
      </c>
      <c r="FD176" t="e">
        <f>Raw!D66+"h_l!(cx"</f>
        <v>#VALUE!</v>
      </c>
      <c r="FE176" t="e">
        <f>Raw!E66+"h_l!(cy"</f>
        <v>#VALUE!</v>
      </c>
      <c r="FF176" t="e">
        <f>Raw!#REF!+"h_l!(cz"</f>
        <v>#REF!</v>
      </c>
      <c r="FG176" t="e">
        <f>Raw!G66+"h_l!(c{"</f>
        <v>#VALUE!</v>
      </c>
      <c r="FH176" t="e">
        <f>Raw!H66+"h_l!(c|"</f>
        <v>#VALUE!</v>
      </c>
      <c r="FI176" t="e">
        <f>Raw!I66+"h_l!(c}"</f>
        <v>#VALUE!</v>
      </c>
      <c r="FJ176" t="e">
        <f>Raw!J66+"h_l!(c~"</f>
        <v>#VALUE!</v>
      </c>
      <c r="FK176" t="e">
        <f>Raw!K66+"h_l!(d#"</f>
        <v>#VALUE!</v>
      </c>
      <c r="FL176" t="e">
        <f>Raw!L66+"h_l!(d$"</f>
        <v>#VALUE!</v>
      </c>
      <c r="FM176" t="e">
        <f>Raw!M66+"h_l!(d%"</f>
        <v>#VALUE!</v>
      </c>
      <c r="FN176" t="e">
        <f>Raw!N66+"h_l!(d&amp;"</f>
        <v>#VALUE!</v>
      </c>
      <c r="FO176" t="e">
        <f>Raw!O66+"h_l!(d'"</f>
        <v>#VALUE!</v>
      </c>
      <c r="FP176" t="e">
        <f>Raw!P66+"h_l!(d("</f>
        <v>#VALUE!</v>
      </c>
      <c r="FQ176" t="e">
        <f>Raw!Q66+"h_l!(d)"</f>
        <v>#VALUE!</v>
      </c>
      <c r="FR176" t="e">
        <f>Raw!R66+"h_l!(d."</f>
        <v>#VALUE!</v>
      </c>
      <c r="FS176" t="e">
        <f>Raw!S66+"h_l!(d/"</f>
        <v>#VALUE!</v>
      </c>
      <c r="FT176" t="e">
        <f>Raw!T66+"h_l!(d0"</f>
        <v>#VALUE!</v>
      </c>
      <c r="FU176" t="e">
        <f>Raw!U66+"h_l!(d1"</f>
        <v>#VALUE!</v>
      </c>
      <c r="FV176" t="e">
        <f>Raw!V66+"h_l!(d2"</f>
        <v>#VALUE!</v>
      </c>
      <c r="FW176" t="e">
        <f>Raw!W66+"h_l!(d3"</f>
        <v>#VALUE!</v>
      </c>
      <c r="FX176" t="e">
        <f>Raw!A67+"h_l!(d4"</f>
        <v>#VALUE!</v>
      </c>
      <c r="FY176" t="e">
        <f>Raw!B67+"h_l!(d5"</f>
        <v>#VALUE!</v>
      </c>
      <c r="FZ176" t="e">
        <f>Raw!C67+"h_l!(d6"</f>
        <v>#VALUE!</v>
      </c>
      <c r="GA176" t="e">
        <f>Raw!D67+"h_l!(d7"</f>
        <v>#VALUE!</v>
      </c>
      <c r="GB176" t="e">
        <f>Raw!E67+"h_l!(d8"</f>
        <v>#VALUE!</v>
      </c>
      <c r="GC176" t="e">
        <f>Raw!#REF!+"h_l!(d9"</f>
        <v>#REF!</v>
      </c>
      <c r="GD176" t="e">
        <f>Raw!G67+"h_l!(d:"</f>
        <v>#VALUE!</v>
      </c>
      <c r="GE176" t="e">
        <f>Raw!H67+"h_l!(d;"</f>
        <v>#VALUE!</v>
      </c>
      <c r="GF176" t="e">
        <f>Raw!I67+"h_l!(d&lt;"</f>
        <v>#VALUE!</v>
      </c>
      <c r="GG176" t="e">
        <f>Raw!J67+"h_l!(d="</f>
        <v>#VALUE!</v>
      </c>
      <c r="GH176" t="e">
        <f>Raw!K67+"h_l!(d&gt;"</f>
        <v>#VALUE!</v>
      </c>
      <c r="GI176" t="e">
        <f>Raw!L67+"h_l!(d?"</f>
        <v>#VALUE!</v>
      </c>
      <c r="GJ176" t="e">
        <f>Raw!M67+"h_l!(d@"</f>
        <v>#VALUE!</v>
      </c>
      <c r="GK176" t="e">
        <f>Raw!N67+"h_l!(dA"</f>
        <v>#VALUE!</v>
      </c>
      <c r="GL176" t="e">
        <f>Raw!O67+"h_l!(dB"</f>
        <v>#VALUE!</v>
      </c>
      <c r="GM176" t="e">
        <f>Raw!P67+"h_l!(dC"</f>
        <v>#VALUE!</v>
      </c>
      <c r="GN176" t="e">
        <f>Raw!Q67+"h_l!(dD"</f>
        <v>#VALUE!</v>
      </c>
      <c r="GO176" t="e">
        <f>Raw!R67+"h_l!(dE"</f>
        <v>#VALUE!</v>
      </c>
      <c r="GP176" t="e">
        <f>Raw!S67+"h_l!(dF"</f>
        <v>#VALUE!</v>
      </c>
      <c r="GQ176" t="e">
        <f>Raw!T67+"h_l!(dG"</f>
        <v>#VALUE!</v>
      </c>
      <c r="GR176" t="e">
        <f>Raw!U67+"h_l!(dH"</f>
        <v>#VALUE!</v>
      </c>
      <c r="GS176" t="e">
        <f>Raw!V67+"h_l!(dI"</f>
        <v>#VALUE!</v>
      </c>
      <c r="GT176" t="e">
        <f>Raw!W67+"h_l!(dJ"</f>
        <v>#VALUE!</v>
      </c>
      <c r="GU176" t="e">
        <f>Raw!A68+"h_l!(dK"</f>
        <v>#VALUE!</v>
      </c>
      <c r="GV176" t="e">
        <f>Raw!B68+"h_l!(dL"</f>
        <v>#VALUE!</v>
      </c>
      <c r="GW176" t="e">
        <f>Raw!C68+"h_l!(dM"</f>
        <v>#VALUE!</v>
      </c>
      <c r="GX176" t="e">
        <f>Raw!D68+"h_l!(dN"</f>
        <v>#VALUE!</v>
      </c>
      <c r="GY176" t="e">
        <f>Raw!E68+"h_l!(dO"</f>
        <v>#VALUE!</v>
      </c>
      <c r="GZ176" t="e">
        <f>Raw!#REF!+"h_l!(dP"</f>
        <v>#REF!</v>
      </c>
      <c r="HA176" t="e">
        <f>Raw!G68+"h_l!(dQ"</f>
        <v>#VALUE!</v>
      </c>
      <c r="HB176" t="e">
        <f>Raw!H68+"h_l!(dR"</f>
        <v>#VALUE!</v>
      </c>
      <c r="HC176" t="e">
        <f>Raw!I68+"h_l!(dS"</f>
        <v>#VALUE!</v>
      </c>
      <c r="HD176" t="e">
        <f>Raw!J68+"h_l!(dT"</f>
        <v>#VALUE!</v>
      </c>
      <c r="HE176" t="e">
        <f>Raw!K68+"h_l!(dU"</f>
        <v>#VALUE!</v>
      </c>
      <c r="HF176" t="e">
        <f>Raw!L68+"h_l!(dV"</f>
        <v>#VALUE!</v>
      </c>
      <c r="HG176" t="e">
        <f>Raw!M68+"h_l!(dW"</f>
        <v>#VALUE!</v>
      </c>
      <c r="HH176" t="e">
        <f>Raw!N68+"h_l!(dX"</f>
        <v>#VALUE!</v>
      </c>
      <c r="HI176" t="e">
        <f>Raw!O68+"h_l!(dY"</f>
        <v>#VALUE!</v>
      </c>
      <c r="HJ176" t="e">
        <f>Raw!P68+"h_l!(dZ"</f>
        <v>#VALUE!</v>
      </c>
      <c r="HK176" t="e">
        <f>Raw!Q68+"h_l!(d["</f>
        <v>#VALUE!</v>
      </c>
      <c r="HL176" t="e">
        <f>Raw!R68+"h_l!(d\"</f>
        <v>#VALUE!</v>
      </c>
      <c r="HM176" t="e">
        <f>Raw!S68+"h_l!(d]"</f>
        <v>#VALUE!</v>
      </c>
      <c r="HN176" t="e">
        <f>Raw!T68+"h_l!(d^"</f>
        <v>#VALUE!</v>
      </c>
      <c r="HO176" t="e">
        <f>Raw!U68+"h_l!(d_"</f>
        <v>#VALUE!</v>
      </c>
      <c r="HP176" t="e">
        <f>Raw!V68+"h_l!(d`"</f>
        <v>#VALUE!</v>
      </c>
      <c r="HQ176" t="e">
        <f>Raw!W68+"h_l!(da"</f>
        <v>#VALUE!</v>
      </c>
      <c r="HR176" t="e">
        <f>Raw!A69+"h_l!(db"</f>
        <v>#VALUE!</v>
      </c>
      <c r="HS176" t="e">
        <f>Raw!B69+"h_l!(dc"</f>
        <v>#VALUE!</v>
      </c>
      <c r="HT176" t="e">
        <f>Raw!C69+"h_l!(dd"</f>
        <v>#VALUE!</v>
      </c>
      <c r="HU176" t="e">
        <f>Raw!D69+"h_l!(de"</f>
        <v>#VALUE!</v>
      </c>
      <c r="HV176" t="e">
        <f>Raw!E69+"h_l!(df"</f>
        <v>#VALUE!</v>
      </c>
      <c r="HW176" t="e">
        <f>Raw!#REF!+"h_l!(dg"</f>
        <v>#REF!</v>
      </c>
      <c r="HX176" t="e">
        <f>Raw!G69+"h_l!(dh"</f>
        <v>#VALUE!</v>
      </c>
      <c r="HY176" t="e">
        <f>Raw!H69+"h_l!(di"</f>
        <v>#VALUE!</v>
      </c>
      <c r="HZ176" t="e">
        <f>Raw!I69+"h_l!(dj"</f>
        <v>#VALUE!</v>
      </c>
      <c r="IA176" t="e">
        <f>Raw!J69+"h_l!(dk"</f>
        <v>#VALUE!</v>
      </c>
      <c r="IB176" t="e">
        <f>Raw!K69+"h_l!(dl"</f>
        <v>#VALUE!</v>
      </c>
      <c r="IC176" t="e">
        <f>Raw!L69+"h_l!(dm"</f>
        <v>#VALUE!</v>
      </c>
      <c r="ID176" t="e">
        <f>Raw!M69+"h_l!(dn"</f>
        <v>#VALUE!</v>
      </c>
      <c r="IE176" t="e">
        <f>Raw!N69+"h_l!(do"</f>
        <v>#VALUE!</v>
      </c>
      <c r="IF176" t="e">
        <f>Raw!O69+"h_l!(dp"</f>
        <v>#VALUE!</v>
      </c>
      <c r="IG176" t="e">
        <f>Raw!P69+"h_l!(dq"</f>
        <v>#VALUE!</v>
      </c>
      <c r="IH176" t="e">
        <f>Raw!Q69+"h_l!(dr"</f>
        <v>#VALUE!</v>
      </c>
      <c r="II176" t="e">
        <f>Raw!R69+"h_l!(ds"</f>
        <v>#VALUE!</v>
      </c>
      <c r="IJ176" t="e">
        <f>Raw!S69+"h_l!(dt"</f>
        <v>#VALUE!</v>
      </c>
      <c r="IK176" t="e">
        <f>Raw!T69+"h_l!(du"</f>
        <v>#VALUE!</v>
      </c>
      <c r="IL176" t="e">
        <f>Raw!U69+"h_l!(dv"</f>
        <v>#VALUE!</v>
      </c>
      <c r="IM176" t="e">
        <f>Raw!V69+"h_l!(dw"</f>
        <v>#VALUE!</v>
      </c>
      <c r="IN176" t="e">
        <f>Raw!W69+"h_l!(dx"</f>
        <v>#VALUE!</v>
      </c>
      <c r="IO176" t="e">
        <f>Raw!A70+"h_l!(dy"</f>
        <v>#VALUE!</v>
      </c>
      <c r="IP176" t="e">
        <f>Raw!B70+"h_l!(dz"</f>
        <v>#VALUE!</v>
      </c>
      <c r="IQ176" t="e">
        <f>Raw!C70+"h_l!(d{"</f>
        <v>#VALUE!</v>
      </c>
      <c r="IR176" t="e">
        <f>Raw!D70+"h_l!(d|"</f>
        <v>#VALUE!</v>
      </c>
      <c r="IS176" t="e">
        <f>Raw!E70+"h_l!(d}"</f>
        <v>#VALUE!</v>
      </c>
      <c r="IT176" t="e">
        <f>Raw!#REF!+"h_l!(d~"</f>
        <v>#REF!</v>
      </c>
      <c r="IU176" t="e">
        <f>Raw!G70+"h_l!(e#"</f>
        <v>#VALUE!</v>
      </c>
      <c r="IV176" t="e">
        <f>Raw!H70+"h_l!(e$"</f>
        <v>#VALUE!</v>
      </c>
    </row>
    <row r="177" spans="6:256" x14ac:dyDescent="0.25">
      <c r="F177" t="e">
        <f>Raw!I70+"h_l!(e%"</f>
        <v>#VALUE!</v>
      </c>
      <c r="G177" t="e">
        <f>Raw!J70+"h_l!(e&amp;"</f>
        <v>#VALUE!</v>
      </c>
      <c r="H177" t="e">
        <f>Raw!K70+"h_l!(e'"</f>
        <v>#VALUE!</v>
      </c>
      <c r="I177" t="e">
        <f>Raw!L70+"h_l!(e("</f>
        <v>#VALUE!</v>
      </c>
      <c r="J177" t="e">
        <f>Raw!M70+"h_l!(e)"</f>
        <v>#VALUE!</v>
      </c>
      <c r="K177" t="e">
        <f>Raw!N70+"h_l!(e."</f>
        <v>#VALUE!</v>
      </c>
      <c r="L177" t="e">
        <f>Raw!O70+"h_l!(e/"</f>
        <v>#VALUE!</v>
      </c>
      <c r="M177" t="e">
        <f>Raw!P70+"h_l!(e0"</f>
        <v>#VALUE!</v>
      </c>
      <c r="N177" t="e">
        <f>Raw!Q70+"h_l!(e1"</f>
        <v>#VALUE!</v>
      </c>
      <c r="O177" t="e">
        <f>Raw!R70+"h_l!(e2"</f>
        <v>#VALUE!</v>
      </c>
      <c r="P177" t="e">
        <f>Raw!S70+"h_l!(e3"</f>
        <v>#VALUE!</v>
      </c>
      <c r="Q177" t="e">
        <f>Raw!T70+"h_l!(e4"</f>
        <v>#VALUE!</v>
      </c>
      <c r="R177" t="e">
        <f>Raw!U70+"h_l!(e5"</f>
        <v>#VALUE!</v>
      </c>
      <c r="S177" t="e">
        <f>Raw!V70+"h_l!(e6"</f>
        <v>#VALUE!</v>
      </c>
      <c r="T177" t="e">
        <f>Raw!W70+"h_l!(e7"</f>
        <v>#VALUE!</v>
      </c>
      <c r="U177" t="e">
        <f>Raw!A71+"h_l!(e8"</f>
        <v>#VALUE!</v>
      </c>
      <c r="V177" t="e">
        <f>Raw!B71+"h_l!(e9"</f>
        <v>#VALUE!</v>
      </c>
      <c r="W177" t="e">
        <f>Raw!C71+"h_l!(e:"</f>
        <v>#VALUE!</v>
      </c>
      <c r="X177" t="e">
        <f>Raw!D71+"h_l!(e;"</f>
        <v>#VALUE!</v>
      </c>
      <c r="Y177" t="e">
        <f>Raw!E71+"h_l!(e&lt;"</f>
        <v>#VALUE!</v>
      </c>
      <c r="Z177" t="e">
        <f>Raw!#REF!+"h_l!(e="</f>
        <v>#REF!</v>
      </c>
      <c r="AA177" t="e">
        <f>Raw!G71+"h_l!(e&gt;"</f>
        <v>#VALUE!</v>
      </c>
      <c r="AB177" t="e">
        <f>Raw!H71+"h_l!(e?"</f>
        <v>#VALUE!</v>
      </c>
      <c r="AC177" t="e">
        <f>Raw!I71+"h_l!(e@"</f>
        <v>#VALUE!</v>
      </c>
      <c r="AD177" t="e">
        <f>Raw!J71+"h_l!(eA"</f>
        <v>#VALUE!</v>
      </c>
      <c r="AE177" t="e">
        <f>Raw!K71+"h_l!(eB"</f>
        <v>#VALUE!</v>
      </c>
      <c r="AF177" t="e">
        <f>Raw!L71+"h_l!(eC"</f>
        <v>#VALUE!</v>
      </c>
      <c r="AG177" t="e">
        <f>Raw!M71+"h_l!(eD"</f>
        <v>#VALUE!</v>
      </c>
      <c r="AH177" t="e">
        <f>Raw!N71+"h_l!(eE"</f>
        <v>#VALUE!</v>
      </c>
      <c r="AI177" t="e">
        <f>Raw!O71+"h_l!(eF"</f>
        <v>#VALUE!</v>
      </c>
      <c r="AJ177" t="e">
        <f>Raw!P71+"h_l!(eG"</f>
        <v>#VALUE!</v>
      </c>
      <c r="AK177" t="e">
        <f>Raw!Q71+"h_l!(eH"</f>
        <v>#VALUE!</v>
      </c>
      <c r="AL177" t="e">
        <f>Raw!R71+"h_l!(eI"</f>
        <v>#VALUE!</v>
      </c>
      <c r="AM177" t="e">
        <f>Raw!S71+"h_l!(eJ"</f>
        <v>#VALUE!</v>
      </c>
      <c r="AN177" t="e">
        <f>Raw!T71+"h_l!(eK"</f>
        <v>#VALUE!</v>
      </c>
      <c r="AO177" t="e">
        <f>Raw!U71+"h_l!(eL"</f>
        <v>#VALUE!</v>
      </c>
      <c r="AP177" t="e">
        <f>Raw!V71+"h_l!(eM"</f>
        <v>#VALUE!</v>
      </c>
      <c r="AQ177" t="e">
        <f>Raw!W71+"h_l!(eN"</f>
        <v>#VALUE!</v>
      </c>
      <c r="AR177" t="e">
        <f>Raw!A72+"h_l!(eO"</f>
        <v>#VALUE!</v>
      </c>
      <c r="AS177" t="e">
        <f>Raw!B72+"h_l!(eP"</f>
        <v>#VALUE!</v>
      </c>
      <c r="AT177" t="e">
        <f>Raw!C72+"h_l!(eQ"</f>
        <v>#VALUE!</v>
      </c>
      <c r="AU177" t="e">
        <f>Raw!D72+"h_l!(eR"</f>
        <v>#VALUE!</v>
      </c>
      <c r="AV177" t="e">
        <f>Raw!E72+"h_l!(eS"</f>
        <v>#VALUE!</v>
      </c>
      <c r="AW177" t="e">
        <f>Raw!#REF!+"h_l!(eT"</f>
        <v>#REF!</v>
      </c>
      <c r="AX177" t="e">
        <f>Raw!G72+"h_l!(eU"</f>
        <v>#VALUE!</v>
      </c>
      <c r="AY177" t="e">
        <f>Raw!H72+"h_l!(eV"</f>
        <v>#VALUE!</v>
      </c>
      <c r="AZ177" t="e">
        <f>Raw!I72+"h_l!(eW"</f>
        <v>#VALUE!</v>
      </c>
      <c r="BA177" t="e">
        <f>Raw!J72+"h_l!(eX"</f>
        <v>#VALUE!</v>
      </c>
      <c r="BB177" t="e">
        <f>Raw!K72+"h_l!(eY"</f>
        <v>#VALUE!</v>
      </c>
      <c r="BC177" t="e">
        <f>Raw!L72+"h_l!(eZ"</f>
        <v>#VALUE!</v>
      </c>
      <c r="BD177" t="e">
        <f>Raw!M72+"h_l!(e["</f>
        <v>#VALUE!</v>
      </c>
      <c r="BE177" t="e">
        <f>Raw!N72+"h_l!(e\"</f>
        <v>#VALUE!</v>
      </c>
      <c r="BF177" t="e">
        <f>Raw!O72+"h_l!(e]"</f>
        <v>#VALUE!</v>
      </c>
      <c r="BG177" t="e">
        <f>Raw!P72+"h_l!(e^"</f>
        <v>#VALUE!</v>
      </c>
      <c r="BH177" t="e">
        <f>Raw!Q72+"h_l!(e_"</f>
        <v>#VALUE!</v>
      </c>
      <c r="BI177" t="e">
        <f>Raw!R72+"h_l!(e`"</f>
        <v>#VALUE!</v>
      </c>
      <c r="BJ177" t="e">
        <f>Raw!S72+"h_l!(ea"</f>
        <v>#VALUE!</v>
      </c>
      <c r="BK177" t="e">
        <f>Raw!T72+"h_l!(eb"</f>
        <v>#VALUE!</v>
      </c>
      <c r="BL177" t="e">
        <f>Raw!U72+"h_l!(ec"</f>
        <v>#VALUE!</v>
      </c>
      <c r="BM177" t="e">
        <f>Raw!V72+"h_l!(ed"</f>
        <v>#VALUE!</v>
      </c>
      <c r="BN177" t="e">
        <f>Raw!W72+"h_l!(ee"</f>
        <v>#VALUE!</v>
      </c>
      <c r="BO177" t="e">
        <f>Raw!A73+"h_l!(ef"</f>
        <v>#VALUE!</v>
      </c>
      <c r="BP177" t="e">
        <f>Raw!B73+"h_l!(eg"</f>
        <v>#VALUE!</v>
      </c>
      <c r="BQ177" t="e">
        <f>Raw!C73+"h_l!(eh"</f>
        <v>#VALUE!</v>
      </c>
      <c r="BR177" t="e">
        <f>Raw!D73+"h_l!(ei"</f>
        <v>#VALUE!</v>
      </c>
      <c r="BS177" t="e">
        <f>Raw!E73+"h_l!(ej"</f>
        <v>#VALUE!</v>
      </c>
      <c r="BT177" t="e">
        <f>Raw!#REF!+"h_l!(ek"</f>
        <v>#REF!</v>
      </c>
      <c r="BU177" t="e">
        <f>Raw!G73+"h_l!(el"</f>
        <v>#VALUE!</v>
      </c>
      <c r="BV177" t="e">
        <f>Raw!H73+"h_l!(em"</f>
        <v>#VALUE!</v>
      </c>
      <c r="BW177" t="e">
        <f>Raw!I73+"h_l!(en"</f>
        <v>#VALUE!</v>
      </c>
      <c r="BX177" t="e">
        <f>Raw!J73+"h_l!(eo"</f>
        <v>#VALUE!</v>
      </c>
      <c r="BY177" t="e">
        <f>Raw!K73+"h_l!(ep"</f>
        <v>#VALUE!</v>
      </c>
      <c r="BZ177" t="e">
        <f>Raw!L73+"h_l!(eq"</f>
        <v>#VALUE!</v>
      </c>
      <c r="CA177" t="e">
        <f>Raw!M73+"h_l!(er"</f>
        <v>#VALUE!</v>
      </c>
      <c r="CB177" t="e">
        <f>Raw!N73+"h_l!(es"</f>
        <v>#VALUE!</v>
      </c>
      <c r="CC177" t="e">
        <f>Raw!O73+"h_l!(et"</f>
        <v>#VALUE!</v>
      </c>
      <c r="CD177" t="e">
        <f>Raw!P73+"h_l!(eu"</f>
        <v>#VALUE!</v>
      </c>
      <c r="CE177" t="e">
        <f>Raw!Q73+"h_l!(ev"</f>
        <v>#VALUE!</v>
      </c>
      <c r="CF177" t="e">
        <f>Raw!R73+"h_l!(ew"</f>
        <v>#VALUE!</v>
      </c>
      <c r="CG177" t="e">
        <f>Raw!S73+"h_l!(ex"</f>
        <v>#VALUE!</v>
      </c>
      <c r="CH177" t="e">
        <f>Raw!T73+"h_l!(ey"</f>
        <v>#VALUE!</v>
      </c>
      <c r="CI177" t="e">
        <f>Raw!U73+"h_l!(ez"</f>
        <v>#VALUE!</v>
      </c>
      <c r="CJ177" t="e">
        <f>Raw!V73+"h_l!(e{"</f>
        <v>#VALUE!</v>
      </c>
      <c r="CK177" t="e">
        <f>Raw!W73+"h_l!(e|"</f>
        <v>#VALUE!</v>
      </c>
      <c r="CL177" t="e">
        <f>Raw!A74+"h_l!(e}"</f>
        <v>#VALUE!</v>
      </c>
      <c r="CM177" t="e">
        <f>Raw!B74+"h_l!(e~"</f>
        <v>#VALUE!</v>
      </c>
      <c r="CN177" t="e">
        <f>Raw!C74+"h_l!(f#"</f>
        <v>#VALUE!</v>
      </c>
      <c r="CO177" t="e">
        <f>Raw!D74+"h_l!(f$"</f>
        <v>#VALUE!</v>
      </c>
      <c r="CP177" t="e">
        <f>Raw!E74+"h_l!(f%"</f>
        <v>#VALUE!</v>
      </c>
      <c r="CQ177" t="e">
        <f>Raw!#REF!+"h_l!(f&amp;"</f>
        <v>#REF!</v>
      </c>
      <c r="CR177" t="e">
        <f>Raw!G74+"h_l!(f'"</f>
        <v>#VALUE!</v>
      </c>
      <c r="CS177" t="e">
        <f>Raw!H74+"h_l!(f("</f>
        <v>#VALUE!</v>
      </c>
      <c r="CT177" t="e">
        <f>Raw!I74+"h_l!(f)"</f>
        <v>#VALUE!</v>
      </c>
      <c r="CU177" t="e">
        <f>Raw!J74+"h_l!(f."</f>
        <v>#VALUE!</v>
      </c>
      <c r="CV177" t="e">
        <f>Raw!K74+"h_l!(f/"</f>
        <v>#VALUE!</v>
      </c>
      <c r="CW177" t="e">
        <f>Raw!L74+"h_l!(f0"</f>
        <v>#VALUE!</v>
      </c>
      <c r="CX177" t="e">
        <f>Raw!M74+"h_l!(f1"</f>
        <v>#VALUE!</v>
      </c>
      <c r="CY177" t="e">
        <f>Raw!N74+"h_l!(f2"</f>
        <v>#VALUE!</v>
      </c>
      <c r="CZ177" t="e">
        <f>Raw!O74+"h_l!(f3"</f>
        <v>#VALUE!</v>
      </c>
      <c r="DA177" t="e">
        <f>Raw!P74+"h_l!(f4"</f>
        <v>#VALUE!</v>
      </c>
      <c r="DB177" t="e">
        <f>Raw!Q74+"h_l!(f5"</f>
        <v>#VALUE!</v>
      </c>
      <c r="DC177" t="e">
        <f>Raw!R74+"h_l!(f6"</f>
        <v>#VALUE!</v>
      </c>
      <c r="DD177" t="e">
        <f>Raw!S74+"h_l!(f7"</f>
        <v>#VALUE!</v>
      </c>
      <c r="DE177" t="e">
        <f>Raw!T74+"h_l!(f8"</f>
        <v>#VALUE!</v>
      </c>
      <c r="DF177" t="e">
        <f>Raw!U74+"h_l!(f9"</f>
        <v>#VALUE!</v>
      </c>
      <c r="DG177" t="e">
        <f>Raw!V74+"h_l!(f:"</f>
        <v>#VALUE!</v>
      </c>
      <c r="DH177" t="e">
        <f>Raw!W74+"h_l!(f;"</f>
        <v>#VALUE!</v>
      </c>
      <c r="DI177" t="e">
        <f>Raw!A75+"h_l!(f&lt;"</f>
        <v>#VALUE!</v>
      </c>
      <c r="DJ177" t="e">
        <f>Raw!B75+"h_l!(f="</f>
        <v>#VALUE!</v>
      </c>
      <c r="DK177" t="e">
        <f>Raw!C75+"h_l!(f&gt;"</f>
        <v>#VALUE!</v>
      </c>
      <c r="DL177" t="e">
        <f>Raw!D75+"h_l!(f?"</f>
        <v>#VALUE!</v>
      </c>
      <c r="DM177" t="e">
        <f>Raw!E75+"h_l!(f@"</f>
        <v>#VALUE!</v>
      </c>
      <c r="DN177" t="e">
        <f>Raw!#REF!+"h_l!(fA"</f>
        <v>#REF!</v>
      </c>
      <c r="DO177" t="e">
        <f>Raw!G75+"h_l!(fB"</f>
        <v>#VALUE!</v>
      </c>
      <c r="DP177" t="e">
        <f>Raw!H75+"h_l!(fC"</f>
        <v>#VALUE!</v>
      </c>
      <c r="DQ177" t="e">
        <f>Raw!I75+"h_l!(fD"</f>
        <v>#VALUE!</v>
      </c>
      <c r="DR177" t="e">
        <f>Raw!J75+"h_l!(fE"</f>
        <v>#VALUE!</v>
      </c>
      <c r="DS177" t="e">
        <f>Raw!K75+"h_l!(fF"</f>
        <v>#VALUE!</v>
      </c>
      <c r="DT177" t="e">
        <f>Raw!L75+"h_l!(fG"</f>
        <v>#VALUE!</v>
      </c>
      <c r="DU177" t="e">
        <f>Raw!M75+"h_l!(fH"</f>
        <v>#VALUE!</v>
      </c>
      <c r="DV177" t="e">
        <f>Raw!N75+"h_l!(fI"</f>
        <v>#VALUE!</v>
      </c>
      <c r="DW177" t="e">
        <f>Raw!O75+"h_l!(fJ"</f>
        <v>#VALUE!</v>
      </c>
      <c r="DX177" t="e">
        <f>Raw!P75+"h_l!(fK"</f>
        <v>#VALUE!</v>
      </c>
      <c r="DY177" t="e">
        <f>Raw!Q75+"h_l!(fL"</f>
        <v>#VALUE!</v>
      </c>
      <c r="DZ177" t="e">
        <f>Raw!R75+"h_l!(fM"</f>
        <v>#VALUE!</v>
      </c>
      <c r="EA177" t="e">
        <f>Raw!S75+"h_l!(fN"</f>
        <v>#VALUE!</v>
      </c>
      <c r="EB177" t="e">
        <f>Raw!T75+"h_l!(fO"</f>
        <v>#VALUE!</v>
      </c>
      <c r="EC177" t="e">
        <f>Raw!U75+"h_l!(fP"</f>
        <v>#VALUE!</v>
      </c>
      <c r="ED177" t="e">
        <f>Raw!V75+"h_l!(fQ"</f>
        <v>#VALUE!</v>
      </c>
      <c r="EE177" t="e">
        <f>Raw!W75+"h_l!(fR"</f>
        <v>#VALUE!</v>
      </c>
      <c r="EF177" t="e">
        <f>Raw!A76+"h_l!(fS"</f>
        <v>#VALUE!</v>
      </c>
      <c r="EG177" t="e">
        <f>Raw!B76+"h_l!(fT"</f>
        <v>#VALUE!</v>
      </c>
      <c r="EH177" t="e">
        <f>Raw!C76+"h_l!(fU"</f>
        <v>#VALUE!</v>
      </c>
      <c r="EI177" t="e">
        <f>Raw!D76+"h_l!(fV"</f>
        <v>#VALUE!</v>
      </c>
      <c r="EJ177" t="e">
        <f>Raw!E76+"h_l!(fW"</f>
        <v>#VALUE!</v>
      </c>
      <c r="EK177" t="e">
        <f>Raw!#REF!+"h_l!(fX"</f>
        <v>#REF!</v>
      </c>
      <c r="EL177" t="e">
        <f>Raw!G76+"h_l!(fY"</f>
        <v>#VALUE!</v>
      </c>
      <c r="EM177" t="e">
        <f>Raw!H76+"h_l!(fZ"</f>
        <v>#VALUE!</v>
      </c>
      <c r="EN177" t="e">
        <f>Raw!I76+"h_l!(f["</f>
        <v>#VALUE!</v>
      </c>
      <c r="EO177" t="e">
        <f>Raw!J76+"h_l!(f\"</f>
        <v>#VALUE!</v>
      </c>
      <c r="EP177" t="e">
        <f>Raw!K76+"h_l!(f]"</f>
        <v>#VALUE!</v>
      </c>
      <c r="EQ177" t="e">
        <f>Raw!L76+"h_l!(f^"</f>
        <v>#VALUE!</v>
      </c>
      <c r="ER177" t="e">
        <f>Raw!M76+"h_l!(f_"</f>
        <v>#VALUE!</v>
      </c>
      <c r="ES177" t="e">
        <f>Raw!N76+"h_l!(f`"</f>
        <v>#VALUE!</v>
      </c>
      <c r="ET177" t="e">
        <f>Raw!O76+"h_l!(fa"</f>
        <v>#VALUE!</v>
      </c>
      <c r="EU177" t="e">
        <f>Raw!P76+"h_l!(fb"</f>
        <v>#VALUE!</v>
      </c>
      <c r="EV177" t="e">
        <f>Raw!Q76+"h_l!(fc"</f>
        <v>#VALUE!</v>
      </c>
      <c r="EW177" t="e">
        <f>Raw!R76+"h_l!(fd"</f>
        <v>#VALUE!</v>
      </c>
      <c r="EX177" t="e">
        <f>Raw!S76+"h_l!(fe"</f>
        <v>#VALUE!</v>
      </c>
      <c r="EY177" t="e">
        <f>Raw!T76+"h_l!(ff"</f>
        <v>#VALUE!</v>
      </c>
      <c r="EZ177" t="e">
        <f>Raw!U76+"h_l!(fg"</f>
        <v>#VALUE!</v>
      </c>
      <c r="FA177" t="e">
        <f>Raw!V76+"h_l!(fh"</f>
        <v>#VALUE!</v>
      </c>
      <c r="FB177" t="e">
        <f>Raw!W76+"h_l!(fi"</f>
        <v>#VALUE!</v>
      </c>
      <c r="FC177" t="e">
        <f>Raw!A77+"h_l!(fj"</f>
        <v>#VALUE!</v>
      </c>
      <c r="FD177" t="e">
        <f>Raw!B77+"h_l!(fk"</f>
        <v>#VALUE!</v>
      </c>
      <c r="FE177" t="e">
        <f>Raw!C77+"h_l!(fl"</f>
        <v>#VALUE!</v>
      </c>
      <c r="FF177" t="e">
        <f>Raw!D77+"h_l!(fm"</f>
        <v>#VALUE!</v>
      </c>
      <c r="FG177" t="e">
        <f>Raw!E77+"h_l!(fn"</f>
        <v>#VALUE!</v>
      </c>
      <c r="FH177" t="e">
        <f>Raw!#REF!+"h_l!(fo"</f>
        <v>#REF!</v>
      </c>
      <c r="FI177" t="e">
        <f>Raw!G77+"h_l!(fp"</f>
        <v>#VALUE!</v>
      </c>
      <c r="FJ177" t="e">
        <f>Raw!H77+"h_l!(fq"</f>
        <v>#VALUE!</v>
      </c>
      <c r="FK177" t="e">
        <f>Raw!I77+"h_l!(fr"</f>
        <v>#VALUE!</v>
      </c>
      <c r="FL177" t="e">
        <f>Raw!J77+"h_l!(fs"</f>
        <v>#VALUE!</v>
      </c>
      <c r="FM177" t="e">
        <f>Raw!K77+"h_l!(ft"</f>
        <v>#VALUE!</v>
      </c>
      <c r="FN177" t="e">
        <f>Raw!L77+"h_l!(fu"</f>
        <v>#VALUE!</v>
      </c>
      <c r="FO177" t="e">
        <f>Raw!M77+"h_l!(fv"</f>
        <v>#VALUE!</v>
      </c>
      <c r="FP177" t="e">
        <f>Raw!N77+"h_l!(fw"</f>
        <v>#VALUE!</v>
      </c>
      <c r="FQ177" t="e">
        <f>Raw!O77+"h_l!(fx"</f>
        <v>#VALUE!</v>
      </c>
      <c r="FR177" t="e">
        <f>Raw!P77+"h_l!(fy"</f>
        <v>#VALUE!</v>
      </c>
      <c r="FS177" t="e">
        <f>Raw!Q77+"h_l!(fz"</f>
        <v>#VALUE!</v>
      </c>
      <c r="FT177" t="e">
        <f>Raw!R77+"h_l!(f{"</f>
        <v>#VALUE!</v>
      </c>
      <c r="FU177" t="e">
        <f>Raw!S77+"h_l!(f|"</f>
        <v>#VALUE!</v>
      </c>
      <c r="FV177" t="e">
        <f>Raw!T77+"h_l!(f}"</f>
        <v>#VALUE!</v>
      </c>
      <c r="FW177" t="e">
        <f>Raw!U77+"h_l!(f~"</f>
        <v>#VALUE!</v>
      </c>
      <c r="FX177" t="e">
        <f>Raw!V77+"h_l!(g#"</f>
        <v>#VALUE!</v>
      </c>
      <c r="FY177" t="e">
        <f>Raw!W77+"h_l!(g$"</f>
        <v>#VALUE!</v>
      </c>
      <c r="FZ177" t="e">
        <f>Raw!A78+"h_l!(g%"</f>
        <v>#VALUE!</v>
      </c>
      <c r="GA177" t="e">
        <f>Raw!B78+"h_l!(g&amp;"</f>
        <v>#VALUE!</v>
      </c>
      <c r="GB177" t="e">
        <f>Raw!C78+"h_l!(g'"</f>
        <v>#VALUE!</v>
      </c>
      <c r="GC177" t="e">
        <f>Raw!D78+"h_l!(g("</f>
        <v>#VALUE!</v>
      </c>
      <c r="GD177" t="e">
        <f>Raw!E78+"h_l!(g)"</f>
        <v>#VALUE!</v>
      </c>
      <c r="GE177" t="e">
        <f>Raw!#REF!+"h_l!(g."</f>
        <v>#REF!</v>
      </c>
      <c r="GF177" t="e">
        <f>Raw!G78+"h_l!(g/"</f>
        <v>#VALUE!</v>
      </c>
      <c r="GG177" t="e">
        <f>Raw!H78+"h_l!(g0"</f>
        <v>#VALUE!</v>
      </c>
      <c r="GH177" t="e">
        <f>Raw!I78+"h_l!(g1"</f>
        <v>#VALUE!</v>
      </c>
      <c r="GI177" t="e">
        <f>Raw!J78+"h_l!(g2"</f>
        <v>#VALUE!</v>
      </c>
      <c r="GJ177" t="e">
        <f>Raw!K78+"h_l!(g3"</f>
        <v>#VALUE!</v>
      </c>
      <c r="GK177" t="e">
        <f>Raw!L78+"h_l!(g4"</f>
        <v>#VALUE!</v>
      </c>
      <c r="GL177" t="e">
        <f>Raw!M78+"h_l!(g5"</f>
        <v>#VALUE!</v>
      </c>
      <c r="GM177" t="e">
        <f>Raw!N78+"h_l!(g6"</f>
        <v>#VALUE!</v>
      </c>
      <c r="GN177" t="e">
        <f>Raw!O78+"h_l!(g7"</f>
        <v>#VALUE!</v>
      </c>
      <c r="GO177" t="e">
        <f>Raw!P78+"h_l!(g8"</f>
        <v>#VALUE!</v>
      </c>
      <c r="GP177" t="e">
        <f>Raw!Q78+"h_l!(g9"</f>
        <v>#VALUE!</v>
      </c>
      <c r="GQ177" t="e">
        <f>Raw!R78+"h_l!(g:"</f>
        <v>#VALUE!</v>
      </c>
      <c r="GR177" t="e">
        <f>Raw!S78+"h_l!(g;"</f>
        <v>#VALUE!</v>
      </c>
      <c r="GS177" t="e">
        <f>Raw!T78+"h_l!(g&lt;"</f>
        <v>#VALUE!</v>
      </c>
      <c r="GT177" t="e">
        <f>Raw!U78+"h_l!(g="</f>
        <v>#VALUE!</v>
      </c>
      <c r="GU177" t="e">
        <f>Raw!V78+"h_l!(g&gt;"</f>
        <v>#VALUE!</v>
      </c>
      <c r="GV177" t="e">
        <f>Raw!W78+"h_l!(g?"</f>
        <v>#VALUE!</v>
      </c>
      <c r="GW177" t="e">
        <f>Raw!A79+"h_l!(g@"</f>
        <v>#VALUE!</v>
      </c>
      <c r="GX177" t="e">
        <f>Raw!B79+"h_l!(gA"</f>
        <v>#VALUE!</v>
      </c>
      <c r="GY177" t="e">
        <f>Raw!C79+"h_l!(gB"</f>
        <v>#VALUE!</v>
      </c>
      <c r="GZ177" t="e">
        <f>Raw!D79+"h_l!(gC"</f>
        <v>#VALUE!</v>
      </c>
      <c r="HA177" t="e">
        <f>Raw!E79+"h_l!(gD"</f>
        <v>#VALUE!</v>
      </c>
      <c r="HB177" t="e">
        <f>Raw!#REF!+"h_l!(gE"</f>
        <v>#REF!</v>
      </c>
      <c r="HC177" t="e">
        <f>Raw!G79+"h_l!(gF"</f>
        <v>#VALUE!</v>
      </c>
      <c r="HD177" t="e">
        <f>Raw!H79+"h_l!(gG"</f>
        <v>#VALUE!</v>
      </c>
      <c r="HE177" t="e">
        <f>Raw!I79+"h_l!(gH"</f>
        <v>#VALUE!</v>
      </c>
      <c r="HF177" t="e">
        <f>Raw!J79+"h_l!(gI"</f>
        <v>#VALUE!</v>
      </c>
      <c r="HG177" t="e">
        <f>Raw!K79+"h_l!(gJ"</f>
        <v>#VALUE!</v>
      </c>
      <c r="HH177" t="e">
        <f>Raw!L79+"h_l!(gK"</f>
        <v>#VALUE!</v>
      </c>
      <c r="HI177" t="e">
        <f>Raw!M79+"h_l!(gL"</f>
        <v>#VALUE!</v>
      </c>
      <c r="HJ177" t="e">
        <f>Raw!N79+"h_l!(gM"</f>
        <v>#VALUE!</v>
      </c>
      <c r="HK177" t="e">
        <f>Raw!O79+"h_l!(gN"</f>
        <v>#VALUE!</v>
      </c>
      <c r="HL177" t="e">
        <f>Raw!P79+"h_l!(gO"</f>
        <v>#VALUE!</v>
      </c>
      <c r="HM177" t="e">
        <f>Raw!Q79+"h_l!(gP"</f>
        <v>#VALUE!</v>
      </c>
      <c r="HN177" t="e">
        <f>Raw!R79+"h_l!(gQ"</f>
        <v>#VALUE!</v>
      </c>
      <c r="HO177" t="e">
        <f>Raw!S79+"h_l!(gR"</f>
        <v>#VALUE!</v>
      </c>
      <c r="HP177" t="e">
        <f>Raw!T79+"h_l!(gS"</f>
        <v>#VALUE!</v>
      </c>
      <c r="HQ177" t="e">
        <f>Raw!U79+"h_l!(gT"</f>
        <v>#VALUE!</v>
      </c>
      <c r="HR177" t="e">
        <f>Raw!V79+"h_l!(gU"</f>
        <v>#VALUE!</v>
      </c>
      <c r="HS177" t="e">
        <f>Raw!W79+"h_l!(gV"</f>
        <v>#VALUE!</v>
      </c>
      <c r="HT177" t="e">
        <f>Raw!A80+"h_l!(gW"</f>
        <v>#VALUE!</v>
      </c>
      <c r="HU177" t="e">
        <f>Raw!B80+"h_l!(gX"</f>
        <v>#VALUE!</v>
      </c>
      <c r="HV177" t="e">
        <f>Raw!C80+"h_l!(gY"</f>
        <v>#VALUE!</v>
      </c>
      <c r="HW177" t="e">
        <f>Raw!D80+"h_l!(gZ"</f>
        <v>#VALUE!</v>
      </c>
      <c r="HX177" t="e">
        <f>Raw!E80+"h_l!(g["</f>
        <v>#VALUE!</v>
      </c>
      <c r="HY177" t="e">
        <f>Raw!#REF!+"h_l!(g\"</f>
        <v>#REF!</v>
      </c>
      <c r="HZ177" t="e">
        <f>Raw!G80+"h_l!(g]"</f>
        <v>#VALUE!</v>
      </c>
      <c r="IA177" t="e">
        <f>Raw!H80+"h_l!(g^"</f>
        <v>#VALUE!</v>
      </c>
      <c r="IB177" t="e">
        <f>Raw!I80+"h_l!(g_"</f>
        <v>#VALUE!</v>
      </c>
      <c r="IC177" t="e">
        <f>Raw!J80+"h_l!(g`"</f>
        <v>#VALUE!</v>
      </c>
      <c r="ID177" t="e">
        <f>Raw!K80+"h_l!(ga"</f>
        <v>#VALUE!</v>
      </c>
      <c r="IE177" t="e">
        <f>Raw!L80+"h_l!(gb"</f>
        <v>#VALUE!</v>
      </c>
      <c r="IF177" t="e">
        <f>Raw!M80+"h_l!(gc"</f>
        <v>#VALUE!</v>
      </c>
      <c r="IG177" t="e">
        <f>Raw!N80+"h_l!(gd"</f>
        <v>#VALUE!</v>
      </c>
      <c r="IH177" t="e">
        <f>Raw!O80+"h_l!(ge"</f>
        <v>#VALUE!</v>
      </c>
      <c r="II177" t="e">
        <f>Raw!P80+"h_l!(gf"</f>
        <v>#VALUE!</v>
      </c>
      <c r="IJ177" t="e">
        <f>Raw!Q80+"h_l!(gg"</f>
        <v>#VALUE!</v>
      </c>
      <c r="IK177" t="e">
        <f>Raw!R80+"h_l!(gh"</f>
        <v>#VALUE!</v>
      </c>
      <c r="IL177" t="e">
        <f>Raw!S80+"h_l!(gi"</f>
        <v>#VALUE!</v>
      </c>
      <c r="IM177" t="e">
        <f>Raw!T80+"h_l!(gj"</f>
        <v>#VALUE!</v>
      </c>
      <c r="IN177" t="e">
        <f>Raw!U80+"h_l!(gk"</f>
        <v>#VALUE!</v>
      </c>
      <c r="IO177" t="e">
        <f>Raw!V80+"h_l!(gl"</f>
        <v>#VALUE!</v>
      </c>
      <c r="IP177" t="e">
        <f>Raw!W80+"h_l!(gm"</f>
        <v>#VALUE!</v>
      </c>
      <c r="IQ177" t="e">
        <f>Raw!A81+"h_l!(gn"</f>
        <v>#VALUE!</v>
      </c>
      <c r="IR177" t="e">
        <f>Raw!B81+"h_l!(go"</f>
        <v>#VALUE!</v>
      </c>
      <c r="IS177" t="e">
        <f>Raw!C81+"h_l!(gp"</f>
        <v>#VALUE!</v>
      </c>
      <c r="IT177" t="e">
        <f>Raw!D81+"h_l!(gq"</f>
        <v>#VALUE!</v>
      </c>
      <c r="IU177" t="e">
        <f>Raw!E81+"h_l!(gr"</f>
        <v>#VALUE!</v>
      </c>
      <c r="IV177" t="e">
        <f>Raw!#REF!+"h_l!(gs"</f>
        <v>#REF!</v>
      </c>
    </row>
    <row r="178" spans="6:256" x14ac:dyDescent="0.25">
      <c r="F178" t="e">
        <f>Raw!G81+"h_l!(gt"</f>
        <v>#VALUE!</v>
      </c>
      <c r="G178" t="e">
        <f>Raw!H81+"h_l!(gu"</f>
        <v>#VALUE!</v>
      </c>
      <c r="H178" t="e">
        <f>Raw!I81+"h_l!(gv"</f>
        <v>#VALUE!</v>
      </c>
      <c r="I178" t="e">
        <f>Raw!J81+"h_l!(gw"</f>
        <v>#VALUE!</v>
      </c>
      <c r="J178" t="e">
        <f>Raw!K81+"h_l!(gx"</f>
        <v>#VALUE!</v>
      </c>
      <c r="K178" t="e">
        <f>Raw!L81+"h_l!(gy"</f>
        <v>#VALUE!</v>
      </c>
      <c r="L178" t="e">
        <f>Raw!M81+"h_l!(gz"</f>
        <v>#VALUE!</v>
      </c>
      <c r="M178" t="e">
        <f>Raw!N81+"h_l!(g{"</f>
        <v>#VALUE!</v>
      </c>
      <c r="N178" t="e">
        <f>Raw!O81+"h_l!(g|"</f>
        <v>#VALUE!</v>
      </c>
      <c r="O178" t="e">
        <f>Raw!P81+"h_l!(g}"</f>
        <v>#VALUE!</v>
      </c>
      <c r="P178" t="e">
        <f>Raw!Q81+"h_l!(g~"</f>
        <v>#VALUE!</v>
      </c>
      <c r="Q178" t="e">
        <f>Raw!R81+"h_l!(h#"</f>
        <v>#VALUE!</v>
      </c>
      <c r="R178" t="e">
        <f>Raw!S81+"h_l!(h$"</f>
        <v>#VALUE!</v>
      </c>
      <c r="S178" t="e">
        <f>Raw!T81+"h_l!(h%"</f>
        <v>#VALUE!</v>
      </c>
      <c r="T178" t="e">
        <f>Raw!U81+"h_l!(h&amp;"</f>
        <v>#VALUE!</v>
      </c>
      <c r="U178" t="e">
        <f>Raw!V81+"h_l!(h'"</f>
        <v>#VALUE!</v>
      </c>
      <c r="V178" t="e">
        <f>Raw!W81+"h_l!(h("</f>
        <v>#VALUE!</v>
      </c>
      <c r="W178" t="e">
        <f>Raw!A82+"h_l!(h)"</f>
        <v>#VALUE!</v>
      </c>
      <c r="X178" t="e">
        <f>Raw!B82+"h_l!(h."</f>
        <v>#VALUE!</v>
      </c>
      <c r="Y178" t="e">
        <f>Raw!C82+"h_l!(h/"</f>
        <v>#VALUE!</v>
      </c>
      <c r="Z178" t="e">
        <f>Raw!D82+"h_l!(h0"</f>
        <v>#VALUE!</v>
      </c>
      <c r="AA178" t="e">
        <f>Raw!E82+"h_l!(h1"</f>
        <v>#VALUE!</v>
      </c>
      <c r="AB178" t="e">
        <f>Raw!#REF!+"h_l!(h2"</f>
        <v>#REF!</v>
      </c>
      <c r="AC178" t="e">
        <f>Raw!G82+"h_l!(h3"</f>
        <v>#VALUE!</v>
      </c>
      <c r="AD178" t="e">
        <f>Raw!H82+"h_l!(h4"</f>
        <v>#VALUE!</v>
      </c>
      <c r="AE178" t="e">
        <f>Raw!I82+"h_l!(h5"</f>
        <v>#VALUE!</v>
      </c>
      <c r="AF178" t="e">
        <f>Raw!J82+"h_l!(h6"</f>
        <v>#VALUE!</v>
      </c>
      <c r="AG178" t="e">
        <f>Raw!K82+"h_l!(h7"</f>
        <v>#VALUE!</v>
      </c>
      <c r="AH178" t="e">
        <f>Raw!L82+"h_l!(h8"</f>
        <v>#VALUE!</v>
      </c>
      <c r="AI178" t="e">
        <f>Raw!M82+"h_l!(h9"</f>
        <v>#VALUE!</v>
      </c>
      <c r="AJ178" t="e">
        <f>Raw!N82+"h_l!(h:"</f>
        <v>#VALUE!</v>
      </c>
      <c r="AK178" t="e">
        <f>Raw!O82+"h_l!(h;"</f>
        <v>#VALUE!</v>
      </c>
      <c r="AL178" t="e">
        <f>Raw!P82+"h_l!(h&lt;"</f>
        <v>#VALUE!</v>
      </c>
      <c r="AM178" t="e">
        <f>Raw!Q82+"h_l!(h="</f>
        <v>#VALUE!</v>
      </c>
      <c r="AN178" t="e">
        <f>Raw!R82+"h_l!(h&gt;"</f>
        <v>#VALUE!</v>
      </c>
      <c r="AO178" t="e">
        <f>Raw!S82+"h_l!(h?"</f>
        <v>#VALUE!</v>
      </c>
      <c r="AP178" t="e">
        <f>Raw!T82+"h_l!(h@"</f>
        <v>#VALUE!</v>
      </c>
      <c r="AQ178" t="e">
        <f>Raw!U82+"h_l!(hA"</f>
        <v>#VALUE!</v>
      </c>
      <c r="AR178" t="e">
        <f>Raw!V82+"h_l!(hB"</f>
        <v>#VALUE!</v>
      </c>
      <c r="AS178" t="e">
        <f>Raw!W82+"h_l!(hC"</f>
        <v>#VALUE!</v>
      </c>
      <c r="AT178" t="e">
        <f>Raw!A83+"h_l!(hD"</f>
        <v>#VALUE!</v>
      </c>
      <c r="AU178" t="e">
        <f>Raw!B83+"h_l!(hE"</f>
        <v>#VALUE!</v>
      </c>
      <c r="AV178" t="e">
        <f>Raw!C83+"h_l!(hF"</f>
        <v>#VALUE!</v>
      </c>
      <c r="AW178" t="e">
        <f>Raw!D83+"h_l!(hG"</f>
        <v>#VALUE!</v>
      </c>
      <c r="AX178" t="e">
        <f>Raw!E83+"h_l!(hH"</f>
        <v>#VALUE!</v>
      </c>
      <c r="AY178" t="e">
        <f>Raw!#REF!+"h_l!(hI"</f>
        <v>#REF!</v>
      </c>
      <c r="AZ178" t="e">
        <f>Raw!G83+"h_l!(hJ"</f>
        <v>#VALUE!</v>
      </c>
      <c r="BA178" t="e">
        <f>Raw!H83+"h_l!(hK"</f>
        <v>#VALUE!</v>
      </c>
      <c r="BB178" t="e">
        <f>Raw!I83+"h_l!(hL"</f>
        <v>#VALUE!</v>
      </c>
      <c r="BC178" t="e">
        <f>Raw!J83+"h_l!(hM"</f>
        <v>#VALUE!</v>
      </c>
      <c r="BD178" t="e">
        <f>Raw!K83+"h_l!(hN"</f>
        <v>#VALUE!</v>
      </c>
      <c r="BE178" t="e">
        <f>Raw!L83+"h_l!(hO"</f>
        <v>#VALUE!</v>
      </c>
      <c r="BF178" t="e">
        <f>Raw!M83+"h_l!(hP"</f>
        <v>#VALUE!</v>
      </c>
      <c r="BG178" t="e">
        <f>Raw!N83+"h_l!(hQ"</f>
        <v>#VALUE!</v>
      </c>
      <c r="BH178" t="e">
        <f>Raw!O83+"h_l!(hR"</f>
        <v>#VALUE!</v>
      </c>
      <c r="BI178" t="e">
        <f>Raw!P83+"h_l!(hS"</f>
        <v>#VALUE!</v>
      </c>
      <c r="BJ178" t="e">
        <f>Raw!Q83+"h_l!(hT"</f>
        <v>#VALUE!</v>
      </c>
      <c r="BK178" t="e">
        <f>Raw!R83+"h_l!(hU"</f>
        <v>#VALUE!</v>
      </c>
      <c r="BL178" t="e">
        <f>Raw!S83+"h_l!(hV"</f>
        <v>#VALUE!</v>
      </c>
      <c r="BM178" t="e">
        <f>Raw!T83+"h_l!(hW"</f>
        <v>#VALUE!</v>
      </c>
      <c r="BN178" t="e">
        <f>Raw!U83+"h_l!(hX"</f>
        <v>#VALUE!</v>
      </c>
      <c r="BO178" t="e">
        <f>Raw!V83+"h_l!(hY"</f>
        <v>#VALUE!</v>
      </c>
      <c r="BP178" t="e">
        <f>Raw!W83+"h_l!(hZ"</f>
        <v>#VALUE!</v>
      </c>
      <c r="BQ178" t="e">
        <f>Raw!A84+"h_l!(h["</f>
        <v>#VALUE!</v>
      </c>
      <c r="BR178" t="e">
        <f>Raw!B84+"h_l!(h\"</f>
        <v>#VALUE!</v>
      </c>
      <c r="BS178" t="e">
        <f>Raw!C84+"h_l!(h]"</f>
        <v>#VALUE!</v>
      </c>
      <c r="BT178" t="e">
        <f>Raw!D84+"h_l!(h^"</f>
        <v>#VALUE!</v>
      </c>
      <c r="BU178" t="e">
        <f>Raw!E84+"h_l!(h_"</f>
        <v>#VALUE!</v>
      </c>
      <c r="BV178" t="e">
        <f>Raw!#REF!+"h_l!(h`"</f>
        <v>#REF!</v>
      </c>
      <c r="BW178" t="e">
        <f>Raw!G84+"h_l!(ha"</f>
        <v>#VALUE!</v>
      </c>
      <c r="BX178" t="e">
        <f>Raw!H84+"h_l!(hb"</f>
        <v>#VALUE!</v>
      </c>
      <c r="BY178" t="e">
        <f>Raw!I84+"h_l!(hc"</f>
        <v>#VALUE!</v>
      </c>
      <c r="BZ178" t="e">
        <f>Raw!J84+"h_l!(hd"</f>
        <v>#VALUE!</v>
      </c>
      <c r="CA178" t="e">
        <f>Raw!K84+"h_l!(he"</f>
        <v>#VALUE!</v>
      </c>
      <c r="CB178" t="e">
        <f>Raw!L84+"h_l!(hf"</f>
        <v>#VALUE!</v>
      </c>
      <c r="CC178" t="e">
        <f>Raw!M84+"h_l!(hg"</f>
        <v>#VALUE!</v>
      </c>
      <c r="CD178" t="e">
        <f>Raw!N84+"h_l!(hh"</f>
        <v>#VALUE!</v>
      </c>
      <c r="CE178" t="e">
        <f>Raw!O84+"h_l!(hi"</f>
        <v>#VALUE!</v>
      </c>
      <c r="CF178" t="e">
        <f>Raw!P84+"h_l!(hj"</f>
        <v>#VALUE!</v>
      </c>
      <c r="CG178" t="e">
        <f>Raw!Q84+"h_l!(hk"</f>
        <v>#VALUE!</v>
      </c>
      <c r="CH178" t="e">
        <f>Raw!R84+"h_l!(hl"</f>
        <v>#VALUE!</v>
      </c>
      <c r="CI178" t="e">
        <f>Raw!S84+"h_l!(hm"</f>
        <v>#VALUE!</v>
      </c>
      <c r="CJ178" t="e">
        <f>Raw!T84+"h_l!(hn"</f>
        <v>#VALUE!</v>
      </c>
      <c r="CK178" t="e">
        <f>Raw!U84+"h_l!(ho"</f>
        <v>#VALUE!</v>
      </c>
      <c r="CL178" t="e">
        <f>Raw!V84+"h_l!(hp"</f>
        <v>#VALUE!</v>
      </c>
      <c r="CM178" t="e">
        <f>Raw!W84+"h_l!(hq"</f>
        <v>#VALUE!</v>
      </c>
      <c r="CN178" t="e">
        <f>Raw!A85+"h_l!(hr"</f>
        <v>#VALUE!</v>
      </c>
      <c r="CO178" t="e">
        <f>Raw!B85+"h_l!(hs"</f>
        <v>#VALUE!</v>
      </c>
      <c r="CP178" t="e">
        <f>Raw!C85+"h_l!(ht"</f>
        <v>#VALUE!</v>
      </c>
      <c r="CQ178" t="e">
        <f>Raw!D85+"h_l!(hu"</f>
        <v>#VALUE!</v>
      </c>
      <c r="CR178" t="e">
        <f>Raw!E85+"h_l!(hv"</f>
        <v>#VALUE!</v>
      </c>
      <c r="CS178" t="e">
        <f>Raw!#REF!+"h_l!(hw"</f>
        <v>#REF!</v>
      </c>
      <c r="CT178" t="e">
        <f>Raw!G85+"h_l!(hx"</f>
        <v>#VALUE!</v>
      </c>
      <c r="CU178" t="e">
        <f>Raw!H85+"h_l!(hy"</f>
        <v>#VALUE!</v>
      </c>
      <c r="CV178" t="e">
        <f>Raw!I85+"h_l!(hz"</f>
        <v>#VALUE!</v>
      </c>
      <c r="CW178" t="e">
        <f>Raw!J85+"h_l!(h{"</f>
        <v>#VALUE!</v>
      </c>
      <c r="CX178" t="e">
        <f>Raw!K85+"h_l!(h|"</f>
        <v>#VALUE!</v>
      </c>
      <c r="CY178" t="e">
        <f>Raw!L85+"h_l!(h}"</f>
        <v>#VALUE!</v>
      </c>
      <c r="CZ178" t="e">
        <f>Raw!M85+"h_l!(h~"</f>
        <v>#VALUE!</v>
      </c>
      <c r="DA178" t="e">
        <f>Raw!N85+"h_l!(i#"</f>
        <v>#VALUE!</v>
      </c>
      <c r="DB178" t="e">
        <f>Raw!O85+"h_l!(i$"</f>
        <v>#VALUE!</v>
      </c>
      <c r="DC178" t="e">
        <f>Raw!P85+"h_l!(i%"</f>
        <v>#VALUE!</v>
      </c>
      <c r="DD178" t="e">
        <f>Raw!Q85+"h_l!(i&amp;"</f>
        <v>#VALUE!</v>
      </c>
      <c r="DE178" t="e">
        <f>Raw!R85+"h_l!(i'"</f>
        <v>#VALUE!</v>
      </c>
      <c r="DF178" t="e">
        <f>Raw!S85+"h_l!(i("</f>
        <v>#VALUE!</v>
      </c>
      <c r="DG178" t="e">
        <f>Raw!T85+"h_l!(i)"</f>
        <v>#VALUE!</v>
      </c>
      <c r="DH178" t="e">
        <f>Raw!U85+"h_l!(i."</f>
        <v>#VALUE!</v>
      </c>
      <c r="DI178" t="e">
        <f>Raw!V85+"h_l!(i/"</f>
        <v>#VALUE!</v>
      </c>
      <c r="DJ178" t="e">
        <f>Raw!W85+"h_l!(i0"</f>
        <v>#VALUE!</v>
      </c>
      <c r="DK178" t="e">
        <f>Raw!A86+"h_l!(i1"</f>
        <v>#VALUE!</v>
      </c>
      <c r="DL178" t="e">
        <f>Raw!B86+"h_l!(i2"</f>
        <v>#VALUE!</v>
      </c>
      <c r="DM178" t="e">
        <f>Raw!C86+"h_l!(i3"</f>
        <v>#VALUE!</v>
      </c>
      <c r="DN178" t="e">
        <f>Raw!D86+"h_l!(i4"</f>
        <v>#VALUE!</v>
      </c>
      <c r="DO178" t="e">
        <f>Raw!E86+"h_l!(i5"</f>
        <v>#VALUE!</v>
      </c>
      <c r="DP178" t="e">
        <f>Raw!#REF!+"h_l!(i6"</f>
        <v>#REF!</v>
      </c>
      <c r="DQ178" t="e">
        <f>Raw!G86+"h_l!(i7"</f>
        <v>#VALUE!</v>
      </c>
      <c r="DR178" t="e">
        <f>Raw!H86+"h_l!(i8"</f>
        <v>#VALUE!</v>
      </c>
      <c r="DS178" t="e">
        <f>Raw!I86+"h_l!(i9"</f>
        <v>#VALUE!</v>
      </c>
      <c r="DT178" t="e">
        <f>Raw!J86+"h_l!(i:"</f>
        <v>#VALUE!</v>
      </c>
      <c r="DU178" t="e">
        <f>Raw!K86+"h_l!(i;"</f>
        <v>#VALUE!</v>
      </c>
      <c r="DV178" t="e">
        <f>Raw!L86+"h_l!(i&lt;"</f>
        <v>#VALUE!</v>
      </c>
      <c r="DW178" t="e">
        <f>Raw!M86+"h_l!(i="</f>
        <v>#VALUE!</v>
      </c>
      <c r="DX178" t="e">
        <f>Raw!N86+"h_l!(i&gt;"</f>
        <v>#VALUE!</v>
      </c>
      <c r="DY178" t="e">
        <f>Raw!O86+"h_l!(i?"</f>
        <v>#VALUE!</v>
      </c>
      <c r="DZ178" t="e">
        <f>Raw!P86+"h_l!(i@"</f>
        <v>#VALUE!</v>
      </c>
      <c r="EA178" t="e">
        <f>Raw!Q86+"h_l!(iA"</f>
        <v>#VALUE!</v>
      </c>
      <c r="EB178" t="e">
        <f>Raw!R86+"h_l!(iB"</f>
        <v>#VALUE!</v>
      </c>
      <c r="EC178" t="e">
        <f>Raw!S86+"h_l!(iC"</f>
        <v>#VALUE!</v>
      </c>
      <c r="ED178" t="e">
        <f>Raw!T86+"h_l!(iD"</f>
        <v>#VALUE!</v>
      </c>
      <c r="EE178" t="e">
        <f>Raw!U86+"h_l!(iE"</f>
        <v>#VALUE!</v>
      </c>
      <c r="EF178" t="e">
        <f>Raw!V86+"h_l!(iF"</f>
        <v>#VALUE!</v>
      </c>
      <c r="EG178" t="e">
        <f>Raw!W86+"h_l!(iG"</f>
        <v>#VALUE!</v>
      </c>
      <c r="EH178" t="e">
        <f>Raw!A87+"h_l!(iH"</f>
        <v>#VALUE!</v>
      </c>
      <c r="EI178" t="e">
        <f>Raw!B87+"h_l!(iI"</f>
        <v>#VALUE!</v>
      </c>
      <c r="EJ178" t="e">
        <f>Raw!C87+"h_l!(iJ"</f>
        <v>#VALUE!</v>
      </c>
      <c r="EK178" t="e">
        <f>Raw!D87+"h_l!(iK"</f>
        <v>#VALUE!</v>
      </c>
      <c r="EL178" t="e">
        <f>Raw!E87+"h_l!(iL"</f>
        <v>#VALUE!</v>
      </c>
      <c r="EM178" t="e">
        <f>Raw!#REF!+"h_l!(iM"</f>
        <v>#REF!</v>
      </c>
      <c r="EN178" t="e">
        <f>Raw!G87+"h_l!(iN"</f>
        <v>#VALUE!</v>
      </c>
      <c r="EO178" t="e">
        <f>Raw!H87+"h_l!(iO"</f>
        <v>#VALUE!</v>
      </c>
      <c r="EP178" t="e">
        <f>Raw!I87+"h_l!(iP"</f>
        <v>#VALUE!</v>
      </c>
      <c r="EQ178" t="e">
        <f>Raw!J87+"h_l!(iQ"</f>
        <v>#VALUE!</v>
      </c>
      <c r="ER178" t="e">
        <f>Raw!K87+"h_l!(iR"</f>
        <v>#VALUE!</v>
      </c>
      <c r="ES178" t="e">
        <f>Raw!L87+"h_l!(iS"</f>
        <v>#VALUE!</v>
      </c>
      <c r="ET178" t="e">
        <f>Raw!M87+"h_l!(iT"</f>
        <v>#VALUE!</v>
      </c>
      <c r="EU178" t="e">
        <f>Raw!N87+"h_l!(iU"</f>
        <v>#VALUE!</v>
      </c>
      <c r="EV178" t="e">
        <f>Raw!O87+"h_l!(iV"</f>
        <v>#VALUE!</v>
      </c>
      <c r="EW178" t="e">
        <f>Raw!P87+"h_l!(iW"</f>
        <v>#VALUE!</v>
      </c>
      <c r="EX178" t="e">
        <f>Raw!Q87+"h_l!(iX"</f>
        <v>#VALUE!</v>
      </c>
      <c r="EY178" t="e">
        <f>Raw!R87+"h_l!(iY"</f>
        <v>#VALUE!</v>
      </c>
      <c r="EZ178" t="e">
        <f>Raw!S87+"h_l!(iZ"</f>
        <v>#VALUE!</v>
      </c>
      <c r="FA178" t="e">
        <f>Raw!T87+"h_l!(i["</f>
        <v>#VALUE!</v>
      </c>
      <c r="FB178" t="e">
        <f>Raw!U87+"h_l!(i\"</f>
        <v>#VALUE!</v>
      </c>
      <c r="FC178" t="e">
        <f>Raw!V87+"h_l!(i]"</f>
        <v>#VALUE!</v>
      </c>
      <c r="FD178" t="e">
        <f>Raw!W87+"h_l!(i^"</f>
        <v>#VALUE!</v>
      </c>
      <c r="FE178" t="e">
        <f>Raw!A88+"h_l!(i_"</f>
        <v>#VALUE!</v>
      </c>
      <c r="FF178" t="e">
        <f>Raw!B88+"h_l!(i`"</f>
        <v>#VALUE!</v>
      </c>
      <c r="FG178" t="e">
        <f>Raw!C88+"h_l!(ia"</f>
        <v>#VALUE!</v>
      </c>
      <c r="FH178" t="e">
        <f>Raw!D88+"h_l!(ib"</f>
        <v>#VALUE!</v>
      </c>
      <c r="FI178" t="e">
        <f>Raw!E88+"h_l!(ic"</f>
        <v>#VALUE!</v>
      </c>
      <c r="FJ178" t="e">
        <f>Raw!#REF!+"h_l!(id"</f>
        <v>#REF!</v>
      </c>
      <c r="FK178" t="e">
        <f>Raw!G88+"h_l!(ie"</f>
        <v>#VALUE!</v>
      </c>
      <c r="FL178" t="e">
        <f>Raw!H88+"h_l!(if"</f>
        <v>#VALUE!</v>
      </c>
      <c r="FM178" t="e">
        <f>Raw!I88+"h_l!(ig"</f>
        <v>#VALUE!</v>
      </c>
      <c r="FN178" t="e">
        <f>Raw!J88+"h_l!(ih"</f>
        <v>#VALUE!</v>
      </c>
      <c r="FO178" t="e">
        <f>Raw!K88+"h_l!(ii"</f>
        <v>#VALUE!</v>
      </c>
      <c r="FP178" t="e">
        <f>Raw!L88+"h_l!(ij"</f>
        <v>#VALUE!</v>
      </c>
      <c r="FQ178" t="e">
        <f>Raw!M88+"h_l!(ik"</f>
        <v>#VALUE!</v>
      </c>
      <c r="FR178" t="e">
        <f>Raw!N88+"h_l!(il"</f>
        <v>#VALUE!</v>
      </c>
      <c r="FS178" t="e">
        <f>Raw!O88+"h_l!(im"</f>
        <v>#VALUE!</v>
      </c>
      <c r="FT178" t="e">
        <f>Raw!P88+"h_l!(in"</f>
        <v>#VALUE!</v>
      </c>
      <c r="FU178" t="e">
        <f>Raw!Q88+"h_l!(io"</f>
        <v>#VALUE!</v>
      </c>
      <c r="FV178" t="e">
        <f>Raw!R88+"h_l!(ip"</f>
        <v>#VALUE!</v>
      </c>
      <c r="FW178" t="e">
        <f>Raw!S88+"h_l!(iq"</f>
        <v>#VALUE!</v>
      </c>
      <c r="FX178" t="e">
        <f>Raw!T88+"h_l!(ir"</f>
        <v>#VALUE!</v>
      </c>
      <c r="FY178" t="e">
        <f>Raw!U88+"h_l!(is"</f>
        <v>#VALUE!</v>
      </c>
      <c r="FZ178" t="e">
        <f>Raw!V88+"h_l!(it"</f>
        <v>#VALUE!</v>
      </c>
      <c r="GA178" t="e">
        <f>Raw!W88+"h_l!(iu"</f>
        <v>#VALUE!</v>
      </c>
      <c r="GB178" t="e">
        <f>Raw!A89+"h_l!(iv"</f>
        <v>#VALUE!</v>
      </c>
      <c r="GC178" t="e">
        <f>Raw!B89+"h_l!(iw"</f>
        <v>#VALUE!</v>
      </c>
      <c r="GD178" t="e">
        <f>Raw!C89+"h_l!(ix"</f>
        <v>#VALUE!</v>
      </c>
      <c r="GE178" t="e">
        <f>Raw!D89+"h_l!(iy"</f>
        <v>#VALUE!</v>
      </c>
      <c r="GF178" t="e">
        <f>Raw!E89+"h_l!(iz"</f>
        <v>#VALUE!</v>
      </c>
      <c r="GG178" t="e">
        <f>Raw!#REF!+"h_l!(i{"</f>
        <v>#REF!</v>
      </c>
      <c r="GH178" t="e">
        <f>Raw!G89+"h_l!(i|"</f>
        <v>#VALUE!</v>
      </c>
      <c r="GI178" t="e">
        <f>Raw!H89+"h_l!(i}"</f>
        <v>#VALUE!</v>
      </c>
      <c r="GJ178" t="e">
        <f>Raw!I89+"h_l!(i~"</f>
        <v>#VALUE!</v>
      </c>
      <c r="GK178" t="e">
        <f>Raw!J89+"h_l!(j#"</f>
        <v>#VALUE!</v>
      </c>
      <c r="GL178" t="e">
        <f>Raw!K89+"h_l!(j$"</f>
        <v>#VALUE!</v>
      </c>
      <c r="GM178" t="e">
        <f>Raw!L89+"h_l!(j%"</f>
        <v>#VALUE!</v>
      </c>
      <c r="GN178" t="e">
        <f>Raw!M89+"h_l!(j&amp;"</f>
        <v>#VALUE!</v>
      </c>
      <c r="GO178" t="e">
        <f>Raw!N89+"h_l!(j'"</f>
        <v>#VALUE!</v>
      </c>
      <c r="GP178" t="e">
        <f>Raw!O89+"h_l!(j("</f>
        <v>#VALUE!</v>
      </c>
      <c r="GQ178" t="e">
        <f>Raw!P89+"h_l!(j)"</f>
        <v>#VALUE!</v>
      </c>
      <c r="GR178" t="e">
        <f>Raw!Q89+"h_l!(j."</f>
        <v>#VALUE!</v>
      </c>
      <c r="GS178" t="e">
        <f>Raw!R89+"h_l!(j/"</f>
        <v>#VALUE!</v>
      </c>
      <c r="GT178" t="e">
        <f>Raw!S89+"h_l!(j0"</f>
        <v>#VALUE!</v>
      </c>
      <c r="GU178" t="e">
        <f>Raw!T89+"h_l!(j1"</f>
        <v>#VALUE!</v>
      </c>
      <c r="GV178" t="e">
        <f>Raw!U89+"h_l!(j2"</f>
        <v>#VALUE!</v>
      </c>
      <c r="GW178" t="e">
        <f>Raw!V89+"h_l!(j3"</f>
        <v>#VALUE!</v>
      </c>
      <c r="GX178" t="e">
        <f>Raw!W89+"h_l!(j4"</f>
        <v>#VALUE!</v>
      </c>
      <c r="GY178" t="e">
        <f>Raw!A90+"h_l!(j5"</f>
        <v>#VALUE!</v>
      </c>
      <c r="GZ178" t="e">
        <f>Raw!B90+"h_l!(j6"</f>
        <v>#VALUE!</v>
      </c>
      <c r="HA178" t="e">
        <f>Raw!C90+"h_l!(j7"</f>
        <v>#VALUE!</v>
      </c>
      <c r="HB178" t="e">
        <f>Raw!D90+"h_l!(j8"</f>
        <v>#VALUE!</v>
      </c>
      <c r="HC178" t="e">
        <f>Raw!E90+"h_l!(j9"</f>
        <v>#VALUE!</v>
      </c>
      <c r="HD178" t="e">
        <f>Raw!#REF!+"h_l!(j:"</f>
        <v>#REF!</v>
      </c>
      <c r="HE178" t="e">
        <f>Raw!G90+"h_l!(j;"</f>
        <v>#VALUE!</v>
      </c>
      <c r="HF178" t="e">
        <f>Raw!H90+"h_l!(j&lt;"</f>
        <v>#VALUE!</v>
      </c>
      <c r="HG178" t="e">
        <f>Raw!I90+"h_l!(j="</f>
        <v>#VALUE!</v>
      </c>
      <c r="HH178" t="e">
        <f>Raw!J90+"h_l!(j&gt;"</f>
        <v>#VALUE!</v>
      </c>
      <c r="HI178" t="e">
        <f>Raw!K90+"h_l!(j?"</f>
        <v>#VALUE!</v>
      </c>
      <c r="HJ178" t="e">
        <f>Raw!L90+"h_l!(j@"</f>
        <v>#VALUE!</v>
      </c>
      <c r="HK178" t="e">
        <f>Raw!M90+"h_l!(jA"</f>
        <v>#VALUE!</v>
      </c>
      <c r="HL178" t="e">
        <f>Raw!N90+"h_l!(jB"</f>
        <v>#VALUE!</v>
      </c>
      <c r="HM178" t="e">
        <f>Raw!O90+"h_l!(jC"</f>
        <v>#VALUE!</v>
      </c>
      <c r="HN178" t="e">
        <f>Raw!P90+"h_l!(jD"</f>
        <v>#VALUE!</v>
      </c>
      <c r="HO178" t="e">
        <f>Raw!Q90+"h_l!(jE"</f>
        <v>#VALUE!</v>
      </c>
      <c r="HP178" t="e">
        <f>Raw!R90+"h_l!(jF"</f>
        <v>#VALUE!</v>
      </c>
      <c r="HQ178" t="e">
        <f>Raw!S90+"h_l!(jG"</f>
        <v>#VALUE!</v>
      </c>
      <c r="HR178" t="e">
        <f>Raw!T90+"h_l!(jH"</f>
        <v>#VALUE!</v>
      </c>
      <c r="HS178" t="e">
        <f>Raw!U90+"h_l!(jI"</f>
        <v>#VALUE!</v>
      </c>
      <c r="HT178" t="e">
        <f>Raw!V90+"h_l!(jJ"</f>
        <v>#VALUE!</v>
      </c>
      <c r="HU178" t="e">
        <f>Raw!W90+"h_l!(jK"</f>
        <v>#VALUE!</v>
      </c>
      <c r="HV178" t="e">
        <f>Raw!A91+"h_l!(jL"</f>
        <v>#VALUE!</v>
      </c>
      <c r="HW178" t="e">
        <f>Raw!B91+"h_l!(jM"</f>
        <v>#VALUE!</v>
      </c>
      <c r="HX178" t="e">
        <f>Raw!C91+"h_l!(jN"</f>
        <v>#VALUE!</v>
      </c>
      <c r="HY178" t="e">
        <f>Raw!D91+"h_l!(jO"</f>
        <v>#VALUE!</v>
      </c>
      <c r="HZ178" t="e">
        <f>Raw!E91+"h_l!(jP"</f>
        <v>#VALUE!</v>
      </c>
      <c r="IA178" t="e">
        <f>Raw!#REF!+"h_l!(jQ"</f>
        <v>#REF!</v>
      </c>
      <c r="IB178" t="e">
        <f>Raw!G91+"h_l!(jR"</f>
        <v>#VALUE!</v>
      </c>
      <c r="IC178" t="e">
        <f>Raw!H91+"h_l!(jS"</f>
        <v>#VALUE!</v>
      </c>
      <c r="ID178" t="e">
        <f>Raw!I91+"h_l!(jT"</f>
        <v>#VALUE!</v>
      </c>
      <c r="IE178" t="e">
        <f>Raw!J91+"h_l!(jU"</f>
        <v>#VALUE!</v>
      </c>
      <c r="IF178" t="e">
        <f>Raw!K91+"h_l!(jV"</f>
        <v>#VALUE!</v>
      </c>
      <c r="IG178" t="e">
        <f>Raw!L91+"h_l!(jW"</f>
        <v>#VALUE!</v>
      </c>
      <c r="IH178" t="e">
        <f>Raw!M91+"h_l!(jX"</f>
        <v>#VALUE!</v>
      </c>
      <c r="II178" t="e">
        <f>Raw!N91+"h_l!(jY"</f>
        <v>#VALUE!</v>
      </c>
      <c r="IJ178" t="e">
        <f>Raw!O91+"h_l!(jZ"</f>
        <v>#VALUE!</v>
      </c>
      <c r="IK178" t="e">
        <f>Raw!P91+"h_l!(j["</f>
        <v>#VALUE!</v>
      </c>
      <c r="IL178" t="e">
        <f>Raw!Q91+"h_l!(j\"</f>
        <v>#VALUE!</v>
      </c>
      <c r="IM178" t="e">
        <f>Raw!R91+"h_l!(j]"</f>
        <v>#VALUE!</v>
      </c>
      <c r="IN178" t="e">
        <f>Raw!S91+"h_l!(j^"</f>
        <v>#VALUE!</v>
      </c>
      <c r="IO178" t="e">
        <f>Raw!T91+"h_l!(j_"</f>
        <v>#VALUE!</v>
      </c>
      <c r="IP178" t="e">
        <f>Raw!U91+"h_l!(j`"</f>
        <v>#VALUE!</v>
      </c>
      <c r="IQ178" t="e">
        <f>Raw!V91+"h_l!(ja"</f>
        <v>#VALUE!</v>
      </c>
      <c r="IR178" t="e">
        <f>Raw!W91+"h_l!(jb"</f>
        <v>#VALUE!</v>
      </c>
      <c r="IS178" t="e">
        <f>Raw!A92+"h_l!(jc"</f>
        <v>#VALUE!</v>
      </c>
      <c r="IT178" t="e">
        <f>Raw!B92+"h_l!(jd"</f>
        <v>#VALUE!</v>
      </c>
      <c r="IU178" t="e">
        <f>Raw!C92+"h_l!(je"</f>
        <v>#VALUE!</v>
      </c>
      <c r="IV178" t="e">
        <f>Raw!D92+"h_l!(jf"</f>
        <v>#VALUE!</v>
      </c>
    </row>
    <row r="179" spans="6:256" x14ac:dyDescent="0.25">
      <c r="F179" t="e">
        <f>Raw!E92+"h_l!(jg"</f>
        <v>#VALUE!</v>
      </c>
      <c r="G179" t="e">
        <f>Raw!#REF!+"h_l!(jh"</f>
        <v>#REF!</v>
      </c>
      <c r="H179" t="e">
        <f>Raw!G92+"h_l!(ji"</f>
        <v>#VALUE!</v>
      </c>
      <c r="I179" t="e">
        <f>Raw!H92+"h_l!(jj"</f>
        <v>#VALUE!</v>
      </c>
      <c r="J179" t="e">
        <f>Raw!I92+"h_l!(jk"</f>
        <v>#VALUE!</v>
      </c>
      <c r="K179" t="e">
        <f>Raw!J92+"h_l!(jl"</f>
        <v>#VALUE!</v>
      </c>
      <c r="L179" t="e">
        <f>Raw!K92+"h_l!(jm"</f>
        <v>#VALUE!</v>
      </c>
      <c r="M179" t="e">
        <f>Raw!L92+"h_l!(jn"</f>
        <v>#VALUE!</v>
      </c>
      <c r="N179" t="e">
        <f>Raw!M92+"h_l!(jo"</f>
        <v>#VALUE!</v>
      </c>
      <c r="O179" t="e">
        <f>Raw!N92+"h_l!(jp"</f>
        <v>#VALUE!</v>
      </c>
      <c r="P179" t="e">
        <f>Raw!O92+"h_l!(jq"</f>
        <v>#VALUE!</v>
      </c>
      <c r="Q179" t="e">
        <f>Raw!P92+"h_l!(jr"</f>
        <v>#VALUE!</v>
      </c>
      <c r="R179" t="e">
        <f>Raw!Q92+"h_l!(js"</f>
        <v>#VALUE!</v>
      </c>
      <c r="S179" t="e">
        <f>Raw!R92+"h_l!(jt"</f>
        <v>#VALUE!</v>
      </c>
      <c r="T179" t="e">
        <f>Raw!S92+"h_l!(ju"</f>
        <v>#VALUE!</v>
      </c>
      <c r="U179" t="e">
        <f>Raw!T92+"h_l!(jv"</f>
        <v>#VALUE!</v>
      </c>
      <c r="V179" t="e">
        <f>Raw!U92+"h_l!(jw"</f>
        <v>#VALUE!</v>
      </c>
      <c r="W179" t="e">
        <f>Raw!V92+"h_l!(jx"</f>
        <v>#VALUE!</v>
      </c>
      <c r="X179" t="e">
        <f>Raw!W92+"h_l!(jy"</f>
        <v>#VALUE!</v>
      </c>
      <c r="Y179" t="e">
        <f>Raw!A93+"h_l!(jz"</f>
        <v>#VALUE!</v>
      </c>
      <c r="Z179" t="e">
        <f>Raw!B93+"h_l!(j{"</f>
        <v>#VALUE!</v>
      </c>
      <c r="AA179" t="e">
        <f>Raw!C93+"h_l!(j|"</f>
        <v>#VALUE!</v>
      </c>
      <c r="AB179" t="e">
        <f>Raw!D93+"h_l!(j}"</f>
        <v>#VALUE!</v>
      </c>
      <c r="AC179" t="e">
        <f>Raw!E93+"h_l!(j~"</f>
        <v>#VALUE!</v>
      </c>
      <c r="AD179" t="e">
        <f>Raw!#REF!+"h_l!(k#"</f>
        <v>#REF!</v>
      </c>
      <c r="AE179" t="e">
        <f>Raw!G93+"h_l!(k$"</f>
        <v>#VALUE!</v>
      </c>
      <c r="AF179" t="e">
        <f>Raw!H93+"h_l!(k%"</f>
        <v>#VALUE!</v>
      </c>
      <c r="AG179" t="e">
        <f>Raw!I93+"h_l!(k&amp;"</f>
        <v>#VALUE!</v>
      </c>
      <c r="AH179" t="e">
        <f>Raw!J93+"h_l!(k'"</f>
        <v>#VALUE!</v>
      </c>
      <c r="AI179" t="e">
        <f>Raw!K93+"h_l!(k("</f>
        <v>#VALUE!</v>
      </c>
      <c r="AJ179" t="e">
        <f>Raw!L93+"h_l!(k)"</f>
        <v>#VALUE!</v>
      </c>
      <c r="AK179" t="e">
        <f>Raw!M93+"h_l!(k."</f>
        <v>#VALUE!</v>
      </c>
      <c r="AL179" t="e">
        <f>Raw!N93+"h_l!(k/"</f>
        <v>#VALUE!</v>
      </c>
      <c r="AM179" t="e">
        <f>Raw!O93+"h_l!(k0"</f>
        <v>#VALUE!</v>
      </c>
      <c r="AN179" t="e">
        <f>Raw!P93+"h_l!(k1"</f>
        <v>#VALUE!</v>
      </c>
      <c r="AO179" t="e">
        <f>Raw!Q93+"h_l!(k2"</f>
        <v>#VALUE!</v>
      </c>
      <c r="AP179" t="e">
        <f>Raw!R93+"h_l!(k3"</f>
        <v>#VALUE!</v>
      </c>
      <c r="AQ179" t="e">
        <f>Raw!S93+"h_l!(k4"</f>
        <v>#VALUE!</v>
      </c>
      <c r="AR179" t="e">
        <f>Raw!T93+"h_l!(k5"</f>
        <v>#VALUE!</v>
      </c>
      <c r="AS179" t="e">
        <f>Raw!U93+"h_l!(k6"</f>
        <v>#VALUE!</v>
      </c>
      <c r="AT179" t="e">
        <f>Raw!V93+"h_l!(k7"</f>
        <v>#VALUE!</v>
      </c>
      <c r="AU179" t="e">
        <f>Raw!W93+"h_l!(k8"</f>
        <v>#VALUE!</v>
      </c>
      <c r="AV179" t="e">
        <f>Raw!A94+"h_l!(k9"</f>
        <v>#VALUE!</v>
      </c>
      <c r="AW179" t="e">
        <f>Raw!B94+"h_l!(k:"</f>
        <v>#VALUE!</v>
      </c>
      <c r="AX179" t="e">
        <f>Raw!C94+"h_l!(k;"</f>
        <v>#VALUE!</v>
      </c>
      <c r="AY179" t="e">
        <f>Raw!D94+"h_l!(k&lt;"</f>
        <v>#VALUE!</v>
      </c>
      <c r="AZ179" t="e">
        <f>Raw!E94+"h_l!(k="</f>
        <v>#VALUE!</v>
      </c>
      <c r="BA179" t="e">
        <f>Raw!#REF!+"h_l!(k&gt;"</f>
        <v>#REF!</v>
      </c>
      <c r="BB179" t="e">
        <f>Raw!G94+"h_l!(k?"</f>
        <v>#VALUE!</v>
      </c>
      <c r="BC179" t="e">
        <f>Raw!H94+"h_l!(k@"</f>
        <v>#VALUE!</v>
      </c>
      <c r="BD179" t="e">
        <f>Raw!I94+"h_l!(kA"</f>
        <v>#VALUE!</v>
      </c>
      <c r="BE179" t="e">
        <f>Raw!J94+"h_l!(kB"</f>
        <v>#VALUE!</v>
      </c>
      <c r="BF179" t="e">
        <f>Raw!K94+"h_l!(kC"</f>
        <v>#VALUE!</v>
      </c>
      <c r="BG179" t="e">
        <f>Raw!L94+"h_l!(kD"</f>
        <v>#VALUE!</v>
      </c>
      <c r="BH179" t="e">
        <f>Raw!M94+"h_l!(kE"</f>
        <v>#VALUE!</v>
      </c>
      <c r="BI179" t="e">
        <f>Raw!N94+"h_l!(kF"</f>
        <v>#VALUE!</v>
      </c>
      <c r="BJ179" t="e">
        <f>Raw!O94+"h_l!(kG"</f>
        <v>#VALUE!</v>
      </c>
      <c r="BK179" t="e">
        <f>Raw!P94+"h_l!(kH"</f>
        <v>#VALUE!</v>
      </c>
      <c r="BL179" t="e">
        <f>Raw!Q94+"h_l!(kI"</f>
        <v>#VALUE!</v>
      </c>
      <c r="BM179" t="e">
        <f>Raw!R94+"h_l!(kJ"</f>
        <v>#VALUE!</v>
      </c>
      <c r="BN179" t="e">
        <f>Raw!S94+"h_l!(kK"</f>
        <v>#VALUE!</v>
      </c>
      <c r="BO179" t="e">
        <f>Raw!T94+"h_l!(kL"</f>
        <v>#VALUE!</v>
      </c>
      <c r="BP179" t="e">
        <f>Raw!U94+"h_l!(kM"</f>
        <v>#VALUE!</v>
      </c>
      <c r="BQ179" t="e">
        <f>Raw!V94+"h_l!(kN"</f>
        <v>#VALUE!</v>
      </c>
      <c r="BR179" t="e">
        <f>Raw!W94+"h_l!(kO"</f>
        <v>#VALUE!</v>
      </c>
      <c r="BS179" t="e">
        <f>Raw!A95+"h_l!(kP"</f>
        <v>#VALUE!</v>
      </c>
      <c r="BT179" t="e">
        <f>Raw!B95+"h_l!(kQ"</f>
        <v>#VALUE!</v>
      </c>
      <c r="BU179" t="e">
        <f>Raw!C95+"h_l!(kR"</f>
        <v>#VALUE!</v>
      </c>
      <c r="BV179" t="e">
        <f>Raw!D95+"h_l!(kS"</f>
        <v>#VALUE!</v>
      </c>
      <c r="BW179" t="e">
        <f>Raw!E95+"h_l!(kT"</f>
        <v>#VALUE!</v>
      </c>
      <c r="BX179" t="e">
        <f>Raw!#REF!+"h_l!(kU"</f>
        <v>#REF!</v>
      </c>
      <c r="BY179" t="e">
        <f>Raw!G95+"h_l!(kV"</f>
        <v>#VALUE!</v>
      </c>
      <c r="BZ179" t="e">
        <f>Raw!H95+"h_l!(kW"</f>
        <v>#VALUE!</v>
      </c>
      <c r="CA179" t="e">
        <f>Raw!I95+"h_l!(kX"</f>
        <v>#VALUE!</v>
      </c>
      <c r="CB179" t="e">
        <f>Raw!J95+"h_l!(kY"</f>
        <v>#VALUE!</v>
      </c>
      <c r="CC179" t="e">
        <f>Raw!K95+"h_l!(kZ"</f>
        <v>#VALUE!</v>
      </c>
      <c r="CD179" t="e">
        <f>Raw!L95+"h_l!(k["</f>
        <v>#VALUE!</v>
      </c>
      <c r="CE179" t="e">
        <f>Raw!M95+"h_l!(k\"</f>
        <v>#VALUE!</v>
      </c>
      <c r="CF179" t="e">
        <f>Raw!N95+"h_l!(k]"</f>
        <v>#VALUE!</v>
      </c>
      <c r="CG179" t="e">
        <f>Raw!O95+"h_l!(k^"</f>
        <v>#VALUE!</v>
      </c>
      <c r="CH179" t="e">
        <f>Raw!P95+"h_l!(k_"</f>
        <v>#VALUE!</v>
      </c>
      <c r="CI179" t="e">
        <f>Raw!Q95+"h_l!(k`"</f>
        <v>#VALUE!</v>
      </c>
      <c r="CJ179" t="e">
        <f>Raw!R95+"h_l!(ka"</f>
        <v>#VALUE!</v>
      </c>
      <c r="CK179" t="e">
        <f>Raw!S95+"h_l!(kb"</f>
        <v>#VALUE!</v>
      </c>
      <c r="CL179" t="e">
        <f>Raw!T95+"h_l!(kc"</f>
        <v>#VALUE!</v>
      </c>
      <c r="CM179" t="e">
        <f>Raw!U95+"h_l!(kd"</f>
        <v>#VALUE!</v>
      </c>
      <c r="CN179" t="e">
        <f>Raw!V95+"h_l!(ke"</f>
        <v>#VALUE!</v>
      </c>
      <c r="CO179" t="e">
        <f>Raw!W95+"h_l!(kf"</f>
        <v>#VALUE!</v>
      </c>
      <c r="CP179" t="e">
        <f>Raw!A96+"h_l!(kg"</f>
        <v>#VALUE!</v>
      </c>
      <c r="CQ179" t="e">
        <f>Raw!B96+"h_l!(kh"</f>
        <v>#VALUE!</v>
      </c>
      <c r="CR179" t="e">
        <f>Raw!C96+"h_l!(ki"</f>
        <v>#VALUE!</v>
      </c>
      <c r="CS179" t="e">
        <f>Raw!D96+"h_l!(kj"</f>
        <v>#VALUE!</v>
      </c>
      <c r="CT179" t="e">
        <f>Raw!E96+"h_l!(kk"</f>
        <v>#VALUE!</v>
      </c>
      <c r="CU179" t="e">
        <f>Raw!#REF!+"h_l!(kl"</f>
        <v>#REF!</v>
      </c>
      <c r="CV179" t="e">
        <f>Raw!G96+"h_l!(km"</f>
        <v>#VALUE!</v>
      </c>
      <c r="CW179" t="e">
        <f>Raw!H96+"h_l!(kn"</f>
        <v>#VALUE!</v>
      </c>
      <c r="CX179" t="e">
        <f>Raw!I96+"h_l!(ko"</f>
        <v>#VALUE!</v>
      </c>
      <c r="CY179" t="e">
        <f>Raw!J96+"h_l!(kp"</f>
        <v>#VALUE!</v>
      </c>
      <c r="CZ179" t="e">
        <f>Raw!K96+"h_l!(kq"</f>
        <v>#VALUE!</v>
      </c>
      <c r="DA179" t="e">
        <f>Raw!L96+"h_l!(kr"</f>
        <v>#VALUE!</v>
      </c>
      <c r="DB179" t="e">
        <f>Raw!M96+"h_l!(ks"</f>
        <v>#VALUE!</v>
      </c>
      <c r="DC179" t="e">
        <f>Raw!N96+"h_l!(kt"</f>
        <v>#VALUE!</v>
      </c>
      <c r="DD179" t="e">
        <f>Raw!O96+"h_l!(ku"</f>
        <v>#VALUE!</v>
      </c>
      <c r="DE179" t="e">
        <f>Raw!P96+"h_l!(kv"</f>
        <v>#VALUE!</v>
      </c>
      <c r="DF179" t="e">
        <f>Raw!Q96+"h_l!(kw"</f>
        <v>#VALUE!</v>
      </c>
      <c r="DG179" t="e">
        <f>Raw!R96+"h_l!(kx"</f>
        <v>#VALUE!</v>
      </c>
      <c r="DH179" t="e">
        <f>Raw!S96+"h_l!(ky"</f>
        <v>#VALUE!</v>
      </c>
      <c r="DI179" t="e">
        <f>Raw!T96+"h_l!(kz"</f>
        <v>#VALUE!</v>
      </c>
      <c r="DJ179" t="e">
        <f>Raw!U96+"h_l!(k{"</f>
        <v>#VALUE!</v>
      </c>
      <c r="DK179" t="e">
        <f>Raw!V96+"h_l!(k|"</f>
        <v>#VALUE!</v>
      </c>
      <c r="DL179" t="e">
        <f>Raw!W96+"h_l!(k}"</f>
        <v>#VALUE!</v>
      </c>
      <c r="DM179" t="e">
        <f>Raw!A97+"h_l!(k~"</f>
        <v>#VALUE!</v>
      </c>
      <c r="DN179" t="e">
        <f>Raw!B97+"h_l!(l#"</f>
        <v>#VALUE!</v>
      </c>
      <c r="DO179" t="e">
        <f>Raw!C97+"h_l!(l$"</f>
        <v>#VALUE!</v>
      </c>
      <c r="DP179" t="e">
        <f>Raw!D97+"h_l!(l%"</f>
        <v>#VALUE!</v>
      </c>
      <c r="DQ179" t="e">
        <f>Raw!E97+"h_l!(l&amp;"</f>
        <v>#VALUE!</v>
      </c>
      <c r="DR179" t="e">
        <f>Raw!#REF!+"h_l!(l'"</f>
        <v>#REF!</v>
      </c>
      <c r="DS179" t="e">
        <f>Raw!G97+"h_l!(l("</f>
        <v>#VALUE!</v>
      </c>
      <c r="DT179" t="e">
        <f>Raw!H97+"h_l!(l)"</f>
        <v>#VALUE!</v>
      </c>
      <c r="DU179" t="e">
        <f>Raw!I97+"h_l!(l."</f>
        <v>#VALUE!</v>
      </c>
      <c r="DV179" t="e">
        <f>Raw!J97+"h_l!(l/"</f>
        <v>#VALUE!</v>
      </c>
      <c r="DW179" t="e">
        <f>Raw!K97+"h_l!(l0"</f>
        <v>#VALUE!</v>
      </c>
      <c r="DX179" t="e">
        <f>Raw!L97+"h_l!(l1"</f>
        <v>#VALUE!</v>
      </c>
      <c r="DY179" t="e">
        <f>Raw!M97+"h_l!(l2"</f>
        <v>#VALUE!</v>
      </c>
      <c r="DZ179" t="e">
        <f>Raw!N97+"h_l!(l3"</f>
        <v>#VALUE!</v>
      </c>
      <c r="EA179" t="e">
        <f>Raw!O97+"h_l!(l4"</f>
        <v>#VALUE!</v>
      </c>
      <c r="EB179" t="e">
        <f>Raw!P97+"h_l!(l5"</f>
        <v>#VALUE!</v>
      </c>
      <c r="EC179" t="e">
        <f>Raw!Q97+"h_l!(l6"</f>
        <v>#VALUE!</v>
      </c>
      <c r="ED179" t="e">
        <f>Raw!R97+"h_l!(l7"</f>
        <v>#VALUE!</v>
      </c>
      <c r="EE179" t="e">
        <f>Raw!S97+"h_l!(l8"</f>
        <v>#VALUE!</v>
      </c>
      <c r="EF179" t="e">
        <f>Raw!T97+"h_l!(l9"</f>
        <v>#VALUE!</v>
      </c>
      <c r="EG179" t="e">
        <f>Raw!U97+"h_l!(l:"</f>
        <v>#VALUE!</v>
      </c>
      <c r="EH179" t="e">
        <f>Raw!V97+"h_l!(l;"</f>
        <v>#VALUE!</v>
      </c>
      <c r="EI179" t="e">
        <f>Raw!W97+"h_l!(l&lt;"</f>
        <v>#VALUE!</v>
      </c>
      <c r="EJ179" t="e">
        <f>Raw!A98+"h_l!(l="</f>
        <v>#VALUE!</v>
      </c>
      <c r="EK179" t="e">
        <f>Raw!B98+"h_l!(l&gt;"</f>
        <v>#VALUE!</v>
      </c>
      <c r="EL179" t="e">
        <f>Raw!C98+"h_l!(l?"</f>
        <v>#VALUE!</v>
      </c>
      <c r="EM179" t="e">
        <f>Raw!D98+"h_l!(l@"</f>
        <v>#VALUE!</v>
      </c>
      <c r="EN179" t="e">
        <f>Raw!E98+"h_l!(lA"</f>
        <v>#VALUE!</v>
      </c>
      <c r="EO179" t="e">
        <f>Raw!#REF!+"h_l!(lB"</f>
        <v>#REF!</v>
      </c>
      <c r="EP179" t="e">
        <f>Raw!G98+"h_l!(lC"</f>
        <v>#VALUE!</v>
      </c>
      <c r="EQ179" t="e">
        <f>Raw!H98+"h_l!(lD"</f>
        <v>#VALUE!</v>
      </c>
      <c r="ER179" t="e">
        <f>Raw!I98+"h_l!(lE"</f>
        <v>#VALUE!</v>
      </c>
      <c r="ES179" t="e">
        <f>Raw!J98+"h_l!(lF"</f>
        <v>#VALUE!</v>
      </c>
      <c r="ET179" t="e">
        <f>Raw!K98+"h_l!(lG"</f>
        <v>#VALUE!</v>
      </c>
      <c r="EU179" t="e">
        <f>Raw!L98+"h_l!(lH"</f>
        <v>#VALUE!</v>
      </c>
      <c r="EV179" t="e">
        <f>Raw!M98+"h_l!(lI"</f>
        <v>#VALUE!</v>
      </c>
      <c r="EW179" t="e">
        <f>Raw!N98+"h_l!(lJ"</f>
        <v>#VALUE!</v>
      </c>
      <c r="EX179" t="e">
        <f>Raw!O98+"h_l!(lK"</f>
        <v>#VALUE!</v>
      </c>
      <c r="EY179" t="e">
        <f>Raw!P98+"h_l!(lL"</f>
        <v>#VALUE!</v>
      </c>
      <c r="EZ179" t="e">
        <f>Raw!Q98+"h_l!(lM"</f>
        <v>#VALUE!</v>
      </c>
      <c r="FA179" t="e">
        <f>Raw!R98+"h_l!(lN"</f>
        <v>#VALUE!</v>
      </c>
      <c r="FB179" t="e">
        <f>Raw!S98+"h_l!(lO"</f>
        <v>#VALUE!</v>
      </c>
      <c r="FC179" t="e">
        <f>Raw!T98+"h_l!(lP"</f>
        <v>#VALUE!</v>
      </c>
      <c r="FD179" t="e">
        <f>Raw!U98+"h_l!(lQ"</f>
        <v>#VALUE!</v>
      </c>
      <c r="FE179" t="e">
        <f>Raw!V98+"h_l!(lR"</f>
        <v>#VALUE!</v>
      </c>
      <c r="FF179" t="e">
        <f>Raw!W98+"h_l!(lS"</f>
        <v>#VALUE!</v>
      </c>
      <c r="FG179" t="e">
        <f>Raw!A99+"h_l!(lT"</f>
        <v>#VALUE!</v>
      </c>
      <c r="FH179" t="e">
        <f>Raw!B99+"h_l!(lU"</f>
        <v>#VALUE!</v>
      </c>
      <c r="FI179" t="e">
        <f>Raw!C99+"h_l!(lV"</f>
        <v>#VALUE!</v>
      </c>
      <c r="FJ179" t="e">
        <f>Raw!D99+"h_l!(lW"</f>
        <v>#VALUE!</v>
      </c>
      <c r="FK179" t="e">
        <f>Raw!E99+"h_l!(lX"</f>
        <v>#VALUE!</v>
      </c>
      <c r="FL179" t="e">
        <f>Raw!#REF!+"h_l!(lY"</f>
        <v>#REF!</v>
      </c>
      <c r="FM179" t="e">
        <f>Raw!G99+"h_l!(lZ"</f>
        <v>#VALUE!</v>
      </c>
      <c r="FN179" t="e">
        <f>Raw!H99+"h_l!(l["</f>
        <v>#VALUE!</v>
      </c>
      <c r="FO179" t="e">
        <f>Raw!I99+"h_l!(l\"</f>
        <v>#VALUE!</v>
      </c>
      <c r="FP179" t="e">
        <f>Raw!J99+"h_l!(l]"</f>
        <v>#VALUE!</v>
      </c>
      <c r="FQ179" t="e">
        <f>Raw!K99+"h_l!(l^"</f>
        <v>#VALUE!</v>
      </c>
      <c r="FR179" t="e">
        <f>Raw!L99+"h_l!(l_"</f>
        <v>#VALUE!</v>
      </c>
      <c r="FS179" t="e">
        <f>Raw!M99+"h_l!(l`"</f>
        <v>#VALUE!</v>
      </c>
      <c r="FT179" t="e">
        <f>Raw!N99+"h_l!(la"</f>
        <v>#VALUE!</v>
      </c>
      <c r="FU179" t="e">
        <f>Raw!O99+"h_l!(lb"</f>
        <v>#VALUE!</v>
      </c>
      <c r="FV179" t="e">
        <f>Raw!P99+"h_l!(lc"</f>
        <v>#VALUE!</v>
      </c>
      <c r="FW179" t="e">
        <f>Raw!Q99+"h_l!(ld"</f>
        <v>#VALUE!</v>
      </c>
      <c r="FX179" t="e">
        <f>Raw!R99+"h_l!(le"</f>
        <v>#VALUE!</v>
      </c>
      <c r="FY179" t="e">
        <f>Raw!S99+"h_l!(lf"</f>
        <v>#VALUE!</v>
      </c>
      <c r="FZ179" t="e">
        <f>Raw!T99+"h_l!(lg"</f>
        <v>#VALUE!</v>
      </c>
      <c r="GA179" t="e">
        <f>Raw!U99+"h_l!(lh"</f>
        <v>#VALUE!</v>
      </c>
      <c r="GB179" t="e">
        <f>Raw!V99+"h_l!(li"</f>
        <v>#VALUE!</v>
      </c>
      <c r="GC179" t="e">
        <f>Raw!W99+"h_l!(lj"</f>
        <v>#VALUE!</v>
      </c>
      <c r="GD179" t="e">
        <f>Raw!A100+"h_l!(lk"</f>
        <v>#VALUE!</v>
      </c>
      <c r="GE179" t="e">
        <f>Raw!B100+"h_l!(ll"</f>
        <v>#VALUE!</v>
      </c>
      <c r="GF179" t="e">
        <f>Raw!C100+"h_l!(lm"</f>
        <v>#VALUE!</v>
      </c>
      <c r="GG179" t="e">
        <f>Raw!D100+"h_l!(ln"</f>
        <v>#VALUE!</v>
      </c>
      <c r="GH179" t="e">
        <f>Raw!E100+"h_l!(lo"</f>
        <v>#VALUE!</v>
      </c>
      <c r="GI179" t="e">
        <f>Raw!#REF!+"h_l!(lp"</f>
        <v>#REF!</v>
      </c>
      <c r="GJ179" t="e">
        <f>Raw!G100+"h_l!(lq"</f>
        <v>#VALUE!</v>
      </c>
      <c r="GK179" t="e">
        <f>Raw!H100+"h_l!(lr"</f>
        <v>#VALUE!</v>
      </c>
      <c r="GL179" t="e">
        <f>Raw!I100+"h_l!(ls"</f>
        <v>#VALUE!</v>
      </c>
      <c r="GM179" t="e">
        <f>Raw!J100+"h_l!(lt"</f>
        <v>#VALUE!</v>
      </c>
      <c r="GN179" t="e">
        <f>Raw!K100+"h_l!(lu"</f>
        <v>#VALUE!</v>
      </c>
      <c r="GO179" t="e">
        <f>Raw!L100+"h_l!(lv"</f>
        <v>#VALUE!</v>
      </c>
      <c r="GP179" t="e">
        <f>Raw!M100+"h_l!(lw"</f>
        <v>#VALUE!</v>
      </c>
      <c r="GQ179" t="e">
        <f>Raw!N100+"h_l!(lx"</f>
        <v>#VALUE!</v>
      </c>
      <c r="GR179" t="e">
        <f>Raw!O100+"h_l!(ly"</f>
        <v>#VALUE!</v>
      </c>
      <c r="GS179" t="e">
        <f>Raw!P100+"h_l!(lz"</f>
        <v>#VALUE!</v>
      </c>
      <c r="GT179" t="e">
        <f>Raw!Q100+"h_l!(l{"</f>
        <v>#VALUE!</v>
      </c>
      <c r="GU179" t="e">
        <f>Raw!R100+"h_l!(l|"</f>
        <v>#VALUE!</v>
      </c>
      <c r="GV179" t="e">
        <f>Raw!S100+"h_l!(l}"</f>
        <v>#VALUE!</v>
      </c>
      <c r="GW179" t="e">
        <f>Raw!T100+"h_l!(l~"</f>
        <v>#VALUE!</v>
      </c>
      <c r="GX179" t="e">
        <f>Raw!U100+"h_l!(m#"</f>
        <v>#VALUE!</v>
      </c>
      <c r="GY179" t="e">
        <f>Raw!V100+"h_l!(m$"</f>
        <v>#VALUE!</v>
      </c>
      <c r="GZ179" t="e">
        <f>Raw!W100+"h_l!(m%"</f>
        <v>#VALUE!</v>
      </c>
      <c r="HA179" t="e">
        <f>Raw!A101+"h_l!(m&amp;"</f>
        <v>#VALUE!</v>
      </c>
      <c r="HB179" t="e">
        <f>Raw!B101+"h_l!(m'"</f>
        <v>#VALUE!</v>
      </c>
      <c r="HC179" t="e">
        <f>Raw!C101+"h_l!(m("</f>
        <v>#VALUE!</v>
      </c>
      <c r="HD179" t="e">
        <f>Raw!D101+"h_l!(m)"</f>
        <v>#VALUE!</v>
      </c>
      <c r="HE179" t="e">
        <f>Raw!E101+"h_l!(m."</f>
        <v>#VALUE!</v>
      </c>
      <c r="HF179" t="e">
        <f>Raw!#REF!+"h_l!(m/"</f>
        <v>#REF!</v>
      </c>
      <c r="HG179" t="e">
        <f>Raw!G101+"h_l!(m0"</f>
        <v>#VALUE!</v>
      </c>
      <c r="HH179" t="e">
        <f>Raw!H101+"h_l!(m1"</f>
        <v>#VALUE!</v>
      </c>
      <c r="HI179" t="e">
        <f>Raw!I101+"h_l!(m2"</f>
        <v>#VALUE!</v>
      </c>
      <c r="HJ179" t="e">
        <f>Raw!J101+"h_l!(m3"</f>
        <v>#VALUE!</v>
      </c>
      <c r="HK179" t="e">
        <f>Raw!K101+"h_l!(m4"</f>
        <v>#VALUE!</v>
      </c>
      <c r="HL179" t="e">
        <f>Raw!L101+"h_l!(m5"</f>
        <v>#VALUE!</v>
      </c>
      <c r="HM179" t="e">
        <f>Raw!M101+"h_l!(m6"</f>
        <v>#VALUE!</v>
      </c>
      <c r="HN179" t="e">
        <f>Raw!N101+"h_l!(m7"</f>
        <v>#VALUE!</v>
      </c>
      <c r="HO179" t="e">
        <f>Raw!O101+"h_l!(m8"</f>
        <v>#VALUE!</v>
      </c>
      <c r="HP179" t="e">
        <f>Raw!P101+"h_l!(m9"</f>
        <v>#VALUE!</v>
      </c>
      <c r="HQ179" t="e">
        <f>Raw!Q101+"h_l!(m:"</f>
        <v>#VALUE!</v>
      </c>
      <c r="HR179" t="e">
        <f>Raw!R101+"h_l!(m;"</f>
        <v>#VALUE!</v>
      </c>
      <c r="HS179" t="e">
        <f>Raw!S101+"h_l!(m&lt;"</f>
        <v>#VALUE!</v>
      </c>
      <c r="HT179" t="e">
        <f>Raw!T101+"h_l!(m="</f>
        <v>#VALUE!</v>
      </c>
      <c r="HU179" t="e">
        <f>Raw!U101+"h_l!(m&gt;"</f>
        <v>#VALUE!</v>
      </c>
      <c r="HV179" t="e">
        <f>Raw!V101+"h_l!(m?"</f>
        <v>#VALUE!</v>
      </c>
      <c r="HW179" t="e">
        <f>Raw!W101+"h_l!(m@"</f>
        <v>#VALUE!</v>
      </c>
      <c r="HX179" t="e">
        <f>Raw!A102+"h_l!(mA"</f>
        <v>#VALUE!</v>
      </c>
      <c r="HY179" t="e">
        <f>Raw!B102+"h_l!(mB"</f>
        <v>#VALUE!</v>
      </c>
      <c r="HZ179" t="e">
        <f>Raw!C102+"h_l!(mC"</f>
        <v>#VALUE!</v>
      </c>
      <c r="IA179" t="e">
        <f>Raw!D102+"h_l!(mD"</f>
        <v>#VALUE!</v>
      </c>
      <c r="IB179" t="e">
        <f>Raw!E102+"h_l!(mE"</f>
        <v>#VALUE!</v>
      </c>
      <c r="IC179" t="e">
        <f>Raw!#REF!+"h_l!(mF"</f>
        <v>#REF!</v>
      </c>
      <c r="ID179" t="e">
        <f>Raw!G102+"h_l!(mG"</f>
        <v>#VALUE!</v>
      </c>
      <c r="IE179" t="e">
        <f>Raw!H102+"h_l!(mH"</f>
        <v>#VALUE!</v>
      </c>
      <c r="IF179" t="e">
        <f>Raw!I102+"h_l!(mI"</f>
        <v>#VALUE!</v>
      </c>
      <c r="IG179" t="e">
        <f>Raw!J102+"h_l!(mJ"</f>
        <v>#VALUE!</v>
      </c>
      <c r="IH179" t="e">
        <f>Raw!K102+"h_l!(mK"</f>
        <v>#VALUE!</v>
      </c>
      <c r="II179" t="e">
        <f>Raw!L102+"h_l!(mL"</f>
        <v>#VALUE!</v>
      </c>
      <c r="IJ179" t="e">
        <f>Raw!M102+"h_l!(mM"</f>
        <v>#VALUE!</v>
      </c>
      <c r="IK179" t="e">
        <f>Raw!N102+"h_l!(mN"</f>
        <v>#VALUE!</v>
      </c>
      <c r="IL179" t="e">
        <f>Raw!O102+"h_l!(mO"</f>
        <v>#VALUE!</v>
      </c>
      <c r="IM179" t="e">
        <f>Raw!P102+"h_l!(mP"</f>
        <v>#VALUE!</v>
      </c>
      <c r="IN179" t="e">
        <f>Raw!Q102+"h_l!(mQ"</f>
        <v>#VALUE!</v>
      </c>
      <c r="IO179" t="e">
        <f>Raw!R102+"h_l!(mR"</f>
        <v>#VALUE!</v>
      </c>
      <c r="IP179" t="e">
        <f>Raw!S102+"h_l!(mS"</f>
        <v>#VALUE!</v>
      </c>
      <c r="IQ179" t="e">
        <f>Raw!T102+"h_l!(mT"</f>
        <v>#VALUE!</v>
      </c>
      <c r="IR179" t="e">
        <f>Raw!U102+"h_l!(mU"</f>
        <v>#VALUE!</v>
      </c>
      <c r="IS179" t="e">
        <f>Raw!V102+"h_l!(mV"</f>
        <v>#VALUE!</v>
      </c>
      <c r="IT179" t="e">
        <f>Raw!W102+"h_l!(mW"</f>
        <v>#VALUE!</v>
      </c>
      <c r="IU179" t="e">
        <f>Raw!A103+"h_l!(mX"</f>
        <v>#VALUE!</v>
      </c>
      <c r="IV179" t="e">
        <f>Raw!B103+"h_l!(mY"</f>
        <v>#VALUE!</v>
      </c>
    </row>
    <row r="180" spans="6:256" x14ac:dyDescent="0.25">
      <c r="F180" t="e">
        <f>Raw!C103+"h_l!(mZ"</f>
        <v>#VALUE!</v>
      </c>
      <c r="G180" t="e">
        <f>Raw!D103+"h_l!(m["</f>
        <v>#VALUE!</v>
      </c>
      <c r="H180" t="e">
        <f>Raw!E103+"h_l!(m\"</f>
        <v>#VALUE!</v>
      </c>
      <c r="I180" t="e">
        <f>Raw!#REF!+"h_l!(m]"</f>
        <v>#REF!</v>
      </c>
      <c r="J180" t="e">
        <f>Raw!G103+"h_l!(m^"</f>
        <v>#VALUE!</v>
      </c>
      <c r="K180" t="e">
        <f>Raw!H103+"h_l!(m_"</f>
        <v>#VALUE!</v>
      </c>
      <c r="L180" t="e">
        <f>Raw!I103+"h_l!(m`"</f>
        <v>#VALUE!</v>
      </c>
      <c r="M180" t="e">
        <f>Raw!J103+"h_l!(ma"</f>
        <v>#VALUE!</v>
      </c>
      <c r="N180" t="e">
        <f>Raw!K103+"h_l!(mb"</f>
        <v>#VALUE!</v>
      </c>
      <c r="O180" t="e">
        <f>Raw!L103+"h_l!(mc"</f>
        <v>#VALUE!</v>
      </c>
      <c r="P180" t="e">
        <f>Raw!M103+"h_l!(md"</f>
        <v>#VALUE!</v>
      </c>
      <c r="Q180" t="e">
        <f>Raw!N103+"h_l!(me"</f>
        <v>#VALUE!</v>
      </c>
      <c r="R180" t="e">
        <f>Raw!O103+"h_l!(mf"</f>
        <v>#VALUE!</v>
      </c>
      <c r="S180" t="e">
        <f>Raw!P103+"h_l!(mg"</f>
        <v>#VALUE!</v>
      </c>
      <c r="T180" t="e">
        <f>Raw!Q103+"h_l!(mh"</f>
        <v>#VALUE!</v>
      </c>
      <c r="U180" t="e">
        <f>Raw!R103+"h_l!(mi"</f>
        <v>#VALUE!</v>
      </c>
      <c r="V180" t="e">
        <f>Raw!S103+"h_l!(mj"</f>
        <v>#VALUE!</v>
      </c>
      <c r="W180" t="e">
        <f>Raw!T103+"h_l!(mk"</f>
        <v>#VALUE!</v>
      </c>
      <c r="X180" t="e">
        <f>Raw!U103+"h_l!(ml"</f>
        <v>#VALUE!</v>
      </c>
      <c r="Y180" t="e">
        <f>Raw!V103+"h_l!(mm"</f>
        <v>#VALUE!</v>
      </c>
      <c r="Z180" t="e">
        <f>Raw!W103+"h_l!(mn"</f>
        <v>#VALUE!</v>
      </c>
      <c r="AA180" t="e">
        <f>Raw!A104+"h_l!(mo"</f>
        <v>#VALUE!</v>
      </c>
      <c r="AB180" t="e">
        <f>Raw!B104+"h_l!(mp"</f>
        <v>#VALUE!</v>
      </c>
      <c r="AC180" t="e">
        <f>Raw!C104+"h_l!(mq"</f>
        <v>#VALUE!</v>
      </c>
      <c r="AD180" t="e">
        <f>Raw!D104+"h_l!(mr"</f>
        <v>#VALUE!</v>
      </c>
      <c r="AE180" t="e">
        <f>Raw!E104+"h_l!(ms"</f>
        <v>#VALUE!</v>
      </c>
      <c r="AF180" t="e">
        <f>Raw!#REF!+"h_l!(mt"</f>
        <v>#REF!</v>
      </c>
      <c r="AG180" t="e">
        <f>Raw!G104+"h_l!(mu"</f>
        <v>#VALUE!</v>
      </c>
      <c r="AH180" t="e">
        <f>Raw!H104+"h_l!(mv"</f>
        <v>#VALUE!</v>
      </c>
      <c r="AI180" t="e">
        <f>Raw!I104+"h_l!(mw"</f>
        <v>#VALUE!</v>
      </c>
      <c r="AJ180" t="e">
        <f>Raw!J104+"h_l!(mx"</f>
        <v>#VALUE!</v>
      </c>
      <c r="AK180" t="e">
        <f>Raw!K104+"h_l!(my"</f>
        <v>#VALUE!</v>
      </c>
      <c r="AL180" t="e">
        <f>Raw!L104+"h_l!(mz"</f>
        <v>#VALUE!</v>
      </c>
      <c r="AM180" t="e">
        <f>Raw!M104+"h_l!(m{"</f>
        <v>#VALUE!</v>
      </c>
      <c r="AN180" t="e">
        <f>Raw!N104+"h_l!(m|"</f>
        <v>#VALUE!</v>
      </c>
      <c r="AO180" t="e">
        <f>Raw!O104+"h_l!(m}"</f>
        <v>#VALUE!</v>
      </c>
      <c r="AP180" t="e">
        <f>Raw!P104+"h_l!(m~"</f>
        <v>#VALUE!</v>
      </c>
      <c r="AQ180" t="e">
        <f>Raw!Q104+"h_l!(n#"</f>
        <v>#VALUE!</v>
      </c>
      <c r="AR180" t="e">
        <f>Raw!R104+"h_l!(n$"</f>
        <v>#VALUE!</v>
      </c>
      <c r="AS180" t="e">
        <f>Raw!S104+"h_l!(n%"</f>
        <v>#VALUE!</v>
      </c>
      <c r="AT180" t="e">
        <f>Raw!T104+"h_l!(n&amp;"</f>
        <v>#VALUE!</v>
      </c>
      <c r="AU180" t="e">
        <f>Raw!U104+"h_l!(n'"</f>
        <v>#VALUE!</v>
      </c>
      <c r="AV180" t="e">
        <f>Raw!V104+"h_l!(n("</f>
        <v>#VALUE!</v>
      </c>
      <c r="AW180" t="e">
        <f>Raw!W104+"h_l!(n)"</f>
        <v>#VALUE!</v>
      </c>
      <c r="AX180" t="e">
        <f>Raw!A105+"h_l!(n."</f>
        <v>#VALUE!</v>
      </c>
      <c r="AY180" t="e">
        <f>Raw!B105+"h_l!(n/"</f>
        <v>#VALUE!</v>
      </c>
      <c r="AZ180" t="e">
        <f>Raw!C105+"h_l!(n0"</f>
        <v>#VALUE!</v>
      </c>
      <c r="BA180" t="e">
        <f>Raw!D105+"h_l!(n1"</f>
        <v>#VALUE!</v>
      </c>
      <c r="BB180" t="e">
        <f>Raw!E105+"h_l!(n2"</f>
        <v>#VALUE!</v>
      </c>
      <c r="BC180" t="e">
        <f>Raw!#REF!+"h_l!(n3"</f>
        <v>#REF!</v>
      </c>
      <c r="BD180" t="e">
        <f>Raw!G105+"h_l!(n4"</f>
        <v>#VALUE!</v>
      </c>
      <c r="BE180" t="e">
        <f>Raw!H105+"h_l!(n5"</f>
        <v>#VALUE!</v>
      </c>
      <c r="BF180" t="e">
        <f>Raw!I105+"h_l!(n6"</f>
        <v>#VALUE!</v>
      </c>
      <c r="BG180" t="e">
        <f>Raw!J105+"h_l!(n7"</f>
        <v>#VALUE!</v>
      </c>
      <c r="BH180" t="e">
        <f>Raw!K105+"h_l!(n8"</f>
        <v>#VALUE!</v>
      </c>
      <c r="BI180" t="e">
        <f>Raw!L105+"h_l!(n9"</f>
        <v>#VALUE!</v>
      </c>
      <c r="BJ180" t="e">
        <f>Raw!M105+"h_l!(n:"</f>
        <v>#VALUE!</v>
      </c>
      <c r="BK180" t="e">
        <f>Raw!N105+"h_l!(n;"</f>
        <v>#VALUE!</v>
      </c>
      <c r="BL180" t="e">
        <f>Raw!O105+"h_l!(n&lt;"</f>
        <v>#VALUE!</v>
      </c>
      <c r="BM180" t="e">
        <f>Raw!P105+"h_l!(n="</f>
        <v>#VALUE!</v>
      </c>
      <c r="BN180" t="e">
        <f>Raw!Q105+"h_l!(n&gt;"</f>
        <v>#VALUE!</v>
      </c>
      <c r="BO180" t="e">
        <f>Raw!R105+"h_l!(n?"</f>
        <v>#VALUE!</v>
      </c>
      <c r="BP180" t="e">
        <f>Raw!S105+"h_l!(n@"</f>
        <v>#VALUE!</v>
      </c>
      <c r="BQ180" t="e">
        <f>Raw!T105+"h_l!(nA"</f>
        <v>#VALUE!</v>
      </c>
      <c r="BR180" t="e">
        <f>Raw!U105+"h_l!(nB"</f>
        <v>#VALUE!</v>
      </c>
      <c r="BS180" t="e">
        <f>Raw!V105+"h_l!(nC"</f>
        <v>#VALUE!</v>
      </c>
      <c r="BT180" t="e">
        <f>Raw!W105+"h_l!(nD"</f>
        <v>#VALUE!</v>
      </c>
      <c r="BU180" t="e">
        <f>Raw!A106+"h_l!(nE"</f>
        <v>#VALUE!</v>
      </c>
      <c r="BV180" t="e">
        <f>Raw!B106+"h_l!(nF"</f>
        <v>#VALUE!</v>
      </c>
      <c r="BW180" t="e">
        <f>Raw!C106+"h_l!(nG"</f>
        <v>#VALUE!</v>
      </c>
      <c r="BX180" t="e">
        <f>Raw!D106+"h_l!(nH"</f>
        <v>#VALUE!</v>
      </c>
      <c r="BY180" t="e">
        <f>Raw!E106+"h_l!(nI"</f>
        <v>#VALUE!</v>
      </c>
      <c r="BZ180" t="e">
        <f>Raw!#REF!+"h_l!(nJ"</f>
        <v>#REF!</v>
      </c>
      <c r="CA180" t="e">
        <f>Raw!G106+"h_l!(nK"</f>
        <v>#VALUE!</v>
      </c>
      <c r="CB180" t="e">
        <f>Raw!H106+"h_l!(nL"</f>
        <v>#VALUE!</v>
      </c>
      <c r="CC180" t="e">
        <f>Raw!I106+"h_l!(nM"</f>
        <v>#VALUE!</v>
      </c>
      <c r="CD180" t="e">
        <f>Raw!J106+"h_l!(nN"</f>
        <v>#VALUE!</v>
      </c>
      <c r="CE180" t="e">
        <f>Raw!K106+"h_l!(nO"</f>
        <v>#VALUE!</v>
      </c>
      <c r="CF180" t="e">
        <f>Raw!L106+"h_l!(nP"</f>
        <v>#VALUE!</v>
      </c>
      <c r="CG180" t="e">
        <f>Raw!M106+"h_l!(nQ"</f>
        <v>#VALUE!</v>
      </c>
      <c r="CH180" t="e">
        <f>Raw!N106+"h_l!(nR"</f>
        <v>#VALUE!</v>
      </c>
      <c r="CI180" t="e">
        <f>Raw!O106+"h_l!(nS"</f>
        <v>#VALUE!</v>
      </c>
      <c r="CJ180" t="e">
        <f>Raw!P106+"h_l!(nT"</f>
        <v>#VALUE!</v>
      </c>
      <c r="CK180" t="e">
        <f>Raw!Q106+"h_l!(nU"</f>
        <v>#VALUE!</v>
      </c>
      <c r="CL180" t="e">
        <f>Raw!R106+"h_l!(nV"</f>
        <v>#VALUE!</v>
      </c>
      <c r="CM180" t="e">
        <f>Raw!S106+"h_l!(nW"</f>
        <v>#VALUE!</v>
      </c>
      <c r="CN180" t="e">
        <f>Raw!T106+"h_l!(nX"</f>
        <v>#VALUE!</v>
      </c>
      <c r="CO180" t="e">
        <f>Raw!U106+"h_l!(nY"</f>
        <v>#VALUE!</v>
      </c>
      <c r="CP180" t="e">
        <f>Raw!V106+"h_l!(nZ"</f>
        <v>#VALUE!</v>
      </c>
      <c r="CQ180" t="e">
        <f>Raw!W106+"h_l!(n["</f>
        <v>#VALUE!</v>
      </c>
      <c r="CR180" t="e">
        <f>Raw!A107+"h_l!(n\"</f>
        <v>#VALUE!</v>
      </c>
      <c r="CS180" t="e">
        <f>Raw!B107+"h_l!(n]"</f>
        <v>#VALUE!</v>
      </c>
      <c r="CT180" t="e">
        <f>Raw!C107+"h_l!(n^"</f>
        <v>#VALUE!</v>
      </c>
      <c r="CU180" t="e">
        <f>Raw!D107+"h_l!(n_"</f>
        <v>#VALUE!</v>
      </c>
      <c r="CV180" t="e">
        <f>Raw!E107+"h_l!(n`"</f>
        <v>#VALUE!</v>
      </c>
      <c r="CW180" t="e">
        <f>Raw!#REF!+"h_l!(na"</f>
        <v>#REF!</v>
      </c>
      <c r="CX180" t="e">
        <f>Raw!G107+"h_l!(nb"</f>
        <v>#VALUE!</v>
      </c>
      <c r="CY180" t="e">
        <f>Raw!H107+"h_l!(nc"</f>
        <v>#VALUE!</v>
      </c>
      <c r="CZ180" t="e">
        <f>Raw!I107+"h_l!(nd"</f>
        <v>#VALUE!</v>
      </c>
      <c r="DA180" t="e">
        <f>Raw!J107+"h_l!(ne"</f>
        <v>#VALUE!</v>
      </c>
      <c r="DB180" t="e">
        <f>Raw!K107+"h_l!(nf"</f>
        <v>#VALUE!</v>
      </c>
      <c r="DC180" t="e">
        <f>Raw!L107+"h_l!(ng"</f>
        <v>#VALUE!</v>
      </c>
      <c r="DD180" t="e">
        <f>Raw!M107+"h_l!(nh"</f>
        <v>#VALUE!</v>
      </c>
      <c r="DE180" t="e">
        <f>Raw!N107+"h_l!(ni"</f>
        <v>#VALUE!</v>
      </c>
      <c r="DF180" t="e">
        <f>Raw!O107+"h_l!(nj"</f>
        <v>#VALUE!</v>
      </c>
      <c r="DG180" t="e">
        <f>Raw!P107+"h_l!(nk"</f>
        <v>#VALUE!</v>
      </c>
      <c r="DH180" t="e">
        <f>Raw!Q107+"h_l!(nl"</f>
        <v>#VALUE!</v>
      </c>
      <c r="DI180" t="e">
        <f>Raw!R107+"h_l!(nm"</f>
        <v>#VALUE!</v>
      </c>
      <c r="DJ180" t="e">
        <f>Raw!S107+"h_l!(nn"</f>
        <v>#VALUE!</v>
      </c>
      <c r="DK180" t="e">
        <f>Raw!T107+"h_l!(no"</f>
        <v>#VALUE!</v>
      </c>
      <c r="DL180" t="e">
        <f>Raw!U107+"h_l!(np"</f>
        <v>#VALUE!</v>
      </c>
      <c r="DM180" t="e">
        <f>Raw!V107+"h_l!(nq"</f>
        <v>#VALUE!</v>
      </c>
      <c r="DN180" t="e">
        <f>Raw!W107+"h_l!(nr"</f>
        <v>#VALUE!</v>
      </c>
      <c r="DO180" t="e">
        <f>Raw!A108+"h_l!(ns"</f>
        <v>#VALUE!</v>
      </c>
      <c r="DP180" t="e">
        <f>Raw!B108+"h_l!(nt"</f>
        <v>#VALUE!</v>
      </c>
      <c r="DQ180" t="e">
        <f>Raw!C108+"h_l!(nu"</f>
        <v>#VALUE!</v>
      </c>
      <c r="DR180" t="e">
        <f>Raw!D108+"h_l!(nv"</f>
        <v>#VALUE!</v>
      </c>
      <c r="DS180" t="e">
        <f>Raw!E108+"h_l!(nw"</f>
        <v>#VALUE!</v>
      </c>
      <c r="DT180" t="e">
        <f>Raw!#REF!+"h_l!(nx"</f>
        <v>#REF!</v>
      </c>
      <c r="DU180" t="e">
        <f>Raw!G108+"h_l!(ny"</f>
        <v>#VALUE!</v>
      </c>
      <c r="DV180" t="e">
        <f>Raw!H108+"h_l!(nz"</f>
        <v>#VALUE!</v>
      </c>
      <c r="DW180" t="e">
        <f>Raw!I108+"h_l!(n{"</f>
        <v>#VALUE!</v>
      </c>
      <c r="DX180" t="e">
        <f>Raw!J108+"h_l!(n|"</f>
        <v>#VALUE!</v>
      </c>
      <c r="DY180" t="e">
        <f>Raw!K108+"h_l!(n}"</f>
        <v>#VALUE!</v>
      </c>
      <c r="DZ180" t="e">
        <f>Raw!L108+"h_l!(n~"</f>
        <v>#VALUE!</v>
      </c>
      <c r="EA180" t="e">
        <f>Raw!M108+"h_l!(o#"</f>
        <v>#VALUE!</v>
      </c>
      <c r="EB180" t="e">
        <f>Raw!N108+"h_l!(o$"</f>
        <v>#VALUE!</v>
      </c>
      <c r="EC180" t="e">
        <f>Raw!O108+"h_l!(o%"</f>
        <v>#VALUE!</v>
      </c>
      <c r="ED180" t="e">
        <f>Raw!P108+"h_l!(o&amp;"</f>
        <v>#VALUE!</v>
      </c>
      <c r="EE180" t="e">
        <f>Raw!Q108+"h_l!(o'"</f>
        <v>#VALUE!</v>
      </c>
      <c r="EF180" t="e">
        <f>Raw!R108+"h_l!(o("</f>
        <v>#VALUE!</v>
      </c>
      <c r="EG180" t="e">
        <f>Raw!S108+"h_l!(o)"</f>
        <v>#VALUE!</v>
      </c>
      <c r="EH180" t="e">
        <f>Raw!T108+"h_l!(o."</f>
        <v>#VALUE!</v>
      </c>
      <c r="EI180" t="e">
        <f>Raw!U108+"h_l!(o/"</f>
        <v>#VALUE!</v>
      </c>
      <c r="EJ180" t="e">
        <f>Raw!V108+"h_l!(o0"</f>
        <v>#VALUE!</v>
      </c>
      <c r="EK180" t="e">
        <f>Raw!W108+"h_l!(o1"</f>
        <v>#VALUE!</v>
      </c>
      <c r="EL180" t="e">
        <f>Raw!A109+"h_l!(o2"</f>
        <v>#VALUE!</v>
      </c>
      <c r="EM180" t="e">
        <f>Raw!B109+"h_l!(o3"</f>
        <v>#VALUE!</v>
      </c>
      <c r="EN180" t="e">
        <f>Raw!C109+"h_l!(o4"</f>
        <v>#VALUE!</v>
      </c>
      <c r="EO180" t="e">
        <f>Raw!D109+"h_l!(o5"</f>
        <v>#VALUE!</v>
      </c>
      <c r="EP180" t="e">
        <f>Raw!E109+"h_l!(o6"</f>
        <v>#VALUE!</v>
      </c>
      <c r="EQ180" t="e">
        <f>Raw!#REF!+"h_l!(o7"</f>
        <v>#REF!</v>
      </c>
      <c r="ER180" t="e">
        <f>Raw!G109+"h_l!(o8"</f>
        <v>#VALUE!</v>
      </c>
      <c r="ES180" t="e">
        <f>Raw!H109+"h_l!(o9"</f>
        <v>#VALUE!</v>
      </c>
      <c r="ET180" t="e">
        <f>Raw!I109+"h_l!(o:"</f>
        <v>#VALUE!</v>
      </c>
      <c r="EU180" t="e">
        <f>Raw!J109+"h_l!(o;"</f>
        <v>#VALUE!</v>
      </c>
      <c r="EV180" t="e">
        <f>Raw!K109+"h_l!(o&lt;"</f>
        <v>#VALUE!</v>
      </c>
      <c r="EW180" t="e">
        <f>Raw!L109+"h_l!(o="</f>
        <v>#VALUE!</v>
      </c>
      <c r="EX180" t="e">
        <f>Raw!M109+"h_l!(o&gt;"</f>
        <v>#VALUE!</v>
      </c>
      <c r="EY180" t="e">
        <f>Raw!N109+"h_l!(o?"</f>
        <v>#VALUE!</v>
      </c>
      <c r="EZ180" t="e">
        <f>Raw!O109+"h_l!(o@"</f>
        <v>#VALUE!</v>
      </c>
      <c r="FA180" t="e">
        <f>Raw!P109+"h_l!(oA"</f>
        <v>#VALUE!</v>
      </c>
      <c r="FB180" t="e">
        <f>Raw!Q109+"h_l!(oB"</f>
        <v>#VALUE!</v>
      </c>
      <c r="FC180" t="e">
        <f>Raw!R109+"h_l!(oC"</f>
        <v>#VALUE!</v>
      </c>
      <c r="FD180" t="e">
        <f>Raw!S109+"h_l!(oD"</f>
        <v>#VALUE!</v>
      </c>
      <c r="FE180" t="e">
        <f>Raw!T109+"h_l!(oE"</f>
        <v>#VALUE!</v>
      </c>
      <c r="FF180" t="e">
        <f>Raw!U109+"h_l!(oF"</f>
        <v>#VALUE!</v>
      </c>
      <c r="FG180" t="e">
        <f>Raw!V109+"h_l!(oG"</f>
        <v>#VALUE!</v>
      </c>
      <c r="FH180" t="e">
        <f>Raw!W109+"h_l!(oH"</f>
        <v>#VALUE!</v>
      </c>
      <c r="FI180" t="e">
        <f>Raw!A110+"h_l!(oI"</f>
        <v>#VALUE!</v>
      </c>
      <c r="FJ180" t="e">
        <f>Raw!B110+"h_l!(oJ"</f>
        <v>#VALUE!</v>
      </c>
      <c r="FK180" t="e">
        <f>Raw!C110+"h_l!(oK"</f>
        <v>#VALUE!</v>
      </c>
      <c r="FL180" t="e">
        <f>Raw!D110+"h_l!(oL"</f>
        <v>#VALUE!</v>
      </c>
      <c r="FM180" t="e">
        <f>Raw!E110+"h_l!(oM"</f>
        <v>#VALUE!</v>
      </c>
      <c r="FN180" t="e">
        <f>Raw!#REF!+"h_l!(oN"</f>
        <v>#REF!</v>
      </c>
      <c r="FO180" t="e">
        <f>Raw!G110+"h_l!(oO"</f>
        <v>#VALUE!</v>
      </c>
      <c r="FP180" t="e">
        <f>Raw!H110+"h_l!(oP"</f>
        <v>#VALUE!</v>
      </c>
      <c r="FQ180" t="e">
        <f>Raw!I110+"h_l!(oQ"</f>
        <v>#VALUE!</v>
      </c>
      <c r="FR180" t="e">
        <f>Raw!J110+"h_l!(oR"</f>
        <v>#VALUE!</v>
      </c>
      <c r="FS180" t="e">
        <f>Raw!K110+"h_l!(oS"</f>
        <v>#VALUE!</v>
      </c>
      <c r="FT180" t="e">
        <f>Raw!L110+"h_l!(oT"</f>
        <v>#VALUE!</v>
      </c>
      <c r="FU180" t="e">
        <f>Raw!M110+"h_l!(oU"</f>
        <v>#VALUE!</v>
      </c>
      <c r="FV180" t="e">
        <f>Raw!N110+"h_l!(oV"</f>
        <v>#VALUE!</v>
      </c>
      <c r="FW180" t="e">
        <f>Raw!O110+"h_l!(oW"</f>
        <v>#VALUE!</v>
      </c>
      <c r="FX180" t="e">
        <f>Raw!P110+"h_l!(oX"</f>
        <v>#VALUE!</v>
      </c>
      <c r="FY180" t="e">
        <f>Raw!Q110+"h_l!(oY"</f>
        <v>#VALUE!</v>
      </c>
      <c r="FZ180" t="e">
        <f>Raw!R110+"h_l!(oZ"</f>
        <v>#VALUE!</v>
      </c>
      <c r="GA180" t="e">
        <f>Raw!S110+"h_l!(o["</f>
        <v>#VALUE!</v>
      </c>
      <c r="GB180" t="e">
        <f>Raw!T110+"h_l!(o\"</f>
        <v>#VALUE!</v>
      </c>
      <c r="GC180" t="e">
        <f>Raw!U110+"h_l!(o]"</f>
        <v>#VALUE!</v>
      </c>
      <c r="GD180" t="e">
        <f>Raw!V110+"h_l!(o^"</f>
        <v>#VALUE!</v>
      </c>
      <c r="GE180" t="e">
        <f>Raw!W110+"h_l!(o_"</f>
        <v>#VALUE!</v>
      </c>
      <c r="GF180" t="e">
        <f>Raw!A111+"h_l!(o`"</f>
        <v>#VALUE!</v>
      </c>
      <c r="GG180" t="e">
        <f>Raw!B111+"h_l!(oa"</f>
        <v>#VALUE!</v>
      </c>
      <c r="GH180" t="e">
        <f>Raw!C111+"h_l!(ob"</f>
        <v>#VALUE!</v>
      </c>
      <c r="GI180" t="e">
        <f>Raw!D111+"h_l!(oc"</f>
        <v>#VALUE!</v>
      </c>
      <c r="GJ180" t="e">
        <f>Raw!E111+"h_l!(od"</f>
        <v>#VALUE!</v>
      </c>
      <c r="GK180" t="e">
        <f>Raw!#REF!+"h_l!(oe"</f>
        <v>#REF!</v>
      </c>
      <c r="GL180" t="e">
        <f>Raw!G111+"h_l!(of"</f>
        <v>#VALUE!</v>
      </c>
      <c r="GM180" t="e">
        <f>Raw!H111+"h_l!(og"</f>
        <v>#VALUE!</v>
      </c>
      <c r="GN180" t="e">
        <f>Raw!I111+"h_l!(oh"</f>
        <v>#VALUE!</v>
      </c>
      <c r="GO180" t="e">
        <f>Raw!J111+"h_l!(oi"</f>
        <v>#VALUE!</v>
      </c>
      <c r="GP180" t="e">
        <f>Raw!K111+"h_l!(oj"</f>
        <v>#VALUE!</v>
      </c>
      <c r="GQ180" t="e">
        <f>Raw!L111+"h_l!(ok"</f>
        <v>#VALUE!</v>
      </c>
      <c r="GR180" t="e">
        <f>Raw!M111+"h_l!(ol"</f>
        <v>#VALUE!</v>
      </c>
      <c r="GS180" t="e">
        <f>Raw!N111+"h_l!(om"</f>
        <v>#VALUE!</v>
      </c>
      <c r="GT180" t="e">
        <f>Raw!O111+"h_l!(on"</f>
        <v>#VALUE!</v>
      </c>
      <c r="GU180" t="e">
        <f>Raw!P111+"h_l!(oo"</f>
        <v>#VALUE!</v>
      </c>
      <c r="GV180" t="e">
        <f>Raw!Q111+"h_l!(op"</f>
        <v>#VALUE!</v>
      </c>
      <c r="GW180" t="e">
        <f>Raw!R111+"h_l!(oq"</f>
        <v>#VALUE!</v>
      </c>
      <c r="GX180" t="e">
        <f>Raw!S111+"h_l!(or"</f>
        <v>#VALUE!</v>
      </c>
      <c r="GY180" t="e">
        <f>Raw!T111+"h_l!(os"</f>
        <v>#VALUE!</v>
      </c>
      <c r="GZ180" t="e">
        <f>Raw!U111+"h_l!(ot"</f>
        <v>#VALUE!</v>
      </c>
      <c r="HA180" t="e">
        <f>Raw!V111+"h_l!(ou"</f>
        <v>#VALUE!</v>
      </c>
      <c r="HB180" t="e">
        <f>Raw!W111+"h_l!(ov"</f>
        <v>#VALUE!</v>
      </c>
      <c r="HC180" t="e">
        <f>Raw!A112+"h_l!(ow"</f>
        <v>#VALUE!</v>
      </c>
      <c r="HD180" t="e">
        <f>Raw!B112+"h_l!(ox"</f>
        <v>#VALUE!</v>
      </c>
      <c r="HE180" t="e">
        <f>Raw!C112+"h_l!(oy"</f>
        <v>#VALUE!</v>
      </c>
      <c r="HF180" t="e">
        <f>Raw!D112+"h_l!(oz"</f>
        <v>#VALUE!</v>
      </c>
      <c r="HG180" t="e">
        <f>Raw!E112+"h_l!(o{"</f>
        <v>#VALUE!</v>
      </c>
      <c r="HH180" t="e">
        <f>Raw!#REF!+"h_l!(o|"</f>
        <v>#REF!</v>
      </c>
      <c r="HI180" t="e">
        <f>Raw!G112+"h_l!(o}"</f>
        <v>#VALUE!</v>
      </c>
      <c r="HJ180" t="e">
        <f>Raw!H112+"h_l!(o~"</f>
        <v>#VALUE!</v>
      </c>
      <c r="HK180" t="e">
        <f>Raw!I112+"h_l!(p#"</f>
        <v>#VALUE!</v>
      </c>
      <c r="HL180" t="e">
        <f>Raw!J112+"h_l!(p$"</f>
        <v>#VALUE!</v>
      </c>
      <c r="HM180" t="e">
        <f>Raw!K112+"h_l!(p%"</f>
        <v>#VALUE!</v>
      </c>
      <c r="HN180" t="e">
        <f>Raw!L112+"h_l!(p&amp;"</f>
        <v>#VALUE!</v>
      </c>
      <c r="HO180" t="e">
        <f>Raw!M112+"h_l!(p'"</f>
        <v>#VALUE!</v>
      </c>
      <c r="HP180" t="e">
        <f>Raw!N112+"h_l!(p("</f>
        <v>#VALUE!</v>
      </c>
      <c r="HQ180" t="e">
        <f>Raw!O112+"h_l!(p)"</f>
        <v>#VALUE!</v>
      </c>
      <c r="HR180" t="e">
        <f>Raw!P112+"h_l!(p."</f>
        <v>#VALUE!</v>
      </c>
      <c r="HS180" t="e">
        <f>Raw!Q112+"h_l!(p/"</f>
        <v>#VALUE!</v>
      </c>
      <c r="HT180" t="e">
        <f>Raw!R112+"h_l!(p0"</f>
        <v>#VALUE!</v>
      </c>
      <c r="HU180" t="e">
        <f>Raw!S112+"h_l!(p1"</f>
        <v>#VALUE!</v>
      </c>
      <c r="HV180" t="e">
        <f>Raw!T112+"h_l!(p2"</f>
        <v>#VALUE!</v>
      </c>
      <c r="HW180" t="e">
        <f>Raw!U112+"h_l!(p3"</f>
        <v>#VALUE!</v>
      </c>
      <c r="HX180" t="e">
        <f>Raw!V112+"h_l!(p4"</f>
        <v>#VALUE!</v>
      </c>
      <c r="HY180" t="e">
        <f>Raw!W112+"h_l!(p5"</f>
        <v>#VALUE!</v>
      </c>
      <c r="HZ180" t="e">
        <f>Raw!A113+"h_l!(p6"</f>
        <v>#VALUE!</v>
      </c>
      <c r="IA180" t="e">
        <f>Raw!B113+"h_l!(p7"</f>
        <v>#VALUE!</v>
      </c>
      <c r="IB180" t="e">
        <f>Raw!C113+"h_l!(p8"</f>
        <v>#VALUE!</v>
      </c>
      <c r="IC180" t="e">
        <f>Raw!D113+"h_l!(p9"</f>
        <v>#VALUE!</v>
      </c>
      <c r="ID180" t="e">
        <f>Raw!E113+"h_l!(p:"</f>
        <v>#VALUE!</v>
      </c>
      <c r="IE180" t="e">
        <f>Raw!#REF!+"h_l!(p;"</f>
        <v>#REF!</v>
      </c>
      <c r="IF180" t="e">
        <f>Raw!G113+"h_l!(p&lt;"</f>
        <v>#VALUE!</v>
      </c>
      <c r="IG180" t="e">
        <f>Raw!H113+"h_l!(p="</f>
        <v>#VALUE!</v>
      </c>
      <c r="IH180" t="e">
        <f>Raw!I113+"h_l!(p&gt;"</f>
        <v>#VALUE!</v>
      </c>
      <c r="II180" t="e">
        <f>Raw!J113+"h_l!(p?"</f>
        <v>#VALUE!</v>
      </c>
      <c r="IJ180" t="e">
        <f>Raw!K113+"h_l!(p@"</f>
        <v>#VALUE!</v>
      </c>
      <c r="IK180" t="e">
        <f>Raw!L113+"h_l!(pA"</f>
        <v>#VALUE!</v>
      </c>
      <c r="IL180" t="e">
        <f>Raw!M113+"h_l!(pB"</f>
        <v>#VALUE!</v>
      </c>
      <c r="IM180" t="e">
        <f>Raw!N113+"h_l!(pC"</f>
        <v>#VALUE!</v>
      </c>
      <c r="IN180" t="e">
        <f>Raw!O113+"h_l!(pD"</f>
        <v>#VALUE!</v>
      </c>
      <c r="IO180" t="e">
        <f>Raw!P113+"h_l!(pE"</f>
        <v>#VALUE!</v>
      </c>
      <c r="IP180" t="e">
        <f>Raw!Q113+"h_l!(pF"</f>
        <v>#VALUE!</v>
      </c>
      <c r="IQ180" t="e">
        <f>Raw!R113+"h_l!(pG"</f>
        <v>#VALUE!</v>
      </c>
      <c r="IR180" t="e">
        <f>Raw!S113+"h_l!(pH"</f>
        <v>#VALUE!</v>
      </c>
      <c r="IS180" t="e">
        <f>Raw!T113+"h_l!(pI"</f>
        <v>#VALUE!</v>
      </c>
      <c r="IT180" t="e">
        <f>Raw!U113+"h_l!(pJ"</f>
        <v>#VALUE!</v>
      </c>
      <c r="IU180" t="e">
        <f>Raw!V113+"h_l!(pK"</f>
        <v>#VALUE!</v>
      </c>
      <c r="IV180" t="e">
        <f>Raw!W113+"h_l!(pL"</f>
        <v>#VALUE!</v>
      </c>
    </row>
    <row r="181" spans="6:256" x14ac:dyDescent="0.25">
      <c r="F181" t="e">
        <f>Raw!A114+"h_l!(pM"</f>
        <v>#VALUE!</v>
      </c>
      <c r="G181" t="e">
        <f>Raw!B114+"h_l!(pN"</f>
        <v>#VALUE!</v>
      </c>
      <c r="H181" t="e">
        <f>Raw!C114+"h_l!(pO"</f>
        <v>#VALUE!</v>
      </c>
      <c r="I181" t="e">
        <f>Raw!D114+"h_l!(pP"</f>
        <v>#VALUE!</v>
      </c>
      <c r="J181" t="e">
        <f>Raw!E114+"h_l!(pQ"</f>
        <v>#VALUE!</v>
      </c>
      <c r="K181" t="e">
        <f>Raw!#REF!+"h_l!(pR"</f>
        <v>#REF!</v>
      </c>
      <c r="L181" t="e">
        <f>Raw!G114+"h_l!(pS"</f>
        <v>#VALUE!</v>
      </c>
      <c r="M181" t="e">
        <f>Raw!H114+"h_l!(pT"</f>
        <v>#VALUE!</v>
      </c>
      <c r="N181" t="e">
        <f>Raw!I114+"h_l!(pU"</f>
        <v>#VALUE!</v>
      </c>
      <c r="O181" t="e">
        <f>Raw!J114+"h_l!(pV"</f>
        <v>#VALUE!</v>
      </c>
      <c r="P181" t="e">
        <f>Raw!K114+"h_l!(pW"</f>
        <v>#VALUE!</v>
      </c>
      <c r="Q181" t="e">
        <f>Raw!L114+"h_l!(pX"</f>
        <v>#VALUE!</v>
      </c>
      <c r="R181" t="e">
        <f>Raw!M114+"h_l!(pY"</f>
        <v>#VALUE!</v>
      </c>
      <c r="S181" t="e">
        <f>Raw!N114+"h_l!(pZ"</f>
        <v>#VALUE!</v>
      </c>
      <c r="T181" t="e">
        <f>Raw!O114+"h_l!(p["</f>
        <v>#VALUE!</v>
      </c>
      <c r="U181" t="e">
        <f>Raw!P114+"h_l!(p\"</f>
        <v>#VALUE!</v>
      </c>
      <c r="V181" t="e">
        <f>Raw!Q114+"h_l!(p]"</f>
        <v>#VALUE!</v>
      </c>
      <c r="W181" t="e">
        <f>Raw!R114+"h_l!(p^"</f>
        <v>#VALUE!</v>
      </c>
      <c r="X181" t="e">
        <f>Raw!S114+"h_l!(p_"</f>
        <v>#VALUE!</v>
      </c>
      <c r="Y181" t="e">
        <f>Raw!T114+"h_l!(p`"</f>
        <v>#VALUE!</v>
      </c>
      <c r="Z181" t="e">
        <f>Raw!U114+"h_l!(pa"</f>
        <v>#VALUE!</v>
      </c>
      <c r="AA181" t="e">
        <f>Raw!V114+"h_l!(pb"</f>
        <v>#VALUE!</v>
      </c>
      <c r="AB181" t="e">
        <f>Raw!W114+"h_l!(pc"</f>
        <v>#VALUE!</v>
      </c>
      <c r="AC181" t="e">
        <f>Raw!A115+"h_l!(pd"</f>
        <v>#VALUE!</v>
      </c>
      <c r="AD181" t="e">
        <f>Raw!B115+"h_l!(pe"</f>
        <v>#VALUE!</v>
      </c>
      <c r="AE181" t="e">
        <f>Raw!C115+"h_l!(pf"</f>
        <v>#VALUE!</v>
      </c>
      <c r="AF181" t="e">
        <f>Raw!D115+"h_l!(pg"</f>
        <v>#VALUE!</v>
      </c>
      <c r="AG181" t="e">
        <f>Raw!E115+"h_l!(ph"</f>
        <v>#VALUE!</v>
      </c>
      <c r="AH181" t="e">
        <f>Raw!#REF!+"h_l!(pi"</f>
        <v>#REF!</v>
      </c>
      <c r="AI181" t="e">
        <f>Raw!G115+"h_l!(pj"</f>
        <v>#VALUE!</v>
      </c>
      <c r="AJ181" t="e">
        <f>Raw!H115+"h_l!(pk"</f>
        <v>#VALUE!</v>
      </c>
      <c r="AK181" t="e">
        <f>Raw!I115+"h_l!(pl"</f>
        <v>#VALUE!</v>
      </c>
      <c r="AL181" t="e">
        <f>Raw!J115+"h_l!(pm"</f>
        <v>#VALUE!</v>
      </c>
      <c r="AM181" t="e">
        <f>Raw!K115+"h_l!(pn"</f>
        <v>#VALUE!</v>
      </c>
      <c r="AN181" t="e">
        <f>Raw!L115+"h_l!(po"</f>
        <v>#VALUE!</v>
      </c>
      <c r="AO181" t="e">
        <f>Raw!M115+"h_l!(pp"</f>
        <v>#VALUE!</v>
      </c>
      <c r="AP181" t="e">
        <f>Raw!N115+"h_l!(pq"</f>
        <v>#VALUE!</v>
      </c>
      <c r="AQ181" t="e">
        <f>Raw!O115+"h_l!(pr"</f>
        <v>#VALUE!</v>
      </c>
      <c r="AR181" t="e">
        <f>Raw!P115+"h_l!(ps"</f>
        <v>#VALUE!</v>
      </c>
      <c r="AS181" t="e">
        <f>Raw!Q115+"h_l!(pt"</f>
        <v>#VALUE!</v>
      </c>
      <c r="AT181" t="e">
        <f>Raw!R115+"h_l!(pu"</f>
        <v>#VALUE!</v>
      </c>
      <c r="AU181" t="e">
        <f>Raw!S115+"h_l!(pv"</f>
        <v>#VALUE!</v>
      </c>
      <c r="AV181" t="e">
        <f>Raw!T115+"h_l!(pw"</f>
        <v>#VALUE!</v>
      </c>
      <c r="AW181" t="e">
        <f>Raw!U115+"h_l!(px"</f>
        <v>#VALUE!</v>
      </c>
      <c r="AX181" t="e">
        <f>Raw!V115+"h_l!(py"</f>
        <v>#VALUE!</v>
      </c>
      <c r="AY181" t="e">
        <f>Raw!W115+"h_l!(pz"</f>
        <v>#VALUE!</v>
      </c>
      <c r="AZ181" t="e">
        <f>Raw!A116+"h_l!(p{"</f>
        <v>#VALUE!</v>
      </c>
      <c r="BA181" t="e">
        <f>Raw!B116+"h_l!(p|"</f>
        <v>#VALUE!</v>
      </c>
      <c r="BB181" t="e">
        <f>Raw!C116+"h_l!(p}"</f>
        <v>#VALUE!</v>
      </c>
      <c r="BC181" t="e">
        <f>Raw!D116+"h_l!(p~"</f>
        <v>#VALUE!</v>
      </c>
      <c r="BD181" t="e">
        <f>Raw!E116+"h_l!(q#"</f>
        <v>#VALUE!</v>
      </c>
      <c r="BE181" t="e">
        <f>Raw!#REF!+"h_l!(q$"</f>
        <v>#REF!</v>
      </c>
      <c r="BF181" t="e">
        <f>Raw!G116+"h_l!(q%"</f>
        <v>#VALUE!</v>
      </c>
      <c r="BG181" t="e">
        <f>Raw!H116+"h_l!(q&amp;"</f>
        <v>#VALUE!</v>
      </c>
      <c r="BH181" t="e">
        <f>Raw!I116+"h_l!(q'"</f>
        <v>#VALUE!</v>
      </c>
      <c r="BI181" t="e">
        <f>Raw!J116+"h_l!(q("</f>
        <v>#VALUE!</v>
      </c>
      <c r="BJ181" t="e">
        <f>Raw!K116+"h_l!(q)"</f>
        <v>#VALUE!</v>
      </c>
      <c r="BK181" t="e">
        <f>Raw!L116+"h_l!(q."</f>
        <v>#VALUE!</v>
      </c>
      <c r="BL181" t="e">
        <f>Raw!M116+"h_l!(q/"</f>
        <v>#VALUE!</v>
      </c>
      <c r="BM181" t="e">
        <f>Raw!N116+"h_l!(q0"</f>
        <v>#VALUE!</v>
      </c>
      <c r="BN181" t="e">
        <f>Raw!O116+"h_l!(q1"</f>
        <v>#VALUE!</v>
      </c>
      <c r="BO181" t="e">
        <f>Raw!P116+"h_l!(q2"</f>
        <v>#VALUE!</v>
      </c>
      <c r="BP181" t="e">
        <f>Raw!Q116+"h_l!(q3"</f>
        <v>#VALUE!</v>
      </c>
      <c r="BQ181" t="e">
        <f>Raw!R116+"h_l!(q4"</f>
        <v>#VALUE!</v>
      </c>
      <c r="BR181" t="e">
        <f>Raw!S116+"h_l!(q5"</f>
        <v>#VALUE!</v>
      </c>
      <c r="BS181" t="e">
        <f>Raw!T116+"h_l!(q6"</f>
        <v>#VALUE!</v>
      </c>
      <c r="BT181" t="e">
        <f>Raw!U116+"h_l!(q7"</f>
        <v>#VALUE!</v>
      </c>
      <c r="BU181" t="e">
        <f>Raw!V116+"h_l!(q8"</f>
        <v>#VALUE!</v>
      </c>
      <c r="BV181" t="e">
        <f>Raw!W116+"h_l!(q9"</f>
        <v>#VALUE!</v>
      </c>
      <c r="BW181" t="e">
        <f>Raw!A117+"h_l!(q:"</f>
        <v>#VALUE!</v>
      </c>
      <c r="BX181" t="e">
        <f>Raw!B117+"h_l!(q;"</f>
        <v>#VALUE!</v>
      </c>
      <c r="BY181" t="e">
        <f>Raw!C117+"h_l!(q&lt;"</f>
        <v>#VALUE!</v>
      </c>
      <c r="BZ181" t="e">
        <f>Raw!D117+"h_l!(q="</f>
        <v>#VALUE!</v>
      </c>
      <c r="CA181" t="e">
        <f>Raw!E117+"h_l!(q&gt;"</f>
        <v>#VALUE!</v>
      </c>
      <c r="CB181" t="e">
        <f>Raw!#REF!+"h_l!(q?"</f>
        <v>#REF!</v>
      </c>
      <c r="CC181" t="e">
        <f>Raw!G117+"h_l!(q@"</f>
        <v>#VALUE!</v>
      </c>
      <c r="CD181" t="e">
        <f>Raw!H117+"h_l!(qA"</f>
        <v>#VALUE!</v>
      </c>
      <c r="CE181" t="e">
        <f>Raw!I117+"h_l!(qB"</f>
        <v>#VALUE!</v>
      </c>
      <c r="CF181" t="e">
        <f>Raw!J117+"h_l!(qC"</f>
        <v>#VALUE!</v>
      </c>
      <c r="CG181" t="e">
        <f>Raw!K117+"h_l!(qD"</f>
        <v>#VALUE!</v>
      </c>
      <c r="CH181" t="e">
        <f>Raw!L117+"h_l!(qE"</f>
        <v>#VALUE!</v>
      </c>
      <c r="CI181" t="e">
        <f>Raw!M117+"h_l!(qF"</f>
        <v>#VALUE!</v>
      </c>
      <c r="CJ181" t="e">
        <f>Raw!N117+"h_l!(qG"</f>
        <v>#VALUE!</v>
      </c>
      <c r="CK181" t="e">
        <f>Raw!O117+"h_l!(qH"</f>
        <v>#VALUE!</v>
      </c>
      <c r="CL181" t="e">
        <f>Raw!P117+"h_l!(qI"</f>
        <v>#VALUE!</v>
      </c>
      <c r="CM181" t="e">
        <f>Raw!Q117+"h_l!(qJ"</f>
        <v>#VALUE!</v>
      </c>
      <c r="CN181" t="e">
        <f>Raw!R117+"h_l!(qK"</f>
        <v>#VALUE!</v>
      </c>
      <c r="CO181" t="e">
        <f>Raw!S117+"h_l!(qL"</f>
        <v>#VALUE!</v>
      </c>
      <c r="CP181" t="e">
        <f>Raw!T117+"h_l!(qM"</f>
        <v>#VALUE!</v>
      </c>
      <c r="CQ181" t="e">
        <f>Raw!U117+"h_l!(qN"</f>
        <v>#VALUE!</v>
      </c>
      <c r="CR181" t="e">
        <f>Raw!V117+"h_l!(qO"</f>
        <v>#VALUE!</v>
      </c>
      <c r="CS181" t="e">
        <f>Raw!W117+"h_l!(qP"</f>
        <v>#VALUE!</v>
      </c>
      <c r="CT181" t="e">
        <f>Raw!A118+"h_l!(qQ"</f>
        <v>#VALUE!</v>
      </c>
      <c r="CU181" t="e">
        <f>Raw!B118+"h_l!(qR"</f>
        <v>#VALUE!</v>
      </c>
      <c r="CV181" t="e">
        <f>Raw!C118+"h_l!(qS"</f>
        <v>#VALUE!</v>
      </c>
      <c r="CW181" t="e">
        <f>Raw!D118+"h_l!(qT"</f>
        <v>#VALUE!</v>
      </c>
      <c r="CX181" t="e">
        <f>Raw!E118+"h_l!(qU"</f>
        <v>#VALUE!</v>
      </c>
      <c r="CY181" t="e">
        <f>Raw!#REF!+"h_l!(qV"</f>
        <v>#REF!</v>
      </c>
      <c r="CZ181" t="e">
        <f>Raw!G118+"h_l!(qW"</f>
        <v>#VALUE!</v>
      </c>
      <c r="DA181" t="e">
        <f>Raw!H118+"h_l!(qX"</f>
        <v>#VALUE!</v>
      </c>
      <c r="DB181" t="e">
        <f>Raw!I118+"h_l!(qY"</f>
        <v>#VALUE!</v>
      </c>
      <c r="DC181" t="e">
        <f>Raw!J118+"h_l!(qZ"</f>
        <v>#VALUE!</v>
      </c>
      <c r="DD181" t="e">
        <f>Raw!K118+"h_l!(q["</f>
        <v>#VALUE!</v>
      </c>
      <c r="DE181" t="e">
        <f>Raw!L118+"h_l!(q\"</f>
        <v>#VALUE!</v>
      </c>
      <c r="DF181" t="e">
        <f>Raw!M118+"h_l!(q]"</f>
        <v>#VALUE!</v>
      </c>
      <c r="DG181" t="e">
        <f>Raw!N118+"h_l!(q^"</f>
        <v>#VALUE!</v>
      </c>
      <c r="DH181" t="e">
        <f>Raw!O118+"h_l!(q_"</f>
        <v>#VALUE!</v>
      </c>
      <c r="DI181" t="e">
        <f>Raw!P118+"h_l!(q`"</f>
        <v>#VALUE!</v>
      </c>
      <c r="DJ181" t="e">
        <f>Raw!Q118+"h_l!(qa"</f>
        <v>#VALUE!</v>
      </c>
      <c r="DK181" t="e">
        <f>Raw!R118+"h_l!(qb"</f>
        <v>#VALUE!</v>
      </c>
      <c r="DL181" t="e">
        <f>Raw!S118+"h_l!(qc"</f>
        <v>#VALUE!</v>
      </c>
      <c r="DM181" t="e">
        <f>Raw!T118+"h_l!(qd"</f>
        <v>#VALUE!</v>
      </c>
      <c r="DN181" t="e">
        <f>Raw!U118+"h_l!(qe"</f>
        <v>#VALUE!</v>
      </c>
      <c r="DO181" t="e">
        <f>Raw!V118+"h_l!(qf"</f>
        <v>#VALUE!</v>
      </c>
      <c r="DP181" t="e">
        <f>Raw!W118+"h_l!(qg"</f>
        <v>#VALUE!</v>
      </c>
      <c r="DQ181" t="e">
        <f>Raw!A119+"h_l!(qh"</f>
        <v>#VALUE!</v>
      </c>
      <c r="DR181" t="e">
        <f>Raw!B119+"h_l!(qi"</f>
        <v>#VALUE!</v>
      </c>
      <c r="DS181" t="e">
        <f>Raw!C119+"h_l!(qj"</f>
        <v>#VALUE!</v>
      </c>
      <c r="DT181" t="e">
        <f>Raw!D119+"h_l!(qk"</f>
        <v>#VALUE!</v>
      </c>
      <c r="DU181" t="e">
        <f>Raw!E119+"h_l!(ql"</f>
        <v>#VALUE!</v>
      </c>
      <c r="DV181" t="e">
        <f>Raw!#REF!+"h_l!(qm"</f>
        <v>#REF!</v>
      </c>
      <c r="DW181" t="e">
        <f>Raw!G119+"h_l!(qn"</f>
        <v>#VALUE!</v>
      </c>
      <c r="DX181" t="e">
        <f>Raw!H119+"h_l!(qo"</f>
        <v>#VALUE!</v>
      </c>
      <c r="DY181" t="e">
        <f>Raw!I119+"h_l!(qp"</f>
        <v>#VALUE!</v>
      </c>
      <c r="DZ181" t="e">
        <f>Raw!J119+"h_l!(qq"</f>
        <v>#VALUE!</v>
      </c>
      <c r="EA181" t="e">
        <f>Raw!K119+"h_l!(qr"</f>
        <v>#VALUE!</v>
      </c>
      <c r="EB181" t="e">
        <f>Raw!L119+"h_l!(qs"</f>
        <v>#VALUE!</v>
      </c>
      <c r="EC181" t="e">
        <f>Raw!M119+"h_l!(qt"</f>
        <v>#VALUE!</v>
      </c>
      <c r="ED181" t="e">
        <f>Raw!N119+"h_l!(qu"</f>
        <v>#VALUE!</v>
      </c>
      <c r="EE181" t="e">
        <f>Raw!O119+"h_l!(qv"</f>
        <v>#VALUE!</v>
      </c>
      <c r="EF181" t="e">
        <f>Raw!P119+"h_l!(qw"</f>
        <v>#VALUE!</v>
      </c>
      <c r="EG181" t="e">
        <f>Raw!Q119+"h_l!(qx"</f>
        <v>#VALUE!</v>
      </c>
      <c r="EH181" t="e">
        <f>Raw!R119+"h_l!(qy"</f>
        <v>#VALUE!</v>
      </c>
      <c r="EI181" t="e">
        <f>Raw!S119+"h_l!(qz"</f>
        <v>#VALUE!</v>
      </c>
      <c r="EJ181" t="e">
        <f>Raw!T119+"h_l!(q{"</f>
        <v>#VALUE!</v>
      </c>
      <c r="EK181" t="e">
        <f>Raw!U119+"h_l!(q|"</f>
        <v>#VALUE!</v>
      </c>
      <c r="EL181" t="e">
        <f>Raw!V119+"h_l!(q}"</f>
        <v>#VALUE!</v>
      </c>
      <c r="EM181" t="e">
        <f>Raw!W119+"h_l!(q~"</f>
        <v>#VALUE!</v>
      </c>
      <c r="EN181" t="e">
        <f>Raw!A120+"h_l!(r#"</f>
        <v>#VALUE!</v>
      </c>
      <c r="EO181" t="e">
        <f>Raw!B120+"h_l!(r$"</f>
        <v>#VALUE!</v>
      </c>
      <c r="EP181" t="e">
        <f>Raw!C120+"h_l!(r%"</f>
        <v>#VALUE!</v>
      </c>
      <c r="EQ181" t="e">
        <f>Raw!D120+"h_l!(r&amp;"</f>
        <v>#VALUE!</v>
      </c>
      <c r="ER181" t="e">
        <f>Raw!E120+"h_l!(r'"</f>
        <v>#VALUE!</v>
      </c>
      <c r="ES181" t="e">
        <f>Raw!#REF!+"h_l!(r("</f>
        <v>#REF!</v>
      </c>
      <c r="ET181" t="e">
        <f>Raw!G120+"h_l!(r)"</f>
        <v>#VALUE!</v>
      </c>
      <c r="EU181" t="e">
        <f>Raw!H120+"h_l!(r."</f>
        <v>#VALUE!</v>
      </c>
      <c r="EV181" t="e">
        <f>Raw!I120+"h_l!(r/"</f>
        <v>#VALUE!</v>
      </c>
      <c r="EW181" t="e">
        <f>Raw!J120+"h_l!(r0"</f>
        <v>#VALUE!</v>
      </c>
      <c r="EX181" t="e">
        <f>Raw!K120+"h_l!(r1"</f>
        <v>#VALUE!</v>
      </c>
      <c r="EY181" t="e">
        <f>Raw!L120+"h_l!(r2"</f>
        <v>#VALUE!</v>
      </c>
      <c r="EZ181" t="e">
        <f>Raw!M120+"h_l!(r3"</f>
        <v>#VALUE!</v>
      </c>
      <c r="FA181" t="e">
        <f>Raw!N120+"h_l!(r4"</f>
        <v>#VALUE!</v>
      </c>
      <c r="FB181" t="e">
        <f>Raw!O120+"h_l!(r5"</f>
        <v>#VALUE!</v>
      </c>
      <c r="FC181" t="e">
        <f>Raw!P120+"h_l!(r6"</f>
        <v>#VALUE!</v>
      </c>
      <c r="FD181" t="e">
        <f>Raw!Q120+"h_l!(r7"</f>
        <v>#VALUE!</v>
      </c>
      <c r="FE181" t="e">
        <f>Raw!R120+"h_l!(r8"</f>
        <v>#VALUE!</v>
      </c>
      <c r="FF181" t="e">
        <f>Raw!S120+"h_l!(r9"</f>
        <v>#VALUE!</v>
      </c>
      <c r="FG181" t="e">
        <f>Raw!T120+"h_l!(r:"</f>
        <v>#VALUE!</v>
      </c>
      <c r="FH181" t="e">
        <f>Raw!U120+"h_l!(r;"</f>
        <v>#VALUE!</v>
      </c>
      <c r="FI181" t="e">
        <f>Raw!V120+"h_l!(r&lt;"</f>
        <v>#VALUE!</v>
      </c>
      <c r="FJ181" t="e">
        <f>Raw!W120+"h_l!(r="</f>
        <v>#VALUE!</v>
      </c>
      <c r="FK181" t="e">
        <f>Raw!A121+"h_l!(r&gt;"</f>
        <v>#VALUE!</v>
      </c>
      <c r="FL181" t="e">
        <f>Raw!B121+"h_l!(r?"</f>
        <v>#VALUE!</v>
      </c>
      <c r="FM181" t="e">
        <f>Raw!C121+"h_l!(r@"</f>
        <v>#VALUE!</v>
      </c>
      <c r="FN181" t="e">
        <f>Raw!D121+"h_l!(rA"</f>
        <v>#VALUE!</v>
      </c>
      <c r="FO181" t="e">
        <f>Raw!E121+"h_l!(rB"</f>
        <v>#VALUE!</v>
      </c>
      <c r="FP181" t="e">
        <f>Raw!#REF!+"h_l!(rC"</f>
        <v>#REF!</v>
      </c>
      <c r="FQ181" t="e">
        <f>Raw!G121+"h_l!(rD"</f>
        <v>#VALUE!</v>
      </c>
      <c r="FR181" t="e">
        <f>Raw!H121+"h_l!(rE"</f>
        <v>#VALUE!</v>
      </c>
      <c r="FS181" t="e">
        <f>Raw!I121+"h_l!(rF"</f>
        <v>#VALUE!</v>
      </c>
      <c r="FT181" t="e">
        <f>Raw!J121+"h_l!(rG"</f>
        <v>#VALUE!</v>
      </c>
      <c r="FU181" t="e">
        <f>Raw!K121+"h_l!(rH"</f>
        <v>#VALUE!</v>
      </c>
      <c r="FV181" t="e">
        <f>Raw!L121+"h_l!(rI"</f>
        <v>#VALUE!</v>
      </c>
      <c r="FW181" t="e">
        <f>Raw!M121+"h_l!(rJ"</f>
        <v>#VALUE!</v>
      </c>
      <c r="FX181" t="e">
        <f>Raw!N121+"h_l!(rK"</f>
        <v>#VALUE!</v>
      </c>
      <c r="FY181" t="e">
        <f>Raw!O121+"h_l!(rL"</f>
        <v>#VALUE!</v>
      </c>
      <c r="FZ181" t="e">
        <f>Raw!P121+"h_l!(rM"</f>
        <v>#VALUE!</v>
      </c>
      <c r="GA181" t="e">
        <f>Raw!Q121+"h_l!(rN"</f>
        <v>#VALUE!</v>
      </c>
      <c r="GB181" t="e">
        <f>Raw!R121+"h_l!(rO"</f>
        <v>#VALUE!</v>
      </c>
      <c r="GC181" t="e">
        <f>Raw!S121+"h_l!(rP"</f>
        <v>#VALUE!</v>
      </c>
      <c r="GD181" t="e">
        <f>Raw!T121+"h_l!(rQ"</f>
        <v>#VALUE!</v>
      </c>
      <c r="GE181" t="e">
        <f>Raw!U121+"h_l!(rR"</f>
        <v>#VALUE!</v>
      </c>
      <c r="GF181" t="e">
        <f>Raw!V121+"h_l!(rS"</f>
        <v>#VALUE!</v>
      </c>
      <c r="GG181" t="e">
        <f>Raw!W121+"h_l!(rT"</f>
        <v>#VALUE!</v>
      </c>
      <c r="GH181" t="e">
        <f>Raw!A122+"h_l!(rU"</f>
        <v>#VALUE!</v>
      </c>
      <c r="GI181" t="e">
        <f>Raw!B122+"h_l!(rV"</f>
        <v>#VALUE!</v>
      </c>
      <c r="GJ181" t="e">
        <f>Raw!C122+"h_l!(rW"</f>
        <v>#VALUE!</v>
      </c>
      <c r="GK181" t="e">
        <f>Raw!D122+"h_l!(rX"</f>
        <v>#VALUE!</v>
      </c>
      <c r="GL181" t="e">
        <f>Raw!E122+"h_l!(rY"</f>
        <v>#VALUE!</v>
      </c>
      <c r="GM181" t="e">
        <f>Raw!#REF!+"h_l!(rZ"</f>
        <v>#REF!</v>
      </c>
      <c r="GN181" t="e">
        <f>Raw!G122+"h_l!(r["</f>
        <v>#VALUE!</v>
      </c>
      <c r="GO181" t="e">
        <f>Raw!H122+"h_l!(r\"</f>
        <v>#VALUE!</v>
      </c>
      <c r="GP181" t="e">
        <f>Raw!I122+"h_l!(r]"</f>
        <v>#VALUE!</v>
      </c>
      <c r="GQ181" t="e">
        <f>Raw!J122+"h_l!(r^"</f>
        <v>#VALUE!</v>
      </c>
      <c r="GR181" t="e">
        <f>Raw!K122+"h_l!(r_"</f>
        <v>#VALUE!</v>
      </c>
      <c r="GS181" t="e">
        <f>Raw!L122+"h_l!(r`"</f>
        <v>#VALUE!</v>
      </c>
      <c r="GT181" t="e">
        <f>Raw!M122+"h_l!(ra"</f>
        <v>#VALUE!</v>
      </c>
      <c r="GU181" t="e">
        <f>Raw!N122+"h_l!(rb"</f>
        <v>#VALUE!</v>
      </c>
      <c r="GV181" t="e">
        <f>Raw!O122+"h_l!(rc"</f>
        <v>#VALUE!</v>
      </c>
      <c r="GW181" t="e">
        <f>Raw!P122+"h_l!(rd"</f>
        <v>#VALUE!</v>
      </c>
      <c r="GX181" t="e">
        <f>Raw!Q122+"h_l!(re"</f>
        <v>#VALUE!</v>
      </c>
      <c r="GY181" t="e">
        <f>Raw!R122+"h_l!(rf"</f>
        <v>#VALUE!</v>
      </c>
      <c r="GZ181" t="e">
        <f>Raw!S122+"h_l!(rg"</f>
        <v>#VALUE!</v>
      </c>
      <c r="HA181" t="e">
        <f>Raw!T122+"h_l!(rh"</f>
        <v>#VALUE!</v>
      </c>
      <c r="HB181" t="e">
        <f>Raw!U122+"h_l!(ri"</f>
        <v>#VALUE!</v>
      </c>
      <c r="HC181" t="e">
        <f>Raw!V122+"h_l!(rj"</f>
        <v>#VALUE!</v>
      </c>
      <c r="HD181" t="e">
        <f>Raw!W122+"h_l!(rk"</f>
        <v>#VALUE!</v>
      </c>
      <c r="HE181" t="e">
        <f>Raw!A123+"h_l!(rl"</f>
        <v>#VALUE!</v>
      </c>
      <c r="HF181" t="e">
        <f>Raw!B123+"h_l!(rm"</f>
        <v>#VALUE!</v>
      </c>
      <c r="HG181" t="e">
        <f>Raw!C123+"h_l!(rn"</f>
        <v>#VALUE!</v>
      </c>
      <c r="HH181" t="e">
        <f>Raw!D123+"h_l!(ro"</f>
        <v>#VALUE!</v>
      </c>
      <c r="HI181" t="e">
        <f>Raw!E123+"h_l!(rp"</f>
        <v>#VALUE!</v>
      </c>
      <c r="HJ181" t="e">
        <f>Raw!#REF!+"h_l!(rq"</f>
        <v>#REF!</v>
      </c>
      <c r="HK181" t="e">
        <f>Raw!G123+"h_l!(rr"</f>
        <v>#VALUE!</v>
      </c>
      <c r="HL181" t="e">
        <f>Raw!H123+"h_l!(rs"</f>
        <v>#VALUE!</v>
      </c>
      <c r="HM181" t="e">
        <f>Raw!I123+"h_l!(rt"</f>
        <v>#VALUE!</v>
      </c>
      <c r="HN181" t="e">
        <f>Raw!J123+"h_l!(ru"</f>
        <v>#VALUE!</v>
      </c>
      <c r="HO181" t="e">
        <f>Raw!K123+"h_l!(rv"</f>
        <v>#VALUE!</v>
      </c>
      <c r="HP181" t="e">
        <f>Raw!L123+"h_l!(rw"</f>
        <v>#VALUE!</v>
      </c>
      <c r="HQ181" t="e">
        <f>Raw!M123+"h_l!(rx"</f>
        <v>#VALUE!</v>
      </c>
      <c r="HR181" t="e">
        <f>Raw!N123+"h_l!(ry"</f>
        <v>#VALUE!</v>
      </c>
      <c r="HS181" t="e">
        <f>Raw!O123+"h_l!(rz"</f>
        <v>#VALUE!</v>
      </c>
      <c r="HT181" t="e">
        <f>Raw!P123+"h_l!(r{"</f>
        <v>#VALUE!</v>
      </c>
      <c r="HU181" t="e">
        <f>Raw!Q123+"h_l!(r|"</f>
        <v>#VALUE!</v>
      </c>
      <c r="HV181" t="e">
        <f>Raw!R123+"h_l!(r}"</f>
        <v>#VALUE!</v>
      </c>
      <c r="HW181" t="e">
        <f>Raw!S123+"h_l!(r~"</f>
        <v>#VALUE!</v>
      </c>
      <c r="HX181" t="e">
        <f>Raw!T123+"h_l!(s#"</f>
        <v>#VALUE!</v>
      </c>
      <c r="HY181" t="e">
        <f>Raw!U123+"h_l!(s$"</f>
        <v>#VALUE!</v>
      </c>
      <c r="HZ181" t="e">
        <f>Raw!V123+"h_l!(s%"</f>
        <v>#VALUE!</v>
      </c>
      <c r="IA181" t="e">
        <f>Raw!W123+"h_l!(s&amp;"</f>
        <v>#VALUE!</v>
      </c>
      <c r="IB181" t="e">
        <f>Raw!A124+"h_l!(s'"</f>
        <v>#VALUE!</v>
      </c>
      <c r="IC181" t="e">
        <f>Raw!B124+"h_l!(s("</f>
        <v>#VALUE!</v>
      </c>
      <c r="ID181" t="e">
        <f>Raw!C124+"h_l!(s)"</f>
        <v>#VALUE!</v>
      </c>
      <c r="IE181" t="e">
        <f>Raw!D124+"h_l!(s."</f>
        <v>#VALUE!</v>
      </c>
      <c r="IF181" t="e">
        <f>Raw!E124+"h_l!(s/"</f>
        <v>#VALUE!</v>
      </c>
      <c r="IG181" t="e">
        <f>Raw!#REF!+"h_l!(s0"</f>
        <v>#REF!</v>
      </c>
      <c r="IH181" t="e">
        <f>Raw!G124+"h_l!(s1"</f>
        <v>#VALUE!</v>
      </c>
      <c r="II181" t="e">
        <f>Raw!H124+"h_l!(s2"</f>
        <v>#VALUE!</v>
      </c>
      <c r="IJ181" t="e">
        <f>Raw!I124+"h_l!(s3"</f>
        <v>#VALUE!</v>
      </c>
      <c r="IK181" t="e">
        <f>Raw!J124+"h_l!(s4"</f>
        <v>#VALUE!</v>
      </c>
      <c r="IL181" t="e">
        <f>Raw!K124+"h_l!(s5"</f>
        <v>#VALUE!</v>
      </c>
      <c r="IM181" t="e">
        <f>Raw!L124+"h_l!(s6"</f>
        <v>#VALUE!</v>
      </c>
      <c r="IN181" t="e">
        <f>Raw!M124+"h_l!(s7"</f>
        <v>#VALUE!</v>
      </c>
      <c r="IO181" t="e">
        <f>Raw!N124+"h_l!(s8"</f>
        <v>#VALUE!</v>
      </c>
      <c r="IP181" t="e">
        <f>Raw!O124+"h_l!(s9"</f>
        <v>#VALUE!</v>
      </c>
      <c r="IQ181" t="e">
        <f>Raw!P124+"h_l!(s:"</f>
        <v>#VALUE!</v>
      </c>
      <c r="IR181" t="e">
        <f>Raw!Q124+"h_l!(s;"</f>
        <v>#VALUE!</v>
      </c>
      <c r="IS181" t="e">
        <f>Raw!R124+"h_l!(s&lt;"</f>
        <v>#VALUE!</v>
      </c>
      <c r="IT181" t="e">
        <f>Raw!S124+"h_l!(s="</f>
        <v>#VALUE!</v>
      </c>
      <c r="IU181" t="e">
        <f>Raw!T124+"h_l!(s&gt;"</f>
        <v>#VALUE!</v>
      </c>
      <c r="IV181" t="e">
        <f>Raw!U124+"h_l!(s?"</f>
        <v>#VALUE!</v>
      </c>
    </row>
    <row r="182" spans="6:256" x14ac:dyDescent="0.25">
      <c r="F182" t="e">
        <f>Raw!V124+"h_l!(s@"</f>
        <v>#VALUE!</v>
      </c>
      <c r="G182" t="e">
        <f>Raw!W124+"h_l!(sA"</f>
        <v>#VALUE!</v>
      </c>
      <c r="H182" t="e">
        <f>Raw!A125+"h_l!(sB"</f>
        <v>#VALUE!</v>
      </c>
      <c r="I182" t="e">
        <f>Raw!B125+"h_l!(sC"</f>
        <v>#VALUE!</v>
      </c>
      <c r="J182" t="e">
        <f>Raw!C125+"h_l!(sD"</f>
        <v>#VALUE!</v>
      </c>
      <c r="K182" t="e">
        <f>Raw!D125+"h_l!(sE"</f>
        <v>#VALUE!</v>
      </c>
      <c r="L182" t="e">
        <f>Raw!E125+"h_l!(sF"</f>
        <v>#VALUE!</v>
      </c>
      <c r="M182" t="e">
        <f>Raw!#REF!+"h_l!(sG"</f>
        <v>#REF!</v>
      </c>
      <c r="N182" t="e">
        <f>Raw!G125+"h_l!(sH"</f>
        <v>#VALUE!</v>
      </c>
      <c r="O182" t="e">
        <f>Raw!H125+"h_l!(sI"</f>
        <v>#VALUE!</v>
      </c>
      <c r="P182" t="e">
        <f>Raw!I125+"h_l!(sJ"</f>
        <v>#VALUE!</v>
      </c>
      <c r="Q182" t="e">
        <f>Raw!J125+"h_l!(sK"</f>
        <v>#VALUE!</v>
      </c>
      <c r="R182" t="e">
        <f>Raw!K125+"h_l!(sL"</f>
        <v>#VALUE!</v>
      </c>
      <c r="S182" t="e">
        <f>Raw!L125+"h_l!(sM"</f>
        <v>#VALUE!</v>
      </c>
      <c r="T182" t="e">
        <f>Raw!M125+"h_l!(sN"</f>
        <v>#VALUE!</v>
      </c>
      <c r="U182" t="e">
        <f>Raw!N125+"h_l!(sO"</f>
        <v>#VALUE!</v>
      </c>
      <c r="V182" t="e">
        <f>Raw!O125+"h_l!(sP"</f>
        <v>#VALUE!</v>
      </c>
      <c r="W182" t="e">
        <f>Raw!P125+"h_l!(sQ"</f>
        <v>#VALUE!</v>
      </c>
      <c r="X182" t="e">
        <f>Raw!Q125+"h_l!(sR"</f>
        <v>#VALUE!</v>
      </c>
      <c r="Y182" t="e">
        <f>Raw!R125+"h_l!(sS"</f>
        <v>#VALUE!</v>
      </c>
      <c r="Z182" t="e">
        <f>Raw!S125+"h_l!(sT"</f>
        <v>#VALUE!</v>
      </c>
      <c r="AA182" t="e">
        <f>Raw!T125+"h_l!(sU"</f>
        <v>#VALUE!</v>
      </c>
      <c r="AB182" t="e">
        <f>Raw!U125+"h_l!(sV"</f>
        <v>#VALUE!</v>
      </c>
      <c r="AC182" t="e">
        <f>Raw!V125+"h_l!(sW"</f>
        <v>#VALUE!</v>
      </c>
      <c r="AD182" t="e">
        <f>Raw!W125+"h_l!(sX"</f>
        <v>#VALUE!</v>
      </c>
      <c r="AE182" t="e">
        <f>Raw!A126+"h_l!(sY"</f>
        <v>#VALUE!</v>
      </c>
      <c r="AF182" t="e">
        <f>Raw!B126+"h_l!(sZ"</f>
        <v>#VALUE!</v>
      </c>
      <c r="AG182" t="e">
        <f>Raw!C126+"h_l!(s["</f>
        <v>#VALUE!</v>
      </c>
      <c r="AH182" t="e">
        <f>Raw!D126+"h_l!(s\"</f>
        <v>#VALUE!</v>
      </c>
      <c r="AI182" t="e">
        <f>Raw!E126+"h_l!(s]"</f>
        <v>#VALUE!</v>
      </c>
      <c r="AJ182" t="e">
        <f>Raw!#REF!+"h_l!(s^"</f>
        <v>#REF!</v>
      </c>
      <c r="AK182" t="e">
        <f>Raw!G126+"h_l!(s_"</f>
        <v>#VALUE!</v>
      </c>
      <c r="AL182" t="e">
        <f>Raw!H126+"h_l!(s`"</f>
        <v>#VALUE!</v>
      </c>
      <c r="AM182" t="e">
        <f>Raw!I126+"h_l!(sa"</f>
        <v>#VALUE!</v>
      </c>
      <c r="AN182" t="e">
        <f>Raw!J126+"h_l!(sb"</f>
        <v>#VALUE!</v>
      </c>
      <c r="AO182" t="e">
        <f>Raw!K126+"h_l!(sc"</f>
        <v>#VALUE!</v>
      </c>
      <c r="AP182" t="e">
        <f>Raw!L126+"h_l!(sd"</f>
        <v>#VALUE!</v>
      </c>
      <c r="AQ182" t="e">
        <f>Raw!M126+"h_l!(se"</f>
        <v>#VALUE!</v>
      </c>
      <c r="AR182" t="e">
        <f>Raw!N126+"h_l!(sf"</f>
        <v>#VALUE!</v>
      </c>
      <c r="AS182" t="e">
        <f>Raw!O126+"h_l!(sg"</f>
        <v>#VALUE!</v>
      </c>
      <c r="AT182" t="e">
        <f>Raw!P126+"h_l!(sh"</f>
        <v>#VALUE!</v>
      </c>
      <c r="AU182" t="e">
        <f>Raw!Q126+"h_l!(si"</f>
        <v>#VALUE!</v>
      </c>
      <c r="AV182" t="e">
        <f>Raw!R126+"h_l!(sj"</f>
        <v>#VALUE!</v>
      </c>
      <c r="AW182" t="e">
        <f>Raw!S126+"h_l!(sk"</f>
        <v>#VALUE!</v>
      </c>
      <c r="AX182" t="e">
        <f>Raw!T126+"h_l!(sl"</f>
        <v>#VALUE!</v>
      </c>
      <c r="AY182" t="e">
        <f>Raw!U126+"h_l!(sm"</f>
        <v>#VALUE!</v>
      </c>
      <c r="AZ182" t="e">
        <f>Raw!V126+"h_l!(sn"</f>
        <v>#VALUE!</v>
      </c>
      <c r="BA182" t="e">
        <f>Raw!W126+"h_l!(so"</f>
        <v>#VALUE!</v>
      </c>
      <c r="BB182" t="e">
        <f>Raw!A127+"h_l!(sp"</f>
        <v>#VALUE!</v>
      </c>
      <c r="BC182" t="e">
        <f>Raw!B127+"h_l!(sq"</f>
        <v>#VALUE!</v>
      </c>
      <c r="BD182" t="e">
        <f>Raw!C127+"h_l!(sr"</f>
        <v>#VALUE!</v>
      </c>
      <c r="BE182" t="e">
        <f>Raw!D127+"h_l!(ss"</f>
        <v>#VALUE!</v>
      </c>
      <c r="BF182" t="e">
        <f>Raw!E127+"h_l!(st"</f>
        <v>#VALUE!</v>
      </c>
      <c r="BG182" t="e">
        <f>Raw!#REF!+"h_l!(su"</f>
        <v>#REF!</v>
      </c>
      <c r="BH182" t="e">
        <f>Raw!G127+"h_l!(sv"</f>
        <v>#VALUE!</v>
      </c>
      <c r="BI182" t="e">
        <f>Raw!H127+"h_l!(sw"</f>
        <v>#VALUE!</v>
      </c>
      <c r="BJ182" t="e">
        <f>Raw!I127+"h_l!(sx"</f>
        <v>#VALUE!</v>
      </c>
      <c r="BK182" t="e">
        <f>Raw!J127+"h_l!(sy"</f>
        <v>#VALUE!</v>
      </c>
      <c r="BL182" t="e">
        <f>Raw!K127+"h_l!(sz"</f>
        <v>#VALUE!</v>
      </c>
      <c r="BM182" t="e">
        <f>Raw!L127+"h_l!(s{"</f>
        <v>#VALUE!</v>
      </c>
      <c r="BN182" t="e">
        <f>Raw!M127+"h_l!(s|"</f>
        <v>#VALUE!</v>
      </c>
      <c r="BO182" t="e">
        <f>Raw!N127+"h_l!(s}"</f>
        <v>#VALUE!</v>
      </c>
      <c r="BP182" t="e">
        <f>Raw!O127+"h_l!(s~"</f>
        <v>#VALUE!</v>
      </c>
      <c r="BQ182" t="e">
        <f>Raw!P127+"h_l!(t#"</f>
        <v>#VALUE!</v>
      </c>
      <c r="BR182" t="e">
        <f>Raw!Q127+"h_l!(t$"</f>
        <v>#VALUE!</v>
      </c>
      <c r="BS182" t="e">
        <f>Raw!R127+"h_l!(t%"</f>
        <v>#VALUE!</v>
      </c>
      <c r="BT182" t="e">
        <f>Raw!S127+"h_l!(t&amp;"</f>
        <v>#VALUE!</v>
      </c>
      <c r="BU182" t="e">
        <f>Raw!T127+"h_l!(t'"</f>
        <v>#VALUE!</v>
      </c>
      <c r="BV182" t="e">
        <f>Raw!U127+"h_l!(t("</f>
        <v>#VALUE!</v>
      </c>
      <c r="BW182" t="e">
        <f>Raw!V127+"h_l!(t)"</f>
        <v>#VALUE!</v>
      </c>
      <c r="BX182" t="e">
        <f>Raw!W127+"h_l!(t."</f>
        <v>#VALUE!</v>
      </c>
      <c r="BY182" t="e">
        <f>Raw!A128+"h_l!(t/"</f>
        <v>#VALUE!</v>
      </c>
      <c r="BZ182" t="e">
        <f>Raw!B128+"h_l!(t0"</f>
        <v>#VALUE!</v>
      </c>
      <c r="CA182" t="e">
        <f>Raw!C128+"h_l!(t1"</f>
        <v>#VALUE!</v>
      </c>
      <c r="CB182" t="e">
        <f>Raw!D128+"h_l!(t2"</f>
        <v>#VALUE!</v>
      </c>
      <c r="CC182" t="e">
        <f>Raw!E128+"h_l!(t3"</f>
        <v>#VALUE!</v>
      </c>
      <c r="CD182" t="e">
        <f>Raw!#REF!+"h_l!(t4"</f>
        <v>#REF!</v>
      </c>
      <c r="CE182" t="e">
        <f>Raw!G128+"h_l!(t5"</f>
        <v>#VALUE!</v>
      </c>
      <c r="CF182" t="e">
        <f>Raw!H128+"h_l!(t6"</f>
        <v>#VALUE!</v>
      </c>
      <c r="CG182" t="e">
        <f>Raw!I128+"h_l!(t7"</f>
        <v>#VALUE!</v>
      </c>
      <c r="CH182" t="e">
        <f>Raw!J128+"h_l!(t8"</f>
        <v>#VALUE!</v>
      </c>
      <c r="CI182" t="e">
        <f>Raw!K128+"h_l!(t9"</f>
        <v>#VALUE!</v>
      </c>
      <c r="CJ182" t="e">
        <f>Raw!L128+"h_l!(t:"</f>
        <v>#VALUE!</v>
      </c>
      <c r="CK182" t="e">
        <f>Raw!M128+"h_l!(t;"</f>
        <v>#VALUE!</v>
      </c>
      <c r="CL182" t="e">
        <f>Raw!N128+"h_l!(t&lt;"</f>
        <v>#VALUE!</v>
      </c>
      <c r="CM182" t="e">
        <f>Raw!O128+"h_l!(t="</f>
        <v>#VALUE!</v>
      </c>
      <c r="CN182" t="e">
        <f>Raw!P128+"h_l!(t&gt;"</f>
        <v>#VALUE!</v>
      </c>
      <c r="CO182" t="e">
        <f>Raw!Q128+"h_l!(t?"</f>
        <v>#VALUE!</v>
      </c>
      <c r="CP182" t="e">
        <f>Raw!R128+"h_l!(t@"</f>
        <v>#VALUE!</v>
      </c>
      <c r="CQ182" t="e">
        <f>Raw!S128+"h_l!(tA"</f>
        <v>#VALUE!</v>
      </c>
      <c r="CR182" t="e">
        <f>Raw!T128+"h_l!(tB"</f>
        <v>#VALUE!</v>
      </c>
      <c r="CS182" t="e">
        <f>Raw!U128+"h_l!(tC"</f>
        <v>#VALUE!</v>
      </c>
      <c r="CT182" t="e">
        <f>Raw!V128+"h_l!(tD"</f>
        <v>#VALUE!</v>
      </c>
      <c r="CU182" t="e">
        <f>Raw!W128+"h_l!(tE"</f>
        <v>#VALUE!</v>
      </c>
      <c r="CV182" t="e">
        <f>Raw!A129+"h_l!(tF"</f>
        <v>#VALUE!</v>
      </c>
      <c r="CW182" t="e">
        <f>Raw!B129+"h_l!(tG"</f>
        <v>#VALUE!</v>
      </c>
      <c r="CX182" t="e">
        <f>Raw!C129+"h_l!(tH"</f>
        <v>#VALUE!</v>
      </c>
      <c r="CY182" t="e">
        <f>Raw!D129+"h_l!(tI"</f>
        <v>#VALUE!</v>
      </c>
      <c r="CZ182" t="e">
        <f>Raw!E129+"h_l!(tJ"</f>
        <v>#VALUE!</v>
      </c>
      <c r="DA182" t="e">
        <f>Raw!#REF!+"h_l!(tK"</f>
        <v>#REF!</v>
      </c>
      <c r="DB182" t="e">
        <f>Raw!G129+"h_l!(tL"</f>
        <v>#VALUE!</v>
      </c>
      <c r="DC182" t="e">
        <f>Raw!H129+"h_l!(tM"</f>
        <v>#VALUE!</v>
      </c>
      <c r="DD182" t="e">
        <f>Raw!I129+"h_l!(tN"</f>
        <v>#VALUE!</v>
      </c>
      <c r="DE182" t="e">
        <f>Raw!J129+"h_l!(tO"</f>
        <v>#VALUE!</v>
      </c>
      <c r="DF182" t="e">
        <f>Raw!K129+"h_l!(tP"</f>
        <v>#VALUE!</v>
      </c>
      <c r="DG182" t="e">
        <f>Raw!L129+"h_l!(tQ"</f>
        <v>#VALUE!</v>
      </c>
      <c r="DH182" t="e">
        <f>Raw!M129+"h_l!(tR"</f>
        <v>#VALUE!</v>
      </c>
      <c r="DI182" t="e">
        <f>Raw!N129+"h_l!(tS"</f>
        <v>#VALUE!</v>
      </c>
      <c r="DJ182" t="e">
        <f>Raw!O129+"h_l!(tT"</f>
        <v>#VALUE!</v>
      </c>
      <c r="DK182" t="e">
        <f>Raw!P129+"h_l!(tU"</f>
        <v>#VALUE!</v>
      </c>
      <c r="DL182" t="e">
        <f>Raw!Q129+"h_l!(tV"</f>
        <v>#VALUE!</v>
      </c>
      <c r="DM182" t="e">
        <f>Raw!R129+"h_l!(tW"</f>
        <v>#VALUE!</v>
      </c>
      <c r="DN182" t="e">
        <f>Raw!S129+"h_l!(tX"</f>
        <v>#VALUE!</v>
      </c>
      <c r="DO182" t="e">
        <f>Raw!T129+"h_l!(tY"</f>
        <v>#VALUE!</v>
      </c>
      <c r="DP182" t="e">
        <f>Raw!U129+"h_l!(tZ"</f>
        <v>#VALUE!</v>
      </c>
      <c r="DQ182" t="e">
        <f>Raw!V129+"h_l!(t["</f>
        <v>#VALUE!</v>
      </c>
      <c r="DR182" t="e">
        <f>Raw!W129+"h_l!(t\"</f>
        <v>#VALUE!</v>
      </c>
      <c r="DS182" t="e">
        <f>Raw!A130+"h_l!(t]"</f>
        <v>#VALUE!</v>
      </c>
      <c r="DT182" t="e">
        <f>Raw!B130+"h_l!(t^"</f>
        <v>#VALUE!</v>
      </c>
      <c r="DU182" t="e">
        <f>Raw!C130+"h_l!(t_"</f>
        <v>#VALUE!</v>
      </c>
      <c r="DV182" t="e">
        <f>Raw!D130+"h_l!(t`"</f>
        <v>#VALUE!</v>
      </c>
      <c r="DW182" t="e">
        <f>Raw!E130+"h_l!(ta"</f>
        <v>#VALUE!</v>
      </c>
      <c r="DX182" t="e">
        <f>Raw!#REF!+"h_l!(tb"</f>
        <v>#REF!</v>
      </c>
      <c r="DY182" t="e">
        <f>Raw!G130+"h_l!(tc"</f>
        <v>#VALUE!</v>
      </c>
      <c r="DZ182" t="e">
        <f>Raw!H130+"h_l!(td"</f>
        <v>#VALUE!</v>
      </c>
      <c r="EA182" t="e">
        <f>Raw!I130+"h_l!(te"</f>
        <v>#VALUE!</v>
      </c>
      <c r="EB182" t="e">
        <f>Raw!J130+"h_l!(tf"</f>
        <v>#VALUE!</v>
      </c>
      <c r="EC182" t="e">
        <f>Raw!K130+"h_l!(tg"</f>
        <v>#VALUE!</v>
      </c>
      <c r="ED182" t="e">
        <f>Raw!L130+"h_l!(th"</f>
        <v>#VALUE!</v>
      </c>
      <c r="EE182" t="e">
        <f>Raw!M130+"h_l!(ti"</f>
        <v>#VALUE!</v>
      </c>
      <c r="EF182" t="e">
        <f>Raw!N130+"h_l!(tj"</f>
        <v>#VALUE!</v>
      </c>
      <c r="EG182" t="e">
        <f>Raw!O130+"h_l!(tk"</f>
        <v>#VALUE!</v>
      </c>
      <c r="EH182" t="e">
        <f>Raw!P130+"h_l!(tl"</f>
        <v>#VALUE!</v>
      </c>
      <c r="EI182" t="e">
        <f>Raw!Q130+"h_l!(tm"</f>
        <v>#VALUE!</v>
      </c>
      <c r="EJ182" t="e">
        <f>Raw!R130+"h_l!(tn"</f>
        <v>#VALUE!</v>
      </c>
      <c r="EK182" t="e">
        <f>Raw!S130+"h_l!(to"</f>
        <v>#VALUE!</v>
      </c>
      <c r="EL182" t="e">
        <f>Raw!T130+"h_l!(tp"</f>
        <v>#VALUE!</v>
      </c>
      <c r="EM182" t="e">
        <f>Raw!U130+"h_l!(tq"</f>
        <v>#VALUE!</v>
      </c>
      <c r="EN182" t="e">
        <f>Raw!V130+"h_l!(tr"</f>
        <v>#VALUE!</v>
      </c>
      <c r="EO182" t="e">
        <f>Raw!W130+"h_l!(ts"</f>
        <v>#VALUE!</v>
      </c>
      <c r="EP182" t="e">
        <f>Raw!A131+"h_l!(tt"</f>
        <v>#VALUE!</v>
      </c>
      <c r="EQ182" t="e">
        <f>Raw!B131+"h_l!(tu"</f>
        <v>#VALUE!</v>
      </c>
      <c r="ER182" t="e">
        <f>Raw!C131+"h_l!(tv"</f>
        <v>#VALUE!</v>
      </c>
      <c r="ES182" t="e">
        <f>Raw!D131+"h_l!(tw"</f>
        <v>#VALUE!</v>
      </c>
      <c r="ET182" t="e">
        <f>Raw!E131+"h_l!(tx"</f>
        <v>#VALUE!</v>
      </c>
      <c r="EU182" t="e">
        <f>Raw!#REF!+"h_l!(ty"</f>
        <v>#REF!</v>
      </c>
      <c r="EV182" t="e">
        <f>Raw!G131+"h_l!(tz"</f>
        <v>#VALUE!</v>
      </c>
      <c r="EW182" t="e">
        <f>Raw!H131+"h_l!(t{"</f>
        <v>#VALUE!</v>
      </c>
      <c r="EX182" t="e">
        <f>Raw!I131+"h_l!(t|"</f>
        <v>#VALUE!</v>
      </c>
      <c r="EY182" t="e">
        <f>Raw!J131+"h_l!(t}"</f>
        <v>#VALUE!</v>
      </c>
      <c r="EZ182" t="e">
        <f>Raw!K131+"h_l!(t~"</f>
        <v>#VALUE!</v>
      </c>
      <c r="FA182" t="e">
        <f>Raw!L131+"h_l!(u#"</f>
        <v>#VALUE!</v>
      </c>
      <c r="FB182" t="e">
        <f>Raw!M131+"h_l!(u$"</f>
        <v>#VALUE!</v>
      </c>
      <c r="FC182" t="e">
        <f>Raw!N131+"h_l!(u%"</f>
        <v>#VALUE!</v>
      </c>
      <c r="FD182" t="e">
        <f>Raw!O131+"h_l!(u&amp;"</f>
        <v>#VALUE!</v>
      </c>
      <c r="FE182" t="e">
        <f>Raw!P131+"h_l!(u'"</f>
        <v>#VALUE!</v>
      </c>
      <c r="FF182" t="e">
        <f>Raw!Q131+"h_l!(u("</f>
        <v>#VALUE!</v>
      </c>
      <c r="FG182" t="e">
        <f>Raw!R131+"h_l!(u)"</f>
        <v>#VALUE!</v>
      </c>
      <c r="FH182" t="e">
        <f>Raw!S131+"h_l!(u."</f>
        <v>#VALUE!</v>
      </c>
      <c r="FI182" t="e">
        <f>Raw!T131+"h_l!(u/"</f>
        <v>#VALUE!</v>
      </c>
      <c r="FJ182" t="e">
        <f>Raw!U131+"h_l!(u0"</f>
        <v>#VALUE!</v>
      </c>
      <c r="FK182" t="e">
        <f>Raw!V131+"h_l!(u1"</f>
        <v>#VALUE!</v>
      </c>
      <c r="FL182" t="e">
        <f>Raw!W131+"h_l!(u2"</f>
        <v>#VALUE!</v>
      </c>
      <c r="FM182" t="e">
        <f>Raw!A132+"h_l!(u3"</f>
        <v>#VALUE!</v>
      </c>
      <c r="FN182" t="e">
        <f>Raw!B132+"h_l!(u4"</f>
        <v>#VALUE!</v>
      </c>
      <c r="FO182" t="e">
        <f>Raw!C132+"h_l!(u5"</f>
        <v>#VALUE!</v>
      </c>
      <c r="FP182" t="e">
        <f>Raw!D132+"h_l!(u6"</f>
        <v>#VALUE!</v>
      </c>
      <c r="FQ182" t="e">
        <f>Raw!E132+"h_l!(u7"</f>
        <v>#VALUE!</v>
      </c>
      <c r="FR182" t="e">
        <f>Raw!#REF!+"h_l!(u8"</f>
        <v>#REF!</v>
      </c>
      <c r="FS182" t="e">
        <f>Raw!G132+"h_l!(u9"</f>
        <v>#VALUE!</v>
      </c>
      <c r="FT182" t="e">
        <f>Raw!H132+"h_l!(u:"</f>
        <v>#VALUE!</v>
      </c>
      <c r="FU182" t="e">
        <f>Raw!I132+"h_l!(u;"</f>
        <v>#VALUE!</v>
      </c>
      <c r="FV182" t="e">
        <f>Raw!J132+"h_l!(u&lt;"</f>
        <v>#VALUE!</v>
      </c>
      <c r="FW182" t="e">
        <f>Raw!K132+"h_l!(u="</f>
        <v>#VALUE!</v>
      </c>
      <c r="FX182" t="e">
        <f>Raw!L132+"h_l!(u&gt;"</f>
        <v>#VALUE!</v>
      </c>
      <c r="FY182" t="e">
        <f>Raw!M132+"h_l!(u?"</f>
        <v>#VALUE!</v>
      </c>
      <c r="FZ182" t="e">
        <f>Raw!N132+"h_l!(u@"</f>
        <v>#VALUE!</v>
      </c>
      <c r="GA182" t="e">
        <f>Raw!O132+"h_l!(uA"</f>
        <v>#VALUE!</v>
      </c>
      <c r="GB182" t="e">
        <f>Raw!P132+"h_l!(uB"</f>
        <v>#VALUE!</v>
      </c>
      <c r="GC182" t="e">
        <f>Raw!Q132+"h_l!(uC"</f>
        <v>#VALUE!</v>
      </c>
      <c r="GD182" t="e">
        <f>Raw!R132+"h_l!(uD"</f>
        <v>#VALUE!</v>
      </c>
      <c r="GE182" t="e">
        <f>Raw!S132+"h_l!(uE"</f>
        <v>#VALUE!</v>
      </c>
      <c r="GF182" t="e">
        <f>Raw!T132+"h_l!(uF"</f>
        <v>#VALUE!</v>
      </c>
      <c r="GG182" t="e">
        <f>Raw!U132+"h_l!(uG"</f>
        <v>#VALUE!</v>
      </c>
      <c r="GH182" t="e">
        <f>Raw!V132+"h_l!(uH"</f>
        <v>#VALUE!</v>
      </c>
      <c r="GI182" t="e">
        <f>Raw!W132+"h_l!(uI"</f>
        <v>#VALUE!</v>
      </c>
      <c r="GJ182" t="e">
        <f>Raw!A133+"h_l!(uJ"</f>
        <v>#VALUE!</v>
      </c>
      <c r="GK182" t="e">
        <f>Raw!B133+"h_l!(uK"</f>
        <v>#VALUE!</v>
      </c>
      <c r="GL182" t="e">
        <f>Raw!C133+"h_l!(uL"</f>
        <v>#VALUE!</v>
      </c>
      <c r="GM182" t="e">
        <f>Raw!D133+"h_l!(uM"</f>
        <v>#VALUE!</v>
      </c>
      <c r="GN182" t="e">
        <f>Raw!E133+"h_l!(uN"</f>
        <v>#VALUE!</v>
      </c>
      <c r="GO182" t="e">
        <f>Raw!#REF!+"h_l!(uO"</f>
        <v>#REF!</v>
      </c>
      <c r="GP182" t="e">
        <f>Raw!G133+"h_l!(uP"</f>
        <v>#VALUE!</v>
      </c>
      <c r="GQ182" t="e">
        <f>Raw!H133+"h_l!(uQ"</f>
        <v>#VALUE!</v>
      </c>
      <c r="GR182" t="e">
        <f>Raw!I133+"h_l!(uR"</f>
        <v>#VALUE!</v>
      </c>
      <c r="GS182" t="e">
        <f>Raw!J133+"h_l!(uS"</f>
        <v>#VALUE!</v>
      </c>
      <c r="GT182" t="e">
        <f>Raw!K133+"h_l!(uT"</f>
        <v>#VALUE!</v>
      </c>
      <c r="GU182" t="e">
        <f>Raw!L133+"h_l!(uU"</f>
        <v>#VALUE!</v>
      </c>
      <c r="GV182" t="e">
        <f>Raw!M133+"h_l!(uV"</f>
        <v>#VALUE!</v>
      </c>
      <c r="GW182" t="e">
        <f>Raw!N133+"h_l!(uW"</f>
        <v>#VALUE!</v>
      </c>
      <c r="GX182" t="e">
        <f>Raw!O133+"h_l!(uX"</f>
        <v>#VALUE!</v>
      </c>
      <c r="GY182" t="e">
        <f>Raw!P133+"h_l!(uY"</f>
        <v>#VALUE!</v>
      </c>
      <c r="GZ182" t="e">
        <f>Raw!Q133+"h_l!(uZ"</f>
        <v>#VALUE!</v>
      </c>
      <c r="HA182" t="e">
        <f>Raw!R133+"h_l!(u["</f>
        <v>#VALUE!</v>
      </c>
      <c r="HB182" t="e">
        <f>Raw!S133+"h_l!(u\"</f>
        <v>#VALUE!</v>
      </c>
      <c r="HC182" t="e">
        <f>Raw!T133+"h_l!(u]"</f>
        <v>#VALUE!</v>
      </c>
      <c r="HD182" t="e">
        <f>Raw!U133+"h_l!(u^"</f>
        <v>#VALUE!</v>
      </c>
      <c r="HE182" t="e">
        <f>Raw!V133+"h_l!(u_"</f>
        <v>#VALUE!</v>
      </c>
      <c r="HF182" t="e">
        <f>Raw!W133+"h_l!(u`"</f>
        <v>#VALUE!</v>
      </c>
      <c r="HG182" t="e">
        <f>Raw!A134+"h_l!(ua"</f>
        <v>#VALUE!</v>
      </c>
      <c r="HH182" t="e">
        <f>Raw!B134+"h_l!(ub"</f>
        <v>#VALUE!</v>
      </c>
      <c r="HI182" t="e">
        <f>Raw!C134+"h_l!(uc"</f>
        <v>#VALUE!</v>
      </c>
      <c r="HJ182" t="e">
        <f>Raw!D134+"h_l!(ud"</f>
        <v>#VALUE!</v>
      </c>
      <c r="HK182" t="e">
        <f>Raw!E134+"h_l!(ue"</f>
        <v>#VALUE!</v>
      </c>
      <c r="HL182" t="e">
        <f>Raw!#REF!+"h_l!(uf"</f>
        <v>#REF!</v>
      </c>
      <c r="HM182" t="e">
        <f>Raw!G134+"h_l!(ug"</f>
        <v>#VALUE!</v>
      </c>
      <c r="HN182" t="e">
        <f>Raw!H134+"h_l!(uh"</f>
        <v>#VALUE!</v>
      </c>
      <c r="HO182" t="e">
        <f>Raw!I134+"h_l!(ui"</f>
        <v>#VALUE!</v>
      </c>
      <c r="HP182" t="e">
        <f>Raw!J134+"h_l!(uj"</f>
        <v>#VALUE!</v>
      </c>
      <c r="HQ182" t="e">
        <f>Raw!K134+"h_l!(uk"</f>
        <v>#VALUE!</v>
      </c>
      <c r="HR182" t="e">
        <f>Raw!L134+"h_l!(ul"</f>
        <v>#VALUE!</v>
      </c>
      <c r="HS182" t="e">
        <f>Raw!M134+"h_l!(um"</f>
        <v>#VALUE!</v>
      </c>
      <c r="HT182" t="e">
        <f>Raw!N134+"h_l!(un"</f>
        <v>#VALUE!</v>
      </c>
      <c r="HU182" t="e">
        <f>Raw!O134+"h_l!(uo"</f>
        <v>#VALUE!</v>
      </c>
      <c r="HV182" t="e">
        <f>Raw!P134+"h_l!(up"</f>
        <v>#VALUE!</v>
      </c>
      <c r="HW182" t="e">
        <f>Raw!Q134+"h_l!(uq"</f>
        <v>#VALUE!</v>
      </c>
      <c r="HX182" t="e">
        <f>Raw!R134+"h_l!(ur"</f>
        <v>#VALUE!</v>
      </c>
      <c r="HY182" t="e">
        <f>Raw!S134+"h_l!(us"</f>
        <v>#VALUE!</v>
      </c>
      <c r="HZ182" t="e">
        <f>Raw!T134+"h_l!(ut"</f>
        <v>#VALUE!</v>
      </c>
      <c r="IA182" t="e">
        <f>Raw!U134+"h_l!(uu"</f>
        <v>#VALUE!</v>
      </c>
      <c r="IB182" t="e">
        <f>Raw!V134+"h_l!(uv"</f>
        <v>#VALUE!</v>
      </c>
      <c r="IC182" t="e">
        <f>Raw!W134+"h_l!(uw"</f>
        <v>#VALUE!</v>
      </c>
      <c r="ID182" t="e">
        <f>Raw!A135+"h_l!(ux"</f>
        <v>#VALUE!</v>
      </c>
      <c r="IE182" t="e">
        <f>Raw!B135+"h_l!(uy"</f>
        <v>#VALUE!</v>
      </c>
      <c r="IF182" t="e">
        <f>Raw!C135+"h_l!(uz"</f>
        <v>#VALUE!</v>
      </c>
      <c r="IG182" t="e">
        <f>Raw!D135+"h_l!(u{"</f>
        <v>#VALUE!</v>
      </c>
      <c r="IH182" t="e">
        <f>Raw!E135+"h_l!(u|"</f>
        <v>#VALUE!</v>
      </c>
      <c r="II182" t="e">
        <f>Raw!#REF!+"h_l!(u}"</f>
        <v>#REF!</v>
      </c>
      <c r="IJ182" t="e">
        <f>Raw!G135+"h_l!(u~"</f>
        <v>#VALUE!</v>
      </c>
      <c r="IK182" t="e">
        <f>Raw!H135+"h_l!(v#"</f>
        <v>#VALUE!</v>
      </c>
      <c r="IL182" t="e">
        <f>Raw!I135+"h_l!(v$"</f>
        <v>#VALUE!</v>
      </c>
      <c r="IM182" t="e">
        <f>Raw!J135+"h_l!(v%"</f>
        <v>#VALUE!</v>
      </c>
      <c r="IN182" t="e">
        <f>Raw!K135+"h_l!(v&amp;"</f>
        <v>#VALUE!</v>
      </c>
      <c r="IO182" t="e">
        <f>Raw!L135+"h_l!(v'"</f>
        <v>#VALUE!</v>
      </c>
      <c r="IP182" t="e">
        <f>Raw!M135+"h_l!(v("</f>
        <v>#VALUE!</v>
      </c>
      <c r="IQ182" t="e">
        <f>Raw!N135+"h_l!(v)"</f>
        <v>#VALUE!</v>
      </c>
      <c r="IR182" t="e">
        <f>Raw!O135+"h_l!(v."</f>
        <v>#VALUE!</v>
      </c>
      <c r="IS182" t="e">
        <f>Raw!P135+"h_l!(v/"</f>
        <v>#VALUE!</v>
      </c>
      <c r="IT182" t="e">
        <f>Raw!Q135+"h_l!(v0"</f>
        <v>#VALUE!</v>
      </c>
      <c r="IU182" t="e">
        <f>Raw!R135+"h_l!(v1"</f>
        <v>#VALUE!</v>
      </c>
      <c r="IV182" t="e">
        <f>Raw!S135+"h_l!(v2"</f>
        <v>#VALUE!</v>
      </c>
    </row>
    <row r="183" spans="6:256" x14ac:dyDescent="0.25">
      <c r="F183" t="e">
        <f>Raw!T135+"h_l!(v3"</f>
        <v>#VALUE!</v>
      </c>
      <c r="G183" t="e">
        <f>Raw!U135+"h_l!(v4"</f>
        <v>#VALUE!</v>
      </c>
      <c r="H183" t="e">
        <f>Raw!V135+"h_l!(v5"</f>
        <v>#VALUE!</v>
      </c>
      <c r="I183" t="e">
        <f>Raw!W135+"h_l!(v6"</f>
        <v>#VALUE!</v>
      </c>
      <c r="J183" t="e">
        <f>Raw!A136+"h_l!(v7"</f>
        <v>#VALUE!</v>
      </c>
      <c r="K183" t="e">
        <f>Raw!B136+"h_l!(v8"</f>
        <v>#VALUE!</v>
      </c>
      <c r="L183" t="e">
        <f>Raw!C136+"h_l!(v9"</f>
        <v>#VALUE!</v>
      </c>
      <c r="M183" t="e">
        <f>Raw!D136+"h_l!(v:"</f>
        <v>#VALUE!</v>
      </c>
      <c r="N183" t="e">
        <f>Raw!E136+"h_l!(v;"</f>
        <v>#VALUE!</v>
      </c>
      <c r="O183" t="e">
        <f>Raw!#REF!+"h_l!(v&lt;"</f>
        <v>#REF!</v>
      </c>
      <c r="P183" t="e">
        <f>Raw!G136+"h_l!(v="</f>
        <v>#VALUE!</v>
      </c>
      <c r="Q183" t="e">
        <f>Raw!H136+"h_l!(v&gt;"</f>
        <v>#VALUE!</v>
      </c>
      <c r="R183" t="e">
        <f>Raw!I136+"h_l!(v?"</f>
        <v>#VALUE!</v>
      </c>
      <c r="S183" t="e">
        <f>Raw!J136+"h_l!(v@"</f>
        <v>#VALUE!</v>
      </c>
      <c r="T183" t="e">
        <f>Raw!K136+"h_l!(vA"</f>
        <v>#VALUE!</v>
      </c>
      <c r="U183" t="e">
        <f>Raw!L136+"h_l!(vB"</f>
        <v>#VALUE!</v>
      </c>
      <c r="V183" t="e">
        <f>Raw!M136+"h_l!(vC"</f>
        <v>#VALUE!</v>
      </c>
      <c r="W183" t="e">
        <f>Raw!N136+"h_l!(vD"</f>
        <v>#VALUE!</v>
      </c>
      <c r="X183" t="e">
        <f>Raw!O136+"h_l!(vE"</f>
        <v>#VALUE!</v>
      </c>
      <c r="Y183" t="e">
        <f>Raw!P136+"h_l!(vF"</f>
        <v>#VALUE!</v>
      </c>
      <c r="Z183" t="e">
        <f>Raw!Q136+"h_l!(vG"</f>
        <v>#VALUE!</v>
      </c>
      <c r="AA183" t="e">
        <f>Raw!R136+"h_l!(vH"</f>
        <v>#VALUE!</v>
      </c>
      <c r="AB183" t="e">
        <f>Raw!S136+"h_l!(vI"</f>
        <v>#VALUE!</v>
      </c>
      <c r="AC183" t="e">
        <f>Raw!T136+"h_l!(vJ"</f>
        <v>#VALUE!</v>
      </c>
      <c r="AD183" t="e">
        <f>Raw!U136+"h_l!(vK"</f>
        <v>#VALUE!</v>
      </c>
      <c r="AE183" t="e">
        <f>Raw!V136+"h_l!(vL"</f>
        <v>#VALUE!</v>
      </c>
      <c r="AF183" t="e">
        <f>Raw!W136+"h_l!(vM"</f>
        <v>#VALUE!</v>
      </c>
      <c r="AG183" t="e">
        <f>Raw!A137+"h_l!(vN"</f>
        <v>#VALUE!</v>
      </c>
      <c r="AH183" t="e">
        <f>Raw!B137+"h_l!(vO"</f>
        <v>#VALUE!</v>
      </c>
      <c r="AI183" t="e">
        <f>Raw!C137+"h_l!(vP"</f>
        <v>#VALUE!</v>
      </c>
      <c r="AJ183" t="e">
        <f>Raw!D137+"h_l!(vQ"</f>
        <v>#VALUE!</v>
      </c>
      <c r="AK183" t="e">
        <f>Raw!E137+"h_l!(vR"</f>
        <v>#VALUE!</v>
      </c>
      <c r="AL183" t="e">
        <f>Raw!#REF!+"h_l!(vS"</f>
        <v>#REF!</v>
      </c>
      <c r="AM183" t="e">
        <f>Raw!G137+"h_l!(vT"</f>
        <v>#VALUE!</v>
      </c>
      <c r="AN183" t="e">
        <f>Raw!H137+"h_l!(vU"</f>
        <v>#VALUE!</v>
      </c>
      <c r="AO183" t="e">
        <f>Raw!I137+"h_l!(vV"</f>
        <v>#VALUE!</v>
      </c>
      <c r="AP183" t="e">
        <f>Raw!J137+"h_l!(vW"</f>
        <v>#VALUE!</v>
      </c>
      <c r="AQ183" t="e">
        <f>Raw!K137+"h_l!(vX"</f>
        <v>#VALUE!</v>
      </c>
      <c r="AR183" t="e">
        <f>Raw!L137+"h_l!(vY"</f>
        <v>#VALUE!</v>
      </c>
      <c r="AS183" t="e">
        <f>Raw!M137+"h_l!(vZ"</f>
        <v>#VALUE!</v>
      </c>
      <c r="AT183" t="e">
        <f>Raw!N137+"h_l!(v["</f>
        <v>#VALUE!</v>
      </c>
      <c r="AU183" t="e">
        <f>Raw!O137+"h_l!(v\"</f>
        <v>#VALUE!</v>
      </c>
      <c r="AV183" t="e">
        <f>Raw!P137+"h_l!(v]"</f>
        <v>#VALUE!</v>
      </c>
      <c r="AW183" t="e">
        <f>Raw!Q137+"h_l!(v^"</f>
        <v>#VALUE!</v>
      </c>
      <c r="AX183" t="e">
        <f>Raw!R137+"h_l!(v_"</f>
        <v>#VALUE!</v>
      </c>
      <c r="AY183" t="e">
        <f>Raw!S137+"h_l!(v`"</f>
        <v>#VALUE!</v>
      </c>
      <c r="AZ183" t="e">
        <f>Raw!T137+"h_l!(va"</f>
        <v>#VALUE!</v>
      </c>
      <c r="BA183" t="e">
        <f>Raw!U137+"h_l!(vb"</f>
        <v>#VALUE!</v>
      </c>
      <c r="BB183" t="e">
        <f>Raw!V137+"h_l!(vc"</f>
        <v>#VALUE!</v>
      </c>
      <c r="BC183" t="e">
        <f>Raw!W137+"h_l!(vd"</f>
        <v>#VALUE!</v>
      </c>
      <c r="BD183" t="e">
        <f>Raw!A138+"h_l!(ve"</f>
        <v>#VALUE!</v>
      </c>
      <c r="BE183" t="e">
        <f>Raw!B138+"h_l!(vf"</f>
        <v>#VALUE!</v>
      </c>
      <c r="BF183" t="e">
        <f>Raw!C138+"h_l!(vg"</f>
        <v>#VALUE!</v>
      </c>
      <c r="BG183" t="e">
        <f>Raw!D138+"h_l!(vh"</f>
        <v>#VALUE!</v>
      </c>
      <c r="BH183" t="e">
        <f>Raw!E138+"h_l!(vi"</f>
        <v>#VALUE!</v>
      </c>
      <c r="BI183" t="e">
        <f>Raw!#REF!+"h_l!(vj"</f>
        <v>#REF!</v>
      </c>
      <c r="BJ183" t="e">
        <f>Raw!G138+"h_l!(vk"</f>
        <v>#VALUE!</v>
      </c>
      <c r="BK183" t="e">
        <f>Raw!H138+"h_l!(vl"</f>
        <v>#VALUE!</v>
      </c>
      <c r="BL183" t="e">
        <f>Raw!I138+"h_l!(vm"</f>
        <v>#VALUE!</v>
      </c>
      <c r="BM183" t="e">
        <f>Raw!J138+"h_l!(vn"</f>
        <v>#VALUE!</v>
      </c>
      <c r="BN183" t="e">
        <f>Raw!K138+"h_l!(vo"</f>
        <v>#VALUE!</v>
      </c>
      <c r="BO183" t="e">
        <f>Raw!L138+"h_l!(vp"</f>
        <v>#VALUE!</v>
      </c>
      <c r="BP183" t="e">
        <f>Raw!M138+"h_l!(vq"</f>
        <v>#VALUE!</v>
      </c>
      <c r="BQ183" t="e">
        <f>Raw!N138+"h_l!(vr"</f>
        <v>#VALUE!</v>
      </c>
      <c r="BR183" t="e">
        <f>Raw!O138+"h_l!(vs"</f>
        <v>#VALUE!</v>
      </c>
      <c r="BS183" t="e">
        <f>Raw!P138+"h_l!(vt"</f>
        <v>#VALUE!</v>
      </c>
      <c r="BT183" t="e">
        <f>Raw!Q138+"h_l!(vu"</f>
        <v>#VALUE!</v>
      </c>
      <c r="BU183" t="e">
        <f>Raw!R138+"h_l!(vv"</f>
        <v>#VALUE!</v>
      </c>
      <c r="BV183" t="e">
        <f>Raw!S138+"h_l!(vw"</f>
        <v>#VALUE!</v>
      </c>
      <c r="BW183" t="e">
        <f>Raw!T138+"h_l!(vx"</f>
        <v>#VALUE!</v>
      </c>
      <c r="BX183" t="e">
        <f>Raw!U138+"h_l!(vy"</f>
        <v>#VALUE!</v>
      </c>
      <c r="BY183" t="e">
        <f>Raw!V138+"h_l!(vz"</f>
        <v>#VALUE!</v>
      </c>
      <c r="BZ183" t="e">
        <f>Raw!W138+"h_l!(v{"</f>
        <v>#VALUE!</v>
      </c>
      <c r="CA183" t="e">
        <f>Raw!A139+"h_l!(v|"</f>
        <v>#VALUE!</v>
      </c>
      <c r="CB183" t="e">
        <f>Raw!B139+"h_l!(v}"</f>
        <v>#VALUE!</v>
      </c>
      <c r="CC183" t="e">
        <f>Raw!C139+"h_l!(v~"</f>
        <v>#VALUE!</v>
      </c>
      <c r="CD183" t="e">
        <f>Raw!D139+"h_l!(w#"</f>
        <v>#VALUE!</v>
      </c>
      <c r="CE183" t="e">
        <f>Raw!E139+"h_l!(w$"</f>
        <v>#VALUE!</v>
      </c>
      <c r="CF183" t="e">
        <f>Raw!#REF!+"h_l!(w%"</f>
        <v>#REF!</v>
      </c>
      <c r="CG183" t="e">
        <f>Raw!G139+"h_l!(w&amp;"</f>
        <v>#VALUE!</v>
      </c>
      <c r="CH183" t="e">
        <f>Raw!H139+"h_l!(w'"</f>
        <v>#VALUE!</v>
      </c>
      <c r="CI183" t="e">
        <f>Raw!I139+"h_l!(w("</f>
        <v>#VALUE!</v>
      </c>
      <c r="CJ183" t="e">
        <f>Raw!J139+"h_l!(w)"</f>
        <v>#VALUE!</v>
      </c>
      <c r="CK183" t="e">
        <f>Raw!K139+"h_l!(w."</f>
        <v>#VALUE!</v>
      </c>
      <c r="CL183" t="e">
        <f>Raw!L139+"h_l!(w/"</f>
        <v>#VALUE!</v>
      </c>
      <c r="CM183" t="e">
        <f>Raw!M139+"h_l!(w0"</f>
        <v>#VALUE!</v>
      </c>
      <c r="CN183" t="e">
        <f>Raw!N139+"h_l!(w1"</f>
        <v>#VALUE!</v>
      </c>
      <c r="CO183" t="e">
        <f>Raw!O139+"h_l!(w2"</f>
        <v>#VALUE!</v>
      </c>
      <c r="CP183" t="e">
        <f>Raw!P139+"h_l!(w3"</f>
        <v>#VALUE!</v>
      </c>
      <c r="CQ183" t="e">
        <f>Raw!Q139+"h_l!(w4"</f>
        <v>#VALUE!</v>
      </c>
      <c r="CR183" t="e">
        <f>Raw!R139+"h_l!(w5"</f>
        <v>#VALUE!</v>
      </c>
      <c r="CS183" t="e">
        <f>Raw!S139+"h_l!(w6"</f>
        <v>#VALUE!</v>
      </c>
      <c r="CT183" t="e">
        <f>Raw!T139+"h_l!(w7"</f>
        <v>#VALUE!</v>
      </c>
      <c r="CU183" t="e">
        <f>Raw!U139+"h_l!(w8"</f>
        <v>#VALUE!</v>
      </c>
      <c r="CV183" t="e">
        <f>Raw!V139+"h_l!(w9"</f>
        <v>#VALUE!</v>
      </c>
      <c r="CW183" t="e">
        <f>Raw!W139+"h_l!(w:"</f>
        <v>#VALUE!</v>
      </c>
      <c r="CX183" t="e">
        <f>Raw!A140+"h_l!(w;"</f>
        <v>#VALUE!</v>
      </c>
      <c r="CY183" t="e">
        <f>Raw!B140+"h_l!(w&lt;"</f>
        <v>#VALUE!</v>
      </c>
      <c r="CZ183" t="e">
        <f>Raw!C140+"h_l!(w="</f>
        <v>#VALUE!</v>
      </c>
      <c r="DA183" t="e">
        <f>Raw!D140+"h_l!(w&gt;"</f>
        <v>#VALUE!</v>
      </c>
      <c r="DB183" t="e">
        <f>Raw!E140+"h_l!(w?"</f>
        <v>#VALUE!</v>
      </c>
      <c r="DC183" t="e">
        <f>Raw!#REF!+"h_l!(w@"</f>
        <v>#REF!</v>
      </c>
      <c r="DD183" t="e">
        <f>Raw!G140+"h_l!(wA"</f>
        <v>#VALUE!</v>
      </c>
      <c r="DE183" t="e">
        <f>Raw!H140+"h_l!(wB"</f>
        <v>#VALUE!</v>
      </c>
      <c r="DF183" t="e">
        <f>Raw!I140+"h_l!(wC"</f>
        <v>#VALUE!</v>
      </c>
      <c r="DG183" t="e">
        <f>Raw!J140+"h_l!(wD"</f>
        <v>#VALUE!</v>
      </c>
      <c r="DH183" t="e">
        <f>Raw!K140+"h_l!(wE"</f>
        <v>#VALUE!</v>
      </c>
      <c r="DI183" t="e">
        <f>Raw!L140+"h_l!(wF"</f>
        <v>#VALUE!</v>
      </c>
      <c r="DJ183" t="e">
        <f>Raw!M140+"h_l!(wG"</f>
        <v>#VALUE!</v>
      </c>
      <c r="DK183" t="e">
        <f>Raw!N140+"h_l!(wH"</f>
        <v>#VALUE!</v>
      </c>
      <c r="DL183" t="e">
        <f>Raw!O140+"h_l!(wI"</f>
        <v>#VALUE!</v>
      </c>
      <c r="DM183" t="e">
        <f>Raw!P140+"h_l!(wJ"</f>
        <v>#VALUE!</v>
      </c>
      <c r="DN183" t="e">
        <f>Raw!Q140+"h_l!(wK"</f>
        <v>#VALUE!</v>
      </c>
      <c r="DO183" t="e">
        <f>Raw!R140+"h_l!(wL"</f>
        <v>#VALUE!</v>
      </c>
      <c r="DP183" t="e">
        <f>Raw!S140+"h_l!(wM"</f>
        <v>#VALUE!</v>
      </c>
      <c r="DQ183" t="e">
        <f>Raw!T140+"h_l!(wN"</f>
        <v>#VALUE!</v>
      </c>
      <c r="DR183" t="e">
        <f>Raw!U140+"h_l!(wO"</f>
        <v>#VALUE!</v>
      </c>
      <c r="DS183" t="e">
        <f>Raw!V140+"h_l!(wP"</f>
        <v>#VALUE!</v>
      </c>
      <c r="DT183" t="e">
        <f>Raw!W140+"h_l!(wQ"</f>
        <v>#VALUE!</v>
      </c>
      <c r="DU183" t="e">
        <f>Raw!A141+"h_l!(wR"</f>
        <v>#VALUE!</v>
      </c>
      <c r="DV183" t="e">
        <f>Raw!B141+"h_l!(wS"</f>
        <v>#VALUE!</v>
      </c>
      <c r="DW183" t="e">
        <f>Raw!C141+"h_l!(wT"</f>
        <v>#VALUE!</v>
      </c>
      <c r="DX183" t="e">
        <f>Raw!D141+"h_l!(wU"</f>
        <v>#VALUE!</v>
      </c>
      <c r="DY183" t="e">
        <f>Raw!E141+"h_l!(wV"</f>
        <v>#VALUE!</v>
      </c>
      <c r="DZ183" t="e">
        <f>Raw!#REF!+"h_l!(wW"</f>
        <v>#REF!</v>
      </c>
      <c r="EA183" t="e">
        <f>Raw!G141+"h_l!(wX"</f>
        <v>#VALUE!</v>
      </c>
      <c r="EB183" t="e">
        <f>Raw!H141+"h_l!(wY"</f>
        <v>#VALUE!</v>
      </c>
      <c r="EC183" t="e">
        <f>Raw!I141+"h_l!(wZ"</f>
        <v>#VALUE!</v>
      </c>
      <c r="ED183" t="e">
        <f>Raw!J141+"h_l!(w["</f>
        <v>#VALUE!</v>
      </c>
      <c r="EE183" t="e">
        <f>Raw!K141+"h_l!(w\"</f>
        <v>#VALUE!</v>
      </c>
      <c r="EF183" t="e">
        <f>Raw!L141+"h_l!(w]"</f>
        <v>#VALUE!</v>
      </c>
      <c r="EG183" t="e">
        <f>Raw!M141+"h_l!(w^"</f>
        <v>#VALUE!</v>
      </c>
      <c r="EH183" t="e">
        <f>Raw!N141+"h_l!(w_"</f>
        <v>#VALUE!</v>
      </c>
      <c r="EI183" t="e">
        <f>Raw!O141+"h_l!(w`"</f>
        <v>#VALUE!</v>
      </c>
      <c r="EJ183" t="e">
        <f>Raw!P141+"h_l!(wa"</f>
        <v>#VALUE!</v>
      </c>
      <c r="EK183" t="e">
        <f>Raw!Q141+"h_l!(wb"</f>
        <v>#VALUE!</v>
      </c>
      <c r="EL183" t="e">
        <f>Raw!R141+"h_l!(wc"</f>
        <v>#VALUE!</v>
      </c>
      <c r="EM183" t="e">
        <f>Raw!S141+"h_l!(wd"</f>
        <v>#VALUE!</v>
      </c>
      <c r="EN183" t="e">
        <f>Raw!T141+"h_l!(we"</f>
        <v>#VALUE!</v>
      </c>
      <c r="EO183" t="e">
        <f>Raw!U141+"h_l!(wf"</f>
        <v>#VALUE!</v>
      </c>
      <c r="EP183" t="e">
        <f>Raw!V141+"h_l!(wg"</f>
        <v>#VALUE!</v>
      </c>
      <c r="EQ183" t="e">
        <f>Raw!W141+"h_l!(wh"</f>
        <v>#VALUE!</v>
      </c>
      <c r="ER183" t="e">
        <f>Raw!A142+"h_l!(wi"</f>
        <v>#VALUE!</v>
      </c>
      <c r="ES183" t="e">
        <f>Raw!B142+"h_l!(wj"</f>
        <v>#VALUE!</v>
      </c>
      <c r="ET183" t="e">
        <f>Raw!C142+"h_l!(wk"</f>
        <v>#VALUE!</v>
      </c>
      <c r="EU183" t="e">
        <f>Raw!D142+"h_l!(wl"</f>
        <v>#VALUE!</v>
      </c>
      <c r="EV183" t="e">
        <f>Raw!E142+"h_l!(wm"</f>
        <v>#VALUE!</v>
      </c>
      <c r="EW183" t="e">
        <f>Raw!#REF!+"h_l!(wn"</f>
        <v>#REF!</v>
      </c>
      <c r="EX183" t="e">
        <f>Raw!G142+"h_l!(wo"</f>
        <v>#VALUE!</v>
      </c>
      <c r="EY183" t="e">
        <f>Raw!H142+"h_l!(wp"</f>
        <v>#VALUE!</v>
      </c>
      <c r="EZ183" t="e">
        <f>Raw!I142+"h_l!(wq"</f>
        <v>#VALUE!</v>
      </c>
      <c r="FA183" t="e">
        <f>Raw!J142+"h_l!(wr"</f>
        <v>#VALUE!</v>
      </c>
      <c r="FB183" t="e">
        <f>Raw!K142+"h_l!(ws"</f>
        <v>#VALUE!</v>
      </c>
      <c r="FC183" t="e">
        <f>Raw!L142+"h_l!(wt"</f>
        <v>#VALUE!</v>
      </c>
      <c r="FD183" t="e">
        <f>Raw!M142+"h_l!(wu"</f>
        <v>#VALUE!</v>
      </c>
      <c r="FE183" t="e">
        <f>Raw!N142+"h_l!(wv"</f>
        <v>#VALUE!</v>
      </c>
      <c r="FF183" t="e">
        <f>Raw!O142+"h_l!(ww"</f>
        <v>#VALUE!</v>
      </c>
      <c r="FG183" t="e">
        <f>Raw!P142+"h_l!(wx"</f>
        <v>#VALUE!</v>
      </c>
      <c r="FH183" t="e">
        <f>Raw!Q142+"h_l!(wy"</f>
        <v>#VALUE!</v>
      </c>
      <c r="FI183" t="e">
        <f>Raw!R142+"h_l!(wz"</f>
        <v>#VALUE!</v>
      </c>
      <c r="FJ183" t="e">
        <f>Raw!S142+"h_l!(w{"</f>
        <v>#VALUE!</v>
      </c>
      <c r="FK183" t="e">
        <f>Raw!T142+"h_l!(w|"</f>
        <v>#VALUE!</v>
      </c>
      <c r="FL183" t="e">
        <f>Raw!U142+"h_l!(w}"</f>
        <v>#VALUE!</v>
      </c>
      <c r="FM183" t="e">
        <f>Raw!V142+"h_l!(w~"</f>
        <v>#VALUE!</v>
      </c>
      <c r="FN183" t="e">
        <f>Raw!W142+"h_l!(x#"</f>
        <v>#VALUE!</v>
      </c>
      <c r="FO183" t="e">
        <f>Raw!A143+"h_l!(x$"</f>
        <v>#VALUE!</v>
      </c>
      <c r="FP183" t="e">
        <f>Raw!B143+"h_l!(x%"</f>
        <v>#VALUE!</v>
      </c>
      <c r="FQ183" t="e">
        <f>Raw!C143+"h_l!(x&amp;"</f>
        <v>#VALUE!</v>
      </c>
      <c r="FR183" t="e">
        <f>Raw!D143+"h_l!(x'"</f>
        <v>#VALUE!</v>
      </c>
      <c r="FS183" t="e">
        <f>Raw!E143+"h_l!(x("</f>
        <v>#VALUE!</v>
      </c>
      <c r="FT183" t="e">
        <f>Raw!#REF!+"h_l!(x)"</f>
        <v>#REF!</v>
      </c>
      <c r="FU183" t="e">
        <f>Raw!G143+"h_l!(x."</f>
        <v>#VALUE!</v>
      </c>
      <c r="FV183" t="e">
        <f>Raw!H143+"h_l!(x/"</f>
        <v>#VALUE!</v>
      </c>
      <c r="FW183" t="e">
        <f>Raw!I143+"h_l!(x0"</f>
        <v>#VALUE!</v>
      </c>
      <c r="FX183" t="e">
        <f>Raw!J143+"h_l!(x1"</f>
        <v>#VALUE!</v>
      </c>
      <c r="FY183" t="e">
        <f>Raw!K143+"h_l!(x2"</f>
        <v>#VALUE!</v>
      </c>
      <c r="FZ183" t="e">
        <f>Raw!L143+"h_l!(x3"</f>
        <v>#VALUE!</v>
      </c>
      <c r="GA183" t="e">
        <f>Raw!M143+"h_l!(x4"</f>
        <v>#VALUE!</v>
      </c>
      <c r="GB183" t="e">
        <f>Raw!N143+"h_l!(x5"</f>
        <v>#VALUE!</v>
      </c>
      <c r="GC183" t="e">
        <f>Raw!O143+"h_l!(x6"</f>
        <v>#VALUE!</v>
      </c>
      <c r="GD183" t="e">
        <f>Raw!P143+"h_l!(x7"</f>
        <v>#VALUE!</v>
      </c>
      <c r="GE183" t="e">
        <f>Raw!Q143+"h_l!(x8"</f>
        <v>#VALUE!</v>
      </c>
      <c r="GF183" t="e">
        <f>Raw!R143+"h_l!(x9"</f>
        <v>#VALUE!</v>
      </c>
      <c r="GG183" t="e">
        <f>Raw!S143+"h_l!(x:"</f>
        <v>#VALUE!</v>
      </c>
      <c r="GH183" t="e">
        <f>Raw!T143+"h_l!(x;"</f>
        <v>#VALUE!</v>
      </c>
      <c r="GI183" t="e">
        <f>Raw!U143+"h_l!(x&lt;"</f>
        <v>#VALUE!</v>
      </c>
      <c r="GJ183" t="e">
        <f>Raw!V143+"h_l!(x="</f>
        <v>#VALUE!</v>
      </c>
      <c r="GK183" t="e">
        <f>Raw!W143+"h_l!(x&gt;"</f>
        <v>#VALUE!</v>
      </c>
      <c r="GL183" t="e">
        <f>Raw!A144+"h_l!(x?"</f>
        <v>#VALUE!</v>
      </c>
      <c r="GM183" t="e">
        <f>Raw!B144+"h_l!(x@"</f>
        <v>#VALUE!</v>
      </c>
      <c r="GN183" t="e">
        <f>Raw!C144+"h_l!(xA"</f>
        <v>#VALUE!</v>
      </c>
      <c r="GO183" t="e">
        <f>Raw!D144+"h_l!(xB"</f>
        <v>#VALUE!</v>
      </c>
      <c r="GP183" t="e">
        <f>Raw!E144+"h_l!(xC"</f>
        <v>#VALUE!</v>
      </c>
      <c r="GQ183" t="e">
        <f>Raw!#REF!+"h_l!(xD"</f>
        <v>#REF!</v>
      </c>
      <c r="GR183" t="e">
        <f>Raw!G144+"h_l!(xE"</f>
        <v>#VALUE!</v>
      </c>
      <c r="GS183" t="e">
        <f>Raw!H144+"h_l!(xF"</f>
        <v>#VALUE!</v>
      </c>
      <c r="GT183" t="e">
        <f>Raw!I144+"h_l!(xG"</f>
        <v>#VALUE!</v>
      </c>
      <c r="GU183" t="e">
        <f>Raw!J144+"h_l!(xH"</f>
        <v>#VALUE!</v>
      </c>
      <c r="GV183" t="e">
        <f>Raw!K144+"h_l!(xI"</f>
        <v>#VALUE!</v>
      </c>
      <c r="GW183" t="e">
        <f>Raw!L144+"h_l!(xJ"</f>
        <v>#VALUE!</v>
      </c>
      <c r="GX183" t="e">
        <f>Raw!M144+"h_l!(xK"</f>
        <v>#VALUE!</v>
      </c>
      <c r="GY183" t="e">
        <f>Raw!N144+"h_l!(xL"</f>
        <v>#VALUE!</v>
      </c>
      <c r="GZ183" t="e">
        <f>Raw!O144+"h_l!(xM"</f>
        <v>#VALUE!</v>
      </c>
      <c r="HA183" t="e">
        <f>Raw!P144+"h_l!(xN"</f>
        <v>#VALUE!</v>
      </c>
      <c r="HB183" t="e">
        <f>Raw!Q144+"h_l!(xO"</f>
        <v>#VALUE!</v>
      </c>
      <c r="HC183" t="e">
        <f>Raw!R144+"h_l!(xP"</f>
        <v>#VALUE!</v>
      </c>
      <c r="HD183" t="e">
        <f>Raw!S144+"h_l!(xQ"</f>
        <v>#VALUE!</v>
      </c>
      <c r="HE183" t="e">
        <f>Raw!T144+"h_l!(xR"</f>
        <v>#VALUE!</v>
      </c>
      <c r="HF183" t="e">
        <f>Raw!U144+"h_l!(xS"</f>
        <v>#VALUE!</v>
      </c>
      <c r="HG183" t="e">
        <f>Raw!V144+"h_l!(xT"</f>
        <v>#VALUE!</v>
      </c>
      <c r="HH183" t="e">
        <f>Raw!W144+"h_l!(xU"</f>
        <v>#VALUE!</v>
      </c>
      <c r="HI183" t="e">
        <f>Raw!A145+"h_l!(xV"</f>
        <v>#VALUE!</v>
      </c>
      <c r="HJ183" t="e">
        <f>Raw!B145+"h_l!(xW"</f>
        <v>#VALUE!</v>
      </c>
      <c r="HK183" t="e">
        <f>Raw!C145+"h_l!(xX"</f>
        <v>#VALUE!</v>
      </c>
      <c r="HL183" t="e">
        <f>Raw!D145+"h_l!(xY"</f>
        <v>#VALUE!</v>
      </c>
      <c r="HM183" t="e">
        <f>Raw!E145+"h_l!(xZ"</f>
        <v>#VALUE!</v>
      </c>
      <c r="HN183" t="e">
        <f>Raw!#REF!+"h_l!(x["</f>
        <v>#REF!</v>
      </c>
      <c r="HO183" t="e">
        <f>Raw!G145+"h_l!(x\"</f>
        <v>#VALUE!</v>
      </c>
      <c r="HP183" t="e">
        <f>Raw!H145+"h_l!(x]"</f>
        <v>#VALUE!</v>
      </c>
      <c r="HQ183" t="e">
        <f>Raw!I145+"h_l!(x^"</f>
        <v>#VALUE!</v>
      </c>
      <c r="HR183" t="e">
        <f>Raw!J145+"h_l!(x_"</f>
        <v>#VALUE!</v>
      </c>
      <c r="HS183" t="e">
        <f>Raw!K145+"h_l!(x`"</f>
        <v>#VALUE!</v>
      </c>
      <c r="HT183" t="e">
        <f>Raw!L145+"h_l!(xa"</f>
        <v>#VALUE!</v>
      </c>
      <c r="HU183" t="e">
        <f>Raw!M145+"h_l!(xb"</f>
        <v>#VALUE!</v>
      </c>
      <c r="HV183" t="e">
        <f>Raw!N145+"h_l!(xc"</f>
        <v>#VALUE!</v>
      </c>
      <c r="HW183" t="e">
        <f>Raw!O145+"h_l!(xd"</f>
        <v>#VALUE!</v>
      </c>
      <c r="HX183" t="e">
        <f>Raw!P145+"h_l!(xe"</f>
        <v>#VALUE!</v>
      </c>
      <c r="HY183" t="e">
        <f>Raw!Q145+"h_l!(xf"</f>
        <v>#VALUE!</v>
      </c>
      <c r="HZ183" t="e">
        <f>Raw!R145+"h_l!(xg"</f>
        <v>#VALUE!</v>
      </c>
      <c r="IA183" t="e">
        <f>Raw!S145+"h_l!(xh"</f>
        <v>#VALUE!</v>
      </c>
      <c r="IB183" t="e">
        <f>Raw!T145+"h_l!(xi"</f>
        <v>#VALUE!</v>
      </c>
      <c r="IC183" t="e">
        <f>Raw!U145+"h_l!(xj"</f>
        <v>#VALUE!</v>
      </c>
      <c r="ID183" t="e">
        <f>Raw!V145+"h_l!(xk"</f>
        <v>#VALUE!</v>
      </c>
      <c r="IE183" t="e">
        <f>Raw!W145+"h_l!(xl"</f>
        <v>#VALUE!</v>
      </c>
      <c r="IF183" t="e">
        <f>Raw!A146+"h_l!(xm"</f>
        <v>#VALUE!</v>
      </c>
      <c r="IG183" t="e">
        <f>Raw!B146+"h_l!(xn"</f>
        <v>#VALUE!</v>
      </c>
      <c r="IH183" t="e">
        <f>Raw!C146+"h_l!(xo"</f>
        <v>#VALUE!</v>
      </c>
      <c r="II183" t="e">
        <f>Raw!D146+"h_l!(xp"</f>
        <v>#VALUE!</v>
      </c>
      <c r="IJ183" t="e">
        <f>Raw!E146+"h_l!(xq"</f>
        <v>#VALUE!</v>
      </c>
      <c r="IK183" t="e">
        <f>Raw!#REF!+"h_l!(xr"</f>
        <v>#REF!</v>
      </c>
      <c r="IL183" t="e">
        <f>Raw!G146+"h_l!(xs"</f>
        <v>#VALUE!</v>
      </c>
      <c r="IM183" t="e">
        <f>Raw!H146+"h_l!(xt"</f>
        <v>#VALUE!</v>
      </c>
      <c r="IN183" t="e">
        <f>Raw!I146+"h_l!(xu"</f>
        <v>#VALUE!</v>
      </c>
      <c r="IO183" t="e">
        <f>Raw!J146+"h_l!(xv"</f>
        <v>#VALUE!</v>
      </c>
      <c r="IP183" t="e">
        <f>Raw!K146+"h_l!(xw"</f>
        <v>#VALUE!</v>
      </c>
      <c r="IQ183" t="e">
        <f>Raw!L146+"h_l!(xx"</f>
        <v>#VALUE!</v>
      </c>
      <c r="IR183" t="e">
        <f>Raw!M146+"h_l!(xy"</f>
        <v>#VALUE!</v>
      </c>
      <c r="IS183" t="e">
        <f>Raw!N146+"h_l!(xz"</f>
        <v>#VALUE!</v>
      </c>
      <c r="IT183" t="e">
        <f>Raw!O146+"h_l!(x{"</f>
        <v>#VALUE!</v>
      </c>
      <c r="IU183" t="e">
        <f>Raw!P146+"h_l!(x|"</f>
        <v>#VALUE!</v>
      </c>
      <c r="IV183" t="e">
        <f>Raw!Q146+"h_l!(x}"</f>
        <v>#VALUE!</v>
      </c>
    </row>
    <row r="184" spans="6:256" x14ac:dyDescent="0.25">
      <c r="F184" t="e">
        <f>Raw!R146+"h_l!(x~"</f>
        <v>#VALUE!</v>
      </c>
      <c r="G184" t="e">
        <f>Raw!S146+"h_l!(y#"</f>
        <v>#VALUE!</v>
      </c>
      <c r="H184" t="e">
        <f>Raw!T146+"h_l!(y$"</f>
        <v>#VALUE!</v>
      </c>
      <c r="I184" t="e">
        <f>Raw!U146+"h_l!(y%"</f>
        <v>#VALUE!</v>
      </c>
      <c r="J184" t="e">
        <f>Raw!V146+"h_l!(y&amp;"</f>
        <v>#VALUE!</v>
      </c>
      <c r="K184" t="e">
        <f>Raw!W146+"h_l!(y'"</f>
        <v>#VALUE!</v>
      </c>
      <c r="L184" t="e">
        <f>Raw!A147+"h_l!(y("</f>
        <v>#VALUE!</v>
      </c>
      <c r="M184" t="e">
        <f>Raw!B147+"h_l!(y)"</f>
        <v>#VALUE!</v>
      </c>
      <c r="N184" t="e">
        <f>Raw!C147+"h_l!(y."</f>
        <v>#VALUE!</v>
      </c>
      <c r="O184" t="e">
        <f>Raw!D147+"h_l!(y/"</f>
        <v>#VALUE!</v>
      </c>
      <c r="P184" t="e">
        <f>Raw!E147+"h_l!(y0"</f>
        <v>#VALUE!</v>
      </c>
      <c r="Q184" t="e">
        <f>Raw!#REF!+"h_l!(y1"</f>
        <v>#REF!</v>
      </c>
      <c r="R184" t="e">
        <f>Raw!G147+"h_l!(y2"</f>
        <v>#VALUE!</v>
      </c>
      <c r="S184" t="e">
        <f>Raw!H147+"h_l!(y3"</f>
        <v>#VALUE!</v>
      </c>
      <c r="T184" t="e">
        <f>Raw!I147+"h_l!(y4"</f>
        <v>#VALUE!</v>
      </c>
      <c r="U184" t="e">
        <f>Raw!J147+"h_l!(y5"</f>
        <v>#VALUE!</v>
      </c>
      <c r="V184" t="e">
        <f>Raw!K147+"h_l!(y6"</f>
        <v>#VALUE!</v>
      </c>
      <c r="W184" t="e">
        <f>Raw!L147+"h_l!(y7"</f>
        <v>#VALUE!</v>
      </c>
      <c r="X184" t="e">
        <f>Raw!M147+"h_l!(y8"</f>
        <v>#VALUE!</v>
      </c>
      <c r="Y184" t="e">
        <f>Raw!N147+"h_l!(y9"</f>
        <v>#VALUE!</v>
      </c>
      <c r="Z184" t="e">
        <f>Raw!O147+"h_l!(y:"</f>
        <v>#VALUE!</v>
      </c>
      <c r="AA184" t="e">
        <f>Raw!P147+"h_l!(y;"</f>
        <v>#VALUE!</v>
      </c>
      <c r="AB184" t="e">
        <f>Raw!Q147+"h_l!(y&lt;"</f>
        <v>#VALUE!</v>
      </c>
      <c r="AC184" t="e">
        <f>Raw!R147+"h_l!(y="</f>
        <v>#VALUE!</v>
      </c>
      <c r="AD184" t="e">
        <f>Raw!S147+"h_l!(y&gt;"</f>
        <v>#VALUE!</v>
      </c>
      <c r="AE184" t="e">
        <f>Raw!T147+"h_l!(y?"</f>
        <v>#VALUE!</v>
      </c>
      <c r="AF184" t="e">
        <f>Raw!U147+"h_l!(y@"</f>
        <v>#VALUE!</v>
      </c>
      <c r="AG184" t="e">
        <f>Raw!V147+"h_l!(yA"</f>
        <v>#VALUE!</v>
      </c>
      <c r="AH184" t="e">
        <f>Raw!W147+"h_l!(yB"</f>
        <v>#VALUE!</v>
      </c>
      <c r="AI184" t="e">
        <f>Raw!A148+"h_l!(yC"</f>
        <v>#VALUE!</v>
      </c>
      <c r="AJ184" t="e">
        <f>Raw!B148+"h_l!(yD"</f>
        <v>#VALUE!</v>
      </c>
      <c r="AK184" t="e">
        <f>Raw!C148+"h_l!(yE"</f>
        <v>#VALUE!</v>
      </c>
      <c r="AL184" t="e">
        <f>Raw!D148+"h_l!(yF"</f>
        <v>#VALUE!</v>
      </c>
      <c r="AM184" t="e">
        <f>Raw!E148+"h_l!(yG"</f>
        <v>#VALUE!</v>
      </c>
      <c r="AN184" t="e">
        <f>Raw!#REF!+"h_l!(yH"</f>
        <v>#REF!</v>
      </c>
      <c r="AO184" t="e">
        <f>Raw!G148+"h_l!(yI"</f>
        <v>#VALUE!</v>
      </c>
      <c r="AP184" t="e">
        <f>Raw!H148+"h_l!(yJ"</f>
        <v>#VALUE!</v>
      </c>
      <c r="AQ184" t="e">
        <f>Raw!I148+"h_l!(yK"</f>
        <v>#VALUE!</v>
      </c>
      <c r="AR184" t="e">
        <f>Raw!J148+"h_l!(yL"</f>
        <v>#VALUE!</v>
      </c>
      <c r="AS184" t="e">
        <f>Raw!K148+"h_l!(yM"</f>
        <v>#VALUE!</v>
      </c>
      <c r="AT184" t="e">
        <f>Raw!L148+"h_l!(yN"</f>
        <v>#VALUE!</v>
      </c>
      <c r="AU184" t="e">
        <f>Raw!M148+"h_l!(yO"</f>
        <v>#VALUE!</v>
      </c>
      <c r="AV184" t="e">
        <f>Raw!N148+"h_l!(yP"</f>
        <v>#VALUE!</v>
      </c>
      <c r="AW184" t="e">
        <f>Raw!O148+"h_l!(yQ"</f>
        <v>#VALUE!</v>
      </c>
      <c r="AX184" t="e">
        <f>Raw!P148+"h_l!(yR"</f>
        <v>#VALUE!</v>
      </c>
      <c r="AY184" t="e">
        <f>Raw!Q148+"h_l!(yS"</f>
        <v>#VALUE!</v>
      </c>
      <c r="AZ184" t="e">
        <f>Raw!R148+"h_l!(yT"</f>
        <v>#VALUE!</v>
      </c>
      <c r="BA184" t="e">
        <f>Raw!S148+"h_l!(yU"</f>
        <v>#VALUE!</v>
      </c>
      <c r="BB184" t="e">
        <f>Raw!T148+"h_l!(yV"</f>
        <v>#VALUE!</v>
      </c>
      <c r="BC184" t="e">
        <f>Raw!U148+"h_l!(yW"</f>
        <v>#VALUE!</v>
      </c>
      <c r="BD184" t="e">
        <f>Raw!V148+"h_l!(yX"</f>
        <v>#VALUE!</v>
      </c>
      <c r="BE184" t="e">
        <f>Raw!W148+"h_l!(yY"</f>
        <v>#VALUE!</v>
      </c>
      <c r="BF184" t="e">
        <f>Raw!A149+"h_l!(yZ"</f>
        <v>#VALUE!</v>
      </c>
      <c r="BG184" t="e">
        <f>Raw!B149+"h_l!(y["</f>
        <v>#VALUE!</v>
      </c>
      <c r="BH184" t="e">
        <f>Raw!C149+"h_l!(y\"</f>
        <v>#VALUE!</v>
      </c>
      <c r="BI184" t="e">
        <f>Raw!D149+"h_l!(y]"</f>
        <v>#VALUE!</v>
      </c>
      <c r="BJ184" t="e">
        <f>Raw!E149+"h_l!(y^"</f>
        <v>#VALUE!</v>
      </c>
      <c r="BK184" t="e">
        <f>Raw!#REF!+"h_l!(y_"</f>
        <v>#REF!</v>
      </c>
      <c r="BL184" t="e">
        <f>Raw!G149+"h_l!(y`"</f>
        <v>#VALUE!</v>
      </c>
      <c r="BM184" t="e">
        <f>Raw!H149+"h_l!(ya"</f>
        <v>#VALUE!</v>
      </c>
      <c r="BN184" t="e">
        <f>Raw!I149+"h_l!(yb"</f>
        <v>#VALUE!</v>
      </c>
      <c r="BO184" t="e">
        <f>Raw!J149+"h_l!(yc"</f>
        <v>#VALUE!</v>
      </c>
      <c r="BP184" t="e">
        <f>Raw!K149+"h_l!(yd"</f>
        <v>#VALUE!</v>
      </c>
      <c r="BQ184" t="e">
        <f>Raw!L149+"h_l!(ye"</f>
        <v>#VALUE!</v>
      </c>
      <c r="BR184" t="e">
        <f>Raw!M149+"h_l!(yf"</f>
        <v>#VALUE!</v>
      </c>
      <c r="BS184" t="e">
        <f>Raw!N149+"h_l!(yg"</f>
        <v>#VALUE!</v>
      </c>
      <c r="BT184" t="e">
        <f>Raw!O149+"h_l!(yh"</f>
        <v>#VALUE!</v>
      </c>
      <c r="BU184" t="e">
        <f>Raw!P149+"h_l!(yi"</f>
        <v>#VALUE!</v>
      </c>
      <c r="BV184" t="e">
        <f>Raw!Q149+"h_l!(yj"</f>
        <v>#VALUE!</v>
      </c>
      <c r="BW184" t="e">
        <f>Raw!R149+"h_l!(yk"</f>
        <v>#VALUE!</v>
      </c>
      <c r="BX184" t="e">
        <f>Raw!S149+"h_l!(yl"</f>
        <v>#VALUE!</v>
      </c>
      <c r="BY184" t="e">
        <f>Raw!T149+"h_l!(ym"</f>
        <v>#VALUE!</v>
      </c>
      <c r="BZ184" t="e">
        <f>Raw!U149+"h_l!(yn"</f>
        <v>#VALUE!</v>
      </c>
      <c r="CA184" t="e">
        <f>Raw!V149+"h_l!(yo"</f>
        <v>#VALUE!</v>
      </c>
      <c r="CB184" t="e">
        <f>Raw!W149+"h_l!(yp"</f>
        <v>#VALUE!</v>
      </c>
      <c r="CC184" t="e">
        <f>Raw!A150+"h_l!(yq"</f>
        <v>#VALUE!</v>
      </c>
      <c r="CD184" t="e">
        <f>Raw!B150+"h_l!(yr"</f>
        <v>#VALUE!</v>
      </c>
      <c r="CE184" t="e">
        <f>Raw!C150+"h_l!(ys"</f>
        <v>#VALUE!</v>
      </c>
      <c r="CF184" t="e">
        <f>Raw!D150+"h_l!(yt"</f>
        <v>#VALUE!</v>
      </c>
      <c r="CG184" t="e">
        <f>Raw!E150+"h_l!(yu"</f>
        <v>#VALUE!</v>
      </c>
      <c r="CH184" t="e">
        <f>Raw!#REF!+"h_l!(yv"</f>
        <v>#REF!</v>
      </c>
      <c r="CI184" t="e">
        <f>Raw!G150+"h_l!(yw"</f>
        <v>#VALUE!</v>
      </c>
      <c r="CJ184" t="e">
        <f>Raw!H150+"h_l!(yx"</f>
        <v>#VALUE!</v>
      </c>
      <c r="CK184" t="e">
        <f>Raw!I150+"h_l!(yy"</f>
        <v>#VALUE!</v>
      </c>
      <c r="CL184" t="e">
        <f>Raw!J150+"h_l!(yz"</f>
        <v>#VALUE!</v>
      </c>
      <c r="CM184" t="e">
        <f>Raw!K150+"h_l!(y{"</f>
        <v>#VALUE!</v>
      </c>
      <c r="CN184" t="e">
        <f>Raw!L150+"h_l!(y|"</f>
        <v>#VALUE!</v>
      </c>
      <c r="CO184" t="e">
        <f>Raw!M150+"h_l!(y}"</f>
        <v>#VALUE!</v>
      </c>
      <c r="CP184" t="e">
        <f>Raw!N150+"h_l!(y~"</f>
        <v>#VALUE!</v>
      </c>
      <c r="CQ184" t="e">
        <f>Raw!O150+"h_l!(z#"</f>
        <v>#VALUE!</v>
      </c>
      <c r="CR184" t="e">
        <f>Raw!P150+"h_l!(z$"</f>
        <v>#VALUE!</v>
      </c>
      <c r="CS184" t="e">
        <f>Raw!Q150+"h_l!(z%"</f>
        <v>#VALUE!</v>
      </c>
      <c r="CT184" t="e">
        <f>Raw!R150+"h_l!(z&amp;"</f>
        <v>#VALUE!</v>
      </c>
      <c r="CU184" t="e">
        <f>Raw!S150+"h_l!(z'"</f>
        <v>#VALUE!</v>
      </c>
      <c r="CV184" t="e">
        <f>Raw!T150+"h_l!(z("</f>
        <v>#VALUE!</v>
      </c>
      <c r="CW184" t="e">
        <f>Raw!U150+"h_l!(z)"</f>
        <v>#VALUE!</v>
      </c>
      <c r="CX184" t="e">
        <f>Raw!V150+"h_l!(z."</f>
        <v>#VALUE!</v>
      </c>
      <c r="CY184" t="e">
        <f>Raw!W150+"h_l!(z/"</f>
        <v>#VALUE!</v>
      </c>
      <c r="CZ184" t="e">
        <f>Raw!A151+"h_l!(z0"</f>
        <v>#VALUE!</v>
      </c>
      <c r="DA184" t="e">
        <f>Raw!B151+"h_l!(z1"</f>
        <v>#VALUE!</v>
      </c>
      <c r="DB184" t="e">
        <f>Raw!C151+"h_l!(z2"</f>
        <v>#VALUE!</v>
      </c>
      <c r="DC184" t="e">
        <f>Raw!D151+"h_l!(z3"</f>
        <v>#VALUE!</v>
      </c>
      <c r="DD184" t="e">
        <f>Raw!E151+"h_l!(z4"</f>
        <v>#VALUE!</v>
      </c>
      <c r="DE184" t="e">
        <f>Raw!#REF!+"h_l!(z5"</f>
        <v>#REF!</v>
      </c>
      <c r="DF184" t="e">
        <f>Raw!G151+"h_l!(z6"</f>
        <v>#VALUE!</v>
      </c>
      <c r="DG184" t="e">
        <f>Raw!H151+"h_l!(z7"</f>
        <v>#VALUE!</v>
      </c>
      <c r="DH184" t="e">
        <f>Raw!I151+"h_l!(z8"</f>
        <v>#VALUE!</v>
      </c>
      <c r="DI184" t="e">
        <f>Raw!J151+"h_l!(z9"</f>
        <v>#VALUE!</v>
      </c>
      <c r="DJ184" t="e">
        <f>Raw!K151+"h_l!(z:"</f>
        <v>#VALUE!</v>
      </c>
      <c r="DK184" t="e">
        <f>Raw!L151+"h_l!(z;"</f>
        <v>#VALUE!</v>
      </c>
      <c r="DL184" t="e">
        <f>Raw!M151+"h_l!(z&lt;"</f>
        <v>#VALUE!</v>
      </c>
      <c r="DM184" t="e">
        <f>Raw!N151+"h_l!(z="</f>
        <v>#VALUE!</v>
      </c>
      <c r="DN184" t="e">
        <f>Raw!O151+"h_l!(z&gt;"</f>
        <v>#VALUE!</v>
      </c>
      <c r="DO184" t="e">
        <f>Raw!P151+"h_l!(z?"</f>
        <v>#VALUE!</v>
      </c>
      <c r="DP184" t="e">
        <f>Raw!Q151+"h_l!(z@"</f>
        <v>#VALUE!</v>
      </c>
      <c r="DQ184" t="e">
        <f>Raw!R151+"h_l!(zA"</f>
        <v>#VALUE!</v>
      </c>
      <c r="DR184" t="e">
        <f>Raw!S151+"h_l!(zB"</f>
        <v>#VALUE!</v>
      </c>
      <c r="DS184" t="e">
        <f>Raw!T151+"h_l!(zC"</f>
        <v>#VALUE!</v>
      </c>
      <c r="DT184" t="e">
        <f>Raw!U151+"h_l!(zD"</f>
        <v>#VALUE!</v>
      </c>
      <c r="DU184" t="e">
        <f>Raw!V151+"h_l!(zE"</f>
        <v>#VALUE!</v>
      </c>
      <c r="DV184" t="e">
        <f>Raw!W151+"h_l!(zF"</f>
        <v>#VALUE!</v>
      </c>
      <c r="DW184" t="e">
        <f>Raw!A152+"h_l!(zG"</f>
        <v>#VALUE!</v>
      </c>
      <c r="DX184" t="e">
        <f>Raw!B152+"h_l!(zH"</f>
        <v>#VALUE!</v>
      </c>
      <c r="DY184" t="e">
        <f>Raw!C152+"h_l!(zI"</f>
        <v>#VALUE!</v>
      </c>
      <c r="DZ184" t="e">
        <f>Raw!D152+"h_l!(zJ"</f>
        <v>#VALUE!</v>
      </c>
      <c r="EA184" t="e">
        <f>Raw!E152+"h_l!(zK"</f>
        <v>#VALUE!</v>
      </c>
      <c r="EB184" t="e">
        <f>Raw!#REF!+"h_l!(zL"</f>
        <v>#REF!</v>
      </c>
      <c r="EC184" t="e">
        <f>Raw!G152+"h_l!(zM"</f>
        <v>#VALUE!</v>
      </c>
      <c r="ED184" t="e">
        <f>Raw!H152+"h_l!(zN"</f>
        <v>#VALUE!</v>
      </c>
      <c r="EE184" t="e">
        <f>Raw!I152+"h_l!(zO"</f>
        <v>#VALUE!</v>
      </c>
      <c r="EF184" t="e">
        <f>Raw!J152+"h_l!(zP"</f>
        <v>#VALUE!</v>
      </c>
      <c r="EG184" t="e">
        <f>Raw!K152+"h_l!(zQ"</f>
        <v>#VALUE!</v>
      </c>
      <c r="EH184" t="e">
        <f>Raw!L152+"h_l!(zR"</f>
        <v>#VALUE!</v>
      </c>
      <c r="EI184" t="e">
        <f>Raw!M152+"h_l!(zS"</f>
        <v>#VALUE!</v>
      </c>
      <c r="EJ184" t="e">
        <f>Raw!N152+"h_l!(zT"</f>
        <v>#VALUE!</v>
      </c>
      <c r="EK184" t="e">
        <f>Raw!O152+"h_l!(zU"</f>
        <v>#VALUE!</v>
      </c>
      <c r="EL184" t="e">
        <f>Raw!P152+"h_l!(zV"</f>
        <v>#VALUE!</v>
      </c>
      <c r="EM184" t="e">
        <f>Raw!Q152+"h_l!(zW"</f>
        <v>#VALUE!</v>
      </c>
      <c r="EN184" t="e">
        <f>Raw!R152+"h_l!(zX"</f>
        <v>#VALUE!</v>
      </c>
      <c r="EO184" t="e">
        <f>Raw!S152+"h_l!(zY"</f>
        <v>#VALUE!</v>
      </c>
      <c r="EP184" t="e">
        <f>Raw!T152+"h_l!(zZ"</f>
        <v>#VALUE!</v>
      </c>
      <c r="EQ184" t="e">
        <f>Raw!U152+"h_l!(z["</f>
        <v>#VALUE!</v>
      </c>
      <c r="ER184" t="e">
        <f>Raw!V152+"h_l!(z\"</f>
        <v>#VALUE!</v>
      </c>
      <c r="ES184" t="e">
        <f>Raw!W152+"h_l!(z]"</f>
        <v>#VALUE!</v>
      </c>
      <c r="ET184" t="e">
        <f>Raw!A153+"h_l!(z^"</f>
        <v>#VALUE!</v>
      </c>
      <c r="EU184" t="e">
        <f>Raw!B153+"h_l!(z_"</f>
        <v>#VALUE!</v>
      </c>
      <c r="EV184" t="e">
        <f>Raw!C153+"h_l!(z`"</f>
        <v>#VALUE!</v>
      </c>
      <c r="EW184" t="e">
        <f>Raw!D153+"h_l!(za"</f>
        <v>#VALUE!</v>
      </c>
      <c r="EX184" t="e">
        <f>Raw!E153+"h_l!(zb"</f>
        <v>#VALUE!</v>
      </c>
      <c r="EY184" t="e">
        <f>Raw!#REF!+"h_l!(zc"</f>
        <v>#REF!</v>
      </c>
      <c r="EZ184" t="e">
        <f>Raw!G153+"h_l!(zd"</f>
        <v>#VALUE!</v>
      </c>
      <c r="FA184" t="e">
        <f>Raw!H153+"h_l!(ze"</f>
        <v>#VALUE!</v>
      </c>
      <c r="FB184" t="e">
        <f>Raw!I153+"h_l!(zf"</f>
        <v>#VALUE!</v>
      </c>
      <c r="FC184" t="e">
        <f>Raw!J153+"h_l!(zg"</f>
        <v>#VALUE!</v>
      </c>
      <c r="FD184" t="e">
        <f>Raw!K153+"h_l!(zh"</f>
        <v>#VALUE!</v>
      </c>
      <c r="FE184" t="e">
        <f>Raw!L153+"h_l!(zi"</f>
        <v>#VALUE!</v>
      </c>
      <c r="FF184" t="e">
        <f>Raw!M153+"h_l!(zj"</f>
        <v>#VALUE!</v>
      </c>
      <c r="FG184" t="e">
        <f>Raw!N153+"h_l!(zk"</f>
        <v>#VALUE!</v>
      </c>
      <c r="FH184" t="e">
        <f>Raw!O153+"h_l!(zl"</f>
        <v>#VALUE!</v>
      </c>
      <c r="FI184" t="e">
        <f>Raw!P153+"h_l!(zm"</f>
        <v>#VALUE!</v>
      </c>
      <c r="FJ184" t="e">
        <f>Raw!Q153+"h_l!(zn"</f>
        <v>#VALUE!</v>
      </c>
      <c r="FK184" t="e">
        <f>Raw!R153+"h_l!(zo"</f>
        <v>#VALUE!</v>
      </c>
      <c r="FL184" t="e">
        <f>Raw!S153+"h_l!(zp"</f>
        <v>#VALUE!</v>
      </c>
      <c r="FM184" t="e">
        <f>Raw!T153+"h_l!(zq"</f>
        <v>#VALUE!</v>
      </c>
      <c r="FN184" t="e">
        <f>Raw!U153+"h_l!(zr"</f>
        <v>#VALUE!</v>
      </c>
      <c r="FO184" t="e">
        <f>Raw!V153+"h_l!(zs"</f>
        <v>#VALUE!</v>
      </c>
      <c r="FP184" t="e">
        <f>Raw!W153+"h_l!(zt"</f>
        <v>#VALUE!</v>
      </c>
      <c r="FQ184" t="e">
        <f>Raw!A154+"h_l!(zu"</f>
        <v>#VALUE!</v>
      </c>
      <c r="FR184" t="e">
        <f>Raw!B154+"h_l!(zv"</f>
        <v>#VALUE!</v>
      </c>
      <c r="FS184" t="e">
        <f>Raw!C154+"h_l!(zw"</f>
        <v>#VALUE!</v>
      </c>
      <c r="FT184" t="e">
        <f>Raw!D154+"h_l!(zx"</f>
        <v>#VALUE!</v>
      </c>
      <c r="FU184" t="e">
        <f>Raw!E154+"h_l!(zy"</f>
        <v>#VALUE!</v>
      </c>
      <c r="FV184" t="e">
        <f>Raw!#REF!+"h_l!(zz"</f>
        <v>#REF!</v>
      </c>
      <c r="FW184" t="e">
        <f>Raw!G154+"h_l!(z{"</f>
        <v>#VALUE!</v>
      </c>
      <c r="FX184" t="e">
        <f>Raw!H154+"h_l!(z|"</f>
        <v>#VALUE!</v>
      </c>
      <c r="FY184" t="e">
        <f>Raw!I154+"h_l!(z}"</f>
        <v>#VALUE!</v>
      </c>
      <c r="FZ184" t="e">
        <f>Raw!J154+"h_l!(z~"</f>
        <v>#VALUE!</v>
      </c>
      <c r="GA184" t="e">
        <f>Raw!K154+"h_l!({#"</f>
        <v>#VALUE!</v>
      </c>
      <c r="GB184" t="e">
        <f>Raw!L154+"h_l!({$"</f>
        <v>#VALUE!</v>
      </c>
      <c r="GC184" t="e">
        <f>Raw!M154+"h_l!({%"</f>
        <v>#VALUE!</v>
      </c>
      <c r="GD184" t="e">
        <f>Raw!N154+"h_l!({&amp;"</f>
        <v>#VALUE!</v>
      </c>
      <c r="GE184" t="e">
        <f>Raw!O154+"h_l!({'"</f>
        <v>#VALUE!</v>
      </c>
      <c r="GF184" t="e">
        <f>Raw!P154+"h_l!({("</f>
        <v>#VALUE!</v>
      </c>
      <c r="GG184" t="e">
        <f>Raw!Q154+"h_l!({)"</f>
        <v>#VALUE!</v>
      </c>
      <c r="GH184" t="e">
        <f>Raw!R154+"h_l!({."</f>
        <v>#VALUE!</v>
      </c>
      <c r="GI184" t="e">
        <f>Raw!S154+"h_l!({/"</f>
        <v>#VALUE!</v>
      </c>
      <c r="GJ184" t="e">
        <f>Raw!T154+"h_l!({0"</f>
        <v>#VALUE!</v>
      </c>
      <c r="GK184" t="e">
        <f>Raw!U154+"h_l!({1"</f>
        <v>#VALUE!</v>
      </c>
      <c r="GL184" t="e">
        <f>Raw!V154+"h_l!({2"</f>
        <v>#VALUE!</v>
      </c>
      <c r="GM184" t="e">
        <f>Raw!W154+"h_l!({3"</f>
        <v>#VALUE!</v>
      </c>
      <c r="GN184" t="e">
        <f>Raw!A155+"h_l!({4"</f>
        <v>#VALUE!</v>
      </c>
      <c r="GO184" t="e">
        <f>Raw!B155+"h_l!({5"</f>
        <v>#VALUE!</v>
      </c>
      <c r="GP184" t="e">
        <f>Raw!C155+"h_l!({6"</f>
        <v>#VALUE!</v>
      </c>
      <c r="GQ184" t="e">
        <f>Raw!D155+"h_l!({7"</f>
        <v>#VALUE!</v>
      </c>
      <c r="GR184" t="e">
        <f>Raw!E155+"h_l!({8"</f>
        <v>#VALUE!</v>
      </c>
      <c r="GS184" t="e">
        <f>Raw!#REF!+"h_l!({9"</f>
        <v>#REF!</v>
      </c>
      <c r="GT184" t="e">
        <f>Raw!G155+"h_l!({:"</f>
        <v>#VALUE!</v>
      </c>
      <c r="GU184" t="e">
        <f>Raw!H155+"h_l!({;"</f>
        <v>#VALUE!</v>
      </c>
      <c r="GV184" t="e">
        <f>Raw!I155+"h_l!({&lt;"</f>
        <v>#VALUE!</v>
      </c>
      <c r="GW184" t="e">
        <f>Raw!J155+"h_l!({="</f>
        <v>#VALUE!</v>
      </c>
      <c r="GX184" t="e">
        <f>Raw!K155+"h_l!({&gt;"</f>
        <v>#VALUE!</v>
      </c>
      <c r="GY184" t="e">
        <f>Raw!L155+"h_l!({?"</f>
        <v>#VALUE!</v>
      </c>
      <c r="GZ184" t="e">
        <f>Raw!M155+"h_l!({@"</f>
        <v>#VALUE!</v>
      </c>
      <c r="HA184" t="e">
        <f>Raw!N155+"h_l!({A"</f>
        <v>#VALUE!</v>
      </c>
      <c r="HB184" t="e">
        <f>Raw!O155+"h_l!({B"</f>
        <v>#VALUE!</v>
      </c>
      <c r="HC184" t="e">
        <f>Raw!P155+"h_l!({C"</f>
        <v>#VALUE!</v>
      </c>
      <c r="HD184" t="e">
        <f>Raw!Q155+"h_l!({D"</f>
        <v>#VALUE!</v>
      </c>
      <c r="HE184" t="e">
        <f>Raw!R155+"h_l!({E"</f>
        <v>#VALUE!</v>
      </c>
      <c r="HF184" t="e">
        <f>Raw!S155+"h_l!({F"</f>
        <v>#VALUE!</v>
      </c>
      <c r="HG184" t="e">
        <f>Raw!T155+"h_l!({G"</f>
        <v>#VALUE!</v>
      </c>
      <c r="HH184" t="e">
        <f>Raw!U155+"h_l!({H"</f>
        <v>#VALUE!</v>
      </c>
      <c r="HI184" t="e">
        <f>Raw!V155+"h_l!({I"</f>
        <v>#VALUE!</v>
      </c>
      <c r="HJ184" t="e">
        <f>Raw!W155+"h_l!({J"</f>
        <v>#VALUE!</v>
      </c>
      <c r="HK184" t="e">
        <f>Raw!A156+"h_l!({K"</f>
        <v>#VALUE!</v>
      </c>
      <c r="HL184" t="e">
        <f>Raw!B156+"h_l!({L"</f>
        <v>#VALUE!</v>
      </c>
      <c r="HM184" t="e">
        <f>Raw!C156+"h_l!({M"</f>
        <v>#VALUE!</v>
      </c>
      <c r="HN184" t="e">
        <f>Raw!D156+"h_l!({N"</f>
        <v>#VALUE!</v>
      </c>
      <c r="HO184" t="e">
        <f>Raw!E156+"h_l!({O"</f>
        <v>#VALUE!</v>
      </c>
      <c r="HP184" t="e">
        <f>Raw!#REF!+"h_l!({P"</f>
        <v>#REF!</v>
      </c>
      <c r="HQ184" t="e">
        <f>Raw!G156+"h_l!({Q"</f>
        <v>#VALUE!</v>
      </c>
      <c r="HR184" t="e">
        <f>Raw!H156+"h_l!({R"</f>
        <v>#VALUE!</v>
      </c>
      <c r="HS184" t="e">
        <f>Raw!I156+"h_l!({S"</f>
        <v>#VALUE!</v>
      </c>
      <c r="HT184" t="e">
        <f>Raw!J156+"h_l!({T"</f>
        <v>#VALUE!</v>
      </c>
      <c r="HU184" t="e">
        <f>Raw!K156+"h_l!({U"</f>
        <v>#VALUE!</v>
      </c>
      <c r="HV184" t="e">
        <f>Raw!L156+"h_l!({V"</f>
        <v>#VALUE!</v>
      </c>
      <c r="HW184" t="e">
        <f>Raw!M156+"h_l!({W"</f>
        <v>#VALUE!</v>
      </c>
      <c r="HX184" t="e">
        <f>Raw!N156+"h_l!({X"</f>
        <v>#VALUE!</v>
      </c>
      <c r="HY184" t="e">
        <f>Raw!O156+"h_l!({Y"</f>
        <v>#VALUE!</v>
      </c>
      <c r="HZ184" t="e">
        <f>Raw!P156+"h_l!({Z"</f>
        <v>#VALUE!</v>
      </c>
      <c r="IA184" t="e">
        <f>Raw!Q156+"h_l!({["</f>
        <v>#VALUE!</v>
      </c>
      <c r="IB184" t="e">
        <f>Raw!R156+"h_l!({\"</f>
        <v>#VALUE!</v>
      </c>
      <c r="IC184" t="e">
        <f>Raw!S156+"h_l!({]"</f>
        <v>#VALUE!</v>
      </c>
      <c r="ID184" t="e">
        <f>Raw!T156+"h_l!({^"</f>
        <v>#VALUE!</v>
      </c>
      <c r="IE184" t="e">
        <f>Raw!U156+"h_l!({_"</f>
        <v>#VALUE!</v>
      </c>
      <c r="IF184" t="e">
        <f>Raw!V156+"h_l!({`"</f>
        <v>#VALUE!</v>
      </c>
      <c r="IG184" t="e">
        <f>Raw!W156+"h_l!({a"</f>
        <v>#VALUE!</v>
      </c>
      <c r="IH184" t="e">
        <f>Raw!A157+"h_l!({b"</f>
        <v>#VALUE!</v>
      </c>
      <c r="II184" t="e">
        <f>Raw!B157+"h_l!({c"</f>
        <v>#VALUE!</v>
      </c>
      <c r="IJ184" t="e">
        <f>Raw!C157+"h_l!({d"</f>
        <v>#VALUE!</v>
      </c>
      <c r="IK184" t="e">
        <f>Raw!D157+"h_l!({e"</f>
        <v>#VALUE!</v>
      </c>
      <c r="IL184" t="e">
        <f>Raw!E157+"h_l!({f"</f>
        <v>#VALUE!</v>
      </c>
      <c r="IM184" t="e">
        <f>Raw!#REF!+"h_l!({g"</f>
        <v>#REF!</v>
      </c>
      <c r="IN184" t="e">
        <f>Raw!G157+"h_l!({h"</f>
        <v>#VALUE!</v>
      </c>
      <c r="IO184" t="e">
        <f>Raw!H157+"h_l!({i"</f>
        <v>#VALUE!</v>
      </c>
      <c r="IP184" t="e">
        <f>Raw!I157+"h_l!({j"</f>
        <v>#VALUE!</v>
      </c>
      <c r="IQ184" t="e">
        <f>Raw!J157+"h_l!({k"</f>
        <v>#VALUE!</v>
      </c>
      <c r="IR184" t="e">
        <f>Raw!K157+"h_l!({l"</f>
        <v>#VALUE!</v>
      </c>
      <c r="IS184" t="e">
        <f>Raw!L157+"h_l!({m"</f>
        <v>#VALUE!</v>
      </c>
      <c r="IT184" t="e">
        <f>Raw!M157+"h_l!({n"</f>
        <v>#VALUE!</v>
      </c>
      <c r="IU184" t="e">
        <f>Raw!N157+"h_l!({o"</f>
        <v>#VALUE!</v>
      </c>
      <c r="IV184" t="e">
        <f>Raw!O157+"h_l!({p"</f>
        <v>#VALUE!</v>
      </c>
    </row>
    <row r="185" spans="6:256" x14ac:dyDescent="0.25">
      <c r="F185" t="e">
        <f>Raw!P157+"h_l!({q"</f>
        <v>#VALUE!</v>
      </c>
      <c r="G185" t="e">
        <f>Raw!Q157+"h_l!({r"</f>
        <v>#VALUE!</v>
      </c>
      <c r="H185" t="e">
        <f>Raw!R157+"h_l!({s"</f>
        <v>#VALUE!</v>
      </c>
      <c r="I185" t="e">
        <f>Raw!S157+"h_l!({t"</f>
        <v>#VALUE!</v>
      </c>
      <c r="J185" t="e">
        <f>Raw!T157+"h_l!({u"</f>
        <v>#VALUE!</v>
      </c>
      <c r="K185" t="e">
        <f>Raw!U157+"h_l!({v"</f>
        <v>#VALUE!</v>
      </c>
      <c r="L185" t="e">
        <f>Raw!V157+"h_l!({w"</f>
        <v>#VALUE!</v>
      </c>
      <c r="M185" t="e">
        <f>Raw!W157+"h_l!({x"</f>
        <v>#VALUE!</v>
      </c>
      <c r="N185" t="e">
        <f>Raw!A158+"h_l!({y"</f>
        <v>#VALUE!</v>
      </c>
      <c r="O185" t="e">
        <f>Raw!B158+"h_l!({z"</f>
        <v>#VALUE!</v>
      </c>
      <c r="P185" t="e">
        <f>Raw!C158+"h_l!({{"</f>
        <v>#VALUE!</v>
      </c>
      <c r="Q185" t="e">
        <f>Raw!D158+"h_l!({|"</f>
        <v>#VALUE!</v>
      </c>
      <c r="R185" t="e">
        <f>Raw!E158+"h_l!({}"</f>
        <v>#VALUE!</v>
      </c>
      <c r="S185" t="e">
        <f>Raw!#REF!+"h_l!({~"</f>
        <v>#REF!</v>
      </c>
      <c r="T185" t="e">
        <f>Raw!G158+"h_l!(|#"</f>
        <v>#VALUE!</v>
      </c>
      <c r="U185" t="e">
        <f>Raw!H158+"h_l!(|$"</f>
        <v>#VALUE!</v>
      </c>
      <c r="V185" t="e">
        <f>Raw!I158+"h_l!(|%"</f>
        <v>#VALUE!</v>
      </c>
      <c r="W185" t="e">
        <f>Raw!J158+"h_l!(|&amp;"</f>
        <v>#VALUE!</v>
      </c>
      <c r="X185" t="e">
        <f>Raw!K158+"h_l!(|'"</f>
        <v>#VALUE!</v>
      </c>
      <c r="Y185" t="e">
        <f>Raw!L158+"h_l!(|("</f>
        <v>#VALUE!</v>
      </c>
      <c r="Z185" t="e">
        <f>Raw!M158+"h_l!(|)"</f>
        <v>#VALUE!</v>
      </c>
      <c r="AA185" t="e">
        <f>Raw!N158+"h_l!(|."</f>
        <v>#VALUE!</v>
      </c>
      <c r="AB185" t="e">
        <f>Raw!O158+"h_l!(|/"</f>
        <v>#VALUE!</v>
      </c>
      <c r="AC185" t="e">
        <f>Raw!P158+"h_l!(|0"</f>
        <v>#VALUE!</v>
      </c>
      <c r="AD185" t="e">
        <f>Raw!Q158+"h_l!(|1"</f>
        <v>#VALUE!</v>
      </c>
      <c r="AE185" t="e">
        <f>Raw!R158+"h_l!(|2"</f>
        <v>#VALUE!</v>
      </c>
      <c r="AF185" t="e">
        <f>Raw!S158+"h_l!(|3"</f>
        <v>#VALUE!</v>
      </c>
      <c r="AG185" t="e">
        <f>Raw!T158+"h_l!(|4"</f>
        <v>#VALUE!</v>
      </c>
      <c r="AH185" t="e">
        <f>Raw!U158+"h_l!(|5"</f>
        <v>#VALUE!</v>
      </c>
      <c r="AI185" t="e">
        <f>Raw!V158+"h_l!(|6"</f>
        <v>#VALUE!</v>
      </c>
      <c r="AJ185" t="e">
        <f>Raw!W158+"h_l!(|7"</f>
        <v>#VALUE!</v>
      </c>
      <c r="AK185" t="e">
        <f>Raw!A159+"h_l!(|8"</f>
        <v>#VALUE!</v>
      </c>
      <c r="AL185" t="e">
        <f>Raw!B159+"h_l!(|9"</f>
        <v>#VALUE!</v>
      </c>
      <c r="AM185" t="e">
        <f>Raw!C159+"h_l!(|:"</f>
        <v>#VALUE!</v>
      </c>
      <c r="AN185" t="e">
        <f>Raw!D159+"h_l!(|;"</f>
        <v>#VALUE!</v>
      </c>
      <c r="AO185" t="e">
        <f>Raw!E159+"h_l!(|&lt;"</f>
        <v>#VALUE!</v>
      </c>
      <c r="AP185" t="e">
        <f>Raw!#REF!+"h_l!(|="</f>
        <v>#REF!</v>
      </c>
      <c r="AQ185" t="e">
        <f>Raw!G159+"h_l!(|&gt;"</f>
        <v>#VALUE!</v>
      </c>
      <c r="AR185" t="e">
        <f>Raw!H159+"h_l!(|?"</f>
        <v>#VALUE!</v>
      </c>
      <c r="AS185" t="e">
        <f>Raw!I159+"h_l!(|@"</f>
        <v>#VALUE!</v>
      </c>
      <c r="AT185" t="e">
        <f>Raw!J159+"h_l!(|A"</f>
        <v>#VALUE!</v>
      </c>
      <c r="AU185" t="e">
        <f>Raw!K159+"h_l!(|B"</f>
        <v>#VALUE!</v>
      </c>
      <c r="AV185" t="e">
        <f>Raw!L159+"h_l!(|C"</f>
        <v>#VALUE!</v>
      </c>
      <c r="AW185" t="e">
        <f>Raw!M159+"h_l!(|D"</f>
        <v>#VALUE!</v>
      </c>
      <c r="AX185" t="e">
        <f>Raw!N159+"h_l!(|E"</f>
        <v>#VALUE!</v>
      </c>
      <c r="AY185" t="e">
        <f>Raw!O159+"h_l!(|F"</f>
        <v>#VALUE!</v>
      </c>
      <c r="AZ185" t="e">
        <f>Raw!P159+"h_l!(|G"</f>
        <v>#VALUE!</v>
      </c>
      <c r="BA185" t="e">
        <f>Raw!Q159+"h_l!(|H"</f>
        <v>#VALUE!</v>
      </c>
      <c r="BB185" t="e">
        <f>Raw!R159+"h_l!(|I"</f>
        <v>#VALUE!</v>
      </c>
      <c r="BC185" t="e">
        <f>Raw!S159+"h_l!(|J"</f>
        <v>#VALUE!</v>
      </c>
      <c r="BD185" t="e">
        <f>Raw!T159+"h_l!(|K"</f>
        <v>#VALUE!</v>
      </c>
      <c r="BE185" t="e">
        <f>Raw!U159+"h_l!(|L"</f>
        <v>#VALUE!</v>
      </c>
      <c r="BF185" t="e">
        <f>Raw!V159+"h_l!(|M"</f>
        <v>#VALUE!</v>
      </c>
      <c r="BG185" t="e">
        <f>Raw!W159+"h_l!(|N"</f>
        <v>#VALUE!</v>
      </c>
      <c r="BH185" t="e">
        <f>Raw!A160+"h_l!(|O"</f>
        <v>#VALUE!</v>
      </c>
      <c r="BI185" t="e">
        <f>Raw!B160+"h_l!(|P"</f>
        <v>#VALUE!</v>
      </c>
      <c r="BJ185" t="e">
        <f>Raw!C160+"h_l!(|Q"</f>
        <v>#VALUE!</v>
      </c>
      <c r="BK185" t="e">
        <f>Raw!D160+"h_l!(|R"</f>
        <v>#VALUE!</v>
      </c>
      <c r="BL185" t="e">
        <f>Raw!E160+"h_l!(|S"</f>
        <v>#VALUE!</v>
      </c>
      <c r="BM185" t="e">
        <f>Raw!#REF!+"h_l!(|T"</f>
        <v>#REF!</v>
      </c>
      <c r="BN185" t="e">
        <f>Raw!G160+"h_l!(|U"</f>
        <v>#VALUE!</v>
      </c>
      <c r="BO185" t="e">
        <f>Raw!H160+"h_l!(|V"</f>
        <v>#VALUE!</v>
      </c>
      <c r="BP185" t="e">
        <f>Raw!I160+"h_l!(|W"</f>
        <v>#VALUE!</v>
      </c>
      <c r="BQ185" t="e">
        <f>Raw!J160+"h_l!(|X"</f>
        <v>#VALUE!</v>
      </c>
      <c r="BR185" t="e">
        <f>Raw!K160+"h_l!(|Y"</f>
        <v>#VALUE!</v>
      </c>
      <c r="BS185" t="e">
        <f>Raw!L160+"h_l!(|Z"</f>
        <v>#VALUE!</v>
      </c>
      <c r="BT185" t="e">
        <f>Raw!M160+"h_l!(|["</f>
        <v>#VALUE!</v>
      </c>
      <c r="BU185" t="e">
        <f>Raw!N160+"h_l!(|\"</f>
        <v>#VALUE!</v>
      </c>
      <c r="BV185" t="e">
        <f>Raw!O160+"h_l!(|]"</f>
        <v>#VALUE!</v>
      </c>
      <c r="BW185" t="e">
        <f>Raw!P160+"h_l!(|^"</f>
        <v>#VALUE!</v>
      </c>
      <c r="BX185" t="e">
        <f>Raw!Q160+"h_l!(|_"</f>
        <v>#VALUE!</v>
      </c>
      <c r="BY185" t="e">
        <f>Raw!R160+"h_l!(|`"</f>
        <v>#VALUE!</v>
      </c>
      <c r="BZ185" t="e">
        <f>Raw!S160+"h_l!(|a"</f>
        <v>#VALUE!</v>
      </c>
      <c r="CA185" t="e">
        <f>Raw!T160+"h_l!(|b"</f>
        <v>#VALUE!</v>
      </c>
      <c r="CB185" t="e">
        <f>Raw!U160+"h_l!(|c"</f>
        <v>#VALUE!</v>
      </c>
      <c r="CC185" t="e">
        <f>Raw!V160+"h_l!(|d"</f>
        <v>#VALUE!</v>
      </c>
      <c r="CD185" t="e">
        <f>Raw!W160+"h_l!(|e"</f>
        <v>#VALUE!</v>
      </c>
      <c r="CE185" t="e">
        <f>Raw!A161+"h_l!(|f"</f>
        <v>#VALUE!</v>
      </c>
      <c r="CF185" t="e">
        <f>Raw!B161+"h_l!(|g"</f>
        <v>#VALUE!</v>
      </c>
      <c r="CG185" t="e">
        <f>Raw!C161+"h_l!(|h"</f>
        <v>#VALUE!</v>
      </c>
      <c r="CH185" t="e">
        <f>Raw!D161+"h_l!(|i"</f>
        <v>#VALUE!</v>
      </c>
      <c r="CI185" t="e">
        <f>Raw!E161+"h_l!(|j"</f>
        <v>#VALUE!</v>
      </c>
      <c r="CJ185" t="e">
        <f>Raw!#REF!+"h_l!(|k"</f>
        <v>#REF!</v>
      </c>
      <c r="CK185" t="e">
        <f>Raw!G161+"h_l!(|l"</f>
        <v>#VALUE!</v>
      </c>
      <c r="CL185" t="e">
        <f>Raw!H161+"h_l!(|m"</f>
        <v>#VALUE!</v>
      </c>
      <c r="CM185" t="e">
        <f>Raw!I161+"h_l!(|n"</f>
        <v>#VALUE!</v>
      </c>
      <c r="CN185" t="e">
        <f>Raw!J161+"h_l!(|o"</f>
        <v>#VALUE!</v>
      </c>
      <c r="CO185" t="e">
        <f>Raw!K161+"h_l!(|p"</f>
        <v>#VALUE!</v>
      </c>
      <c r="CP185" t="e">
        <f>Raw!L161+"h_l!(|q"</f>
        <v>#VALUE!</v>
      </c>
      <c r="CQ185" t="e">
        <f>Raw!M161+"h_l!(|r"</f>
        <v>#VALUE!</v>
      </c>
      <c r="CR185" t="e">
        <f>Raw!N161+"h_l!(|s"</f>
        <v>#VALUE!</v>
      </c>
      <c r="CS185" t="e">
        <f>Raw!O161+"h_l!(|t"</f>
        <v>#VALUE!</v>
      </c>
      <c r="CT185" t="e">
        <f>Raw!P161+"h_l!(|u"</f>
        <v>#VALUE!</v>
      </c>
      <c r="CU185" t="e">
        <f>Raw!Q161+"h_l!(|v"</f>
        <v>#VALUE!</v>
      </c>
      <c r="CV185" t="e">
        <f>Raw!R161+"h_l!(|w"</f>
        <v>#VALUE!</v>
      </c>
      <c r="CW185" t="e">
        <f>Raw!S161+"h_l!(|x"</f>
        <v>#VALUE!</v>
      </c>
      <c r="CX185" t="e">
        <f>Raw!T161+"h_l!(|y"</f>
        <v>#VALUE!</v>
      </c>
      <c r="CY185" t="e">
        <f>Raw!U161+"h_l!(|z"</f>
        <v>#VALUE!</v>
      </c>
      <c r="CZ185" t="e">
        <f>Raw!V161+"h_l!(|{"</f>
        <v>#VALUE!</v>
      </c>
      <c r="DA185" t="e">
        <f>Raw!W161+"h_l!(||"</f>
        <v>#VALUE!</v>
      </c>
      <c r="DB185" t="e">
        <f>Raw!A162+"h_l!(|}"</f>
        <v>#VALUE!</v>
      </c>
      <c r="DC185" t="e">
        <f>Raw!B162+"h_l!(|~"</f>
        <v>#VALUE!</v>
      </c>
      <c r="DD185" t="e">
        <f>Raw!C162+"h_l!(}#"</f>
        <v>#VALUE!</v>
      </c>
      <c r="DE185" t="e">
        <f>Raw!D162+"h_l!(}$"</f>
        <v>#VALUE!</v>
      </c>
      <c r="DF185" t="e">
        <f>Raw!E162+"h_l!(}%"</f>
        <v>#VALUE!</v>
      </c>
      <c r="DG185" t="e">
        <f>Raw!#REF!+"h_l!(}&amp;"</f>
        <v>#REF!</v>
      </c>
      <c r="DH185" t="e">
        <f>Raw!G162+"h_l!(}'"</f>
        <v>#VALUE!</v>
      </c>
      <c r="DI185" t="e">
        <f>Raw!H162+"h_l!(}("</f>
        <v>#VALUE!</v>
      </c>
      <c r="DJ185" t="e">
        <f>Raw!I162+"h_l!(})"</f>
        <v>#VALUE!</v>
      </c>
      <c r="DK185" t="e">
        <f>Raw!J162+"h_l!(}."</f>
        <v>#VALUE!</v>
      </c>
      <c r="DL185" t="e">
        <f>Raw!K162+"h_l!(}/"</f>
        <v>#VALUE!</v>
      </c>
      <c r="DM185" t="e">
        <f>Raw!L162+"h_l!(}0"</f>
        <v>#VALUE!</v>
      </c>
      <c r="DN185" t="e">
        <f>Raw!M162+"h_l!(}1"</f>
        <v>#VALUE!</v>
      </c>
      <c r="DO185" t="e">
        <f>Raw!N162+"h_l!(}2"</f>
        <v>#VALUE!</v>
      </c>
      <c r="DP185" t="e">
        <f>Raw!O162+"h_l!(}3"</f>
        <v>#VALUE!</v>
      </c>
      <c r="DQ185" t="e">
        <f>Raw!P162+"h_l!(}4"</f>
        <v>#VALUE!</v>
      </c>
      <c r="DR185" t="e">
        <f>Raw!Q162+"h_l!(}5"</f>
        <v>#VALUE!</v>
      </c>
      <c r="DS185" t="e">
        <f>Raw!R162+"h_l!(}6"</f>
        <v>#VALUE!</v>
      </c>
      <c r="DT185" t="e">
        <f>Raw!S162+"h_l!(}7"</f>
        <v>#VALUE!</v>
      </c>
      <c r="DU185" t="e">
        <f>Raw!T162+"h_l!(}8"</f>
        <v>#VALUE!</v>
      </c>
      <c r="DV185" t="e">
        <f>Raw!U162+"h_l!(}9"</f>
        <v>#VALUE!</v>
      </c>
      <c r="DW185" t="e">
        <f>Raw!V162+"h_l!(}:"</f>
        <v>#VALUE!</v>
      </c>
      <c r="DX185" t="e">
        <f>Raw!W162+"h_l!(};"</f>
        <v>#VALUE!</v>
      </c>
      <c r="DY185" t="e">
        <f>Raw!A163+"h_l!(}&lt;"</f>
        <v>#VALUE!</v>
      </c>
      <c r="DZ185" t="e">
        <f>Raw!B163+"h_l!(}="</f>
        <v>#VALUE!</v>
      </c>
      <c r="EA185" t="e">
        <f>Raw!C163+"h_l!(}&gt;"</f>
        <v>#VALUE!</v>
      </c>
      <c r="EB185" t="e">
        <f>Raw!D163+"h_l!(}?"</f>
        <v>#VALUE!</v>
      </c>
      <c r="EC185" t="e">
        <f>Raw!E163+"h_l!(}@"</f>
        <v>#VALUE!</v>
      </c>
      <c r="ED185" t="e">
        <f>Raw!#REF!+"h_l!(}A"</f>
        <v>#REF!</v>
      </c>
      <c r="EE185" t="e">
        <f>Raw!G163+"h_l!(}B"</f>
        <v>#VALUE!</v>
      </c>
      <c r="EF185" t="e">
        <f>Raw!H163+"h_l!(}C"</f>
        <v>#VALUE!</v>
      </c>
      <c r="EG185" t="e">
        <f>Raw!I163+"h_l!(}D"</f>
        <v>#VALUE!</v>
      </c>
      <c r="EH185" t="e">
        <f>Raw!J163+"h_l!(}E"</f>
        <v>#VALUE!</v>
      </c>
      <c r="EI185" t="e">
        <f>Raw!K163+"h_l!(}F"</f>
        <v>#VALUE!</v>
      </c>
      <c r="EJ185" t="e">
        <f>Raw!L163+"h_l!(}G"</f>
        <v>#VALUE!</v>
      </c>
      <c r="EK185" t="e">
        <f>Raw!M163+"h_l!(}H"</f>
        <v>#VALUE!</v>
      </c>
      <c r="EL185" t="e">
        <f>Raw!N163+"h_l!(}I"</f>
        <v>#VALUE!</v>
      </c>
      <c r="EM185" t="e">
        <f>Raw!O163+"h_l!(}J"</f>
        <v>#VALUE!</v>
      </c>
      <c r="EN185" t="e">
        <f>Raw!P163+"h_l!(}K"</f>
        <v>#VALUE!</v>
      </c>
      <c r="EO185" t="e">
        <f>Raw!Q163+"h_l!(}L"</f>
        <v>#VALUE!</v>
      </c>
      <c r="EP185" t="e">
        <f>Raw!R163+"h_l!(}M"</f>
        <v>#VALUE!</v>
      </c>
      <c r="EQ185" t="e">
        <f>Raw!S163+"h_l!(}N"</f>
        <v>#VALUE!</v>
      </c>
      <c r="ER185" t="e">
        <f>Raw!T163+"h_l!(}O"</f>
        <v>#VALUE!</v>
      </c>
      <c r="ES185" t="e">
        <f>Raw!U163+"h_l!(}P"</f>
        <v>#VALUE!</v>
      </c>
      <c r="ET185" t="e">
        <f>Raw!V163+"h_l!(}Q"</f>
        <v>#VALUE!</v>
      </c>
      <c r="EU185" t="e">
        <f>Raw!W163+"h_l!(}R"</f>
        <v>#VALUE!</v>
      </c>
      <c r="EV185" t="e">
        <f>Raw!A164+"h_l!(}S"</f>
        <v>#VALUE!</v>
      </c>
      <c r="EW185" t="e">
        <f>Raw!B164+"h_l!(}T"</f>
        <v>#VALUE!</v>
      </c>
      <c r="EX185" t="e">
        <f>Raw!C164+"h_l!(}U"</f>
        <v>#VALUE!</v>
      </c>
      <c r="EY185" t="e">
        <f>Raw!D164+"h_l!(}V"</f>
        <v>#VALUE!</v>
      </c>
      <c r="EZ185" t="e">
        <f>Raw!E164+"h_l!(}W"</f>
        <v>#VALUE!</v>
      </c>
      <c r="FA185" t="e">
        <f>Raw!#REF!+"h_l!(}X"</f>
        <v>#REF!</v>
      </c>
      <c r="FB185" t="e">
        <f>Raw!G164+"h_l!(}Y"</f>
        <v>#VALUE!</v>
      </c>
      <c r="FC185" t="e">
        <f>Raw!H164+"h_l!(}Z"</f>
        <v>#VALUE!</v>
      </c>
      <c r="FD185" t="e">
        <f>Raw!I164+"h_l!(}["</f>
        <v>#VALUE!</v>
      </c>
      <c r="FE185" t="e">
        <f>Raw!J164+"h_l!(}\"</f>
        <v>#VALUE!</v>
      </c>
      <c r="FF185" t="e">
        <f>Raw!K164+"h_l!(}]"</f>
        <v>#VALUE!</v>
      </c>
      <c r="FG185" t="e">
        <f>Raw!L164+"h_l!(}^"</f>
        <v>#VALUE!</v>
      </c>
      <c r="FH185" t="e">
        <f>Raw!M164+"h_l!(}_"</f>
        <v>#VALUE!</v>
      </c>
      <c r="FI185" t="e">
        <f>Raw!N164+"h_l!(}`"</f>
        <v>#VALUE!</v>
      </c>
      <c r="FJ185" t="e">
        <f>Raw!O164+"h_l!(}a"</f>
        <v>#VALUE!</v>
      </c>
      <c r="FK185" t="e">
        <f>Raw!P164+"h_l!(}b"</f>
        <v>#VALUE!</v>
      </c>
      <c r="FL185" t="e">
        <f>Raw!Q164+"h_l!(}c"</f>
        <v>#VALUE!</v>
      </c>
      <c r="FM185" t="e">
        <f>Raw!R164+"h_l!(}d"</f>
        <v>#VALUE!</v>
      </c>
      <c r="FN185" t="e">
        <f>Raw!S164+"h_l!(}e"</f>
        <v>#VALUE!</v>
      </c>
      <c r="FO185" t="e">
        <f>Raw!T164+"h_l!(}f"</f>
        <v>#VALUE!</v>
      </c>
      <c r="FP185" t="e">
        <f>Raw!U164+"h_l!(}g"</f>
        <v>#VALUE!</v>
      </c>
      <c r="FQ185" t="e">
        <f>Raw!V164+"h_l!(}h"</f>
        <v>#VALUE!</v>
      </c>
      <c r="FR185" t="e">
        <f>Raw!W164+"h_l!(}i"</f>
        <v>#VALUE!</v>
      </c>
      <c r="FS185" t="e">
        <f>Raw!A165+"h_l!(}j"</f>
        <v>#VALUE!</v>
      </c>
      <c r="FT185" t="e">
        <f>Raw!B165+"h_l!(}k"</f>
        <v>#VALUE!</v>
      </c>
      <c r="FU185" t="e">
        <f>Raw!C165+"h_l!(}l"</f>
        <v>#VALUE!</v>
      </c>
      <c r="FV185" t="e">
        <f>Raw!D165+"h_l!(}m"</f>
        <v>#VALUE!</v>
      </c>
      <c r="FW185" t="e">
        <f>Raw!E165+"h_l!(}n"</f>
        <v>#VALUE!</v>
      </c>
      <c r="FX185" t="e">
        <f>Raw!#REF!+"h_l!(}o"</f>
        <v>#REF!</v>
      </c>
      <c r="FY185" t="e">
        <f>Raw!G165+"h_l!(}p"</f>
        <v>#VALUE!</v>
      </c>
      <c r="FZ185" t="e">
        <f>Raw!H165+"h_l!(}q"</f>
        <v>#VALUE!</v>
      </c>
      <c r="GA185" t="e">
        <f>Raw!I165+"h_l!(}r"</f>
        <v>#VALUE!</v>
      </c>
      <c r="GB185" t="e">
        <f>Raw!J165+"h_l!(}s"</f>
        <v>#VALUE!</v>
      </c>
      <c r="GC185" t="e">
        <f>Raw!K165+"h_l!(}t"</f>
        <v>#VALUE!</v>
      </c>
      <c r="GD185" t="e">
        <f>Raw!L165+"h_l!(}u"</f>
        <v>#VALUE!</v>
      </c>
      <c r="GE185" t="e">
        <f>Raw!M165+"h_l!(}v"</f>
        <v>#VALUE!</v>
      </c>
      <c r="GF185" t="e">
        <f>Raw!N165+"h_l!(}w"</f>
        <v>#VALUE!</v>
      </c>
      <c r="GG185" t="e">
        <f>Raw!O165+"h_l!(}x"</f>
        <v>#VALUE!</v>
      </c>
      <c r="GH185" t="e">
        <f>Raw!P165+"h_l!(}y"</f>
        <v>#VALUE!</v>
      </c>
      <c r="GI185" t="e">
        <f>Raw!Q165+"h_l!(}z"</f>
        <v>#VALUE!</v>
      </c>
      <c r="GJ185" t="e">
        <f>Raw!R165+"h_l!(}{"</f>
        <v>#VALUE!</v>
      </c>
      <c r="GK185" t="e">
        <f>Raw!S165+"h_l!(}|"</f>
        <v>#VALUE!</v>
      </c>
      <c r="GL185" t="e">
        <f>Raw!T165+"h_l!(}}"</f>
        <v>#VALUE!</v>
      </c>
      <c r="GM185" t="e">
        <f>Raw!U165+"h_l!(}~"</f>
        <v>#VALUE!</v>
      </c>
      <c r="GN185" t="e">
        <f>Raw!V165+"h_l!(~#"</f>
        <v>#VALUE!</v>
      </c>
      <c r="GO185" t="e">
        <f>Raw!W165+"h_l!(~$"</f>
        <v>#VALUE!</v>
      </c>
      <c r="GP185" t="e">
        <f>Raw!A166+"h_l!(~%"</f>
        <v>#VALUE!</v>
      </c>
      <c r="GQ185" t="e">
        <f>Raw!B166+"h_l!(~&amp;"</f>
        <v>#VALUE!</v>
      </c>
      <c r="GR185" t="e">
        <f>Raw!C166+"h_l!(~'"</f>
        <v>#VALUE!</v>
      </c>
      <c r="GS185" t="e">
        <f>Raw!D166+"h_l!(~("</f>
        <v>#VALUE!</v>
      </c>
      <c r="GT185" t="e">
        <f>Raw!E166+"h_l!(~)"</f>
        <v>#VALUE!</v>
      </c>
      <c r="GU185" t="e">
        <f>Raw!#REF!+"h_l!(~."</f>
        <v>#REF!</v>
      </c>
      <c r="GV185" t="e">
        <f>Raw!G166+"h_l!(~/"</f>
        <v>#VALUE!</v>
      </c>
      <c r="GW185" t="e">
        <f>Raw!H166+"h_l!(~0"</f>
        <v>#VALUE!</v>
      </c>
      <c r="GX185" t="e">
        <f>Raw!I166+"h_l!(~1"</f>
        <v>#VALUE!</v>
      </c>
      <c r="GY185" t="e">
        <f>Raw!J166+"h_l!(~2"</f>
        <v>#VALUE!</v>
      </c>
      <c r="GZ185" t="e">
        <f>Raw!K166+"h_l!(~3"</f>
        <v>#VALUE!</v>
      </c>
      <c r="HA185" t="e">
        <f>Raw!L166+"h_l!(~4"</f>
        <v>#VALUE!</v>
      </c>
      <c r="HB185" t="e">
        <f>Raw!M166+"h_l!(~5"</f>
        <v>#VALUE!</v>
      </c>
      <c r="HC185" t="e">
        <f>Raw!N166+"h_l!(~6"</f>
        <v>#VALUE!</v>
      </c>
      <c r="HD185" t="e">
        <f>Raw!O166+"h_l!(~7"</f>
        <v>#VALUE!</v>
      </c>
      <c r="HE185" t="e">
        <f>Raw!P166+"h_l!(~8"</f>
        <v>#VALUE!</v>
      </c>
      <c r="HF185" t="e">
        <f>Raw!Q166+"h_l!(~9"</f>
        <v>#VALUE!</v>
      </c>
      <c r="HG185" t="e">
        <f>Raw!R166+"h_l!(~:"</f>
        <v>#VALUE!</v>
      </c>
      <c r="HH185" t="e">
        <f>Raw!S166+"h_l!(~;"</f>
        <v>#VALUE!</v>
      </c>
      <c r="HI185" t="e">
        <f>Raw!T166+"h_l!(~&lt;"</f>
        <v>#VALUE!</v>
      </c>
      <c r="HJ185" t="e">
        <f>Raw!U166+"h_l!(~="</f>
        <v>#VALUE!</v>
      </c>
      <c r="HK185" t="e">
        <f>Raw!V166+"h_l!(~&gt;"</f>
        <v>#VALUE!</v>
      </c>
      <c r="HL185" t="e">
        <f>Raw!W166+"h_l!(~?"</f>
        <v>#VALUE!</v>
      </c>
      <c r="HM185" t="e">
        <f>Raw!A167+"h_l!(~@"</f>
        <v>#VALUE!</v>
      </c>
      <c r="HN185" t="e">
        <f>Raw!B167+"h_l!(~A"</f>
        <v>#VALUE!</v>
      </c>
      <c r="HO185" t="e">
        <f>Raw!C167+"h_l!(~B"</f>
        <v>#VALUE!</v>
      </c>
      <c r="HP185" t="e">
        <f>Raw!D167+"h_l!(~C"</f>
        <v>#VALUE!</v>
      </c>
      <c r="HQ185" t="e">
        <f>Raw!E167+"h_l!(~D"</f>
        <v>#VALUE!</v>
      </c>
      <c r="HR185" t="e">
        <f>Raw!#REF!+"h_l!(~E"</f>
        <v>#REF!</v>
      </c>
      <c r="HS185" t="e">
        <f>Raw!G167+"h_l!(~F"</f>
        <v>#VALUE!</v>
      </c>
      <c r="HT185" t="e">
        <f>Raw!H167+"h_l!(~G"</f>
        <v>#VALUE!</v>
      </c>
      <c r="HU185" t="e">
        <f>Raw!I167+"h_l!(~H"</f>
        <v>#VALUE!</v>
      </c>
      <c r="HV185" t="e">
        <f>Raw!J167+"h_l!(~I"</f>
        <v>#VALUE!</v>
      </c>
      <c r="HW185" t="e">
        <f>Raw!K167+"h_l!(~J"</f>
        <v>#VALUE!</v>
      </c>
      <c r="HX185" t="e">
        <f>Raw!L167+"h_l!(~K"</f>
        <v>#VALUE!</v>
      </c>
      <c r="HY185" t="e">
        <f>Raw!M167+"h_l!(~L"</f>
        <v>#VALUE!</v>
      </c>
      <c r="HZ185" t="e">
        <f>Raw!N167+"h_l!(~M"</f>
        <v>#VALUE!</v>
      </c>
      <c r="IA185" t="e">
        <f>Raw!O167+"h_l!(~N"</f>
        <v>#VALUE!</v>
      </c>
      <c r="IB185" t="e">
        <f>Raw!P167+"h_l!(~O"</f>
        <v>#VALUE!</v>
      </c>
      <c r="IC185" t="e">
        <f>Raw!Q167+"h_l!(~P"</f>
        <v>#VALUE!</v>
      </c>
      <c r="ID185" t="e">
        <f>Raw!R167+"h_l!(~Q"</f>
        <v>#VALUE!</v>
      </c>
      <c r="IE185" t="e">
        <f>Raw!S167+"h_l!(~R"</f>
        <v>#VALUE!</v>
      </c>
      <c r="IF185" t="e">
        <f>Raw!T167+"h_l!(~S"</f>
        <v>#VALUE!</v>
      </c>
      <c r="IG185" t="e">
        <f>Raw!U167+"h_l!(~T"</f>
        <v>#VALUE!</v>
      </c>
      <c r="IH185" t="e">
        <f>Raw!V167+"h_l!(~U"</f>
        <v>#VALUE!</v>
      </c>
      <c r="II185" t="e">
        <f>Raw!W167+"h_l!(~V"</f>
        <v>#VALUE!</v>
      </c>
      <c r="IJ185" t="e">
        <f>Raw!A168+"h_l!(~W"</f>
        <v>#VALUE!</v>
      </c>
      <c r="IK185" t="e">
        <f>Raw!B168+"h_l!(~X"</f>
        <v>#VALUE!</v>
      </c>
      <c r="IL185" t="e">
        <f>Raw!C168+"h_l!(~Y"</f>
        <v>#VALUE!</v>
      </c>
      <c r="IM185" t="e">
        <f>Raw!D168+"h_l!(~Z"</f>
        <v>#VALUE!</v>
      </c>
      <c r="IN185" t="e">
        <f>Raw!E168+"h_l!(~["</f>
        <v>#VALUE!</v>
      </c>
      <c r="IO185" t="e">
        <f>Raw!#REF!+"h_l!(~\"</f>
        <v>#REF!</v>
      </c>
      <c r="IP185" t="e">
        <f>Raw!G168+"h_l!(~]"</f>
        <v>#VALUE!</v>
      </c>
      <c r="IQ185" t="e">
        <f>Raw!H168+"h_l!(~^"</f>
        <v>#VALUE!</v>
      </c>
      <c r="IR185" t="e">
        <f>Raw!I168+"h_l!(~_"</f>
        <v>#VALUE!</v>
      </c>
      <c r="IS185" t="e">
        <f>Raw!J168+"h_l!(~`"</f>
        <v>#VALUE!</v>
      </c>
      <c r="IT185" t="e">
        <f>Raw!K168+"h_l!(~a"</f>
        <v>#VALUE!</v>
      </c>
      <c r="IU185" t="e">
        <f>Raw!L168+"h_l!(~b"</f>
        <v>#VALUE!</v>
      </c>
      <c r="IV185" t="e">
        <f>Raw!M168+"h_l!(~c"</f>
        <v>#VALUE!</v>
      </c>
    </row>
    <row r="186" spans="6:256" x14ac:dyDescent="0.25">
      <c r="F186" t="e">
        <f>Raw!N168+"h_l!(~d"</f>
        <v>#VALUE!</v>
      </c>
      <c r="G186" t="e">
        <f>Raw!O168+"h_l!(~e"</f>
        <v>#VALUE!</v>
      </c>
      <c r="H186" t="e">
        <f>Raw!P168+"h_l!(~f"</f>
        <v>#VALUE!</v>
      </c>
      <c r="I186" t="e">
        <f>Raw!Q168+"h_l!(~g"</f>
        <v>#VALUE!</v>
      </c>
      <c r="J186" t="e">
        <f>Raw!R168+"h_l!(~h"</f>
        <v>#VALUE!</v>
      </c>
      <c r="K186" t="e">
        <f>Raw!S168+"h_l!(~i"</f>
        <v>#VALUE!</v>
      </c>
      <c r="L186" t="e">
        <f>Raw!T168+"h_l!(~j"</f>
        <v>#VALUE!</v>
      </c>
      <c r="M186" t="e">
        <f>Raw!U168+"h_l!(~k"</f>
        <v>#VALUE!</v>
      </c>
      <c r="N186" t="e">
        <f>Raw!V168+"h_l!(~l"</f>
        <v>#VALUE!</v>
      </c>
      <c r="O186" t="e">
        <f>Raw!W168+"h_l!(~m"</f>
        <v>#VALUE!</v>
      </c>
      <c r="P186" t="e">
        <f>Raw!A169+"h_l!(~n"</f>
        <v>#VALUE!</v>
      </c>
      <c r="Q186" t="e">
        <f>Raw!B169+"h_l!(~o"</f>
        <v>#VALUE!</v>
      </c>
      <c r="R186" t="e">
        <f>Raw!C169+"h_l!(~p"</f>
        <v>#VALUE!</v>
      </c>
      <c r="S186" t="e">
        <f>Raw!D169+"h_l!(~q"</f>
        <v>#VALUE!</v>
      </c>
      <c r="T186" t="e">
        <f>Raw!E169+"h_l!(~r"</f>
        <v>#VALUE!</v>
      </c>
      <c r="U186" t="e">
        <f>Raw!#REF!+"h_l!(~s"</f>
        <v>#REF!</v>
      </c>
      <c r="V186" t="e">
        <f>Raw!G169+"h_l!(~t"</f>
        <v>#VALUE!</v>
      </c>
      <c r="W186" t="e">
        <f>Raw!H169+"h_l!(~u"</f>
        <v>#VALUE!</v>
      </c>
      <c r="X186" t="e">
        <f>Raw!I169+"h_l!(~v"</f>
        <v>#VALUE!</v>
      </c>
      <c r="Y186" t="e">
        <f>Raw!J169+"h_l!(~w"</f>
        <v>#VALUE!</v>
      </c>
      <c r="Z186" t="e">
        <f>Raw!K169+"h_l!(~x"</f>
        <v>#VALUE!</v>
      </c>
      <c r="AA186" t="e">
        <f>Raw!L169+"h_l!(~y"</f>
        <v>#VALUE!</v>
      </c>
      <c r="AB186" t="e">
        <f>Raw!M169+"h_l!(~z"</f>
        <v>#VALUE!</v>
      </c>
      <c r="AC186" t="e">
        <f>Raw!N169+"h_l!(~{"</f>
        <v>#VALUE!</v>
      </c>
      <c r="AD186" t="e">
        <f>Raw!O169+"h_l!(~|"</f>
        <v>#VALUE!</v>
      </c>
      <c r="AE186" t="e">
        <f>Raw!P169+"h_l!(~}"</f>
        <v>#VALUE!</v>
      </c>
      <c r="AF186" t="e">
        <f>Raw!Q169+"h_l!(~~"</f>
        <v>#VALUE!</v>
      </c>
      <c r="AG186" t="e">
        <f>Raw!R169+"h_l!)##"</f>
        <v>#VALUE!</v>
      </c>
      <c r="AH186" t="e">
        <f>Raw!S169+"h_l!)#$"</f>
        <v>#VALUE!</v>
      </c>
      <c r="AI186" t="e">
        <f>Raw!T169+"h_l!)#%"</f>
        <v>#VALUE!</v>
      </c>
      <c r="AJ186" t="e">
        <f>Raw!U169+"h_l!)#&amp;"</f>
        <v>#VALUE!</v>
      </c>
      <c r="AK186" t="e">
        <f>Raw!V169+"h_l!)#'"</f>
        <v>#VALUE!</v>
      </c>
      <c r="AL186" t="e">
        <f>Raw!W169+"h_l!)#("</f>
        <v>#VALUE!</v>
      </c>
      <c r="AM186" t="e">
        <f>Raw!A170+"h_l!)#)"</f>
        <v>#VALUE!</v>
      </c>
      <c r="AN186" t="e">
        <f>Raw!B170+"h_l!)#."</f>
        <v>#VALUE!</v>
      </c>
      <c r="AO186" t="e">
        <f>Raw!C170+"h_l!)#/"</f>
        <v>#VALUE!</v>
      </c>
      <c r="AP186" t="e">
        <f>Raw!D170+"h_l!)#0"</f>
        <v>#VALUE!</v>
      </c>
      <c r="AQ186" t="e">
        <f>Raw!E170+"h_l!)#1"</f>
        <v>#VALUE!</v>
      </c>
      <c r="AR186" t="e">
        <f>Raw!#REF!+"h_l!)#2"</f>
        <v>#REF!</v>
      </c>
      <c r="AS186" t="e">
        <f>Raw!G170+"h_l!)#3"</f>
        <v>#VALUE!</v>
      </c>
      <c r="AT186" t="e">
        <f>Raw!H170+"h_l!)#4"</f>
        <v>#VALUE!</v>
      </c>
      <c r="AU186" t="e">
        <f>Raw!I170+"h_l!)#5"</f>
        <v>#VALUE!</v>
      </c>
      <c r="AV186" t="e">
        <f>Raw!J170+"h_l!)#6"</f>
        <v>#VALUE!</v>
      </c>
      <c r="AW186" t="e">
        <f>Raw!K170+"h_l!)#7"</f>
        <v>#VALUE!</v>
      </c>
      <c r="AX186" t="e">
        <f>Raw!L170+"h_l!)#8"</f>
        <v>#VALUE!</v>
      </c>
      <c r="AY186" t="e">
        <f>Raw!M170+"h_l!)#9"</f>
        <v>#VALUE!</v>
      </c>
      <c r="AZ186" t="e">
        <f>Raw!N170+"h_l!)#:"</f>
        <v>#VALUE!</v>
      </c>
      <c r="BA186" t="e">
        <f>Raw!O170+"h_l!)#;"</f>
        <v>#VALUE!</v>
      </c>
      <c r="BB186" t="e">
        <f>Raw!P170+"h_l!)#&lt;"</f>
        <v>#VALUE!</v>
      </c>
      <c r="BC186" t="e">
        <f>Raw!Q170+"h_l!)#="</f>
        <v>#VALUE!</v>
      </c>
      <c r="BD186" t="e">
        <f>Raw!R170+"h_l!)#&gt;"</f>
        <v>#VALUE!</v>
      </c>
      <c r="BE186" t="e">
        <f>Raw!S170+"h_l!)#?"</f>
        <v>#VALUE!</v>
      </c>
      <c r="BF186" t="e">
        <f>Raw!T170+"h_l!)#@"</f>
        <v>#VALUE!</v>
      </c>
      <c r="BG186" t="e">
        <f>Raw!U170+"h_l!)#A"</f>
        <v>#VALUE!</v>
      </c>
      <c r="BH186" t="e">
        <f>Raw!V170+"h_l!)#B"</f>
        <v>#VALUE!</v>
      </c>
      <c r="BI186" t="e">
        <f>Raw!W170+"h_l!)#C"</f>
        <v>#VALUE!</v>
      </c>
      <c r="BJ186" t="e">
        <f>Raw!A171+"h_l!)#D"</f>
        <v>#VALUE!</v>
      </c>
      <c r="BK186" t="e">
        <f>Raw!B171+"h_l!)#E"</f>
        <v>#VALUE!</v>
      </c>
      <c r="BL186" t="e">
        <f>Raw!C171+"h_l!)#F"</f>
        <v>#VALUE!</v>
      </c>
      <c r="BM186" t="e">
        <f>Raw!D171+"h_l!)#G"</f>
        <v>#VALUE!</v>
      </c>
      <c r="BN186" t="e">
        <f>Raw!E171+"h_l!)#H"</f>
        <v>#VALUE!</v>
      </c>
      <c r="BO186" t="e">
        <f>Raw!#REF!+"h_l!)#I"</f>
        <v>#REF!</v>
      </c>
      <c r="BP186" t="e">
        <f>Raw!G171+"h_l!)#J"</f>
        <v>#VALUE!</v>
      </c>
      <c r="BQ186" t="e">
        <f>Raw!H171+"h_l!)#K"</f>
        <v>#VALUE!</v>
      </c>
      <c r="BR186" t="e">
        <f>Raw!I171+"h_l!)#L"</f>
        <v>#VALUE!</v>
      </c>
      <c r="BS186" t="e">
        <f>Raw!J171+"h_l!)#M"</f>
        <v>#VALUE!</v>
      </c>
      <c r="BT186" t="e">
        <f>Raw!K171+"h_l!)#N"</f>
        <v>#VALUE!</v>
      </c>
      <c r="BU186" t="e">
        <f>Raw!L171+"h_l!)#O"</f>
        <v>#VALUE!</v>
      </c>
      <c r="BV186" t="e">
        <f>Raw!M171+"h_l!)#P"</f>
        <v>#VALUE!</v>
      </c>
      <c r="BW186" t="e">
        <f>Raw!N171+"h_l!)#Q"</f>
        <v>#VALUE!</v>
      </c>
      <c r="BX186" t="e">
        <f>Raw!O171+"h_l!)#R"</f>
        <v>#VALUE!</v>
      </c>
      <c r="BY186" t="e">
        <f>Raw!P171+"h_l!)#S"</f>
        <v>#VALUE!</v>
      </c>
      <c r="BZ186" t="e">
        <f>Raw!Q171+"h_l!)#T"</f>
        <v>#VALUE!</v>
      </c>
      <c r="CA186" t="e">
        <f>Raw!R171+"h_l!)#U"</f>
        <v>#VALUE!</v>
      </c>
      <c r="CB186" t="e">
        <f>Raw!S171+"h_l!)#V"</f>
        <v>#VALUE!</v>
      </c>
      <c r="CC186" t="e">
        <f>Raw!T171+"h_l!)#W"</f>
        <v>#VALUE!</v>
      </c>
      <c r="CD186" t="e">
        <f>Raw!U171+"h_l!)#X"</f>
        <v>#VALUE!</v>
      </c>
      <c r="CE186" t="e">
        <f>Raw!V171+"h_l!)#Y"</f>
        <v>#VALUE!</v>
      </c>
      <c r="CF186" t="e">
        <f>Raw!W171+"h_l!)#Z"</f>
        <v>#VALUE!</v>
      </c>
      <c r="CG186" t="e">
        <f>Raw!A172+"h_l!)#["</f>
        <v>#VALUE!</v>
      </c>
      <c r="CH186" t="e">
        <f>Raw!B172+"h_l!)#\"</f>
        <v>#VALUE!</v>
      </c>
      <c r="CI186" t="e">
        <f>Raw!C172+"h_l!)#]"</f>
        <v>#VALUE!</v>
      </c>
      <c r="CJ186" t="e">
        <f>Raw!D172+"h_l!)#^"</f>
        <v>#VALUE!</v>
      </c>
      <c r="CK186" t="e">
        <f>Raw!E172+"h_l!)#_"</f>
        <v>#VALUE!</v>
      </c>
      <c r="CL186" t="e">
        <f>Raw!#REF!+"h_l!)#`"</f>
        <v>#REF!</v>
      </c>
      <c r="CM186" t="e">
        <f>Raw!G172+"h_l!)#a"</f>
        <v>#VALUE!</v>
      </c>
      <c r="CN186" t="e">
        <f>Raw!H172+"h_l!)#b"</f>
        <v>#VALUE!</v>
      </c>
      <c r="CO186" t="e">
        <f>Raw!I172+"h_l!)#c"</f>
        <v>#VALUE!</v>
      </c>
      <c r="CP186" t="e">
        <f>Raw!J172+"h_l!)#d"</f>
        <v>#VALUE!</v>
      </c>
      <c r="CQ186" t="e">
        <f>Raw!K172+"h_l!)#e"</f>
        <v>#VALUE!</v>
      </c>
      <c r="CR186" t="e">
        <f>Raw!L172+"h_l!)#f"</f>
        <v>#VALUE!</v>
      </c>
      <c r="CS186" t="e">
        <f>Raw!M172+"h_l!)#g"</f>
        <v>#VALUE!</v>
      </c>
      <c r="CT186" t="e">
        <f>Raw!N172+"h_l!)#h"</f>
        <v>#VALUE!</v>
      </c>
      <c r="CU186" t="e">
        <f>Raw!O172+"h_l!)#i"</f>
        <v>#VALUE!</v>
      </c>
      <c r="CV186" t="e">
        <f>Raw!P172+"h_l!)#j"</f>
        <v>#VALUE!</v>
      </c>
      <c r="CW186" t="e">
        <f>Raw!Q172+"h_l!)#k"</f>
        <v>#VALUE!</v>
      </c>
      <c r="CX186" t="e">
        <f>Raw!R172+"h_l!)#l"</f>
        <v>#VALUE!</v>
      </c>
      <c r="CY186" t="e">
        <f>Raw!S172+"h_l!)#m"</f>
        <v>#VALUE!</v>
      </c>
      <c r="CZ186" t="e">
        <f>Raw!T172+"h_l!)#n"</f>
        <v>#VALUE!</v>
      </c>
      <c r="DA186" t="e">
        <f>Raw!U172+"h_l!)#o"</f>
        <v>#VALUE!</v>
      </c>
      <c r="DB186" t="e">
        <f>Raw!V172+"h_l!)#p"</f>
        <v>#VALUE!</v>
      </c>
      <c r="DC186" t="e">
        <f>Raw!W172+"h_l!)#q"</f>
        <v>#VALUE!</v>
      </c>
      <c r="DD186" t="e">
        <f>Raw!A173+"h_l!)#r"</f>
        <v>#VALUE!</v>
      </c>
      <c r="DE186" t="e">
        <f>Raw!B173+"h_l!)#s"</f>
        <v>#VALUE!</v>
      </c>
      <c r="DF186" t="e">
        <f>Raw!C173+"h_l!)#t"</f>
        <v>#VALUE!</v>
      </c>
      <c r="DG186" t="e">
        <f>Raw!D173+"h_l!)#u"</f>
        <v>#VALUE!</v>
      </c>
      <c r="DH186" t="e">
        <f>Raw!E173+"h_l!)#v"</f>
        <v>#VALUE!</v>
      </c>
      <c r="DI186" t="e">
        <f>Raw!#REF!+"h_l!)#w"</f>
        <v>#REF!</v>
      </c>
      <c r="DJ186" t="e">
        <f>Raw!G173+"h_l!)#x"</f>
        <v>#VALUE!</v>
      </c>
      <c r="DK186" t="e">
        <f>Raw!H173+"h_l!)#y"</f>
        <v>#VALUE!</v>
      </c>
      <c r="DL186" t="e">
        <f>Raw!I173+"h_l!)#z"</f>
        <v>#VALUE!</v>
      </c>
      <c r="DM186" t="e">
        <f>Raw!J173+"h_l!)#{"</f>
        <v>#VALUE!</v>
      </c>
      <c r="DN186" t="e">
        <f>Raw!K173+"h_l!)#|"</f>
        <v>#VALUE!</v>
      </c>
      <c r="DO186" t="e">
        <f>Raw!L173+"h_l!)#}"</f>
        <v>#VALUE!</v>
      </c>
      <c r="DP186" t="e">
        <f>Raw!M173+"h_l!)#~"</f>
        <v>#VALUE!</v>
      </c>
      <c r="DQ186" t="e">
        <f>Raw!N173+"h_l!)$#"</f>
        <v>#VALUE!</v>
      </c>
      <c r="DR186" t="e">
        <f>Raw!O173+"h_l!)$$"</f>
        <v>#VALUE!</v>
      </c>
      <c r="DS186" t="e">
        <f>Raw!P173+"h_l!)$%"</f>
        <v>#VALUE!</v>
      </c>
      <c r="DT186" t="e">
        <f>Raw!Q173+"h_l!)$&amp;"</f>
        <v>#VALUE!</v>
      </c>
      <c r="DU186" t="e">
        <f>Raw!R173+"h_l!)$'"</f>
        <v>#VALUE!</v>
      </c>
      <c r="DV186" t="e">
        <f>Raw!S173+"h_l!)$("</f>
        <v>#VALUE!</v>
      </c>
      <c r="DW186" t="e">
        <f>Raw!T173+"h_l!)$)"</f>
        <v>#VALUE!</v>
      </c>
      <c r="DX186" t="e">
        <f>Raw!U173+"h_l!)$."</f>
        <v>#VALUE!</v>
      </c>
      <c r="DY186" t="e">
        <f>Raw!V173+"h_l!)$/"</f>
        <v>#VALUE!</v>
      </c>
      <c r="DZ186" t="e">
        <f>Raw!W173+"h_l!)$0"</f>
        <v>#VALUE!</v>
      </c>
      <c r="EA186" t="e">
        <f>Raw!A174+"h_l!)$1"</f>
        <v>#VALUE!</v>
      </c>
      <c r="EB186" t="e">
        <f>Raw!B174+"h_l!)$2"</f>
        <v>#VALUE!</v>
      </c>
      <c r="EC186" t="e">
        <f>Raw!C174+"h_l!)$3"</f>
        <v>#VALUE!</v>
      </c>
      <c r="ED186" t="e">
        <f>Raw!D174+"h_l!)$4"</f>
        <v>#VALUE!</v>
      </c>
      <c r="EE186" t="e">
        <f>Raw!E174+"h_l!)$5"</f>
        <v>#VALUE!</v>
      </c>
      <c r="EF186" t="e">
        <f>Raw!#REF!+"h_l!)$6"</f>
        <v>#REF!</v>
      </c>
      <c r="EG186" t="e">
        <f>Raw!G174+"h_l!)$7"</f>
        <v>#VALUE!</v>
      </c>
      <c r="EH186" t="e">
        <f>Raw!H174+"h_l!)$8"</f>
        <v>#VALUE!</v>
      </c>
      <c r="EI186" t="e">
        <f>Raw!I174+"h_l!)$9"</f>
        <v>#VALUE!</v>
      </c>
      <c r="EJ186" t="e">
        <f>Raw!J174+"h_l!)$:"</f>
        <v>#VALUE!</v>
      </c>
      <c r="EK186" t="e">
        <f>Raw!K174+"h_l!)$;"</f>
        <v>#VALUE!</v>
      </c>
      <c r="EL186" t="e">
        <f>Raw!L174+"h_l!)$&lt;"</f>
        <v>#VALUE!</v>
      </c>
      <c r="EM186" t="e">
        <f>Raw!M174+"h_l!)$="</f>
        <v>#VALUE!</v>
      </c>
      <c r="EN186" t="e">
        <f>Raw!N174+"h_l!)$&gt;"</f>
        <v>#VALUE!</v>
      </c>
      <c r="EO186" t="e">
        <f>Raw!O174+"h_l!)$?"</f>
        <v>#VALUE!</v>
      </c>
      <c r="EP186" t="e">
        <f>Raw!P174+"h_l!)$@"</f>
        <v>#VALUE!</v>
      </c>
      <c r="EQ186" t="e">
        <f>Raw!Q174+"h_l!)$A"</f>
        <v>#VALUE!</v>
      </c>
      <c r="ER186" t="e">
        <f>Raw!R174+"h_l!)$B"</f>
        <v>#VALUE!</v>
      </c>
      <c r="ES186" t="e">
        <f>Raw!S174+"h_l!)$C"</f>
        <v>#VALUE!</v>
      </c>
      <c r="ET186" t="e">
        <f>Raw!T174+"h_l!)$D"</f>
        <v>#VALUE!</v>
      </c>
      <c r="EU186" t="e">
        <f>Raw!U174+"h_l!)$E"</f>
        <v>#VALUE!</v>
      </c>
      <c r="EV186" t="e">
        <f>Raw!V174+"h_l!)$F"</f>
        <v>#VALUE!</v>
      </c>
      <c r="EW186" t="e">
        <f>Raw!W174+"h_l!)$G"</f>
        <v>#VALUE!</v>
      </c>
      <c r="EX186" t="e">
        <f>Raw!A175+"h_l!)$H"</f>
        <v>#VALUE!</v>
      </c>
      <c r="EY186" t="e">
        <f>Raw!B175+"h_l!)$I"</f>
        <v>#VALUE!</v>
      </c>
      <c r="EZ186" t="e">
        <f>Raw!C175+"h_l!)$J"</f>
        <v>#VALUE!</v>
      </c>
      <c r="FA186" t="e">
        <f>Raw!D175+"h_l!)$K"</f>
        <v>#VALUE!</v>
      </c>
      <c r="FB186" t="e">
        <f>Raw!E175+"h_l!)$L"</f>
        <v>#VALUE!</v>
      </c>
      <c r="FC186" t="e">
        <f>Raw!#REF!+"h_l!)$M"</f>
        <v>#REF!</v>
      </c>
      <c r="FD186" t="e">
        <f>Raw!G175+"h_l!)$N"</f>
        <v>#VALUE!</v>
      </c>
      <c r="FE186" t="e">
        <f>Raw!H175+"h_l!)$O"</f>
        <v>#VALUE!</v>
      </c>
      <c r="FF186" t="e">
        <f>Raw!I175+"h_l!)$P"</f>
        <v>#VALUE!</v>
      </c>
      <c r="FG186" t="e">
        <f>Raw!J175+"h_l!)$Q"</f>
        <v>#VALUE!</v>
      </c>
      <c r="FH186" t="e">
        <f>Raw!K175+"h_l!)$R"</f>
        <v>#VALUE!</v>
      </c>
      <c r="FI186" t="e">
        <f>Raw!L175+"h_l!)$S"</f>
        <v>#VALUE!</v>
      </c>
      <c r="FJ186" t="e">
        <f>Raw!M175+"h_l!)$T"</f>
        <v>#VALUE!</v>
      </c>
      <c r="FK186" t="e">
        <f>Raw!N175+"h_l!)$U"</f>
        <v>#VALUE!</v>
      </c>
      <c r="FL186" t="e">
        <f>Raw!O175+"h_l!)$V"</f>
        <v>#VALUE!</v>
      </c>
      <c r="FM186" t="e">
        <f>Raw!P175+"h_l!)$W"</f>
        <v>#VALUE!</v>
      </c>
      <c r="FN186" t="e">
        <f>Raw!Q175+"h_l!)$X"</f>
        <v>#VALUE!</v>
      </c>
      <c r="FO186" t="e">
        <f>Raw!R175+"h_l!)$Y"</f>
        <v>#VALUE!</v>
      </c>
      <c r="FP186" t="e">
        <f>Raw!S175+"h_l!)$Z"</f>
        <v>#VALUE!</v>
      </c>
      <c r="FQ186" t="e">
        <f>Raw!T175+"h_l!)$["</f>
        <v>#VALUE!</v>
      </c>
      <c r="FR186" t="e">
        <f>Raw!U175+"h_l!)$\"</f>
        <v>#VALUE!</v>
      </c>
      <c r="FS186" t="e">
        <f>Raw!V175+"h_l!)$]"</f>
        <v>#VALUE!</v>
      </c>
      <c r="FT186" t="e">
        <f>Raw!W175+"h_l!)$^"</f>
        <v>#VALUE!</v>
      </c>
      <c r="FU186" t="e">
        <f>Raw!A176+"h_l!)$_"</f>
        <v>#VALUE!</v>
      </c>
      <c r="FV186" t="e">
        <f>Raw!B176+"h_l!)$`"</f>
        <v>#VALUE!</v>
      </c>
      <c r="FW186" t="e">
        <f>Raw!C176+"h_l!)$a"</f>
        <v>#VALUE!</v>
      </c>
      <c r="FX186" t="e">
        <f>Raw!D176+"h_l!)$b"</f>
        <v>#VALUE!</v>
      </c>
      <c r="FY186" t="e">
        <f>Raw!E176+"h_l!)$c"</f>
        <v>#VALUE!</v>
      </c>
      <c r="FZ186" t="e">
        <f>Raw!#REF!+"h_l!)$d"</f>
        <v>#REF!</v>
      </c>
      <c r="GA186" t="e">
        <f>Raw!G176+"h_l!)$e"</f>
        <v>#VALUE!</v>
      </c>
      <c r="GB186" t="e">
        <f>Raw!H176+"h_l!)$f"</f>
        <v>#VALUE!</v>
      </c>
      <c r="GC186" t="e">
        <f>Raw!I176+"h_l!)$g"</f>
        <v>#VALUE!</v>
      </c>
      <c r="GD186" t="e">
        <f>Raw!J176+"h_l!)$h"</f>
        <v>#VALUE!</v>
      </c>
      <c r="GE186" t="e">
        <f>Raw!K176+"h_l!)$i"</f>
        <v>#VALUE!</v>
      </c>
      <c r="GF186" t="e">
        <f>Raw!L176+"h_l!)$j"</f>
        <v>#VALUE!</v>
      </c>
      <c r="GG186" t="e">
        <f>Raw!M176+"h_l!)$k"</f>
        <v>#VALUE!</v>
      </c>
      <c r="GH186" t="e">
        <f>Raw!N176+"h_l!)$l"</f>
        <v>#VALUE!</v>
      </c>
      <c r="GI186" t="e">
        <f>Raw!O176+"h_l!)$m"</f>
        <v>#VALUE!</v>
      </c>
      <c r="GJ186" t="e">
        <f>Raw!P176+"h_l!)$n"</f>
        <v>#VALUE!</v>
      </c>
      <c r="GK186" t="e">
        <f>Raw!Q176+"h_l!)$o"</f>
        <v>#VALUE!</v>
      </c>
      <c r="GL186" t="e">
        <f>Raw!R176+"h_l!)$p"</f>
        <v>#VALUE!</v>
      </c>
      <c r="GM186" t="e">
        <f>Raw!S176+"h_l!)$q"</f>
        <v>#VALUE!</v>
      </c>
      <c r="GN186" t="e">
        <f>Raw!T176+"h_l!)$r"</f>
        <v>#VALUE!</v>
      </c>
      <c r="GO186" t="e">
        <f>Raw!U176+"h_l!)$s"</f>
        <v>#VALUE!</v>
      </c>
      <c r="GP186" t="e">
        <f>Raw!V176+"h_l!)$t"</f>
        <v>#VALUE!</v>
      </c>
      <c r="GQ186" t="e">
        <f>Raw!W176+"h_l!)$u"</f>
        <v>#VALUE!</v>
      </c>
      <c r="GR186" t="e">
        <f>Raw!A177+"h_l!)$v"</f>
        <v>#VALUE!</v>
      </c>
      <c r="GS186" t="e">
        <f>Raw!B177+"h_l!)$w"</f>
        <v>#VALUE!</v>
      </c>
      <c r="GT186" t="e">
        <f>Raw!C177+"h_l!)$x"</f>
        <v>#VALUE!</v>
      </c>
      <c r="GU186" t="e">
        <f>Raw!D177+"h_l!)$y"</f>
        <v>#VALUE!</v>
      </c>
      <c r="GV186" t="e">
        <f>Raw!E177+"h_l!)$z"</f>
        <v>#VALUE!</v>
      </c>
      <c r="GW186" t="e">
        <f>Raw!#REF!+"h_l!)${"</f>
        <v>#REF!</v>
      </c>
      <c r="GX186" t="e">
        <f>Raw!G177+"h_l!)$|"</f>
        <v>#VALUE!</v>
      </c>
      <c r="GY186" t="e">
        <f>Raw!H177+"h_l!)$}"</f>
        <v>#VALUE!</v>
      </c>
      <c r="GZ186" t="e">
        <f>Raw!I177+"h_l!)$~"</f>
        <v>#VALUE!</v>
      </c>
      <c r="HA186" t="e">
        <f>Raw!J177+"h_l!)%#"</f>
        <v>#VALUE!</v>
      </c>
      <c r="HB186" t="e">
        <f>Raw!K177+"h_l!)%$"</f>
        <v>#VALUE!</v>
      </c>
      <c r="HC186" t="e">
        <f>Raw!L177+"h_l!)%%"</f>
        <v>#VALUE!</v>
      </c>
      <c r="HD186" t="e">
        <f>Raw!M177+"h_l!)%&amp;"</f>
        <v>#VALUE!</v>
      </c>
      <c r="HE186" t="e">
        <f>Raw!N177+"h_l!)%'"</f>
        <v>#VALUE!</v>
      </c>
      <c r="HF186" t="e">
        <f>Raw!O177+"h_l!)%("</f>
        <v>#VALUE!</v>
      </c>
      <c r="HG186" t="e">
        <f>Raw!P177+"h_l!)%)"</f>
        <v>#VALUE!</v>
      </c>
      <c r="HH186" t="e">
        <f>Raw!Q177+"h_l!)%."</f>
        <v>#VALUE!</v>
      </c>
      <c r="HI186" t="e">
        <f>Raw!R177+"h_l!)%/"</f>
        <v>#VALUE!</v>
      </c>
      <c r="HJ186" t="e">
        <f>Raw!S177+"h_l!)%0"</f>
        <v>#VALUE!</v>
      </c>
      <c r="HK186" t="e">
        <f>Raw!T177+"h_l!)%1"</f>
        <v>#VALUE!</v>
      </c>
      <c r="HL186" t="e">
        <f>Raw!U177+"h_l!)%2"</f>
        <v>#VALUE!</v>
      </c>
      <c r="HM186" t="e">
        <f>Raw!V177+"h_l!)%3"</f>
        <v>#VALUE!</v>
      </c>
      <c r="HN186" t="e">
        <f>Raw!W177+"h_l!)%4"</f>
        <v>#VALUE!</v>
      </c>
      <c r="HO186" t="e">
        <f>Raw!A178+"h_l!)%5"</f>
        <v>#VALUE!</v>
      </c>
      <c r="HP186" t="e">
        <f>Raw!B178+"h_l!)%6"</f>
        <v>#VALUE!</v>
      </c>
      <c r="HQ186" t="e">
        <f>Raw!C178+"h_l!)%7"</f>
        <v>#VALUE!</v>
      </c>
      <c r="HR186" t="e">
        <f>Raw!D178+"h_l!)%8"</f>
        <v>#VALUE!</v>
      </c>
      <c r="HS186" t="e">
        <f>Raw!E178+"h_l!)%9"</f>
        <v>#VALUE!</v>
      </c>
      <c r="HT186" t="e">
        <f>Raw!#REF!+"h_l!)%:"</f>
        <v>#REF!</v>
      </c>
      <c r="HU186" t="e">
        <f>Raw!G178+"h_l!)%;"</f>
        <v>#VALUE!</v>
      </c>
      <c r="HV186" t="e">
        <f>Raw!H178+"h_l!)%&lt;"</f>
        <v>#VALUE!</v>
      </c>
      <c r="HW186" t="e">
        <f>Raw!I178+"h_l!)%="</f>
        <v>#VALUE!</v>
      </c>
      <c r="HX186" t="e">
        <f>Raw!J178+"h_l!)%&gt;"</f>
        <v>#VALUE!</v>
      </c>
      <c r="HY186" t="e">
        <f>Raw!K178+"h_l!)%?"</f>
        <v>#VALUE!</v>
      </c>
      <c r="HZ186" t="e">
        <f>Raw!L178+"h_l!)%@"</f>
        <v>#VALUE!</v>
      </c>
      <c r="IA186" t="e">
        <f>Raw!M178+"h_l!)%A"</f>
        <v>#VALUE!</v>
      </c>
      <c r="IB186" t="e">
        <f>Raw!N178+"h_l!)%B"</f>
        <v>#VALUE!</v>
      </c>
      <c r="IC186" t="e">
        <f>Raw!O178+"h_l!)%C"</f>
        <v>#VALUE!</v>
      </c>
      <c r="ID186" t="e">
        <f>Raw!P178+"h_l!)%D"</f>
        <v>#VALUE!</v>
      </c>
      <c r="IE186" t="e">
        <f>Raw!Q178+"h_l!)%E"</f>
        <v>#VALUE!</v>
      </c>
      <c r="IF186" t="e">
        <f>Raw!R178+"h_l!)%F"</f>
        <v>#VALUE!</v>
      </c>
      <c r="IG186" t="e">
        <f>Raw!S178+"h_l!)%G"</f>
        <v>#VALUE!</v>
      </c>
      <c r="IH186" t="e">
        <f>Raw!T178+"h_l!)%H"</f>
        <v>#VALUE!</v>
      </c>
      <c r="II186" t="e">
        <f>Raw!U178+"h_l!)%I"</f>
        <v>#VALUE!</v>
      </c>
      <c r="IJ186" t="e">
        <f>Raw!V178+"h_l!)%J"</f>
        <v>#VALUE!</v>
      </c>
      <c r="IK186" t="e">
        <f>Raw!W178+"h_l!)%K"</f>
        <v>#VALUE!</v>
      </c>
      <c r="IL186" t="e">
        <f>Raw!A179+"h_l!)%L"</f>
        <v>#VALUE!</v>
      </c>
      <c r="IM186" t="e">
        <f>Raw!B179+"h_l!)%M"</f>
        <v>#VALUE!</v>
      </c>
      <c r="IN186" t="e">
        <f>Raw!C179+"h_l!)%N"</f>
        <v>#VALUE!</v>
      </c>
      <c r="IO186" t="e">
        <f>Raw!D179+"h_l!)%O"</f>
        <v>#VALUE!</v>
      </c>
      <c r="IP186" t="e">
        <f>Raw!E179+"h_l!)%P"</f>
        <v>#VALUE!</v>
      </c>
      <c r="IQ186" t="e">
        <f>Raw!#REF!+"h_l!)%Q"</f>
        <v>#REF!</v>
      </c>
      <c r="IR186" t="e">
        <f>Raw!G179+"h_l!)%R"</f>
        <v>#VALUE!</v>
      </c>
      <c r="IS186" t="e">
        <f>Raw!H179+"h_l!)%S"</f>
        <v>#VALUE!</v>
      </c>
      <c r="IT186" t="e">
        <f>Raw!I179+"h_l!)%T"</f>
        <v>#VALUE!</v>
      </c>
      <c r="IU186" t="e">
        <f>Raw!J179+"h_l!)%U"</f>
        <v>#VALUE!</v>
      </c>
      <c r="IV186" t="e">
        <f>Raw!K179+"h_l!)%V"</f>
        <v>#VALUE!</v>
      </c>
    </row>
    <row r="187" spans="6:256" x14ac:dyDescent="0.25">
      <c r="F187" t="e">
        <f>Raw!L179+"h_l!)%W"</f>
        <v>#VALUE!</v>
      </c>
      <c r="G187" t="e">
        <f>Raw!M179+"h_l!)%X"</f>
        <v>#VALUE!</v>
      </c>
      <c r="H187" t="e">
        <f>Raw!N179+"h_l!)%Y"</f>
        <v>#VALUE!</v>
      </c>
      <c r="I187" t="e">
        <f>Raw!O179+"h_l!)%Z"</f>
        <v>#VALUE!</v>
      </c>
      <c r="J187" t="e">
        <f>Raw!P179+"h_l!)%["</f>
        <v>#VALUE!</v>
      </c>
      <c r="K187" t="e">
        <f>Raw!Q179+"h_l!)%\"</f>
        <v>#VALUE!</v>
      </c>
      <c r="L187" t="e">
        <f>Raw!R179+"h_l!)%]"</f>
        <v>#VALUE!</v>
      </c>
      <c r="M187" t="e">
        <f>Raw!S179+"h_l!)%^"</f>
        <v>#VALUE!</v>
      </c>
      <c r="N187" t="e">
        <f>Raw!T179+"h_l!)%_"</f>
        <v>#VALUE!</v>
      </c>
      <c r="O187" t="e">
        <f>Raw!U179+"h_l!)%`"</f>
        <v>#VALUE!</v>
      </c>
      <c r="P187" t="e">
        <f>Raw!V179+"h_l!)%a"</f>
        <v>#VALUE!</v>
      </c>
      <c r="Q187" t="e">
        <f>Raw!W179+"h_l!)%b"</f>
        <v>#VALUE!</v>
      </c>
      <c r="R187" t="e">
        <f>Raw!A180+"h_l!)%c"</f>
        <v>#VALUE!</v>
      </c>
      <c r="S187" t="e">
        <f>Raw!B180+"h_l!)%d"</f>
        <v>#VALUE!</v>
      </c>
      <c r="T187" t="e">
        <f>Raw!C180+"h_l!)%e"</f>
        <v>#VALUE!</v>
      </c>
      <c r="U187" t="e">
        <f>Raw!D180+"h_l!)%f"</f>
        <v>#VALUE!</v>
      </c>
      <c r="V187" t="e">
        <f>Raw!E180+"h_l!)%g"</f>
        <v>#VALUE!</v>
      </c>
      <c r="W187" t="e">
        <f>Raw!#REF!+"h_l!)%h"</f>
        <v>#REF!</v>
      </c>
      <c r="X187" t="e">
        <f>Raw!G180+"h_l!)%i"</f>
        <v>#VALUE!</v>
      </c>
      <c r="Y187" t="e">
        <f>Raw!H180+"h_l!)%j"</f>
        <v>#VALUE!</v>
      </c>
      <c r="Z187" t="e">
        <f>Raw!I180+"h_l!)%k"</f>
        <v>#VALUE!</v>
      </c>
      <c r="AA187" t="e">
        <f>Raw!J180+"h_l!)%l"</f>
        <v>#VALUE!</v>
      </c>
      <c r="AB187" t="e">
        <f>Raw!K180+"h_l!)%m"</f>
        <v>#VALUE!</v>
      </c>
      <c r="AC187" t="e">
        <f>Raw!L180+"h_l!)%n"</f>
        <v>#VALUE!</v>
      </c>
      <c r="AD187" t="e">
        <f>Raw!M180+"h_l!)%o"</f>
        <v>#VALUE!</v>
      </c>
      <c r="AE187" t="e">
        <f>Raw!N180+"h_l!)%p"</f>
        <v>#VALUE!</v>
      </c>
      <c r="AF187" t="e">
        <f>Raw!O180+"h_l!)%q"</f>
        <v>#VALUE!</v>
      </c>
      <c r="AG187" t="e">
        <f>Raw!P180+"h_l!)%r"</f>
        <v>#VALUE!</v>
      </c>
      <c r="AH187" t="e">
        <f>Raw!Q180+"h_l!)%s"</f>
        <v>#VALUE!</v>
      </c>
      <c r="AI187" t="e">
        <f>Raw!R180+"h_l!)%t"</f>
        <v>#VALUE!</v>
      </c>
      <c r="AJ187" t="e">
        <f>Raw!S180+"h_l!)%u"</f>
        <v>#VALUE!</v>
      </c>
      <c r="AK187" t="e">
        <f>Raw!T180+"h_l!)%v"</f>
        <v>#VALUE!</v>
      </c>
      <c r="AL187" t="e">
        <f>Raw!U180+"h_l!)%w"</f>
        <v>#VALUE!</v>
      </c>
      <c r="AM187" t="e">
        <f>Raw!V180+"h_l!)%x"</f>
        <v>#VALUE!</v>
      </c>
      <c r="AN187" t="e">
        <f>Raw!W180+"h_l!)%y"</f>
        <v>#VALUE!</v>
      </c>
      <c r="AO187" t="e">
        <f>Raw!A181+"h_l!)%z"</f>
        <v>#VALUE!</v>
      </c>
      <c r="AP187" t="e">
        <f>Raw!B181+"h_l!)%{"</f>
        <v>#VALUE!</v>
      </c>
      <c r="AQ187" t="e">
        <f>Raw!C181+"h_l!)%|"</f>
        <v>#VALUE!</v>
      </c>
      <c r="AR187" t="e">
        <f>Raw!D181+"h_l!)%}"</f>
        <v>#VALUE!</v>
      </c>
      <c r="AS187" t="e">
        <f>Raw!E181+"h_l!)%~"</f>
        <v>#VALUE!</v>
      </c>
      <c r="AT187" t="e">
        <f>Raw!#REF!+"h_l!)&amp;#"</f>
        <v>#REF!</v>
      </c>
      <c r="AU187" t="e">
        <f>Raw!G181+"h_l!)&amp;$"</f>
        <v>#VALUE!</v>
      </c>
      <c r="AV187" t="e">
        <f>Raw!H181+"h_l!)&amp;%"</f>
        <v>#VALUE!</v>
      </c>
      <c r="AW187" t="e">
        <f>Raw!I181+"h_l!)&amp;&amp;"</f>
        <v>#VALUE!</v>
      </c>
      <c r="AX187" t="e">
        <f>Raw!J181+"h_l!)&amp;'"</f>
        <v>#VALUE!</v>
      </c>
      <c r="AY187" t="e">
        <f>Raw!K181+"h_l!)&amp;("</f>
        <v>#VALUE!</v>
      </c>
      <c r="AZ187" t="e">
        <f>Raw!L181+"h_l!)&amp;)"</f>
        <v>#VALUE!</v>
      </c>
      <c r="BA187" t="e">
        <f>Raw!M181+"h_l!)&amp;."</f>
        <v>#VALUE!</v>
      </c>
      <c r="BB187" t="e">
        <f>Raw!N181+"h_l!)&amp;/"</f>
        <v>#VALUE!</v>
      </c>
      <c r="BC187" t="e">
        <f>Raw!O181+"h_l!)&amp;0"</f>
        <v>#VALUE!</v>
      </c>
      <c r="BD187" t="e">
        <f>Raw!P181+"h_l!)&amp;1"</f>
        <v>#VALUE!</v>
      </c>
      <c r="BE187" t="e">
        <f>Raw!Q181+"h_l!)&amp;2"</f>
        <v>#VALUE!</v>
      </c>
      <c r="BF187" t="e">
        <f>Raw!R181+"h_l!)&amp;3"</f>
        <v>#VALUE!</v>
      </c>
      <c r="BG187" t="e">
        <f>Raw!S181+"h_l!)&amp;4"</f>
        <v>#VALUE!</v>
      </c>
      <c r="BH187" t="e">
        <f>Raw!T181+"h_l!)&amp;5"</f>
        <v>#VALUE!</v>
      </c>
      <c r="BI187" t="e">
        <f>Raw!U181+"h_l!)&amp;6"</f>
        <v>#VALUE!</v>
      </c>
      <c r="BJ187" t="e">
        <f>Raw!V181+"h_l!)&amp;7"</f>
        <v>#VALUE!</v>
      </c>
      <c r="BK187" t="e">
        <f>Raw!W181+"h_l!)&amp;8"</f>
        <v>#VALUE!</v>
      </c>
      <c r="BL187" t="e">
        <f>Raw!A182+"h_l!)&amp;9"</f>
        <v>#VALUE!</v>
      </c>
      <c r="BM187" t="e">
        <f>Raw!B182+"h_l!)&amp;:"</f>
        <v>#VALUE!</v>
      </c>
      <c r="BN187" t="e">
        <f>Raw!C182+"h_l!)&amp;;"</f>
        <v>#VALUE!</v>
      </c>
      <c r="BO187" t="e">
        <f>Raw!D182+"h_l!)&amp;&lt;"</f>
        <v>#VALUE!</v>
      </c>
      <c r="BP187" t="e">
        <f>Raw!E182+"h_l!)&amp;="</f>
        <v>#VALUE!</v>
      </c>
      <c r="BQ187" t="e">
        <f>Raw!#REF!+"h_l!)&amp;&gt;"</f>
        <v>#REF!</v>
      </c>
      <c r="BR187" t="e">
        <f>Raw!G182+"h_l!)&amp;?"</f>
        <v>#VALUE!</v>
      </c>
      <c r="BS187" t="e">
        <f>Raw!H182+"h_l!)&amp;@"</f>
        <v>#VALUE!</v>
      </c>
      <c r="BT187" t="e">
        <f>Raw!I182+"h_l!)&amp;A"</f>
        <v>#VALUE!</v>
      </c>
      <c r="BU187" t="e">
        <f>Raw!J182+"h_l!)&amp;B"</f>
        <v>#VALUE!</v>
      </c>
      <c r="BV187" t="e">
        <f>Raw!K182+"h_l!)&amp;C"</f>
        <v>#VALUE!</v>
      </c>
      <c r="BW187" t="e">
        <f>Raw!L182+"h_l!)&amp;D"</f>
        <v>#VALUE!</v>
      </c>
      <c r="BX187" t="e">
        <f>Raw!M182+"h_l!)&amp;E"</f>
        <v>#VALUE!</v>
      </c>
      <c r="BY187" t="e">
        <f>Raw!N182+"h_l!)&amp;F"</f>
        <v>#VALUE!</v>
      </c>
      <c r="BZ187" t="e">
        <f>Raw!O182+"h_l!)&amp;G"</f>
        <v>#VALUE!</v>
      </c>
      <c r="CA187" t="e">
        <f>Raw!P182+"h_l!)&amp;H"</f>
        <v>#VALUE!</v>
      </c>
      <c r="CB187" t="e">
        <f>Raw!Q182+"h_l!)&amp;I"</f>
        <v>#VALUE!</v>
      </c>
      <c r="CC187" t="e">
        <f>Raw!R182+"h_l!)&amp;J"</f>
        <v>#VALUE!</v>
      </c>
      <c r="CD187" t="e">
        <f>Raw!S182+"h_l!)&amp;K"</f>
        <v>#VALUE!</v>
      </c>
      <c r="CE187" t="e">
        <f>Raw!T182+"h_l!)&amp;L"</f>
        <v>#VALUE!</v>
      </c>
      <c r="CF187" t="e">
        <f>Raw!U182+"h_l!)&amp;M"</f>
        <v>#VALUE!</v>
      </c>
      <c r="CG187" t="e">
        <f>Raw!V182+"h_l!)&amp;N"</f>
        <v>#VALUE!</v>
      </c>
      <c r="CH187" t="e">
        <f>Raw!W182+"h_l!)&amp;O"</f>
        <v>#VALUE!</v>
      </c>
      <c r="CI187" t="e">
        <f>Raw!A183+"h_l!)&amp;P"</f>
        <v>#VALUE!</v>
      </c>
      <c r="CJ187" t="e">
        <f>Raw!B183+"h_l!)&amp;Q"</f>
        <v>#VALUE!</v>
      </c>
      <c r="CK187" t="e">
        <f>Raw!C183+"h_l!)&amp;R"</f>
        <v>#VALUE!</v>
      </c>
      <c r="CL187" t="e">
        <f>Raw!D183+"h_l!)&amp;S"</f>
        <v>#VALUE!</v>
      </c>
      <c r="CM187" t="e">
        <f>Raw!E183+"h_l!)&amp;T"</f>
        <v>#VALUE!</v>
      </c>
      <c r="CN187" t="e">
        <f>Raw!#REF!+"h_l!)&amp;U"</f>
        <v>#REF!</v>
      </c>
      <c r="CO187" t="e">
        <f>Raw!G183+"h_l!)&amp;V"</f>
        <v>#VALUE!</v>
      </c>
      <c r="CP187" t="e">
        <f>Raw!H183+"h_l!)&amp;W"</f>
        <v>#VALUE!</v>
      </c>
      <c r="CQ187" t="e">
        <f>Raw!I183+"h_l!)&amp;X"</f>
        <v>#VALUE!</v>
      </c>
      <c r="CR187" t="e">
        <f>Raw!J183+"h_l!)&amp;Y"</f>
        <v>#VALUE!</v>
      </c>
      <c r="CS187" t="e">
        <f>Raw!K183+"h_l!)&amp;Z"</f>
        <v>#VALUE!</v>
      </c>
      <c r="CT187" t="e">
        <f>Raw!L183+"h_l!)&amp;["</f>
        <v>#VALUE!</v>
      </c>
      <c r="CU187" t="e">
        <f>Raw!M183+"h_l!)&amp;\"</f>
        <v>#VALUE!</v>
      </c>
      <c r="CV187" t="e">
        <f>Raw!N183+"h_l!)&amp;]"</f>
        <v>#VALUE!</v>
      </c>
      <c r="CW187" t="e">
        <f>Raw!O183+"h_l!)&amp;^"</f>
        <v>#VALUE!</v>
      </c>
      <c r="CX187" t="e">
        <f>Raw!P183+"h_l!)&amp;_"</f>
        <v>#VALUE!</v>
      </c>
      <c r="CY187" t="e">
        <f>Raw!Q183+"h_l!)&amp;`"</f>
        <v>#VALUE!</v>
      </c>
      <c r="CZ187" t="e">
        <f>Raw!R183+"h_l!)&amp;a"</f>
        <v>#VALUE!</v>
      </c>
      <c r="DA187" t="e">
        <f>Raw!S183+"h_l!)&amp;b"</f>
        <v>#VALUE!</v>
      </c>
      <c r="DB187" t="e">
        <f>Raw!T183+"h_l!)&amp;c"</f>
        <v>#VALUE!</v>
      </c>
      <c r="DC187" t="e">
        <f>Raw!U183+"h_l!)&amp;d"</f>
        <v>#VALUE!</v>
      </c>
      <c r="DD187" t="e">
        <f>Raw!V183+"h_l!)&amp;e"</f>
        <v>#VALUE!</v>
      </c>
      <c r="DE187" t="e">
        <f>Raw!W183+"h_l!)&amp;f"</f>
        <v>#VALUE!</v>
      </c>
      <c r="DF187" t="e">
        <f>Raw!A184+"h_l!)&amp;g"</f>
        <v>#VALUE!</v>
      </c>
      <c r="DG187" t="e">
        <f>Raw!B184+"h_l!)&amp;h"</f>
        <v>#VALUE!</v>
      </c>
      <c r="DH187" t="e">
        <f>Raw!C184+"h_l!)&amp;i"</f>
        <v>#VALUE!</v>
      </c>
      <c r="DI187" t="e">
        <f>Raw!D184+"h_l!)&amp;j"</f>
        <v>#VALUE!</v>
      </c>
      <c r="DJ187" t="e">
        <f>Raw!E184+"h_l!)&amp;k"</f>
        <v>#VALUE!</v>
      </c>
      <c r="DK187" t="e">
        <f>Raw!#REF!+"h_l!)&amp;l"</f>
        <v>#REF!</v>
      </c>
      <c r="DL187" t="e">
        <f>Raw!G184+"h_l!)&amp;m"</f>
        <v>#VALUE!</v>
      </c>
      <c r="DM187" t="e">
        <f>Raw!H184+"h_l!)&amp;n"</f>
        <v>#VALUE!</v>
      </c>
      <c r="DN187" t="e">
        <f>Raw!I184+"h_l!)&amp;o"</f>
        <v>#VALUE!</v>
      </c>
      <c r="DO187" t="e">
        <f>Raw!J184+"h_l!)&amp;p"</f>
        <v>#VALUE!</v>
      </c>
      <c r="DP187" t="e">
        <f>Raw!K184+"h_l!)&amp;q"</f>
        <v>#VALUE!</v>
      </c>
      <c r="DQ187" t="e">
        <f>Raw!L184+"h_l!)&amp;r"</f>
        <v>#VALUE!</v>
      </c>
      <c r="DR187" t="e">
        <f>Raw!M184+"h_l!)&amp;s"</f>
        <v>#VALUE!</v>
      </c>
      <c r="DS187" t="e">
        <f>Raw!N184+"h_l!)&amp;t"</f>
        <v>#VALUE!</v>
      </c>
      <c r="DT187" t="e">
        <f>Raw!O184+"h_l!)&amp;u"</f>
        <v>#VALUE!</v>
      </c>
      <c r="DU187" t="e">
        <f>Raw!P184+"h_l!)&amp;v"</f>
        <v>#VALUE!</v>
      </c>
      <c r="DV187" t="e">
        <f>Raw!Q184+"h_l!)&amp;w"</f>
        <v>#VALUE!</v>
      </c>
      <c r="DW187" t="e">
        <f>Raw!R184+"h_l!)&amp;x"</f>
        <v>#VALUE!</v>
      </c>
      <c r="DX187" t="e">
        <f>Raw!S184+"h_l!)&amp;y"</f>
        <v>#VALUE!</v>
      </c>
      <c r="DY187" t="e">
        <f>Raw!T184+"h_l!)&amp;z"</f>
        <v>#VALUE!</v>
      </c>
      <c r="DZ187" t="e">
        <f>Raw!U184+"h_l!)&amp;{"</f>
        <v>#VALUE!</v>
      </c>
      <c r="EA187" t="e">
        <f>Raw!V184+"h_l!)&amp;|"</f>
        <v>#VALUE!</v>
      </c>
      <c r="EB187" t="e">
        <f>Raw!W184+"h_l!)&amp;}"</f>
        <v>#VALUE!</v>
      </c>
      <c r="EC187" t="e">
        <f>Raw!A185+"h_l!)&amp;~"</f>
        <v>#VALUE!</v>
      </c>
      <c r="ED187" t="e">
        <f>Raw!B185+"h_l!)'#"</f>
        <v>#VALUE!</v>
      </c>
      <c r="EE187" t="e">
        <f>Raw!C185+"h_l!)'$"</f>
        <v>#VALUE!</v>
      </c>
      <c r="EF187" t="e">
        <f>Raw!D185+"h_l!)'%"</f>
        <v>#VALUE!</v>
      </c>
      <c r="EG187" t="e">
        <f>Raw!E185+"h_l!)'&amp;"</f>
        <v>#VALUE!</v>
      </c>
      <c r="EH187" t="e">
        <f>Raw!#REF!+"h_l!)''"</f>
        <v>#REF!</v>
      </c>
      <c r="EI187" t="e">
        <f>Raw!G185+"h_l!)'("</f>
        <v>#VALUE!</v>
      </c>
      <c r="EJ187" t="e">
        <f>Raw!H185+"h_l!)')"</f>
        <v>#VALUE!</v>
      </c>
      <c r="EK187" t="e">
        <f>Raw!I185+"h_l!)'."</f>
        <v>#VALUE!</v>
      </c>
      <c r="EL187" t="e">
        <f>Raw!J185+"h_l!)'/"</f>
        <v>#VALUE!</v>
      </c>
      <c r="EM187" t="e">
        <f>Raw!K185+"h_l!)'0"</f>
        <v>#VALUE!</v>
      </c>
      <c r="EN187" t="e">
        <f>Raw!L185+"h_l!)'1"</f>
        <v>#VALUE!</v>
      </c>
      <c r="EO187" t="e">
        <f>Raw!M185+"h_l!)'2"</f>
        <v>#VALUE!</v>
      </c>
      <c r="EP187" t="e">
        <f>Raw!N185+"h_l!)'3"</f>
        <v>#VALUE!</v>
      </c>
      <c r="EQ187" t="e">
        <f>Raw!O185+"h_l!)'4"</f>
        <v>#VALUE!</v>
      </c>
      <c r="ER187" t="e">
        <f>Raw!P185+"h_l!)'5"</f>
        <v>#VALUE!</v>
      </c>
      <c r="ES187" t="e">
        <f>Raw!Q185+"h_l!)'6"</f>
        <v>#VALUE!</v>
      </c>
      <c r="ET187" t="e">
        <f>Raw!R185+"h_l!)'7"</f>
        <v>#VALUE!</v>
      </c>
      <c r="EU187" t="e">
        <f>Raw!S185+"h_l!)'8"</f>
        <v>#VALUE!</v>
      </c>
      <c r="EV187" t="e">
        <f>Raw!T185+"h_l!)'9"</f>
        <v>#VALUE!</v>
      </c>
      <c r="EW187" t="e">
        <f>Raw!U185+"h_l!)':"</f>
        <v>#VALUE!</v>
      </c>
      <c r="EX187" t="e">
        <f>Raw!V185+"h_l!)';"</f>
        <v>#VALUE!</v>
      </c>
      <c r="EY187" t="e">
        <f>Raw!W185+"h_l!)'&lt;"</f>
        <v>#VALUE!</v>
      </c>
      <c r="EZ187" t="e">
        <f>Raw!A186+"h_l!)'="</f>
        <v>#VALUE!</v>
      </c>
      <c r="FA187" t="e">
        <f>Raw!B186+"h_l!)'&gt;"</f>
        <v>#VALUE!</v>
      </c>
      <c r="FB187" t="e">
        <f>Raw!C186+"h_l!)'?"</f>
        <v>#VALUE!</v>
      </c>
      <c r="FC187" t="e">
        <f>Raw!D186+"h_l!)'@"</f>
        <v>#VALUE!</v>
      </c>
      <c r="FD187" t="e">
        <f>Raw!E186+"h_l!)'A"</f>
        <v>#VALUE!</v>
      </c>
      <c r="FE187" t="e">
        <f>Raw!#REF!+"h_l!)'B"</f>
        <v>#REF!</v>
      </c>
      <c r="FF187" t="e">
        <f>Raw!G186+"h_l!)'C"</f>
        <v>#VALUE!</v>
      </c>
      <c r="FG187" t="e">
        <f>Raw!H186+"h_l!)'D"</f>
        <v>#VALUE!</v>
      </c>
      <c r="FH187" t="e">
        <f>Raw!I186+"h_l!)'E"</f>
        <v>#VALUE!</v>
      </c>
      <c r="FI187" t="e">
        <f>Raw!J186+"h_l!)'F"</f>
        <v>#VALUE!</v>
      </c>
      <c r="FJ187" t="e">
        <f>Raw!K186+"h_l!)'G"</f>
        <v>#VALUE!</v>
      </c>
      <c r="FK187" t="e">
        <f>Raw!L186+"h_l!)'H"</f>
        <v>#VALUE!</v>
      </c>
      <c r="FL187" t="e">
        <f>Raw!M186+"h_l!)'I"</f>
        <v>#VALUE!</v>
      </c>
      <c r="FM187" t="e">
        <f>Raw!N186+"h_l!)'J"</f>
        <v>#VALUE!</v>
      </c>
      <c r="FN187" t="e">
        <f>Raw!O186+"h_l!)'K"</f>
        <v>#VALUE!</v>
      </c>
      <c r="FO187" t="e">
        <f>Raw!P186+"h_l!)'L"</f>
        <v>#VALUE!</v>
      </c>
      <c r="FP187" t="e">
        <f>Raw!Q186+"h_l!)'M"</f>
        <v>#VALUE!</v>
      </c>
      <c r="FQ187" t="e">
        <f>Raw!R186+"h_l!)'N"</f>
        <v>#VALUE!</v>
      </c>
      <c r="FR187" t="e">
        <f>Raw!S186+"h_l!)'O"</f>
        <v>#VALUE!</v>
      </c>
      <c r="FS187" t="e">
        <f>Raw!T186+"h_l!)'P"</f>
        <v>#VALUE!</v>
      </c>
      <c r="FT187" t="e">
        <f>Raw!U186+"h_l!)'Q"</f>
        <v>#VALUE!</v>
      </c>
      <c r="FU187" t="e">
        <f>Raw!V186+"h_l!)'R"</f>
        <v>#VALUE!</v>
      </c>
      <c r="FV187" t="e">
        <f>Raw!W186+"h_l!)'S"</f>
        <v>#VALUE!</v>
      </c>
      <c r="FW187" t="e">
        <f>Raw!A187+"h_l!)'T"</f>
        <v>#VALUE!</v>
      </c>
      <c r="FX187" t="e">
        <f>Raw!B187+"h_l!)'U"</f>
        <v>#VALUE!</v>
      </c>
      <c r="FY187" t="e">
        <f>Raw!C187+"h_l!)'V"</f>
        <v>#VALUE!</v>
      </c>
      <c r="FZ187" t="e">
        <f>Raw!D187+"h_l!)'W"</f>
        <v>#VALUE!</v>
      </c>
      <c r="GA187" t="e">
        <f>Raw!E187+"h_l!)'X"</f>
        <v>#VALUE!</v>
      </c>
      <c r="GB187" t="e">
        <f>Raw!#REF!+"h_l!)'Y"</f>
        <v>#REF!</v>
      </c>
      <c r="GC187" t="e">
        <f>Raw!G187+"h_l!)'Z"</f>
        <v>#VALUE!</v>
      </c>
      <c r="GD187" t="e">
        <f>Raw!H187+"h_l!)'["</f>
        <v>#VALUE!</v>
      </c>
      <c r="GE187" t="e">
        <f>Raw!I187+"h_l!)'\"</f>
        <v>#VALUE!</v>
      </c>
      <c r="GF187" t="e">
        <f>Raw!J187+"h_l!)']"</f>
        <v>#VALUE!</v>
      </c>
      <c r="GG187" t="e">
        <f>Raw!K187+"h_l!)'^"</f>
        <v>#VALUE!</v>
      </c>
      <c r="GH187" t="e">
        <f>Raw!L187+"h_l!)'_"</f>
        <v>#VALUE!</v>
      </c>
      <c r="GI187" t="e">
        <f>Raw!M187+"h_l!)'`"</f>
        <v>#VALUE!</v>
      </c>
      <c r="GJ187" t="e">
        <f>Raw!N187+"h_l!)'a"</f>
        <v>#VALUE!</v>
      </c>
      <c r="GK187" t="e">
        <f>Raw!O187+"h_l!)'b"</f>
        <v>#VALUE!</v>
      </c>
      <c r="GL187" t="e">
        <f>Raw!P187+"h_l!)'c"</f>
        <v>#VALUE!</v>
      </c>
      <c r="GM187" t="e">
        <f>Raw!Q187+"h_l!)'d"</f>
        <v>#VALUE!</v>
      </c>
      <c r="GN187" t="e">
        <f>Raw!R187+"h_l!)'e"</f>
        <v>#VALUE!</v>
      </c>
      <c r="GO187" t="e">
        <f>Raw!S187+"h_l!)'f"</f>
        <v>#VALUE!</v>
      </c>
      <c r="GP187" t="e">
        <f>Raw!T187+"h_l!)'g"</f>
        <v>#VALUE!</v>
      </c>
      <c r="GQ187" t="e">
        <f>Raw!U187+"h_l!)'h"</f>
        <v>#VALUE!</v>
      </c>
      <c r="GR187" t="e">
        <f>Raw!V187+"h_l!)'i"</f>
        <v>#VALUE!</v>
      </c>
      <c r="GS187" t="e">
        <f>Raw!W187+"h_l!)'j"</f>
        <v>#VALUE!</v>
      </c>
      <c r="GT187" t="e">
        <f>Raw!A188+"h_l!)'k"</f>
        <v>#VALUE!</v>
      </c>
      <c r="GU187" t="e">
        <f>Raw!B188+"h_l!)'l"</f>
        <v>#VALUE!</v>
      </c>
      <c r="GV187" t="e">
        <f>Raw!C188+"h_l!)'m"</f>
        <v>#VALUE!</v>
      </c>
      <c r="GW187" t="e">
        <f>Raw!D188+"h_l!)'n"</f>
        <v>#VALUE!</v>
      </c>
      <c r="GX187" t="e">
        <f>Raw!E188+"h_l!)'o"</f>
        <v>#VALUE!</v>
      </c>
      <c r="GY187" t="e">
        <f>Raw!#REF!+"h_l!)'p"</f>
        <v>#REF!</v>
      </c>
      <c r="GZ187" t="e">
        <f>Raw!G188+"h_l!)'q"</f>
        <v>#VALUE!</v>
      </c>
      <c r="HA187" t="e">
        <f>Raw!H188+"h_l!)'r"</f>
        <v>#VALUE!</v>
      </c>
      <c r="HB187" t="e">
        <f>Raw!I188+"h_l!)'s"</f>
        <v>#VALUE!</v>
      </c>
      <c r="HC187" t="e">
        <f>Raw!J188+"h_l!)'t"</f>
        <v>#VALUE!</v>
      </c>
      <c r="HD187" t="e">
        <f>Raw!K188+"h_l!)'u"</f>
        <v>#VALUE!</v>
      </c>
      <c r="HE187" t="e">
        <f>Raw!L188+"h_l!)'v"</f>
        <v>#VALUE!</v>
      </c>
      <c r="HF187" t="e">
        <f>Raw!M188+"h_l!)'w"</f>
        <v>#VALUE!</v>
      </c>
      <c r="HG187" t="e">
        <f>Raw!N188+"h_l!)'x"</f>
        <v>#VALUE!</v>
      </c>
      <c r="HH187" t="e">
        <f>Raw!O188+"h_l!)'y"</f>
        <v>#VALUE!</v>
      </c>
      <c r="HI187" t="e">
        <f>Raw!P188+"h_l!)'z"</f>
        <v>#VALUE!</v>
      </c>
      <c r="HJ187" t="e">
        <f>Raw!Q188+"h_l!)'{"</f>
        <v>#VALUE!</v>
      </c>
      <c r="HK187" t="e">
        <f>Raw!R188+"h_l!)'|"</f>
        <v>#VALUE!</v>
      </c>
      <c r="HL187" t="e">
        <f>Raw!S188+"h_l!)'}"</f>
        <v>#VALUE!</v>
      </c>
      <c r="HM187" t="e">
        <f>Raw!T188+"h_l!)'~"</f>
        <v>#VALUE!</v>
      </c>
      <c r="HN187" t="e">
        <f>Raw!U188+"h_l!)(#"</f>
        <v>#VALUE!</v>
      </c>
      <c r="HO187" t="e">
        <f>Raw!V188+"h_l!)($"</f>
        <v>#VALUE!</v>
      </c>
      <c r="HP187" t="e">
        <f>Raw!W188+"h_l!)(%"</f>
        <v>#VALUE!</v>
      </c>
      <c r="HQ187" t="e">
        <f>Raw!A189+"h_l!)(&amp;"</f>
        <v>#VALUE!</v>
      </c>
      <c r="HR187" t="e">
        <f>Raw!B189+"h_l!)('"</f>
        <v>#VALUE!</v>
      </c>
      <c r="HS187" t="e">
        <f>Raw!C189+"h_l!)(("</f>
        <v>#VALUE!</v>
      </c>
      <c r="HT187" t="e">
        <f>Raw!D189+"h_l!)()"</f>
        <v>#VALUE!</v>
      </c>
      <c r="HU187" t="e">
        <f>Raw!E189+"h_l!)(."</f>
        <v>#VALUE!</v>
      </c>
      <c r="HV187" t="e">
        <f>Raw!#REF!+"h_l!)(/"</f>
        <v>#REF!</v>
      </c>
      <c r="HW187" t="e">
        <f>Raw!G189+"h_l!)(0"</f>
        <v>#VALUE!</v>
      </c>
      <c r="HX187" t="e">
        <f>Raw!H189+"h_l!)(1"</f>
        <v>#VALUE!</v>
      </c>
      <c r="HY187" t="e">
        <f>Raw!I189+"h_l!)(2"</f>
        <v>#VALUE!</v>
      </c>
      <c r="HZ187" t="e">
        <f>Raw!J189+"h_l!)(3"</f>
        <v>#VALUE!</v>
      </c>
      <c r="IA187" t="e">
        <f>Raw!K189+"h_l!)(4"</f>
        <v>#VALUE!</v>
      </c>
      <c r="IB187" t="e">
        <f>Raw!L189+"h_l!)(5"</f>
        <v>#VALUE!</v>
      </c>
      <c r="IC187" t="e">
        <f>Raw!M189+"h_l!)(6"</f>
        <v>#VALUE!</v>
      </c>
      <c r="ID187" t="e">
        <f>Raw!N189+"h_l!)(7"</f>
        <v>#VALUE!</v>
      </c>
      <c r="IE187" t="e">
        <f>Raw!O189+"h_l!)(8"</f>
        <v>#VALUE!</v>
      </c>
      <c r="IF187" t="e">
        <f>Raw!P189+"h_l!)(9"</f>
        <v>#VALUE!</v>
      </c>
      <c r="IG187" t="e">
        <f>Raw!Q189+"h_l!)(:"</f>
        <v>#VALUE!</v>
      </c>
      <c r="IH187" t="e">
        <f>Raw!R189+"h_l!)(;"</f>
        <v>#VALUE!</v>
      </c>
      <c r="II187" t="e">
        <f>Raw!S189+"h_l!)(&lt;"</f>
        <v>#VALUE!</v>
      </c>
      <c r="IJ187" t="e">
        <f>Raw!T189+"h_l!)(="</f>
        <v>#VALUE!</v>
      </c>
      <c r="IK187" t="e">
        <f>Raw!U189+"h_l!)(&gt;"</f>
        <v>#VALUE!</v>
      </c>
      <c r="IL187" t="e">
        <f>Raw!V189+"h_l!)(?"</f>
        <v>#VALUE!</v>
      </c>
      <c r="IM187" t="e">
        <f>Raw!W189+"h_l!)(@"</f>
        <v>#VALUE!</v>
      </c>
      <c r="IN187" t="e">
        <f>Raw!A190+"h_l!)(A"</f>
        <v>#VALUE!</v>
      </c>
      <c r="IO187" t="e">
        <f>Raw!B190+"h_l!)(B"</f>
        <v>#VALUE!</v>
      </c>
      <c r="IP187" t="e">
        <f>Raw!C190+"h_l!)(C"</f>
        <v>#VALUE!</v>
      </c>
      <c r="IQ187" t="e">
        <f>Raw!D190+"h_l!)(D"</f>
        <v>#VALUE!</v>
      </c>
      <c r="IR187" t="e">
        <f>Raw!E190+"h_l!)(E"</f>
        <v>#VALUE!</v>
      </c>
      <c r="IS187" t="e">
        <f>Raw!#REF!+"h_l!)(F"</f>
        <v>#REF!</v>
      </c>
      <c r="IT187" t="e">
        <f>Raw!G190+"h_l!)(G"</f>
        <v>#VALUE!</v>
      </c>
      <c r="IU187" t="e">
        <f>Raw!H190+"h_l!)(H"</f>
        <v>#VALUE!</v>
      </c>
      <c r="IV187" t="e">
        <f>Raw!I190+"h_l!)(I"</f>
        <v>#VALUE!</v>
      </c>
    </row>
    <row r="188" spans="6:256" x14ac:dyDescent="0.25">
      <c r="F188" t="e">
        <f>Raw!J190+"h_l!)(J"</f>
        <v>#VALUE!</v>
      </c>
      <c r="G188" t="e">
        <f>Raw!K190+"h_l!)(K"</f>
        <v>#VALUE!</v>
      </c>
      <c r="H188" t="e">
        <f>Raw!L190+"h_l!)(L"</f>
        <v>#VALUE!</v>
      </c>
      <c r="I188" t="e">
        <f>Raw!M190+"h_l!)(M"</f>
        <v>#VALUE!</v>
      </c>
      <c r="J188" t="e">
        <f>Raw!N190+"h_l!)(N"</f>
        <v>#VALUE!</v>
      </c>
      <c r="K188" t="e">
        <f>Raw!O190+"h_l!)(O"</f>
        <v>#VALUE!</v>
      </c>
      <c r="L188" t="e">
        <f>Raw!P190+"h_l!)(P"</f>
        <v>#VALUE!</v>
      </c>
      <c r="M188" t="e">
        <f>Raw!Q190+"h_l!)(Q"</f>
        <v>#VALUE!</v>
      </c>
      <c r="N188" t="e">
        <f>Raw!R190+"h_l!)(R"</f>
        <v>#VALUE!</v>
      </c>
      <c r="O188" t="e">
        <f>Raw!S190+"h_l!)(S"</f>
        <v>#VALUE!</v>
      </c>
      <c r="P188" t="e">
        <f>Raw!T190+"h_l!)(T"</f>
        <v>#VALUE!</v>
      </c>
      <c r="Q188" t="e">
        <f>Raw!U190+"h_l!)(U"</f>
        <v>#VALUE!</v>
      </c>
      <c r="R188" t="e">
        <f>Raw!V190+"h_l!)(V"</f>
        <v>#VALUE!</v>
      </c>
      <c r="S188" t="e">
        <f>Raw!W190+"h_l!)(W"</f>
        <v>#VALUE!</v>
      </c>
      <c r="T188" t="e">
        <f>Raw!A191+"h_l!)(X"</f>
        <v>#VALUE!</v>
      </c>
      <c r="U188" t="e">
        <f>Raw!B191+"h_l!)(Y"</f>
        <v>#VALUE!</v>
      </c>
      <c r="V188" t="e">
        <f>Raw!C191+"h_l!)(Z"</f>
        <v>#VALUE!</v>
      </c>
      <c r="W188" t="e">
        <f>Raw!D191+"h_l!)(["</f>
        <v>#VALUE!</v>
      </c>
      <c r="X188" t="e">
        <f>Raw!E191+"h_l!)(\"</f>
        <v>#VALUE!</v>
      </c>
      <c r="Y188" t="e">
        <f>Raw!#REF!+"h_l!)(]"</f>
        <v>#REF!</v>
      </c>
      <c r="Z188" t="e">
        <f>Raw!G191+"h_l!)(^"</f>
        <v>#VALUE!</v>
      </c>
      <c r="AA188" t="e">
        <f>Raw!H191+"h_l!)(_"</f>
        <v>#VALUE!</v>
      </c>
      <c r="AB188" t="e">
        <f>Raw!I191+"h_l!)(`"</f>
        <v>#VALUE!</v>
      </c>
      <c r="AC188" t="e">
        <f>Raw!J191+"h_l!)(a"</f>
        <v>#VALUE!</v>
      </c>
      <c r="AD188" t="e">
        <f>Raw!K191+"h_l!)(b"</f>
        <v>#VALUE!</v>
      </c>
      <c r="AE188" t="e">
        <f>Raw!L191+"h_l!)(c"</f>
        <v>#VALUE!</v>
      </c>
      <c r="AF188" t="e">
        <f>Raw!M191+"h_l!)(d"</f>
        <v>#VALUE!</v>
      </c>
      <c r="AG188" t="e">
        <f>Raw!N191+"h_l!)(e"</f>
        <v>#VALUE!</v>
      </c>
      <c r="AH188" t="e">
        <f>Raw!O191+"h_l!)(f"</f>
        <v>#VALUE!</v>
      </c>
      <c r="AI188" t="e">
        <f>Raw!P191+"h_l!)(g"</f>
        <v>#VALUE!</v>
      </c>
      <c r="AJ188" t="e">
        <f>Raw!Q191+"h_l!)(h"</f>
        <v>#VALUE!</v>
      </c>
      <c r="AK188" t="e">
        <f>Raw!R191+"h_l!)(i"</f>
        <v>#VALUE!</v>
      </c>
      <c r="AL188" t="e">
        <f>Raw!S191+"h_l!)(j"</f>
        <v>#VALUE!</v>
      </c>
      <c r="AM188" t="e">
        <f>Raw!T191+"h_l!)(k"</f>
        <v>#VALUE!</v>
      </c>
      <c r="AN188" t="e">
        <f>Raw!U191+"h_l!)(l"</f>
        <v>#VALUE!</v>
      </c>
      <c r="AO188" t="e">
        <f>Raw!V191+"h_l!)(m"</f>
        <v>#VALUE!</v>
      </c>
      <c r="AP188" t="e">
        <f>Raw!W191+"h_l!)(n"</f>
        <v>#VALUE!</v>
      </c>
      <c r="AQ188" t="e">
        <f>Raw!A192+"h_l!)(o"</f>
        <v>#VALUE!</v>
      </c>
      <c r="AR188" t="e">
        <f>Raw!B192+"h_l!)(p"</f>
        <v>#VALUE!</v>
      </c>
      <c r="AS188" t="e">
        <f>Raw!C192+"h_l!)(q"</f>
        <v>#VALUE!</v>
      </c>
      <c r="AT188" t="e">
        <f>Raw!D192+"h_l!)(r"</f>
        <v>#VALUE!</v>
      </c>
      <c r="AU188" t="e">
        <f>Raw!E192+"h_l!)(s"</f>
        <v>#VALUE!</v>
      </c>
      <c r="AV188" t="e">
        <f>Raw!#REF!+"h_l!)(t"</f>
        <v>#REF!</v>
      </c>
      <c r="AW188" t="e">
        <f>Raw!G192+"h_l!)(u"</f>
        <v>#VALUE!</v>
      </c>
      <c r="AX188" t="e">
        <f>Raw!H192+"h_l!)(v"</f>
        <v>#VALUE!</v>
      </c>
      <c r="AY188" t="e">
        <f>Raw!I192+"h_l!)(w"</f>
        <v>#VALUE!</v>
      </c>
      <c r="AZ188" t="e">
        <f>Raw!J192+"h_l!)(x"</f>
        <v>#VALUE!</v>
      </c>
      <c r="BA188" t="e">
        <f>Raw!K192+"h_l!)(y"</f>
        <v>#VALUE!</v>
      </c>
      <c r="BB188" t="e">
        <f>Raw!L192+"h_l!)(z"</f>
        <v>#VALUE!</v>
      </c>
      <c r="BC188" t="e">
        <f>Raw!M192+"h_l!)({"</f>
        <v>#VALUE!</v>
      </c>
      <c r="BD188" t="e">
        <f>Raw!N192+"h_l!)(|"</f>
        <v>#VALUE!</v>
      </c>
      <c r="BE188" t="e">
        <f>Raw!O192+"h_l!)(}"</f>
        <v>#VALUE!</v>
      </c>
      <c r="BF188" t="e">
        <f>Raw!P192+"h_l!)(~"</f>
        <v>#VALUE!</v>
      </c>
      <c r="BG188" t="e">
        <f>Raw!Q192+"h_l!))#"</f>
        <v>#VALUE!</v>
      </c>
      <c r="BH188" t="e">
        <f>Raw!R192+"h_l!))$"</f>
        <v>#VALUE!</v>
      </c>
      <c r="BI188" t="e">
        <f>Raw!S192+"h_l!))%"</f>
        <v>#VALUE!</v>
      </c>
      <c r="BJ188" t="e">
        <f>Raw!T192+"h_l!))&amp;"</f>
        <v>#VALUE!</v>
      </c>
      <c r="BK188" t="e">
        <f>Raw!U192+"h_l!))'"</f>
        <v>#VALUE!</v>
      </c>
      <c r="BL188" t="e">
        <f>Raw!V192+"h_l!))("</f>
        <v>#VALUE!</v>
      </c>
      <c r="BM188" t="e">
        <f>Raw!W192+"h_l!)))"</f>
        <v>#VALUE!</v>
      </c>
      <c r="BN188" t="e">
        <f>Raw!A193+"h_l!))."</f>
        <v>#VALUE!</v>
      </c>
      <c r="BO188" t="e">
        <f>Raw!B193+"h_l!))/"</f>
        <v>#VALUE!</v>
      </c>
      <c r="BP188" t="e">
        <f>Raw!C193+"h_l!))0"</f>
        <v>#VALUE!</v>
      </c>
      <c r="BQ188" t="e">
        <f>Raw!D193+"h_l!))1"</f>
        <v>#VALUE!</v>
      </c>
      <c r="BR188" t="e">
        <f>Raw!E193+"h_l!))2"</f>
        <v>#VALUE!</v>
      </c>
      <c r="BS188" t="e">
        <f>Raw!#REF!+"h_l!))3"</f>
        <v>#REF!</v>
      </c>
      <c r="BT188" t="e">
        <f>Raw!G193+"h_l!))4"</f>
        <v>#VALUE!</v>
      </c>
      <c r="BU188" t="e">
        <f>Raw!H193+"h_l!))5"</f>
        <v>#VALUE!</v>
      </c>
      <c r="BV188" t="e">
        <f>Raw!I193+"h_l!))6"</f>
        <v>#VALUE!</v>
      </c>
      <c r="BW188" t="e">
        <f>Raw!J193+"h_l!))7"</f>
        <v>#VALUE!</v>
      </c>
      <c r="BX188" t="e">
        <f>Raw!K193+"h_l!))8"</f>
        <v>#VALUE!</v>
      </c>
      <c r="BY188" t="e">
        <f>Raw!L193+"h_l!))9"</f>
        <v>#VALUE!</v>
      </c>
      <c r="BZ188" t="e">
        <f>Raw!M193+"h_l!)):"</f>
        <v>#VALUE!</v>
      </c>
      <c r="CA188" t="e">
        <f>Raw!N193+"h_l!));"</f>
        <v>#VALUE!</v>
      </c>
      <c r="CB188" t="e">
        <f>Raw!O193+"h_l!))&lt;"</f>
        <v>#VALUE!</v>
      </c>
      <c r="CC188" t="e">
        <f>Raw!P193+"h_l!))="</f>
        <v>#VALUE!</v>
      </c>
      <c r="CD188" t="e">
        <f>Raw!Q193+"h_l!))&gt;"</f>
        <v>#VALUE!</v>
      </c>
      <c r="CE188" t="e">
        <f>Raw!R193+"h_l!))?"</f>
        <v>#VALUE!</v>
      </c>
      <c r="CF188" t="e">
        <f>Raw!S193+"h_l!))@"</f>
        <v>#VALUE!</v>
      </c>
      <c r="CG188" t="e">
        <f>Raw!T193+"h_l!))A"</f>
        <v>#VALUE!</v>
      </c>
      <c r="CH188" t="e">
        <f>Raw!U193+"h_l!))B"</f>
        <v>#VALUE!</v>
      </c>
      <c r="CI188" t="e">
        <f>Raw!V193+"h_l!))C"</f>
        <v>#VALUE!</v>
      </c>
      <c r="CJ188" t="e">
        <f>Raw!W193+"h_l!))D"</f>
        <v>#VALUE!</v>
      </c>
      <c r="CK188" t="e">
        <f>Raw!A194+"h_l!))E"</f>
        <v>#VALUE!</v>
      </c>
      <c r="CL188" t="e">
        <f>Raw!B194+"h_l!))F"</f>
        <v>#VALUE!</v>
      </c>
      <c r="CM188" t="e">
        <f>Raw!C194+"h_l!))G"</f>
        <v>#VALUE!</v>
      </c>
      <c r="CN188" t="e">
        <f>Raw!D194+"h_l!))H"</f>
        <v>#VALUE!</v>
      </c>
      <c r="CO188" t="e">
        <f>Raw!E194+"h_l!))I"</f>
        <v>#VALUE!</v>
      </c>
      <c r="CP188" t="e">
        <f>Raw!#REF!+"h_l!))J"</f>
        <v>#REF!</v>
      </c>
      <c r="CQ188" t="e">
        <f>Raw!G194+"h_l!))K"</f>
        <v>#VALUE!</v>
      </c>
      <c r="CR188" t="e">
        <f>Raw!H194+"h_l!))L"</f>
        <v>#VALUE!</v>
      </c>
      <c r="CS188" t="e">
        <f>Raw!I194+"h_l!))M"</f>
        <v>#VALUE!</v>
      </c>
      <c r="CT188" t="e">
        <f>Raw!J194+"h_l!))N"</f>
        <v>#VALUE!</v>
      </c>
      <c r="CU188" t="e">
        <f>Raw!K194+"h_l!))O"</f>
        <v>#VALUE!</v>
      </c>
      <c r="CV188" t="e">
        <f>Raw!L194+"h_l!))P"</f>
        <v>#VALUE!</v>
      </c>
      <c r="CW188" t="e">
        <f>Raw!M194+"h_l!))Q"</f>
        <v>#VALUE!</v>
      </c>
      <c r="CX188" t="e">
        <f>Raw!N194+"h_l!))R"</f>
        <v>#VALUE!</v>
      </c>
      <c r="CY188" t="e">
        <f>Raw!O194+"h_l!))S"</f>
        <v>#VALUE!</v>
      </c>
      <c r="CZ188" t="e">
        <f>Raw!P194+"h_l!))T"</f>
        <v>#VALUE!</v>
      </c>
      <c r="DA188" t="e">
        <f>Raw!Q194+"h_l!))U"</f>
        <v>#VALUE!</v>
      </c>
      <c r="DB188" t="e">
        <f>Raw!R194+"h_l!))V"</f>
        <v>#VALUE!</v>
      </c>
      <c r="DC188" t="e">
        <f>Raw!S194+"h_l!))W"</f>
        <v>#VALUE!</v>
      </c>
      <c r="DD188" t="e">
        <f>Raw!T194+"h_l!))X"</f>
        <v>#VALUE!</v>
      </c>
      <c r="DE188" t="e">
        <f>Raw!U194+"h_l!))Y"</f>
        <v>#VALUE!</v>
      </c>
      <c r="DF188" t="e">
        <f>Raw!V194+"h_l!))Z"</f>
        <v>#VALUE!</v>
      </c>
      <c r="DG188" t="e">
        <f>Raw!W194+"h_l!))["</f>
        <v>#VALUE!</v>
      </c>
      <c r="DH188" t="e">
        <f>Raw!A195+"h_l!))\"</f>
        <v>#VALUE!</v>
      </c>
      <c r="DI188" t="e">
        <f>Raw!B195+"h_l!))]"</f>
        <v>#VALUE!</v>
      </c>
      <c r="DJ188" t="e">
        <f>Raw!C195+"h_l!))^"</f>
        <v>#VALUE!</v>
      </c>
      <c r="DK188" t="e">
        <f>Raw!D195+"h_l!))_"</f>
        <v>#VALUE!</v>
      </c>
      <c r="DL188" t="e">
        <f>Raw!E195+"h_l!))`"</f>
        <v>#VALUE!</v>
      </c>
      <c r="DM188" t="e">
        <f>Raw!#REF!+"h_l!))a"</f>
        <v>#REF!</v>
      </c>
      <c r="DN188" t="e">
        <f>Raw!G195+"h_l!))b"</f>
        <v>#VALUE!</v>
      </c>
      <c r="DO188" t="e">
        <f>Raw!H195+"h_l!))c"</f>
        <v>#VALUE!</v>
      </c>
      <c r="DP188" t="e">
        <f>Raw!I195+"h_l!))d"</f>
        <v>#VALUE!</v>
      </c>
      <c r="DQ188" t="e">
        <f>Raw!J195+"h_l!))e"</f>
        <v>#VALUE!</v>
      </c>
      <c r="DR188" t="e">
        <f>Raw!K195+"h_l!))f"</f>
        <v>#VALUE!</v>
      </c>
      <c r="DS188" t="e">
        <f>Raw!L195+"h_l!))g"</f>
        <v>#VALUE!</v>
      </c>
      <c r="DT188" t="e">
        <f>Raw!M195+"h_l!))h"</f>
        <v>#VALUE!</v>
      </c>
      <c r="DU188" t="e">
        <f>Raw!N195+"h_l!))i"</f>
        <v>#VALUE!</v>
      </c>
      <c r="DV188" t="e">
        <f>Raw!O195+"h_l!))j"</f>
        <v>#VALUE!</v>
      </c>
      <c r="DW188" t="e">
        <f>Raw!P195+"h_l!))k"</f>
        <v>#VALUE!</v>
      </c>
      <c r="DX188" t="e">
        <f>Raw!Q195+"h_l!))l"</f>
        <v>#VALUE!</v>
      </c>
      <c r="DY188" t="e">
        <f>Raw!R195+"h_l!))m"</f>
        <v>#VALUE!</v>
      </c>
      <c r="DZ188" t="e">
        <f>Raw!S195+"h_l!))n"</f>
        <v>#VALUE!</v>
      </c>
      <c r="EA188" t="e">
        <f>Raw!T195+"h_l!))o"</f>
        <v>#VALUE!</v>
      </c>
      <c r="EB188" t="e">
        <f>Raw!U195+"h_l!))p"</f>
        <v>#VALUE!</v>
      </c>
      <c r="EC188" t="e">
        <f>Raw!V195+"h_l!))q"</f>
        <v>#VALUE!</v>
      </c>
      <c r="ED188" t="e">
        <f>Raw!W195+"h_l!))r"</f>
        <v>#VALUE!</v>
      </c>
      <c r="EE188" t="e">
        <f>Raw!A196+"h_l!))s"</f>
        <v>#VALUE!</v>
      </c>
      <c r="EF188" t="e">
        <f>Raw!B196+"h_l!))t"</f>
        <v>#VALUE!</v>
      </c>
      <c r="EG188" t="e">
        <f>Raw!C196+"h_l!))u"</f>
        <v>#VALUE!</v>
      </c>
      <c r="EH188" t="e">
        <f>Raw!D196+"h_l!))v"</f>
        <v>#VALUE!</v>
      </c>
      <c r="EI188" t="e">
        <f>Raw!E196+"h_l!))w"</f>
        <v>#VALUE!</v>
      </c>
      <c r="EJ188" t="e">
        <f>Raw!#REF!+"h_l!))x"</f>
        <v>#REF!</v>
      </c>
      <c r="EK188" t="e">
        <f>Raw!G196+"h_l!))y"</f>
        <v>#VALUE!</v>
      </c>
      <c r="EL188" t="e">
        <f>Raw!H196+"h_l!))z"</f>
        <v>#VALUE!</v>
      </c>
      <c r="EM188" t="e">
        <f>Raw!I196+"h_l!)){"</f>
        <v>#VALUE!</v>
      </c>
      <c r="EN188" t="e">
        <f>Raw!J196+"h_l!))|"</f>
        <v>#VALUE!</v>
      </c>
      <c r="EO188" t="e">
        <f>Raw!K196+"h_l!))}"</f>
        <v>#VALUE!</v>
      </c>
      <c r="EP188" t="e">
        <f>Raw!L196+"h_l!))~"</f>
        <v>#VALUE!</v>
      </c>
      <c r="EQ188" t="e">
        <f>Raw!M196+"h_l!).#"</f>
        <v>#VALUE!</v>
      </c>
      <c r="ER188" t="e">
        <f>Raw!N196+"h_l!).$"</f>
        <v>#VALUE!</v>
      </c>
      <c r="ES188" t="e">
        <f>Raw!O196+"h_l!).%"</f>
        <v>#VALUE!</v>
      </c>
      <c r="ET188" t="e">
        <f>Raw!P196+"h_l!).&amp;"</f>
        <v>#VALUE!</v>
      </c>
      <c r="EU188" t="e">
        <f>Raw!Q196+"h_l!).'"</f>
        <v>#VALUE!</v>
      </c>
      <c r="EV188" t="e">
        <f>Raw!R196+"h_l!).("</f>
        <v>#VALUE!</v>
      </c>
      <c r="EW188" t="e">
        <f>Raw!S196+"h_l!).)"</f>
        <v>#VALUE!</v>
      </c>
      <c r="EX188" t="e">
        <f>Raw!T196+"h_l!).."</f>
        <v>#VALUE!</v>
      </c>
      <c r="EY188" t="e">
        <f>Raw!U196+"h_l!)./"</f>
        <v>#VALUE!</v>
      </c>
      <c r="EZ188" t="e">
        <f>Raw!V196+"h_l!).0"</f>
        <v>#VALUE!</v>
      </c>
      <c r="FA188" t="e">
        <f>Raw!W196+"h_l!).1"</f>
        <v>#VALUE!</v>
      </c>
      <c r="FB188" t="e">
        <f>Raw!A197+"h_l!).2"</f>
        <v>#VALUE!</v>
      </c>
      <c r="FC188" t="e">
        <f>Raw!B197+"h_l!).3"</f>
        <v>#VALUE!</v>
      </c>
      <c r="FD188" t="e">
        <f>Raw!C197+"h_l!).4"</f>
        <v>#VALUE!</v>
      </c>
      <c r="FE188" t="e">
        <f>Raw!D197+"h_l!).5"</f>
        <v>#VALUE!</v>
      </c>
      <c r="FF188" t="e">
        <f>Raw!E197+"h_l!).6"</f>
        <v>#VALUE!</v>
      </c>
      <c r="FG188" t="e">
        <f>Raw!#REF!+"h_l!).7"</f>
        <v>#REF!</v>
      </c>
      <c r="FH188" t="e">
        <f>Raw!G197+"h_l!).8"</f>
        <v>#VALUE!</v>
      </c>
      <c r="FI188" t="e">
        <f>Raw!H197+"h_l!).9"</f>
        <v>#VALUE!</v>
      </c>
      <c r="FJ188" t="e">
        <f>Raw!I197+"h_l!).:"</f>
        <v>#VALUE!</v>
      </c>
      <c r="FK188" t="e">
        <f>Raw!J197+"h_l!).;"</f>
        <v>#VALUE!</v>
      </c>
      <c r="FL188" t="e">
        <f>Raw!K197+"h_l!).&lt;"</f>
        <v>#VALUE!</v>
      </c>
      <c r="FM188" t="e">
        <f>Raw!L197+"h_l!).="</f>
        <v>#VALUE!</v>
      </c>
      <c r="FN188" t="e">
        <f>Raw!M197+"h_l!).&gt;"</f>
        <v>#VALUE!</v>
      </c>
      <c r="FO188" t="e">
        <f>Raw!N197+"h_l!).?"</f>
        <v>#VALUE!</v>
      </c>
      <c r="FP188" t="e">
        <f>Raw!O197+"h_l!).@"</f>
        <v>#VALUE!</v>
      </c>
      <c r="FQ188" t="e">
        <f>Raw!P197+"h_l!).A"</f>
        <v>#VALUE!</v>
      </c>
      <c r="FR188" t="e">
        <f>Raw!Q197+"h_l!).B"</f>
        <v>#VALUE!</v>
      </c>
      <c r="FS188" t="e">
        <f>Raw!R197+"h_l!).C"</f>
        <v>#VALUE!</v>
      </c>
      <c r="FT188" t="e">
        <f>Raw!S197+"h_l!).D"</f>
        <v>#VALUE!</v>
      </c>
      <c r="FU188" t="e">
        <f>Raw!T197+"h_l!).E"</f>
        <v>#VALUE!</v>
      </c>
      <c r="FV188" t="e">
        <f>Raw!U197+"h_l!).F"</f>
        <v>#VALUE!</v>
      </c>
      <c r="FW188" t="e">
        <f>Raw!V197+"h_l!).G"</f>
        <v>#VALUE!</v>
      </c>
      <c r="FX188" t="e">
        <f>Raw!W197+"h_l!).H"</f>
        <v>#VALUE!</v>
      </c>
      <c r="FY188" t="e">
        <f>Raw!A198+"h_l!).I"</f>
        <v>#VALUE!</v>
      </c>
      <c r="FZ188" t="e">
        <f>Raw!B198+"h_l!).J"</f>
        <v>#VALUE!</v>
      </c>
      <c r="GA188" t="e">
        <f>Raw!C198+"h_l!).K"</f>
        <v>#VALUE!</v>
      </c>
      <c r="GB188" t="e">
        <f>Raw!D198+"h_l!).L"</f>
        <v>#VALUE!</v>
      </c>
      <c r="GC188" t="e">
        <f>Raw!E198+"h_l!).M"</f>
        <v>#VALUE!</v>
      </c>
      <c r="GD188" t="e">
        <f>Raw!#REF!+"h_l!).N"</f>
        <v>#REF!</v>
      </c>
      <c r="GE188" t="e">
        <f>Raw!G198+"h_l!).O"</f>
        <v>#VALUE!</v>
      </c>
      <c r="GF188" t="e">
        <f>Raw!H198+"h_l!).P"</f>
        <v>#VALUE!</v>
      </c>
      <c r="GG188" t="e">
        <f>Raw!I198+"h_l!).Q"</f>
        <v>#VALUE!</v>
      </c>
      <c r="GH188" t="e">
        <f>Raw!J198+"h_l!).R"</f>
        <v>#VALUE!</v>
      </c>
      <c r="GI188" t="e">
        <f>Raw!K198+"h_l!).S"</f>
        <v>#VALUE!</v>
      </c>
      <c r="GJ188" t="e">
        <f>Raw!L198+"h_l!).T"</f>
        <v>#VALUE!</v>
      </c>
      <c r="GK188" t="e">
        <f>Raw!M198+"h_l!).U"</f>
        <v>#VALUE!</v>
      </c>
      <c r="GL188" t="e">
        <f>Raw!N198+"h_l!).V"</f>
        <v>#VALUE!</v>
      </c>
      <c r="GM188" t="e">
        <f>Raw!O198+"h_l!).W"</f>
        <v>#VALUE!</v>
      </c>
      <c r="GN188" t="e">
        <f>Raw!P198+"h_l!).X"</f>
        <v>#VALUE!</v>
      </c>
      <c r="GO188" t="e">
        <f>Raw!Q198+"h_l!).Y"</f>
        <v>#VALUE!</v>
      </c>
      <c r="GP188" t="e">
        <f>Raw!R198+"h_l!).Z"</f>
        <v>#VALUE!</v>
      </c>
      <c r="GQ188" t="e">
        <f>Raw!S198+"h_l!).["</f>
        <v>#VALUE!</v>
      </c>
      <c r="GR188" t="e">
        <f>Raw!T198+"h_l!).\"</f>
        <v>#VALUE!</v>
      </c>
      <c r="GS188" t="e">
        <f>Raw!U198+"h_l!).]"</f>
        <v>#VALUE!</v>
      </c>
      <c r="GT188" t="e">
        <f>Raw!V198+"h_l!).^"</f>
        <v>#VALUE!</v>
      </c>
      <c r="GU188" t="e">
        <f>Raw!W198+"h_l!)._"</f>
        <v>#VALUE!</v>
      </c>
      <c r="GV188" t="e">
        <f>Raw!A199+"h_l!).`"</f>
        <v>#VALUE!</v>
      </c>
      <c r="GW188" t="e">
        <f>Raw!B199+"h_l!).a"</f>
        <v>#VALUE!</v>
      </c>
      <c r="GX188" t="e">
        <f>Raw!C199+"h_l!).b"</f>
        <v>#VALUE!</v>
      </c>
      <c r="GY188" t="e">
        <f>Raw!D199+"h_l!).c"</f>
        <v>#VALUE!</v>
      </c>
      <c r="GZ188" t="e">
        <f>Raw!E199+"h_l!).d"</f>
        <v>#VALUE!</v>
      </c>
      <c r="HA188" t="e">
        <f>Raw!#REF!+"h_l!).e"</f>
        <v>#REF!</v>
      </c>
      <c r="HB188" t="e">
        <f>Raw!G199+"h_l!).f"</f>
        <v>#VALUE!</v>
      </c>
      <c r="HC188" t="e">
        <f>Raw!H199+"h_l!).g"</f>
        <v>#VALUE!</v>
      </c>
      <c r="HD188" t="e">
        <f>Raw!I199+"h_l!).h"</f>
        <v>#VALUE!</v>
      </c>
      <c r="HE188" t="e">
        <f>Raw!J199+"h_l!).i"</f>
        <v>#VALUE!</v>
      </c>
      <c r="HF188" t="e">
        <f>Raw!K199+"h_l!).j"</f>
        <v>#VALUE!</v>
      </c>
      <c r="HG188" t="e">
        <f>Raw!L199+"h_l!).k"</f>
        <v>#VALUE!</v>
      </c>
      <c r="HH188" t="e">
        <f>Raw!M199+"h_l!).l"</f>
        <v>#VALUE!</v>
      </c>
      <c r="HI188" t="e">
        <f>Raw!N199+"h_l!).m"</f>
        <v>#VALUE!</v>
      </c>
      <c r="HJ188" t="e">
        <f>Raw!O199+"h_l!).n"</f>
        <v>#VALUE!</v>
      </c>
      <c r="HK188" t="e">
        <f>Raw!P199+"h_l!).o"</f>
        <v>#VALUE!</v>
      </c>
      <c r="HL188" t="e">
        <f>Raw!Q199+"h_l!).p"</f>
        <v>#VALUE!</v>
      </c>
      <c r="HM188" t="e">
        <f>Raw!R199+"h_l!).q"</f>
        <v>#VALUE!</v>
      </c>
      <c r="HN188" t="e">
        <f>Raw!S199+"h_l!).r"</f>
        <v>#VALUE!</v>
      </c>
      <c r="HO188" t="e">
        <f>Raw!T199+"h_l!).s"</f>
        <v>#VALUE!</v>
      </c>
      <c r="HP188" t="e">
        <f>Raw!U199+"h_l!).t"</f>
        <v>#VALUE!</v>
      </c>
      <c r="HQ188" t="e">
        <f>Raw!V199+"h_l!).u"</f>
        <v>#VALUE!</v>
      </c>
      <c r="HR188" t="e">
        <f>Raw!W199+"h_l!).v"</f>
        <v>#VALUE!</v>
      </c>
      <c r="HS188" t="e">
        <f>Raw!A200+"h_l!).w"</f>
        <v>#VALUE!</v>
      </c>
      <c r="HT188" t="e">
        <f>Raw!B200+"h_l!).x"</f>
        <v>#VALUE!</v>
      </c>
      <c r="HU188" t="e">
        <f>Raw!C200+"h_l!).y"</f>
        <v>#VALUE!</v>
      </c>
      <c r="HV188" t="e">
        <f>Raw!D200+"h_l!).z"</f>
        <v>#VALUE!</v>
      </c>
      <c r="HW188" t="e">
        <f>Raw!E200+"h_l!).{"</f>
        <v>#VALUE!</v>
      </c>
      <c r="HX188" t="e">
        <f>Raw!#REF!+"h_l!).|"</f>
        <v>#REF!</v>
      </c>
      <c r="HY188" t="e">
        <f>Raw!G200+"h_l!).}"</f>
        <v>#VALUE!</v>
      </c>
      <c r="HZ188" t="e">
        <f>Raw!H200+"h_l!).~"</f>
        <v>#VALUE!</v>
      </c>
      <c r="IA188" t="e">
        <f>Raw!I200+"h_l!)/#"</f>
        <v>#VALUE!</v>
      </c>
      <c r="IB188" t="e">
        <f>Raw!J200+"h_l!)/$"</f>
        <v>#VALUE!</v>
      </c>
      <c r="IC188" t="e">
        <f>Raw!K200+"h_l!)/%"</f>
        <v>#VALUE!</v>
      </c>
      <c r="ID188" t="e">
        <f>Raw!L200+"h_l!)/&amp;"</f>
        <v>#VALUE!</v>
      </c>
      <c r="IE188" t="e">
        <f>Raw!M200+"h_l!)/'"</f>
        <v>#VALUE!</v>
      </c>
      <c r="IF188" t="e">
        <f>Raw!N200+"h_l!)/("</f>
        <v>#VALUE!</v>
      </c>
      <c r="IG188" t="e">
        <f>Raw!O200+"h_l!)/)"</f>
        <v>#VALUE!</v>
      </c>
      <c r="IH188" t="e">
        <f>Raw!P200+"h_l!)/."</f>
        <v>#VALUE!</v>
      </c>
      <c r="II188" t="e">
        <f>Raw!Q200+"h_l!)//"</f>
        <v>#VALUE!</v>
      </c>
      <c r="IJ188" t="e">
        <f>Raw!R200+"h_l!)/0"</f>
        <v>#VALUE!</v>
      </c>
      <c r="IK188" t="e">
        <f>Raw!S200+"h_l!)/1"</f>
        <v>#VALUE!</v>
      </c>
      <c r="IL188" t="e">
        <f>Raw!T200+"h_l!)/2"</f>
        <v>#VALUE!</v>
      </c>
      <c r="IM188" t="e">
        <f>Raw!U200+"h_l!)/3"</f>
        <v>#VALUE!</v>
      </c>
      <c r="IN188" t="e">
        <f>Raw!V200+"h_l!)/4"</f>
        <v>#VALUE!</v>
      </c>
      <c r="IO188" t="e">
        <f>Raw!W200+"h_l!)/5"</f>
        <v>#VALUE!</v>
      </c>
      <c r="IP188" t="e">
        <f>Raw!A201+"h_l!)/6"</f>
        <v>#VALUE!</v>
      </c>
      <c r="IQ188" t="e">
        <f>Raw!B201+"h_l!)/7"</f>
        <v>#VALUE!</v>
      </c>
      <c r="IR188" t="e">
        <f>Raw!C201+"h_l!)/8"</f>
        <v>#VALUE!</v>
      </c>
      <c r="IS188" t="e">
        <f>Raw!D201+"h_l!)/9"</f>
        <v>#VALUE!</v>
      </c>
      <c r="IT188" t="e">
        <f>Raw!E201+"h_l!)/:"</f>
        <v>#VALUE!</v>
      </c>
      <c r="IU188" t="e">
        <f>Raw!#REF!+"h_l!)/;"</f>
        <v>#REF!</v>
      </c>
      <c r="IV188" t="e">
        <f>Raw!G201+"h_l!)/&lt;"</f>
        <v>#VALUE!</v>
      </c>
    </row>
    <row r="189" spans="6:256" x14ac:dyDescent="0.25">
      <c r="F189" t="e">
        <f>Raw!H201+"h_l!)/="</f>
        <v>#VALUE!</v>
      </c>
      <c r="G189" t="e">
        <f>Raw!I201+"h_l!)/&gt;"</f>
        <v>#VALUE!</v>
      </c>
      <c r="H189" t="e">
        <f>Raw!J201+"h_l!)/?"</f>
        <v>#VALUE!</v>
      </c>
      <c r="I189" t="e">
        <f>Raw!K201+"h_l!)/@"</f>
        <v>#VALUE!</v>
      </c>
      <c r="J189" t="e">
        <f>Raw!L201+"h_l!)/A"</f>
        <v>#VALUE!</v>
      </c>
      <c r="K189" t="e">
        <f>Raw!M201+"h_l!)/B"</f>
        <v>#VALUE!</v>
      </c>
      <c r="L189" t="e">
        <f>Raw!N201+"h_l!)/C"</f>
        <v>#VALUE!</v>
      </c>
      <c r="M189" t="e">
        <f>Raw!O201+"h_l!)/D"</f>
        <v>#VALUE!</v>
      </c>
      <c r="N189" t="e">
        <f>Raw!P201+"h_l!)/E"</f>
        <v>#VALUE!</v>
      </c>
      <c r="O189" t="e">
        <f>Raw!Q201+"h_l!)/F"</f>
        <v>#VALUE!</v>
      </c>
      <c r="P189" t="e">
        <f>Raw!R201+"h_l!)/G"</f>
        <v>#VALUE!</v>
      </c>
      <c r="Q189" t="e">
        <f>Raw!S201+"h_l!)/H"</f>
        <v>#VALUE!</v>
      </c>
      <c r="R189" t="e">
        <f>Raw!T201+"h_l!)/I"</f>
        <v>#VALUE!</v>
      </c>
      <c r="S189" t="e">
        <f>Raw!U201+"h_l!)/J"</f>
        <v>#VALUE!</v>
      </c>
      <c r="T189" t="e">
        <f>Raw!V201+"h_l!)/K"</f>
        <v>#VALUE!</v>
      </c>
      <c r="U189" t="e">
        <f>Raw!W201+"h_l!)/L"</f>
        <v>#VALUE!</v>
      </c>
      <c r="V189" t="e">
        <f>Raw!A202+"h_l!)/M"</f>
        <v>#VALUE!</v>
      </c>
      <c r="W189" t="e">
        <f>Raw!B202+"h_l!)/N"</f>
        <v>#VALUE!</v>
      </c>
      <c r="X189" t="e">
        <f>Raw!C202+"h_l!)/O"</f>
        <v>#VALUE!</v>
      </c>
      <c r="Y189" t="e">
        <f>Raw!D202+"h_l!)/P"</f>
        <v>#VALUE!</v>
      </c>
      <c r="Z189" t="e">
        <f>Raw!E202+"h_l!)/Q"</f>
        <v>#VALUE!</v>
      </c>
      <c r="AA189" t="e">
        <f>Raw!#REF!+"h_l!)/R"</f>
        <v>#REF!</v>
      </c>
      <c r="AB189" t="e">
        <f>Raw!G202+"h_l!)/S"</f>
        <v>#VALUE!</v>
      </c>
      <c r="AC189" t="e">
        <f>Raw!H202+"h_l!)/T"</f>
        <v>#VALUE!</v>
      </c>
      <c r="AD189" t="e">
        <f>Raw!I202+"h_l!)/U"</f>
        <v>#VALUE!</v>
      </c>
      <c r="AE189" t="e">
        <f>Raw!J202+"h_l!)/V"</f>
        <v>#VALUE!</v>
      </c>
      <c r="AF189" t="e">
        <f>Raw!K202+"h_l!)/W"</f>
        <v>#VALUE!</v>
      </c>
      <c r="AG189" t="e">
        <f>Raw!L202+"h_l!)/X"</f>
        <v>#VALUE!</v>
      </c>
      <c r="AH189" t="e">
        <f>Raw!M202+"h_l!)/Y"</f>
        <v>#VALUE!</v>
      </c>
      <c r="AI189" t="e">
        <f>Raw!N202+"h_l!)/Z"</f>
        <v>#VALUE!</v>
      </c>
      <c r="AJ189" t="e">
        <f>Raw!O202+"h_l!)/["</f>
        <v>#VALUE!</v>
      </c>
      <c r="AK189" t="e">
        <f>Raw!P202+"h_l!)/\"</f>
        <v>#VALUE!</v>
      </c>
      <c r="AL189" t="e">
        <f>Raw!Q202+"h_l!)/]"</f>
        <v>#VALUE!</v>
      </c>
      <c r="AM189" t="e">
        <f>Raw!R202+"h_l!)/^"</f>
        <v>#VALUE!</v>
      </c>
      <c r="AN189" t="e">
        <f>Raw!S202+"h_l!)/_"</f>
        <v>#VALUE!</v>
      </c>
      <c r="AO189" t="e">
        <f>Raw!T202+"h_l!)/`"</f>
        <v>#VALUE!</v>
      </c>
      <c r="AP189" t="e">
        <f>Raw!U202+"h_l!)/a"</f>
        <v>#VALUE!</v>
      </c>
      <c r="AQ189" t="e">
        <f>Raw!V202+"h_l!)/b"</f>
        <v>#VALUE!</v>
      </c>
      <c r="AR189" t="e">
        <f>Raw!W202+"h_l!)/c"</f>
        <v>#VALUE!</v>
      </c>
      <c r="AS189" t="e">
        <f>Raw!A203+"h_l!)/d"</f>
        <v>#VALUE!</v>
      </c>
      <c r="AT189" t="e">
        <f>Raw!B203+"h_l!)/e"</f>
        <v>#VALUE!</v>
      </c>
      <c r="AU189" t="e">
        <f>Raw!C203+"h_l!)/f"</f>
        <v>#VALUE!</v>
      </c>
      <c r="AV189" t="e">
        <f>Raw!D203+"h_l!)/g"</f>
        <v>#VALUE!</v>
      </c>
      <c r="AW189" t="e">
        <f>Raw!E203+"h_l!)/h"</f>
        <v>#VALUE!</v>
      </c>
      <c r="AX189" t="e">
        <f>Raw!#REF!+"h_l!)/i"</f>
        <v>#REF!</v>
      </c>
      <c r="AY189" t="e">
        <f>Raw!G203+"h_l!)/j"</f>
        <v>#VALUE!</v>
      </c>
      <c r="AZ189" t="e">
        <f>Raw!H203+"h_l!)/k"</f>
        <v>#VALUE!</v>
      </c>
      <c r="BA189" t="e">
        <f>Raw!I203+"h_l!)/l"</f>
        <v>#VALUE!</v>
      </c>
      <c r="BB189" t="e">
        <f>Raw!J203+"h_l!)/m"</f>
        <v>#VALUE!</v>
      </c>
      <c r="BC189" t="e">
        <f>Raw!K203+"h_l!)/n"</f>
        <v>#VALUE!</v>
      </c>
      <c r="BD189" t="e">
        <f>Raw!L203+"h_l!)/o"</f>
        <v>#VALUE!</v>
      </c>
      <c r="BE189" t="e">
        <f>Raw!M203+"h_l!)/p"</f>
        <v>#VALUE!</v>
      </c>
      <c r="BF189" t="e">
        <f>Raw!N203+"h_l!)/q"</f>
        <v>#VALUE!</v>
      </c>
      <c r="BG189" t="e">
        <f>Raw!O203+"h_l!)/r"</f>
        <v>#VALUE!</v>
      </c>
      <c r="BH189" t="e">
        <f>Raw!P203+"h_l!)/s"</f>
        <v>#VALUE!</v>
      </c>
      <c r="BI189" t="e">
        <f>Raw!Q203+"h_l!)/t"</f>
        <v>#VALUE!</v>
      </c>
      <c r="BJ189" t="e">
        <f>Raw!R203+"h_l!)/u"</f>
        <v>#VALUE!</v>
      </c>
      <c r="BK189" t="e">
        <f>Raw!S203+"h_l!)/v"</f>
        <v>#VALUE!</v>
      </c>
      <c r="BL189" t="e">
        <f>Raw!T203+"h_l!)/w"</f>
        <v>#VALUE!</v>
      </c>
      <c r="BM189" t="e">
        <f>Raw!U203+"h_l!)/x"</f>
        <v>#VALUE!</v>
      </c>
      <c r="BN189" t="e">
        <f>Raw!V203+"h_l!)/y"</f>
        <v>#VALUE!</v>
      </c>
      <c r="BO189" t="e">
        <f>Raw!W203+"h_l!)/z"</f>
        <v>#VALUE!</v>
      </c>
      <c r="BP189" t="e">
        <f>Raw!A204+"h_l!)/{"</f>
        <v>#VALUE!</v>
      </c>
      <c r="BQ189" t="e">
        <f>Raw!B204+"h_l!)/|"</f>
        <v>#VALUE!</v>
      </c>
      <c r="BR189" t="e">
        <f>Raw!C204+"h_l!)/}"</f>
        <v>#VALUE!</v>
      </c>
      <c r="BS189" t="e">
        <f>Raw!D204+"h_l!)/~"</f>
        <v>#VALUE!</v>
      </c>
      <c r="BT189" t="e">
        <f>Raw!E204+"h_l!)0#"</f>
        <v>#VALUE!</v>
      </c>
      <c r="BU189" t="e">
        <f>Raw!#REF!+"h_l!)0$"</f>
        <v>#REF!</v>
      </c>
      <c r="BV189" t="e">
        <f>Raw!G204+"h_l!)0%"</f>
        <v>#VALUE!</v>
      </c>
      <c r="BW189" t="e">
        <f>Raw!H204+"h_l!)0&amp;"</f>
        <v>#VALUE!</v>
      </c>
      <c r="BX189" t="e">
        <f>Raw!I204+"h_l!)0'"</f>
        <v>#VALUE!</v>
      </c>
      <c r="BY189" t="e">
        <f>Raw!J204+"h_l!)0("</f>
        <v>#VALUE!</v>
      </c>
      <c r="BZ189" t="e">
        <f>Raw!K204+"h_l!)0)"</f>
        <v>#VALUE!</v>
      </c>
      <c r="CA189" t="e">
        <f>Raw!L204+"h_l!)0."</f>
        <v>#VALUE!</v>
      </c>
      <c r="CB189" t="e">
        <f>Raw!M204+"h_l!)0/"</f>
        <v>#VALUE!</v>
      </c>
      <c r="CC189" t="e">
        <f>Raw!N204+"h_l!)00"</f>
        <v>#VALUE!</v>
      </c>
      <c r="CD189" t="e">
        <f>Raw!O204+"h_l!)01"</f>
        <v>#VALUE!</v>
      </c>
      <c r="CE189" t="e">
        <f>Raw!P204+"h_l!)02"</f>
        <v>#VALUE!</v>
      </c>
      <c r="CF189" t="e">
        <f>Raw!Q204+"h_l!)03"</f>
        <v>#VALUE!</v>
      </c>
      <c r="CG189" t="e">
        <f>Raw!R204+"h_l!)04"</f>
        <v>#VALUE!</v>
      </c>
      <c r="CH189" t="e">
        <f>Raw!S204+"h_l!)05"</f>
        <v>#VALUE!</v>
      </c>
      <c r="CI189" t="e">
        <f>Raw!T204+"h_l!)06"</f>
        <v>#VALUE!</v>
      </c>
      <c r="CJ189" t="e">
        <f>Raw!U204+"h_l!)07"</f>
        <v>#VALUE!</v>
      </c>
      <c r="CK189" t="e">
        <f>Raw!V204+"h_l!)08"</f>
        <v>#VALUE!</v>
      </c>
      <c r="CL189" t="e">
        <f>Raw!W204+"h_l!)09"</f>
        <v>#VALUE!</v>
      </c>
      <c r="CM189" t="e">
        <f>Raw!A205+"h_l!)0:"</f>
        <v>#VALUE!</v>
      </c>
      <c r="CN189" t="e">
        <f>Raw!B205+"h_l!)0;"</f>
        <v>#VALUE!</v>
      </c>
      <c r="CO189" t="e">
        <f>Raw!C205+"h_l!)0&lt;"</f>
        <v>#VALUE!</v>
      </c>
      <c r="CP189" t="e">
        <f>Raw!D205+"h_l!)0="</f>
        <v>#VALUE!</v>
      </c>
      <c r="CQ189" t="e">
        <f>Raw!E205+"h_l!)0&gt;"</f>
        <v>#VALUE!</v>
      </c>
      <c r="CR189" t="e">
        <f>Raw!#REF!+"h_l!)0?"</f>
        <v>#REF!</v>
      </c>
      <c r="CS189" t="e">
        <f>Raw!G205+"h_l!)0@"</f>
        <v>#VALUE!</v>
      </c>
      <c r="CT189" t="e">
        <f>Raw!H205+"h_l!)0A"</f>
        <v>#VALUE!</v>
      </c>
      <c r="CU189" t="e">
        <f>Raw!I205+"h_l!)0B"</f>
        <v>#VALUE!</v>
      </c>
      <c r="CV189" t="e">
        <f>Raw!J205+"h_l!)0C"</f>
        <v>#VALUE!</v>
      </c>
      <c r="CW189" t="e">
        <f>Raw!K205+"h_l!)0D"</f>
        <v>#VALUE!</v>
      </c>
      <c r="CX189" t="e">
        <f>Raw!L205+"h_l!)0E"</f>
        <v>#VALUE!</v>
      </c>
      <c r="CY189" t="e">
        <f>Raw!M205+"h_l!)0F"</f>
        <v>#VALUE!</v>
      </c>
      <c r="CZ189" t="e">
        <f>Raw!N205+"h_l!)0G"</f>
        <v>#VALUE!</v>
      </c>
      <c r="DA189" t="e">
        <f>Raw!O205+"h_l!)0H"</f>
        <v>#VALUE!</v>
      </c>
      <c r="DB189" t="e">
        <f>Raw!P205+"h_l!)0I"</f>
        <v>#VALUE!</v>
      </c>
      <c r="DC189" t="e">
        <f>Raw!Q205+"h_l!)0J"</f>
        <v>#VALUE!</v>
      </c>
      <c r="DD189" t="e">
        <f>Raw!R205+"h_l!)0K"</f>
        <v>#VALUE!</v>
      </c>
      <c r="DE189" t="e">
        <f>Raw!S205+"h_l!)0L"</f>
        <v>#VALUE!</v>
      </c>
      <c r="DF189" t="e">
        <f>Raw!T205+"h_l!)0M"</f>
        <v>#VALUE!</v>
      </c>
      <c r="DG189" t="e">
        <f>Raw!U205+"h_l!)0N"</f>
        <v>#VALUE!</v>
      </c>
      <c r="DH189" t="e">
        <f>Raw!V205+"h_l!)0O"</f>
        <v>#VALUE!</v>
      </c>
      <c r="DI189" t="e">
        <f>Raw!W205+"h_l!)0P"</f>
        <v>#VALUE!</v>
      </c>
      <c r="DJ189" t="e">
        <f>Raw!A206+"h_l!)0Q"</f>
        <v>#VALUE!</v>
      </c>
      <c r="DK189" t="e">
        <f>Raw!B206+"h_l!)0R"</f>
        <v>#VALUE!</v>
      </c>
      <c r="DL189" t="e">
        <f>Raw!C206+"h_l!)0S"</f>
        <v>#VALUE!</v>
      </c>
      <c r="DM189" t="e">
        <f>Raw!D206+"h_l!)0T"</f>
        <v>#VALUE!</v>
      </c>
      <c r="DN189" t="e">
        <f>Raw!E206+"h_l!)0U"</f>
        <v>#VALUE!</v>
      </c>
      <c r="DO189" t="e">
        <f>Raw!#REF!+"h_l!)0V"</f>
        <v>#REF!</v>
      </c>
      <c r="DP189" t="e">
        <f>Raw!G206+"h_l!)0W"</f>
        <v>#VALUE!</v>
      </c>
      <c r="DQ189" t="e">
        <f>Raw!H206+"h_l!)0X"</f>
        <v>#VALUE!</v>
      </c>
      <c r="DR189" t="e">
        <f>Raw!I206+"h_l!)0Y"</f>
        <v>#VALUE!</v>
      </c>
      <c r="DS189" t="e">
        <f>Raw!J206+"h_l!)0Z"</f>
        <v>#VALUE!</v>
      </c>
      <c r="DT189" t="e">
        <f>Raw!K206+"h_l!)0["</f>
        <v>#VALUE!</v>
      </c>
      <c r="DU189" t="e">
        <f>Raw!L206+"h_l!)0\"</f>
        <v>#VALUE!</v>
      </c>
      <c r="DV189" t="e">
        <f>Raw!M206+"h_l!)0]"</f>
        <v>#VALUE!</v>
      </c>
      <c r="DW189" t="e">
        <f>Raw!N206+"h_l!)0^"</f>
        <v>#VALUE!</v>
      </c>
      <c r="DX189" t="e">
        <f>Raw!O206+"h_l!)0_"</f>
        <v>#VALUE!</v>
      </c>
      <c r="DY189" t="e">
        <f>Raw!P206+"h_l!)0`"</f>
        <v>#VALUE!</v>
      </c>
      <c r="DZ189" t="e">
        <f>Raw!Q206+"h_l!)0a"</f>
        <v>#VALUE!</v>
      </c>
      <c r="EA189" t="e">
        <f>Raw!R206+"h_l!)0b"</f>
        <v>#VALUE!</v>
      </c>
      <c r="EB189" t="e">
        <f>Raw!S206+"h_l!)0c"</f>
        <v>#VALUE!</v>
      </c>
      <c r="EC189" t="e">
        <f>Raw!T206+"h_l!)0d"</f>
        <v>#VALUE!</v>
      </c>
      <c r="ED189" t="e">
        <f>Raw!U206+"h_l!)0e"</f>
        <v>#VALUE!</v>
      </c>
      <c r="EE189" t="e">
        <f>Raw!V206+"h_l!)0f"</f>
        <v>#VALUE!</v>
      </c>
      <c r="EF189" t="e">
        <f>Raw!W206+"h_l!)0g"</f>
        <v>#VALUE!</v>
      </c>
      <c r="EG189" t="e">
        <f>Raw!A207+"h_l!)0h"</f>
        <v>#VALUE!</v>
      </c>
      <c r="EH189" t="e">
        <f>Raw!B207+"h_l!)0i"</f>
        <v>#VALUE!</v>
      </c>
      <c r="EI189" t="e">
        <f>Raw!C207+"h_l!)0j"</f>
        <v>#VALUE!</v>
      </c>
      <c r="EJ189" t="e">
        <f>Raw!D207+"h_l!)0k"</f>
        <v>#VALUE!</v>
      </c>
      <c r="EK189" t="e">
        <f>Raw!E207+"h_l!)0l"</f>
        <v>#VALUE!</v>
      </c>
      <c r="EL189" t="e">
        <f>Raw!#REF!+"h_l!)0m"</f>
        <v>#REF!</v>
      </c>
      <c r="EM189" t="e">
        <f>Raw!G207+"h_l!)0n"</f>
        <v>#VALUE!</v>
      </c>
      <c r="EN189" t="e">
        <f>Raw!H207+"h_l!)0o"</f>
        <v>#VALUE!</v>
      </c>
      <c r="EO189" t="e">
        <f>Raw!I207+"h_l!)0p"</f>
        <v>#VALUE!</v>
      </c>
      <c r="EP189" t="e">
        <f>Raw!J207+"h_l!)0q"</f>
        <v>#VALUE!</v>
      </c>
      <c r="EQ189" t="e">
        <f>Raw!K207+"h_l!)0r"</f>
        <v>#VALUE!</v>
      </c>
      <c r="ER189" t="e">
        <f>Raw!L207+"h_l!)0s"</f>
        <v>#VALUE!</v>
      </c>
      <c r="ES189" t="e">
        <f>Raw!M207+"h_l!)0t"</f>
        <v>#VALUE!</v>
      </c>
      <c r="ET189" t="e">
        <f>Raw!N207+"h_l!)0u"</f>
        <v>#VALUE!</v>
      </c>
      <c r="EU189" t="e">
        <f>Raw!O207+"h_l!)0v"</f>
        <v>#VALUE!</v>
      </c>
      <c r="EV189" t="e">
        <f>Raw!P207+"h_l!)0w"</f>
        <v>#VALUE!</v>
      </c>
      <c r="EW189" t="e">
        <f>Raw!Q207+"h_l!)0x"</f>
        <v>#VALUE!</v>
      </c>
      <c r="EX189" t="e">
        <f>Raw!R207+"h_l!)0y"</f>
        <v>#VALUE!</v>
      </c>
      <c r="EY189" t="e">
        <f>Raw!S207+"h_l!)0z"</f>
        <v>#VALUE!</v>
      </c>
      <c r="EZ189" t="e">
        <f>Raw!T207+"h_l!)0{"</f>
        <v>#VALUE!</v>
      </c>
      <c r="FA189" t="e">
        <f>Raw!U207+"h_l!)0|"</f>
        <v>#VALUE!</v>
      </c>
      <c r="FB189" t="e">
        <f>Raw!V207+"h_l!)0}"</f>
        <v>#VALUE!</v>
      </c>
      <c r="FC189" t="e">
        <f>Raw!W207+"h_l!)0~"</f>
        <v>#VALUE!</v>
      </c>
      <c r="FD189" t="e">
        <f>Raw!A208+"h_l!)1#"</f>
        <v>#VALUE!</v>
      </c>
      <c r="FE189" t="e">
        <f>Raw!B208+"h_l!)1$"</f>
        <v>#VALUE!</v>
      </c>
      <c r="FF189" t="e">
        <f>Raw!C208+"h_l!)1%"</f>
        <v>#VALUE!</v>
      </c>
      <c r="FG189" t="e">
        <f>Raw!D208+"h_l!)1&amp;"</f>
        <v>#VALUE!</v>
      </c>
      <c r="FH189" t="e">
        <f>Raw!E208+"h_l!)1'"</f>
        <v>#VALUE!</v>
      </c>
      <c r="FI189" t="e">
        <f>Raw!#REF!+"h_l!)1("</f>
        <v>#REF!</v>
      </c>
      <c r="FJ189" t="e">
        <f>Raw!G208+"h_l!)1)"</f>
        <v>#VALUE!</v>
      </c>
      <c r="FK189" t="e">
        <f>Raw!H208+"h_l!)1."</f>
        <v>#VALUE!</v>
      </c>
      <c r="FL189" t="e">
        <f>Raw!I208+"h_l!)1/"</f>
        <v>#VALUE!</v>
      </c>
      <c r="FM189" t="e">
        <f>Raw!J208+"h_l!)10"</f>
        <v>#VALUE!</v>
      </c>
      <c r="FN189" t="e">
        <f>Raw!K208+"h_l!)11"</f>
        <v>#VALUE!</v>
      </c>
      <c r="FO189" t="e">
        <f>Raw!L208+"h_l!)12"</f>
        <v>#VALUE!</v>
      </c>
      <c r="FP189" t="e">
        <f>Raw!M208+"h_l!)13"</f>
        <v>#VALUE!</v>
      </c>
      <c r="FQ189" t="e">
        <f>Raw!N208+"h_l!)14"</f>
        <v>#VALUE!</v>
      </c>
      <c r="FR189" t="e">
        <f>Raw!O208+"h_l!)15"</f>
        <v>#VALUE!</v>
      </c>
      <c r="FS189" t="e">
        <f>Raw!P208+"h_l!)16"</f>
        <v>#VALUE!</v>
      </c>
      <c r="FT189" t="e">
        <f>Raw!Q208+"h_l!)17"</f>
        <v>#VALUE!</v>
      </c>
      <c r="FU189" t="e">
        <f>Raw!R208+"h_l!)18"</f>
        <v>#VALUE!</v>
      </c>
      <c r="FV189" t="e">
        <f>Raw!S208+"h_l!)19"</f>
        <v>#VALUE!</v>
      </c>
      <c r="FW189" t="e">
        <f>Raw!T208+"h_l!)1:"</f>
        <v>#VALUE!</v>
      </c>
      <c r="FX189" t="e">
        <f>Raw!U208+"h_l!)1;"</f>
        <v>#VALUE!</v>
      </c>
      <c r="FY189" t="e">
        <f>Raw!V208+"h_l!)1&lt;"</f>
        <v>#VALUE!</v>
      </c>
      <c r="FZ189" t="e">
        <f>Raw!W208+"h_l!)1="</f>
        <v>#VALUE!</v>
      </c>
      <c r="GA189" t="e">
        <f>Raw!A209+"h_l!)1&gt;"</f>
        <v>#VALUE!</v>
      </c>
      <c r="GB189" t="e">
        <f>Raw!B209+"h_l!)1?"</f>
        <v>#VALUE!</v>
      </c>
      <c r="GC189" t="e">
        <f>Raw!C209+"h_l!)1@"</f>
        <v>#VALUE!</v>
      </c>
      <c r="GD189" t="e">
        <f>Raw!D209+"h_l!)1A"</f>
        <v>#VALUE!</v>
      </c>
      <c r="GE189" t="e">
        <f>Raw!E209+"h_l!)1B"</f>
        <v>#VALUE!</v>
      </c>
      <c r="GF189" t="e">
        <f>Raw!#REF!+"h_l!)1C"</f>
        <v>#REF!</v>
      </c>
      <c r="GG189" t="e">
        <f>Raw!G209+"h_l!)1D"</f>
        <v>#VALUE!</v>
      </c>
      <c r="GH189" t="e">
        <f>Raw!H209+"h_l!)1E"</f>
        <v>#VALUE!</v>
      </c>
      <c r="GI189" t="e">
        <f>Raw!I209+"h_l!)1F"</f>
        <v>#VALUE!</v>
      </c>
      <c r="GJ189" t="e">
        <f>Raw!J209+"h_l!)1G"</f>
        <v>#VALUE!</v>
      </c>
      <c r="GK189" t="e">
        <f>Raw!K209+"h_l!)1H"</f>
        <v>#VALUE!</v>
      </c>
      <c r="GL189" t="e">
        <f>Raw!L209+"h_l!)1I"</f>
        <v>#VALUE!</v>
      </c>
      <c r="GM189" t="e">
        <f>Raw!M209+"h_l!)1J"</f>
        <v>#VALUE!</v>
      </c>
      <c r="GN189" t="e">
        <f>Raw!N209+"h_l!)1K"</f>
        <v>#VALUE!</v>
      </c>
      <c r="GO189" t="e">
        <f>Raw!O209+"h_l!)1L"</f>
        <v>#VALUE!</v>
      </c>
      <c r="GP189" t="e">
        <f>Raw!P209+"h_l!)1M"</f>
        <v>#VALUE!</v>
      </c>
      <c r="GQ189" t="e">
        <f>Raw!Q209+"h_l!)1N"</f>
        <v>#VALUE!</v>
      </c>
      <c r="GR189" t="e">
        <f>Raw!R209+"h_l!)1O"</f>
        <v>#VALUE!</v>
      </c>
      <c r="GS189" t="e">
        <f>Raw!S209+"h_l!)1P"</f>
        <v>#VALUE!</v>
      </c>
      <c r="GT189" t="e">
        <f>Raw!T209+"h_l!)1Q"</f>
        <v>#VALUE!</v>
      </c>
      <c r="GU189" t="e">
        <f>Raw!U209+"h_l!)1R"</f>
        <v>#VALUE!</v>
      </c>
      <c r="GV189" t="e">
        <f>Raw!V209+"h_l!)1S"</f>
        <v>#VALUE!</v>
      </c>
      <c r="GW189" t="e">
        <f>Raw!W209+"h_l!)1T"</f>
        <v>#VALUE!</v>
      </c>
      <c r="GX189" t="e">
        <f>Raw!A210+"h_l!)1U"</f>
        <v>#VALUE!</v>
      </c>
      <c r="GY189" t="e">
        <f>Raw!B210+"h_l!)1V"</f>
        <v>#VALUE!</v>
      </c>
      <c r="GZ189" t="e">
        <f>Raw!C210+"h_l!)1W"</f>
        <v>#VALUE!</v>
      </c>
      <c r="HA189" t="e">
        <f>Raw!D210+"h_l!)1X"</f>
        <v>#VALUE!</v>
      </c>
      <c r="HB189" t="e">
        <f>Raw!E210+"h_l!)1Y"</f>
        <v>#VALUE!</v>
      </c>
      <c r="HC189" t="e">
        <f>Raw!#REF!+"h_l!)1Z"</f>
        <v>#REF!</v>
      </c>
      <c r="HD189" t="e">
        <f>Raw!G210+"h_l!)1["</f>
        <v>#VALUE!</v>
      </c>
      <c r="HE189" t="e">
        <f>Raw!H210+"h_l!)1\"</f>
        <v>#VALUE!</v>
      </c>
      <c r="HF189" t="e">
        <f>Raw!I210+"h_l!)1]"</f>
        <v>#VALUE!</v>
      </c>
      <c r="HG189" t="e">
        <f>Raw!J210+"h_l!)1^"</f>
        <v>#VALUE!</v>
      </c>
      <c r="HH189" t="e">
        <f>Raw!K210+"h_l!)1_"</f>
        <v>#VALUE!</v>
      </c>
      <c r="HI189" t="e">
        <f>Raw!L210+"h_l!)1`"</f>
        <v>#VALUE!</v>
      </c>
      <c r="HJ189" t="e">
        <f>Raw!M210+"h_l!)1a"</f>
        <v>#VALUE!</v>
      </c>
      <c r="HK189" t="e">
        <f>Raw!N210+"h_l!)1b"</f>
        <v>#VALUE!</v>
      </c>
      <c r="HL189" t="e">
        <f>Raw!O210+"h_l!)1c"</f>
        <v>#VALUE!</v>
      </c>
      <c r="HM189" t="e">
        <f>Raw!P210+"h_l!)1d"</f>
        <v>#VALUE!</v>
      </c>
      <c r="HN189" t="e">
        <f>Raw!Q210+"h_l!)1e"</f>
        <v>#VALUE!</v>
      </c>
      <c r="HO189" t="e">
        <f>Raw!R210+"h_l!)1f"</f>
        <v>#VALUE!</v>
      </c>
      <c r="HP189" t="e">
        <f>Raw!S210+"h_l!)1g"</f>
        <v>#VALUE!</v>
      </c>
      <c r="HQ189" t="e">
        <f>Raw!T210+"h_l!)1h"</f>
        <v>#VALUE!</v>
      </c>
      <c r="HR189" t="e">
        <f>Raw!U210+"h_l!)1i"</f>
        <v>#VALUE!</v>
      </c>
      <c r="HS189" t="e">
        <f>Raw!V210+"h_l!)1j"</f>
        <v>#VALUE!</v>
      </c>
      <c r="HT189" t="e">
        <f>Raw!W210+"h_l!)1k"</f>
        <v>#VALUE!</v>
      </c>
      <c r="HU189" t="e">
        <f>Raw!A211+"h_l!)1l"</f>
        <v>#VALUE!</v>
      </c>
      <c r="HV189" t="e">
        <f>Raw!B211+"h_l!)1m"</f>
        <v>#VALUE!</v>
      </c>
      <c r="HW189" t="e">
        <f>Raw!C211+"h_l!)1n"</f>
        <v>#VALUE!</v>
      </c>
      <c r="HX189" t="e">
        <f>Raw!D211+"h_l!)1o"</f>
        <v>#VALUE!</v>
      </c>
      <c r="HY189" t="e">
        <f>Raw!E211+"h_l!)1p"</f>
        <v>#VALUE!</v>
      </c>
      <c r="HZ189" t="e">
        <f>Raw!#REF!+"h_l!)1q"</f>
        <v>#REF!</v>
      </c>
      <c r="IA189" t="e">
        <f>Raw!G211+"h_l!)1r"</f>
        <v>#VALUE!</v>
      </c>
      <c r="IB189" t="e">
        <f>Raw!H211+"h_l!)1s"</f>
        <v>#VALUE!</v>
      </c>
      <c r="IC189" t="e">
        <f>Raw!I211+"h_l!)1t"</f>
        <v>#VALUE!</v>
      </c>
      <c r="ID189" t="e">
        <f>Raw!J211+"h_l!)1u"</f>
        <v>#VALUE!</v>
      </c>
      <c r="IE189" t="e">
        <f>Raw!K211+"h_l!)1v"</f>
        <v>#VALUE!</v>
      </c>
      <c r="IF189" t="e">
        <f>Raw!L211+"h_l!)1w"</f>
        <v>#VALUE!</v>
      </c>
      <c r="IG189" t="e">
        <f>Raw!M211+"h_l!)1x"</f>
        <v>#VALUE!</v>
      </c>
      <c r="IH189" t="e">
        <f>Raw!N211+"h_l!)1y"</f>
        <v>#VALUE!</v>
      </c>
      <c r="II189" t="e">
        <f>Raw!O211+"h_l!)1z"</f>
        <v>#VALUE!</v>
      </c>
      <c r="IJ189" t="e">
        <f>Raw!P211+"h_l!)1{"</f>
        <v>#VALUE!</v>
      </c>
      <c r="IK189" t="e">
        <f>Raw!Q211+"h_l!)1|"</f>
        <v>#VALUE!</v>
      </c>
      <c r="IL189" t="e">
        <f>Raw!R211+"h_l!)1}"</f>
        <v>#VALUE!</v>
      </c>
      <c r="IM189" t="e">
        <f>Raw!S211+"h_l!)1~"</f>
        <v>#VALUE!</v>
      </c>
      <c r="IN189" t="e">
        <f>Raw!T211+"h_l!)2#"</f>
        <v>#VALUE!</v>
      </c>
      <c r="IO189" t="e">
        <f>Raw!U211+"h_l!)2$"</f>
        <v>#VALUE!</v>
      </c>
      <c r="IP189" t="e">
        <f>Raw!V211+"h_l!)2%"</f>
        <v>#VALUE!</v>
      </c>
      <c r="IQ189" t="e">
        <f>Raw!W211+"h_l!)2&amp;"</f>
        <v>#VALUE!</v>
      </c>
      <c r="IR189" t="e">
        <f>Raw!A212+"h_l!)2'"</f>
        <v>#VALUE!</v>
      </c>
      <c r="IS189" t="e">
        <f>Raw!B212+"h_l!)2("</f>
        <v>#VALUE!</v>
      </c>
      <c r="IT189" t="e">
        <f>Raw!C212+"h_l!)2)"</f>
        <v>#VALUE!</v>
      </c>
      <c r="IU189" t="e">
        <f>Raw!D212+"h_l!)2."</f>
        <v>#VALUE!</v>
      </c>
      <c r="IV189" t="e">
        <f>Raw!E212+"h_l!)2/"</f>
        <v>#VALUE!</v>
      </c>
    </row>
    <row r="190" spans="6:256" x14ac:dyDescent="0.25">
      <c r="F190" t="e">
        <f>Raw!#REF!+"h_l!)20"</f>
        <v>#REF!</v>
      </c>
      <c r="G190" t="e">
        <f>Raw!G212+"h_l!)21"</f>
        <v>#VALUE!</v>
      </c>
      <c r="H190" t="e">
        <f>Raw!H212+"h_l!)22"</f>
        <v>#VALUE!</v>
      </c>
      <c r="I190" t="e">
        <f>Raw!I212+"h_l!)23"</f>
        <v>#VALUE!</v>
      </c>
      <c r="J190" t="e">
        <f>Raw!J212+"h_l!)24"</f>
        <v>#VALUE!</v>
      </c>
      <c r="K190" t="e">
        <f>Raw!K212+"h_l!)25"</f>
        <v>#VALUE!</v>
      </c>
      <c r="L190" t="e">
        <f>Raw!L212+"h_l!)26"</f>
        <v>#VALUE!</v>
      </c>
      <c r="M190" t="e">
        <f>Raw!M212+"h_l!)27"</f>
        <v>#VALUE!</v>
      </c>
      <c r="N190" t="e">
        <f>Raw!N212+"h_l!)28"</f>
        <v>#VALUE!</v>
      </c>
      <c r="O190" t="e">
        <f>Raw!O212+"h_l!)29"</f>
        <v>#VALUE!</v>
      </c>
      <c r="P190" t="e">
        <f>Raw!P212+"h_l!)2:"</f>
        <v>#VALUE!</v>
      </c>
      <c r="Q190" t="e">
        <f>Raw!Q212+"h_l!)2;"</f>
        <v>#VALUE!</v>
      </c>
      <c r="R190" t="e">
        <f>Raw!R212+"h_l!)2&lt;"</f>
        <v>#VALUE!</v>
      </c>
      <c r="S190" t="e">
        <f>Raw!S212+"h_l!)2="</f>
        <v>#VALUE!</v>
      </c>
      <c r="T190" t="e">
        <f>Raw!T212+"h_l!)2&gt;"</f>
        <v>#VALUE!</v>
      </c>
      <c r="U190" t="e">
        <f>Raw!U212+"h_l!)2?"</f>
        <v>#VALUE!</v>
      </c>
      <c r="V190" t="e">
        <f>Raw!V212+"h_l!)2@"</f>
        <v>#VALUE!</v>
      </c>
      <c r="W190" t="e">
        <f>Raw!W212+"h_l!)2A"</f>
        <v>#VALUE!</v>
      </c>
      <c r="X190" t="e">
        <f>Raw!A213+"h_l!)2B"</f>
        <v>#VALUE!</v>
      </c>
      <c r="Y190" t="e">
        <f>Raw!B213+"h_l!)2C"</f>
        <v>#VALUE!</v>
      </c>
      <c r="Z190" t="e">
        <f>Raw!C213+"h_l!)2D"</f>
        <v>#VALUE!</v>
      </c>
      <c r="AA190" t="e">
        <f>Raw!D213+"h_l!)2E"</f>
        <v>#VALUE!</v>
      </c>
      <c r="AB190" t="e">
        <f>Raw!E213+"h_l!)2F"</f>
        <v>#VALUE!</v>
      </c>
      <c r="AC190" t="e">
        <f>Raw!#REF!+"h_l!)2G"</f>
        <v>#REF!</v>
      </c>
      <c r="AD190" t="e">
        <f>Raw!G213+"h_l!)2H"</f>
        <v>#VALUE!</v>
      </c>
      <c r="AE190" t="e">
        <f>Raw!H213+"h_l!)2I"</f>
        <v>#VALUE!</v>
      </c>
      <c r="AF190" t="e">
        <f>Raw!I213+"h_l!)2J"</f>
        <v>#VALUE!</v>
      </c>
      <c r="AG190" t="e">
        <f>Raw!J213+"h_l!)2K"</f>
        <v>#VALUE!</v>
      </c>
      <c r="AH190" t="e">
        <f>Raw!K213+"h_l!)2L"</f>
        <v>#VALUE!</v>
      </c>
      <c r="AI190" t="e">
        <f>Raw!L213+"h_l!)2M"</f>
        <v>#VALUE!</v>
      </c>
      <c r="AJ190" t="e">
        <f>Raw!M213+"h_l!)2N"</f>
        <v>#VALUE!</v>
      </c>
      <c r="AK190" t="e">
        <f>Raw!N213+"h_l!)2O"</f>
        <v>#VALUE!</v>
      </c>
      <c r="AL190" t="e">
        <f>Raw!O213+"h_l!)2P"</f>
        <v>#VALUE!</v>
      </c>
      <c r="AM190" t="e">
        <f>Raw!P213+"h_l!)2Q"</f>
        <v>#VALUE!</v>
      </c>
      <c r="AN190" t="e">
        <f>Raw!Q213+"h_l!)2R"</f>
        <v>#VALUE!</v>
      </c>
      <c r="AO190" t="e">
        <f>Raw!R213+"h_l!)2S"</f>
        <v>#VALUE!</v>
      </c>
      <c r="AP190" t="e">
        <f>Raw!S213+"h_l!)2T"</f>
        <v>#VALUE!</v>
      </c>
      <c r="AQ190" t="e">
        <f>Raw!T213+"h_l!)2U"</f>
        <v>#VALUE!</v>
      </c>
      <c r="AR190" t="e">
        <f>Raw!U213+"h_l!)2V"</f>
        <v>#VALUE!</v>
      </c>
      <c r="AS190" t="e">
        <f>Raw!V213+"h_l!)2W"</f>
        <v>#VALUE!</v>
      </c>
      <c r="AT190" t="e">
        <f>Raw!W213+"h_l!)2X"</f>
        <v>#VALUE!</v>
      </c>
      <c r="AU190" t="e">
        <f>Raw!A214+"h_l!)2Y"</f>
        <v>#VALUE!</v>
      </c>
      <c r="AV190" t="e">
        <f>Raw!B214+"h_l!)2Z"</f>
        <v>#VALUE!</v>
      </c>
      <c r="AW190" t="e">
        <f>Raw!C214+"h_l!)2["</f>
        <v>#VALUE!</v>
      </c>
      <c r="AX190" t="e">
        <f>Raw!D214+"h_l!)2\"</f>
        <v>#VALUE!</v>
      </c>
      <c r="AY190" t="e">
        <f>Raw!E214+"h_l!)2]"</f>
        <v>#VALUE!</v>
      </c>
      <c r="AZ190" t="e">
        <f>Raw!#REF!+"h_l!)2^"</f>
        <v>#REF!</v>
      </c>
      <c r="BA190" t="e">
        <f>Raw!G214+"h_l!)2_"</f>
        <v>#VALUE!</v>
      </c>
      <c r="BB190" t="e">
        <f>Raw!H214+"h_l!)2`"</f>
        <v>#VALUE!</v>
      </c>
      <c r="BC190" t="e">
        <f>Raw!I214+"h_l!)2a"</f>
        <v>#VALUE!</v>
      </c>
      <c r="BD190" t="e">
        <f>Raw!J214+"h_l!)2b"</f>
        <v>#VALUE!</v>
      </c>
      <c r="BE190" t="e">
        <f>Raw!K214+"h_l!)2c"</f>
        <v>#VALUE!</v>
      </c>
      <c r="BF190" t="e">
        <f>Raw!L214+"h_l!)2d"</f>
        <v>#VALUE!</v>
      </c>
      <c r="BG190" t="e">
        <f>Raw!M214+"h_l!)2e"</f>
        <v>#VALUE!</v>
      </c>
      <c r="BH190" t="e">
        <f>Raw!N214+"h_l!)2f"</f>
        <v>#VALUE!</v>
      </c>
      <c r="BI190" t="e">
        <f>Raw!O214+"h_l!)2g"</f>
        <v>#VALUE!</v>
      </c>
      <c r="BJ190" t="e">
        <f>Raw!P214+"h_l!)2h"</f>
        <v>#VALUE!</v>
      </c>
      <c r="BK190" t="e">
        <f>Raw!Q214+"h_l!)2i"</f>
        <v>#VALUE!</v>
      </c>
      <c r="BL190" t="e">
        <f>Raw!R214+"h_l!)2j"</f>
        <v>#VALUE!</v>
      </c>
      <c r="BM190" t="e">
        <f>Raw!S214+"h_l!)2k"</f>
        <v>#VALUE!</v>
      </c>
      <c r="BN190" t="e">
        <f>Raw!T214+"h_l!)2l"</f>
        <v>#VALUE!</v>
      </c>
      <c r="BO190" t="e">
        <f>Raw!U214+"h_l!)2m"</f>
        <v>#VALUE!</v>
      </c>
      <c r="BP190" t="e">
        <f>Raw!V214+"h_l!)2n"</f>
        <v>#VALUE!</v>
      </c>
      <c r="BQ190" t="e">
        <f>Raw!W214+"h_l!)2o"</f>
        <v>#VALUE!</v>
      </c>
      <c r="BR190" t="e">
        <f>Raw!A215+"h_l!)2p"</f>
        <v>#VALUE!</v>
      </c>
      <c r="BS190" t="e">
        <f>Raw!B215+"h_l!)2q"</f>
        <v>#VALUE!</v>
      </c>
      <c r="BT190" t="e">
        <f>Raw!C215+"h_l!)2r"</f>
        <v>#VALUE!</v>
      </c>
      <c r="BU190" t="e">
        <f>Raw!D215+"h_l!)2s"</f>
        <v>#VALUE!</v>
      </c>
      <c r="BV190" t="e">
        <f>Raw!E215+"h_l!)2t"</f>
        <v>#VALUE!</v>
      </c>
      <c r="BW190" t="e">
        <f>Raw!#REF!+"h_l!)2u"</f>
        <v>#REF!</v>
      </c>
      <c r="BX190" t="e">
        <f>Raw!G215+"h_l!)2v"</f>
        <v>#VALUE!</v>
      </c>
      <c r="BY190" t="e">
        <f>Raw!H215+"h_l!)2w"</f>
        <v>#VALUE!</v>
      </c>
      <c r="BZ190" t="e">
        <f>Raw!I215+"h_l!)2x"</f>
        <v>#VALUE!</v>
      </c>
      <c r="CA190" t="e">
        <f>Raw!J215+"h_l!)2y"</f>
        <v>#VALUE!</v>
      </c>
      <c r="CB190" t="e">
        <f>Raw!K215+"h_l!)2z"</f>
        <v>#VALUE!</v>
      </c>
      <c r="CC190" t="e">
        <f>Raw!L215+"h_l!)2{"</f>
        <v>#VALUE!</v>
      </c>
      <c r="CD190" t="e">
        <f>Raw!M215+"h_l!)2|"</f>
        <v>#VALUE!</v>
      </c>
      <c r="CE190" t="e">
        <f>Raw!N215+"h_l!)2}"</f>
        <v>#VALUE!</v>
      </c>
      <c r="CF190" t="e">
        <f>Raw!O215+"h_l!)2~"</f>
        <v>#VALUE!</v>
      </c>
      <c r="CG190" t="e">
        <f>Raw!P215+"h_l!)3#"</f>
        <v>#VALUE!</v>
      </c>
      <c r="CH190" t="e">
        <f>Raw!Q215+"h_l!)3$"</f>
        <v>#VALUE!</v>
      </c>
      <c r="CI190" t="e">
        <f>Raw!R215+"h_l!)3%"</f>
        <v>#VALUE!</v>
      </c>
      <c r="CJ190" t="e">
        <f>Raw!S215+"h_l!)3&amp;"</f>
        <v>#VALUE!</v>
      </c>
      <c r="CK190" t="e">
        <f>Raw!T215+"h_l!)3'"</f>
        <v>#VALUE!</v>
      </c>
      <c r="CL190" t="e">
        <f>Raw!U215+"h_l!)3("</f>
        <v>#VALUE!</v>
      </c>
      <c r="CM190" t="e">
        <f>Raw!V215+"h_l!)3)"</f>
        <v>#VALUE!</v>
      </c>
      <c r="CN190" t="e">
        <f>Raw!W215+"h_l!)3."</f>
        <v>#VALUE!</v>
      </c>
      <c r="CO190" t="e">
        <f>Raw!A216+"h_l!)3/"</f>
        <v>#VALUE!</v>
      </c>
      <c r="CP190" t="e">
        <f>Raw!B216+"h_l!)30"</f>
        <v>#VALUE!</v>
      </c>
      <c r="CQ190" t="e">
        <f>Raw!C216+"h_l!)31"</f>
        <v>#VALUE!</v>
      </c>
      <c r="CR190" t="e">
        <f>Raw!D216+"h_l!)32"</f>
        <v>#VALUE!</v>
      </c>
      <c r="CS190" t="e">
        <f>Raw!E216+"h_l!)33"</f>
        <v>#VALUE!</v>
      </c>
      <c r="CT190" t="e">
        <f>Raw!#REF!+"h_l!)34"</f>
        <v>#REF!</v>
      </c>
      <c r="CU190" t="e">
        <f>Raw!G216+"h_l!)35"</f>
        <v>#VALUE!</v>
      </c>
      <c r="CV190" t="e">
        <f>Raw!H216+"h_l!)36"</f>
        <v>#VALUE!</v>
      </c>
      <c r="CW190" t="e">
        <f>Raw!I216+"h_l!)37"</f>
        <v>#VALUE!</v>
      </c>
      <c r="CX190" t="e">
        <f>Raw!J216+"h_l!)38"</f>
        <v>#VALUE!</v>
      </c>
      <c r="CY190" t="e">
        <f>Raw!K216+"h_l!)39"</f>
        <v>#VALUE!</v>
      </c>
      <c r="CZ190" t="e">
        <f>Raw!L216+"h_l!)3:"</f>
        <v>#VALUE!</v>
      </c>
      <c r="DA190" t="e">
        <f>Raw!M216+"h_l!)3;"</f>
        <v>#VALUE!</v>
      </c>
      <c r="DB190" t="e">
        <f>Raw!N216+"h_l!)3&lt;"</f>
        <v>#VALUE!</v>
      </c>
      <c r="DC190" t="e">
        <f>Raw!O216+"h_l!)3="</f>
        <v>#VALUE!</v>
      </c>
      <c r="DD190" t="e">
        <f>Raw!P216+"h_l!)3&gt;"</f>
        <v>#VALUE!</v>
      </c>
      <c r="DE190" t="e">
        <f>Raw!Q216+"h_l!)3?"</f>
        <v>#VALUE!</v>
      </c>
      <c r="DF190" t="e">
        <f>Raw!R216+"h_l!)3@"</f>
        <v>#VALUE!</v>
      </c>
      <c r="DG190" t="e">
        <f>Raw!S216+"h_l!)3A"</f>
        <v>#VALUE!</v>
      </c>
      <c r="DH190" t="e">
        <f>Raw!T216+"h_l!)3B"</f>
        <v>#VALUE!</v>
      </c>
      <c r="DI190" t="e">
        <f>Raw!U216+"h_l!)3C"</f>
        <v>#VALUE!</v>
      </c>
      <c r="DJ190" t="e">
        <f>Raw!V216+"h_l!)3D"</f>
        <v>#VALUE!</v>
      </c>
      <c r="DK190" t="e">
        <f>Raw!W216+"h_l!)3E"</f>
        <v>#VALUE!</v>
      </c>
      <c r="DL190" t="e">
        <f>Raw!A217+"h_l!)3F"</f>
        <v>#VALUE!</v>
      </c>
      <c r="DM190" t="e">
        <f>Raw!B217+"h_l!)3G"</f>
        <v>#VALUE!</v>
      </c>
      <c r="DN190" t="e">
        <f>Raw!C217+"h_l!)3H"</f>
        <v>#VALUE!</v>
      </c>
      <c r="DO190" t="e">
        <f>Raw!D217+"h_l!)3I"</f>
        <v>#VALUE!</v>
      </c>
      <c r="DP190" t="e">
        <f>Raw!E217+"h_l!)3J"</f>
        <v>#VALUE!</v>
      </c>
      <c r="DQ190" t="e">
        <f>Raw!#REF!+"h_l!)3K"</f>
        <v>#REF!</v>
      </c>
      <c r="DR190" t="e">
        <f>Raw!G217+"h_l!)3L"</f>
        <v>#VALUE!</v>
      </c>
      <c r="DS190" t="e">
        <f>Raw!H217+"h_l!)3M"</f>
        <v>#VALUE!</v>
      </c>
      <c r="DT190" t="e">
        <f>Raw!I217+"h_l!)3N"</f>
        <v>#VALUE!</v>
      </c>
      <c r="DU190" t="e">
        <f>Raw!J217+"h_l!)3O"</f>
        <v>#VALUE!</v>
      </c>
      <c r="DV190" t="e">
        <f>Raw!K217+"h_l!)3P"</f>
        <v>#VALUE!</v>
      </c>
      <c r="DW190" t="e">
        <f>Raw!L217+"h_l!)3Q"</f>
        <v>#VALUE!</v>
      </c>
      <c r="DX190" t="e">
        <f>Raw!M217+"h_l!)3R"</f>
        <v>#VALUE!</v>
      </c>
      <c r="DY190" t="e">
        <f>Raw!N217+"h_l!)3S"</f>
        <v>#VALUE!</v>
      </c>
      <c r="DZ190" t="e">
        <f>Raw!O217+"h_l!)3T"</f>
        <v>#VALUE!</v>
      </c>
      <c r="EA190" t="e">
        <f>Raw!P217+"h_l!)3U"</f>
        <v>#VALUE!</v>
      </c>
      <c r="EB190" t="e">
        <f>Raw!Q217+"h_l!)3V"</f>
        <v>#VALUE!</v>
      </c>
      <c r="EC190" t="e">
        <f>Raw!R217+"h_l!)3W"</f>
        <v>#VALUE!</v>
      </c>
      <c r="ED190" t="e">
        <f>Raw!S217+"h_l!)3X"</f>
        <v>#VALUE!</v>
      </c>
      <c r="EE190" t="e">
        <f>Raw!T217+"h_l!)3Y"</f>
        <v>#VALUE!</v>
      </c>
      <c r="EF190" t="e">
        <f>Raw!U217+"h_l!)3Z"</f>
        <v>#VALUE!</v>
      </c>
      <c r="EG190" t="e">
        <f>Raw!V217+"h_l!)3["</f>
        <v>#VALUE!</v>
      </c>
      <c r="EH190" t="e">
        <f>Raw!W217+"h_l!)3\"</f>
        <v>#VALUE!</v>
      </c>
      <c r="EI190" t="e">
        <f>Raw!A218+"h_l!)3]"</f>
        <v>#VALUE!</v>
      </c>
      <c r="EJ190" t="e">
        <f>Raw!B218+"h_l!)3^"</f>
        <v>#VALUE!</v>
      </c>
      <c r="EK190" t="e">
        <f>Raw!C218+"h_l!)3_"</f>
        <v>#VALUE!</v>
      </c>
      <c r="EL190" t="e">
        <f>Raw!D218+"h_l!)3`"</f>
        <v>#VALUE!</v>
      </c>
      <c r="EM190" t="e">
        <f>Raw!E218+"h_l!)3a"</f>
        <v>#VALUE!</v>
      </c>
      <c r="EN190" t="e">
        <f>Raw!#REF!+"h_l!)3b"</f>
        <v>#REF!</v>
      </c>
      <c r="EO190" t="e">
        <f>Raw!G218+"h_l!)3c"</f>
        <v>#VALUE!</v>
      </c>
      <c r="EP190" t="e">
        <f>Raw!H218+"h_l!)3d"</f>
        <v>#VALUE!</v>
      </c>
      <c r="EQ190" t="e">
        <f>Raw!I218+"h_l!)3e"</f>
        <v>#VALUE!</v>
      </c>
      <c r="ER190" t="e">
        <f>Raw!J218+"h_l!)3f"</f>
        <v>#VALUE!</v>
      </c>
      <c r="ES190" t="e">
        <f>Raw!K218+"h_l!)3g"</f>
        <v>#VALUE!</v>
      </c>
      <c r="ET190" t="e">
        <f>Raw!L218+"h_l!)3h"</f>
        <v>#VALUE!</v>
      </c>
      <c r="EU190" t="e">
        <f>Raw!M218+"h_l!)3i"</f>
        <v>#VALUE!</v>
      </c>
      <c r="EV190" t="e">
        <f>Raw!N218+"h_l!)3j"</f>
        <v>#VALUE!</v>
      </c>
      <c r="EW190" t="e">
        <f>Raw!O218+"h_l!)3k"</f>
        <v>#VALUE!</v>
      </c>
      <c r="EX190" t="e">
        <f>Raw!P218+"h_l!)3l"</f>
        <v>#VALUE!</v>
      </c>
      <c r="EY190" t="e">
        <f>Raw!Q218+"h_l!)3m"</f>
        <v>#VALUE!</v>
      </c>
      <c r="EZ190" t="e">
        <f>Raw!R218+"h_l!)3n"</f>
        <v>#VALUE!</v>
      </c>
      <c r="FA190" t="e">
        <f>Raw!S218+"h_l!)3o"</f>
        <v>#VALUE!</v>
      </c>
      <c r="FB190" t="e">
        <f>Raw!T218+"h_l!)3p"</f>
        <v>#VALUE!</v>
      </c>
      <c r="FC190" t="e">
        <f>Raw!U218+"h_l!)3q"</f>
        <v>#VALUE!</v>
      </c>
      <c r="FD190" t="e">
        <f>Raw!V218+"h_l!)3r"</f>
        <v>#VALUE!</v>
      </c>
      <c r="FE190" t="e">
        <f>Raw!W218+"h_l!)3s"</f>
        <v>#VALUE!</v>
      </c>
      <c r="FF190" t="e">
        <f>Raw!A219+"h_l!)3t"</f>
        <v>#VALUE!</v>
      </c>
      <c r="FG190" t="e">
        <f>Raw!B219+"h_l!)3u"</f>
        <v>#VALUE!</v>
      </c>
      <c r="FH190" t="e">
        <f>Raw!C219+"h_l!)3v"</f>
        <v>#VALUE!</v>
      </c>
      <c r="FI190" t="e">
        <f>Raw!D219+"h_l!)3w"</f>
        <v>#VALUE!</v>
      </c>
      <c r="FJ190" t="e">
        <f>Raw!E219+"h_l!)3x"</f>
        <v>#VALUE!</v>
      </c>
      <c r="FK190" t="e">
        <f>Raw!#REF!+"h_l!)3y"</f>
        <v>#REF!</v>
      </c>
      <c r="FL190" t="e">
        <f>Raw!G219+"h_l!)3z"</f>
        <v>#VALUE!</v>
      </c>
      <c r="FM190" t="e">
        <f>Raw!H219+"h_l!)3{"</f>
        <v>#VALUE!</v>
      </c>
      <c r="FN190" t="e">
        <f>Raw!I219+"h_l!)3|"</f>
        <v>#VALUE!</v>
      </c>
      <c r="FO190" t="e">
        <f>Raw!J219+"h_l!)3}"</f>
        <v>#VALUE!</v>
      </c>
      <c r="FP190" t="e">
        <f>Raw!K219+"h_l!)3~"</f>
        <v>#VALUE!</v>
      </c>
      <c r="FQ190" t="e">
        <f>Raw!L219+"h_l!)4#"</f>
        <v>#VALUE!</v>
      </c>
      <c r="FR190" t="e">
        <f>Raw!M219+"h_l!)4$"</f>
        <v>#VALUE!</v>
      </c>
      <c r="FS190" t="e">
        <f>Raw!N219+"h_l!)4%"</f>
        <v>#VALUE!</v>
      </c>
      <c r="FT190" t="e">
        <f>Raw!O219+"h_l!)4&amp;"</f>
        <v>#VALUE!</v>
      </c>
      <c r="FU190" t="e">
        <f>Raw!P219+"h_l!)4'"</f>
        <v>#VALUE!</v>
      </c>
      <c r="FV190" t="e">
        <f>Raw!Q219+"h_l!)4("</f>
        <v>#VALUE!</v>
      </c>
      <c r="FW190" t="e">
        <f>Raw!R219+"h_l!)4)"</f>
        <v>#VALUE!</v>
      </c>
      <c r="FX190" t="e">
        <f>Raw!S219+"h_l!)4."</f>
        <v>#VALUE!</v>
      </c>
      <c r="FY190" t="e">
        <f>Raw!T219+"h_l!)4/"</f>
        <v>#VALUE!</v>
      </c>
      <c r="FZ190" t="e">
        <f>Raw!U219+"h_l!)40"</f>
        <v>#VALUE!</v>
      </c>
      <c r="GA190" t="e">
        <f>Raw!V219+"h_l!)41"</f>
        <v>#VALUE!</v>
      </c>
      <c r="GB190" t="e">
        <f>Raw!W219+"h_l!)42"</f>
        <v>#VALUE!</v>
      </c>
      <c r="GC190" t="e">
        <f>Raw!A220+"h_l!)43"</f>
        <v>#VALUE!</v>
      </c>
      <c r="GD190" t="e">
        <f>Raw!B220+"h_l!)44"</f>
        <v>#VALUE!</v>
      </c>
      <c r="GE190" t="e">
        <f>Raw!C220+"h_l!)45"</f>
        <v>#VALUE!</v>
      </c>
      <c r="GF190" t="e">
        <f>Raw!D220+"h_l!)46"</f>
        <v>#VALUE!</v>
      </c>
      <c r="GG190" t="e">
        <f>Raw!E220+"h_l!)47"</f>
        <v>#VALUE!</v>
      </c>
      <c r="GH190" t="e">
        <f>Raw!#REF!+"h_l!)48"</f>
        <v>#REF!</v>
      </c>
      <c r="GI190" t="e">
        <f>Raw!G220+"h_l!)49"</f>
        <v>#VALUE!</v>
      </c>
      <c r="GJ190" t="e">
        <f>Raw!H220+"h_l!)4:"</f>
        <v>#VALUE!</v>
      </c>
      <c r="GK190" t="e">
        <f>Raw!I220+"h_l!)4;"</f>
        <v>#VALUE!</v>
      </c>
      <c r="GL190" t="e">
        <f>Raw!J220+"h_l!)4&lt;"</f>
        <v>#VALUE!</v>
      </c>
      <c r="GM190" t="e">
        <f>Raw!K220+"h_l!)4="</f>
        <v>#VALUE!</v>
      </c>
      <c r="GN190" t="e">
        <f>Raw!L220+"h_l!)4&gt;"</f>
        <v>#VALUE!</v>
      </c>
      <c r="GO190" t="e">
        <f>Raw!M220+"h_l!)4?"</f>
        <v>#VALUE!</v>
      </c>
      <c r="GP190" t="e">
        <f>Raw!N220+"h_l!)4@"</f>
        <v>#VALUE!</v>
      </c>
      <c r="GQ190" t="e">
        <f>Raw!O220+"h_l!)4A"</f>
        <v>#VALUE!</v>
      </c>
      <c r="GR190" t="e">
        <f>Raw!P220+"h_l!)4B"</f>
        <v>#VALUE!</v>
      </c>
      <c r="GS190" t="e">
        <f>Raw!Q220+"h_l!)4C"</f>
        <v>#VALUE!</v>
      </c>
      <c r="GT190" t="e">
        <f>Raw!R220+"h_l!)4D"</f>
        <v>#VALUE!</v>
      </c>
      <c r="GU190" t="e">
        <f>Raw!S220+"h_l!)4E"</f>
        <v>#VALUE!</v>
      </c>
      <c r="GV190" t="e">
        <f>Raw!T220+"h_l!)4F"</f>
        <v>#VALUE!</v>
      </c>
      <c r="GW190" t="e">
        <f>Raw!U220+"h_l!)4G"</f>
        <v>#VALUE!</v>
      </c>
      <c r="GX190" t="e">
        <f>Raw!V220+"h_l!)4H"</f>
        <v>#VALUE!</v>
      </c>
      <c r="GY190" t="e">
        <f>Raw!W220+"h_l!)4I"</f>
        <v>#VALUE!</v>
      </c>
      <c r="GZ190" t="e">
        <f>Raw!A221+"h_l!)4J"</f>
        <v>#VALUE!</v>
      </c>
      <c r="HA190" t="e">
        <f>Raw!B221+"h_l!)4K"</f>
        <v>#VALUE!</v>
      </c>
      <c r="HB190" t="e">
        <f>Raw!C221+"h_l!)4L"</f>
        <v>#VALUE!</v>
      </c>
      <c r="HC190" t="e">
        <f>Raw!D221+"h_l!)4M"</f>
        <v>#VALUE!</v>
      </c>
      <c r="HD190" t="e">
        <f>Raw!E221+"h_l!)4N"</f>
        <v>#VALUE!</v>
      </c>
      <c r="HE190" t="e">
        <f>Raw!#REF!+"h_l!)4O"</f>
        <v>#REF!</v>
      </c>
      <c r="HF190" t="e">
        <f>Raw!G221+"h_l!)4P"</f>
        <v>#VALUE!</v>
      </c>
      <c r="HG190" t="e">
        <f>Raw!H221+"h_l!)4Q"</f>
        <v>#VALUE!</v>
      </c>
      <c r="HH190" t="e">
        <f>Raw!I221+"h_l!)4R"</f>
        <v>#VALUE!</v>
      </c>
      <c r="HI190" t="e">
        <f>Raw!J221+"h_l!)4S"</f>
        <v>#VALUE!</v>
      </c>
      <c r="HJ190" t="e">
        <f>Raw!K221+"h_l!)4T"</f>
        <v>#VALUE!</v>
      </c>
      <c r="HK190" t="e">
        <f>Raw!L221+"h_l!)4U"</f>
        <v>#VALUE!</v>
      </c>
      <c r="HL190" t="e">
        <f>Raw!M221+"h_l!)4V"</f>
        <v>#VALUE!</v>
      </c>
      <c r="HM190" t="e">
        <f>Raw!N221+"h_l!)4W"</f>
        <v>#VALUE!</v>
      </c>
      <c r="HN190" t="e">
        <f>Raw!O221+"h_l!)4X"</f>
        <v>#VALUE!</v>
      </c>
      <c r="HO190" t="e">
        <f>Raw!P221+"h_l!)4Y"</f>
        <v>#VALUE!</v>
      </c>
      <c r="HP190" t="e">
        <f>Raw!Q221+"h_l!)4Z"</f>
        <v>#VALUE!</v>
      </c>
      <c r="HQ190" t="e">
        <f>Raw!R221+"h_l!)4["</f>
        <v>#VALUE!</v>
      </c>
      <c r="HR190" t="e">
        <f>Raw!S221+"h_l!)4\"</f>
        <v>#VALUE!</v>
      </c>
      <c r="HS190" t="e">
        <f>Raw!T221+"h_l!)4]"</f>
        <v>#VALUE!</v>
      </c>
      <c r="HT190" t="e">
        <f>Raw!U221+"h_l!)4^"</f>
        <v>#VALUE!</v>
      </c>
      <c r="HU190" t="e">
        <f>Raw!V221+"h_l!)4_"</f>
        <v>#VALUE!</v>
      </c>
      <c r="HV190" t="e">
        <f>Raw!W221+"h_l!)4`"</f>
        <v>#VALUE!</v>
      </c>
      <c r="HW190" t="e">
        <f>Raw!A222+"h_l!)4a"</f>
        <v>#VALUE!</v>
      </c>
      <c r="HX190" t="e">
        <f>Raw!B222+"h_l!)4b"</f>
        <v>#VALUE!</v>
      </c>
      <c r="HY190" t="e">
        <f>Raw!C222+"h_l!)4c"</f>
        <v>#VALUE!</v>
      </c>
      <c r="HZ190" t="e">
        <f>Raw!D222+"h_l!)4d"</f>
        <v>#VALUE!</v>
      </c>
      <c r="IA190" t="e">
        <f>Raw!E222+"h_l!)4e"</f>
        <v>#VALUE!</v>
      </c>
      <c r="IB190" t="e">
        <f>Raw!#REF!+"h_l!)4f"</f>
        <v>#REF!</v>
      </c>
      <c r="IC190" t="e">
        <f>Raw!G222+"h_l!)4g"</f>
        <v>#VALUE!</v>
      </c>
      <c r="ID190" t="e">
        <f>Raw!H222+"h_l!)4h"</f>
        <v>#VALUE!</v>
      </c>
      <c r="IE190" t="e">
        <f>Raw!I222+"h_l!)4i"</f>
        <v>#VALUE!</v>
      </c>
      <c r="IF190" t="e">
        <f>Raw!J222+"h_l!)4j"</f>
        <v>#VALUE!</v>
      </c>
      <c r="IG190" t="e">
        <f>Raw!K222+"h_l!)4k"</f>
        <v>#VALUE!</v>
      </c>
      <c r="IH190" t="e">
        <f>Raw!L222+"h_l!)4l"</f>
        <v>#VALUE!</v>
      </c>
      <c r="II190" t="e">
        <f>Raw!M222+"h_l!)4m"</f>
        <v>#VALUE!</v>
      </c>
      <c r="IJ190" t="e">
        <f>Raw!N222+"h_l!)4n"</f>
        <v>#VALUE!</v>
      </c>
      <c r="IK190" t="e">
        <f>Raw!O222+"h_l!)4o"</f>
        <v>#VALUE!</v>
      </c>
      <c r="IL190" t="e">
        <f>Raw!P222+"h_l!)4p"</f>
        <v>#VALUE!</v>
      </c>
      <c r="IM190" t="e">
        <f>Raw!Q222+"h_l!)4q"</f>
        <v>#VALUE!</v>
      </c>
      <c r="IN190" t="e">
        <f>Raw!R222+"h_l!)4r"</f>
        <v>#VALUE!</v>
      </c>
      <c r="IO190" t="e">
        <f>Raw!S222+"h_l!)4s"</f>
        <v>#VALUE!</v>
      </c>
      <c r="IP190" t="e">
        <f>Raw!T222+"h_l!)4t"</f>
        <v>#VALUE!</v>
      </c>
      <c r="IQ190" t="e">
        <f>Raw!U222+"h_l!)4u"</f>
        <v>#VALUE!</v>
      </c>
      <c r="IR190" t="e">
        <f>Raw!V222+"h_l!)4v"</f>
        <v>#VALUE!</v>
      </c>
      <c r="IS190" t="e">
        <f>Raw!W222+"h_l!)4w"</f>
        <v>#VALUE!</v>
      </c>
      <c r="IT190" t="e">
        <f>Raw!A223+"h_l!)4x"</f>
        <v>#VALUE!</v>
      </c>
      <c r="IU190" t="e">
        <f>Raw!B223+"h_l!)4y"</f>
        <v>#VALUE!</v>
      </c>
      <c r="IV190" t="e">
        <f>Raw!C223+"h_l!)4z"</f>
        <v>#VALUE!</v>
      </c>
    </row>
    <row r="191" spans="6:256" x14ac:dyDescent="0.25">
      <c r="F191" t="e">
        <f>Raw!D223+"h_l!)4{"</f>
        <v>#VALUE!</v>
      </c>
      <c r="G191" t="e">
        <f>Raw!E223+"h_l!)4|"</f>
        <v>#VALUE!</v>
      </c>
      <c r="H191" t="e">
        <f>Raw!#REF!+"h_l!)4}"</f>
        <v>#REF!</v>
      </c>
      <c r="I191" t="e">
        <f>Raw!G223+"h_l!)4~"</f>
        <v>#VALUE!</v>
      </c>
      <c r="J191" t="e">
        <f>Raw!H223+"h_l!)5#"</f>
        <v>#VALUE!</v>
      </c>
      <c r="K191" t="e">
        <f>Raw!I223+"h_l!)5$"</f>
        <v>#VALUE!</v>
      </c>
      <c r="L191" t="e">
        <f>Raw!J223+"h_l!)5%"</f>
        <v>#VALUE!</v>
      </c>
      <c r="M191" t="e">
        <f>Raw!K223+"h_l!)5&amp;"</f>
        <v>#VALUE!</v>
      </c>
      <c r="N191" t="e">
        <f>Raw!L223+"h_l!)5'"</f>
        <v>#VALUE!</v>
      </c>
      <c r="O191" t="e">
        <f>Raw!M223+"h_l!)5("</f>
        <v>#VALUE!</v>
      </c>
      <c r="P191" t="e">
        <f>Raw!N223+"h_l!)5)"</f>
        <v>#VALUE!</v>
      </c>
      <c r="Q191" t="e">
        <f>Raw!O223+"h_l!)5."</f>
        <v>#VALUE!</v>
      </c>
      <c r="R191" t="e">
        <f>Raw!P223+"h_l!)5/"</f>
        <v>#VALUE!</v>
      </c>
      <c r="S191" t="e">
        <f>Raw!Q223+"h_l!)50"</f>
        <v>#VALUE!</v>
      </c>
      <c r="T191" t="e">
        <f>Raw!R223+"h_l!)51"</f>
        <v>#VALUE!</v>
      </c>
      <c r="U191" t="e">
        <f>Raw!S223+"h_l!)52"</f>
        <v>#VALUE!</v>
      </c>
      <c r="V191" t="e">
        <f>Raw!T223+"h_l!)53"</f>
        <v>#VALUE!</v>
      </c>
      <c r="W191" t="e">
        <f>Raw!U223+"h_l!)54"</f>
        <v>#VALUE!</v>
      </c>
      <c r="X191" t="e">
        <f>Raw!V223+"h_l!)55"</f>
        <v>#VALUE!</v>
      </c>
      <c r="Y191" t="e">
        <f>Raw!W223+"h_l!)56"</f>
        <v>#VALUE!</v>
      </c>
      <c r="Z191" t="e">
        <f>Raw!A224+"h_l!)57"</f>
        <v>#VALUE!</v>
      </c>
      <c r="AA191" t="e">
        <f>Raw!B224+"h_l!)58"</f>
        <v>#VALUE!</v>
      </c>
      <c r="AB191" t="e">
        <f>Raw!C224+"h_l!)59"</f>
        <v>#VALUE!</v>
      </c>
      <c r="AC191" t="e">
        <f>Raw!D224+"h_l!)5:"</f>
        <v>#VALUE!</v>
      </c>
      <c r="AD191" t="e">
        <f>Raw!E224+"h_l!)5;"</f>
        <v>#VALUE!</v>
      </c>
      <c r="AE191" t="e">
        <f>Raw!#REF!+"h_l!)5&lt;"</f>
        <v>#REF!</v>
      </c>
      <c r="AF191" t="e">
        <f>Raw!G224+"h_l!)5="</f>
        <v>#VALUE!</v>
      </c>
      <c r="AG191" t="e">
        <f>Raw!H224+"h_l!)5&gt;"</f>
        <v>#VALUE!</v>
      </c>
      <c r="AH191" t="e">
        <f>Raw!I224+"h_l!)5?"</f>
        <v>#VALUE!</v>
      </c>
      <c r="AI191" t="e">
        <f>Raw!J224+"h_l!)5@"</f>
        <v>#VALUE!</v>
      </c>
      <c r="AJ191" t="e">
        <f>Raw!K224+"h_l!)5A"</f>
        <v>#VALUE!</v>
      </c>
      <c r="AK191" t="e">
        <f>Raw!L224+"h_l!)5B"</f>
        <v>#VALUE!</v>
      </c>
      <c r="AL191" t="e">
        <f>Raw!M224+"h_l!)5C"</f>
        <v>#VALUE!</v>
      </c>
      <c r="AM191" t="e">
        <f>Raw!N224+"h_l!)5D"</f>
        <v>#VALUE!</v>
      </c>
      <c r="AN191" t="e">
        <f>Raw!O224+"h_l!)5E"</f>
        <v>#VALUE!</v>
      </c>
      <c r="AO191" t="e">
        <f>Raw!P224+"h_l!)5F"</f>
        <v>#VALUE!</v>
      </c>
      <c r="AP191" t="e">
        <f>Raw!Q224+"h_l!)5G"</f>
        <v>#VALUE!</v>
      </c>
      <c r="AQ191" t="e">
        <f>Raw!R224+"h_l!)5H"</f>
        <v>#VALUE!</v>
      </c>
      <c r="AR191" t="e">
        <f>Raw!S224+"h_l!)5I"</f>
        <v>#VALUE!</v>
      </c>
      <c r="AS191" t="e">
        <f>Raw!T224+"h_l!)5J"</f>
        <v>#VALUE!</v>
      </c>
      <c r="AT191" t="e">
        <f>Raw!U224+"h_l!)5K"</f>
        <v>#VALUE!</v>
      </c>
      <c r="AU191" t="e">
        <f>Raw!V224+"h_l!)5L"</f>
        <v>#VALUE!</v>
      </c>
      <c r="AV191" t="e">
        <f>Raw!W224+"h_l!)5M"</f>
        <v>#VALUE!</v>
      </c>
      <c r="AW191" t="e">
        <f>Raw!A225+"h_l!)5N"</f>
        <v>#VALUE!</v>
      </c>
      <c r="AX191" t="e">
        <f>Raw!B225+"h_l!)5O"</f>
        <v>#VALUE!</v>
      </c>
      <c r="AY191" t="e">
        <f>Raw!C225+"h_l!)5P"</f>
        <v>#VALUE!</v>
      </c>
      <c r="AZ191" t="e">
        <f>Raw!D225+"h_l!)5Q"</f>
        <v>#VALUE!</v>
      </c>
      <c r="BA191" t="e">
        <f>Raw!E225+"h_l!)5R"</f>
        <v>#VALUE!</v>
      </c>
      <c r="BB191" t="e">
        <f>Raw!#REF!+"h_l!)5S"</f>
        <v>#REF!</v>
      </c>
      <c r="BC191" t="e">
        <f>Raw!G225+"h_l!)5T"</f>
        <v>#VALUE!</v>
      </c>
      <c r="BD191" t="e">
        <f>Raw!H225+"h_l!)5U"</f>
        <v>#VALUE!</v>
      </c>
      <c r="BE191" t="e">
        <f>Raw!I225+"h_l!)5V"</f>
        <v>#VALUE!</v>
      </c>
      <c r="BF191" t="e">
        <f>Raw!J225+"h_l!)5W"</f>
        <v>#VALUE!</v>
      </c>
      <c r="BG191" t="e">
        <f>Raw!K225+"h_l!)5X"</f>
        <v>#VALUE!</v>
      </c>
      <c r="BH191" t="e">
        <f>Raw!L225+"h_l!)5Y"</f>
        <v>#VALUE!</v>
      </c>
      <c r="BI191" t="e">
        <f>Raw!M225+"h_l!)5Z"</f>
        <v>#VALUE!</v>
      </c>
      <c r="BJ191" t="e">
        <f>Raw!N225+"h_l!)5["</f>
        <v>#VALUE!</v>
      </c>
      <c r="BK191" t="e">
        <f>Raw!O225+"h_l!)5\"</f>
        <v>#VALUE!</v>
      </c>
      <c r="BL191" t="e">
        <f>Raw!P225+"h_l!)5]"</f>
        <v>#VALUE!</v>
      </c>
      <c r="BM191" t="e">
        <f>Raw!Q225+"h_l!)5^"</f>
        <v>#VALUE!</v>
      </c>
      <c r="BN191" t="e">
        <f>Raw!R225+"h_l!)5_"</f>
        <v>#VALUE!</v>
      </c>
      <c r="BO191" t="e">
        <f>Raw!S225+"h_l!)5`"</f>
        <v>#VALUE!</v>
      </c>
      <c r="BP191" t="e">
        <f>Raw!T225+"h_l!)5a"</f>
        <v>#VALUE!</v>
      </c>
      <c r="BQ191" t="e">
        <f>Raw!U225+"h_l!)5b"</f>
        <v>#VALUE!</v>
      </c>
      <c r="BR191" t="e">
        <f>Raw!V225+"h_l!)5c"</f>
        <v>#VALUE!</v>
      </c>
      <c r="BS191" t="e">
        <f>Raw!W225+"h_l!)5d"</f>
        <v>#VALUE!</v>
      </c>
      <c r="BT191" t="e">
        <f>Raw!A226+"h_l!)5e"</f>
        <v>#VALUE!</v>
      </c>
      <c r="BU191" t="e">
        <f>Raw!B226+"h_l!)5f"</f>
        <v>#VALUE!</v>
      </c>
      <c r="BV191" t="e">
        <f>Raw!C226+"h_l!)5g"</f>
        <v>#VALUE!</v>
      </c>
      <c r="BW191" t="e">
        <f>Raw!D226+"h_l!)5h"</f>
        <v>#VALUE!</v>
      </c>
      <c r="BX191" t="e">
        <f>Raw!E226+"h_l!)5i"</f>
        <v>#VALUE!</v>
      </c>
      <c r="BY191" t="e">
        <f>Raw!#REF!+"h_l!)5j"</f>
        <v>#REF!</v>
      </c>
      <c r="BZ191" t="e">
        <f>Raw!G226+"h_l!)5k"</f>
        <v>#VALUE!</v>
      </c>
      <c r="CA191" t="e">
        <f>Raw!H226+"h_l!)5l"</f>
        <v>#VALUE!</v>
      </c>
      <c r="CB191" t="e">
        <f>Raw!I226+"h_l!)5m"</f>
        <v>#VALUE!</v>
      </c>
      <c r="CC191" t="e">
        <f>Raw!J226+"h_l!)5n"</f>
        <v>#VALUE!</v>
      </c>
      <c r="CD191" t="e">
        <f>Raw!K226+"h_l!)5o"</f>
        <v>#VALUE!</v>
      </c>
      <c r="CE191" t="e">
        <f>Raw!L226+"h_l!)5p"</f>
        <v>#VALUE!</v>
      </c>
      <c r="CF191" t="e">
        <f>Raw!M226+"h_l!)5q"</f>
        <v>#VALUE!</v>
      </c>
      <c r="CG191" t="e">
        <f>Raw!N226+"h_l!)5r"</f>
        <v>#VALUE!</v>
      </c>
      <c r="CH191" t="e">
        <f>Raw!O226+"h_l!)5s"</f>
        <v>#VALUE!</v>
      </c>
      <c r="CI191" t="e">
        <f>Raw!P226+"h_l!)5t"</f>
        <v>#VALUE!</v>
      </c>
      <c r="CJ191" t="e">
        <f>Raw!Q226+"h_l!)5u"</f>
        <v>#VALUE!</v>
      </c>
      <c r="CK191" t="e">
        <f>Raw!R226+"h_l!)5v"</f>
        <v>#VALUE!</v>
      </c>
      <c r="CL191" t="e">
        <f>Raw!S226+"h_l!)5w"</f>
        <v>#VALUE!</v>
      </c>
      <c r="CM191" t="e">
        <f>Raw!T226+"h_l!)5x"</f>
        <v>#VALUE!</v>
      </c>
      <c r="CN191" t="e">
        <f>Raw!U226+"h_l!)5y"</f>
        <v>#VALUE!</v>
      </c>
      <c r="CO191" t="e">
        <f>Raw!V226+"h_l!)5z"</f>
        <v>#VALUE!</v>
      </c>
      <c r="CP191" t="e">
        <f>Raw!W226+"h_l!)5{"</f>
        <v>#VALUE!</v>
      </c>
      <c r="CQ191" t="e">
        <f>Raw!A227+"h_l!)5|"</f>
        <v>#VALUE!</v>
      </c>
      <c r="CR191" t="e">
        <f>Raw!B227+"h_l!)5}"</f>
        <v>#VALUE!</v>
      </c>
      <c r="CS191" t="e">
        <f>Raw!C227+"h_l!)5~"</f>
        <v>#VALUE!</v>
      </c>
      <c r="CT191" t="e">
        <f>Raw!D227+"h_l!)6#"</f>
        <v>#VALUE!</v>
      </c>
      <c r="CU191" t="e">
        <f>Raw!E227+"h_l!)6$"</f>
        <v>#VALUE!</v>
      </c>
      <c r="CV191" t="e">
        <f>Raw!#REF!+"h_l!)6%"</f>
        <v>#REF!</v>
      </c>
      <c r="CW191" t="e">
        <f>Raw!G227+"h_l!)6&amp;"</f>
        <v>#VALUE!</v>
      </c>
      <c r="CX191" t="e">
        <f>Raw!H227+"h_l!)6'"</f>
        <v>#VALUE!</v>
      </c>
      <c r="CY191" t="e">
        <f>Raw!I227+"h_l!)6("</f>
        <v>#VALUE!</v>
      </c>
      <c r="CZ191" t="e">
        <f>Raw!J227+"h_l!)6)"</f>
        <v>#VALUE!</v>
      </c>
      <c r="DA191" t="e">
        <f>Raw!K227+"h_l!)6."</f>
        <v>#VALUE!</v>
      </c>
      <c r="DB191" t="e">
        <f>Raw!L227+"h_l!)6/"</f>
        <v>#VALUE!</v>
      </c>
      <c r="DC191" t="e">
        <f>Raw!M227+"h_l!)60"</f>
        <v>#VALUE!</v>
      </c>
      <c r="DD191" t="e">
        <f>Raw!N227+"h_l!)61"</f>
        <v>#VALUE!</v>
      </c>
      <c r="DE191" t="e">
        <f>Raw!O227+"h_l!)62"</f>
        <v>#VALUE!</v>
      </c>
      <c r="DF191" t="e">
        <f>Raw!P227+"h_l!)63"</f>
        <v>#VALUE!</v>
      </c>
      <c r="DG191" t="e">
        <f>Raw!Q227+"h_l!)64"</f>
        <v>#VALUE!</v>
      </c>
      <c r="DH191" t="e">
        <f>Raw!R227+"h_l!)65"</f>
        <v>#VALUE!</v>
      </c>
      <c r="DI191" t="e">
        <f>Raw!S227+"h_l!)66"</f>
        <v>#VALUE!</v>
      </c>
      <c r="DJ191" t="e">
        <f>Raw!T227+"h_l!)67"</f>
        <v>#VALUE!</v>
      </c>
      <c r="DK191" t="e">
        <f>Raw!U227+"h_l!)68"</f>
        <v>#VALUE!</v>
      </c>
      <c r="DL191" t="e">
        <f>Raw!V227+"h_l!)69"</f>
        <v>#VALUE!</v>
      </c>
      <c r="DM191" t="e">
        <f>Raw!W227+"h_l!)6:"</f>
        <v>#VALUE!</v>
      </c>
      <c r="DN191" t="e">
        <f>Raw!A228+"h_l!)6;"</f>
        <v>#VALUE!</v>
      </c>
      <c r="DO191" t="e">
        <f>Raw!B228+"h_l!)6&lt;"</f>
        <v>#VALUE!</v>
      </c>
      <c r="DP191" t="e">
        <f>Raw!C228+"h_l!)6="</f>
        <v>#VALUE!</v>
      </c>
      <c r="DQ191" t="e">
        <f>Raw!D228+"h_l!)6&gt;"</f>
        <v>#VALUE!</v>
      </c>
      <c r="DR191" t="e">
        <f>Raw!E228+"h_l!)6?"</f>
        <v>#VALUE!</v>
      </c>
      <c r="DS191" t="e">
        <f>Raw!#REF!+"h_l!)6@"</f>
        <v>#REF!</v>
      </c>
      <c r="DT191" t="e">
        <f>Raw!G228+"h_l!)6A"</f>
        <v>#VALUE!</v>
      </c>
      <c r="DU191" t="e">
        <f>Raw!H228+"h_l!)6B"</f>
        <v>#VALUE!</v>
      </c>
      <c r="DV191" t="e">
        <f>Raw!I228+"h_l!)6C"</f>
        <v>#VALUE!</v>
      </c>
      <c r="DW191" t="e">
        <f>Raw!J228+"h_l!)6D"</f>
        <v>#VALUE!</v>
      </c>
      <c r="DX191" t="e">
        <f>Raw!K228+"h_l!)6E"</f>
        <v>#VALUE!</v>
      </c>
      <c r="DY191" t="e">
        <f>Raw!L228+"h_l!)6F"</f>
        <v>#VALUE!</v>
      </c>
      <c r="DZ191" t="e">
        <f>Raw!M228+"h_l!)6G"</f>
        <v>#VALUE!</v>
      </c>
      <c r="EA191" t="e">
        <f>Raw!N228+"h_l!)6H"</f>
        <v>#VALUE!</v>
      </c>
      <c r="EB191" t="e">
        <f>Raw!O228+"h_l!)6I"</f>
        <v>#VALUE!</v>
      </c>
      <c r="EC191" t="e">
        <f>Raw!P228+"h_l!)6J"</f>
        <v>#VALUE!</v>
      </c>
      <c r="ED191" t="e">
        <f>Raw!Q228+"h_l!)6K"</f>
        <v>#VALUE!</v>
      </c>
      <c r="EE191" t="e">
        <f>Raw!R228+"h_l!)6L"</f>
        <v>#VALUE!</v>
      </c>
      <c r="EF191" t="e">
        <f>Raw!S228+"h_l!)6M"</f>
        <v>#VALUE!</v>
      </c>
      <c r="EG191" t="e">
        <f>Raw!T228+"h_l!)6N"</f>
        <v>#VALUE!</v>
      </c>
      <c r="EH191" t="e">
        <f>Raw!U228+"h_l!)6O"</f>
        <v>#VALUE!</v>
      </c>
      <c r="EI191" t="e">
        <f>Raw!V228+"h_l!)6P"</f>
        <v>#VALUE!</v>
      </c>
      <c r="EJ191" t="e">
        <f>Raw!W228+"h_l!)6Q"</f>
        <v>#VALUE!</v>
      </c>
      <c r="EK191" t="e">
        <f>Raw!A229+"h_l!)6R"</f>
        <v>#VALUE!</v>
      </c>
      <c r="EL191" t="e">
        <f>Raw!B229+"h_l!)6S"</f>
        <v>#VALUE!</v>
      </c>
      <c r="EM191" t="e">
        <f>Raw!C229+"h_l!)6T"</f>
        <v>#VALUE!</v>
      </c>
      <c r="EN191" t="e">
        <f>Raw!D229+"h_l!)6U"</f>
        <v>#VALUE!</v>
      </c>
      <c r="EO191" t="e">
        <f>Raw!E229+"h_l!)6V"</f>
        <v>#VALUE!</v>
      </c>
      <c r="EP191" t="e">
        <f>Raw!#REF!+"h_l!)6W"</f>
        <v>#REF!</v>
      </c>
      <c r="EQ191" t="e">
        <f>Raw!G229+"h_l!)6X"</f>
        <v>#VALUE!</v>
      </c>
      <c r="ER191" t="e">
        <f>Raw!H229+"h_l!)6Y"</f>
        <v>#VALUE!</v>
      </c>
      <c r="ES191" t="e">
        <f>Raw!I229+"h_l!)6Z"</f>
        <v>#VALUE!</v>
      </c>
      <c r="ET191" t="e">
        <f>Raw!J229+"h_l!)6["</f>
        <v>#VALUE!</v>
      </c>
      <c r="EU191" t="e">
        <f>Raw!K229+"h_l!)6\"</f>
        <v>#VALUE!</v>
      </c>
      <c r="EV191" t="e">
        <f>Raw!L229+"h_l!)6]"</f>
        <v>#VALUE!</v>
      </c>
      <c r="EW191" t="e">
        <f>Raw!M229+"h_l!)6^"</f>
        <v>#VALUE!</v>
      </c>
      <c r="EX191" t="e">
        <f>Raw!N229+"h_l!)6_"</f>
        <v>#VALUE!</v>
      </c>
      <c r="EY191" t="e">
        <f>Raw!O229+"h_l!)6`"</f>
        <v>#VALUE!</v>
      </c>
      <c r="EZ191" t="e">
        <f>Raw!P229+"h_l!)6a"</f>
        <v>#VALUE!</v>
      </c>
      <c r="FA191" t="e">
        <f>Raw!Q229+"h_l!)6b"</f>
        <v>#VALUE!</v>
      </c>
      <c r="FB191" t="e">
        <f>Raw!R229+"h_l!)6c"</f>
        <v>#VALUE!</v>
      </c>
      <c r="FC191" t="e">
        <f>Raw!S229+"h_l!)6d"</f>
        <v>#VALUE!</v>
      </c>
      <c r="FD191" t="e">
        <f>Raw!T229+"h_l!)6e"</f>
        <v>#VALUE!</v>
      </c>
      <c r="FE191" t="e">
        <f>Raw!U229+"h_l!)6f"</f>
        <v>#VALUE!</v>
      </c>
      <c r="FF191" t="e">
        <f>Raw!V229+"h_l!)6g"</f>
        <v>#VALUE!</v>
      </c>
      <c r="FG191" t="e">
        <f>Raw!W229+"h_l!)6h"</f>
        <v>#VALUE!</v>
      </c>
      <c r="FH191" t="e">
        <f>Raw!A230+"h_l!)6i"</f>
        <v>#VALUE!</v>
      </c>
      <c r="FI191" t="e">
        <f>Raw!B230+"h_l!)6j"</f>
        <v>#VALUE!</v>
      </c>
      <c r="FJ191" t="e">
        <f>Raw!C230+"h_l!)6k"</f>
        <v>#VALUE!</v>
      </c>
      <c r="FK191" t="e">
        <f>Raw!D230+"h_l!)6l"</f>
        <v>#VALUE!</v>
      </c>
      <c r="FL191" t="e">
        <f>Raw!E230+"h_l!)6m"</f>
        <v>#VALUE!</v>
      </c>
      <c r="FM191" t="e">
        <f>Raw!#REF!+"h_l!)6n"</f>
        <v>#REF!</v>
      </c>
      <c r="FN191" t="e">
        <f>Raw!G230+"h_l!)6o"</f>
        <v>#VALUE!</v>
      </c>
      <c r="FO191" t="e">
        <f>Raw!H230+"h_l!)6p"</f>
        <v>#VALUE!</v>
      </c>
      <c r="FP191" t="e">
        <f>Raw!I230+"h_l!)6q"</f>
        <v>#VALUE!</v>
      </c>
      <c r="FQ191" t="e">
        <f>Raw!J230+"h_l!)6r"</f>
        <v>#VALUE!</v>
      </c>
      <c r="FR191" t="e">
        <f>Raw!K230+"h_l!)6s"</f>
        <v>#VALUE!</v>
      </c>
      <c r="FS191" t="e">
        <f>Raw!L230+"h_l!)6t"</f>
        <v>#VALUE!</v>
      </c>
      <c r="FT191" t="e">
        <f>Raw!M230+"h_l!)6u"</f>
        <v>#VALUE!</v>
      </c>
      <c r="FU191" t="e">
        <f>Raw!N230+"h_l!)6v"</f>
        <v>#VALUE!</v>
      </c>
      <c r="FV191" t="e">
        <f>Raw!O230+"h_l!)6w"</f>
        <v>#VALUE!</v>
      </c>
      <c r="FW191" t="e">
        <f>Raw!P230+"h_l!)6x"</f>
        <v>#VALUE!</v>
      </c>
      <c r="FX191" t="e">
        <f>Raw!Q230+"h_l!)6y"</f>
        <v>#VALUE!</v>
      </c>
      <c r="FY191" t="e">
        <f>Raw!R230+"h_l!)6z"</f>
        <v>#VALUE!</v>
      </c>
      <c r="FZ191" t="e">
        <f>Raw!S230+"h_l!)6{"</f>
        <v>#VALUE!</v>
      </c>
      <c r="GA191" t="e">
        <f>Raw!T230+"h_l!)6|"</f>
        <v>#VALUE!</v>
      </c>
      <c r="GB191" t="e">
        <f>Raw!U230+"h_l!)6}"</f>
        <v>#VALUE!</v>
      </c>
      <c r="GC191" t="e">
        <f>Raw!V230+"h_l!)6~"</f>
        <v>#VALUE!</v>
      </c>
      <c r="GD191" t="e">
        <f>Raw!W230+"h_l!)7#"</f>
        <v>#VALUE!</v>
      </c>
      <c r="GE191" t="e">
        <f>Raw!A231+"h_l!)7$"</f>
        <v>#VALUE!</v>
      </c>
      <c r="GF191" t="e">
        <f>Raw!B231+"h_l!)7%"</f>
        <v>#VALUE!</v>
      </c>
      <c r="GG191" t="e">
        <f>Raw!C231+"h_l!)7&amp;"</f>
        <v>#VALUE!</v>
      </c>
      <c r="GH191" t="e">
        <f>Raw!D231+"h_l!)7'"</f>
        <v>#VALUE!</v>
      </c>
      <c r="GI191" t="e">
        <f>Raw!E231+"h_l!)7("</f>
        <v>#VALUE!</v>
      </c>
      <c r="GJ191" t="e">
        <f>Raw!#REF!+"h_l!)7)"</f>
        <v>#REF!</v>
      </c>
      <c r="GK191" t="e">
        <f>Raw!G231+"h_l!)7."</f>
        <v>#VALUE!</v>
      </c>
      <c r="GL191" t="e">
        <f>Raw!H231+"h_l!)7/"</f>
        <v>#VALUE!</v>
      </c>
      <c r="GM191" t="e">
        <f>Raw!I231+"h_l!)70"</f>
        <v>#VALUE!</v>
      </c>
      <c r="GN191" t="e">
        <f>Raw!J231+"h_l!)71"</f>
        <v>#VALUE!</v>
      </c>
      <c r="GO191" t="e">
        <f>Raw!K231+"h_l!)72"</f>
        <v>#VALUE!</v>
      </c>
      <c r="GP191" t="e">
        <f>Raw!L231+"h_l!)73"</f>
        <v>#VALUE!</v>
      </c>
      <c r="GQ191" t="e">
        <f>Raw!M231+"h_l!)74"</f>
        <v>#VALUE!</v>
      </c>
      <c r="GR191" t="e">
        <f>Raw!N231+"h_l!)75"</f>
        <v>#VALUE!</v>
      </c>
      <c r="GS191" t="e">
        <f>Raw!O231+"h_l!)76"</f>
        <v>#VALUE!</v>
      </c>
      <c r="GT191" t="e">
        <f>Raw!P231+"h_l!)77"</f>
        <v>#VALUE!</v>
      </c>
      <c r="GU191" t="e">
        <f>Raw!Q231+"h_l!)78"</f>
        <v>#VALUE!</v>
      </c>
      <c r="GV191" t="e">
        <f>Raw!R231+"h_l!)79"</f>
        <v>#VALUE!</v>
      </c>
      <c r="GW191" t="e">
        <f>Raw!S231+"h_l!)7:"</f>
        <v>#VALUE!</v>
      </c>
      <c r="GX191" t="e">
        <f>Raw!T231+"h_l!)7;"</f>
        <v>#VALUE!</v>
      </c>
      <c r="GY191" t="e">
        <f>Raw!U231+"h_l!)7&lt;"</f>
        <v>#VALUE!</v>
      </c>
      <c r="GZ191" t="e">
        <f>Raw!V231+"h_l!)7="</f>
        <v>#VALUE!</v>
      </c>
      <c r="HA191" t="e">
        <f>Raw!W231+"h_l!)7&gt;"</f>
        <v>#VALUE!</v>
      </c>
      <c r="HB191" t="e">
        <f>Raw!A232+"h_l!)7?"</f>
        <v>#VALUE!</v>
      </c>
      <c r="HC191" t="e">
        <f>Raw!B232+"h_l!)7@"</f>
        <v>#VALUE!</v>
      </c>
      <c r="HD191" t="e">
        <f>Raw!C232+"h_l!)7A"</f>
        <v>#VALUE!</v>
      </c>
      <c r="HE191" t="e">
        <f>Raw!D232+"h_l!)7B"</f>
        <v>#VALUE!</v>
      </c>
      <c r="HF191" t="e">
        <f>Raw!E232+"h_l!)7C"</f>
        <v>#VALUE!</v>
      </c>
      <c r="HG191" t="e">
        <f>Raw!#REF!+"h_l!)7D"</f>
        <v>#REF!</v>
      </c>
      <c r="HH191" t="e">
        <f>Raw!G232+"h_l!)7E"</f>
        <v>#VALUE!</v>
      </c>
      <c r="HI191" t="e">
        <f>Raw!H232+"h_l!)7F"</f>
        <v>#VALUE!</v>
      </c>
      <c r="HJ191" t="e">
        <f>Raw!I232+"h_l!)7G"</f>
        <v>#VALUE!</v>
      </c>
      <c r="HK191" t="e">
        <f>Raw!J232+"h_l!)7H"</f>
        <v>#VALUE!</v>
      </c>
      <c r="HL191" t="e">
        <f>Raw!K232+"h_l!)7I"</f>
        <v>#VALUE!</v>
      </c>
      <c r="HM191" t="e">
        <f>Raw!L232+"h_l!)7J"</f>
        <v>#VALUE!</v>
      </c>
      <c r="HN191" t="e">
        <f>Raw!M232+"h_l!)7K"</f>
        <v>#VALUE!</v>
      </c>
      <c r="HO191" t="e">
        <f>Raw!N232+"h_l!)7L"</f>
        <v>#VALUE!</v>
      </c>
      <c r="HP191" t="e">
        <f>Raw!O232+"h_l!)7M"</f>
        <v>#VALUE!</v>
      </c>
      <c r="HQ191" t="e">
        <f>Raw!P232+"h_l!)7N"</f>
        <v>#VALUE!</v>
      </c>
      <c r="HR191" t="e">
        <f>Raw!Q232+"h_l!)7O"</f>
        <v>#VALUE!</v>
      </c>
      <c r="HS191" t="e">
        <f>Raw!R232+"h_l!)7P"</f>
        <v>#VALUE!</v>
      </c>
      <c r="HT191" t="e">
        <f>Raw!S232+"h_l!)7Q"</f>
        <v>#VALUE!</v>
      </c>
      <c r="HU191" t="e">
        <f>Raw!T232+"h_l!)7R"</f>
        <v>#VALUE!</v>
      </c>
      <c r="HV191" t="e">
        <f>Raw!U232+"h_l!)7S"</f>
        <v>#VALUE!</v>
      </c>
      <c r="HW191" t="e">
        <f>Raw!V232+"h_l!)7T"</f>
        <v>#VALUE!</v>
      </c>
      <c r="HX191" t="e">
        <f>Raw!W232+"h_l!)7U"</f>
        <v>#VALUE!</v>
      </c>
      <c r="HY191" t="e">
        <f>Raw!A233+"h_l!)7V"</f>
        <v>#VALUE!</v>
      </c>
      <c r="HZ191" t="e">
        <f>Raw!B233+"h_l!)7W"</f>
        <v>#VALUE!</v>
      </c>
      <c r="IA191" t="e">
        <f>Raw!C233+"h_l!)7X"</f>
        <v>#VALUE!</v>
      </c>
      <c r="IB191" t="e">
        <f>Raw!D233+"h_l!)7Y"</f>
        <v>#VALUE!</v>
      </c>
      <c r="IC191" t="e">
        <f>Raw!E233+"h_l!)7Z"</f>
        <v>#VALUE!</v>
      </c>
      <c r="ID191" t="e">
        <f>Raw!#REF!+"h_l!)7["</f>
        <v>#REF!</v>
      </c>
      <c r="IE191" t="e">
        <f>Raw!G233+"h_l!)7\"</f>
        <v>#VALUE!</v>
      </c>
      <c r="IF191" t="e">
        <f>Raw!H233+"h_l!)7]"</f>
        <v>#VALUE!</v>
      </c>
      <c r="IG191" t="e">
        <f>Raw!I233+"h_l!)7^"</f>
        <v>#VALUE!</v>
      </c>
      <c r="IH191" t="e">
        <f>Raw!J233+"h_l!)7_"</f>
        <v>#VALUE!</v>
      </c>
      <c r="II191" t="e">
        <f>Raw!K233+"h_l!)7`"</f>
        <v>#VALUE!</v>
      </c>
      <c r="IJ191" t="e">
        <f>Raw!L233+"h_l!)7a"</f>
        <v>#VALUE!</v>
      </c>
      <c r="IK191" t="e">
        <f>Raw!M233+"h_l!)7b"</f>
        <v>#VALUE!</v>
      </c>
      <c r="IL191" t="e">
        <f>Raw!N233+"h_l!)7c"</f>
        <v>#VALUE!</v>
      </c>
      <c r="IM191" t="e">
        <f>Raw!O233+"h_l!)7d"</f>
        <v>#VALUE!</v>
      </c>
      <c r="IN191" t="e">
        <f>Raw!P233+"h_l!)7e"</f>
        <v>#VALUE!</v>
      </c>
      <c r="IO191" t="e">
        <f>Raw!Q233+"h_l!)7f"</f>
        <v>#VALUE!</v>
      </c>
      <c r="IP191" t="e">
        <f>Raw!R233+"h_l!)7g"</f>
        <v>#VALUE!</v>
      </c>
      <c r="IQ191" t="e">
        <f>Raw!S233+"h_l!)7h"</f>
        <v>#VALUE!</v>
      </c>
      <c r="IR191" t="e">
        <f>Raw!T233+"h_l!)7i"</f>
        <v>#VALUE!</v>
      </c>
      <c r="IS191" t="e">
        <f>Raw!U233+"h_l!)7j"</f>
        <v>#VALUE!</v>
      </c>
      <c r="IT191" t="e">
        <f>Raw!V233+"h_l!)7k"</f>
        <v>#VALUE!</v>
      </c>
      <c r="IU191" t="e">
        <f>Raw!W233+"h_l!)7l"</f>
        <v>#VALUE!</v>
      </c>
      <c r="IV191" t="e">
        <f>Raw!A234+"h_l!)7m"</f>
        <v>#VALUE!</v>
      </c>
    </row>
    <row r="192" spans="6:256" x14ac:dyDescent="0.25">
      <c r="F192" t="e">
        <f>Raw!B234+"h_l!)7n"</f>
        <v>#VALUE!</v>
      </c>
      <c r="G192" t="e">
        <f>Raw!C234+"h_l!)7o"</f>
        <v>#VALUE!</v>
      </c>
      <c r="H192" t="e">
        <f>Raw!D234+"h_l!)7p"</f>
        <v>#VALUE!</v>
      </c>
      <c r="I192" t="e">
        <f>Raw!E234+"h_l!)7q"</f>
        <v>#VALUE!</v>
      </c>
      <c r="J192" t="e">
        <f>Raw!#REF!+"h_l!)7r"</f>
        <v>#REF!</v>
      </c>
      <c r="K192" t="e">
        <f>Raw!G234+"h_l!)7s"</f>
        <v>#VALUE!</v>
      </c>
      <c r="L192" t="e">
        <f>Raw!H234+"h_l!)7t"</f>
        <v>#VALUE!</v>
      </c>
      <c r="M192" t="e">
        <f>Raw!I234+"h_l!)7u"</f>
        <v>#VALUE!</v>
      </c>
      <c r="N192" t="e">
        <f>Raw!J234+"h_l!)7v"</f>
        <v>#VALUE!</v>
      </c>
      <c r="O192" t="e">
        <f>Raw!K234+"h_l!)7w"</f>
        <v>#VALUE!</v>
      </c>
      <c r="P192" t="e">
        <f>Raw!L234+"h_l!)7x"</f>
        <v>#VALUE!</v>
      </c>
      <c r="Q192" t="e">
        <f>Raw!M234+"h_l!)7y"</f>
        <v>#VALUE!</v>
      </c>
      <c r="R192" t="e">
        <f>Raw!N234+"h_l!)7z"</f>
        <v>#VALUE!</v>
      </c>
      <c r="S192" t="e">
        <f>Raw!O234+"h_l!)7{"</f>
        <v>#VALUE!</v>
      </c>
      <c r="T192" t="e">
        <f>Raw!P234+"h_l!)7|"</f>
        <v>#VALUE!</v>
      </c>
      <c r="U192" t="e">
        <f>Raw!Q234+"h_l!)7}"</f>
        <v>#VALUE!</v>
      </c>
      <c r="V192" t="e">
        <f>Raw!R234+"h_l!)7~"</f>
        <v>#VALUE!</v>
      </c>
      <c r="W192" t="e">
        <f>Raw!S234+"h_l!)8#"</f>
        <v>#VALUE!</v>
      </c>
      <c r="X192" t="e">
        <f>Raw!T234+"h_l!)8$"</f>
        <v>#VALUE!</v>
      </c>
      <c r="Y192" t="e">
        <f>Raw!U234+"h_l!)8%"</f>
        <v>#VALUE!</v>
      </c>
      <c r="Z192" t="e">
        <f>Raw!V234+"h_l!)8&amp;"</f>
        <v>#VALUE!</v>
      </c>
      <c r="AA192" t="e">
        <f>Raw!W234+"h_l!)8'"</f>
        <v>#VALUE!</v>
      </c>
      <c r="AB192" t="e">
        <f>Raw!A235+"h_l!)8("</f>
        <v>#VALUE!</v>
      </c>
      <c r="AC192" t="e">
        <f>Raw!B235+"h_l!)8)"</f>
        <v>#VALUE!</v>
      </c>
      <c r="AD192" t="e">
        <f>Raw!C235+"h_l!)8."</f>
        <v>#VALUE!</v>
      </c>
      <c r="AE192" t="e">
        <f>Raw!D235+"h_l!)8/"</f>
        <v>#VALUE!</v>
      </c>
      <c r="AF192" t="e">
        <f>Raw!E235+"h_l!)80"</f>
        <v>#VALUE!</v>
      </c>
      <c r="AG192" t="e">
        <f>Raw!#REF!+"h_l!)81"</f>
        <v>#REF!</v>
      </c>
      <c r="AH192" t="e">
        <f>Raw!G235+"h_l!)82"</f>
        <v>#VALUE!</v>
      </c>
      <c r="AI192" t="e">
        <f>Raw!H235+"h_l!)83"</f>
        <v>#VALUE!</v>
      </c>
      <c r="AJ192" t="e">
        <f>Raw!I235+"h_l!)84"</f>
        <v>#VALUE!</v>
      </c>
      <c r="AK192" t="e">
        <f>Raw!J235+"h_l!)85"</f>
        <v>#VALUE!</v>
      </c>
      <c r="AL192" t="e">
        <f>Raw!K235+"h_l!)86"</f>
        <v>#VALUE!</v>
      </c>
      <c r="AM192" t="e">
        <f>Raw!L235+"h_l!)87"</f>
        <v>#VALUE!</v>
      </c>
      <c r="AN192" t="e">
        <f>Raw!M235+"h_l!)88"</f>
        <v>#VALUE!</v>
      </c>
      <c r="AO192" t="e">
        <f>Raw!N235+"h_l!)89"</f>
        <v>#VALUE!</v>
      </c>
      <c r="AP192" t="e">
        <f>Raw!O235+"h_l!)8:"</f>
        <v>#VALUE!</v>
      </c>
      <c r="AQ192" t="e">
        <f>Raw!P235+"h_l!)8;"</f>
        <v>#VALUE!</v>
      </c>
      <c r="AR192" t="e">
        <f>Raw!Q235+"h_l!)8&lt;"</f>
        <v>#VALUE!</v>
      </c>
      <c r="AS192" t="e">
        <f>Raw!R235+"h_l!)8="</f>
        <v>#VALUE!</v>
      </c>
      <c r="AT192" t="e">
        <f>Raw!S235+"h_l!)8&gt;"</f>
        <v>#VALUE!</v>
      </c>
      <c r="AU192" t="e">
        <f>Raw!T235+"h_l!)8?"</f>
        <v>#VALUE!</v>
      </c>
      <c r="AV192" t="e">
        <f>Raw!U235+"h_l!)8@"</f>
        <v>#VALUE!</v>
      </c>
      <c r="AW192" t="e">
        <f>Raw!V235+"h_l!)8A"</f>
        <v>#VALUE!</v>
      </c>
      <c r="AX192" t="e">
        <f>Raw!W235+"h_l!)8B"</f>
        <v>#VALUE!</v>
      </c>
      <c r="AY192" t="e">
        <f>Raw!A236+"h_l!)8C"</f>
        <v>#VALUE!</v>
      </c>
      <c r="AZ192" t="e">
        <f>Raw!B236+"h_l!)8D"</f>
        <v>#VALUE!</v>
      </c>
      <c r="BA192" t="e">
        <f>Raw!C236+"h_l!)8E"</f>
        <v>#VALUE!</v>
      </c>
      <c r="BB192" t="e">
        <f>Raw!D236+"h_l!)8F"</f>
        <v>#VALUE!</v>
      </c>
      <c r="BC192" t="e">
        <f>Raw!E236+"h_l!)8G"</f>
        <v>#VALUE!</v>
      </c>
      <c r="BD192" t="e">
        <f>Raw!#REF!+"h_l!)8H"</f>
        <v>#REF!</v>
      </c>
      <c r="BE192" t="e">
        <f>Raw!G236+"h_l!)8I"</f>
        <v>#VALUE!</v>
      </c>
      <c r="BF192" t="e">
        <f>Raw!H236+"h_l!)8J"</f>
        <v>#VALUE!</v>
      </c>
      <c r="BG192" t="e">
        <f>Raw!I236+"h_l!)8K"</f>
        <v>#VALUE!</v>
      </c>
      <c r="BH192" t="e">
        <f>Raw!J236+"h_l!)8L"</f>
        <v>#VALUE!</v>
      </c>
      <c r="BI192" t="e">
        <f>Raw!K236+"h_l!)8M"</f>
        <v>#VALUE!</v>
      </c>
      <c r="BJ192" t="e">
        <f>Raw!L236+"h_l!)8N"</f>
        <v>#VALUE!</v>
      </c>
      <c r="BK192" t="e">
        <f>Raw!M236+"h_l!)8O"</f>
        <v>#VALUE!</v>
      </c>
      <c r="BL192" t="e">
        <f>Raw!N236+"h_l!)8P"</f>
        <v>#VALUE!</v>
      </c>
      <c r="BM192" t="e">
        <f>Raw!O236+"h_l!)8Q"</f>
        <v>#VALUE!</v>
      </c>
      <c r="BN192" t="e">
        <f>Raw!P236+"h_l!)8R"</f>
        <v>#VALUE!</v>
      </c>
      <c r="BO192" t="e">
        <f>Raw!Q236+"h_l!)8S"</f>
        <v>#VALUE!</v>
      </c>
      <c r="BP192" t="e">
        <f>Raw!R236+"h_l!)8T"</f>
        <v>#VALUE!</v>
      </c>
      <c r="BQ192" t="e">
        <f>Raw!S236+"h_l!)8U"</f>
        <v>#VALUE!</v>
      </c>
      <c r="BR192" t="e">
        <f>Raw!T236+"h_l!)8V"</f>
        <v>#VALUE!</v>
      </c>
      <c r="BS192" t="e">
        <f>Raw!U236+"h_l!)8W"</f>
        <v>#VALUE!</v>
      </c>
      <c r="BT192" t="e">
        <f>Raw!V236+"h_l!)8X"</f>
        <v>#VALUE!</v>
      </c>
      <c r="BU192" t="e">
        <f>Raw!W236+"h_l!)8Y"</f>
        <v>#VALUE!</v>
      </c>
      <c r="BV192" t="e">
        <f>Raw!A237+"h_l!)8Z"</f>
        <v>#VALUE!</v>
      </c>
      <c r="BW192" t="e">
        <f>Raw!B237+"h_l!)8["</f>
        <v>#VALUE!</v>
      </c>
      <c r="BX192" t="e">
        <f>Raw!C237+"h_l!)8\"</f>
        <v>#VALUE!</v>
      </c>
      <c r="BY192" t="e">
        <f>Raw!D237+"h_l!)8]"</f>
        <v>#VALUE!</v>
      </c>
      <c r="BZ192" t="e">
        <f>Raw!E237+"h_l!)8^"</f>
        <v>#VALUE!</v>
      </c>
      <c r="CA192" t="e">
        <f>Raw!#REF!+"h_l!)8_"</f>
        <v>#REF!</v>
      </c>
      <c r="CB192" t="e">
        <f>Raw!G237+"h_l!)8`"</f>
        <v>#VALUE!</v>
      </c>
      <c r="CC192" t="e">
        <f>Raw!H237+"h_l!)8a"</f>
        <v>#VALUE!</v>
      </c>
      <c r="CD192" t="e">
        <f>Raw!I237+"h_l!)8b"</f>
        <v>#VALUE!</v>
      </c>
      <c r="CE192" t="e">
        <f>Raw!J237+"h_l!)8c"</f>
        <v>#VALUE!</v>
      </c>
      <c r="CF192" t="e">
        <f>Raw!K237+"h_l!)8d"</f>
        <v>#VALUE!</v>
      </c>
      <c r="CG192" t="e">
        <f>Raw!L237+"h_l!)8e"</f>
        <v>#VALUE!</v>
      </c>
      <c r="CH192" t="e">
        <f>Raw!M237+"h_l!)8f"</f>
        <v>#VALUE!</v>
      </c>
      <c r="CI192" t="e">
        <f>Raw!N237+"h_l!)8g"</f>
        <v>#VALUE!</v>
      </c>
      <c r="CJ192" t="e">
        <f>Raw!O237+"h_l!)8h"</f>
        <v>#VALUE!</v>
      </c>
      <c r="CK192" t="e">
        <f>Raw!P237+"h_l!)8i"</f>
        <v>#VALUE!</v>
      </c>
      <c r="CL192" t="e">
        <f>Raw!Q237+"h_l!)8j"</f>
        <v>#VALUE!</v>
      </c>
      <c r="CM192" t="e">
        <f>Raw!R237+"h_l!)8k"</f>
        <v>#VALUE!</v>
      </c>
      <c r="CN192" t="e">
        <f>Raw!S237+"h_l!)8l"</f>
        <v>#VALUE!</v>
      </c>
      <c r="CO192" t="e">
        <f>Raw!T237+"h_l!)8m"</f>
        <v>#VALUE!</v>
      </c>
      <c r="CP192" t="e">
        <f>Raw!U237+"h_l!)8n"</f>
        <v>#VALUE!</v>
      </c>
      <c r="CQ192" t="e">
        <f>Raw!V237+"h_l!)8o"</f>
        <v>#VALUE!</v>
      </c>
      <c r="CR192" t="e">
        <f>Raw!W237+"h_l!)8p"</f>
        <v>#VALUE!</v>
      </c>
      <c r="CS192" t="e">
        <f>Raw!A238+"h_l!)8q"</f>
        <v>#VALUE!</v>
      </c>
      <c r="CT192" t="e">
        <f>Raw!B238+"h_l!)8r"</f>
        <v>#VALUE!</v>
      </c>
      <c r="CU192" t="e">
        <f>Raw!C238+"h_l!)8s"</f>
        <v>#VALUE!</v>
      </c>
      <c r="CV192" t="e">
        <f>Raw!D238+"h_l!)8t"</f>
        <v>#VALUE!</v>
      </c>
      <c r="CW192" t="e">
        <f>Raw!E238+"h_l!)8u"</f>
        <v>#VALUE!</v>
      </c>
      <c r="CX192" t="e">
        <f>Raw!#REF!+"h_l!)8v"</f>
        <v>#REF!</v>
      </c>
      <c r="CY192" t="e">
        <f>Raw!G238+"h_l!)8w"</f>
        <v>#VALUE!</v>
      </c>
      <c r="CZ192" t="e">
        <f>Raw!H238+"h_l!)8x"</f>
        <v>#VALUE!</v>
      </c>
      <c r="DA192" t="e">
        <f>Raw!I238+"h_l!)8y"</f>
        <v>#VALUE!</v>
      </c>
      <c r="DB192" t="e">
        <f>Raw!J238+"h_l!)8z"</f>
        <v>#VALUE!</v>
      </c>
      <c r="DC192" t="e">
        <f>Raw!K238+"h_l!)8{"</f>
        <v>#VALUE!</v>
      </c>
      <c r="DD192" t="e">
        <f>Raw!L238+"h_l!)8|"</f>
        <v>#VALUE!</v>
      </c>
      <c r="DE192" t="e">
        <f>Raw!M238+"h_l!)8}"</f>
        <v>#VALUE!</v>
      </c>
      <c r="DF192" t="e">
        <f>Raw!N238+"h_l!)8~"</f>
        <v>#VALUE!</v>
      </c>
      <c r="DG192" t="e">
        <f>Raw!O238+"h_l!)9#"</f>
        <v>#VALUE!</v>
      </c>
      <c r="DH192" t="e">
        <f>Raw!P238+"h_l!)9$"</f>
        <v>#VALUE!</v>
      </c>
      <c r="DI192" t="e">
        <f>Raw!Q238+"h_l!)9%"</f>
        <v>#VALUE!</v>
      </c>
      <c r="DJ192" t="e">
        <f>Raw!R238+"h_l!)9&amp;"</f>
        <v>#VALUE!</v>
      </c>
      <c r="DK192" t="e">
        <f>Raw!S238+"h_l!)9'"</f>
        <v>#VALUE!</v>
      </c>
      <c r="DL192" t="e">
        <f>Raw!T238+"h_l!)9("</f>
        <v>#VALUE!</v>
      </c>
      <c r="DM192" t="e">
        <f>Raw!U238+"h_l!)9)"</f>
        <v>#VALUE!</v>
      </c>
      <c r="DN192" t="e">
        <f>Raw!V238+"h_l!)9."</f>
        <v>#VALUE!</v>
      </c>
      <c r="DO192" t="e">
        <f>Raw!W238+"h_l!)9/"</f>
        <v>#VALUE!</v>
      </c>
      <c r="DP192" t="e">
        <f>Raw!A239+"h_l!)90"</f>
        <v>#VALUE!</v>
      </c>
      <c r="DQ192" t="e">
        <f>Raw!B239+"h_l!)91"</f>
        <v>#VALUE!</v>
      </c>
      <c r="DR192" t="e">
        <f>Raw!C239+"h_l!)92"</f>
        <v>#VALUE!</v>
      </c>
      <c r="DS192" t="e">
        <f>Raw!D239+"h_l!)93"</f>
        <v>#VALUE!</v>
      </c>
      <c r="DT192" t="e">
        <f>Raw!E239+"h_l!)94"</f>
        <v>#VALUE!</v>
      </c>
      <c r="DU192" t="e">
        <f>Raw!#REF!+"h_l!)95"</f>
        <v>#REF!</v>
      </c>
      <c r="DV192" t="e">
        <f>Raw!G239+"h_l!)96"</f>
        <v>#VALUE!</v>
      </c>
      <c r="DW192" t="e">
        <f>Raw!H239+"h_l!)97"</f>
        <v>#VALUE!</v>
      </c>
      <c r="DX192" t="e">
        <f>Raw!I239+"h_l!)98"</f>
        <v>#VALUE!</v>
      </c>
      <c r="DY192" t="e">
        <f>Raw!J239+"h_l!)99"</f>
        <v>#VALUE!</v>
      </c>
      <c r="DZ192" t="e">
        <f>Raw!K239+"h_l!)9:"</f>
        <v>#VALUE!</v>
      </c>
      <c r="EA192" t="e">
        <f>Raw!L239+"h_l!)9;"</f>
        <v>#VALUE!</v>
      </c>
      <c r="EB192" t="e">
        <f>Raw!M239+"h_l!)9&lt;"</f>
        <v>#VALUE!</v>
      </c>
      <c r="EC192" t="e">
        <f>Raw!N239+"h_l!)9="</f>
        <v>#VALUE!</v>
      </c>
      <c r="ED192" t="e">
        <f>Raw!O239+"h_l!)9&gt;"</f>
        <v>#VALUE!</v>
      </c>
      <c r="EE192" t="e">
        <f>Raw!P239+"h_l!)9?"</f>
        <v>#VALUE!</v>
      </c>
      <c r="EF192" t="e">
        <f>Raw!Q239+"h_l!)9@"</f>
        <v>#VALUE!</v>
      </c>
      <c r="EG192" t="e">
        <f>Raw!R239+"h_l!)9A"</f>
        <v>#VALUE!</v>
      </c>
      <c r="EH192" t="e">
        <f>Raw!S239+"h_l!)9B"</f>
        <v>#VALUE!</v>
      </c>
      <c r="EI192" t="e">
        <f>Raw!T239+"h_l!)9C"</f>
        <v>#VALUE!</v>
      </c>
      <c r="EJ192" t="e">
        <f>Raw!U239+"h_l!)9D"</f>
        <v>#VALUE!</v>
      </c>
      <c r="EK192" t="e">
        <f>Raw!V239+"h_l!)9E"</f>
        <v>#VALUE!</v>
      </c>
      <c r="EL192" t="e">
        <f>Raw!W239+"h_l!)9F"</f>
        <v>#VALUE!</v>
      </c>
      <c r="EM192" t="e">
        <f>Raw!A240+"h_l!)9G"</f>
        <v>#VALUE!</v>
      </c>
      <c r="EN192" t="e">
        <f>Raw!B240+"h_l!)9H"</f>
        <v>#VALUE!</v>
      </c>
      <c r="EO192" t="e">
        <f>Raw!C240+"h_l!)9I"</f>
        <v>#VALUE!</v>
      </c>
      <c r="EP192" t="e">
        <f>Raw!D240+"h_l!)9J"</f>
        <v>#VALUE!</v>
      </c>
      <c r="EQ192" t="e">
        <f>Raw!E240+"h_l!)9K"</f>
        <v>#VALUE!</v>
      </c>
      <c r="ER192" t="e">
        <f>Raw!#REF!+"h_l!)9L"</f>
        <v>#REF!</v>
      </c>
      <c r="ES192" t="e">
        <f>Raw!G240+"h_l!)9M"</f>
        <v>#VALUE!</v>
      </c>
      <c r="ET192" t="e">
        <f>Raw!H240+"h_l!)9N"</f>
        <v>#VALUE!</v>
      </c>
      <c r="EU192" t="e">
        <f>Raw!I240+"h_l!)9O"</f>
        <v>#VALUE!</v>
      </c>
      <c r="EV192" t="e">
        <f>Raw!J240+"h_l!)9P"</f>
        <v>#VALUE!</v>
      </c>
      <c r="EW192" t="e">
        <f>Raw!K240+"h_l!)9Q"</f>
        <v>#VALUE!</v>
      </c>
      <c r="EX192" t="e">
        <f>Raw!L240+"h_l!)9R"</f>
        <v>#VALUE!</v>
      </c>
      <c r="EY192" t="e">
        <f>Raw!M240+"h_l!)9S"</f>
        <v>#VALUE!</v>
      </c>
      <c r="EZ192" t="e">
        <f>Raw!N240+"h_l!)9T"</f>
        <v>#VALUE!</v>
      </c>
      <c r="FA192" t="e">
        <f>Raw!O240+"h_l!)9U"</f>
        <v>#VALUE!</v>
      </c>
      <c r="FB192" t="e">
        <f>Raw!P240+"h_l!)9V"</f>
        <v>#VALUE!</v>
      </c>
      <c r="FC192" t="e">
        <f>Raw!Q240+"h_l!)9W"</f>
        <v>#VALUE!</v>
      </c>
      <c r="FD192" t="e">
        <f>Raw!R240+"h_l!)9X"</f>
        <v>#VALUE!</v>
      </c>
      <c r="FE192" t="e">
        <f>Raw!S240+"h_l!)9Y"</f>
        <v>#VALUE!</v>
      </c>
      <c r="FF192" t="e">
        <f>Raw!T240+"h_l!)9Z"</f>
        <v>#VALUE!</v>
      </c>
      <c r="FG192" t="e">
        <f>Raw!U240+"h_l!)9["</f>
        <v>#VALUE!</v>
      </c>
      <c r="FH192" t="e">
        <f>Raw!V240+"h_l!)9\"</f>
        <v>#VALUE!</v>
      </c>
      <c r="FI192" t="e">
        <f>Raw!W240+"h_l!)9]"</f>
        <v>#VALUE!</v>
      </c>
      <c r="FJ192" t="e">
        <f>Raw!A241+"h_l!)9^"</f>
        <v>#VALUE!</v>
      </c>
      <c r="FK192" t="e">
        <f>Raw!B241+"h_l!)9_"</f>
        <v>#VALUE!</v>
      </c>
      <c r="FL192" t="e">
        <f>Raw!C241+"h_l!)9`"</f>
        <v>#VALUE!</v>
      </c>
      <c r="FM192" t="e">
        <f>Raw!D241+"h_l!)9a"</f>
        <v>#VALUE!</v>
      </c>
      <c r="FN192" t="e">
        <f>Raw!E241+"h_l!)9b"</f>
        <v>#VALUE!</v>
      </c>
      <c r="FO192" t="e">
        <f>Raw!#REF!+"h_l!)9c"</f>
        <v>#REF!</v>
      </c>
      <c r="FP192" t="e">
        <f>Raw!G241+"h_l!)9d"</f>
        <v>#VALUE!</v>
      </c>
      <c r="FQ192" t="e">
        <f>Raw!H241+"h_l!)9e"</f>
        <v>#VALUE!</v>
      </c>
      <c r="FR192" t="e">
        <f>Raw!I241+"h_l!)9f"</f>
        <v>#VALUE!</v>
      </c>
      <c r="FS192" t="e">
        <f>Raw!J241+"h_l!)9g"</f>
        <v>#VALUE!</v>
      </c>
      <c r="FT192" t="e">
        <f>Raw!K241+"h_l!)9h"</f>
        <v>#VALUE!</v>
      </c>
      <c r="FU192" t="e">
        <f>Raw!L241+"h_l!)9i"</f>
        <v>#VALUE!</v>
      </c>
      <c r="FV192" t="e">
        <f>Raw!M241+"h_l!)9j"</f>
        <v>#VALUE!</v>
      </c>
      <c r="FW192" t="e">
        <f>Raw!N241+"h_l!)9k"</f>
        <v>#VALUE!</v>
      </c>
      <c r="FX192" t="e">
        <f>Raw!O241+"h_l!)9l"</f>
        <v>#VALUE!</v>
      </c>
      <c r="FY192" t="e">
        <f>Raw!P241+"h_l!)9m"</f>
        <v>#VALUE!</v>
      </c>
      <c r="FZ192" t="e">
        <f>Raw!Q241+"h_l!)9n"</f>
        <v>#VALUE!</v>
      </c>
      <c r="GA192" t="e">
        <f>Raw!R241+"h_l!)9o"</f>
        <v>#VALUE!</v>
      </c>
      <c r="GB192" t="e">
        <f>Raw!S241+"h_l!)9p"</f>
        <v>#VALUE!</v>
      </c>
      <c r="GC192" t="e">
        <f>Raw!T241+"h_l!)9q"</f>
        <v>#VALUE!</v>
      </c>
      <c r="GD192" t="e">
        <f>Raw!U241+"h_l!)9r"</f>
        <v>#VALUE!</v>
      </c>
      <c r="GE192" t="e">
        <f>Raw!V241+"h_l!)9s"</f>
        <v>#VALUE!</v>
      </c>
      <c r="GF192" t="e">
        <f>Raw!W241+"h_l!)9t"</f>
        <v>#VALUE!</v>
      </c>
      <c r="GG192" t="e">
        <f>Raw!A242+"h_l!)9u"</f>
        <v>#VALUE!</v>
      </c>
      <c r="GH192" t="e">
        <f>Raw!B242+"h_l!)9v"</f>
        <v>#VALUE!</v>
      </c>
      <c r="GI192" t="e">
        <f>Raw!C242+"h_l!)9w"</f>
        <v>#VALUE!</v>
      </c>
      <c r="GJ192" t="e">
        <f>Raw!D242+"h_l!)9x"</f>
        <v>#VALUE!</v>
      </c>
      <c r="GK192" t="e">
        <f>Raw!E242+"h_l!)9y"</f>
        <v>#VALUE!</v>
      </c>
      <c r="GL192" t="e">
        <f>Raw!#REF!+"h_l!)9z"</f>
        <v>#REF!</v>
      </c>
      <c r="GM192" t="e">
        <f>Raw!G242+"h_l!)9{"</f>
        <v>#VALUE!</v>
      </c>
      <c r="GN192" t="e">
        <f>Raw!H242+"h_l!)9|"</f>
        <v>#VALUE!</v>
      </c>
      <c r="GO192" t="e">
        <f>Raw!I242+"h_l!)9}"</f>
        <v>#VALUE!</v>
      </c>
      <c r="GP192" t="e">
        <f>Raw!J242+"h_l!)9~"</f>
        <v>#VALUE!</v>
      </c>
      <c r="GQ192" t="e">
        <f>Raw!K242+"h_l!):#"</f>
        <v>#VALUE!</v>
      </c>
      <c r="GR192" t="e">
        <f>Raw!L242+"h_l!):$"</f>
        <v>#VALUE!</v>
      </c>
      <c r="GS192" t="e">
        <f>Raw!M242+"h_l!):%"</f>
        <v>#VALUE!</v>
      </c>
      <c r="GT192" t="e">
        <f>Raw!N242+"h_l!):&amp;"</f>
        <v>#VALUE!</v>
      </c>
      <c r="GU192" t="e">
        <f>Raw!O242+"h_l!):'"</f>
        <v>#VALUE!</v>
      </c>
      <c r="GV192" t="e">
        <f>Raw!P242+"h_l!):("</f>
        <v>#VALUE!</v>
      </c>
      <c r="GW192" t="e">
        <f>Raw!Q242+"h_l!):)"</f>
        <v>#VALUE!</v>
      </c>
      <c r="GX192" t="e">
        <f>Raw!R242+"h_l!):."</f>
        <v>#VALUE!</v>
      </c>
      <c r="GY192" t="e">
        <f>Raw!S242+"h_l!):/"</f>
        <v>#VALUE!</v>
      </c>
      <c r="GZ192" t="e">
        <f>Raw!T242+"h_l!):0"</f>
        <v>#VALUE!</v>
      </c>
      <c r="HA192" t="e">
        <f>Raw!U242+"h_l!):1"</f>
        <v>#VALUE!</v>
      </c>
      <c r="HB192" t="e">
        <f>Raw!V242+"h_l!):2"</f>
        <v>#VALUE!</v>
      </c>
      <c r="HC192" t="e">
        <f>Raw!W242+"h_l!):3"</f>
        <v>#VALUE!</v>
      </c>
      <c r="HD192" t="e">
        <f>Raw!A243+"h_l!):4"</f>
        <v>#VALUE!</v>
      </c>
      <c r="HE192" t="e">
        <f>Raw!B243+"h_l!):5"</f>
        <v>#VALUE!</v>
      </c>
      <c r="HF192" t="e">
        <f>Raw!C243+"h_l!):6"</f>
        <v>#VALUE!</v>
      </c>
      <c r="HG192" t="e">
        <f>Raw!D243+"h_l!):7"</f>
        <v>#VALUE!</v>
      </c>
      <c r="HH192" t="e">
        <f>Raw!E243+"h_l!):8"</f>
        <v>#VALUE!</v>
      </c>
      <c r="HI192" t="e">
        <f>Raw!#REF!+"h_l!):9"</f>
        <v>#REF!</v>
      </c>
      <c r="HJ192" t="e">
        <f>Raw!G243+"h_l!)::"</f>
        <v>#VALUE!</v>
      </c>
      <c r="HK192" t="e">
        <f>Raw!H243+"h_l!):;"</f>
        <v>#VALUE!</v>
      </c>
      <c r="HL192" t="e">
        <f>Raw!I243+"h_l!):&lt;"</f>
        <v>#VALUE!</v>
      </c>
      <c r="HM192" t="e">
        <f>Raw!J243+"h_l!):="</f>
        <v>#VALUE!</v>
      </c>
      <c r="HN192" t="e">
        <f>Raw!K243+"h_l!):&gt;"</f>
        <v>#VALUE!</v>
      </c>
      <c r="HO192" t="e">
        <f>Raw!L243+"h_l!):?"</f>
        <v>#VALUE!</v>
      </c>
      <c r="HP192" t="e">
        <f>Raw!M243+"h_l!):@"</f>
        <v>#VALUE!</v>
      </c>
      <c r="HQ192" t="e">
        <f>Raw!N243+"h_l!):A"</f>
        <v>#VALUE!</v>
      </c>
      <c r="HR192" t="e">
        <f>Raw!O243+"h_l!):B"</f>
        <v>#VALUE!</v>
      </c>
      <c r="HS192" t="e">
        <f>Raw!P243+"h_l!):C"</f>
        <v>#VALUE!</v>
      </c>
      <c r="HT192" t="e">
        <f>Raw!Q243+"h_l!):D"</f>
        <v>#VALUE!</v>
      </c>
      <c r="HU192" t="e">
        <f>Raw!R243+"h_l!):E"</f>
        <v>#VALUE!</v>
      </c>
      <c r="HV192" t="e">
        <f>Raw!S243+"h_l!):F"</f>
        <v>#VALUE!</v>
      </c>
      <c r="HW192" t="e">
        <f>Raw!T243+"h_l!):G"</f>
        <v>#VALUE!</v>
      </c>
      <c r="HX192" t="e">
        <f>Raw!U243+"h_l!):H"</f>
        <v>#VALUE!</v>
      </c>
      <c r="HY192" t="e">
        <f>Raw!V243+"h_l!):I"</f>
        <v>#VALUE!</v>
      </c>
      <c r="HZ192" t="e">
        <f>Raw!W243+"h_l!):J"</f>
        <v>#VALUE!</v>
      </c>
      <c r="IA192" t="e">
        <f>Raw!A244+"h_l!):K"</f>
        <v>#VALUE!</v>
      </c>
      <c r="IB192" t="e">
        <f>Raw!B244+"h_l!):L"</f>
        <v>#VALUE!</v>
      </c>
      <c r="IC192" t="e">
        <f>Raw!C244+"h_l!):M"</f>
        <v>#VALUE!</v>
      </c>
      <c r="ID192" t="e">
        <f>Raw!D244+"h_l!):N"</f>
        <v>#VALUE!</v>
      </c>
      <c r="IE192" t="e">
        <f>Raw!E244+"h_l!):O"</f>
        <v>#VALUE!</v>
      </c>
      <c r="IF192" t="e">
        <f>Raw!#REF!+"h_l!):P"</f>
        <v>#REF!</v>
      </c>
      <c r="IG192" t="e">
        <f>Raw!G244+"h_l!):Q"</f>
        <v>#VALUE!</v>
      </c>
      <c r="IH192" t="e">
        <f>Raw!H244+"h_l!):R"</f>
        <v>#VALUE!</v>
      </c>
      <c r="II192" t="e">
        <f>Raw!I244+"h_l!):S"</f>
        <v>#VALUE!</v>
      </c>
      <c r="IJ192" t="e">
        <f>Raw!J244+"h_l!):T"</f>
        <v>#VALUE!</v>
      </c>
      <c r="IK192" t="e">
        <f>Raw!K244+"h_l!):U"</f>
        <v>#VALUE!</v>
      </c>
      <c r="IL192" t="e">
        <f>Raw!L244+"h_l!):V"</f>
        <v>#VALUE!</v>
      </c>
      <c r="IM192" t="e">
        <f>Raw!M244+"h_l!):W"</f>
        <v>#VALUE!</v>
      </c>
      <c r="IN192" t="e">
        <f>Raw!N244+"h_l!):X"</f>
        <v>#VALUE!</v>
      </c>
      <c r="IO192" t="e">
        <f>Raw!O244+"h_l!):Y"</f>
        <v>#VALUE!</v>
      </c>
      <c r="IP192" t="e">
        <f>Raw!P244+"h_l!):Z"</f>
        <v>#VALUE!</v>
      </c>
      <c r="IQ192" t="e">
        <f>Raw!Q244+"h_l!):["</f>
        <v>#VALUE!</v>
      </c>
      <c r="IR192" t="e">
        <f>Raw!R244+"h_l!):\"</f>
        <v>#VALUE!</v>
      </c>
      <c r="IS192" t="e">
        <f>Raw!S244+"h_l!):]"</f>
        <v>#VALUE!</v>
      </c>
      <c r="IT192" t="e">
        <f>Raw!T244+"h_l!):^"</f>
        <v>#VALUE!</v>
      </c>
      <c r="IU192" t="e">
        <f>Raw!U244+"h_l!):_"</f>
        <v>#VALUE!</v>
      </c>
      <c r="IV192" t="e">
        <f>Raw!V244+"h_l!):`"</f>
        <v>#VALUE!</v>
      </c>
    </row>
    <row r="193" spans="6:256" x14ac:dyDescent="0.25">
      <c r="F193" t="e">
        <f>Raw!W244+"h_l!):a"</f>
        <v>#VALUE!</v>
      </c>
      <c r="G193" t="e">
        <f>Raw!A245+"h_l!):b"</f>
        <v>#VALUE!</v>
      </c>
      <c r="H193" t="e">
        <f>Raw!B245+"h_l!):c"</f>
        <v>#VALUE!</v>
      </c>
      <c r="I193" t="e">
        <f>Raw!C245+"h_l!):d"</f>
        <v>#VALUE!</v>
      </c>
      <c r="J193" t="e">
        <f>Raw!D245+"h_l!):e"</f>
        <v>#VALUE!</v>
      </c>
      <c r="K193" t="e">
        <f>Raw!E245+"h_l!):f"</f>
        <v>#VALUE!</v>
      </c>
      <c r="L193" t="e">
        <f>Raw!#REF!+"h_l!):g"</f>
        <v>#REF!</v>
      </c>
      <c r="M193" t="e">
        <f>Raw!G245+"h_l!):h"</f>
        <v>#VALUE!</v>
      </c>
      <c r="N193" t="e">
        <f>Raw!H245+"h_l!):i"</f>
        <v>#VALUE!</v>
      </c>
      <c r="O193" t="e">
        <f>Raw!I245+"h_l!):j"</f>
        <v>#VALUE!</v>
      </c>
      <c r="P193" t="e">
        <f>Raw!J245+"h_l!):k"</f>
        <v>#VALUE!</v>
      </c>
      <c r="Q193" t="e">
        <f>Raw!K245+"h_l!):l"</f>
        <v>#VALUE!</v>
      </c>
      <c r="R193" t="e">
        <f>Raw!L245+"h_l!):m"</f>
        <v>#VALUE!</v>
      </c>
      <c r="S193" t="e">
        <f>Raw!M245+"h_l!):n"</f>
        <v>#VALUE!</v>
      </c>
      <c r="T193" t="e">
        <f>Raw!N245+"h_l!):o"</f>
        <v>#VALUE!</v>
      </c>
      <c r="U193" t="e">
        <f>Raw!O245+"h_l!):p"</f>
        <v>#VALUE!</v>
      </c>
      <c r="V193" t="e">
        <f>Raw!P245+"h_l!):q"</f>
        <v>#VALUE!</v>
      </c>
      <c r="W193" t="e">
        <f>Raw!Q245+"h_l!):r"</f>
        <v>#VALUE!</v>
      </c>
      <c r="X193" t="e">
        <f>Raw!R245+"h_l!):s"</f>
        <v>#VALUE!</v>
      </c>
      <c r="Y193" t="e">
        <f>Raw!S245+"h_l!):t"</f>
        <v>#VALUE!</v>
      </c>
      <c r="Z193" t="e">
        <f>Raw!T245+"h_l!):u"</f>
        <v>#VALUE!</v>
      </c>
      <c r="AA193" t="e">
        <f>Raw!U245+"h_l!):v"</f>
        <v>#VALUE!</v>
      </c>
      <c r="AB193" t="e">
        <f>Raw!V245+"h_l!):w"</f>
        <v>#VALUE!</v>
      </c>
      <c r="AC193" t="e">
        <f>Raw!W245+"h_l!):x"</f>
        <v>#VALUE!</v>
      </c>
      <c r="AD193" t="e">
        <f>Raw!A246+"h_l!):y"</f>
        <v>#VALUE!</v>
      </c>
      <c r="AE193" t="e">
        <f>Raw!B246+"h_l!):z"</f>
        <v>#VALUE!</v>
      </c>
      <c r="AF193" t="e">
        <f>Raw!C246+"h_l!):{"</f>
        <v>#VALUE!</v>
      </c>
      <c r="AG193" t="e">
        <f>Raw!D246+"h_l!):|"</f>
        <v>#VALUE!</v>
      </c>
      <c r="AH193" t="e">
        <f>Raw!E246+"h_l!):}"</f>
        <v>#VALUE!</v>
      </c>
      <c r="AI193" t="e">
        <f>Raw!#REF!+"h_l!):~"</f>
        <v>#REF!</v>
      </c>
      <c r="AJ193" t="e">
        <f>Raw!G246+"h_l!);#"</f>
        <v>#VALUE!</v>
      </c>
      <c r="AK193" t="e">
        <f>Raw!H246+"h_l!);$"</f>
        <v>#VALUE!</v>
      </c>
      <c r="AL193" t="e">
        <f>Raw!I246+"h_l!);%"</f>
        <v>#VALUE!</v>
      </c>
      <c r="AM193" t="e">
        <f>Raw!J246+"h_l!);&amp;"</f>
        <v>#VALUE!</v>
      </c>
      <c r="AN193" t="e">
        <f>Raw!K246+"h_l!);'"</f>
        <v>#VALUE!</v>
      </c>
      <c r="AO193" t="e">
        <f>Raw!L246+"h_l!);("</f>
        <v>#VALUE!</v>
      </c>
      <c r="AP193" t="e">
        <f>Raw!M246+"h_l!);)"</f>
        <v>#VALUE!</v>
      </c>
      <c r="AQ193" t="e">
        <f>Raw!N246+"h_l!);."</f>
        <v>#VALUE!</v>
      </c>
      <c r="AR193" t="e">
        <f>Raw!O246+"h_l!);/"</f>
        <v>#VALUE!</v>
      </c>
      <c r="AS193" t="e">
        <f>Raw!P246+"h_l!);0"</f>
        <v>#VALUE!</v>
      </c>
      <c r="AT193" t="e">
        <f>Raw!Q246+"h_l!);1"</f>
        <v>#VALUE!</v>
      </c>
      <c r="AU193" t="e">
        <f>Raw!R246+"h_l!);2"</f>
        <v>#VALUE!</v>
      </c>
      <c r="AV193" t="e">
        <f>Raw!S246+"h_l!);3"</f>
        <v>#VALUE!</v>
      </c>
      <c r="AW193" t="e">
        <f>Raw!T246+"h_l!);4"</f>
        <v>#VALUE!</v>
      </c>
      <c r="AX193" t="e">
        <f>Raw!U246+"h_l!);5"</f>
        <v>#VALUE!</v>
      </c>
      <c r="AY193" t="e">
        <f>Raw!V246+"h_l!);6"</f>
        <v>#VALUE!</v>
      </c>
      <c r="AZ193" t="e">
        <f>Raw!W246+"h_l!);7"</f>
        <v>#VALUE!</v>
      </c>
      <c r="BA193" t="e">
        <f>Raw!A247+"h_l!);8"</f>
        <v>#VALUE!</v>
      </c>
      <c r="BB193" t="e">
        <f>Raw!B247+"h_l!);9"</f>
        <v>#VALUE!</v>
      </c>
      <c r="BC193" t="e">
        <f>Raw!C247+"h_l!);:"</f>
        <v>#VALUE!</v>
      </c>
      <c r="BD193" t="e">
        <f>Raw!D247+"h_l!);;"</f>
        <v>#VALUE!</v>
      </c>
      <c r="BE193" t="e">
        <f>Raw!E247+"h_l!);&lt;"</f>
        <v>#VALUE!</v>
      </c>
      <c r="BF193" t="e">
        <f>Raw!#REF!+"h_l!);="</f>
        <v>#REF!</v>
      </c>
      <c r="BG193" t="e">
        <f>Raw!G247+"h_l!);&gt;"</f>
        <v>#VALUE!</v>
      </c>
      <c r="BH193" t="e">
        <f>Raw!H247+"h_l!);?"</f>
        <v>#VALUE!</v>
      </c>
      <c r="BI193" t="e">
        <f>Raw!I247+"h_l!);@"</f>
        <v>#VALUE!</v>
      </c>
      <c r="BJ193" t="e">
        <f>Raw!J247+"h_l!);A"</f>
        <v>#VALUE!</v>
      </c>
      <c r="BK193" t="e">
        <f>Raw!K247+"h_l!);B"</f>
        <v>#VALUE!</v>
      </c>
      <c r="BL193" t="e">
        <f>Raw!L247+"h_l!);C"</f>
        <v>#VALUE!</v>
      </c>
      <c r="BM193" t="e">
        <f>Raw!M247+"h_l!);D"</f>
        <v>#VALUE!</v>
      </c>
      <c r="BN193" t="e">
        <f>Raw!N247+"h_l!);E"</f>
        <v>#VALUE!</v>
      </c>
      <c r="BO193" t="e">
        <f>Raw!O247+"h_l!);F"</f>
        <v>#VALUE!</v>
      </c>
      <c r="BP193" t="e">
        <f>Raw!P247+"h_l!);G"</f>
        <v>#VALUE!</v>
      </c>
      <c r="BQ193" t="e">
        <f>Raw!Q247+"h_l!);H"</f>
        <v>#VALUE!</v>
      </c>
      <c r="BR193" t="e">
        <f>Raw!R247+"h_l!);I"</f>
        <v>#VALUE!</v>
      </c>
      <c r="BS193" t="e">
        <f>Raw!S247+"h_l!);J"</f>
        <v>#VALUE!</v>
      </c>
      <c r="BT193" t="e">
        <f>Raw!T247+"h_l!);K"</f>
        <v>#VALUE!</v>
      </c>
      <c r="BU193" t="e">
        <f>Raw!U247+"h_l!);L"</f>
        <v>#VALUE!</v>
      </c>
      <c r="BV193" t="e">
        <f>Raw!V247+"h_l!);M"</f>
        <v>#VALUE!</v>
      </c>
      <c r="BW193" t="e">
        <f>Raw!W247+"h_l!);N"</f>
        <v>#VALUE!</v>
      </c>
      <c r="BX193" t="e">
        <f>Raw!A248+"h_l!);O"</f>
        <v>#VALUE!</v>
      </c>
      <c r="BY193" t="e">
        <f>Raw!B248+"h_l!);P"</f>
        <v>#VALUE!</v>
      </c>
      <c r="BZ193" t="e">
        <f>Raw!C248+"h_l!);Q"</f>
        <v>#VALUE!</v>
      </c>
      <c r="CA193" t="e">
        <f>Raw!D248+"h_l!);R"</f>
        <v>#VALUE!</v>
      </c>
      <c r="CB193" t="e">
        <f>Raw!E248+"h_l!);S"</f>
        <v>#VALUE!</v>
      </c>
      <c r="CC193" t="e">
        <f>Raw!#REF!+"h_l!);T"</f>
        <v>#REF!</v>
      </c>
      <c r="CD193" t="e">
        <f>Raw!G248+"h_l!);U"</f>
        <v>#VALUE!</v>
      </c>
      <c r="CE193" t="e">
        <f>Raw!H248+"h_l!);V"</f>
        <v>#VALUE!</v>
      </c>
      <c r="CF193" t="e">
        <f>Raw!I248+"h_l!);W"</f>
        <v>#VALUE!</v>
      </c>
      <c r="CG193" t="e">
        <f>Raw!J248+"h_l!);X"</f>
        <v>#VALUE!</v>
      </c>
      <c r="CH193" t="e">
        <f>Raw!K248+"h_l!);Y"</f>
        <v>#VALUE!</v>
      </c>
      <c r="CI193" t="e">
        <f>Raw!L248+"h_l!);Z"</f>
        <v>#VALUE!</v>
      </c>
      <c r="CJ193" t="e">
        <f>Raw!M248+"h_l!);["</f>
        <v>#VALUE!</v>
      </c>
      <c r="CK193" t="e">
        <f>Raw!N248+"h_l!);\"</f>
        <v>#VALUE!</v>
      </c>
      <c r="CL193" t="e">
        <f>Raw!O248+"h_l!);]"</f>
        <v>#VALUE!</v>
      </c>
      <c r="CM193" t="e">
        <f>Raw!P248+"h_l!);^"</f>
        <v>#VALUE!</v>
      </c>
      <c r="CN193" t="e">
        <f>Raw!Q248+"h_l!);_"</f>
        <v>#VALUE!</v>
      </c>
      <c r="CO193" t="e">
        <f>Raw!R248+"h_l!);`"</f>
        <v>#VALUE!</v>
      </c>
      <c r="CP193" t="e">
        <f>Raw!S248+"h_l!);a"</f>
        <v>#VALUE!</v>
      </c>
      <c r="CQ193" t="e">
        <f>Raw!T248+"h_l!);b"</f>
        <v>#VALUE!</v>
      </c>
      <c r="CR193" t="e">
        <f>Raw!U248+"h_l!);c"</f>
        <v>#VALUE!</v>
      </c>
      <c r="CS193" t="e">
        <f>Raw!V248+"h_l!);d"</f>
        <v>#VALUE!</v>
      </c>
      <c r="CT193" t="e">
        <f>Raw!W248+"h_l!);e"</f>
        <v>#VALUE!</v>
      </c>
      <c r="CU193" t="e">
        <f>Raw!A249+"h_l!);f"</f>
        <v>#VALUE!</v>
      </c>
      <c r="CV193" t="e">
        <f>Raw!B249+"h_l!);g"</f>
        <v>#VALUE!</v>
      </c>
      <c r="CW193" t="e">
        <f>Raw!C249+"h_l!);h"</f>
        <v>#VALUE!</v>
      </c>
      <c r="CX193" t="e">
        <f>Raw!D249+"h_l!);i"</f>
        <v>#VALUE!</v>
      </c>
      <c r="CY193" t="e">
        <f>Raw!E249+"h_l!);j"</f>
        <v>#VALUE!</v>
      </c>
      <c r="CZ193" t="e">
        <f>Raw!#REF!+"h_l!);k"</f>
        <v>#REF!</v>
      </c>
      <c r="DA193" t="e">
        <f>Raw!G249+"h_l!);l"</f>
        <v>#VALUE!</v>
      </c>
      <c r="DB193" t="e">
        <f>Raw!H249+"h_l!);m"</f>
        <v>#VALUE!</v>
      </c>
      <c r="DC193" t="e">
        <f>Raw!I249+"h_l!);n"</f>
        <v>#VALUE!</v>
      </c>
      <c r="DD193" t="e">
        <f>Raw!J249+"h_l!);o"</f>
        <v>#VALUE!</v>
      </c>
      <c r="DE193" t="e">
        <f>Raw!K249+"h_l!);p"</f>
        <v>#VALUE!</v>
      </c>
      <c r="DF193" t="e">
        <f>Raw!L249+"h_l!);q"</f>
        <v>#VALUE!</v>
      </c>
      <c r="DG193" t="e">
        <f>Raw!M249+"h_l!);r"</f>
        <v>#VALUE!</v>
      </c>
      <c r="DH193" t="e">
        <f>Raw!N249+"h_l!);s"</f>
        <v>#VALUE!</v>
      </c>
      <c r="DI193" t="e">
        <f>Raw!O249+"h_l!);t"</f>
        <v>#VALUE!</v>
      </c>
      <c r="DJ193" t="e">
        <f>Raw!P249+"h_l!);u"</f>
        <v>#VALUE!</v>
      </c>
      <c r="DK193" t="e">
        <f>Raw!Q249+"h_l!);v"</f>
        <v>#VALUE!</v>
      </c>
      <c r="DL193" t="e">
        <f>Raw!R249+"h_l!);w"</f>
        <v>#VALUE!</v>
      </c>
      <c r="DM193" t="e">
        <f>Raw!S249+"h_l!);x"</f>
        <v>#VALUE!</v>
      </c>
      <c r="DN193" t="e">
        <f>Raw!T249+"h_l!);y"</f>
        <v>#VALUE!</v>
      </c>
      <c r="DO193" t="e">
        <f>Raw!U249+"h_l!);z"</f>
        <v>#VALUE!</v>
      </c>
      <c r="DP193" t="e">
        <f>Raw!V249+"h_l!);{"</f>
        <v>#VALUE!</v>
      </c>
      <c r="DQ193" t="e">
        <f>Raw!W249+"h_l!);|"</f>
        <v>#VALUE!</v>
      </c>
      <c r="DR193" t="e">
        <f>Raw!A250+"h_l!);}"</f>
        <v>#VALUE!</v>
      </c>
      <c r="DS193" t="e">
        <f>Raw!B250+"h_l!);~"</f>
        <v>#VALUE!</v>
      </c>
      <c r="DT193" t="e">
        <f>Raw!C250+"h_l!)&lt;#"</f>
        <v>#VALUE!</v>
      </c>
      <c r="DU193" t="e">
        <f>Raw!D250+"h_l!)&lt;$"</f>
        <v>#VALUE!</v>
      </c>
      <c r="DV193" t="e">
        <f>Raw!E250+"h_l!)&lt;%"</f>
        <v>#VALUE!</v>
      </c>
      <c r="DW193" t="e">
        <f>Raw!#REF!+"h_l!)&lt;&amp;"</f>
        <v>#REF!</v>
      </c>
      <c r="DX193" t="e">
        <f>Raw!G250+"h_l!)&lt;'"</f>
        <v>#VALUE!</v>
      </c>
      <c r="DY193" t="e">
        <f>Raw!H250+"h_l!)&lt;("</f>
        <v>#VALUE!</v>
      </c>
      <c r="DZ193" t="e">
        <f>Raw!I250+"h_l!)&lt;)"</f>
        <v>#VALUE!</v>
      </c>
      <c r="EA193" t="e">
        <f>Raw!J250+"h_l!)&lt;."</f>
        <v>#VALUE!</v>
      </c>
      <c r="EB193" t="e">
        <f>Raw!K250+"h_l!)&lt;/"</f>
        <v>#VALUE!</v>
      </c>
      <c r="EC193" t="e">
        <f>Raw!L250+"h_l!)&lt;0"</f>
        <v>#VALUE!</v>
      </c>
      <c r="ED193" t="e">
        <f>Raw!M250+"h_l!)&lt;1"</f>
        <v>#VALUE!</v>
      </c>
      <c r="EE193" t="e">
        <f>Raw!N250+"h_l!)&lt;2"</f>
        <v>#VALUE!</v>
      </c>
      <c r="EF193" t="e">
        <f>Raw!O250+"h_l!)&lt;3"</f>
        <v>#VALUE!</v>
      </c>
      <c r="EG193" t="e">
        <f>Raw!P250+"h_l!)&lt;4"</f>
        <v>#VALUE!</v>
      </c>
      <c r="EH193" t="e">
        <f>Raw!Q250+"h_l!)&lt;5"</f>
        <v>#VALUE!</v>
      </c>
      <c r="EI193" t="e">
        <f>Raw!R250+"h_l!)&lt;6"</f>
        <v>#VALUE!</v>
      </c>
      <c r="EJ193" t="e">
        <f>Raw!S250+"h_l!)&lt;7"</f>
        <v>#VALUE!</v>
      </c>
      <c r="EK193" t="e">
        <f>Raw!T250+"h_l!)&lt;8"</f>
        <v>#VALUE!</v>
      </c>
      <c r="EL193" t="e">
        <f>Raw!U250+"h_l!)&lt;9"</f>
        <v>#VALUE!</v>
      </c>
      <c r="EM193" t="e">
        <f>Raw!V250+"h_l!)&lt;:"</f>
        <v>#VALUE!</v>
      </c>
      <c r="EN193" t="e">
        <f>Raw!W250+"h_l!)&lt;;"</f>
        <v>#VALUE!</v>
      </c>
      <c r="EO193" t="e">
        <f>Raw!A251+"h_l!)&lt;&lt;"</f>
        <v>#VALUE!</v>
      </c>
      <c r="EP193" t="e">
        <f>Raw!B251+"h_l!)&lt;="</f>
        <v>#VALUE!</v>
      </c>
      <c r="EQ193" t="e">
        <f>Raw!C251+"h_l!)&lt;&gt;"</f>
        <v>#VALUE!</v>
      </c>
      <c r="ER193" t="e">
        <f>Raw!D251+"h_l!)&lt;?"</f>
        <v>#VALUE!</v>
      </c>
      <c r="ES193" t="e">
        <f>Raw!E251+"h_l!)&lt;@"</f>
        <v>#VALUE!</v>
      </c>
      <c r="ET193" t="e">
        <f>Raw!#REF!+"h_l!)&lt;A"</f>
        <v>#REF!</v>
      </c>
      <c r="EU193" t="e">
        <f>Raw!G251+"h_l!)&lt;B"</f>
        <v>#VALUE!</v>
      </c>
      <c r="EV193" t="e">
        <f>Raw!H251+"h_l!)&lt;C"</f>
        <v>#VALUE!</v>
      </c>
      <c r="EW193" t="e">
        <f>Raw!I251+"h_l!)&lt;D"</f>
        <v>#VALUE!</v>
      </c>
      <c r="EX193" t="e">
        <f>Raw!J251+"h_l!)&lt;E"</f>
        <v>#VALUE!</v>
      </c>
      <c r="EY193" t="e">
        <f>Raw!K251+"h_l!)&lt;F"</f>
        <v>#VALUE!</v>
      </c>
      <c r="EZ193" t="e">
        <f>Raw!L251+"h_l!)&lt;G"</f>
        <v>#VALUE!</v>
      </c>
      <c r="FA193" t="e">
        <f>Raw!M251+"h_l!)&lt;H"</f>
        <v>#VALUE!</v>
      </c>
      <c r="FB193" t="e">
        <f>Raw!N251+"h_l!)&lt;I"</f>
        <v>#VALUE!</v>
      </c>
      <c r="FC193" t="e">
        <f>Raw!O251+"h_l!)&lt;J"</f>
        <v>#VALUE!</v>
      </c>
      <c r="FD193" t="e">
        <f>Raw!P251+"h_l!)&lt;K"</f>
        <v>#VALUE!</v>
      </c>
      <c r="FE193" t="e">
        <f>Raw!Q251+"h_l!)&lt;L"</f>
        <v>#VALUE!</v>
      </c>
      <c r="FF193" t="e">
        <f>Raw!R251+"h_l!)&lt;M"</f>
        <v>#VALUE!</v>
      </c>
      <c r="FG193" t="e">
        <f>Raw!S251+"h_l!)&lt;N"</f>
        <v>#VALUE!</v>
      </c>
      <c r="FH193" t="e">
        <f>Raw!T251+"h_l!)&lt;O"</f>
        <v>#VALUE!</v>
      </c>
      <c r="FI193" t="e">
        <f>Raw!U251+"h_l!)&lt;P"</f>
        <v>#VALUE!</v>
      </c>
      <c r="FJ193" t="e">
        <f>Raw!V251+"h_l!)&lt;Q"</f>
        <v>#VALUE!</v>
      </c>
      <c r="FK193" t="e">
        <f>Raw!W251+"h_l!)&lt;R"</f>
        <v>#VALUE!</v>
      </c>
      <c r="FL193" t="e">
        <f>Raw!A252+"h_l!)&lt;S"</f>
        <v>#VALUE!</v>
      </c>
      <c r="FM193" t="e">
        <f>Raw!B252+"h_l!)&lt;T"</f>
        <v>#VALUE!</v>
      </c>
      <c r="FN193" t="e">
        <f>Raw!C252+"h_l!)&lt;U"</f>
        <v>#VALUE!</v>
      </c>
      <c r="FO193" t="e">
        <f>Raw!D252+"h_l!)&lt;V"</f>
        <v>#VALUE!</v>
      </c>
      <c r="FP193" t="e">
        <f>Raw!E252+"h_l!)&lt;W"</f>
        <v>#VALUE!</v>
      </c>
      <c r="FQ193" t="e">
        <f>Raw!#REF!+"h_l!)&lt;X"</f>
        <v>#REF!</v>
      </c>
      <c r="FR193" t="e">
        <f>Raw!G252+"h_l!)&lt;Y"</f>
        <v>#VALUE!</v>
      </c>
      <c r="FS193" t="e">
        <f>Raw!H252+"h_l!)&lt;Z"</f>
        <v>#VALUE!</v>
      </c>
      <c r="FT193" t="e">
        <f>Raw!I252+"h_l!)&lt;["</f>
        <v>#VALUE!</v>
      </c>
      <c r="FU193" t="e">
        <f>Raw!J252+"h_l!)&lt;\"</f>
        <v>#VALUE!</v>
      </c>
      <c r="FV193" t="e">
        <f>Raw!K252+"h_l!)&lt;]"</f>
        <v>#VALUE!</v>
      </c>
      <c r="FW193" t="e">
        <f>Raw!L252+"h_l!)&lt;^"</f>
        <v>#VALUE!</v>
      </c>
      <c r="FX193" t="e">
        <f>Raw!M252+"h_l!)&lt;_"</f>
        <v>#VALUE!</v>
      </c>
      <c r="FY193" t="e">
        <f>Raw!N252+"h_l!)&lt;`"</f>
        <v>#VALUE!</v>
      </c>
      <c r="FZ193" t="e">
        <f>Raw!O252+"h_l!)&lt;a"</f>
        <v>#VALUE!</v>
      </c>
      <c r="GA193" t="e">
        <f>Raw!P252+"h_l!)&lt;b"</f>
        <v>#VALUE!</v>
      </c>
      <c r="GB193" t="e">
        <f>Raw!Q252+"h_l!)&lt;c"</f>
        <v>#VALUE!</v>
      </c>
      <c r="GC193" t="e">
        <f>Raw!R252+"h_l!)&lt;d"</f>
        <v>#VALUE!</v>
      </c>
      <c r="GD193" t="e">
        <f>Raw!S252+"h_l!)&lt;e"</f>
        <v>#VALUE!</v>
      </c>
      <c r="GE193" t="e">
        <f>Raw!T252+"h_l!)&lt;f"</f>
        <v>#VALUE!</v>
      </c>
      <c r="GF193" t="e">
        <f>Raw!U252+"h_l!)&lt;g"</f>
        <v>#VALUE!</v>
      </c>
      <c r="GG193" t="e">
        <f>Raw!V252+"h_l!)&lt;h"</f>
        <v>#VALUE!</v>
      </c>
      <c r="GH193" t="e">
        <f>Raw!W252+"h_l!)&lt;i"</f>
        <v>#VALUE!</v>
      </c>
      <c r="GI193" t="e">
        <f>Raw!A253+"h_l!)&lt;j"</f>
        <v>#VALUE!</v>
      </c>
      <c r="GJ193" t="e">
        <f>Raw!B253+"h_l!)&lt;k"</f>
        <v>#VALUE!</v>
      </c>
      <c r="GK193" t="e">
        <f>Raw!C253+"h_l!)&lt;l"</f>
        <v>#VALUE!</v>
      </c>
      <c r="GL193" t="e">
        <f>Raw!D253+"h_l!)&lt;m"</f>
        <v>#VALUE!</v>
      </c>
      <c r="GM193" t="e">
        <f>Raw!E253+"h_l!)&lt;n"</f>
        <v>#VALUE!</v>
      </c>
      <c r="GN193" t="e">
        <f>Raw!#REF!+"h_l!)&lt;o"</f>
        <v>#REF!</v>
      </c>
      <c r="GO193" t="e">
        <f>Raw!G253+"h_l!)&lt;p"</f>
        <v>#VALUE!</v>
      </c>
      <c r="GP193" t="e">
        <f>Raw!H253+"h_l!)&lt;q"</f>
        <v>#VALUE!</v>
      </c>
      <c r="GQ193" t="e">
        <f>Raw!I253+"h_l!)&lt;r"</f>
        <v>#VALUE!</v>
      </c>
      <c r="GR193" t="e">
        <f>Raw!J253+"h_l!)&lt;s"</f>
        <v>#VALUE!</v>
      </c>
      <c r="GS193" t="e">
        <f>Raw!K253+"h_l!)&lt;t"</f>
        <v>#VALUE!</v>
      </c>
      <c r="GT193" t="e">
        <f>Raw!L253+"h_l!)&lt;u"</f>
        <v>#VALUE!</v>
      </c>
      <c r="GU193" t="e">
        <f>Raw!M253+"h_l!)&lt;v"</f>
        <v>#VALUE!</v>
      </c>
      <c r="GV193" t="e">
        <f>Raw!N253+"h_l!)&lt;w"</f>
        <v>#VALUE!</v>
      </c>
      <c r="GW193" t="e">
        <f>Raw!O253+"h_l!)&lt;x"</f>
        <v>#VALUE!</v>
      </c>
      <c r="GX193" t="e">
        <f>Raw!P253+"h_l!)&lt;y"</f>
        <v>#VALUE!</v>
      </c>
      <c r="GY193" t="e">
        <f>Raw!Q253+"h_l!)&lt;z"</f>
        <v>#VALUE!</v>
      </c>
      <c r="GZ193" t="e">
        <f>Raw!R253+"h_l!)&lt;{"</f>
        <v>#VALUE!</v>
      </c>
      <c r="HA193" t="e">
        <f>Raw!S253+"h_l!)&lt;|"</f>
        <v>#VALUE!</v>
      </c>
      <c r="HB193" t="e">
        <f>Raw!T253+"h_l!)&lt;}"</f>
        <v>#VALUE!</v>
      </c>
      <c r="HC193" t="e">
        <f>Raw!U253+"h_l!)&lt;~"</f>
        <v>#VALUE!</v>
      </c>
      <c r="HD193" t="e">
        <f>Raw!V253+"h_l!)=#"</f>
        <v>#VALUE!</v>
      </c>
      <c r="HE193" t="e">
        <f>Raw!W253+"h_l!)=$"</f>
        <v>#VALUE!</v>
      </c>
      <c r="HF193" t="e">
        <f>Raw!A254+"h_l!)=%"</f>
        <v>#VALUE!</v>
      </c>
      <c r="HG193" t="e">
        <f>Raw!B254+"h_l!)=&amp;"</f>
        <v>#VALUE!</v>
      </c>
      <c r="HH193" t="e">
        <f>Raw!C254+"h_l!)='"</f>
        <v>#VALUE!</v>
      </c>
      <c r="HI193" t="e">
        <f>Raw!D254+"h_l!)=("</f>
        <v>#VALUE!</v>
      </c>
      <c r="HJ193" t="e">
        <f>Raw!E254+"h_l!)=)"</f>
        <v>#VALUE!</v>
      </c>
      <c r="HK193" t="e">
        <f>Raw!#REF!+"h_l!)=."</f>
        <v>#REF!</v>
      </c>
      <c r="HL193" t="e">
        <f>Raw!G254+"h_l!)=/"</f>
        <v>#VALUE!</v>
      </c>
      <c r="HM193" t="e">
        <f>Raw!H254+"h_l!)=0"</f>
        <v>#VALUE!</v>
      </c>
      <c r="HN193" t="e">
        <f>Raw!I254+"h_l!)=1"</f>
        <v>#VALUE!</v>
      </c>
      <c r="HO193" t="e">
        <f>Raw!J254+"h_l!)=2"</f>
        <v>#VALUE!</v>
      </c>
      <c r="HP193" t="e">
        <f>Raw!K254+"h_l!)=3"</f>
        <v>#VALUE!</v>
      </c>
      <c r="HQ193" t="e">
        <f>Raw!L254+"h_l!)=4"</f>
        <v>#VALUE!</v>
      </c>
      <c r="HR193" t="e">
        <f>Raw!M254+"h_l!)=5"</f>
        <v>#VALUE!</v>
      </c>
      <c r="HS193" t="e">
        <f>Raw!N254+"h_l!)=6"</f>
        <v>#VALUE!</v>
      </c>
      <c r="HT193" t="e">
        <f>Raw!O254+"h_l!)=7"</f>
        <v>#VALUE!</v>
      </c>
      <c r="HU193" t="e">
        <f>Raw!P254+"h_l!)=8"</f>
        <v>#VALUE!</v>
      </c>
      <c r="HV193" t="e">
        <f>Raw!Q254+"h_l!)=9"</f>
        <v>#VALUE!</v>
      </c>
      <c r="HW193" t="e">
        <f>Raw!R254+"h_l!)=:"</f>
        <v>#VALUE!</v>
      </c>
      <c r="HX193" t="e">
        <f>Raw!S254+"h_l!)=;"</f>
        <v>#VALUE!</v>
      </c>
      <c r="HY193" t="e">
        <f>Raw!T254+"h_l!)=&lt;"</f>
        <v>#VALUE!</v>
      </c>
      <c r="HZ193" t="e">
        <f>Raw!U254+"h_l!)=="</f>
        <v>#VALUE!</v>
      </c>
      <c r="IA193" t="e">
        <f>Raw!V254+"h_l!)=&gt;"</f>
        <v>#VALUE!</v>
      </c>
      <c r="IB193" t="e">
        <f>Raw!W254+"h_l!)=?"</f>
        <v>#VALUE!</v>
      </c>
      <c r="IC193" t="e">
        <f>Raw!A255+"h_l!)=@"</f>
        <v>#VALUE!</v>
      </c>
      <c r="ID193" t="e">
        <f>Raw!B255+"h_l!)=A"</f>
        <v>#VALUE!</v>
      </c>
      <c r="IE193" t="e">
        <f>Raw!C255+"h_l!)=B"</f>
        <v>#VALUE!</v>
      </c>
      <c r="IF193" t="e">
        <f>Raw!D255+"h_l!)=C"</f>
        <v>#VALUE!</v>
      </c>
      <c r="IG193" t="e">
        <f>Raw!E255+"h_l!)=D"</f>
        <v>#VALUE!</v>
      </c>
      <c r="IH193" t="e">
        <f>Raw!#REF!+"h_l!)=E"</f>
        <v>#REF!</v>
      </c>
      <c r="II193" t="e">
        <f>Raw!G255+"h_l!)=F"</f>
        <v>#VALUE!</v>
      </c>
      <c r="IJ193" t="e">
        <f>Raw!H255+"h_l!)=G"</f>
        <v>#VALUE!</v>
      </c>
      <c r="IK193" t="e">
        <f>Raw!I255+"h_l!)=H"</f>
        <v>#VALUE!</v>
      </c>
      <c r="IL193" t="e">
        <f>Raw!J255+"h_l!)=I"</f>
        <v>#VALUE!</v>
      </c>
      <c r="IM193" t="e">
        <f>Raw!K255+"h_l!)=J"</f>
        <v>#VALUE!</v>
      </c>
      <c r="IN193" t="e">
        <f>Raw!L255+"h_l!)=K"</f>
        <v>#VALUE!</v>
      </c>
      <c r="IO193" t="e">
        <f>Raw!M255+"h_l!)=L"</f>
        <v>#VALUE!</v>
      </c>
      <c r="IP193" t="e">
        <f>Raw!N255+"h_l!)=M"</f>
        <v>#VALUE!</v>
      </c>
      <c r="IQ193" t="e">
        <f>Raw!O255+"h_l!)=N"</f>
        <v>#VALUE!</v>
      </c>
      <c r="IR193" t="e">
        <f>Raw!P255+"h_l!)=O"</f>
        <v>#VALUE!</v>
      </c>
      <c r="IS193" t="e">
        <f>Raw!Q255+"h_l!)=P"</f>
        <v>#VALUE!</v>
      </c>
      <c r="IT193" t="e">
        <f>Raw!R255+"h_l!)=Q"</f>
        <v>#VALUE!</v>
      </c>
      <c r="IU193" t="e">
        <f>Raw!S255+"h_l!)=R"</f>
        <v>#VALUE!</v>
      </c>
      <c r="IV193" t="e">
        <f>Raw!T255+"h_l!)=S"</f>
        <v>#VALUE!</v>
      </c>
    </row>
    <row r="194" spans="6:256" x14ac:dyDescent="0.25">
      <c r="F194" t="e">
        <f>Raw!U255+"h_l!)=T"</f>
        <v>#VALUE!</v>
      </c>
      <c r="G194" t="e">
        <f>Raw!V255+"h_l!)=U"</f>
        <v>#VALUE!</v>
      </c>
      <c r="H194" t="e">
        <f>Raw!W255+"h_l!)=V"</f>
        <v>#VALUE!</v>
      </c>
      <c r="I194" t="e">
        <f>Raw!A256+"h_l!)=W"</f>
        <v>#VALUE!</v>
      </c>
      <c r="J194" t="e">
        <f>Raw!B256+"h_l!)=X"</f>
        <v>#VALUE!</v>
      </c>
      <c r="K194" t="e">
        <f>Raw!C256+"h_l!)=Y"</f>
        <v>#VALUE!</v>
      </c>
      <c r="L194" t="e">
        <f>Raw!D256+"h_l!)=Z"</f>
        <v>#VALUE!</v>
      </c>
      <c r="M194" t="e">
        <f>Raw!E256+"h_l!)=["</f>
        <v>#VALUE!</v>
      </c>
      <c r="N194" t="e">
        <f>Raw!#REF!+"h_l!)=\"</f>
        <v>#REF!</v>
      </c>
      <c r="O194" t="e">
        <f>Raw!G256+"h_l!)=]"</f>
        <v>#VALUE!</v>
      </c>
      <c r="P194" t="e">
        <f>Raw!H256+"h_l!)=^"</f>
        <v>#VALUE!</v>
      </c>
      <c r="Q194" t="e">
        <f>Raw!I256+"h_l!)=_"</f>
        <v>#VALUE!</v>
      </c>
      <c r="R194" t="e">
        <f>Raw!J256+"h_l!)=`"</f>
        <v>#VALUE!</v>
      </c>
      <c r="S194" t="e">
        <f>Raw!K256+"h_l!)=a"</f>
        <v>#VALUE!</v>
      </c>
      <c r="T194" t="e">
        <f>Raw!L256+"h_l!)=b"</f>
        <v>#VALUE!</v>
      </c>
      <c r="U194" t="e">
        <f>Raw!M256+"h_l!)=c"</f>
        <v>#VALUE!</v>
      </c>
      <c r="V194" t="e">
        <f>Raw!N256+"h_l!)=d"</f>
        <v>#VALUE!</v>
      </c>
      <c r="W194" t="e">
        <f>Raw!O256+"h_l!)=e"</f>
        <v>#VALUE!</v>
      </c>
      <c r="X194" t="e">
        <f>Raw!P256+"h_l!)=f"</f>
        <v>#VALUE!</v>
      </c>
      <c r="Y194" t="e">
        <f>Raw!Q256+"h_l!)=g"</f>
        <v>#VALUE!</v>
      </c>
      <c r="Z194" t="e">
        <f>Raw!R256+"h_l!)=h"</f>
        <v>#VALUE!</v>
      </c>
      <c r="AA194" t="e">
        <f>Raw!S256+"h_l!)=i"</f>
        <v>#VALUE!</v>
      </c>
      <c r="AB194" t="e">
        <f>Raw!T256+"h_l!)=j"</f>
        <v>#VALUE!</v>
      </c>
      <c r="AC194" t="e">
        <f>Raw!U256+"h_l!)=k"</f>
        <v>#VALUE!</v>
      </c>
      <c r="AD194" t="e">
        <f>Raw!V256+"h_l!)=l"</f>
        <v>#VALUE!</v>
      </c>
      <c r="AE194" t="e">
        <f>Raw!W256+"h_l!)=m"</f>
        <v>#VALUE!</v>
      </c>
      <c r="AF194" t="e">
        <f>Raw!A257+"h_l!)=n"</f>
        <v>#VALUE!</v>
      </c>
      <c r="AG194" t="e">
        <f>Raw!B257+"h_l!)=o"</f>
        <v>#VALUE!</v>
      </c>
      <c r="AH194" t="e">
        <f>Raw!C257+"h_l!)=p"</f>
        <v>#VALUE!</v>
      </c>
      <c r="AI194" t="e">
        <f>Raw!D257+"h_l!)=q"</f>
        <v>#VALUE!</v>
      </c>
      <c r="AJ194" t="e">
        <f>Raw!E257+"h_l!)=r"</f>
        <v>#VALUE!</v>
      </c>
      <c r="AK194" t="e">
        <f>Raw!#REF!+"h_l!)=s"</f>
        <v>#REF!</v>
      </c>
      <c r="AL194" t="e">
        <f>Raw!G257+"h_l!)=t"</f>
        <v>#VALUE!</v>
      </c>
      <c r="AM194" t="e">
        <f>Raw!H257+"h_l!)=u"</f>
        <v>#VALUE!</v>
      </c>
      <c r="AN194" t="e">
        <f>Raw!I257+"h_l!)=v"</f>
        <v>#VALUE!</v>
      </c>
      <c r="AO194" t="e">
        <f>Raw!J257+"h_l!)=w"</f>
        <v>#VALUE!</v>
      </c>
      <c r="AP194" t="e">
        <f>Raw!K257+"h_l!)=x"</f>
        <v>#VALUE!</v>
      </c>
      <c r="AQ194" t="e">
        <f>Raw!L257+"h_l!)=y"</f>
        <v>#VALUE!</v>
      </c>
      <c r="AR194" t="e">
        <f>Raw!M257+"h_l!)=z"</f>
        <v>#VALUE!</v>
      </c>
      <c r="AS194" t="e">
        <f>Raw!N257+"h_l!)={"</f>
        <v>#VALUE!</v>
      </c>
      <c r="AT194" t="e">
        <f>Raw!O257+"h_l!)=|"</f>
        <v>#VALUE!</v>
      </c>
      <c r="AU194" t="e">
        <f>Raw!P257+"h_l!)=}"</f>
        <v>#VALUE!</v>
      </c>
      <c r="AV194" t="e">
        <f>Raw!Q257+"h_l!)=~"</f>
        <v>#VALUE!</v>
      </c>
      <c r="AW194" t="e">
        <f>Raw!R257+"h_l!)&gt;#"</f>
        <v>#VALUE!</v>
      </c>
      <c r="AX194" t="e">
        <f>Raw!S257+"h_l!)&gt;$"</f>
        <v>#VALUE!</v>
      </c>
      <c r="AY194" t="e">
        <f>Raw!T257+"h_l!)&gt;%"</f>
        <v>#VALUE!</v>
      </c>
      <c r="AZ194" t="e">
        <f>Raw!U257+"h_l!)&gt;&amp;"</f>
        <v>#VALUE!</v>
      </c>
      <c r="BA194" t="e">
        <f>Raw!V257+"h_l!)&gt;'"</f>
        <v>#VALUE!</v>
      </c>
      <c r="BB194" t="e">
        <f>Raw!W257+"h_l!)&gt;("</f>
        <v>#VALUE!</v>
      </c>
      <c r="BC194" t="e">
        <f>Raw!A258+"h_l!)&gt;)"</f>
        <v>#VALUE!</v>
      </c>
      <c r="BD194" t="e">
        <f>Raw!B258+"h_l!)&gt;."</f>
        <v>#VALUE!</v>
      </c>
      <c r="BE194" t="e">
        <f>Raw!C258+"h_l!)&gt;/"</f>
        <v>#VALUE!</v>
      </c>
      <c r="BF194" t="e">
        <f>Raw!D258+"h_l!)&gt;0"</f>
        <v>#VALUE!</v>
      </c>
      <c r="BG194" t="e">
        <f>Raw!E258+"h_l!)&gt;1"</f>
        <v>#VALUE!</v>
      </c>
      <c r="BH194" t="e">
        <f>Raw!#REF!+"h_l!)&gt;2"</f>
        <v>#REF!</v>
      </c>
      <c r="BI194" t="e">
        <f>Raw!G258+"h_l!)&gt;3"</f>
        <v>#VALUE!</v>
      </c>
      <c r="BJ194" t="e">
        <f>Raw!H258+"h_l!)&gt;4"</f>
        <v>#VALUE!</v>
      </c>
      <c r="BK194" t="e">
        <f>Raw!I258+"h_l!)&gt;5"</f>
        <v>#VALUE!</v>
      </c>
      <c r="BL194" t="e">
        <f>Raw!J258+"h_l!)&gt;6"</f>
        <v>#VALUE!</v>
      </c>
      <c r="BM194" t="e">
        <f>Raw!K258+"h_l!)&gt;7"</f>
        <v>#VALUE!</v>
      </c>
      <c r="BN194" t="e">
        <f>Raw!L258+"h_l!)&gt;8"</f>
        <v>#VALUE!</v>
      </c>
      <c r="BO194" t="e">
        <f>Raw!M258+"h_l!)&gt;9"</f>
        <v>#VALUE!</v>
      </c>
      <c r="BP194" t="e">
        <f>Raw!N258+"h_l!)&gt;:"</f>
        <v>#VALUE!</v>
      </c>
      <c r="BQ194" t="e">
        <f>Raw!O258+"h_l!)&gt;;"</f>
        <v>#VALUE!</v>
      </c>
      <c r="BR194" t="e">
        <f>Raw!P258+"h_l!)&gt;&lt;"</f>
        <v>#VALUE!</v>
      </c>
      <c r="BS194" t="e">
        <f>Raw!Q258+"h_l!)&gt;="</f>
        <v>#VALUE!</v>
      </c>
      <c r="BT194" t="e">
        <f>Raw!R258+"h_l!)&gt;&gt;"</f>
        <v>#VALUE!</v>
      </c>
      <c r="BU194" t="e">
        <f>Raw!S258+"h_l!)&gt;?"</f>
        <v>#VALUE!</v>
      </c>
      <c r="BV194" t="e">
        <f>Raw!T258+"h_l!)&gt;@"</f>
        <v>#VALUE!</v>
      </c>
      <c r="BW194" t="e">
        <f>Raw!U258+"h_l!)&gt;A"</f>
        <v>#VALUE!</v>
      </c>
      <c r="BX194" t="e">
        <f>Raw!V258+"h_l!)&gt;B"</f>
        <v>#VALUE!</v>
      </c>
      <c r="BY194" t="e">
        <f>Raw!W258+"h_l!)&gt;C"</f>
        <v>#VALUE!</v>
      </c>
      <c r="BZ194" t="e">
        <f>Raw!A259+"h_l!)&gt;D"</f>
        <v>#VALUE!</v>
      </c>
      <c r="CA194" t="e">
        <f>Raw!B259+"h_l!)&gt;E"</f>
        <v>#VALUE!</v>
      </c>
      <c r="CB194" t="e">
        <f>Raw!C259+"h_l!)&gt;F"</f>
        <v>#VALUE!</v>
      </c>
      <c r="CC194" t="e">
        <f>Raw!D259+"h_l!)&gt;G"</f>
        <v>#VALUE!</v>
      </c>
      <c r="CD194" t="e">
        <f>Raw!E259+"h_l!)&gt;H"</f>
        <v>#VALUE!</v>
      </c>
      <c r="CE194" t="e">
        <f>Raw!#REF!+"h_l!)&gt;I"</f>
        <v>#REF!</v>
      </c>
      <c r="CF194" t="e">
        <f>Raw!G259+"h_l!)&gt;J"</f>
        <v>#VALUE!</v>
      </c>
      <c r="CG194" t="e">
        <f>Raw!H259+"h_l!)&gt;K"</f>
        <v>#VALUE!</v>
      </c>
      <c r="CH194" t="e">
        <f>Raw!I259+"h_l!)&gt;L"</f>
        <v>#VALUE!</v>
      </c>
      <c r="CI194" t="e">
        <f>Raw!J259+"h_l!)&gt;M"</f>
        <v>#VALUE!</v>
      </c>
      <c r="CJ194" t="e">
        <f>Raw!K259+"h_l!)&gt;N"</f>
        <v>#VALUE!</v>
      </c>
      <c r="CK194" t="e">
        <f>Raw!L259+"h_l!)&gt;O"</f>
        <v>#VALUE!</v>
      </c>
      <c r="CL194" t="e">
        <f>Raw!M259+"h_l!)&gt;P"</f>
        <v>#VALUE!</v>
      </c>
      <c r="CM194" t="e">
        <f>Raw!N259+"h_l!)&gt;Q"</f>
        <v>#VALUE!</v>
      </c>
      <c r="CN194" t="e">
        <f>Raw!O259+"h_l!)&gt;R"</f>
        <v>#VALUE!</v>
      </c>
      <c r="CO194" t="e">
        <f>Raw!P259+"h_l!)&gt;S"</f>
        <v>#VALUE!</v>
      </c>
      <c r="CP194" t="e">
        <f>Raw!Q259+"h_l!)&gt;T"</f>
        <v>#VALUE!</v>
      </c>
      <c r="CQ194" t="e">
        <f>Raw!R259+"h_l!)&gt;U"</f>
        <v>#VALUE!</v>
      </c>
      <c r="CR194" t="e">
        <f>Raw!S259+"h_l!)&gt;V"</f>
        <v>#VALUE!</v>
      </c>
      <c r="CS194" t="e">
        <f>Raw!T259+"h_l!)&gt;W"</f>
        <v>#VALUE!</v>
      </c>
      <c r="CT194" t="e">
        <f>Raw!U259+"h_l!)&gt;X"</f>
        <v>#VALUE!</v>
      </c>
      <c r="CU194" t="e">
        <f>Raw!V259+"h_l!)&gt;Y"</f>
        <v>#VALUE!</v>
      </c>
      <c r="CV194" t="e">
        <f>Raw!W259+"h_l!)&gt;Z"</f>
        <v>#VALUE!</v>
      </c>
      <c r="CW194" t="e">
        <f>Raw!A260+"h_l!)&gt;["</f>
        <v>#VALUE!</v>
      </c>
      <c r="CX194" t="e">
        <f>Raw!B260+"h_l!)&gt;\"</f>
        <v>#VALUE!</v>
      </c>
      <c r="CY194" t="e">
        <f>Raw!C260+"h_l!)&gt;]"</f>
        <v>#VALUE!</v>
      </c>
      <c r="CZ194" t="e">
        <f>Raw!D260+"h_l!)&gt;^"</f>
        <v>#VALUE!</v>
      </c>
      <c r="DA194" t="e">
        <f>Raw!E260+"h_l!)&gt;_"</f>
        <v>#VALUE!</v>
      </c>
      <c r="DB194" t="e">
        <f>Raw!#REF!+"h_l!)&gt;`"</f>
        <v>#REF!</v>
      </c>
      <c r="DC194" t="e">
        <f>Raw!G260+"h_l!)&gt;a"</f>
        <v>#VALUE!</v>
      </c>
      <c r="DD194" t="e">
        <f>Raw!H260+"h_l!)&gt;b"</f>
        <v>#VALUE!</v>
      </c>
      <c r="DE194" t="e">
        <f>Raw!I260+"h_l!)&gt;c"</f>
        <v>#VALUE!</v>
      </c>
      <c r="DF194" t="e">
        <f>Raw!J260+"h_l!)&gt;d"</f>
        <v>#VALUE!</v>
      </c>
      <c r="DG194" t="e">
        <f>Raw!K260+"h_l!)&gt;e"</f>
        <v>#VALUE!</v>
      </c>
      <c r="DH194" t="e">
        <f>Raw!L260+"h_l!)&gt;f"</f>
        <v>#VALUE!</v>
      </c>
      <c r="DI194" t="e">
        <f>Raw!M260+"h_l!)&gt;g"</f>
        <v>#VALUE!</v>
      </c>
      <c r="DJ194" t="e">
        <f>Raw!N260+"h_l!)&gt;h"</f>
        <v>#VALUE!</v>
      </c>
      <c r="DK194" t="e">
        <f>Raw!O260+"h_l!)&gt;i"</f>
        <v>#VALUE!</v>
      </c>
      <c r="DL194" t="e">
        <f>Raw!P260+"h_l!)&gt;j"</f>
        <v>#VALUE!</v>
      </c>
      <c r="DM194" t="e">
        <f>Raw!Q260+"h_l!)&gt;k"</f>
        <v>#VALUE!</v>
      </c>
      <c r="DN194" t="e">
        <f>Raw!R260+"h_l!)&gt;l"</f>
        <v>#VALUE!</v>
      </c>
      <c r="DO194" t="e">
        <f>Raw!S260+"h_l!)&gt;m"</f>
        <v>#VALUE!</v>
      </c>
      <c r="DP194" t="e">
        <f>Raw!T260+"h_l!)&gt;n"</f>
        <v>#VALUE!</v>
      </c>
      <c r="DQ194" t="e">
        <f>Raw!U260+"h_l!)&gt;o"</f>
        <v>#VALUE!</v>
      </c>
      <c r="DR194" t="e">
        <f>Raw!V260+"h_l!)&gt;p"</f>
        <v>#VALUE!</v>
      </c>
      <c r="DS194" t="e">
        <f>Raw!W260+"h_l!)&gt;q"</f>
        <v>#VALUE!</v>
      </c>
      <c r="DT194" t="e">
        <f>Raw!A261+"h_l!)&gt;r"</f>
        <v>#VALUE!</v>
      </c>
      <c r="DU194" t="e">
        <f>Raw!B261+"h_l!)&gt;s"</f>
        <v>#VALUE!</v>
      </c>
      <c r="DV194" t="e">
        <f>Raw!C261+"h_l!)&gt;t"</f>
        <v>#VALUE!</v>
      </c>
      <c r="DW194" t="e">
        <f>Raw!D261+"h_l!)&gt;u"</f>
        <v>#VALUE!</v>
      </c>
      <c r="DX194" t="e">
        <f>Raw!E261+"h_l!)&gt;v"</f>
        <v>#VALUE!</v>
      </c>
      <c r="DY194" t="e">
        <f>Raw!#REF!+"h_l!)&gt;w"</f>
        <v>#REF!</v>
      </c>
      <c r="DZ194" t="e">
        <f>Raw!G261+"h_l!)&gt;x"</f>
        <v>#VALUE!</v>
      </c>
      <c r="EA194" t="e">
        <f>Raw!H261+"h_l!)&gt;y"</f>
        <v>#VALUE!</v>
      </c>
      <c r="EB194" t="e">
        <f>Raw!I261+"h_l!)&gt;z"</f>
        <v>#VALUE!</v>
      </c>
      <c r="EC194" t="e">
        <f>Raw!J261+"h_l!)&gt;{"</f>
        <v>#VALUE!</v>
      </c>
      <c r="ED194" t="e">
        <f>Raw!K261+"h_l!)&gt;|"</f>
        <v>#VALUE!</v>
      </c>
      <c r="EE194" t="e">
        <f>Raw!L261+"h_l!)&gt;}"</f>
        <v>#VALUE!</v>
      </c>
      <c r="EF194" t="e">
        <f>Raw!M261+"h_l!)&gt;~"</f>
        <v>#VALUE!</v>
      </c>
      <c r="EG194" t="e">
        <f>Raw!N261+"h_l!)?#"</f>
        <v>#VALUE!</v>
      </c>
      <c r="EH194" t="e">
        <f>Raw!O261+"h_l!)?$"</f>
        <v>#VALUE!</v>
      </c>
      <c r="EI194" t="e">
        <f>Raw!P261+"h_l!)?%"</f>
        <v>#VALUE!</v>
      </c>
      <c r="EJ194" t="e">
        <f>Raw!Q261+"h_l!)?&amp;"</f>
        <v>#VALUE!</v>
      </c>
      <c r="EK194" t="e">
        <f>Raw!R261+"h_l!)?'"</f>
        <v>#VALUE!</v>
      </c>
      <c r="EL194" t="e">
        <f>Raw!S261+"h_l!)?("</f>
        <v>#VALUE!</v>
      </c>
      <c r="EM194" t="e">
        <f>Raw!T261+"h_l!)?)"</f>
        <v>#VALUE!</v>
      </c>
      <c r="EN194" t="e">
        <f>Raw!U261+"h_l!)?."</f>
        <v>#VALUE!</v>
      </c>
      <c r="EO194" t="e">
        <f>Raw!V261+"h_l!)?/"</f>
        <v>#VALUE!</v>
      </c>
      <c r="EP194" t="e">
        <f>Raw!W261+"h_l!)?0"</f>
        <v>#VALUE!</v>
      </c>
      <c r="EQ194" t="e">
        <f>Raw!A262+"h_l!)?1"</f>
        <v>#VALUE!</v>
      </c>
      <c r="ER194" t="e">
        <f>Raw!B262+"h_l!)?2"</f>
        <v>#VALUE!</v>
      </c>
      <c r="ES194" t="e">
        <f>Raw!C262+"h_l!)?3"</f>
        <v>#VALUE!</v>
      </c>
      <c r="ET194" t="e">
        <f>Raw!D262+"h_l!)?4"</f>
        <v>#VALUE!</v>
      </c>
      <c r="EU194" t="e">
        <f>Raw!E262+"h_l!)?5"</f>
        <v>#VALUE!</v>
      </c>
      <c r="EV194" t="e">
        <f>Raw!#REF!+"h_l!)?6"</f>
        <v>#REF!</v>
      </c>
      <c r="EW194" t="e">
        <f>Raw!G262+"h_l!)?7"</f>
        <v>#VALUE!</v>
      </c>
      <c r="EX194" t="e">
        <f>Raw!H262+"h_l!)?8"</f>
        <v>#VALUE!</v>
      </c>
      <c r="EY194" t="e">
        <f>Raw!I262+"h_l!)?9"</f>
        <v>#VALUE!</v>
      </c>
      <c r="EZ194" t="e">
        <f>Raw!J262+"h_l!)?:"</f>
        <v>#VALUE!</v>
      </c>
      <c r="FA194" t="e">
        <f>Raw!K262+"h_l!)?;"</f>
        <v>#VALUE!</v>
      </c>
      <c r="FB194" t="e">
        <f>Raw!L262+"h_l!)?&lt;"</f>
        <v>#VALUE!</v>
      </c>
      <c r="FC194" t="e">
        <f>Raw!M262+"h_l!)?="</f>
        <v>#VALUE!</v>
      </c>
      <c r="FD194" t="e">
        <f>Raw!N262+"h_l!)?&gt;"</f>
        <v>#VALUE!</v>
      </c>
      <c r="FE194" t="e">
        <f>Raw!O262+"h_l!)??"</f>
        <v>#VALUE!</v>
      </c>
      <c r="FF194" t="e">
        <f>Raw!P262+"h_l!)?@"</f>
        <v>#VALUE!</v>
      </c>
      <c r="FG194" t="e">
        <f>Raw!Q262+"h_l!)?A"</f>
        <v>#VALUE!</v>
      </c>
      <c r="FH194" t="e">
        <f>Raw!R262+"h_l!)?B"</f>
        <v>#VALUE!</v>
      </c>
      <c r="FI194" t="e">
        <f>Raw!S262+"h_l!)?C"</f>
        <v>#VALUE!</v>
      </c>
      <c r="FJ194" t="e">
        <f>Raw!T262+"h_l!)?D"</f>
        <v>#VALUE!</v>
      </c>
      <c r="FK194" t="e">
        <f>Raw!U262+"h_l!)?E"</f>
        <v>#VALUE!</v>
      </c>
      <c r="FL194" t="e">
        <f>Raw!V262+"h_l!)?F"</f>
        <v>#VALUE!</v>
      </c>
      <c r="FM194" t="e">
        <f>Raw!W262+"h_l!)?G"</f>
        <v>#VALUE!</v>
      </c>
      <c r="FN194" t="e">
        <f>Raw!A263+"h_l!)?H"</f>
        <v>#VALUE!</v>
      </c>
      <c r="FO194" t="e">
        <f>Raw!B263+"h_l!)?I"</f>
        <v>#VALUE!</v>
      </c>
      <c r="FP194" t="e">
        <f>Raw!C263+"h_l!)?J"</f>
        <v>#VALUE!</v>
      </c>
      <c r="FQ194" t="e">
        <f>Raw!D263+"h_l!)?K"</f>
        <v>#VALUE!</v>
      </c>
      <c r="FR194" t="e">
        <f>Raw!E263+"h_l!)?L"</f>
        <v>#VALUE!</v>
      </c>
      <c r="FS194" t="e">
        <f>Raw!#REF!+"h_l!)?M"</f>
        <v>#REF!</v>
      </c>
      <c r="FT194" t="e">
        <f>Raw!G263+"h_l!)?N"</f>
        <v>#VALUE!</v>
      </c>
      <c r="FU194" t="e">
        <f>Raw!H263+"h_l!)?O"</f>
        <v>#VALUE!</v>
      </c>
      <c r="FV194" t="e">
        <f>Raw!I263+"h_l!)?P"</f>
        <v>#VALUE!</v>
      </c>
      <c r="FW194" t="e">
        <f>Raw!J263+"h_l!)?Q"</f>
        <v>#VALUE!</v>
      </c>
      <c r="FX194" t="e">
        <f>Raw!K263+"h_l!)?R"</f>
        <v>#VALUE!</v>
      </c>
      <c r="FY194" t="e">
        <f>Raw!L263+"h_l!)?S"</f>
        <v>#VALUE!</v>
      </c>
      <c r="FZ194" t="e">
        <f>Raw!M263+"h_l!)?T"</f>
        <v>#VALUE!</v>
      </c>
      <c r="GA194" t="e">
        <f>Raw!N263+"h_l!)?U"</f>
        <v>#VALUE!</v>
      </c>
      <c r="GB194" t="e">
        <f>Raw!O263+"h_l!)?V"</f>
        <v>#VALUE!</v>
      </c>
      <c r="GC194" t="e">
        <f>Raw!P263+"h_l!)?W"</f>
        <v>#VALUE!</v>
      </c>
      <c r="GD194" t="e">
        <f>Raw!Q263+"h_l!)?X"</f>
        <v>#VALUE!</v>
      </c>
      <c r="GE194" t="e">
        <f>Raw!R263+"h_l!)?Y"</f>
        <v>#VALUE!</v>
      </c>
      <c r="GF194" t="e">
        <f>Raw!S263+"h_l!)?Z"</f>
        <v>#VALUE!</v>
      </c>
      <c r="GG194" t="e">
        <f>Raw!T263+"h_l!)?["</f>
        <v>#VALUE!</v>
      </c>
      <c r="GH194" t="e">
        <f>Raw!U263+"h_l!)?\"</f>
        <v>#VALUE!</v>
      </c>
      <c r="GI194" t="e">
        <f>Raw!V263+"h_l!)?]"</f>
        <v>#VALUE!</v>
      </c>
      <c r="GJ194" t="e">
        <f>Raw!W263+"h_l!)?^"</f>
        <v>#VALUE!</v>
      </c>
      <c r="GK194" t="e">
        <f>Raw!A264+"h_l!)?_"</f>
        <v>#VALUE!</v>
      </c>
      <c r="GL194" t="e">
        <f>Raw!B264+"h_l!)?`"</f>
        <v>#VALUE!</v>
      </c>
      <c r="GM194" t="e">
        <f>Raw!C264+"h_l!)?a"</f>
        <v>#VALUE!</v>
      </c>
      <c r="GN194" t="e">
        <f>Raw!D264+"h_l!)?b"</f>
        <v>#VALUE!</v>
      </c>
      <c r="GO194" t="e">
        <f>Raw!E264+"h_l!)?c"</f>
        <v>#VALUE!</v>
      </c>
      <c r="GP194" t="e">
        <f>Raw!#REF!+"h_l!)?d"</f>
        <v>#REF!</v>
      </c>
      <c r="GQ194" t="e">
        <f>Raw!G264+"h_l!)?e"</f>
        <v>#VALUE!</v>
      </c>
      <c r="GR194" t="e">
        <f>Raw!H264+"h_l!)?f"</f>
        <v>#VALUE!</v>
      </c>
      <c r="GS194" t="e">
        <f>Raw!I264+"h_l!)?g"</f>
        <v>#VALUE!</v>
      </c>
      <c r="GT194" t="e">
        <f>Raw!J264+"h_l!)?h"</f>
        <v>#VALUE!</v>
      </c>
      <c r="GU194" t="e">
        <f>Raw!K264+"h_l!)?i"</f>
        <v>#VALUE!</v>
      </c>
      <c r="GV194" t="e">
        <f>Raw!L264+"h_l!)?j"</f>
        <v>#VALUE!</v>
      </c>
      <c r="GW194" t="e">
        <f>Raw!M264+"h_l!)?k"</f>
        <v>#VALUE!</v>
      </c>
      <c r="GX194" t="e">
        <f>Raw!N264+"h_l!)?l"</f>
        <v>#VALUE!</v>
      </c>
      <c r="GY194" t="e">
        <f>Raw!O264+"h_l!)?m"</f>
        <v>#VALUE!</v>
      </c>
      <c r="GZ194" t="e">
        <f>Raw!P264+"h_l!)?n"</f>
        <v>#VALUE!</v>
      </c>
      <c r="HA194" t="e">
        <f>Raw!Q264+"h_l!)?o"</f>
        <v>#VALUE!</v>
      </c>
      <c r="HB194" t="e">
        <f>Raw!R264+"h_l!)?p"</f>
        <v>#VALUE!</v>
      </c>
      <c r="HC194" t="e">
        <f>Raw!S264+"h_l!)?q"</f>
        <v>#VALUE!</v>
      </c>
      <c r="HD194" t="e">
        <f>Raw!T264+"h_l!)?r"</f>
        <v>#VALUE!</v>
      </c>
      <c r="HE194" t="e">
        <f>Raw!U264+"h_l!)?s"</f>
        <v>#VALUE!</v>
      </c>
      <c r="HF194" t="e">
        <f>Raw!V264+"h_l!)?t"</f>
        <v>#VALUE!</v>
      </c>
      <c r="HG194" t="e">
        <f>Raw!W264+"h_l!)?u"</f>
        <v>#VALUE!</v>
      </c>
      <c r="HH194" t="e">
        <f>Raw!A265+"h_l!)?v"</f>
        <v>#VALUE!</v>
      </c>
      <c r="HI194" t="e">
        <f>Raw!B265+"h_l!)?w"</f>
        <v>#VALUE!</v>
      </c>
      <c r="HJ194" t="e">
        <f>Raw!C265+"h_l!)?x"</f>
        <v>#VALUE!</v>
      </c>
      <c r="HK194" t="e">
        <f>Raw!D265+"h_l!)?y"</f>
        <v>#VALUE!</v>
      </c>
      <c r="HL194" t="e">
        <f>Raw!E265+"h_l!)?z"</f>
        <v>#VALUE!</v>
      </c>
      <c r="HM194" t="e">
        <f>Raw!#REF!+"h_l!)?{"</f>
        <v>#REF!</v>
      </c>
      <c r="HN194" t="e">
        <f>Raw!G265+"h_l!)?|"</f>
        <v>#VALUE!</v>
      </c>
      <c r="HO194" t="e">
        <f>Raw!H265+"h_l!)?}"</f>
        <v>#VALUE!</v>
      </c>
      <c r="HP194" t="e">
        <f>Raw!I265+"h_l!)?~"</f>
        <v>#VALUE!</v>
      </c>
      <c r="HQ194" t="e">
        <f>Raw!J265+"h_l!)@#"</f>
        <v>#VALUE!</v>
      </c>
      <c r="HR194" t="e">
        <f>Raw!K265+"h_l!)@$"</f>
        <v>#VALUE!</v>
      </c>
      <c r="HS194" t="e">
        <f>Raw!L265+"h_l!)@%"</f>
        <v>#VALUE!</v>
      </c>
      <c r="HT194" t="e">
        <f>Raw!M265+"h_l!)@&amp;"</f>
        <v>#VALUE!</v>
      </c>
      <c r="HU194" t="e">
        <f>Raw!N265+"h_l!)@'"</f>
        <v>#VALUE!</v>
      </c>
      <c r="HV194" t="e">
        <f>Raw!O265+"h_l!)@("</f>
        <v>#VALUE!</v>
      </c>
      <c r="HW194" t="e">
        <f>Raw!P265+"h_l!)@)"</f>
        <v>#VALUE!</v>
      </c>
      <c r="HX194" t="e">
        <f>Raw!Q265+"h_l!)@."</f>
        <v>#VALUE!</v>
      </c>
      <c r="HY194" t="e">
        <f>Raw!R265+"h_l!)@/"</f>
        <v>#VALUE!</v>
      </c>
      <c r="HZ194" t="e">
        <f>Raw!S265+"h_l!)@0"</f>
        <v>#VALUE!</v>
      </c>
      <c r="IA194" t="e">
        <f>Raw!T265+"h_l!)@1"</f>
        <v>#VALUE!</v>
      </c>
      <c r="IB194" t="e">
        <f>Raw!U265+"h_l!)@2"</f>
        <v>#VALUE!</v>
      </c>
      <c r="IC194" t="e">
        <f>Raw!V265+"h_l!)@3"</f>
        <v>#VALUE!</v>
      </c>
      <c r="ID194" t="e">
        <f>Raw!W265+"h_l!)@4"</f>
        <v>#VALUE!</v>
      </c>
      <c r="IE194" t="e">
        <f>Raw!A266+"h_l!)@5"</f>
        <v>#VALUE!</v>
      </c>
      <c r="IF194" t="e">
        <f>Raw!B266+"h_l!)@6"</f>
        <v>#VALUE!</v>
      </c>
      <c r="IG194" t="e">
        <f>Raw!C266+"h_l!)@7"</f>
        <v>#VALUE!</v>
      </c>
      <c r="IH194" t="e">
        <f>Raw!D266+"h_l!)@8"</f>
        <v>#VALUE!</v>
      </c>
      <c r="II194" t="e">
        <f>Raw!E266+"h_l!)@9"</f>
        <v>#VALUE!</v>
      </c>
      <c r="IJ194" t="e">
        <f>Raw!#REF!+"h_l!)@:"</f>
        <v>#REF!</v>
      </c>
      <c r="IK194" t="e">
        <f>Raw!G266+"h_l!)@;"</f>
        <v>#VALUE!</v>
      </c>
      <c r="IL194" t="e">
        <f>Raw!H266+"h_l!)@&lt;"</f>
        <v>#VALUE!</v>
      </c>
      <c r="IM194" t="e">
        <f>Raw!I266+"h_l!)@="</f>
        <v>#VALUE!</v>
      </c>
      <c r="IN194" t="e">
        <f>Raw!J266+"h_l!)@&gt;"</f>
        <v>#VALUE!</v>
      </c>
      <c r="IO194" t="e">
        <f>Raw!K266+"h_l!)@?"</f>
        <v>#VALUE!</v>
      </c>
      <c r="IP194" t="e">
        <f>Raw!L266+"h_l!)@@"</f>
        <v>#VALUE!</v>
      </c>
      <c r="IQ194" t="e">
        <f>Raw!M266+"h_l!)@A"</f>
        <v>#VALUE!</v>
      </c>
      <c r="IR194" t="e">
        <f>Raw!N266+"h_l!)@B"</f>
        <v>#VALUE!</v>
      </c>
      <c r="IS194" t="e">
        <f>Raw!O266+"h_l!)@C"</f>
        <v>#VALUE!</v>
      </c>
      <c r="IT194" t="e">
        <f>Raw!P266+"h_l!)@D"</f>
        <v>#VALUE!</v>
      </c>
      <c r="IU194" t="e">
        <f>Raw!Q266+"h_l!)@E"</f>
        <v>#VALUE!</v>
      </c>
      <c r="IV194" t="e">
        <f>Raw!R266+"h_l!)@F"</f>
        <v>#VALUE!</v>
      </c>
    </row>
    <row r="195" spans="6:256" x14ac:dyDescent="0.25">
      <c r="F195" t="e">
        <f>Raw!S266+"h_l!)@G"</f>
        <v>#VALUE!</v>
      </c>
      <c r="G195" t="e">
        <f>Raw!T266+"h_l!)@H"</f>
        <v>#VALUE!</v>
      </c>
      <c r="H195" t="e">
        <f>Raw!U266+"h_l!)@I"</f>
        <v>#VALUE!</v>
      </c>
      <c r="I195" t="e">
        <f>Raw!V266+"h_l!)@J"</f>
        <v>#VALUE!</v>
      </c>
      <c r="J195" t="e">
        <f>Raw!W266+"h_l!)@K"</f>
        <v>#VALUE!</v>
      </c>
      <c r="K195" t="e">
        <f>Raw!A267+"h_l!)@L"</f>
        <v>#VALUE!</v>
      </c>
      <c r="L195" t="e">
        <f>Raw!B267+"h_l!)@M"</f>
        <v>#VALUE!</v>
      </c>
      <c r="M195" t="e">
        <f>Raw!C267+"h_l!)@N"</f>
        <v>#VALUE!</v>
      </c>
      <c r="N195" t="e">
        <f>Raw!D267+"h_l!)@O"</f>
        <v>#VALUE!</v>
      </c>
      <c r="O195" t="e">
        <f>Raw!E267+"h_l!)@P"</f>
        <v>#VALUE!</v>
      </c>
      <c r="P195" t="e">
        <f>Raw!#REF!+"h_l!)@Q"</f>
        <v>#REF!</v>
      </c>
      <c r="Q195" t="e">
        <f>Raw!G267+"h_l!)@R"</f>
        <v>#VALUE!</v>
      </c>
      <c r="R195" t="e">
        <f>Raw!H267+"h_l!)@S"</f>
        <v>#VALUE!</v>
      </c>
      <c r="S195" t="e">
        <f>Raw!I267+"h_l!)@T"</f>
        <v>#VALUE!</v>
      </c>
      <c r="T195" t="e">
        <f>Raw!J267+"h_l!)@U"</f>
        <v>#VALUE!</v>
      </c>
      <c r="U195" t="e">
        <f>Raw!K267+"h_l!)@V"</f>
        <v>#VALUE!</v>
      </c>
      <c r="V195" t="e">
        <f>Raw!L267+"h_l!)@W"</f>
        <v>#VALUE!</v>
      </c>
      <c r="W195" t="e">
        <f>Raw!M267+"h_l!)@X"</f>
        <v>#VALUE!</v>
      </c>
      <c r="X195" t="e">
        <f>Raw!N267+"h_l!)@Y"</f>
        <v>#VALUE!</v>
      </c>
      <c r="Y195" t="e">
        <f>Raw!O267+"h_l!)@Z"</f>
        <v>#VALUE!</v>
      </c>
      <c r="Z195" t="e">
        <f>Raw!P267+"h_l!)@["</f>
        <v>#VALUE!</v>
      </c>
      <c r="AA195" t="e">
        <f>Raw!Q267+"h_l!)@\"</f>
        <v>#VALUE!</v>
      </c>
      <c r="AB195" t="e">
        <f>Raw!R267+"h_l!)@]"</f>
        <v>#VALUE!</v>
      </c>
      <c r="AC195" t="e">
        <f>Raw!S267+"h_l!)@^"</f>
        <v>#VALUE!</v>
      </c>
      <c r="AD195" t="e">
        <f>Raw!T267+"h_l!)@_"</f>
        <v>#VALUE!</v>
      </c>
      <c r="AE195" t="e">
        <f>Raw!U267+"h_l!)@`"</f>
        <v>#VALUE!</v>
      </c>
      <c r="AF195" t="e">
        <f>Raw!V267+"h_l!)@a"</f>
        <v>#VALUE!</v>
      </c>
      <c r="AG195" t="e">
        <f>Raw!W267+"h_l!)@b"</f>
        <v>#VALUE!</v>
      </c>
      <c r="AH195" t="e">
        <f>Raw!A268+"h_l!)@c"</f>
        <v>#VALUE!</v>
      </c>
      <c r="AI195" t="e">
        <f>Raw!B268+"h_l!)@d"</f>
        <v>#VALUE!</v>
      </c>
      <c r="AJ195" t="e">
        <f>Raw!C268+"h_l!)@e"</f>
        <v>#VALUE!</v>
      </c>
      <c r="AK195" t="e">
        <f>Raw!D268+"h_l!)@f"</f>
        <v>#VALUE!</v>
      </c>
      <c r="AL195" t="e">
        <f>Raw!E268+"h_l!)@g"</f>
        <v>#VALUE!</v>
      </c>
      <c r="AM195" t="e">
        <f>Raw!#REF!+"h_l!)@h"</f>
        <v>#REF!</v>
      </c>
      <c r="AN195" t="e">
        <f>Raw!G268+"h_l!)@i"</f>
        <v>#VALUE!</v>
      </c>
      <c r="AO195" t="e">
        <f>Raw!H268+"h_l!)@j"</f>
        <v>#VALUE!</v>
      </c>
      <c r="AP195" t="e">
        <f>Raw!I268+"h_l!)@k"</f>
        <v>#VALUE!</v>
      </c>
      <c r="AQ195" t="e">
        <f>Raw!J268+"h_l!)@l"</f>
        <v>#VALUE!</v>
      </c>
      <c r="AR195" t="e">
        <f>Raw!K268+"h_l!)@m"</f>
        <v>#VALUE!</v>
      </c>
      <c r="AS195" t="e">
        <f>Raw!L268+"h_l!)@n"</f>
        <v>#VALUE!</v>
      </c>
      <c r="AT195" t="e">
        <f>Raw!M268+"h_l!)@o"</f>
        <v>#VALUE!</v>
      </c>
      <c r="AU195" t="e">
        <f>Raw!N268+"h_l!)@p"</f>
        <v>#VALUE!</v>
      </c>
      <c r="AV195" t="e">
        <f>Raw!O268+"h_l!)@q"</f>
        <v>#VALUE!</v>
      </c>
      <c r="AW195" t="e">
        <f>Raw!P268+"h_l!)@r"</f>
        <v>#VALUE!</v>
      </c>
      <c r="AX195" t="e">
        <f>Raw!Q268+"h_l!)@s"</f>
        <v>#VALUE!</v>
      </c>
      <c r="AY195" t="e">
        <f>Raw!R268+"h_l!)@t"</f>
        <v>#VALUE!</v>
      </c>
      <c r="AZ195" t="e">
        <f>Raw!S268+"h_l!)@u"</f>
        <v>#VALUE!</v>
      </c>
      <c r="BA195" t="e">
        <f>Raw!T268+"h_l!)@v"</f>
        <v>#VALUE!</v>
      </c>
      <c r="BB195" t="e">
        <f>Raw!U268+"h_l!)@w"</f>
        <v>#VALUE!</v>
      </c>
      <c r="BC195" t="e">
        <f>Raw!V268+"h_l!)@x"</f>
        <v>#VALUE!</v>
      </c>
      <c r="BD195" t="e">
        <f>Raw!W268+"h_l!)@y"</f>
        <v>#VALUE!</v>
      </c>
      <c r="BE195" t="e">
        <f>Raw!A269+"h_l!)@z"</f>
        <v>#VALUE!</v>
      </c>
      <c r="BF195" t="e">
        <f>Raw!B269+"h_l!)@{"</f>
        <v>#VALUE!</v>
      </c>
      <c r="BG195" t="e">
        <f>Raw!C269+"h_l!)@|"</f>
        <v>#VALUE!</v>
      </c>
      <c r="BH195" t="e">
        <f>Raw!D269+"h_l!)@}"</f>
        <v>#VALUE!</v>
      </c>
      <c r="BI195" t="e">
        <f>Raw!E269+"h_l!)@~"</f>
        <v>#VALUE!</v>
      </c>
      <c r="BJ195" t="e">
        <f>Raw!#REF!+"h_l!)A#"</f>
        <v>#REF!</v>
      </c>
      <c r="BK195" t="e">
        <f>Raw!G269+"h_l!)A$"</f>
        <v>#VALUE!</v>
      </c>
      <c r="BL195" t="e">
        <f>Raw!H269+"h_l!)A%"</f>
        <v>#VALUE!</v>
      </c>
      <c r="BM195" t="e">
        <f>Raw!I269+"h_l!)A&amp;"</f>
        <v>#VALUE!</v>
      </c>
      <c r="BN195" t="e">
        <f>Raw!J269+"h_l!)A'"</f>
        <v>#VALUE!</v>
      </c>
      <c r="BO195" t="e">
        <f>Raw!K269+"h_l!)A("</f>
        <v>#VALUE!</v>
      </c>
      <c r="BP195" t="e">
        <f>Raw!L269+"h_l!)A)"</f>
        <v>#VALUE!</v>
      </c>
      <c r="BQ195" t="e">
        <f>Raw!M269+"h_l!)A."</f>
        <v>#VALUE!</v>
      </c>
      <c r="BR195" t="e">
        <f>Raw!N269+"h_l!)A/"</f>
        <v>#VALUE!</v>
      </c>
      <c r="BS195" t="e">
        <f>Raw!O269+"h_l!)A0"</f>
        <v>#VALUE!</v>
      </c>
      <c r="BT195" t="e">
        <f>Raw!P269+"h_l!)A1"</f>
        <v>#VALUE!</v>
      </c>
      <c r="BU195" t="e">
        <f>Raw!Q269+"h_l!)A2"</f>
        <v>#VALUE!</v>
      </c>
      <c r="BV195" t="e">
        <f>Raw!R269+"h_l!)A3"</f>
        <v>#VALUE!</v>
      </c>
      <c r="BW195" t="e">
        <f>Raw!S269+"h_l!)A4"</f>
        <v>#VALUE!</v>
      </c>
      <c r="BX195" t="e">
        <f>Raw!T269+"h_l!)A5"</f>
        <v>#VALUE!</v>
      </c>
      <c r="BY195" t="e">
        <f>Raw!U269+"h_l!)A6"</f>
        <v>#VALUE!</v>
      </c>
      <c r="BZ195" t="e">
        <f>Raw!V269+"h_l!)A7"</f>
        <v>#VALUE!</v>
      </c>
      <c r="CA195" t="e">
        <f>Raw!W269+"h_l!)A8"</f>
        <v>#VALUE!</v>
      </c>
      <c r="CB195" t="e">
        <f>Raw!A270+"h_l!)A9"</f>
        <v>#VALUE!</v>
      </c>
      <c r="CC195" t="e">
        <f>Raw!B270+"h_l!)A:"</f>
        <v>#VALUE!</v>
      </c>
      <c r="CD195" t="e">
        <f>Raw!C270+"h_l!)A;"</f>
        <v>#VALUE!</v>
      </c>
      <c r="CE195" t="e">
        <f>Raw!D270+"h_l!)A&lt;"</f>
        <v>#VALUE!</v>
      </c>
      <c r="CF195" t="e">
        <f>Raw!E270+"h_l!)A="</f>
        <v>#VALUE!</v>
      </c>
      <c r="CG195" t="e">
        <f>Raw!#REF!+"h_l!)A&gt;"</f>
        <v>#REF!</v>
      </c>
      <c r="CH195" t="e">
        <f>Raw!G270+"h_l!)A?"</f>
        <v>#VALUE!</v>
      </c>
      <c r="CI195" t="e">
        <f>Raw!H270+"h_l!)A@"</f>
        <v>#VALUE!</v>
      </c>
      <c r="CJ195" t="e">
        <f>Raw!I270+"h_l!)AA"</f>
        <v>#VALUE!</v>
      </c>
      <c r="CK195" t="e">
        <f>Raw!J270+"h_l!)AB"</f>
        <v>#VALUE!</v>
      </c>
      <c r="CL195" t="e">
        <f>Raw!K270+"h_l!)AC"</f>
        <v>#VALUE!</v>
      </c>
      <c r="CM195" t="e">
        <f>Raw!L270+"h_l!)AD"</f>
        <v>#VALUE!</v>
      </c>
      <c r="CN195" t="e">
        <f>Raw!M270+"h_l!)AE"</f>
        <v>#VALUE!</v>
      </c>
      <c r="CO195" t="e">
        <f>Raw!N270+"h_l!)AF"</f>
        <v>#VALUE!</v>
      </c>
      <c r="CP195" t="e">
        <f>Raw!O270+"h_l!)AG"</f>
        <v>#VALUE!</v>
      </c>
      <c r="CQ195" t="e">
        <f>Raw!P270+"h_l!)AH"</f>
        <v>#VALUE!</v>
      </c>
      <c r="CR195" t="e">
        <f>Raw!Q270+"h_l!)AI"</f>
        <v>#VALUE!</v>
      </c>
      <c r="CS195" t="e">
        <f>Raw!R270+"h_l!)AJ"</f>
        <v>#VALUE!</v>
      </c>
      <c r="CT195" t="e">
        <f>Raw!S270+"h_l!)AK"</f>
        <v>#VALUE!</v>
      </c>
      <c r="CU195" t="e">
        <f>Raw!T270+"h_l!)AL"</f>
        <v>#VALUE!</v>
      </c>
      <c r="CV195" t="e">
        <f>Raw!U270+"h_l!)AM"</f>
        <v>#VALUE!</v>
      </c>
      <c r="CW195" t="e">
        <f>Raw!V270+"h_l!)AN"</f>
        <v>#VALUE!</v>
      </c>
      <c r="CX195" t="e">
        <f>Raw!W270+"h_l!)AO"</f>
        <v>#VALUE!</v>
      </c>
      <c r="CY195" t="e">
        <f>Raw!A271+"h_l!)AP"</f>
        <v>#VALUE!</v>
      </c>
      <c r="CZ195" t="e">
        <f>Raw!B271+"h_l!)AQ"</f>
        <v>#VALUE!</v>
      </c>
      <c r="DA195" t="e">
        <f>Raw!C271+"h_l!)AR"</f>
        <v>#VALUE!</v>
      </c>
      <c r="DB195" t="e">
        <f>Raw!D271+"h_l!)AS"</f>
        <v>#VALUE!</v>
      </c>
      <c r="DC195" t="e">
        <f>Raw!E271+"h_l!)AT"</f>
        <v>#VALUE!</v>
      </c>
      <c r="DD195" t="e">
        <f>Raw!#REF!+"h_l!)AU"</f>
        <v>#REF!</v>
      </c>
      <c r="DE195" t="e">
        <f>Raw!G271+"h_l!)AV"</f>
        <v>#VALUE!</v>
      </c>
      <c r="DF195" t="e">
        <f>Raw!H271+"h_l!)AW"</f>
        <v>#VALUE!</v>
      </c>
      <c r="DG195" t="e">
        <f>Raw!I271+"h_l!)AX"</f>
        <v>#VALUE!</v>
      </c>
      <c r="DH195" t="e">
        <f>Raw!J271+"h_l!)AY"</f>
        <v>#VALUE!</v>
      </c>
      <c r="DI195" t="e">
        <f>Raw!K271+"h_l!)AZ"</f>
        <v>#VALUE!</v>
      </c>
      <c r="DJ195" t="e">
        <f>Raw!L271+"h_l!)A["</f>
        <v>#VALUE!</v>
      </c>
      <c r="DK195" t="e">
        <f>Raw!M271+"h_l!)A\"</f>
        <v>#VALUE!</v>
      </c>
      <c r="DL195" t="e">
        <f>Raw!N271+"h_l!)A]"</f>
        <v>#VALUE!</v>
      </c>
      <c r="DM195" t="e">
        <f>Raw!O271+"h_l!)A^"</f>
        <v>#VALUE!</v>
      </c>
      <c r="DN195" t="e">
        <f>Raw!P271+"h_l!)A_"</f>
        <v>#VALUE!</v>
      </c>
      <c r="DO195" t="e">
        <f>Raw!Q271+"h_l!)A`"</f>
        <v>#VALUE!</v>
      </c>
      <c r="DP195" t="e">
        <f>Raw!R271+"h_l!)Aa"</f>
        <v>#VALUE!</v>
      </c>
      <c r="DQ195" t="e">
        <f>Raw!S271+"h_l!)Ab"</f>
        <v>#VALUE!</v>
      </c>
      <c r="DR195" t="e">
        <f>Raw!T271+"h_l!)Ac"</f>
        <v>#VALUE!</v>
      </c>
      <c r="DS195" t="e">
        <f>Raw!U271+"h_l!)Ad"</f>
        <v>#VALUE!</v>
      </c>
      <c r="DT195" t="e">
        <f>Raw!V271+"h_l!)Ae"</f>
        <v>#VALUE!</v>
      </c>
      <c r="DU195" t="e">
        <f>Raw!W271+"h_l!)Af"</f>
        <v>#VALUE!</v>
      </c>
      <c r="DV195" t="e">
        <f>Raw!A272+"h_l!)Ag"</f>
        <v>#VALUE!</v>
      </c>
      <c r="DW195" t="e">
        <f>Raw!B272+"h_l!)Ah"</f>
        <v>#VALUE!</v>
      </c>
      <c r="DX195" t="e">
        <f>Raw!C272+"h_l!)Ai"</f>
        <v>#VALUE!</v>
      </c>
      <c r="DY195" t="e">
        <f>Raw!D272+"h_l!)Aj"</f>
        <v>#VALUE!</v>
      </c>
      <c r="DZ195" t="e">
        <f>Raw!E272+"h_l!)Ak"</f>
        <v>#VALUE!</v>
      </c>
      <c r="EA195" t="e">
        <f>Raw!#REF!+"h_l!)Al"</f>
        <v>#REF!</v>
      </c>
      <c r="EB195" t="e">
        <f>Raw!G272+"h_l!)Am"</f>
        <v>#VALUE!</v>
      </c>
      <c r="EC195" t="e">
        <f>Raw!H272+"h_l!)An"</f>
        <v>#VALUE!</v>
      </c>
      <c r="ED195" t="e">
        <f>Raw!I272+"h_l!)Ao"</f>
        <v>#VALUE!</v>
      </c>
      <c r="EE195" t="e">
        <f>Raw!J272+"h_l!)Ap"</f>
        <v>#VALUE!</v>
      </c>
      <c r="EF195" t="e">
        <f>Raw!K272+"h_l!)Aq"</f>
        <v>#VALUE!</v>
      </c>
      <c r="EG195" t="e">
        <f>Raw!L272+"h_l!)Ar"</f>
        <v>#VALUE!</v>
      </c>
      <c r="EH195" t="e">
        <f>Raw!M272+"h_l!)As"</f>
        <v>#VALUE!</v>
      </c>
      <c r="EI195" t="e">
        <f>Raw!N272+"h_l!)At"</f>
        <v>#VALUE!</v>
      </c>
      <c r="EJ195" t="e">
        <f>Raw!O272+"h_l!)Au"</f>
        <v>#VALUE!</v>
      </c>
      <c r="EK195" t="e">
        <f>Raw!P272+"h_l!)Av"</f>
        <v>#VALUE!</v>
      </c>
      <c r="EL195" t="e">
        <f>Raw!Q272+"h_l!)Aw"</f>
        <v>#VALUE!</v>
      </c>
      <c r="EM195" t="e">
        <f>Raw!R272+"h_l!)Ax"</f>
        <v>#VALUE!</v>
      </c>
      <c r="EN195" t="e">
        <f>Raw!S272+"h_l!)Ay"</f>
        <v>#VALUE!</v>
      </c>
      <c r="EO195" t="e">
        <f>Raw!T272+"h_l!)Az"</f>
        <v>#VALUE!</v>
      </c>
      <c r="EP195" t="e">
        <f>Raw!U272+"h_l!)A{"</f>
        <v>#VALUE!</v>
      </c>
      <c r="EQ195" t="e">
        <f>Raw!V272+"h_l!)A|"</f>
        <v>#VALUE!</v>
      </c>
      <c r="ER195" t="e">
        <f>Raw!W272+"h_l!)A}"</f>
        <v>#VALUE!</v>
      </c>
      <c r="ES195" t="e">
        <f>Raw!A273+"h_l!)A~"</f>
        <v>#VALUE!</v>
      </c>
      <c r="ET195" t="e">
        <f>Raw!B273+"h_l!)B#"</f>
        <v>#VALUE!</v>
      </c>
      <c r="EU195" t="e">
        <f>Raw!C273+"h_l!)B$"</f>
        <v>#VALUE!</v>
      </c>
      <c r="EV195" t="e">
        <f>Raw!D273+"h_l!)B%"</f>
        <v>#VALUE!</v>
      </c>
      <c r="EW195" t="e">
        <f>Raw!E273+"h_l!)B&amp;"</f>
        <v>#VALUE!</v>
      </c>
      <c r="EX195" t="e">
        <f>Raw!#REF!+"h_l!)B'"</f>
        <v>#REF!</v>
      </c>
      <c r="EY195" t="e">
        <f>Raw!G273+"h_l!)B("</f>
        <v>#VALUE!</v>
      </c>
      <c r="EZ195" t="e">
        <f>Raw!H273+"h_l!)B)"</f>
        <v>#VALUE!</v>
      </c>
      <c r="FA195" t="e">
        <f>Raw!I273+"h_l!)B."</f>
        <v>#VALUE!</v>
      </c>
      <c r="FB195" t="e">
        <f>Raw!J273+"h_l!)B/"</f>
        <v>#VALUE!</v>
      </c>
      <c r="FC195" t="e">
        <f>Raw!K273+"h_l!)B0"</f>
        <v>#VALUE!</v>
      </c>
      <c r="FD195" t="e">
        <f>Raw!L273+"h_l!)B1"</f>
        <v>#VALUE!</v>
      </c>
      <c r="FE195" t="e">
        <f>Raw!M273+"h_l!)B2"</f>
        <v>#VALUE!</v>
      </c>
      <c r="FF195" t="e">
        <f>Raw!N273+"h_l!)B3"</f>
        <v>#VALUE!</v>
      </c>
      <c r="FG195" t="e">
        <f>Raw!O273+"h_l!)B4"</f>
        <v>#VALUE!</v>
      </c>
      <c r="FH195" t="e">
        <f>Raw!P273+"h_l!)B5"</f>
        <v>#VALUE!</v>
      </c>
      <c r="FI195" t="e">
        <f>Raw!Q273+"h_l!)B6"</f>
        <v>#VALUE!</v>
      </c>
      <c r="FJ195" t="e">
        <f>Raw!R273+"h_l!)B7"</f>
        <v>#VALUE!</v>
      </c>
      <c r="FK195" t="e">
        <f>Raw!S273+"h_l!)B8"</f>
        <v>#VALUE!</v>
      </c>
      <c r="FL195" t="e">
        <f>Raw!T273+"h_l!)B9"</f>
        <v>#VALUE!</v>
      </c>
      <c r="FM195" t="e">
        <f>Raw!U273+"h_l!)B:"</f>
        <v>#VALUE!</v>
      </c>
      <c r="FN195" t="e">
        <f>Raw!V273+"h_l!)B;"</f>
        <v>#VALUE!</v>
      </c>
      <c r="FO195" t="e">
        <f>Raw!W273+"h_l!)B&lt;"</f>
        <v>#VALUE!</v>
      </c>
      <c r="FP195" t="e">
        <f>Raw!A274+"h_l!)B="</f>
        <v>#VALUE!</v>
      </c>
      <c r="FQ195" t="e">
        <f>Raw!B274+"h_l!)B&gt;"</f>
        <v>#VALUE!</v>
      </c>
      <c r="FR195" t="e">
        <f>Raw!C274+"h_l!)B?"</f>
        <v>#VALUE!</v>
      </c>
      <c r="FS195" t="e">
        <f>Raw!D274+"h_l!)B@"</f>
        <v>#VALUE!</v>
      </c>
      <c r="FT195" t="e">
        <f>Raw!E274+"h_l!)BA"</f>
        <v>#VALUE!</v>
      </c>
      <c r="FU195" t="e">
        <f>Raw!#REF!+"h_l!)BB"</f>
        <v>#REF!</v>
      </c>
      <c r="FV195" t="e">
        <f>Raw!G274+"h_l!)BC"</f>
        <v>#VALUE!</v>
      </c>
      <c r="FW195" t="e">
        <f>Raw!H274+"h_l!)BD"</f>
        <v>#VALUE!</v>
      </c>
      <c r="FX195" t="e">
        <f>Raw!I274+"h_l!)BE"</f>
        <v>#VALUE!</v>
      </c>
      <c r="FY195" t="e">
        <f>Raw!J274+"h_l!)BF"</f>
        <v>#VALUE!</v>
      </c>
      <c r="FZ195" t="e">
        <f>Raw!K274+"h_l!)BG"</f>
        <v>#VALUE!</v>
      </c>
      <c r="GA195" t="e">
        <f>Raw!L274+"h_l!)BH"</f>
        <v>#VALUE!</v>
      </c>
      <c r="GB195" t="e">
        <f>Raw!M274+"h_l!)BI"</f>
        <v>#VALUE!</v>
      </c>
      <c r="GC195" t="e">
        <f>Raw!N274+"h_l!)BJ"</f>
        <v>#VALUE!</v>
      </c>
      <c r="GD195" t="e">
        <f>Raw!O274+"h_l!)BK"</f>
        <v>#VALUE!</v>
      </c>
      <c r="GE195" t="e">
        <f>Raw!P274+"h_l!)BL"</f>
        <v>#VALUE!</v>
      </c>
      <c r="GF195" t="e">
        <f>Raw!Q274+"h_l!)BM"</f>
        <v>#VALUE!</v>
      </c>
      <c r="GG195" t="e">
        <f>Raw!R274+"h_l!)BN"</f>
        <v>#VALUE!</v>
      </c>
      <c r="GH195" t="e">
        <f>Raw!S274+"h_l!)BO"</f>
        <v>#VALUE!</v>
      </c>
      <c r="GI195" t="e">
        <f>Raw!T274+"h_l!)BP"</f>
        <v>#VALUE!</v>
      </c>
      <c r="GJ195" t="e">
        <f>Raw!U274+"h_l!)BQ"</f>
        <v>#VALUE!</v>
      </c>
      <c r="GK195" t="e">
        <f>Raw!V274+"h_l!)BR"</f>
        <v>#VALUE!</v>
      </c>
      <c r="GL195" t="e">
        <f>Raw!W274+"h_l!)BS"</f>
        <v>#VALUE!</v>
      </c>
      <c r="GM195" t="e">
        <f>Raw!A275+"h_l!)BT"</f>
        <v>#VALUE!</v>
      </c>
      <c r="GN195" t="e">
        <f>Raw!B275+"h_l!)BU"</f>
        <v>#VALUE!</v>
      </c>
      <c r="GO195" t="e">
        <f>Raw!C275+"h_l!)BV"</f>
        <v>#VALUE!</v>
      </c>
      <c r="GP195" t="e">
        <f>Raw!D275+"h_l!)BW"</f>
        <v>#VALUE!</v>
      </c>
      <c r="GQ195" t="e">
        <f>Raw!E275+"h_l!)BX"</f>
        <v>#VALUE!</v>
      </c>
      <c r="GR195" t="e">
        <f>Raw!#REF!+"h_l!)BY"</f>
        <v>#REF!</v>
      </c>
      <c r="GS195" t="e">
        <f>Raw!G275+"h_l!)BZ"</f>
        <v>#VALUE!</v>
      </c>
      <c r="GT195" t="e">
        <f>Raw!H275+"h_l!)B["</f>
        <v>#VALUE!</v>
      </c>
      <c r="GU195" t="e">
        <f>Raw!I275+"h_l!)B\"</f>
        <v>#VALUE!</v>
      </c>
      <c r="GV195" t="e">
        <f>Raw!J275+"h_l!)B]"</f>
        <v>#VALUE!</v>
      </c>
      <c r="GW195" t="e">
        <f>Raw!K275+"h_l!)B^"</f>
        <v>#VALUE!</v>
      </c>
      <c r="GX195" t="e">
        <f>Raw!L275+"h_l!)B_"</f>
        <v>#VALUE!</v>
      </c>
      <c r="GY195" t="e">
        <f>Raw!M275+"h_l!)B`"</f>
        <v>#VALUE!</v>
      </c>
      <c r="GZ195" t="e">
        <f>Raw!N275+"h_l!)Ba"</f>
        <v>#VALUE!</v>
      </c>
      <c r="HA195" t="e">
        <f>Raw!O275+"h_l!)Bb"</f>
        <v>#VALUE!</v>
      </c>
      <c r="HB195" t="e">
        <f>Raw!P275+"h_l!)Bc"</f>
        <v>#VALUE!</v>
      </c>
      <c r="HC195" t="e">
        <f>Raw!Q275+"h_l!)Bd"</f>
        <v>#VALUE!</v>
      </c>
      <c r="HD195" t="e">
        <f>Raw!R275+"h_l!)Be"</f>
        <v>#VALUE!</v>
      </c>
      <c r="HE195" t="e">
        <f>Raw!S275+"h_l!)Bf"</f>
        <v>#VALUE!</v>
      </c>
      <c r="HF195" t="e">
        <f>Raw!T275+"h_l!)Bg"</f>
        <v>#VALUE!</v>
      </c>
      <c r="HG195" t="e">
        <f>Raw!U275+"h_l!)Bh"</f>
        <v>#VALUE!</v>
      </c>
      <c r="HH195" t="e">
        <f>Raw!V275+"h_l!)Bi"</f>
        <v>#VALUE!</v>
      </c>
      <c r="HI195" t="e">
        <f>Raw!W275+"h_l!)Bj"</f>
        <v>#VALUE!</v>
      </c>
      <c r="HJ195" t="e">
        <f>Raw!A276+"h_l!)Bk"</f>
        <v>#VALUE!</v>
      </c>
      <c r="HK195" t="e">
        <f>Raw!B276+"h_l!)Bl"</f>
        <v>#VALUE!</v>
      </c>
      <c r="HL195" t="e">
        <f>Raw!C276+"h_l!)Bm"</f>
        <v>#VALUE!</v>
      </c>
      <c r="HM195" t="e">
        <f>Raw!D276+"h_l!)Bn"</f>
        <v>#VALUE!</v>
      </c>
      <c r="HN195" t="e">
        <f>Raw!E276+"h_l!)Bo"</f>
        <v>#VALUE!</v>
      </c>
      <c r="HO195" t="e">
        <f>Raw!#REF!+"h_l!)Bp"</f>
        <v>#REF!</v>
      </c>
      <c r="HP195" t="e">
        <f>Raw!G276+"h_l!)Bq"</f>
        <v>#VALUE!</v>
      </c>
      <c r="HQ195" t="e">
        <f>Raw!H276+"h_l!)Br"</f>
        <v>#VALUE!</v>
      </c>
      <c r="HR195" t="e">
        <f>Raw!I276+"h_l!)Bs"</f>
        <v>#VALUE!</v>
      </c>
      <c r="HS195" t="e">
        <f>Raw!J276+"h_l!)Bt"</f>
        <v>#VALUE!</v>
      </c>
      <c r="HT195" t="e">
        <f>Raw!K276+"h_l!)Bu"</f>
        <v>#VALUE!</v>
      </c>
      <c r="HU195" t="e">
        <f>Raw!L276+"h_l!)Bv"</f>
        <v>#VALUE!</v>
      </c>
      <c r="HV195" t="e">
        <f>Raw!M276+"h_l!)Bw"</f>
        <v>#VALUE!</v>
      </c>
      <c r="HW195" t="e">
        <f>Raw!N276+"h_l!)Bx"</f>
        <v>#VALUE!</v>
      </c>
      <c r="HX195" t="e">
        <f>Raw!O276+"h_l!)By"</f>
        <v>#VALUE!</v>
      </c>
      <c r="HY195" t="e">
        <f>Raw!P276+"h_l!)Bz"</f>
        <v>#VALUE!</v>
      </c>
      <c r="HZ195" t="e">
        <f>Raw!Q276+"h_l!)B{"</f>
        <v>#VALUE!</v>
      </c>
      <c r="IA195" t="e">
        <f>Raw!R276+"h_l!)B|"</f>
        <v>#VALUE!</v>
      </c>
      <c r="IB195" t="e">
        <f>Raw!S276+"h_l!)B}"</f>
        <v>#VALUE!</v>
      </c>
      <c r="IC195" t="e">
        <f>Raw!T276+"h_l!)B~"</f>
        <v>#VALUE!</v>
      </c>
      <c r="ID195" t="e">
        <f>Raw!U276+"h_l!)C#"</f>
        <v>#VALUE!</v>
      </c>
      <c r="IE195" t="e">
        <f>Raw!V276+"h_l!)C$"</f>
        <v>#VALUE!</v>
      </c>
      <c r="IF195" t="e">
        <f>Raw!W276+"h_l!)C%"</f>
        <v>#VALUE!</v>
      </c>
      <c r="IG195" t="e">
        <f>Raw!A277+"h_l!)C&amp;"</f>
        <v>#VALUE!</v>
      </c>
      <c r="IH195" t="e">
        <f>Raw!B277+"h_l!)C'"</f>
        <v>#VALUE!</v>
      </c>
      <c r="II195" t="e">
        <f>Raw!C277+"h_l!)C("</f>
        <v>#VALUE!</v>
      </c>
      <c r="IJ195" t="e">
        <f>Raw!D277+"h_l!)C)"</f>
        <v>#VALUE!</v>
      </c>
      <c r="IK195" t="e">
        <f>Raw!E277+"h_l!)C."</f>
        <v>#VALUE!</v>
      </c>
      <c r="IL195" t="e">
        <f>Raw!#REF!+"h_l!)C/"</f>
        <v>#REF!</v>
      </c>
      <c r="IM195" t="e">
        <f>Raw!G277+"h_l!)C0"</f>
        <v>#VALUE!</v>
      </c>
      <c r="IN195" t="e">
        <f>Raw!H277+"h_l!)C1"</f>
        <v>#VALUE!</v>
      </c>
      <c r="IO195" t="e">
        <f>Raw!I277+"h_l!)C2"</f>
        <v>#VALUE!</v>
      </c>
      <c r="IP195" t="e">
        <f>Raw!J277+"h_l!)C3"</f>
        <v>#VALUE!</v>
      </c>
      <c r="IQ195" t="e">
        <f>Raw!K277+"h_l!)C4"</f>
        <v>#VALUE!</v>
      </c>
      <c r="IR195" t="e">
        <f>Raw!L277+"h_l!)C5"</f>
        <v>#VALUE!</v>
      </c>
      <c r="IS195" t="e">
        <f>Raw!M277+"h_l!)C6"</f>
        <v>#VALUE!</v>
      </c>
      <c r="IT195" t="e">
        <f>Raw!N277+"h_l!)C7"</f>
        <v>#VALUE!</v>
      </c>
      <c r="IU195" t="e">
        <f>Raw!O277+"h_l!)C8"</f>
        <v>#VALUE!</v>
      </c>
      <c r="IV195" t="e">
        <f>Raw!P277+"h_l!)C9"</f>
        <v>#VALUE!</v>
      </c>
    </row>
    <row r="196" spans="6:256" x14ac:dyDescent="0.25">
      <c r="F196" t="e">
        <f>Raw!Q277+"h_l!)C:"</f>
        <v>#VALUE!</v>
      </c>
      <c r="G196" t="e">
        <f>Raw!R277+"h_l!)C;"</f>
        <v>#VALUE!</v>
      </c>
      <c r="H196" t="e">
        <f>Raw!S277+"h_l!)C&lt;"</f>
        <v>#VALUE!</v>
      </c>
      <c r="I196" t="e">
        <f>Raw!T277+"h_l!)C="</f>
        <v>#VALUE!</v>
      </c>
      <c r="J196" t="e">
        <f>Raw!U277+"h_l!)C&gt;"</f>
        <v>#VALUE!</v>
      </c>
      <c r="K196" t="e">
        <f>Raw!V277+"h_l!)C?"</f>
        <v>#VALUE!</v>
      </c>
      <c r="L196" t="e">
        <f>Raw!W277+"h_l!)C@"</f>
        <v>#VALUE!</v>
      </c>
      <c r="M196" t="e">
        <f>Raw!A278+"h_l!)CA"</f>
        <v>#VALUE!</v>
      </c>
      <c r="N196" t="e">
        <f>Raw!B278+"h_l!)CB"</f>
        <v>#VALUE!</v>
      </c>
      <c r="O196" t="e">
        <f>Raw!C278+"h_l!)CC"</f>
        <v>#VALUE!</v>
      </c>
      <c r="P196" t="e">
        <f>Raw!D278+"h_l!)CD"</f>
        <v>#VALUE!</v>
      </c>
      <c r="Q196" t="e">
        <f>Raw!E278+"h_l!)CE"</f>
        <v>#VALUE!</v>
      </c>
      <c r="R196" t="e">
        <f>Raw!#REF!+"h_l!)CF"</f>
        <v>#REF!</v>
      </c>
      <c r="S196" t="e">
        <f>Raw!G278+"h_l!)CG"</f>
        <v>#VALUE!</v>
      </c>
      <c r="T196" t="e">
        <f>Raw!H278+"h_l!)CH"</f>
        <v>#VALUE!</v>
      </c>
      <c r="U196" t="e">
        <f>Raw!I278+"h_l!)CI"</f>
        <v>#VALUE!</v>
      </c>
      <c r="V196" t="e">
        <f>Raw!J278+"h_l!)CJ"</f>
        <v>#VALUE!</v>
      </c>
      <c r="W196" t="e">
        <f>Raw!K278+"h_l!)CK"</f>
        <v>#VALUE!</v>
      </c>
      <c r="X196" t="e">
        <f>Raw!L278+"h_l!)CL"</f>
        <v>#VALUE!</v>
      </c>
      <c r="Y196" t="e">
        <f>Raw!M278+"h_l!)CM"</f>
        <v>#VALUE!</v>
      </c>
      <c r="Z196" t="e">
        <f>Raw!N278+"h_l!)CN"</f>
        <v>#VALUE!</v>
      </c>
      <c r="AA196" t="e">
        <f>Raw!O278+"h_l!)CO"</f>
        <v>#VALUE!</v>
      </c>
      <c r="AB196" t="e">
        <f>Raw!P278+"h_l!)CP"</f>
        <v>#VALUE!</v>
      </c>
      <c r="AC196" t="e">
        <f>Raw!Q278+"h_l!)CQ"</f>
        <v>#VALUE!</v>
      </c>
      <c r="AD196" t="e">
        <f>Raw!R278+"h_l!)CR"</f>
        <v>#VALUE!</v>
      </c>
      <c r="AE196" t="e">
        <f>Raw!S278+"h_l!)CS"</f>
        <v>#VALUE!</v>
      </c>
      <c r="AF196" t="e">
        <f>Raw!T278+"h_l!)CT"</f>
        <v>#VALUE!</v>
      </c>
      <c r="AG196" t="e">
        <f>Raw!U278+"h_l!)CU"</f>
        <v>#VALUE!</v>
      </c>
      <c r="AH196" t="e">
        <f>Raw!V278+"h_l!)CV"</f>
        <v>#VALUE!</v>
      </c>
      <c r="AI196" t="e">
        <f>Raw!W278+"h_l!)CW"</f>
        <v>#VALUE!</v>
      </c>
      <c r="AJ196" t="e">
        <f>Raw!A279+"h_l!)CX"</f>
        <v>#VALUE!</v>
      </c>
      <c r="AK196" t="e">
        <f>Raw!B279+"h_l!)CY"</f>
        <v>#VALUE!</v>
      </c>
      <c r="AL196" t="e">
        <f>Raw!C279+"h_l!)CZ"</f>
        <v>#VALUE!</v>
      </c>
      <c r="AM196" t="e">
        <f>Raw!D279+"h_l!)C["</f>
        <v>#VALUE!</v>
      </c>
      <c r="AN196" t="e">
        <f>Raw!E279+"h_l!)C\"</f>
        <v>#VALUE!</v>
      </c>
      <c r="AO196" t="e">
        <f>Raw!#REF!+"h_l!)C]"</f>
        <v>#REF!</v>
      </c>
      <c r="AP196" t="e">
        <f>Raw!G279+"h_l!)C^"</f>
        <v>#VALUE!</v>
      </c>
      <c r="AQ196" t="e">
        <f>Raw!H279+"h_l!)C_"</f>
        <v>#VALUE!</v>
      </c>
      <c r="AR196" t="e">
        <f>Raw!I279+"h_l!)C`"</f>
        <v>#VALUE!</v>
      </c>
      <c r="AS196" t="e">
        <f>Raw!J279+"h_l!)Ca"</f>
        <v>#VALUE!</v>
      </c>
      <c r="AT196" t="e">
        <f>Raw!K279+"h_l!)Cb"</f>
        <v>#VALUE!</v>
      </c>
      <c r="AU196" t="e">
        <f>Raw!L279+"h_l!)Cc"</f>
        <v>#VALUE!</v>
      </c>
      <c r="AV196" t="e">
        <f>Raw!M279+"h_l!)Cd"</f>
        <v>#VALUE!</v>
      </c>
      <c r="AW196" t="e">
        <f>Raw!N279+"h_l!)Ce"</f>
        <v>#VALUE!</v>
      </c>
      <c r="AX196" t="e">
        <f>Raw!O279+"h_l!)Cf"</f>
        <v>#VALUE!</v>
      </c>
      <c r="AY196" t="e">
        <f>Raw!P279+"h_l!)Cg"</f>
        <v>#VALUE!</v>
      </c>
      <c r="AZ196" t="e">
        <f>Raw!Q279+"h_l!)Ch"</f>
        <v>#VALUE!</v>
      </c>
      <c r="BA196" t="e">
        <f>Raw!R279+"h_l!)Ci"</f>
        <v>#VALUE!</v>
      </c>
      <c r="BB196" t="e">
        <f>Raw!S279+"h_l!)Cj"</f>
        <v>#VALUE!</v>
      </c>
      <c r="BC196" t="e">
        <f>Raw!T279+"h_l!)Ck"</f>
        <v>#VALUE!</v>
      </c>
      <c r="BD196" t="e">
        <f>Raw!U279+"h_l!)Cl"</f>
        <v>#VALUE!</v>
      </c>
      <c r="BE196" t="e">
        <f>Raw!V279+"h_l!)Cm"</f>
        <v>#VALUE!</v>
      </c>
      <c r="BF196" t="e">
        <f>Raw!W279+"h_l!)Cn"</f>
        <v>#VALUE!</v>
      </c>
      <c r="BG196" t="e">
        <f>Raw!A280+"h_l!)Co"</f>
        <v>#VALUE!</v>
      </c>
      <c r="BH196" t="e">
        <f>Raw!B280+"h_l!)Cp"</f>
        <v>#VALUE!</v>
      </c>
      <c r="BI196" t="e">
        <f>Raw!C280+"h_l!)Cq"</f>
        <v>#VALUE!</v>
      </c>
      <c r="BJ196" t="e">
        <f>Raw!D280+"h_l!)Cr"</f>
        <v>#VALUE!</v>
      </c>
      <c r="BK196" t="e">
        <f>Raw!E280+"h_l!)Cs"</f>
        <v>#VALUE!</v>
      </c>
      <c r="BL196" t="e">
        <f>Raw!#REF!+"h_l!)Ct"</f>
        <v>#REF!</v>
      </c>
      <c r="BM196" t="e">
        <f>Raw!G280+"h_l!)Cu"</f>
        <v>#VALUE!</v>
      </c>
      <c r="BN196" t="e">
        <f>Raw!H280+"h_l!)Cv"</f>
        <v>#VALUE!</v>
      </c>
      <c r="BO196" t="e">
        <f>Raw!I280+"h_l!)Cw"</f>
        <v>#VALUE!</v>
      </c>
      <c r="BP196" t="e">
        <f>Raw!J280+"h_l!)Cx"</f>
        <v>#VALUE!</v>
      </c>
      <c r="BQ196" t="e">
        <f>Raw!K280+"h_l!)Cy"</f>
        <v>#VALUE!</v>
      </c>
      <c r="BR196" t="e">
        <f>Raw!L280+"h_l!)Cz"</f>
        <v>#VALUE!</v>
      </c>
      <c r="BS196" t="e">
        <f>Raw!M280+"h_l!)C{"</f>
        <v>#VALUE!</v>
      </c>
      <c r="BT196" t="e">
        <f>Raw!N280+"h_l!)C|"</f>
        <v>#VALUE!</v>
      </c>
      <c r="BU196" t="e">
        <f>Raw!O280+"h_l!)C}"</f>
        <v>#VALUE!</v>
      </c>
      <c r="BV196" t="e">
        <f>Raw!P280+"h_l!)C~"</f>
        <v>#VALUE!</v>
      </c>
      <c r="BW196" t="e">
        <f>Raw!Q280+"h_l!)D#"</f>
        <v>#VALUE!</v>
      </c>
      <c r="BX196" t="e">
        <f>Raw!R280+"h_l!)D$"</f>
        <v>#VALUE!</v>
      </c>
      <c r="BY196" t="e">
        <f>Raw!S280+"h_l!)D%"</f>
        <v>#VALUE!</v>
      </c>
      <c r="BZ196" t="e">
        <f>Raw!T280+"h_l!)D&amp;"</f>
        <v>#VALUE!</v>
      </c>
      <c r="CA196" t="e">
        <f>Raw!U280+"h_l!)D'"</f>
        <v>#VALUE!</v>
      </c>
      <c r="CB196" t="e">
        <f>Raw!V280+"h_l!)D("</f>
        <v>#VALUE!</v>
      </c>
      <c r="CC196" t="e">
        <f>Raw!W280+"h_l!)D)"</f>
        <v>#VALUE!</v>
      </c>
      <c r="CD196" t="e">
        <f>Raw!A281+"h_l!)D."</f>
        <v>#VALUE!</v>
      </c>
      <c r="CE196" t="e">
        <f>Raw!B281+"h_l!)D/"</f>
        <v>#VALUE!</v>
      </c>
      <c r="CF196" t="e">
        <f>Raw!C281+"h_l!)D0"</f>
        <v>#VALUE!</v>
      </c>
      <c r="CG196" t="e">
        <f>Raw!D281+"h_l!)D1"</f>
        <v>#VALUE!</v>
      </c>
      <c r="CH196" t="e">
        <f>Raw!E281+"h_l!)D2"</f>
        <v>#VALUE!</v>
      </c>
      <c r="CI196" t="e">
        <f>Raw!#REF!+"h_l!)D3"</f>
        <v>#REF!</v>
      </c>
      <c r="CJ196" t="e">
        <f>Raw!G281+"h_l!)D4"</f>
        <v>#VALUE!</v>
      </c>
      <c r="CK196" t="e">
        <f>Raw!H281+"h_l!)D5"</f>
        <v>#VALUE!</v>
      </c>
      <c r="CL196" t="e">
        <f>Raw!I281+"h_l!)D6"</f>
        <v>#VALUE!</v>
      </c>
      <c r="CM196" t="e">
        <f>Raw!J281+"h_l!)D7"</f>
        <v>#VALUE!</v>
      </c>
      <c r="CN196" t="e">
        <f>Raw!K281+"h_l!)D8"</f>
        <v>#VALUE!</v>
      </c>
      <c r="CO196" t="e">
        <f>Raw!L281+"h_l!)D9"</f>
        <v>#VALUE!</v>
      </c>
      <c r="CP196" t="e">
        <f>Raw!M281+"h_l!)D:"</f>
        <v>#VALUE!</v>
      </c>
      <c r="CQ196" t="e">
        <f>Raw!N281+"h_l!)D;"</f>
        <v>#VALUE!</v>
      </c>
      <c r="CR196" t="e">
        <f>Raw!O281+"h_l!)D&lt;"</f>
        <v>#VALUE!</v>
      </c>
      <c r="CS196" t="e">
        <f>Raw!P281+"h_l!)D="</f>
        <v>#VALUE!</v>
      </c>
      <c r="CT196" t="e">
        <f>Raw!Q281+"h_l!)D&gt;"</f>
        <v>#VALUE!</v>
      </c>
      <c r="CU196" t="e">
        <f>Raw!R281+"h_l!)D?"</f>
        <v>#VALUE!</v>
      </c>
      <c r="CV196" t="e">
        <f>Raw!S281+"h_l!)D@"</f>
        <v>#VALUE!</v>
      </c>
      <c r="CW196" t="e">
        <f>Raw!T281+"h_l!)DA"</f>
        <v>#VALUE!</v>
      </c>
      <c r="CX196" t="e">
        <f>Raw!U281+"h_l!)DB"</f>
        <v>#VALUE!</v>
      </c>
      <c r="CY196" t="e">
        <f>Raw!V281+"h_l!)DC"</f>
        <v>#VALUE!</v>
      </c>
      <c r="CZ196" t="e">
        <f>Raw!W281+"h_l!)DD"</f>
        <v>#VALUE!</v>
      </c>
      <c r="DA196" t="e">
        <f>Raw!A282+"h_l!)DE"</f>
        <v>#VALUE!</v>
      </c>
      <c r="DB196" t="e">
        <f>Raw!B282+"h_l!)DF"</f>
        <v>#VALUE!</v>
      </c>
      <c r="DC196" t="e">
        <f>Raw!C282+"h_l!)DG"</f>
        <v>#VALUE!</v>
      </c>
      <c r="DD196" t="e">
        <f>Raw!D282+"h_l!)DH"</f>
        <v>#VALUE!</v>
      </c>
      <c r="DE196" t="e">
        <f>Raw!E282+"h_l!)DI"</f>
        <v>#VALUE!</v>
      </c>
      <c r="DF196" t="e">
        <f>Raw!#REF!+"h_l!)DJ"</f>
        <v>#REF!</v>
      </c>
      <c r="DG196" t="e">
        <f>Raw!G282+"h_l!)DK"</f>
        <v>#VALUE!</v>
      </c>
      <c r="DH196" t="e">
        <f>Raw!H282+"h_l!)DL"</f>
        <v>#VALUE!</v>
      </c>
      <c r="DI196" t="e">
        <f>Raw!I282+"h_l!)DM"</f>
        <v>#VALUE!</v>
      </c>
      <c r="DJ196" t="e">
        <f>Raw!J282+"h_l!)DN"</f>
        <v>#VALUE!</v>
      </c>
      <c r="DK196" t="e">
        <f>Raw!K282+"h_l!)DO"</f>
        <v>#VALUE!</v>
      </c>
      <c r="DL196" t="e">
        <f>Raw!L282+"h_l!)DP"</f>
        <v>#VALUE!</v>
      </c>
      <c r="DM196" t="e">
        <f>Raw!M282+"h_l!)DQ"</f>
        <v>#VALUE!</v>
      </c>
      <c r="DN196" t="e">
        <f>Raw!N282+"h_l!)DR"</f>
        <v>#VALUE!</v>
      </c>
      <c r="DO196" t="e">
        <f>Raw!O282+"h_l!)DS"</f>
        <v>#VALUE!</v>
      </c>
      <c r="DP196" t="e">
        <f>Raw!P282+"h_l!)DT"</f>
        <v>#VALUE!</v>
      </c>
      <c r="DQ196" t="e">
        <f>Raw!Q282+"h_l!)DU"</f>
        <v>#VALUE!</v>
      </c>
      <c r="DR196" t="e">
        <f>Raw!R282+"h_l!)DV"</f>
        <v>#VALUE!</v>
      </c>
      <c r="DS196" t="e">
        <f>Raw!S282+"h_l!)DW"</f>
        <v>#VALUE!</v>
      </c>
      <c r="DT196" t="e">
        <f>Raw!T282+"h_l!)DX"</f>
        <v>#VALUE!</v>
      </c>
      <c r="DU196" t="e">
        <f>Raw!U282+"h_l!)DY"</f>
        <v>#VALUE!</v>
      </c>
      <c r="DV196" t="e">
        <f>Raw!V282+"h_l!)DZ"</f>
        <v>#VALUE!</v>
      </c>
      <c r="DW196" t="e">
        <f>Raw!W282+"h_l!)D["</f>
        <v>#VALUE!</v>
      </c>
      <c r="DX196" t="e">
        <f>Raw!A283+"h_l!)D\"</f>
        <v>#VALUE!</v>
      </c>
      <c r="DY196" t="e">
        <f>Raw!B283+"h_l!)D]"</f>
        <v>#VALUE!</v>
      </c>
      <c r="DZ196" t="e">
        <f>Raw!C283+"h_l!)D^"</f>
        <v>#VALUE!</v>
      </c>
      <c r="EA196" t="e">
        <f>Raw!D283+"h_l!)D_"</f>
        <v>#VALUE!</v>
      </c>
      <c r="EB196" t="e">
        <f>Raw!E283+"h_l!)D`"</f>
        <v>#VALUE!</v>
      </c>
      <c r="EC196" t="e">
        <f>Raw!#REF!+"h_l!)Da"</f>
        <v>#REF!</v>
      </c>
      <c r="ED196" t="e">
        <f>Raw!G283+"h_l!)Db"</f>
        <v>#VALUE!</v>
      </c>
      <c r="EE196" t="e">
        <f>Raw!H283+"h_l!)Dc"</f>
        <v>#VALUE!</v>
      </c>
      <c r="EF196" t="e">
        <f>Raw!I283+"h_l!)Dd"</f>
        <v>#VALUE!</v>
      </c>
      <c r="EG196" t="e">
        <f>Raw!J283+"h_l!)De"</f>
        <v>#VALUE!</v>
      </c>
      <c r="EH196" t="e">
        <f>Raw!K283+"h_l!)Df"</f>
        <v>#VALUE!</v>
      </c>
      <c r="EI196" t="e">
        <f>Raw!L283+"h_l!)Dg"</f>
        <v>#VALUE!</v>
      </c>
      <c r="EJ196" t="e">
        <f>Raw!M283+"h_l!)Dh"</f>
        <v>#VALUE!</v>
      </c>
      <c r="EK196" t="e">
        <f>Raw!N283+"h_l!)Di"</f>
        <v>#VALUE!</v>
      </c>
      <c r="EL196" t="e">
        <f>Raw!O283+"h_l!)Dj"</f>
        <v>#VALUE!</v>
      </c>
      <c r="EM196" t="e">
        <f>Raw!P283+"h_l!)Dk"</f>
        <v>#VALUE!</v>
      </c>
      <c r="EN196" t="e">
        <f>Raw!Q283+"h_l!)Dl"</f>
        <v>#VALUE!</v>
      </c>
      <c r="EO196" t="e">
        <f>Raw!R283+"h_l!)Dm"</f>
        <v>#VALUE!</v>
      </c>
      <c r="EP196" t="e">
        <f>Raw!S283+"h_l!)Dn"</f>
        <v>#VALUE!</v>
      </c>
      <c r="EQ196" t="e">
        <f>Raw!T283+"h_l!)Do"</f>
        <v>#VALUE!</v>
      </c>
      <c r="ER196" t="e">
        <f>Raw!U283+"h_l!)Dp"</f>
        <v>#VALUE!</v>
      </c>
      <c r="ES196" t="e">
        <f>Raw!V283+"h_l!)Dq"</f>
        <v>#VALUE!</v>
      </c>
      <c r="ET196" t="e">
        <f>Raw!W283+"h_l!)Dr"</f>
        <v>#VALUE!</v>
      </c>
      <c r="EU196" t="e">
        <f>Raw!A284+"h_l!)Ds"</f>
        <v>#VALUE!</v>
      </c>
      <c r="EV196" t="e">
        <f>Raw!B284+"h_l!)Dt"</f>
        <v>#VALUE!</v>
      </c>
      <c r="EW196" t="e">
        <f>Raw!C284+"h_l!)Du"</f>
        <v>#VALUE!</v>
      </c>
      <c r="EX196" t="e">
        <f>Raw!D284+"h_l!)Dv"</f>
        <v>#VALUE!</v>
      </c>
      <c r="EY196" t="e">
        <f>Raw!E284+"h_l!)Dw"</f>
        <v>#VALUE!</v>
      </c>
      <c r="EZ196" t="e">
        <f>Raw!#REF!+"h_l!)Dx"</f>
        <v>#REF!</v>
      </c>
      <c r="FA196" t="e">
        <f>Raw!G284+"h_l!)Dy"</f>
        <v>#VALUE!</v>
      </c>
      <c r="FB196" t="e">
        <f>Raw!H284+"h_l!)Dz"</f>
        <v>#VALUE!</v>
      </c>
      <c r="FC196" t="e">
        <f>Raw!I284+"h_l!)D{"</f>
        <v>#VALUE!</v>
      </c>
      <c r="FD196" t="e">
        <f>Raw!J284+"h_l!)D|"</f>
        <v>#VALUE!</v>
      </c>
      <c r="FE196" t="e">
        <f>Raw!K284+"h_l!)D}"</f>
        <v>#VALUE!</v>
      </c>
      <c r="FF196" t="e">
        <f>Raw!L284+"h_l!)D~"</f>
        <v>#VALUE!</v>
      </c>
      <c r="FG196" t="e">
        <f>Raw!M284+"h_l!)E#"</f>
        <v>#VALUE!</v>
      </c>
      <c r="FH196" t="e">
        <f>Raw!N284+"h_l!)E$"</f>
        <v>#VALUE!</v>
      </c>
      <c r="FI196" t="e">
        <f>Raw!O284+"h_l!)E%"</f>
        <v>#VALUE!</v>
      </c>
      <c r="FJ196" t="e">
        <f>Raw!P284+"h_l!)E&amp;"</f>
        <v>#VALUE!</v>
      </c>
      <c r="FK196" t="e">
        <f>Raw!Q284+"h_l!)E'"</f>
        <v>#VALUE!</v>
      </c>
      <c r="FL196" t="e">
        <f>Raw!R284+"h_l!)E("</f>
        <v>#VALUE!</v>
      </c>
      <c r="FM196" t="e">
        <f>Raw!S284+"h_l!)E)"</f>
        <v>#VALUE!</v>
      </c>
      <c r="FN196" t="e">
        <f>Raw!T284+"h_l!)E."</f>
        <v>#VALUE!</v>
      </c>
      <c r="FO196" t="e">
        <f>Raw!U284+"h_l!)E/"</f>
        <v>#VALUE!</v>
      </c>
      <c r="FP196" t="e">
        <f>Raw!V284+"h_l!)E0"</f>
        <v>#VALUE!</v>
      </c>
      <c r="FQ196" t="e">
        <f>Raw!W284+"h_l!)E1"</f>
        <v>#VALUE!</v>
      </c>
      <c r="FR196" t="e">
        <f>Raw!A285+"h_l!)E2"</f>
        <v>#VALUE!</v>
      </c>
      <c r="FS196" t="e">
        <f>Raw!B285+"h_l!)E3"</f>
        <v>#VALUE!</v>
      </c>
      <c r="FT196" t="e">
        <f>Raw!C285+"h_l!)E4"</f>
        <v>#VALUE!</v>
      </c>
      <c r="FU196" t="e">
        <f>Raw!D285+"h_l!)E5"</f>
        <v>#VALUE!</v>
      </c>
      <c r="FV196" t="e">
        <f>Raw!E285+"h_l!)E6"</f>
        <v>#VALUE!</v>
      </c>
      <c r="FW196" t="e">
        <f>Raw!#REF!+"h_l!)E7"</f>
        <v>#REF!</v>
      </c>
      <c r="FX196" t="e">
        <f>Raw!G285+"h_l!)E8"</f>
        <v>#VALUE!</v>
      </c>
      <c r="FY196" t="e">
        <f>Raw!H285+"h_l!)E9"</f>
        <v>#VALUE!</v>
      </c>
      <c r="FZ196" t="e">
        <f>Raw!I285+"h_l!)E:"</f>
        <v>#VALUE!</v>
      </c>
      <c r="GA196" t="e">
        <f>Raw!J285+"h_l!)E;"</f>
        <v>#VALUE!</v>
      </c>
      <c r="GB196" t="e">
        <f>Raw!K285+"h_l!)E&lt;"</f>
        <v>#VALUE!</v>
      </c>
      <c r="GC196" t="e">
        <f>Raw!L285+"h_l!)E="</f>
        <v>#VALUE!</v>
      </c>
      <c r="GD196" t="e">
        <f>Raw!M285+"h_l!)E&gt;"</f>
        <v>#VALUE!</v>
      </c>
      <c r="GE196" t="e">
        <f>Raw!N285+"h_l!)E?"</f>
        <v>#VALUE!</v>
      </c>
      <c r="GF196" t="e">
        <f>Raw!O285+"h_l!)E@"</f>
        <v>#VALUE!</v>
      </c>
      <c r="GG196" t="e">
        <f>Raw!P285+"h_l!)EA"</f>
        <v>#VALUE!</v>
      </c>
      <c r="GH196" t="e">
        <f>Raw!Q285+"h_l!)EB"</f>
        <v>#VALUE!</v>
      </c>
      <c r="GI196" t="e">
        <f>Raw!R285+"h_l!)EC"</f>
        <v>#VALUE!</v>
      </c>
      <c r="GJ196" t="e">
        <f>Raw!S285+"h_l!)ED"</f>
        <v>#VALUE!</v>
      </c>
      <c r="GK196" t="e">
        <f>Raw!T285+"h_l!)EE"</f>
        <v>#VALUE!</v>
      </c>
      <c r="GL196" t="e">
        <f>Raw!U285+"h_l!)EF"</f>
        <v>#VALUE!</v>
      </c>
      <c r="GM196" t="e">
        <f>Raw!V285+"h_l!)EG"</f>
        <v>#VALUE!</v>
      </c>
      <c r="GN196" t="e">
        <f>Raw!W285+"h_l!)EH"</f>
        <v>#VALUE!</v>
      </c>
      <c r="GO196" t="e">
        <f>Raw!A286+"h_l!)EI"</f>
        <v>#VALUE!</v>
      </c>
      <c r="GP196" t="e">
        <f>Raw!B286+"h_l!)EJ"</f>
        <v>#VALUE!</v>
      </c>
      <c r="GQ196" t="e">
        <f>Raw!C286+"h_l!)EK"</f>
        <v>#VALUE!</v>
      </c>
      <c r="GR196" t="e">
        <f>Raw!D286+"h_l!)EL"</f>
        <v>#VALUE!</v>
      </c>
      <c r="GS196" t="e">
        <f>Raw!E286+"h_l!)EM"</f>
        <v>#VALUE!</v>
      </c>
      <c r="GT196" t="e">
        <f>Raw!#REF!+"h_l!)EN"</f>
        <v>#REF!</v>
      </c>
      <c r="GU196" t="e">
        <f>Raw!G286+"h_l!)EO"</f>
        <v>#VALUE!</v>
      </c>
      <c r="GV196" t="e">
        <f>Raw!H286+"h_l!)EP"</f>
        <v>#VALUE!</v>
      </c>
      <c r="GW196" t="e">
        <f>Raw!I286+"h_l!)EQ"</f>
        <v>#VALUE!</v>
      </c>
      <c r="GX196" t="e">
        <f>Raw!J286+"h_l!)ER"</f>
        <v>#VALUE!</v>
      </c>
      <c r="GY196" t="e">
        <f>Raw!K286+"h_l!)ES"</f>
        <v>#VALUE!</v>
      </c>
      <c r="GZ196" t="e">
        <f>Raw!L286+"h_l!)ET"</f>
        <v>#VALUE!</v>
      </c>
      <c r="HA196" t="e">
        <f>Raw!M286+"h_l!)EU"</f>
        <v>#VALUE!</v>
      </c>
      <c r="HB196" t="e">
        <f>Raw!N286+"h_l!)EV"</f>
        <v>#VALUE!</v>
      </c>
      <c r="HC196" t="e">
        <f>Raw!O286+"h_l!)EW"</f>
        <v>#VALUE!</v>
      </c>
      <c r="HD196" t="e">
        <f>Raw!P286+"h_l!)EX"</f>
        <v>#VALUE!</v>
      </c>
      <c r="HE196" t="e">
        <f>Raw!Q286+"h_l!)EY"</f>
        <v>#VALUE!</v>
      </c>
      <c r="HF196" t="e">
        <f>Raw!R286+"h_l!)EZ"</f>
        <v>#VALUE!</v>
      </c>
      <c r="HG196" t="e">
        <f>Raw!S286+"h_l!)E["</f>
        <v>#VALUE!</v>
      </c>
      <c r="HH196" t="e">
        <f>Raw!T286+"h_l!)E\"</f>
        <v>#VALUE!</v>
      </c>
      <c r="HI196" t="e">
        <f>Raw!U286+"h_l!)E]"</f>
        <v>#VALUE!</v>
      </c>
      <c r="HJ196" t="e">
        <f>Raw!V286+"h_l!)E^"</f>
        <v>#VALUE!</v>
      </c>
      <c r="HK196" t="e">
        <f>Raw!W286+"h_l!)E_"</f>
        <v>#VALUE!</v>
      </c>
      <c r="HL196" t="e">
        <f>Raw!A287+"h_l!)E`"</f>
        <v>#VALUE!</v>
      </c>
      <c r="HM196" t="e">
        <f>Raw!B287+"h_l!)Ea"</f>
        <v>#VALUE!</v>
      </c>
      <c r="HN196" t="e">
        <f>Raw!C287+"h_l!)Eb"</f>
        <v>#VALUE!</v>
      </c>
      <c r="HO196" t="e">
        <f>Raw!D287+"h_l!)Ec"</f>
        <v>#VALUE!</v>
      </c>
      <c r="HP196" t="e">
        <f>Raw!E287+"h_l!)Ed"</f>
        <v>#VALUE!</v>
      </c>
      <c r="HQ196" t="e">
        <f>Raw!#REF!+"h_l!)Ee"</f>
        <v>#REF!</v>
      </c>
      <c r="HR196" t="e">
        <f>Raw!G287+"h_l!)Ef"</f>
        <v>#VALUE!</v>
      </c>
      <c r="HS196" t="e">
        <f>Raw!H287+"h_l!)Eg"</f>
        <v>#VALUE!</v>
      </c>
      <c r="HT196" t="e">
        <f>Raw!I287+"h_l!)Eh"</f>
        <v>#VALUE!</v>
      </c>
      <c r="HU196" t="e">
        <f>Raw!J287+"h_l!)Ei"</f>
        <v>#VALUE!</v>
      </c>
      <c r="HV196" t="e">
        <f>Raw!K287+"h_l!)Ej"</f>
        <v>#VALUE!</v>
      </c>
      <c r="HW196" t="e">
        <f>Raw!L287+"h_l!)Ek"</f>
        <v>#VALUE!</v>
      </c>
      <c r="HX196" t="e">
        <f>Raw!M287+"h_l!)El"</f>
        <v>#VALUE!</v>
      </c>
      <c r="HY196" t="e">
        <f>Raw!N287+"h_l!)Em"</f>
        <v>#VALUE!</v>
      </c>
      <c r="HZ196" t="e">
        <f>Raw!O287+"h_l!)En"</f>
        <v>#VALUE!</v>
      </c>
      <c r="IA196" t="e">
        <f>Raw!P287+"h_l!)Eo"</f>
        <v>#VALUE!</v>
      </c>
      <c r="IB196" t="e">
        <f>Raw!Q287+"h_l!)Ep"</f>
        <v>#VALUE!</v>
      </c>
      <c r="IC196" t="e">
        <f>Raw!R287+"h_l!)Eq"</f>
        <v>#VALUE!</v>
      </c>
      <c r="ID196" t="e">
        <f>Raw!S287+"h_l!)Er"</f>
        <v>#VALUE!</v>
      </c>
      <c r="IE196" t="e">
        <f>Raw!T287+"h_l!)Es"</f>
        <v>#VALUE!</v>
      </c>
      <c r="IF196" t="e">
        <f>Raw!U287+"h_l!)Et"</f>
        <v>#VALUE!</v>
      </c>
      <c r="IG196" t="e">
        <f>Raw!V287+"h_l!)Eu"</f>
        <v>#VALUE!</v>
      </c>
      <c r="IH196" t="e">
        <f>Raw!W287+"h_l!)Ev"</f>
        <v>#VALUE!</v>
      </c>
      <c r="II196" t="e">
        <f>Raw!A288+"h_l!)Ew"</f>
        <v>#VALUE!</v>
      </c>
      <c r="IJ196" t="e">
        <f>Raw!B288+"h_l!)Ex"</f>
        <v>#VALUE!</v>
      </c>
      <c r="IK196" t="e">
        <f>Raw!C288+"h_l!)Ey"</f>
        <v>#VALUE!</v>
      </c>
      <c r="IL196" t="e">
        <f>Raw!D288+"h_l!)Ez"</f>
        <v>#VALUE!</v>
      </c>
      <c r="IM196" t="e">
        <f>Raw!E288+"h_l!)E{"</f>
        <v>#VALUE!</v>
      </c>
      <c r="IN196" t="e">
        <f>Raw!#REF!+"h_l!)E|"</f>
        <v>#REF!</v>
      </c>
      <c r="IO196" t="e">
        <f>Raw!G288+"h_l!)E}"</f>
        <v>#VALUE!</v>
      </c>
      <c r="IP196" t="e">
        <f>Raw!H288+"h_l!)E~"</f>
        <v>#VALUE!</v>
      </c>
      <c r="IQ196" t="e">
        <f>Raw!I288+"h_l!)F#"</f>
        <v>#VALUE!</v>
      </c>
      <c r="IR196" t="e">
        <f>Raw!J288+"h_l!)F$"</f>
        <v>#VALUE!</v>
      </c>
      <c r="IS196" t="e">
        <f>Raw!K288+"h_l!)F%"</f>
        <v>#VALUE!</v>
      </c>
      <c r="IT196" t="e">
        <f>Raw!L288+"h_l!)F&amp;"</f>
        <v>#VALUE!</v>
      </c>
      <c r="IU196" t="e">
        <f>Raw!M288+"h_l!)F'"</f>
        <v>#VALUE!</v>
      </c>
      <c r="IV196" t="e">
        <f>Raw!N288+"h_l!)F("</f>
        <v>#VALUE!</v>
      </c>
    </row>
    <row r="197" spans="6:256" x14ac:dyDescent="0.25">
      <c r="F197" t="e">
        <f>Raw!O288+"h_l!)F)"</f>
        <v>#VALUE!</v>
      </c>
      <c r="G197" t="e">
        <f>Raw!P288+"h_l!)F."</f>
        <v>#VALUE!</v>
      </c>
      <c r="H197" t="e">
        <f>Raw!Q288+"h_l!)F/"</f>
        <v>#VALUE!</v>
      </c>
      <c r="I197" t="e">
        <f>Raw!R288+"h_l!)F0"</f>
        <v>#VALUE!</v>
      </c>
      <c r="J197" t="e">
        <f>Raw!S288+"h_l!)F1"</f>
        <v>#VALUE!</v>
      </c>
      <c r="K197" t="e">
        <f>Raw!T288+"h_l!)F2"</f>
        <v>#VALUE!</v>
      </c>
      <c r="L197" t="e">
        <f>Raw!U288+"h_l!)F3"</f>
        <v>#VALUE!</v>
      </c>
      <c r="M197" t="e">
        <f>Raw!V288+"h_l!)F4"</f>
        <v>#VALUE!</v>
      </c>
      <c r="N197" t="e">
        <f>Raw!W288+"h_l!)F5"</f>
        <v>#VALUE!</v>
      </c>
      <c r="O197" t="e">
        <f>Raw!A289+"h_l!)F6"</f>
        <v>#VALUE!</v>
      </c>
      <c r="P197" t="e">
        <f>Raw!B289+"h_l!)F7"</f>
        <v>#VALUE!</v>
      </c>
      <c r="Q197" t="e">
        <f>Raw!C289+"h_l!)F8"</f>
        <v>#VALUE!</v>
      </c>
      <c r="R197" t="e">
        <f>Raw!D289+"h_l!)F9"</f>
        <v>#VALUE!</v>
      </c>
      <c r="S197" t="e">
        <f>Raw!E289+"h_l!)F:"</f>
        <v>#VALUE!</v>
      </c>
      <c r="T197" t="e">
        <f>Raw!#REF!+"h_l!)F;"</f>
        <v>#REF!</v>
      </c>
      <c r="U197" t="e">
        <f>Raw!G289+"h_l!)F&lt;"</f>
        <v>#VALUE!</v>
      </c>
      <c r="V197" t="e">
        <f>Raw!H289+"h_l!)F="</f>
        <v>#VALUE!</v>
      </c>
      <c r="W197" t="e">
        <f>Raw!I289+"h_l!)F&gt;"</f>
        <v>#VALUE!</v>
      </c>
      <c r="X197" t="e">
        <f>Raw!J289+"h_l!)F?"</f>
        <v>#VALUE!</v>
      </c>
      <c r="Y197" t="e">
        <f>Raw!K289+"h_l!)F@"</f>
        <v>#VALUE!</v>
      </c>
      <c r="Z197" t="e">
        <f>Raw!L289+"h_l!)FA"</f>
        <v>#VALUE!</v>
      </c>
      <c r="AA197" t="e">
        <f>Raw!M289+"h_l!)FB"</f>
        <v>#VALUE!</v>
      </c>
      <c r="AB197" t="e">
        <f>Raw!N289+"h_l!)FC"</f>
        <v>#VALUE!</v>
      </c>
      <c r="AC197" t="e">
        <f>Raw!O289+"h_l!)FD"</f>
        <v>#VALUE!</v>
      </c>
      <c r="AD197" t="e">
        <f>Raw!P289+"h_l!)FE"</f>
        <v>#VALUE!</v>
      </c>
      <c r="AE197" t="e">
        <f>Raw!Q289+"h_l!)FF"</f>
        <v>#VALUE!</v>
      </c>
      <c r="AF197" t="e">
        <f>Raw!R289+"h_l!)FG"</f>
        <v>#VALUE!</v>
      </c>
      <c r="AG197" t="e">
        <f>Raw!S289+"h_l!)FH"</f>
        <v>#VALUE!</v>
      </c>
      <c r="AH197" t="e">
        <f>Raw!T289+"h_l!)FI"</f>
        <v>#VALUE!</v>
      </c>
      <c r="AI197" t="e">
        <f>Raw!U289+"h_l!)FJ"</f>
        <v>#VALUE!</v>
      </c>
      <c r="AJ197" t="e">
        <f>Raw!V289+"h_l!)FK"</f>
        <v>#VALUE!</v>
      </c>
      <c r="AK197" t="e">
        <f>Raw!W289+"h_l!)FL"</f>
        <v>#VALUE!</v>
      </c>
      <c r="AL197" t="e">
        <f>Raw!A290+"h_l!)FM"</f>
        <v>#VALUE!</v>
      </c>
      <c r="AM197" t="e">
        <f>Raw!B290+"h_l!)FN"</f>
        <v>#VALUE!</v>
      </c>
      <c r="AN197" t="e">
        <f>Raw!C290+"h_l!)FO"</f>
        <v>#VALUE!</v>
      </c>
      <c r="AO197" t="e">
        <f>Raw!D290+"h_l!)FP"</f>
        <v>#VALUE!</v>
      </c>
      <c r="AP197" t="e">
        <f>Raw!E290+"h_l!)FQ"</f>
        <v>#VALUE!</v>
      </c>
      <c r="AQ197" t="e">
        <f>Raw!#REF!+"h_l!)FR"</f>
        <v>#REF!</v>
      </c>
      <c r="AR197" t="e">
        <f>Raw!G290+"h_l!)FS"</f>
        <v>#VALUE!</v>
      </c>
      <c r="AS197" t="e">
        <f>Raw!H290+"h_l!)FT"</f>
        <v>#VALUE!</v>
      </c>
      <c r="AT197" t="e">
        <f>Raw!I290+"h_l!)FU"</f>
        <v>#VALUE!</v>
      </c>
      <c r="AU197" t="e">
        <f>Raw!J290+"h_l!)FV"</f>
        <v>#VALUE!</v>
      </c>
      <c r="AV197" t="e">
        <f>Raw!K290+"h_l!)FW"</f>
        <v>#VALUE!</v>
      </c>
      <c r="AW197" t="e">
        <f>Raw!L290+"h_l!)FX"</f>
        <v>#VALUE!</v>
      </c>
      <c r="AX197" t="e">
        <f>Raw!M290+"h_l!)FY"</f>
        <v>#VALUE!</v>
      </c>
      <c r="AY197" t="e">
        <f>Raw!N290+"h_l!)FZ"</f>
        <v>#VALUE!</v>
      </c>
      <c r="AZ197" t="e">
        <f>Raw!O290+"h_l!)F["</f>
        <v>#VALUE!</v>
      </c>
      <c r="BA197" t="e">
        <f>Raw!P290+"h_l!)F\"</f>
        <v>#VALUE!</v>
      </c>
      <c r="BB197" t="e">
        <f>Raw!Q290+"h_l!)F]"</f>
        <v>#VALUE!</v>
      </c>
      <c r="BC197" t="e">
        <f>Raw!R290+"h_l!)F^"</f>
        <v>#VALUE!</v>
      </c>
      <c r="BD197" t="e">
        <f>Raw!S290+"h_l!)F_"</f>
        <v>#VALUE!</v>
      </c>
      <c r="BE197" t="e">
        <f>Raw!T290+"h_l!)F`"</f>
        <v>#VALUE!</v>
      </c>
      <c r="BF197" t="e">
        <f>Raw!U290+"h_l!)Fa"</f>
        <v>#VALUE!</v>
      </c>
      <c r="BG197" t="e">
        <f>Raw!V290+"h_l!)Fb"</f>
        <v>#VALUE!</v>
      </c>
      <c r="BH197" t="e">
        <f>Raw!W290+"h_l!)Fc"</f>
        <v>#VALUE!</v>
      </c>
      <c r="BI197" t="e">
        <f>Raw!A291+"h_l!)Fd"</f>
        <v>#VALUE!</v>
      </c>
      <c r="BJ197" t="e">
        <f>Raw!B291+"h_l!)Fe"</f>
        <v>#VALUE!</v>
      </c>
      <c r="BK197" t="e">
        <f>Raw!C291+"h_l!)Ff"</f>
        <v>#VALUE!</v>
      </c>
      <c r="BL197" t="e">
        <f>Raw!D291+"h_l!)Fg"</f>
        <v>#VALUE!</v>
      </c>
      <c r="BM197" t="e">
        <f>Raw!E291+"h_l!)Fh"</f>
        <v>#VALUE!</v>
      </c>
      <c r="BN197" t="e">
        <f>Raw!#REF!+"h_l!)Fi"</f>
        <v>#REF!</v>
      </c>
      <c r="BO197" t="e">
        <f>Raw!G291+"h_l!)Fj"</f>
        <v>#VALUE!</v>
      </c>
      <c r="BP197" t="e">
        <f>Raw!H291+"h_l!)Fk"</f>
        <v>#VALUE!</v>
      </c>
      <c r="BQ197" t="e">
        <f>Raw!I291+"h_l!)Fl"</f>
        <v>#VALUE!</v>
      </c>
      <c r="BR197" t="e">
        <f>Raw!J291+"h_l!)Fm"</f>
        <v>#VALUE!</v>
      </c>
      <c r="BS197" t="e">
        <f>Raw!K291+"h_l!)Fn"</f>
        <v>#VALUE!</v>
      </c>
      <c r="BT197" t="e">
        <f>Raw!L291+"h_l!)Fo"</f>
        <v>#VALUE!</v>
      </c>
      <c r="BU197" t="e">
        <f>Raw!M291+"h_l!)Fp"</f>
        <v>#VALUE!</v>
      </c>
      <c r="BV197" t="e">
        <f>Raw!N291+"h_l!)Fq"</f>
        <v>#VALUE!</v>
      </c>
      <c r="BW197" t="e">
        <f>Raw!O291+"h_l!)Fr"</f>
        <v>#VALUE!</v>
      </c>
      <c r="BX197" t="e">
        <f>Raw!P291+"h_l!)Fs"</f>
        <v>#VALUE!</v>
      </c>
      <c r="BY197" t="e">
        <f>Raw!Q291+"h_l!)Ft"</f>
        <v>#VALUE!</v>
      </c>
      <c r="BZ197" t="e">
        <f>Raw!R291+"h_l!)Fu"</f>
        <v>#VALUE!</v>
      </c>
      <c r="CA197" t="e">
        <f>Raw!S291+"h_l!)Fv"</f>
        <v>#VALUE!</v>
      </c>
      <c r="CB197" t="e">
        <f>Raw!T291+"h_l!)Fw"</f>
        <v>#VALUE!</v>
      </c>
      <c r="CC197" t="e">
        <f>Raw!U291+"h_l!)Fx"</f>
        <v>#VALUE!</v>
      </c>
      <c r="CD197" t="e">
        <f>Raw!V291+"h_l!)Fy"</f>
        <v>#VALUE!</v>
      </c>
      <c r="CE197" t="e">
        <f>Raw!W291+"h_l!)Fz"</f>
        <v>#VALUE!</v>
      </c>
      <c r="CF197" t="e">
        <f>Raw!A292+"h_l!)F{"</f>
        <v>#VALUE!</v>
      </c>
      <c r="CG197" t="e">
        <f>Raw!B292+"h_l!)F|"</f>
        <v>#VALUE!</v>
      </c>
      <c r="CH197" t="e">
        <f>Raw!C292+"h_l!)F}"</f>
        <v>#VALUE!</v>
      </c>
      <c r="CI197" t="e">
        <f>Raw!D292+"h_l!)F~"</f>
        <v>#VALUE!</v>
      </c>
      <c r="CJ197" t="e">
        <f>Raw!E292+"h_l!)G#"</f>
        <v>#VALUE!</v>
      </c>
      <c r="CK197" t="e">
        <f>Raw!#REF!+"h_l!)G$"</f>
        <v>#REF!</v>
      </c>
      <c r="CL197" t="e">
        <f>Raw!G292+"h_l!)G%"</f>
        <v>#VALUE!</v>
      </c>
      <c r="CM197" t="e">
        <f>Raw!H292+"h_l!)G&amp;"</f>
        <v>#VALUE!</v>
      </c>
      <c r="CN197" t="e">
        <f>Raw!I292+"h_l!)G'"</f>
        <v>#VALUE!</v>
      </c>
      <c r="CO197" t="e">
        <f>Raw!J292+"h_l!)G("</f>
        <v>#VALUE!</v>
      </c>
      <c r="CP197" t="e">
        <f>Raw!K292+"h_l!)G)"</f>
        <v>#VALUE!</v>
      </c>
      <c r="CQ197" t="e">
        <f>Raw!L292+"h_l!)G."</f>
        <v>#VALUE!</v>
      </c>
      <c r="CR197" t="e">
        <f>Raw!M292+"h_l!)G/"</f>
        <v>#VALUE!</v>
      </c>
      <c r="CS197" t="e">
        <f>Raw!N292+"h_l!)G0"</f>
        <v>#VALUE!</v>
      </c>
      <c r="CT197" t="e">
        <f>Raw!O292+"h_l!)G1"</f>
        <v>#VALUE!</v>
      </c>
      <c r="CU197" t="e">
        <f>Raw!P292+"h_l!)G2"</f>
        <v>#VALUE!</v>
      </c>
      <c r="CV197" t="e">
        <f>Raw!Q292+"h_l!)G3"</f>
        <v>#VALUE!</v>
      </c>
      <c r="CW197" t="e">
        <f>Raw!R292+"h_l!)G4"</f>
        <v>#VALUE!</v>
      </c>
      <c r="CX197" t="e">
        <f>Raw!S292+"h_l!)G5"</f>
        <v>#VALUE!</v>
      </c>
      <c r="CY197" t="e">
        <f>Raw!T292+"h_l!)G6"</f>
        <v>#VALUE!</v>
      </c>
      <c r="CZ197" t="e">
        <f>Raw!U292+"h_l!)G7"</f>
        <v>#VALUE!</v>
      </c>
      <c r="DA197" t="e">
        <f>Raw!V292+"h_l!)G8"</f>
        <v>#VALUE!</v>
      </c>
      <c r="DB197" t="e">
        <f>Raw!W292+"h_l!)G9"</f>
        <v>#VALUE!</v>
      </c>
      <c r="DC197" t="e">
        <f>Raw!A293+"h_l!)G:"</f>
        <v>#VALUE!</v>
      </c>
      <c r="DD197" t="e">
        <f>Raw!B293+"h_l!)G;"</f>
        <v>#VALUE!</v>
      </c>
      <c r="DE197" t="e">
        <f>Raw!C293+"h_l!)G&lt;"</f>
        <v>#VALUE!</v>
      </c>
      <c r="DF197" t="e">
        <f>Raw!D293+"h_l!)G="</f>
        <v>#VALUE!</v>
      </c>
      <c r="DG197" t="e">
        <f>Raw!E293+"h_l!)G&gt;"</f>
        <v>#VALUE!</v>
      </c>
      <c r="DH197" t="e">
        <f>Raw!#REF!+"h_l!)G?"</f>
        <v>#REF!</v>
      </c>
      <c r="DI197" t="e">
        <f>Raw!G293+"h_l!)G@"</f>
        <v>#VALUE!</v>
      </c>
      <c r="DJ197" t="e">
        <f>Raw!H293+"h_l!)GA"</f>
        <v>#VALUE!</v>
      </c>
      <c r="DK197" t="e">
        <f>Raw!I293+"h_l!)GB"</f>
        <v>#VALUE!</v>
      </c>
      <c r="DL197" t="e">
        <f>Raw!J293+"h_l!)GC"</f>
        <v>#VALUE!</v>
      </c>
      <c r="DM197" t="e">
        <f>Raw!K293+"h_l!)GD"</f>
        <v>#VALUE!</v>
      </c>
      <c r="DN197" t="e">
        <f>Raw!L293+"h_l!)GE"</f>
        <v>#VALUE!</v>
      </c>
      <c r="DO197" t="e">
        <f>Raw!M293+"h_l!)GF"</f>
        <v>#VALUE!</v>
      </c>
      <c r="DP197" t="e">
        <f>Raw!N293+"h_l!)GG"</f>
        <v>#VALUE!</v>
      </c>
      <c r="DQ197" t="e">
        <f>Raw!O293+"h_l!)GH"</f>
        <v>#VALUE!</v>
      </c>
      <c r="DR197" t="e">
        <f>Raw!P293+"h_l!)GI"</f>
        <v>#VALUE!</v>
      </c>
      <c r="DS197" t="e">
        <f>Raw!Q293+"h_l!)GJ"</f>
        <v>#VALUE!</v>
      </c>
      <c r="DT197" t="e">
        <f>Raw!R293+"h_l!)GK"</f>
        <v>#VALUE!</v>
      </c>
      <c r="DU197" t="e">
        <f>Raw!S293+"h_l!)GL"</f>
        <v>#VALUE!</v>
      </c>
      <c r="DV197" t="e">
        <f>Raw!T293+"h_l!)GM"</f>
        <v>#VALUE!</v>
      </c>
      <c r="DW197" t="e">
        <f>Raw!U293+"h_l!)GN"</f>
        <v>#VALUE!</v>
      </c>
      <c r="DX197" t="e">
        <f>Raw!V293+"h_l!)GO"</f>
        <v>#VALUE!</v>
      </c>
      <c r="DY197" t="e">
        <f>Raw!W293+"h_l!)GP"</f>
        <v>#VALUE!</v>
      </c>
      <c r="DZ197" t="e">
        <f>Raw!A294+"h_l!)GQ"</f>
        <v>#VALUE!</v>
      </c>
      <c r="EA197" t="e">
        <f>Raw!B294+"h_l!)GR"</f>
        <v>#VALUE!</v>
      </c>
      <c r="EB197" t="e">
        <f>Raw!C294+"h_l!)GS"</f>
        <v>#VALUE!</v>
      </c>
      <c r="EC197" t="e">
        <f>Raw!D294+"h_l!)GT"</f>
        <v>#VALUE!</v>
      </c>
      <c r="ED197" t="e">
        <f>Raw!E294+"h_l!)GU"</f>
        <v>#VALUE!</v>
      </c>
      <c r="EE197" t="e">
        <f>Raw!#REF!+"h_l!)GV"</f>
        <v>#REF!</v>
      </c>
      <c r="EF197" t="e">
        <f>Raw!G294+"h_l!)GW"</f>
        <v>#VALUE!</v>
      </c>
      <c r="EG197" t="e">
        <f>Raw!H294+"h_l!)GX"</f>
        <v>#VALUE!</v>
      </c>
      <c r="EH197" t="e">
        <f>Raw!I294+"h_l!)GY"</f>
        <v>#VALUE!</v>
      </c>
      <c r="EI197" t="e">
        <f>Raw!J294+"h_l!)GZ"</f>
        <v>#VALUE!</v>
      </c>
      <c r="EJ197" t="e">
        <f>Raw!K294+"h_l!)G["</f>
        <v>#VALUE!</v>
      </c>
      <c r="EK197" t="e">
        <f>Raw!L294+"h_l!)G\"</f>
        <v>#VALUE!</v>
      </c>
      <c r="EL197" t="e">
        <f>Raw!M294+"h_l!)G]"</f>
        <v>#VALUE!</v>
      </c>
      <c r="EM197" t="e">
        <f>Raw!N294+"h_l!)G^"</f>
        <v>#VALUE!</v>
      </c>
      <c r="EN197" t="e">
        <f>Raw!O294+"h_l!)G_"</f>
        <v>#VALUE!</v>
      </c>
      <c r="EO197" t="e">
        <f>Raw!P294+"h_l!)G`"</f>
        <v>#VALUE!</v>
      </c>
      <c r="EP197" t="e">
        <f>Raw!Q294+"h_l!)Ga"</f>
        <v>#VALUE!</v>
      </c>
      <c r="EQ197" t="e">
        <f>Raw!R294+"h_l!)Gb"</f>
        <v>#VALUE!</v>
      </c>
      <c r="ER197" t="e">
        <f>Raw!S294+"h_l!)Gc"</f>
        <v>#VALUE!</v>
      </c>
      <c r="ES197" t="e">
        <f>Raw!T294+"h_l!)Gd"</f>
        <v>#VALUE!</v>
      </c>
      <c r="ET197" t="e">
        <f>Raw!U294+"h_l!)Ge"</f>
        <v>#VALUE!</v>
      </c>
      <c r="EU197" t="e">
        <f>Raw!V294+"h_l!)Gf"</f>
        <v>#VALUE!</v>
      </c>
      <c r="EV197" t="e">
        <f>Raw!W294+"h_l!)Gg"</f>
        <v>#VALUE!</v>
      </c>
      <c r="EW197" t="e">
        <f>Raw!A295+"h_l!)Gh"</f>
        <v>#VALUE!</v>
      </c>
      <c r="EX197" t="e">
        <f>Raw!B295+"h_l!)Gi"</f>
        <v>#VALUE!</v>
      </c>
      <c r="EY197" t="e">
        <f>Raw!C295+"h_l!)Gj"</f>
        <v>#VALUE!</v>
      </c>
      <c r="EZ197" t="e">
        <f>Raw!D295+"h_l!)Gk"</f>
        <v>#VALUE!</v>
      </c>
      <c r="FA197" t="e">
        <f>Raw!E295+"h_l!)Gl"</f>
        <v>#VALUE!</v>
      </c>
      <c r="FB197" t="e">
        <f>Raw!#REF!+"h_l!)Gm"</f>
        <v>#REF!</v>
      </c>
      <c r="FC197" t="e">
        <f>Raw!G295+"h_l!)Gn"</f>
        <v>#VALUE!</v>
      </c>
      <c r="FD197" t="e">
        <f>Raw!H295+"h_l!)Go"</f>
        <v>#VALUE!</v>
      </c>
      <c r="FE197" t="e">
        <f>Raw!I295+"h_l!)Gp"</f>
        <v>#VALUE!</v>
      </c>
      <c r="FF197" t="e">
        <f>Raw!J295+"h_l!)Gq"</f>
        <v>#VALUE!</v>
      </c>
      <c r="FG197" t="e">
        <f>Raw!K295+"h_l!)Gr"</f>
        <v>#VALUE!</v>
      </c>
      <c r="FH197" t="e">
        <f>Raw!L295+"h_l!)Gs"</f>
        <v>#VALUE!</v>
      </c>
      <c r="FI197" t="e">
        <f>Raw!M295+"h_l!)Gt"</f>
        <v>#VALUE!</v>
      </c>
      <c r="FJ197" t="e">
        <f>Raw!N295+"h_l!)Gu"</f>
        <v>#VALUE!</v>
      </c>
      <c r="FK197" t="e">
        <f>Raw!O295+"h_l!)Gv"</f>
        <v>#VALUE!</v>
      </c>
      <c r="FL197" t="e">
        <f>Raw!P295+"h_l!)Gw"</f>
        <v>#VALUE!</v>
      </c>
      <c r="FM197" t="e">
        <f>Raw!Q295+"h_l!)Gx"</f>
        <v>#VALUE!</v>
      </c>
      <c r="FN197" t="e">
        <f>Raw!R295+"h_l!)Gy"</f>
        <v>#VALUE!</v>
      </c>
      <c r="FO197" t="e">
        <f>Raw!S295+"h_l!)Gz"</f>
        <v>#VALUE!</v>
      </c>
      <c r="FP197" t="e">
        <f>Raw!T295+"h_l!)G{"</f>
        <v>#VALUE!</v>
      </c>
      <c r="FQ197" t="e">
        <f>Raw!U295+"h_l!)G|"</f>
        <v>#VALUE!</v>
      </c>
      <c r="FR197" t="e">
        <f>Raw!V295+"h_l!)G}"</f>
        <v>#VALUE!</v>
      </c>
      <c r="FS197" t="e">
        <f>Raw!W295+"h_l!)G~"</f>
        <v>#VALUE!</v>
      </c>
      <c r="FT197" t="e">
        <f>Raw!A296+"h_l!)H#"</f>
        <v>#VALUE!</v>
      </c>
      <c r="FU197" t="e">
        <f>Raw!B296+"h_l!)H$"</f>
        <v>#VALUE!</v>
      </c>
      <c r="FV197" t="e">
        <f>Raw!C296+"h_l!)H%"</f>
        <v>#VALUE!</v>
      </c>
      <c r="FW197" t="e">
        <f>Raw!D296+"h_l!)H&amp;"</f>
        <v>#VALUE!</v>
      </c>
      <c r="FX197" t="e">
        <f>Raw!E296+"h_l!)H'"</f>
        <v>#VALUE!</v>
      </c>
      <c r="FY197" t="e">
        <f>Raw!#REF!+"h_l!)H("</f>
        <v>#REF!</v>
      </c>
      <c r="FZ197" t="e">
        <f>Raw!G296+"h_l!)H)"</f>
        <v>#VALUE!</v>
      </c>
      <c r="GA197" t="e">
        <f>Raw!H296+"h_l!)H."</f>
        <v>#VALUE!</v>
      </c>
      <c r="GB197" t="e">
        <f>Raw!I296+"h_l!)H/"</f>
        <v>#VALUE!</v>
      </c>
      <c r="GC197" t="e">
        <f>Raw!J296+"h_l!)H0"</f>
        <v>#VALUE!</v>
      </c>
      <c r="GD197" t="e">
        <f>Raw!K296+"h_l!)H1"</f>
        <v>#VALUE!</v>
      </c>
      <c r="GE197" t="e">
        <f>Raw!L296+"h_l!)H2"</f>
        <v>#VALUE!</v>
      </c>
      <c r="GF197" t="e">
        <f>Raw!M296+"h_l!)H3"</f>
        <v>#VALUE!</v>
      </c>
      <c r="GG197" t="e">
        <f>Raw!N296+"h_l!)H4"</f>
        <v>#VALUE!</v>
      </c>
      <c r="GH197" t="e">
        <f>Raw!O296+"h_l!)H5"</f>
        <v>#VALUE!</v>
      </c>
      <c r="GI197" t="e">
        <f>Raw!P296+"h_l!)H6"</f>
        <v>#VALUE!</v>
      </c>
      <c r="GJ197" t="e">
        <f>Raw!Q296+"h_l!)H7"</f>
        <v>#VALUE!</v>
      </c>
      <c r="GK197" t="e">
        <f>Raw!R296+"h_l!)H8"</f>
        <v>#VALUE!</v>
      </c>
      <c r="GL197" t="e">
        <f>Raw!S296+"h_l!)H9"</f>
        <v>#VALUE!</v>
      </c>
      <c r="GM197" t="e">
        <f>Raw!T296+"h_l!)H:"</f>
        <v>#VALUE!</v>
      </c>
      <c r="GN197" t="e">
        <f>Raw!U296+"h_l!)H;"</f>
        <v>#VALUE!</v>
      </c>
      <c r="GO197" t="e">
        <f>Raw!V296+"h_l!)H&lt;"</f>
        <v>#VALUE!</v>
      </c>
      <c r="GP197" t="e">
        <f>Raw!W296+"h_l!)H="</f>
        <v>#VALUE!</v>
      </c>
      <c r="GQ197" t="e">
        <f>Raw!A297+"h_l!)H&gt;"</f>
        <v>#VALUE!</v>
      </c>
      <c r="GR197" t="e">
        <f>Raw!B297+"h_l!)H?"</f>
        <v>#VALUE!</v>
      </c>
      <c r="GS197" t="e">
        <f>Raw!C297+"h_l!)H@"</f>
        <v>#VALUE!</v>
      </c>
      <c r="GT197" t="e">
        <f>Raw!D297+"h_l!)HA"</f>
        <v>#VALUE!</v>
      </c>
      <c r="GU197" t="e">
        <f>Raw!E297+"h_l!)HB"</f>
        <v>#VALUE!</v>
      </c>
      <c r="GV197" t="e">
        <f>Raw!#REF!+"h_l!)HC"</f>
        <v>#REF!</v>
      </c>
      <c r="GW197" t="e">
        <f>Raw!G297+"h_l!)HD"</f>
        <v>#VALUE!</v>
      </c>
      <c r="GX197" t="e">
        <f>Raw!H297+"h_l!)HE"</f>
        <v>#VALUE!</v>
      </c>
      <c r="GY197" t="e">
        <f>Raw!I297+"h_l!)HF"</f>
        <v>#VALUE!</v>
      </c>
      <c r="GZ197" t="e">
        <f>Raw!J297+"h_l!)HG"</f>
        <v>#VALUE!</v>
      </c>
      <c r="HA197" t="e">
        <f>Raw!K297+"h_l!)HH"</f>
        <v>#VALUE!</v>
      </c>
      <c r="HB197" t="e">
        <f>Raw!L297+"h_l!)HI"</f>
        <v>#VALUE!</v>
      </c>
      <c r="HC197" t="e">
        <f>Raw!M297+"h_l!)HJ"</f>
        <v>#VALUE!</v>
      </c>
      <c r="HD197" t="e">
        <f>Raw!N297+"h_l!)HK"</f>
        <v>#VALUE!</v>
      </c>
      <c r="HE197" t="e">
        <f>Raw!O297+"h_l!)HL"</f>
        <v>#VALUE!</v>
      </c>
      <c r="HF197" t="e">
        <f>Raw!P297+"h_l!)HM"</f>
        <v>#VALUE!</v>
      </c>
      <c r="HG197" t="e">
        <f>Raw!Q297+"h_l!)HN"</f>
        <v>#VALUE!</v>
      </c>
      <c r="HH197" t="e">
        <f>Raw!R297+"h_l!)HO"</f>
        <v>#VALUE!</v>
      </c>
      <c r="HI197" t="e">
        <f>Raw!S297+"h_l!)HP"</f>
        <v>#VALUE!</v>
      </c>
      <c r="HJ197" t="e">
        <f>Raw!T297+"h_l!)HQ"</f>
        <v>#VALUE!</v>
      </c>
      <c r="HK197" t="e">
        <f>Raw!U297+"h_l!)HR"</f>
        <v>#VALUE!</v>
      </c>
      <c r="HL197" t="e">
        <f>Raw!V297+"h_l!)HS"</f>
        <v>#VALUE!</v>
      </c>
      <c r="HM197" t="e">
        <f>Raw!W297+"h_l!)HT"</f>
        <v>#VALUE!</v>
      </c>
      <c r="HN197" t="e">
        <f>Raw!A298+"h_l!)HU"</f>
        <v>#VALUE!</v>
      </c>
      <c r="HO197" t="e">
        <f>Raw!B298+"h_l!)HV"</f>
        <v>#VALUE!</v>
      </c>
      <c r="HP197" t="e">
        <f>Raw!C298+"h_l!)HW"</f>
        <v>#VALUE!</v>
      </c>
      <c r="HQ197" t="e">
        <f>Raw!D298+"h_l!)HX"</f>
        <v>#VALUE!</v>
      </c>
      <c r="HR197" t="e">
        <f>Raw!E298+"h_l!)HY"</f>
        <v>#VALUE!</v>
      </c>
      <c r="HS197" t="e">
        <f>Raw!#REF!+"h_l!)HZ"</f>
        <v>#REF!</v>
      </c>
      <c r="HT197" t="e">
        <f>Raw!G298+"h_l!)H["</f>
        <v>#VALUE!</v>
      </c>
      <c r="HU197" t="e">
        <f>Raw!H298+"h_l!)H\"</f>
        <v>#VALUE!</v>
      </c>
      <c r="HV197" t="e">
        <f>Raw!I298+"h_l!)H]"</f>
        <v>#VALUE!</v>
      </c>
      <c r="HW197" t="e">
        <f>Raw!J298+"h_l!)H^"</f>
        <v>#VALUE!</v>
      </c>
      <c r="HX197" t="e">
        <f>Raw!K298+"h_l!)H_"</f>
        <v>#VALUE!</v>
      </c>
      <c r="HY197" t="e">
        <f>Raw!L298+"h_l!)H`"</f>
        <v>#VALUE!</v>
      </c>
      <c r="HZ197" t="e">
        <f>Raw!M298+"h_l!)Ha"</f>
        <v>#VALUE!</v>
      </c>
      <c r="IA197" t="e">
        <f>Raw!N298+"h_l!)Hb"</f>
        <v>#VALUE!</v>
      </c>
      <c r="IB197" t="e">
        <f>Raw!O298+"h_l!)Hc"</f>
        <v>#VALUE!</v>
      </c>
      <c r="IC197" t="e">
        <f>Raw!P298+"h_l!)Hd"</f>
        <v>#VALUE!</v>
      </c>
      <c r="ID197" t="e">
        <f>Raw!Q298+"h_l!)He"</f>
        <v>#VALUE!</v>
      </c>
      <c r="IE197" t="e">
        <f>Raw!R298+"h_l!)Hf"</f>
        <v>#VALUE!</v>
      </c>
      <c r="IF197" t="e">
        <f>Raw!S298+"h_l!)Hg"</f>
        <v>#VALUE!</v>
      </c>
      <c r="IG197" t="e">
        <f>Raw!T298+"h_l!)Hh"</f>
        <v>#VALUE!</v>
      </c>
      <c r="IH197" t="e">
        <f>Raw!U298+"h_l!)Hi"</f>
        <v>#VALUE!</v>
      </c>
      <c r="II197" t="e">
        <f>Raw!V298+"h_l!)Hj"</f>
        <v>#VALUE!</v>
      </c>
      <c r="IJ197" t="e">
        <f>Raw!W298+"h_l!)Hk"</f>
        <v>#VALUE!</v>
      </c>
      <c r="IK197" t="e">
        <f>Raw!A299+"h_l!)Hl"</f>
        <v>#VALUE!</v>
      </c>
      <c r="IL197" t="e">
        <f>Raw!B299+"h_l!)Hm"</f>
        <v>#VALUE!</v>
      </c>
      <c r="IM197" t="e">
        <f>Raw!C299+"h_l!)Hn"</f>
        <v>#VALUE!</v>
      </c>
      <c r="IN197" t="e">
        <f>Raw!D299+"h_l!)Ho"</f>
        <v>#VALUE!</v>
      </c>
      <c r="IO197" t="e">
        <f>Raw!E299+"h_l!)Hp"</f>
        <v>#VALUE!</v>
      </c>
      <c r="IP197" t="e">
        <f>Raw!#REF!+"h_l!)Hq"</f>
        <v>#REF!</v>
      </c>
      <c r="IQ197" t="e">
        <f>Raw!G299+"h_l!)Hr"</f>
        <v>#VALUE!</v>
      </c>
      <c r="IR197" t="e">
        <f>Raw!H299+"h_l!)Hs"</f>
        <v>#VALUE!</v>
      </c>
      <c r="IS197" t="e">
        <f>Raw!I299+"h_l!)Ht"</f>
        <v>#VALUE!</v>
      </c>
      <c r="IT197" t="e">
        <f>Raw!J299+"h_l!)Hu"</f>
        <v>#VALUE!</v>
      </c>
      <c r="IU197" t="e">
        <f>Raw!K299+"h_l!)Hv"</f>
        <v>#VALUE!</v>
      </c>
      <c r="IV197" t="e">
        <f>Raw!L299+"h_l!)Hw"</f>
        <v>#VALUE!</v>
      </c>
    </row>
    <row r="198" spans="6:256" x14ac:dyDescent="0.25">
      <c r="F198" t="e">
        <f>Raw!M299+"h_l!)Hx"</f>
        <v>#VALUE!</v>
      </c>
      <c r="G198" t="e">
        <f>Raw!N299+"h_l!)Hy"</f>
        <v>#VALUE!</v>
      </c>
      <c r="H198" t="e">
        <f>Raw!O299+"h_l!)Hz"</f>
        <v>#VALUE!</v>
      </c>
      <c r="I198" t="e">
        <f>Raw!P299+"h_l!)H{"</f>
        <v>#VALUE!</v>
      </c>
      <c r="J198" t="e">
        <f>Raw!Q299+"h_l!)H|"</f>
        <v>#VALUE!</v>
      </c>
      <c r="K198" t="e">
        <f>Raw!R299+"h_l!)H}"</f>
        <v>#VALUE!</v>
      </c>
      <c r="L198" t="e">
        <f>Raw!S299+"h_l!)H~"</f>
        <v>#VALUE!</v>
      </c>
      <c r="M198" t="e">
        <f>Raw!T299+"h_l!)I#"</f>
        <v>#VALUE!</v>
      </c>
      <c r="N198" t="e">
        <f>Raw!U299+"h_l!)I$"</f>
        <v>#VALUE!</v>
      </c>
      <c r="O198" t="e">
        <f>Raw!V299+"h_l!)I%"</f>
        <v>#VALUE!</v>
      </c>
      <c r="P198" t="e">
        <f>Raw!W299+"h_l!)I&amp;"</f>
        <v>#VALUE!</v>
      </c>
      <c r="Q198" t="e">
        <f>Raw!A300+"h_l!)I'"</f>
        <v>#VALUE!</v>
      </c>
      <c r="R198" t="e">
        <f>Raw!B300+"h_l!)I("</f>
        <v>#VALUE!</v>
      </c>
      <c r="S198" t="e">
        <f>Raw!C300+"h_l!)I)"</f>
        <v>#VALUE!</v>
      </c>
      <c r="T198" t="e">
        <f>Raw!D300+"h_l!)I."</f>
        <v>#VALUE!</v>
      </c>
      <c r="U198" t="e">
        <f>Raw!E300+"h_l!)I/"</f>
        <v>#VALUE!</v>
      </c>
      <c r="V198" t="e">
        <f>Raw!#REF!+"h_l!)I0"</f>
        <v>#REF!</v>
      </c>
      <c r="W198" t="e">
        <f>Raw!G300+"h_l!)I1"</f>
        <v>#VALUE!</v>
      </c>
      <c r="X198" t="e">
        <f>Raw!H300+"h_l!)I2"</f>
        <v>#VALUE!</v>
      </c>
      <c r="Y198" t="e">
        <f>Raw!I300+"h_l!)I3"</f>
        <v>#VALUE!</v>
      </c>
      <c r="Z198" t="e">
        <f>Raw!J300+"h_l!)I4"</f>
        <v>#VALUE!</v>
      </c>
      <c r="AA198" t="e">
        <f>Raw!K300+"h_l!)I5"</f>
        <v>#VALUE!</v>
      </c>
      <c r="AB198" t="e">
        <f>Raw!L300+"h_l!)I6"</f>
        <v>#VALUE!</v>
      </c>
      <c r="AC198" t="e">
        <f>Raw!M300+"h_l!)I7"</f>
        <v>#VALUE!</v>
      </c>
      <c r="AD198" t="e">
        <f>Raw!N300+"h_l!)I8"</f>
        <v>#VALUE!</v>
      </c>
      <c r="AE198" t="e">
        <f>Raw!O300+"h_l!)I9"</f>
        <v>#VALUE!</v>
      </c>
      <c r="AF198" t="e">
        <f>Raw!P300+"h_l!)I:"</f>
        <v>#VALUE!</v>
      </c>
      <c r="AG198" t="e">
        <f>Raw!Q300+"h_l!)I;"</f>
        <v>#VALUE!</v>
      </c>
      <c r="AH198" t="e">
        <f>Raw!R300+"h_l!)I&lt;"</f>
        <v>#VALUE!</v>
      </c>
      <c r="AI198" t="e">
        <f>Raw!S300+"h_l!)I="</f>
        <v>#VALUE!</v>
      </c>
      <c r="AJ198" t="e">
        <f>Raw!T300+"h_l!)I&gt;"</f>
        <v>#VALUE!</v>
      </c>
      <c r="AK198" t="e">
        <f>Raw!U300+"h_l!)I?"</f>
        <v>#VALUE!</v>
      </c>
      <c r="AL198" t="e">
        <f>Raw!V300+"h_l!)I@"</f>
        <v>#VALUE!</v>
      </c>
      <c r="AM198" t="e">
        <f>Raw!W300+"h_l!)IA"</f>
        <v>#VALUE!</v>
      </c>
      <c r="AN198" t="e">
        <f>Raw!A301+"h_l!)IB"</f>
        <v>#VALUE!</v>
      </c>
      <c r="AO198" t="e">
        <f>Raw!B301+"h_l!)IC"</f>
        <v>#VALUE!</v>
      </c>
      <c r="AP198" t="e">
        <f>Raw!C301+"h_l!)ID"</f>
        <v>#VALUE!</v>
      </c>
      <c r="AQ198" t="e">
        <f>Raw!D301+"h_l!)IE"</f>
        <v>#VALUE!</v>
      </c>
      <c r="AR198" t="e">
        <f>Raw!E301+"h_l!)IF"</f>
        <v>#VALUE!</v>
      </c>
      <c r="AS198" t="e">
        <f>Raw!#REF!+"h_l!)IG"</f>
        <v>#REF!</v>
      </c>
      <c r="AT198" t="e">
        <f>Raw!G301+"h_l!)IH"</f>
        <v>#VALUE!</v>
      </c>
      <c r="AU198" t="e">
        <f>Raw!H301+"h_l!)II"</f>
        <v>#VALUE!</v>
      </c>
      <c r="AV198" t="e">
        <f>Raw!I301+"h_l!)IJ"</f>
        <v>#VALUE!</v>
      </c>
      <c r="AW198" t="e">
        <f>Raw!J301+"h_l!)IK"</f>
        <v>#VALUE!</v>
      </c>
      <c r="AX198" t="e">
        <f>Raw!K301+"h_l!)IL"</f>
        <v>#VALUE!</v>
      </c>
      <c r="AY198" t="e">
        <f>Raw!L301+"h_l!)IM"</f>
        <v>#VALUE!</v>
      </c>
      <c r="AZ198" t="e">
        <f>Raw!M301+"h_l!)IN"</f>
        <v>#VALUE!</v>
      </c>
      <c r="BA198" t="e">
        <f>Raw!N301+"h_l!)IO"</f>
        <v>#VALUE!</v>
      </c>
      <c r="BB198" t="e">
        <f>Raw!O301+"h_l!)IP"</f>
        <v>#VALUE!</v>
      </c>
      <c r="BC198" t="e">
        <f>Raw!P301+"h_l!)IQ"</f>
        <v>#VALUE!</v>
      </c>
      <c r="BD198" t="e">
        <f>Raw!Q301+"h_l!)IR"</f>
        <v>#VALUE!</v>
      </c>
      <c r="BE198" t="e">
        <f>Raw!R301+"h_l!)IS"</f>
        <v>#VALUE!</v>
      </c>
      <c r="BF198" t="e">
        <f>Raw!S301+"h_l!)IT"</f>
        <v>#VALUE!</v>
      </c>
      <c r="BG198" t="e">
        <f>Raw!T301+"h_l!)IU"</f>
        <v>#VALUE!</v>
      </c>
      <c r="BH198" t="e">
        <f>Raw!U301+"h_l!)IV"</f>
        <v>#VALUE!</v>
      </c>
      <c r="BI198" t="e">
        <f>Raw!V301+"h_l!)IW"</f>
        <v>#VALUE!</v>
      </c>
      <c r="BJ198" t="e">
        <f>Raw!W301+"h_l!)IX"</f>
        <v>#VALUE!</v>
      </c>
      <c r="BK198" t="e">
        <f>Raw!A302+"h_l!)IY"</f>
        <v>#VALUE!</v>
      </c>
      <c r="BL198" t="e">
        <f>Raw!B302+"h_l!)IZ"</f>
        <v>#VALUE!</v>
      </c>
      <c r="BM198" t="e">
        <f>Raw!C302+"h_l!)I["</f>
        <v>#VALUE!</v>
      </c>
      <c r="BN198" t="e">
        <f>Raw!D302+"h_l!)I\"</f>
        <v>#VALUE!</v>
      </c>
      <c r="BO198" t="e">
        <f>Raw!E302+"h_l!)I]"</f>
        <v>#VALUE!</v>
      </c>
      <c r="BP198" t="e">
        <f>Raw!#REF!+"h_l!)I^"</f>
        <v>#REF!</v>
      </c>
      <c r="BQ198" t="e">
        <f>Raw!G302+"h_l!)I_"</f>
        <v>#VALUE!</v>
      </c>
      <c r="BR198" t="e">
        <f>Raw!H302+"h_l!)I`"</f>
        <v>#VALUE!</v>
      </c>
      <c r="BS198" t="e">
        <f>Raw!I302+"h_l!)Ia"</f>
        <v>#VALUE!</v>
      </c>
      <c r="BT198" t="e">
        <f>Raw!J302+"h_l!)Ib"</f>
        <v>#VALUE!</v>
      </c>
      <c r="BU198" t="e">
        <f>Raw!K302+"h_l!)Ic"</f>
        <v>#VALUE!</v>
      </c>
      <c r="BV198" t="e">
        <f>Raw!L302+"h_l!)Id"</f>
        <v>#VALUE!</v>
      </c>
      <c r="BW198" t="e">
        <f>Raw!M302+"h_l!)Ie"</f>
        <v>#VALUE!</v>
      </c>
      <c r="BX198" t="e">
        <f>Raw!N302+"h_l!)If"</f>
        <v>#VALUE!</v>
      </c>
      <c r="BY198" t="e">
        <f>Raw!O302+"h_l!)Ig"</f>
        <v>#VALUE!</v>
      </c>
      <c r="BZ198" t="e">
        <f>Raw!P302+"h_l!)Ih"</f>
        <v>#VALUE!</v>
      </c>
      <c r="CA198" t="e">
        <f>Raw!Q302+"h_l!)Ii"</f>
        <v>#VALUE!</v>
      </c>
      <c r="CB198" t="e">
        <f>Raw!R302+"h_l!)Ij"</f>
        <v>#VALUE!</v>
      </c>
      <c r="CC198" t="e">
        <f>Raw!S302+"h_l!)Ik"</f>
        <v>#VALUE!</v>
      </c>
      <c r="CD198" t="e">
        <f>Raw!T302+"h_l!)Il"</f>
        <v>#VALUE!</v>
      </c>
      <c r="CE198" t="e">
        <f>Raw!U302+"h_l!)Im"</f>
        <v>#VALUE!</v>
      </c>
      <c r="CF198" t="e">
        <f>Raw!V302+"h_l!)In"</f>
        <v>#VALUE!</v>
      </c>
      <c r="CG198" t="e">
        <f>Raw!W302+"h_l!)Io"</f>
        <v>#VALUE!</v>
      </c>
      <c r="CH198" t="e">
        <f>Raw!A303+"h_l!)Ip"</f>
        <v>#VALUE!</v>
      </c>
      <c r="CI198" t="e">
        <f>Raw!B303+"h_l!)Iq"</f>
        <v>#VALUE!</v>
      </c>
      <c r="CJ198" t="e">
        <f>Raw!C303+"h_l!)Ir"</f>
        <v>#VALUE!</v>
      </c>
      <c r="CK198" t="e">
        <f>Raw!D303+"h_l!)Is"</f>
        <v>#VALUE!</v>
      </c>
      <c r="CL198" t="e">
        <f>Raw!E303+"h_l!)It"</f>
        <v>#VALUE!</v>
      </c>
      <c r="CM198" t="e">
        <f>Raw!#REF!+"h_l!)Iu"</f>
        <v>#REF!</v>
      </c>
      <c r="CN198" t="e">
        <f>Raw!G303+"h_l!)Iv"</f>
        <v>#VALUE!</v>
      </c>
      <c r="CO198" t="e">
        <f>Raw!H303+"h_l!)Iw"</f>
        <v>#VALUE!</v>
      </c>
      <c r="CP198" t="e">
        <f>Raw!I303+"h_l!)Ix"</f>
        <v>#VALUE!</v>
      </c>
      <c r="CQ198" t="e">
        <f>Raw!J303+"h_l!)Iy"</f>
        <v>#VALUE!</v>
      </c>
      <c r="CR198" t="e">
        <f>Raw!K303+"h_l!)Iz"</f>
        <v>#VALUE!</v>
      </c>
      <c r="CS198" t="e">
        <f>Raw!L303+"h_l!)I{"</f>
        <v>#VALUE!</v>
      </c>
      <c r="CT198" t="e">
        <f>Raw!M303+"h_l!)I|"</f>
        <v>#VALUE!</v>
      </c>
      <c r="CU198" t="e">
        <f>Raw!N303+"h_l!)I}"</f>
        <v>#VALUE!</v>
      </c>
      <c r="CV198" t="e">
        <f>Raw!O303+"h_l!)I~"</f>
        <v>#VALUE!</v>
      </c>
      <c r="CW198" t="e">
        <f>Raw!P303+"h_l!)J#"</f>
        <v>#VALUE!</v>
      </c>
      <c r="CX198" t="e">
        <f>Raw!Q303+"h_l!)J$"</f>
        <v>#VALUE!</v>
      </c>
      <c r="CY198" t="e">
        <f>Raw!R303+"h_l!)J%"</f>
        <v>#VALUE!</v>
      </c>
      <c r="CZ198" t="e">
        <f>Raw!S303+"h_l!)J&amp;"</f>
        <v>#VALUE!</v>
      </c>
      <c r="DA198" t="e">
        <f>Raw!T303+"h_l!)J'"</f>
        <v>#VALUE!</v>
      </c>
      <c r="DB198" t="e">
        <f>Raw!U303+"h_l!)J("</f>
        <v>#VALUE!</v>
      </c>
      <c r="DC198" t="e">
        <f>Raw!V303+"h_l!)J)"</f>
        <v>#VALUE!</v>
      </c>
      <c r="DD198" t="e">
        <f>Raw!W303+"h_l!)J."</f>
        <v>#VALUE!</v>
      </c>
      <c r="DE198" t="e">
        <f>Raw!A304+"h_l!)J/"</f>
        <v>#VALUE!</v>
      </c>
      <c r="DF198" t="e">
        <f>Raw!B304+"h_l!)J0"</f>
        <v>#VALUE!</v>
      </c>
      <c r="DG198" t="e">
        <f>Raw!C304+"h_l!)J1"</f>
        <v>#VALUE!</v>
      </c>
      <c r="DH198" t="e">
        <f>Raw!D304+"h_l!)J2"</f>
        <v>#VALUE!</v>
      </c>
      <c r="DI198" t="e">
        <f>Raw!E304+"h_l!)J3"</f>
        <v>#VALUE!</v>
      </c>
      <c r="DJ198" t="e">
        <f>Raw!#REF!+"h_l!)J4"</f>
        <v>#REF!</v>
      </c>
      <c r="DK198" t="e">
        <f>Raw!G304+"h_l!)J5"</f>
        <v>#VALUE!</v>
      </c>
      <c r="DL198" t="e">
        <f>Raw!H304+"h_l!)J6"</f>
        <v>#VALUE!</v>
      </c>
      <c r="DM198" t="e">
        <f>Raw!I304+"h_l!)J7"</f>
        <v>#VALUE!</v>
      </c>
      <c r="DN198" t="e">
        <f>Raw!J304+"h_l!)J8"</f>
        <v>#VALUE!</v>
      </c>
      <c r="DO198" t="e">
        <f>Raw!K304+"h_l!)J9"</f>
        <v>#VALUE!</v>
      </c>
      <c r="DP198" t="e">
        <f>Raw!L304+"h_l!)J:"</f>
        <v>#VALUE!</v>
      </c>
      <c r="DQ198" t="e">
        <f>Raw!M304+"h_l!)J;"</f>
        <v>#VALUE!</v>
      </c>
      <c r="DR198" t="e">
        <f>Raw!N304+"h_l!)J&lt;"</f>
        <v>#VALUE!</v>
      </c>
      <c r="DS198" t="e">
        <f>Raw!O304+"h_l!)J="</f>
        <v>#VALUE!</v>
      </c>
      <c r="DT198" t="e">
        <f>Raw!P304+"h_l!)J&gt;"</f>
        <v>#VALUE!</v>
      </c>
      <c r="DU198" t="e">
        <f>Raw!Q304+"h_l!)J?"</f>
        <v>#VALUE!</v>
      </c>
      <c r="DV198" t="e">
        <f>Raw!R304+"h_l!)J@"</f>
        <v>#VALUE!</v>
      </c>
      <c r="DW198" t="e">
        <f>Raw!S304+"h_l!)JA"</f>
        <v>#VALUE!</v>
      </c>
      <c r="DX198" t="e">
        <f>Raw!T304+"h_l!)JB"</f>
        <v>#VALUE!</v>
      </c>
      <c r="DY198" t="e">
        <f>Raw!U304+"h_l!)JC"</f>
        <v>#VALUE!</v>
      </c>
      <c r="DZ198" t="e">
        <f>Raw!V304+"h_l!)JD"</f>
        <v>#VALUE!</v>
      </c>
      <c r="EA198" t="e">
        <f>Raw!W304+"h_l!)JE"</f>
        <v>#VALUE!</v>
      </c>
      <c r="EB198" t="e">
        <f>Raw!A305+"h_l!)JF"</f>
        <v>#VALUE!</v>
      </c>
      <c r="EC198" t="e">
        <f>Raw!B305+"h_l!)JG"</f>
        <v>#VALUE!</v>
      </c>
      <c r="ED198" t="e">
        <f>Raw!C305+"h_l!)JH"</f>
        <v>#VALUE!</v>
      </c>
      <c r="EE198" t="e">
        <f>Raw!D305+"h_l!)JI"</f>
        <v>#VALUE!</v>
      </c>
      <c r="EF198" t="e">
        <f>Raw!E305+"h_l!)JJ"</f>
        <v>#VALUE!</v>
      </c>
      <c r="EG198" t="e">
        <f>Raw!#REF!+"h_l!)JK"</f>
        <v>#REF!</v>
      </c>
      <c r="EH198" t="e">
        <f>Raw!G305+"h_l!)JL"</f>
        <v>#VALUE!</v>
      </c>
      <c r="EI198" t="e">
        <f>Raw!H305+"h_l!)JM"</f>
        <v>#VALUE!</v>
      </c>
      <c r="EJ198" t="e">
        <f>Raw!I305+"h_l!)JN"</f>
        <v>#VALUE!</v>
      </c>
      <c r="EK198" t="e">
        <f>Raw!J305+"h_l!)JO"</f>
        <v>#VALUE!</v>
      </c>
      <c r="EL198" t="e">
        <f>Raw!K305+"h_l!)JP"</f>
        <v>#VALUE!</v>
      </c>
      <c r="EM198" t="e">
        <f>Raw!L305+"h_l!)JQ"</f>
        <v>#VALUE!</v>
      </c>
      <c r="EN198" t="e">
        <f>Raw!M305+"h_l!)JR"</f>
        <v>#VALUE!</v>
      </c>
      <c r="EO198" t="e">
        <f>Raw!N305+"h_l!)JS"</f>
        <v>#VALUE!</v>
      </c>
      <c r="EP198" t="e">
        <f>Raw!O305+"h_l!)JT"</f>
        <v>#VALUE!</v>
      </c>
      <c r="EQ198" t="e">
        <f>Raw!P305+"h_l!)JU"</f>
        <v>#VALUE!</v>
      </c>
      <c r="ER198" t="e">
        <f>Raw!Q305+"h_l!)JV"</f>
        <v>#VALUE!</v>
      </c>
      <c r="ES198" t="e">
        <f>Raw!R305+"h_l!)JW"</f>
        <v>#VALUE!</v>
      </c>
      <c r="ET198" t="e">
        <f>Raw!S305+"h_l!)JX"</f>
        <v>#VALUE!</v>
      </c>
      <c r="EU198" t="e">
        <f>Raw!T305+"h_l!)JY"</f>
        <v>#VALUE!</v>
      </c>
      <c r="EV198" t="e">
        <f>Raw!U305+"h_l!)JZ"</f>
        <v>#VALUE!</v>
      </c>
      <c r="EW198" t="e">
        <f>Raw!V305+"h_l!)J["</f>
        <v>#VALUE!</v>
      </c>
      <c r="EX198" t="e">
        <f>Raw!W305+"h_l!)J\"</f>
        <v>#VALUE!</v>
      </c>
      <c r="EY198" t="e">
        <f>Raw!A306+"h_l!)J]"</f>
        <v>#VALUE!</v>
      </c>
      <c r="EZ198" t="e">
        <f>Raw!B306+"h_l!)J^"</f>
        <v>#VALUE!</v>
      </c>
      <c r="FA198" t="e">
        <f>Raw!C306+"h_l!)J_"</f>
        <v>#VALUE!</v>
      </c>
      <c r="FB198" t="e">
        <f>Raw!D306+"h_l!)J`"</f>
        <v>#VALUE!</v>
      </c>
      <c r="FC198" t="e">
        <f>Raw!E306+"h_l!)Ja"</f>
        <v>#VALUE!</v>
      </c>
      <c r="FD198" t="e">
        <f>Raw!#REF!+"h_l!)Jb"</f>
        <v>#REF!</v>
      </c>
      <c r="FE198" t="e">
        <f>Raw!G306+"h_l!)Jc"</f>
        <v>#VALUE!</v>
      </c>
      <c r="FF198" t="e">
        <f>Raw!H306+"h_l!)Jd"</f>
        <v>#VALUE!</v>
      </c>
      <c r="FG198" t="e">
        <f>Raw!I306+"h_l!)Je"</f>
        <v>#VALUE!</v>
      </c>
      <c r="FH198" t="e">
        <f>Raw!J306+"h_l!)Jf"</f>
        <v>#VALUE!</v>
      </c>
      <c r="FI198" t="e">
        <f>Raw!K306+"h_l!)Jg"</f>
        <v>#VALUE!</v>
      </c>
      <c r="FJ198" t="e">
        <f>Raw!L306+"h_l!)Jh"</f>
        <v>#VALUE!</v>
      </c>
      <c r="FK198" t="e">
        <f>Raw!M306+"h_l!)Ji"</f>
        <v>#VALUE!</v>
      </c>
      <c r="FL198" t="e">
        <f>Raw!N306+"h_l!)Jj"</f>
        <v>#VALUE!</v>
      </c>
      <c r="FM198" t="e">
        <f>Raw!O306+"h_l!)Jk"</f>
        <v>#VALUE!</v>
      </c>
      <c r="FN198" t="e">
        <f>Raw!P306+"h_l!)Jl"</f>
        <v>#VALUE!</v>
      </c>
      <c r="FO198" t="e">
        <f>Raw!Q306+"h_l!)Jm"</f>
        <v>#VALUE!</v>
      </c>
      <c r="FP198" t="e">
        <f>Raw!R306+"h_l!)Jn"</f>
        <v>#VALUE!</v>
      </c>
      <c r="FQ198" t="e">
        <f>Raw!S306+"h_l!)Jo"</f>
        <v>#VALUE!</v>
      </c>
      <c r="FR198" t="e">
        <f>Raw!T306+"h_l!)Jp"</f>
        <v>#VALUE!</v>
      </c>
      <c r="FS198" t="e">
        <f>Raw!U306+"h_l!)Jq"</f>
        <v>#VALUE!</v>
      </c>
      <c r="FT198" t="e">
        <f>Raw!V306+"h_l!)Jr"</f>
        <v>#VALUE!</v>
      </c>
      <c r="FU198" t="e">
        <f>Raw!W306+"h_l!)Js"</f>
        <v>#VALUE!</v>
      </c>
      <c r="FV198" t="e">
        <f>Raw!A307+"h_l!)Jt"</f>
        <v>#VALUE!</v>
      </c>
      <c r="FW198" t="e">
        <f>Raw!B307+"h_l!)Ju"</f>
        <v>#VALUE!</v>
      </c>
      <c r="FX198" t="e">
        <f>Raw!C307+"h_l!)Jv"</f>
        <v>#VALUE!</v>
      </c>
      <c r="FY198" t="e">
        <f>Raw!D307+"h_l!)Jw"</f>
        <v>#VALUE!</v>
      </c>
      <c r="FZ198" t="e">
        <f>Raw!E307+"h_l!)Jx"</f>
        <v>#VALUE!</v>
      </c>
      <c r="GA198" t="e">
        <f>Raw!#REF!+"h_l!)Jy"</f>
        <v>#REF!</v>
      </c>
      <c r="GB198" t="e">
        <f>Raw!G307+"h_l!)Jz"</f>
        <v>#VALUE!</v>
      </c>
      <c r="GC198" t="e">
        <f>Raw!H307+"h_l!)J{"</f>
        <v>#VALUE!</v>
      </c>
      <c r="GD198" t="e">
        <f>Raw!I307+"h_l!)J|"</f>
        <v>#VALUE!</v>
      </c>
      <c r="GE198" t="e">
        <f>Raw!J307+"h_l!)J}"</f>
        <v>#VALUE!</v>
      </c>
      <c r="GF198" t="e">
        <f>Raw!K307+"h_l!)J~"</f>
        <v>#VALUE!</v>
      </c>
      <c r="GG198" t="e">
        <f>Raw!L307+"h_l!)K#"</f>
        <v>#VALUE!</v>
      </c>
      <c r="GH198" t="e">
        <f>Raw!M307+"h_l!)K$"</f>
        <v>#VALUE!</v>
      </c>
      <c r="GI198" t="e">
        <f>Raw!N307+"h_l!)K%"</f>
        <v>#VALUE!</v>
      </c>
      <c r="GJ198" t="e">
        <f>Raw!O307+"h_l!)K&amp;"</f>
        <v>#VALUE!</v>
      </c>
      <c r="GK198" t="e">
        <f>Raw!P307+"h_l!)K'"</f>
        <v>#VALUE!</v>
      </c>
      <c r="GL198" t="e">
        <f>Raw!Q307+"h_l!)K("</f>
        <v>#VALUE!</v>
      </c>
      <c r="GM198" t="e">
        <f>Raw!R307+"h_l!)K)"</f>
        <v>#VALUE!</v>
      </c>
      <c r="GN198" t="e">
        <f>Raw!S307+"h_l!)K."</f>
        <v>#VALUE!</v>
      </c>
      <c r="GO198" t="e">
        <f>Raw!T307+"h_l!)K/"</f>
        <v>#VALUE!</v>
      </c>
      <c r="GP198" t="e">
        <f>Raw!U307+"h_l!)K0"</f>
        <v>#VALUE!</v>
      </c>
      <c r="GQ198" t="e">
        <f>Raw!V307+"h_l!)K1"</f>
        <v>#VALUE!</v>
      </c>
      <c r="GR198" t="e">
        <f>Raw!W307+"h_l!)K2"</f>
        <v>#VALUE!</v>
      </c>
      <c r="GS198" t="e">
        <f>Raw!A308+"h_l!)K3"</f>
        <v>#VALUE!</v>
      </c>
      <c r="GT198" t="e">
        <f>Raw!B308+"h_l!)K4"</f>
        <v>#VALUE!</v>
      </c>
      <c r="GU198" t="e">
        <f>Raw!C308+"h_l!)K5"</f>
        <v>#VALUE!</v>
      </c>
      <c r="GV198" t="e">
        <f>Raw!D308+"h_l!)K6"</f>
        <v>#VALUE!</v>
      </c>
      <c r="GW198" t="e">
        <f>Raw!E308+"h_l!)K7"</f>
        <v>#VALUE!</v>
      </c>
      <c r="GX198" t="e">
        <f>Raw!#REF!+"h_l!)K8"</f>
        <v>#REF!</v>
      </c>
      <c r="GY198" t="e">
        <f>Raw!G308+"h_l!)K9"</f>
        <v>#VALUE!</v>
      </c>
      <c r="GZ198" t="e">
        <f>Raw!H308+"h_l!)K:"</f>
        <v>#VALUE!</v>
      </c>
      <c r="HA198" t="e">
        <f>Raw!I308+"h_l!)K;"</f>
        <v>#VALUE!</v>
      </c>
      <c r="HB198" t="e">
        <f>Raw!J308+"h_l!)K&lt;"</f>
        <v>#VALUE!</v>
      </c>
      <c r="HC198" t="e">
        <f>Raw!K308+"h_l!)K="</f>
        <v>#VALUE!</v>
      </c>
      <c r="HD198" t="e">
        <f>Raw!L308+"h_l!)K&gt;"</f>
        <v>#VALUE!</v>
      </c>
      <c r="HE198" t="e">
        <f>Raw!M308+"h_l!)K?"</f>
        <v>#VALUE!</v>
      </c>
      <c r="HF198" t="e">
        <f>Raw!N308+"h_l!)K@"</f>
        <v>#VALUE!</v>
      </c>
      <c r="HG198" t="e">
        <f>Raw!O308+"h_l!)KA"</f>
        <v>#VALUE!</v>
      </c>
      <c r="HH198" t="e">
        <f>Raw!P308+"h_l!)KB"</f>
        <v>#VALUE!</v>
      </c>
      <c r="HI198" t="e">
        <f>Raw!Q308+"h_l!)KC"</f>
        <v>#VALUE!</v>
      </c>
      <c r="HJ198" t="e">
        <f>Raw!R308+"h_l!)KD"</f>
        <v>#VALUE!</v>
      </c>
      <c r="HK198" t="e">
        <f>Raw!S308+"h_l!)KE"</f>
        <v>#VALUE!</v>
      </c>
      <c r="HL198" t="e">
        <f>Raw!T308+"h_l!)KF"</f>
        <v>#VALUE!</v>
      </c>
      <c r="HM198" t="e">
        <f>Raw!U308+"h_l!)KG"</f>
        <v>#VALUE!</v>
      </c>
      <c r="HN198" t="e">
        <f>Raw!V308+"h_l!)KH"</f>
        <v>#VALUE!</v>
      </c>
      <c r="HO198" t="e">
        <f>Raw!W308+"h_l!)KI"</f>
        <v>#VALUE!</v>
      </c>
      <c r="HP198" t="e">
        <f>Raw!A309+"h_l!)KJ"</f>
        <v>#VALUE!</v>
      </c>
      <c r="HQ198" t="e">
        <f>Raw!B309+"h_l!)KK"</f>
        <v>#VALUE!</v>
      </c>
      <c r="HR198" t="e">
        <f>Raw!C309+"h_l!)KL"</f>
        <v>#VALUE!</v>
      </c>
      <c r="HS198" t="e">
        <f>Raw!D309+"h_l!)KM"</f>
        <v>#VALUE!</v>
      </c>
      <c r="HT198" t="e">
        <f>Raw!E309+"h_l!)KN"</f>
        <v>#VALUE!</v>
      </c>
      <c r="HU198" t="e">
        <f>Raw!#REF!+"h_l!)KO"</f>
        <v>#REF!</v>
      </c>
      <c r="HV198" t="e">
        <f>Raw!G309+"h_l!)KP"</f>
        <v>#VALUE!</v>
      </c>
      <c r="HW198" t="e">
        <f>Raw!H309+"h_l!)KQ"</f>
        <v>#VALUE!</v>
      </c>
      <c r="HX198" t="e">
        <f>Raw!I309+"h_l!)KR"</f>
        <v>#VALUE!</v>
      </c>
      <c r="HY198" t="e">
        <f>Raw!J309+"h_l!)KS"</f>
        <v>#VALUE!</v>
      </c>
      <c r="HZ198" t="e">
        <f>Raw!K309+"h_l!)KT"</f>
        <v>#VALUE!</v>
      </c>
      <c r="IA198" t="e">
        <f>Raw!L309+"h_l!)KU"</f>
        <v>#VALUE!</v>
      </c>
      <c r="IB198" t="e">
        <f>Raw!M309+"h_l!)KV"</f>
        <v>#VALUE!</v>
      </c>
      <c r="IC198" t="e">
        <f>Raw!N309+"h_l!)KW"</f>
        <v>#VALUE!</v>
      </c>
      <c r="ID198" t="e">
        <f>Raw!O309+"h_l!)KX"</f>
        <v>#VALUE!</v>
      </c>
      <c r="IE198" t="e">
        <f>Raw!P309+"h_l!)KY"</f>
        <v>#VALUE!</v>
      </c>
      <c r="IF198" t="e">
        <f>Raw!Q309+"h_l!)KZ"</f>
        <v>#VALUE!</v>
      </c>
      <c r="IG198" t="e">
        <f>Raw!R309+"h_l!)K["</f>
        <v>#VALUE!</v>
      </c>
      <c r="IH198" t="e">
        <f>Raw!S309+"h_l!)K\"</f>
        <v>#VALUE!</v>
      </c>
      <c r="II198" t="e">
        <f>Raw!T309+"h_l!)K]"</f>
        <v>#VALUE!</v>
      </c>
      <c r="IJ198" t="e">
        <f>Raw!U309+"h_l!)K^"</f>
        <v>#VALUE!</v>
      </c>
      <c r="IK198" t="e">
        <f>Raw!V309+"h_l!)K_"</f>
        <v>#VALUE!</v>
      </c>
      <c r="IL198" t="e">
        <f>Raw!W309+"h_l!)K`"</f>
        <v>#VALUE!</v>
      </c>
      <c r="IM198" t="e">
        <f>Raw!A310+"h_l!)Ka"</f>
        <v>#VALUE!</v>
      </c>
      <c r="IN198" t="e">
        <f>Raw!B310+"h_l!)Kb"</f>
        <v>#VALUE!</v>
      </c>
      <c r="IO198" t="e">
        <f>Raw!C310+"h_l!)Kc"</f>
        <v>#VALUE!</v>
      </c>
      <c r="IP198" t="e">
        <f>Raw!D310+"h_l!)Kd"</f>
        <v>#VALUE!</v>
      </c>
      <c r="IQ198" t="e">
        <f>Raw!E310+"h_l!)Ke"</f>
        <v>#VALUE!</v>
      </c>
      <c r="IR198" t="e">
        <f>Raw!#REF!+"h_l!)Kf"</f>
        <v>#REF!</v>
      </c>
      <c r="IS198" t="e">
        <f>Raw!G310+"h_l!)Kg"</f>
        <v>#VALUE!</v>
      </c>
      <c r="IT198" t="e">
        <f>Raw!H310+"h_l!)Kh"</f>
        <v>#VALUE!</v>
      </c>
      <c r="IU198" t="e">
        <f>Raw!I310+"h_l!)Ki"</f>
        <v>#VALUE!</v>
      </c>
      <c r="IV198" t="e">
        <f>Raw!J310+"h_l!)Kj"</f>
        <v>#VALUE!</v>
      </c>
    </row>
    <row r="199" spans="6:256" x14ac:dyDescent="0.25">
      <c r="F199" t="e">
        <f>Raw!K310+"h_l!)Kk"</f>
        <v>#VALUE!</v>
      </c>
      <c r="G199" t="e">
        <f>Raw!L310+"h_l!)Kl"</f>
        <v>#VALUE!</v>
      </c>
      <c r="H199" t="e">
        <f>Raw!M310+"h_l!)Km"</f>
        <v>#VALUE!</v>
      </c>
      <c r="I199" t="e">
        <f>Raw!N310+"h_l!)Kn"</f>
        <v>#VALUE!</v>
      </c>
      <c r="J199" t="e">
        <f>Raw!O310+"h_l!)Ko"</f>
        <v>#VALUE!</v>
      </c>
      <c r="K199" t="e">
        <f>Raw!P310+"h_l!)Kp"</f>
        <v>#VALUE!</v>
      </c>
      <c r="L199" t="e">
        <f>Raw!Q310+"h_l!)Kq"</f>
        <v>#VALUE!</v>
      </c>
      <c r="M199" t="e">
        <f>Raw!R310+"h_l!)Kr"</f>
        <v>#VALUE!</v>
      </c>
      <c r="N199" t="e">
        <f>Raw!S310+"h_l!)Ks"</f>
        <v>#VALUE!</v>
      </c>
      <c r="O199" t="e">
        <f>Raw!T310+"h_l!)Kt"</f>
        <v>#VALUE!</v>
      </c>
      <c r="P199" t="e">
        <f>Raw!U310+"h_l!)Ku"</f>
        <v>#VALUE!</v>
      </c>
      <c r="Q199" t="e">
        <f>Raw!V310+"h_l!)Kv"</f>
        <v>#VALUE!</v>
      </c>
      <c r="R199" t="e">
        <f>Raw!W310+"h_l!)Kw"</f>
        <v>#VALUE!</v>
      </c>
      <c r="S199" t="e">
        <f>Raw!A311+"h_l!)Kx"</f>
        <v>#VALUE!</v>
      </c>
      <c r="T199" t="e">
        <f>Raw!B311+"h_l!)Ky"</f>
        <v>#VALUE!</v>
      </c>
      <c r="U199" t="e">
        <f>Raw!C311+"h_l!)Kz"</f>
        <v>#VALUE!</v>
      </c>
      <c r="V199" t="e">
        <f>Raw!D311+"h_l!)K{"</f>
        <v>#VALUE!</v>
      </c>
      <c r="W199" t="e">
        <f>Raw!E311+"h_l!)K|"</f>
        <v>#VALUE!</v>
      </c>
      <c r="X199" t="e">
        <f>Raw!#REF!+"h_l!)K}"</f>
        <v>#REF!</v>
      </c>
      <c r="Y199" t="e">
        <f>Raw!G311+"h_l!)K~"</f>
        <v>#VALUE!</v>
      </c>
      <c r="Z199" t="e">
        <f>Raw!H311+"h_l!)L#"</f>
        <v>#VALUE!</v>
      </c>
      <c r="AA199" t="e">
        <f>Raw!I311+"h_l!)L$"</f>
        <v>#VALUE!</v>
      </c>
      <c r="AB199" t="e">
        <f>Raw!J311+"h_l!)L%"</f>
        <v>#VALUE!</v>
      </c>
      <c r="AC199" t="e">
        <f>Raw!K311+"h_l!)L&amp;"</f>
        <v>#VALUE!</v>
      </c>
      <c r="AD199" t="e">
        <f>Raw!L311+"h_l!)L'"</f>
        <v>#VALUE!</v>
      </c>
      <c r="AE199" t="e">
        <f>Raw!M311+"h_l!)L("</f>
        <v>#VALUE!</v>
      </c>
      <c r="AF199" t="e">
        <f>Raw!N311+"h_l!)L)"</f>
        <v>#VALUE!</v>
      </c>
      <c r="AG199" t="e">
        <f>Raw!O311+"h_l!)L."</f>
        <v>#VALUE!</v>
      </c>
      <c r="AH199" t="e">
        <f>Raw!P311+"h_l!)L/"</f>
        <v>#VALUE!</v>
      </c>
      <c r="AI199" t="e">
        <f>Raw!Q311+"h_l!)L0"</f>
        <v>#VALUE!</v>
      </c>
      <c r="AJ199" t="e">
        <f>Raw!R311+"h_l!)L1"</f>
        <v>#VALUE!</v>
      </c>
      <c r="AK199" t="e">
        <f>Raw!S311+"h_l!)L2"</f>
        <v>#VALUE!</v>
      </c>
      <c r="AL199" t="e">
        <f>Raw!T311+"h_l!)L3"</f>
        <v>#VALUE!</v>
      </c>
      <c r="AM199" t="e">
        <f>Raw!U311+"h_l!)L4"</f>
        <v>#VALUE!</v>
      </c>
      <c r="AN199" t="e">
        <f>Raw!V311+"h_l!)L5"</f>
        <v>#VALUE!</v>
      </c>
      <c r="AO199" t="e">
        <f>Raw!W311+"h_l!)L6"</f>
        <v>#VALUE!</v>
      </c>
      <c r="AP199" t="e">
        <f>Raw!A312+"h_l!)L7"</f>
        <v>#VALUE!</v>
      </c>
      <c r="AQ199" t="e">
        <f>Raw!B312+"h_l!)L8"</f>
        <v>#VALUE!</v>
      </c>
      <c r="AR199" t="e">
        <f>Raw!C312+"h_l!)L9"</f>
        <v>#VALUE!</v>
      </c>
      <c r="AS199" t="e">
        <f>Raw!D312+"h_l!)L:"</f>
        <v>#VALUE!</v>
      </c>
      <c r="AT199" t="e">
        <f>Raw!E312+"h_l!)L;"</f>
        <v>#VALUE!</v>
      </c>
      <c r="AU199" t="e">
        <f>Raw!#REF!+"h_l!)L&lt;"</f>
        <v>#REF!</v>
      </c>
      <c r="AV199" t="e">
        <f>Raw!G312+"h_l!)L="</f>
        <v>#VALUE!</v>
      </c>
      <c r="AW199" t="e">
        <f>Raw!H312+"h_l!)L&gt;"</f>
        <v>#VALUE!</v>
      </c>
      <c r="AX199" t="e">
        <f>Raw!I312+"h_l!)L?"</f>
        <v>#VALUE!</v>
      </c>
      <c r="AY199" t="e">
        <f>Raw!J312+"h_l!)L@"</f>
        <v>#VALUE!</v>
      </c>
      <c r="AZ199" t="e">
        <f>Raw!K312+"h_l!)LA"</f>
        <v>#VALUE!</v>
      </c>
      <c r="BA199" t="e">
        <f>Raw!L312+"h_l!)LB"</f>
        <v>#VALUE!</v>
      </c>
      <c r="BB199" t="e">
        <f>Raw!M312+"h_l!)LC"</f>
        <v>#VALUE!</v>
      </c>
      <c r="BC199" t="e">
        <f>Raw!N312+"h_l!)LD"</f>
        <v>#VALUE!</v>
      </c>
      <c r="BD199" t="e">
        <f>Raw!O312+"h_l!)LE"</f>
        <v>#VALUE!</v>
      </c>
      <c r="BE199" t="e">
        <f>Raw!P312+"h_l!)LF"</f>
        <v>#VALUE!</v>
      </c>
      <c r="BF199" t="e">
        <f>Raw!Q312+"h_l!)LG"</f>
        <v>#VALUE!</v>
      </c>
      <c r="BG199" t="e">
        <f>Raw!R312+"h_l!)LH"</f>
        <v>#VALUE!</v>
      </c>
      <c r="BH199" t="e">
        <f>Raw!S312+"h_l!)LI"</f>
        <v>#VALUE!</v>
      </c>
      <c r="BI199" t="e">
        <f>Raw!T312+"h_l!)LJ"</f>
        <v>#VALUE!</v>
      </c>
      <c r="BJ199" t="e">
        <f>Raw!U312+"h_l!)LK"</f>
        <v>#VALUE!</v>
      </c>
      <c r="BK199" t="e">
        <f>Raw!V312+"h_l!)LL"</f>
        <v>#VALUE!</v>
      </c>
      <c r="BL199" t="e">
        <f>Raw!W312+"h_l!)LM"</f>
        <v>#VALUE!</v>
      </c>
      <c r="BM199" t="e">
        <f>Raw!A313+"h_l!)LN"</f>
        <v>#VALUE!</v>
      </c>
      <c r="BN199" t="e">
        <f>Raw!B313+"h_l!)LO"</f>
        <v>#VALUE!</v>
      </c>
      <c r="BO199" t="e">
        <f>Raw!C313+"h_l!)LP"</f>
        <v>#VALUE!</v>
      </c>
      <c r="BP199" t="e">
        <f>Raw!D313+"h_l!)LQ"</f>
        <v>#VALUE!</v>
      </c>
      <c r="BQ199" t="e">
        <f>Raw!E313+"h_l!)LR"</f>
        <v>#VALUE!</v>
      </c>
      <c r="BR199" t="e">
        <f>Raw!#REF!+"h_l!)LS"</f>
        <v>#REF!</v>
      </c>
      <c r="BS199" t="e">
        <f>Raw!G313+"h_l!)LT"</f>
        <v>#VALUE!</v>
      </c>
      <c r="BT199" t="e">
        <f>Raw!H313+"h_l!)LU"</f>
        <v>#VALUE!</v>
      </c>
      <c r="BU199" t="e">
        <f>Raw!I313+"h_l!)LV"</f>
        <v>#VALUE!</v>
      </c>
      <c r="BV199" t="e">
        <f>Raw!J313+"h_l!)LW"</f>
        <v>#VALUE!</v>
      </c>
      <c r="BW199" t="e">
        <f>Raw!K313+"h_l!)LX"</f>
        <v>#VALUE!</v>
      </c>
      <c r="BX199" t="e">
        <f>Raw!L313+"h_l!)LY"</f>
        <v>#VALUE!</v>
      </c>
      <c r="BY199" t="e">
        <f>Raw!M313+"h_l!)LZ"</f>
        <v>#VALUE!</v>
      </c>
      <c r="BZ199" t="e">
        <f>Raw!N313+"h_l!)L["</f>
        <v>#VALUE!</v>
      </c>
      <c r="CA199" t="e">
        <f>Raw!O313+"h_l!)L\"</f>
        <v>#VALUE!</v>
      </c>
      <c r="CB199" t="e">
        <f>Raw!P313+"h_l!)L]"</f>
        <v>#VALUE!</v>
      </c>
      <c r="CC199" t="e">
        <f>Raw!Q313+"h_l!)L^"</f>
        <v>#VALUE!</v>
      </c>
      <c r="CD199" t="e">
        <f>Raw!R313+"h_l!)L_"</f>
        <v>#VALUE!</v>
      </c>
      <c r="CE199" t="e">
        <f>Raw!S313+"h_l!)L`"</f>
        <v>#VALUE!</v>
      </c>
      <c r="CF199" t="e">
        <f>Raw!T313+"h_l!)La"</f>
        <v>#VALUE!</v>
      </c>
      <c r="CG199" t="e">
        <f>Raw!U313+"h_l!)Lb"</f>
        <v>#VALUE!</v>
      </c>
      <c r="CH199" t="e">
        <f>Raw!V313+"h_l!)Lc"</f>
        <v>#VALUE!</v>
      </c>
      <c r="CI199" t="e">
        <f>Raw!W313+"h_l!)Ld"</f>
        <v>#VALUE!</v>
      </c>
      <c r="CJ199" t="e">
        <f>Raw!A314+"h_l!)Le"</f>
        <v>#VALUE!</v>
      </c>
      <c r="CK199" t="e">
        <f>Raw!B314+"h_l!)Lf"</f>
        <v>#VALUE!</v>
      </c>
      <c r="CL199" t="e">
        <f>Raw!C314+"h_l!)Lg"</f>
        <v>#VALUE!</v>
      </c>
      <c r="CM199" t="e">
        <f>Raw!D314+"h_l!)Lh"</f>
        <v>#VALUE!</v>
      </c>
      <c r="CN199" t="e">
        <f>Raw!E314+"h_l!)Li"</f>
        <v>#VALUE!</v>
      </c>
      <c r="CO199" t="e">
        <f>Raw!#REF!+"h_l!)Lj"</f>
        <v>#REF!</v>
      </c>
      <c r="CP199" t="e">
        <f>Raw!G314+"h_l!)Lk"</f>
        <v>#VALUE!</v>
      </c>
      <c r="CQ199" t="e">
        <f>Raw!H314+"h_l!)Ll"</f>
        <v>#VALUE!</v>
      </c>
      <c r="CR199" t="e">
        <f>Raw!I314+"h_l!)Lm"</f>
        <v>#VALUE!</v>
      </c>
      <c r="CS199" t="e">
        <f>Raw!J314+"h_l!)Ln"</f>
        <v>#VALUE!</v>
      </c>
      <c r="CT199" t="e">
        <f>Raw!K314+"h_l!)Lo"</f>
        <v>#VALUE!</v>
      </c>
      <c r="CU199" t="e">
        <f>Raw!L314+"h_l!)Lp"</f>
        <v>#VALUE!</v>
      </c>
      <c r="CV199" t="e">
        <f>Raw!M314+"h_l!)Lq"</f>
        <v>#VALUE!</v>
      </c>
      <c r="CW199" t="e">
        <f>Raw!N314+"h_l!)Lr"</f>
        <v>#VALUE!</v>
      </c>
      <c r="CX199" t="e">
        <f>Raw!O314+"h_l!)Ls"</f>
        <v>#VALUE!</v>
      </c>
      <c r="CY199" t="e">
        <f>Raw!P314+"h_l!)Lt"</f>
        <v>#VALUE!</v>
      </c>
      <c r="CZ199" t="e">
        <f>Raw!Q314+"h_l!)Lu"</f>
        <v>#VALUE!</v>
      </c>
      <c r="DA199" t="e">
        <f>Raw!R314+"h_l!)Lv"</f>
        <v>#VALUE!</v>
      </c>
      <c r="DB199" t="e">
        <f>Raw!S314+"h_l!)Lw"</f>
        <v>#VALUE!</v>
      </c>
      <c r="DC199" t="e">
        <f>Raw!T314+"h_l!)Lx"</f>
        <v>#VALUE!</v>
      </c>
      <c r="DD199" t="e">
        <f>Raw!U314+"h_l!)Ly"</f>
        <v>#VALUE!</v>
      </c>
      <c r="DE199" t="e">
        <f>Raw!V314+"h_l!)Lz"</f>
        <v>#VALUE!</v>
      </c>
      <c r="DF199" t="e">
        <f>Raw!W314+"h_l!)L{"</f>
        <v>#VALUE!</v>
      </c>
      <c r="DG199" t="e">
        <f>Raw!A315+"h_l!)L|"</f>
        <v>#VALUE!</v>
      </c>
      <c r="DH199" t="e">
        <f>Raw!B315+"h_l!)L}"</f>
        <v>#VALUE!</v>
      </c>
      <c r="DI199" t="e">
        <f>Raw!C315+"h_l!)L~"</f>
        <v>#VALUE!</v>
      </c>
      <c r="DJ199" t="e">
        <f>Raw!D315+"h_l!)M#"</f>
        <v>#VALUE!</v>
      </c>
      <c r="DK199" t="e">
        <f>Raw!E315+"h_l!)M$"</f>
        <v>#VALUE!</v>
      </c>
      <c r="DL199" t="e">
        <f>Raw!#REF!+"h_l!)M%"</f>
        <v>#REF!</v>
      </c>
      <c r="DM199" t="e">
        <f>Raw!G315+"h_l!)M&amp;"</f>
        <v>#VALUE!</v>
      </c>
      <c r="DN199" t="e">
        <f>Raw!H315+"h_l!)M'"</f>
        <v>#VALUE!</v>
      </c>
      <c r="DO199" t="e">
        <f>Raw!I315+"h_l!)M("</f>
        <v>#VALUE!</v>
      </c>
      <c r="DP199" t="e">
        <f>Raw!J315+"h_l!)M)"</f>
        <v>#VALUE!</v>
      </c>
      <c r="DQ199" t="e">
        <f>Raw!K315+"h_l!)M."</f>
        <v>#VALUE!</v>
      </c>
      <c r="DR199" t="e">
        <f>Raw!L315+"h_l!)M/"</f>
        <v>#VALUE!</v>
      </c>
      <c r="DS199" t="e">
        <f>Raw!M315+"h_l!)M0"</f>
        <v>#VALUE!</v>
      </c>
      <c r="DT199" t="e">
        <f>Raw!N315+"h_l!)M1"</f>
        <v>#VALUE!</v>
      </c>
      <c r="DU199" t="e">
        <f>Raw!O315+"h_l!)M2"</f>
        <v>#VALUE!</v>
      </c>
      <c r="DV199" t="e">
        <f>Raw!P315+"h_l!)M3"</f>
        <v>#VALUE!</v>
      </c>
      <c r="DW199" t="e">
        <f>Raw!Q315+"h_l!)M4"</f>
        <v>#VALUE!</v>
      </c>
      <c r="DX199" t="e">
        <f>Raw!R315+"h_l!)M5"</f>
        <v>#VALUE!</v>
      </c>
      <c r="DY199" t="e">
        <f>Raw!S315+"h_l!)M6"</f>
        <v>#VALUE!</v>
      </c>
      <c r="DZ199" t="e">
        <f>Raw!T315+"h_l!)M7"</f>
        <v>#VALUE!</v>
      </c>
      <c r="EA199" t="e">
        <f>Raw!U315+"h_l!)M8"</f>
        <v>#VALUE!</v>
      </c>
      <c r="EB199" t="e">
        <f>Raw!V315+"h_l!)M9"</f>
        <v>#VALUE!</v>
      </c>
      <c r="EC199" t="e">
        <f>Raw!W315+"h_l!)M:"</f>
        <v>#VALUE!</v>
      </c>
      <c r="ED199" t="e">
        <f>Raw!A316+"h_l!)M;"</f>
        <v>#VALUE!</v>
      </c>
      <c r="EE199" t="e">
        <f>Raw!B316+"h_l!)M&lt;"</f>
        <v>#VALUE!</v>
      </c>
      <c r="EF199" t="e">
        <f>Raw!C316+"h_l!)M="</f>
        <v>#VALUE!</v>
      </c>
      <c r="EG199" t="e">
        <f>Raw!D316+"h_l!)M&gt;"</f>
        <v>#VALUE!</v>
      </c>
      <c r="EH199" t="e">
        <f>Raw!E316+"h_l!)M?"</f>
        <v>#VALUE!</v>
      </c>
      <c r="EI199" t="e">
        <f>Raw!#REF!+"h_l!)M@"</f>
        <v>#REF!</v>
      </c>
      <c r="EJ199" t="e">
        <f>Raw!G316+"h_l!)MA"</f>
        <v>#VALUE!</v>
      </c>
      <c r="EK199" t="e">
        <f>Raw!H316+"h_l!)MB"</f>
        <v>#VALUE!</v>
      </c>
      <c r="EL199" t="e">
        <f>Raw!I316+"h_l!)MC"</f>
        <v>#VALUE!</v>
      </c>
      <c r="EM199" t="e">
        <f>Raw!J316+"h_l!)MD"</f>
        <v>#VALUE!</v>
      </c>
      <c r="EN199" t="e">
        <f>Raw!K316+"h_l!)ME"</f>
        <v>#VALUE!</v>
      </c>
      <c r="EO199" t="e">
        <f>Raw!L316+"h_l!)MF"</f>
        <v>#VALUE!</v>
      </c>
      <c r="EP199" t="e">
        <f>Raw!M316+"h_l!)MG"</f>
        <v>#VALUE!</v>
      </c>
      <c r="EQ199" t="e">
        <f>Raw!N316+"h_l!)MH"</f>
        <v>#VALUE!</v>
      </c>
      <c r="ER199" t="e">
        <f>Raw!O316+"h_l!)MI"</f>
        <v>#VALUE!</v>
      </c>
      <c r="ES199" t="e">
        <f>Raw!P316+"h_l!)MJ"</f>
        <v>#VALUE!</v>
      </c>
      <c r="ET199" t="e">
        <f>Raw!Q316+"h_l!)MK"</f>
        <v>#VALUE!</v>
      </c>
      <c r="EU199" t="e">
        <f>Raw!R316+"h_l!)ML"</f>
        <v>#VALUE!</v>
      </c>
      <c r="EV199" t="e">
        <f>Raw!S316+"h_l!)MM"</f>
        <v>#VALUE!</v>
      </c>
      <c r="EW199" t="e">
        <f>Raw!T316+"h_l!)MN"</f>
        <v>#VALUE!</v>
      </c>
      <c r="EX199" t="e">
        <f>Raw!U316+"h_l!)MO"</f>
        <v>#VALUE!</v>
      </c>
      <c r="EY199" t="e">
        <f>Raw!V316+"h_l!)MP"</f>
        <v>#VALUE!</v>
      </c>
      <c r="EZ199" t="e">
        <f>Raw!W316+"h_l!)MQ"</f>
        <v>#VALUE!</v>
      </c>
      <c r="FA199" t="e">
        <f>Raw!A317+"h_l!)MR"</f>
        <v>#VALUE!</v>
      </c>
      <c r="FB199" t="e">
        <f>Raw!B317+"h_l!)MS"</f>
        <v>#VALUE!</v>
      </c>
      <c r="FC199" t="e">
        <f>Raw!C317+"h_l!)MT"</f>
        <v>#VALUE!</v>
      </c>
      <c r="FD199" t="e">
        <f>Raw!D317+"h_l!)MU"</f>
        <v>#VALUE!</v>
      </c>
      <c r="FE199" t="e">
        <f>Raw!E317+"h_l!)MV"</f>
        <v>#VALUE!</v>
      </c>
      <c r="FF199" t="e">
        <f>Raw!#REF!+"h_l!)MW"</f>
        <v>#REF!</v>
      </c>
      <c r="FG199" t="e">
        <f>Raw!G317+"h_l!)MX"</f>
        <v>#VALUE!</v>
      </c>
      <c r="FH199" t="e">
        <f>Raw!H317+"h_l!)MY"</f>
        <v>#VALUE!</v>
      </c>
      <c r="FI199" t="e">
        <f>Raw!I317+"h_l!)MZ"</f>
        <v>#VALUE!</v>
      </c>
      <c r="FJ199" t="e">
        <f>Raw!J317+"h_l!)M["</f>
        <v>#VALUE!</v>
      </c>
      <c r="FK199" t="e">
        <f>Raw!K317+"h_l!)M\"</f>
        <v>#VALUE!</v>
      </c>
      <c r="FL199" t="e">
        <f>Raw!L317+"h_l!)M]"</f>
        <v>#VALUE!</v>
      </c>
      <c r="FM199" t="e">
        <f>Raw!M317+"h_l!)M^"</f>
        <v>#VALUE!</v>
      </c>
      <c r="FN199" t="e">
        <f>Raw!N317+"h_l!)M_"</f>
        <v>#VALUE!</v>
      </c>
      <c r="FO199" t="e">
        <f>Raw!O317+"h_l!)M`"</f>
        <v>#VALUE!</v>
      </c>
      <c r="FP199" t="e">
        <f>Raw!P317+"h_l!)Ma"</f>
        <v>#VALUE!</v>
      </c>
      <c r="FQ199" t="e">
        <f>Raw!Q317+"h_l!)Mb"</f>
        <v>#VALUE!</v>
      </c>
      <c r="FR199" t="e">
        <f>Raw!R317+"h_l!)Mc"</f>
        <v>#VALUE!</v>
      </c>
      <c r="FS199" t="e">
        <f>Raw!S317+"h_l!)Md"</f>
        <v>#VALUE!</v>
      </c>
      <c r="FT199" t="e">
        <f>Raw!T317+"h_l!)Me"</f>
        <v>#VALUE!</v>
      </c>
      <c r="FU199" t="e">
        <f>Raw!U317+"h_l!)Mf"</f>
        <v>#VALUE!</v>
      </c>
      <c r="FV199" t="e">
        <f>Raw!V317+"h_l!)Mg"</f>
        <v>#VALUE!</v>
      </c>
      <c r="FW199" t="e">
        <f>Raw!W317+"h_l!)Mh"</f>
        <v>#VALUE!</v>
      </c>
      <c r="FX199" t="e">
        <f>Raw!A318+"h_l!)Mi"</f>
        <v>#VALUE!</v>
      </c>
      <c r="FY199" t="e">
        <f>Raw!B318+"h_l!)Mj"</f>
        <v>#VALUE!</v>
      </c>
      <c r="FZ199" t="e">
        <f>Raw!C318+"h_l!)Mk"</f>
        <v>#VALUE!</v>
      </c>
      <c r="GA199" t="e">
        <f>Raw!D318+"h_l!)Ml"</f>
        <v>#VALUE!</v>
      </c>
      <c r="GB199" t="e">
        <f>Raw!E318+"h_l!)Mm"</f>
        <v>#VALUE!</v>
      </c>
      <c r="GC199" t="e">
        <f>Raw!#REF!+"h_l!)Mn"</f>
        <v>#REF!</v>
      </c>
      <c r="GD199" t="e">
        <f>Raw!G318+"h_l!)Mo"</f>
        <v>#VALUE!</v>
      </c>
      <c r="GE199" t="e">
        <f>Raw!H318+"h_l!)Mp"</f>
        <v>#VALUE!</v>
      </c>
      <c r="GF199" t="e">
        <f>Raw!I318+"h_l!)Mq"</f>
        <v>#VALUE!</v>
      </c>
      <c r="GG199" t="e">
        <f>Raw!J318+"h_l!)Mr"</f>
        <v>#VALUE!</v>
      </c>
      <c r="GH199" t="e">
        <f>Raw!K318+"h_l!)Ms"</f>
        <v>#VALUE!</v>
      </c>
      <c r="GI199" t="e">
        <f>Raw!L318+"h_l!)Mt"</f>
        <v>#VALUE!</v>
      </c>
      <c r="GJ199" t="e">
        <f>Raw!M318+"h_l!)Mu"</f>
        <v>#VALUE!</v>
      </c>
      <c r="GK199" t="e">
        <f>Raw!N318+"h_l!)Mv"</f>
        <v>#VALUE!</v>
      </c>
      <c r="GL199" t="e">
        <f>Raw!O318+"h_l!)Mw"</f>
        <v>#VALUE!</v>
      </c>
      <c r="GM199" t="e">
        <f>Raw!P318+"h_l!)Mx"</f>
        <v>#VALUE!</v>
      </c>
      <c r="GN199" t="e">
        <f>Raw!Q318+"h_l!)My"</f>
        <v>#VALUE!</v>
      </c>
      <c r="GO199" t="e">
        <f>Raw!R318+"h_l!)Mz"</f>
        <v>#VALUE!</v>
      </c>
      <c r="GP199" t="e">
        <f>Raw!S318+"h_l!)M{"</f>
        <v>#VALUE!</v>
      </c>
      <c r="GQ199" t="e">
        <f>Raw!T318+"h_l!)M|"</f>
        <v>#VALUE!</v>
      </c>
      <c r="GR199" t="e">
        <f>Raw!U318+"h_l!)M}"</f>
        <v>#VALUE!</v>
      </c>
      <c r="GS199" t="e">
        <f>Raw!V318+"h_l!)M~"</f>
        <v>#VALUE!</v>
      </c>
      <c r="GT199" t="e">
        <f>Raw!W318+"h_l!)N#"</f>
        <v>#VALUE!</v>
      </c>
      <c r="GU199" t="e">
        <f>Raw!A319+"h_l!)N$"</f>
        <v>#VALUE!</v>
      </c>
      <c r="GV199" t="e">
        <f>Raw!B319+"h_l!)N%"</f>
        <v>#VALUE!</v>
      </c>
      <c r="GW199" t="e">
        <f>Raw!C319+"h_l!)N&amp;"</f>
        <v>#VALUE!</v>
      </c>
      <c r="GX199" t="e">
        <f>Raw!D319+"h_l!)N'"</f>
        <v>#VALUE!</v>
      </c>
      <c r="GY199" t="e">
        <f>Raw!E319+"h_l!)N("</f>
        <v>#VALUE!</v>
      </c>
      <c r="GZ199" t="e">
        <f>Raw!#REF!+"h_l!)N)"</f>
        <v>#REF!</v>
      </c>
      <c r="HA199" t="e">
        <f>Raw!G319+"h_l!)N."</f>
        <v>#VALUE!</v>
      </c>
      <c r="HB199" t="e">
        <f>Raw!H319+"h_l!)N/"</f>
        <v>#VALUE!</v>
      </c>
      <c r="HC199" t="e">
        <f>Raw!I319+"h_l!)N0"</f>
        <v>#VALUE!</v>
      </c>
      <c r="HD199" t="e">
        <f>Raw!J319+"h_l!)N1"</f>
        <v>#VALUE!</v>
      </c>
      <c r="HE199" t="e">
        <f>Raw!K319+"h_l!)N2"</f>
        <v>#VALUE!</v>
      </c>
      <c r="HF199" t="e">
        <f>Raw!L319+"h_l!)N3"</f>
        <v>#VALUE!</v>
      </c>
      <c r="HG199" t="e">
        <f>Raw!M319+"h_l!)N4"</f>
        <v>#VALUE!</v>
      </c>
      <c r="HH199" t="e">
        <f>Raw!N319+"h_l!)N5"</f>
        <v>#VALUE!</v>
      </c>
      <c r="HI199" t="e">
        <f>Raw!O319+"h_l!)N6"</f>
        <v>#VALUE!</v>
      </c>
      <c r="HJ199" t="e">
        <f>Raw!P319+"h_l!)N7"</f>
        <v>#VALUE!</v>
      </c>
      <c r="HK199" t="e">
        <f>Raw!Q319+"h_l!)N8"</f>
        <v>#VALUE!</v>
      </c>
      <c r="HL199" t="e">
        <f>Raw!R319+"h_l!)N9"</f>
        <v>#VALUE!</v>
      </c>
      <c r="HM199" t="e">
        <f>Raw!S319+"h_l!)N:"</f>
        <v>#VALUE!</v>
      </c>
      <c r="HN199" t="e">
        <f>Raw!T319+"h_l!)N;"</f>
        <v>#VALUE!</v>
      </c>
      <c r="HO199" t="e">
        <f>Raw!U319+"h_l!)N&lt;"</f>
        <v>#VALUE!</v>
      </c>
      <c r="HP199" t="e">
        <f>Raw!V319+"h_l!)N="</f>
        <v>#VALUE!</v>
      </c>
      <c r="HQ199" t="e">
        <f>Raw!W319+"h_l!)N&gt;"</f>
        <v>#VALUE!</v>
      </c>
      <c r="HR199" t="e">
        <f>Raw!A320+"h_l!)N?"</f>
        <v>#VALUE!</v>
      </c>
      <c r="HS199" t="e">
        <f>Raw!B320+"h_l!)N@"</f>
        <v>#VALUE!</v>
      </c>
      <c r="HT199" t="e">
        <f>Raw!C320+"h_l!)NA"</f>
        <v>#VALUE!</v>
      </c>
      <c r="HU199" t="e">
        <f>Raw!D320+"h_l!)NB"</f>
        <v>#VALUE!</v>
      </c>
      <c r="HV199" t="e">
        <f>Raw!E320+"h_l!)NC"</f>
        <v>#VALUE!</v>
      </c>
      <c r="HW199" t="e">
        <f>Raw!#REF!+"h_l!)ND"</f>
        <v>#REF!</v>
      </c>
      <c r="HX199" t="e">
        <f>Raw!G320+"h_l!)NE"</f>
        <v>#VALUE!</v>
      </c>
      <c r="HY199" t="e">
        <f>Raw!H320+"h_l!)NF"</f>
        <v>#VALUE!</v>
      </c>
      <c r="HZ199" t="e">
        <f>Raw!I320+"h_l!)NG"</f>
        <v>#VALUE!</v>
      </c>
      <c r="IA199" t="e">
        <f>Raw!J320+"h_l!)NH"</f>
        <v>#VALUE!</v>
      </c>
      <c r="IB199" t="e">
        <f>Raw!K320+"h_l!)NI"</f>
        <v>#VALUE!</v>
      </c>
      <c r="IC199" t="e">
        <f>Raw!L320+"h_l!)NJ"</f>
        <v>#VALUE!</v>
      </c>
      <c r="ID199" t="e">
        <f>Raw!M320+"h_l!)NK"</f>
        <v>#VALUE!</v>
      </c>
      <c r="IE199" t="e">
        <f>Raw!N320+"h_l!)NL"</f>
        <v>#VALUE!</v>
      </c>
      <c r="IF199" t="e">
        <f>Raw!O320+"h_l!)NM"</f>
        <v>#VALUE!</v>
      </c>
      <c r="IG199" t="e">
        <f>Raw!P320+"h_l!)NN"</f>
        <v>#VALUE!</v>
      </c>
      <c r="IH199" t="e">
        <f>Raw!Q320+"h_l!)NO"</f>
        <v>#VALUE!</v>
      </c>
      <c r="II199" t="e">
        <f>Raw!R320+"h_l!)NP"</f>
        <v>#VALUE!</v>
      </c>
      <c r="IJ199" t="e">
        <f>Raw!S320+"h_l!)NQ"</f>
        <v>#VALUE!</v>
      </c>
      <c r="IK199" t="e">
        <f>Raw!T320+"h_l!)NR"</f>
        <v>#VALUE!</v>
      </c>
      <c r="IL199" t="e">
        <f>Raw!U320+"h_l!)NS"</f>
        <v>#VALUE!</v>
      </c>
      <c r="IM199" t="e">
        <f>Raw!V320+"h_l!)NT"</f>
        <v>#VALUE!</v>
      </c>
      <c r="IN199" t="e">
        <f>Raw!W320+"h_l!)NU"</f>
        <v>#VALUE!</v>
      </c>
      <c r="IO199" t="e">
        <f>Raw!A321+"h_l!)NV"</f>
        <v>#VALUE!</v>
      </c>
      <c r="IP199" t="e">
        <f>Raw!B321+"h_l!)NW"</f>
        <v>#VALUE!</v>
      </c>
      <c r="IQ199" t="e">
        <f>Raw!C321+"h_l!)NX"</f>
        <v>#VALUE!</v>
      </c>
      <c r="IR199" t="e">
        <f>Raw!D321+"h_l!)NY"</f>
        <v>#VALUE!</v>
      </c>
      <c r="IS199" t="e">
        <f>Raw!E321+"h_l!)NZ"</f>
        <v>#VALUE!</v>
      </c>
      <c r="IT199" t="e">
        <f>Raw!#REF!+"h_l!)N["</f>
        <v>#REF!</v>
      </c>
      <c r="IU199" t="e">
        <f>Raw!G321+"h_l!)N\"</f>
        <v>#VALUE!</v>
      </c>
      <c r="IV199" t="e">
        <f>Raw!H321+"h_l!)N]"</f>
        <v>#VALUE!</v>
      </c>
    </row>
    <row r="200" spans="6:256" x14ac:dyDescent="0.25">
      <c r="F200" t="e">
        <f>Raw!I321+"h_l!)N^"</f>
        <v>#VALUE!</v>
      </c>
      <c r="G200" t="e">
        <f>Raw!J321+"h_l!)N_"</f>
        <v>#VALUE!</v>
      </c>
      <c r="H200" t="e">
        <f>Raw!K321+"h_l!)N`"</f>
        <v>#VALUE!</v>
      </c>
      <c r="I200" t="e">
        <f>Raw!L321+"h_l!)Na"</f>
        <v>#VALUE!</v>
      </c>
      <c r="J200" t="e">
        <f>Raw!M321+"h_l!)Nb"</f>
        <v>#VALUE!</v>
      </c>
      <c r="K200" t="e">
        <f>Raw!N321+"h_l!)Nc"</f>
        <v>#VALUE!</v>
      </c>
      <c r="L200" t="e">
        <f>Raw!O321+"h_l!)Nd"</f>
        <v>#VALUE!</v>
      </c>
      <c r="M200" t="e">
        <f>Raw!P321+"h_l!)Ne"</f>
        <v>#VALUE!</v>
      </c>
      <c r="N200" t="e">
        <f>Raw!Q321+"h_l!)Nf"</f>
        <v>#VALUE!</v>
      </c>
      <c r="O200" t="e">
        <f>Raw!R321+"h_l!)Ng"</f>
        <v>#VALUE!</v>
      </c>
      <c r="P200" t="e">
        <f>Raw!S321+"h_l!)Nh"</f>
        <v>#VALUE!</v>
      </c>
      <c r="Q200" t="e">
        <f>Raw!T321+"h_l!)Ni"</f>
        <v>#VALUE!</v>
      </c>
      <c r="R200" t="e">
        <f>Raw!U321+"h_l!)Nj"</f>
        <v>#VALUE!</v>
      </c>
      <c r="S200" t="e">
        <f>Raw!V321+"h_l!)Nk"</f>
        <v>#VALUE!</v>
      </c>
      <c r="T200" t="e">
        <f>Raw!W321+"h_l!)Nl"</f>
        <v>#VALUE!</v>
      </c>
      <c r="U200" t="e">
        <f>Raw!A322+"h_l!)Nm"</f>
        <v>#VALUE!</v>
      </c>
      <c r="V200" t="e">
        <f>Raw!B322+"h_l!)Nn"</f>
        <v>#VALUE!</v>
      </c>
      <c r="W200" t="e">
        <f>Raw!C322+"h_l!)No"</f>
        <v>#VALUE!</v>
      </c>
      <c r="X200" t="e">
        <f>Raw!D322+"h_l!)Np"</f>
        <v>#VALUE!</v>
      </c>
      <c r="Y200" t="e">
        <f>Raw!E322+"h_l!)Nq"</f>
        <v>#VALUE!</v>
      </c>
      <c r="Z200" t="e">
        <f>Raw!#REF!+"h_l!)Nr"</f>
        <v>#REF!</v>
      </c>
      <c r="AA200" t="e">
        <f>Raw!G322+"h_l!)Ns"</f>
        <v>#VALUE!</v>
      </c>
      <c r="AB200" t="e">
        <f>Raw!H322+"h_l!)Nt"</f>
        <v>#VALUE!</v>
      </c>
      <c r="AC200" t="e">
        <f>Raw!I322+"h_l!)Nu"</f>
        <v>#VALUE!</v>
      </c>
      <c r="AD200" t="e">
        <f>Raw!J322+"h_l!)Nv"</f>
        <v>#VALUE!</v>
      </c>
      <c r="AE200" t="e">
        <f>Raw!K322+"h_l!)Nw"</f>
        <v>#VALUE!</v>
      </c>
      <c r="AF200" t="e">
        <f>Raw!L322+"h_l!)Nx"</f>
        <v>#VALUE!</v>
      </c>
      <c r="AG200" t="e">
        <f>Raw!M322+"h_l!)Ny"</f>
        <v>#VALUE!</v>
      </c>
      <c r="AH200" t="e">
        <f>Raw!N322+"h_l!)Nz"</f>
        <v>#VALUE!</v>
      </c>
      <c r="AI200" t="e">
        <f>Raw!O322+"h_l!)N{"</f>
        <v>#VALUE!</v>
      </c>
      <c r="AJ200" t="e">
        <f>Raw!P322+"h_l!)N|"</f>
        <v>#VALUE!</v>
      </c>
      <c r="AK200" t="e">
        <f>Raw!Q322+"h_l!)N}"</f>
        <v>#VALUE!</v>
      </c>
      <c r="AL200" t="e">
        <f>Raw!R322+"h_l!)N~"</f>
        <v>#VALUE!</v>
      </c>
      <c r="AM200" t="e">
        <f>Raw!S322+"h_l!)O#"</f>
        <v>#VALUE!</v>
      </c>
      <c r="AN200" t="e">
        <f>Raw!T322+"h_l!)O$"</f>
        <v>#VALUE!</v>
      </c>
      <c r="AO200" t="e">
        <f>Raw!U322+"h_l!)O%"</f>
        <v>#VALUE!</v>
      </c>
      <c r="AP200" t="e">
        <f>Raw!V322+"h_l!)O&amp;"</f>
        <v>#VALUE!</v>
      </c>
      <c r="AQ200" t="e">
        <f>Raw!W322+"h_l!)O'"</f>
        <v>#VALUE!</v>
      </c>
      <c r="AR200" t="e">
        <f>Raw!A323+"h_l!)O("</f>
        <v>#VALUE!</v>
      </c>
      <c r="AS200" t="e">
        <f>Raw!B323+"h_l!)O)"</f>
        <v>#VALUE!</v>
      </c>
      <c r="AT200" t="e">
        <f>Raw!C323+"h_l!)O."</f>
        <v>#VALUE!</v>
      </c>
      <c r="AU200" t="e">
        <f>Raw!D323+"h_l!)O/"</f>
        <v>#VALUE!</v>
      </c>
      <c r="AV200" t="e">
        <f>Raw!E323+"h_l!)O0"</f>
        <v>#VALUE!</v>
      </c>
      <c r="AW200" t="e">
        <f>Raw!#REF!+"h_l!)O1"</f>
        <v>#REF!</v>
      </c>
      <c r="AX200" t="e">
        <f>Raw!G323+"h_l!)O2"</f>
        <v>#VALUE!</v>
      </c>
      <c r="AY200" t="e">
        <f>Raw!H323+"h_l!)O3"</f>
        <v>#VALUE!</v>
      </c>
      <c r="AZ200" t="e">
        <f>Raw!I323+"h_l!)O4"</f>
        <v>#VALUE!</v>
      </c>
      <c r="BA200" t="e">
        <f>Raw!J323+"h_l!)O5"</f>
        <v>#VALUE!</v>
      </c>
      <c r="BB200" t="e">
        <f>Raw!K323+"h_l!)O6"</f>
        <v>#VALUE!</v>
      </c>
      <c r="BC200" t="e">
        <f>Raw!L323+"h_l!)O7"</f>
        <v>#VALUE!</v>
      </c>
      <c r="BD200" t="e">
        <f>Raw!M323+"h_l!)O8"</f>
        <v>#VALUE!</v>
      </c>
      <c r="BE200" t="e">
        <f>Raw!N323+"h_l!)O9"</f>
        <v>#VALUE!</v>
      </c>
      <c r="BF200" t="e">
        <f>Raw!O323+"h_l!)O:"</f>
        <v>#VALUE!</v>
      </c>
      <c r="BG200" t="e">
        <f>Raw!P323+"h_l!)O;"</f>
        <v>#VALUE!</v>
      </c>
      <c r="BH200" t="e">
        <f>Raw!Q323+"h_l!)O&lt;"</f>
        <v>#VALUE!</v>
      </c>
      <c r="BI200" t="e">
        <f>Raw!R323+"h_l!)O="</f>
        <v>#VALUE!</v>
      </c>
      <c r="BJ200" t="e">
        <f>Raw!S323+"h_l!)O&gt;"</f>
        <v>#VALUE!</v>
      </c>
      <c r="BK200" t="e">
        <f>Raw!T323+"h_l!)O?"</f>
        <v>#VALUE!</v>
      </c>
      <c r="BL200" t="e">
        <f>Raw!U323+"h_l!)O@"</f>
        <v>#VALUE!</v>
      </c>
      <c r="BM200" t="e">
        <f>Raw!V323+"h_l!)OA"</f>
        <v>#VALUE!</v>
      </c>
      <c r="BN200" t="e">
        <f>Raw!W323+"h_l!)OB"</f>
        <v>#VALUE!</v>
      </c>
      <c r="BO200" t="e">
        <f>Raw!A324+"h_l!)OC"</f>
        <v>#VALUE!</v>
      </c>
      <c r="BP200" t="e">
        <f>Raw!B324+"h_l!)OD"</f>
        <v>#VALUE!</v>
      </c>
      <c r="BQ200" t="e">
        <f>Raw!C324+"h_l!)OE"</f>
        <v>#VALUE!</v>
      </c>
      <c r="BR200" t="e">
        <f>Raw!D324+"h_l!)OF"</f>
        <v>#VALUE!</v>
      </c>
      <c r="BS200" t="e">
        <f>Raw!E324+"h_l!)OG"</f>
        <v>#VALUE!</v>
      </c>
      <c r="BT200" t="e">
        <f>Raw!#REF!+"h_l!)OH"</f>
        <v>#REF!</v>
      </c>
      <c r="BU200" t="e">
        <f>Raw!G324+"h_l!)OI"</f>
        <v>#VALUE!</v>
      </c>
      <c r="BV200" t="e">
        <f>Raw!H324+"h_l!)OJ"</f>
        <v>#VALUE!</v>
      </c>
      <c r="BW200" t="e">
        <f>Raw!I324+"h_l!)OK"</f>
        <v>#VALUE!</v>
      </c>
      <c r="BX200" t="e">
        <f>Raw!J324+"h_l!)OL"</f>
        <v>#VALUE!</v>
      </c>
      <c r="BY200" t="e">
        <f>Raw!K324+"h_l!)OM"</f>
        <v>#VALUE!</v>
      </c>
      <c r="BZ200" t="e">
        <f>Raw!L324+"h_l!)ON"</f>
        <v>#VALUE!</v>
      </c>
      <c r="CA200" t="e">
        <f>Raw!M324+"h_l!)OO"</f>
        <v>#VALUE!</v>
      </c>
      <c r="CB200" t="e">
        <f>Raw!N324+"h_l!)OP"</f>
        <v>#VALUE!</v>
      </c>
      <c r="CC200" t="e">
        <f>Raw!O324+"h_l!)OQ"</f>
        <v>#VALUE!</v>
      </c>
      <c r="CD200" t="e">
        <f>Raw!P324+"h_l!)OR"</f>
        <v>#VALUE!</v>
      </c>
      <c r="CE200" t="e">
        <f>Raw!Q324+"h_l!)OS"</f>
        <v>#VALUE!</v>
      </c>
      <c r="CF200" t="e">
        <f>Raw!R324+"h_l!)OT"</f>
        <v>#VALUE!</v>
      </c>
      <c r="CG200" t="e">
        <f>Raw!S324+"h_l!)OU"</f>
        <v>#VALUE!</v>
      </c>
      <c r="CH200" t="e">
        <f>Raw!T324+"h_l!)OV"</f>
        <v>#VALUE!</v>
      </c>
      <c r="CI200" t="e">
        <f>Raw!U324+"h_l!)OW"</f>
        <v>#VALUE!</v>
      </c>
      <c r="CJ200" t="e">
        <f>Raw!V324+"h_l!)OX"</f>
        <v>#VALUE!</v>
      </c>
      <c r="CK200" t="e">
        <f>Raw!W324+"h_l!)OY"</f>
        <v>#VALUE!</v>
      </c>
      <c r="CL200" t="e">
        <f>Raw!A325+"h_l!)OZ"</f>
        <v>#VALUE!</v>
      </c>
      <c r="CM200" t="e">
        <f>Raw!B325+"h_l!)O["</f>
        <v>#VALUE!</v>
      </c>
      <c r="CN200" t="e">
        <f>Raw!C325+"h_l!)O\"</f>
        <v>#VALUE!</v>
      </c>
      <c r="CO200" t="e">
        <f>Raw!D325+"h_l!)O]"</f>
        <v>#VALUE!</v>
      </c>
      <c r="CP200" t="e">
        <f>Raw!E325+"h_l!)O^"</f>
        <v>#VALUE!</v>
      </c>
      <c r="CQ200" t="e">
        <f>Raw!#REF!+"h_l!)O_"</f>
        <v>#REF!</v>
      </c>
      <c r="CR200" t="e">
        <f>Raw!G325+"h_l!)O`"</f>
        <v>#VALUE!</v>
      </c>
      <c r="CS200" t="e">
        <f>Raw!H325+"h_l!)Oa"</f>
        <v>#VALUE!</v>
      </c>
      <c r="CT200" t="e">
        <f>Raw!I325+"h_l!)Ob"</f>
        <v>#VALUE!</v>
      </c>
      <c r="CU200" t="e">
        <f>Raw!J325+"h_l!)Oc"</f>
        <v>#VALUE!</v>
      </c>
      <c r="CV200" t="e">
        <f>Raw!K325+"h_l!)Od"</f>
        <v>#VALUE!</v>
      </c>
      <c r="CW200" t="e">
        <f>Raw!L325+"h_l!)Oe"</f>
        <v>#VALUE!</v>
      </c>
      <c r="CX200" t="e">
        <f>Raw!M325+"h_l!)Of"</f>
        <v>#VALUE!</v>
      </c>
      <c r="CY200" t="e">
        <f>Raw!N325+"h_l!)Og"</f>
        <v>#VALUE!</v>
      </c>
      <c r="CZ200" t="e">
        <f>Raw!O325+"h_l!)Oh"</f>
        <v>#VALUE!</v>
      </c>
      <c r="DA200" t="e">
        <f>Raw!P325+"h_l!)Oi"</f>
        <v>#VALUE!</v>
      </c>
      <c r="DB200" t="e">
        <f>Raw!Q325+"h_l!)Oj"</f>
        <v>#VALUE!</v>
      </c>
      <c r="DC200" t="e">
        <f>Raw!R325+"h_l!)Ok"</f>
        <v>#VALUE!</v>
      </c>
      <c r="DD200" t="e">
        <f>Raw!S325+"h_l!)Ol"</f>
        <v>#VALUE!</v>
      </c>
      <c r="DE200" t="e">
        <f>Raw!T325+"h_l!)Om"</f>
        <v>#VALUE!</v>
      </c>
      <c r="DF200" t="e">
        <f>Raw!U325+"h_l!)On"</f>
        <v>#VALUE!</v>
      </c>
      <c r="DG200" t="e">
        <f>Raw!V325+"h_l!)Oo"</f>
        <v>#VALUE!</v>
      </c>
      <c r="DH200" t="e">
        <f>Raw!W325+"h_l!)Op"</f>
        <v>#VALUE!</v>
      </c>
      <c r="DI200" t="e">
        <f>Raw!A326+"h_l!)Oq"</f>
        <v>#VALUE!</v>
      </c>
      <c r="DJ200" t="e">
        <f>Raw!B326+"h_l!)Or"</f>
        <v>#VALUE!</v>
      </c>
      <c r="DK200" t="e">
        <f>Raw!C326+"h_l!)Os"</f>
        <v>#VALUE!</v>
      </c>
      <c r="DL200" t="e">
        <f>Raw!D326+"h_l!)Ot"</f>
        <v>#VALUE!</v>
      </c>
      <c r="DM200" t="e">
        <f>Raw!E326+"h_l!)Ou"</f>
        <v>#VALUE!</v>
      </c>
      <c r="DN200" t="e">
        <f>Raw!#REF!+"h_l!)Ov"</f>
        <v>#REF!</v>
      </c>
      <c r="DO200" t="e">
        <f>Raw!G326+"h_l!)Ow"</f>
        <v>#VALUE!</v>
      </c>
      <c r="DP200" t="e">
        <f>Raw!H326+"h_l!)Ox"</f>
        <v>#VALUE!</v>
      </c>
      <c r="DQ200" t="e">
        <f>Raw!I326+"h_l!)Oy"</f>
        <v>#VALUE!</v>
      </c>
      <c r="DR200" t="e">
        <f>Raw!J326+"h_l!)Oz"</f>
        <v>#VALUE!</v>
      </c>
      <c r="DS200" t="e">
        <f>Raw!K326+"h_l!)O{"</f>
        <v>#VALUE!</v>
      </c>
      <c r="DT200" t="e">
        <f>Raw!L326+"h_l!)O|"</f>
        <v>#VALUE!</v>
      </c>
      <c r="DU200" t="e">
        <f>Raw!M326+"h_l!)O}"</f>
        <v>#VALUE!</v>
      </c>
      <c r="DV200" t="e">
        <f>Raw!N326+"h_l!)O~"</f>
        <v>#VALUE!</v>
      </c>
      <c r="DW200" t="e">
        <f>Raw!O326+"h_l!)P#"</f>
        <v>#VALUE!</v>
      </c>
      <c r="DX200" t="e">
        <f>Raw!P326+"h_l!)P$"</f>
        <v>#VALUE!</v>
      </c>
      <c r="DY200" t="e">
        <f>Raw!Q326+"h_l!)P%"</f>
        <v>#VALUE!</v>
      </c>
      <c r="DZ200" t="e">
        <f>Raw!R326+"h_l!)P&amp;"</f>
        <v>#VALUE!</v>
      </c>
      <c r="EA200" t="e">
        <f>Raw!S326+"h_l!)P'"</f>
        <v>#VALUE!</v>
      </c>
      <c r="EB200" t="e">
        <f>Raw!T326+"h_l!)P("</f>
        <v>#VALUE!</v>
      </c>
      <c r="EC200" t="e">
        <f>Raw!U326+"h_l!)P)"</f>
        <v>#VALUE!</v>
      </c>
      <c r="ED200" t="e">
        <f>Raw!V326+"h_l!)P."</f>
        <v>#VALUE!</v>
      </c>
      <c r="EE200" t="e">
        <f>Raw!W326+"h_l!)P/"</f>
        <v>#VALUE!</v>
      </c>
      <c r="EF200" t="e">
        <f>Raw!A327+"h_l!)P0"</f>
        <v>#VALUE!</v>
      </c>
      <c r="EG200" t="e">
        <f>Raw!B327+"h_l!)P1"</f>
        <v>#VALUE!</v>
      </c>
      <c r="EH200" t="e">
        <f>Raw!C327+"h_l!)P2"</f>
        <v>#VALUE!</v>
      </c>
      <c r="EI200" t="e">
        <f>Raw!D327+"h_l!)P3"</f>
        <v>#VALUE!</v>
      </c>
      <c r="EJ200" t="e">
        <f>Raw!E327+"h_l!)P4"</f>
        <v>#VALUE!</v>
      </c>
      <c r="EK200" t="e">
        <f>Raw!#REF!+"h_l!)P5"</f>
        <v>#REF!</v>
      </c>
      <c r="EL200" t="e">
        <f>Raw!G327+"h_l!)P6"</f>
        <v>#VALUE!</v>
      </c>
      <c r="EM200" t="e">
        <f>Raw!H327+"h_l!)P7"</f>
        <v>#VALUE!</v>
      </c>
      <c r="EN200" t="e">
        <f>Raw!I327+"h_l!)P8"</f>
        <v>#VALUE!</v>
      </c>
      <c r="EO200" t="e">
        <f>Raw!J327+"h_l!)P9"</f>
        <v>#VALUE!</v>
      </c>
      <c r="EP200" t="e">
        <f>Raw!K327+"h_l!)P:"</f>
        <v>#VALUE!</v>
      </c>
      <c r="EQ200" t="e">
        <f>Raw!L327+"h_l!)P;"</f>
        <v>#VALUE!</v>
      </c>
      <c r="ER200" t="e">
        <f>Raw!M327+"h_l!)P&lt;"</f>
        <v>#VALUE!</v>
      </c>
      <c r="ES200" t="e">
        <f>Raw!N327+"h_l!)P="</f>
        <v>#VALUE!</v>
      </c>
      <c r="ET200" t="e">
        <f>Raw!O327+"h_l!)P&gt;"</f>
        <v>#VALUE!</v>
      </c>
      <c r="EU200" t="e">
        <f>Raw!P327+"h_l!)P?"</f>
        <v>#VALUE!</v>
      </c>
      <c r="EV200" t="e">
        <f>Raw!Q327+"h_l!)P@"</f>
        <v>#VALUE!</v>
      </c>
      <c r="EW200" t="e">
        <f>Raw!R327+"h_l!)PA"</f>
        <v>#VALUE!</v>
      </c>
      <c r="EX200" t="e">
        <f>Raw!S327+"h_l!)PB"</f>
        <v>#VALUE!</v>
      </c>
      <c r="EY200" t="e">
        <f>Raw!T327+"h_l!)PC"</f>
        <v>#VALUE!</v>
      </c>
      <c r="EZ200" t="e">
        <f>Raw!U327+"h_l!)PD"</f>
        <v>#VALUE!</v>
      </c>
      <c r="FA200" t="e">
        <f>Raw!V327+"h_l!)PE"</f>
        <v>#VALUE!</v>
      </c>
      <c r="FB200" t="e">
        <f>Raw!W327+"h_l!)PF"</f>
        <v>#VALUE!</v>
      </c>
      <c r="FC200" t="e">
        <f>Raw!A328+"h_l!)PG"</f>
        <v>#VALUE!</v>
      </c>
      <c r="FD200" t="e">
        <f>Raw!B328+"h_l!)PH"</f>
        <v>#VALUE!</v>
      </c>
      <c r="FE200" t="e">
        <f>Raw!C328+"h_l!)PI"</f>
        <v>#VALUE!</v>
      </c>
      <c r="FF200" t="e">
        <f>Raw!D328+"h_l!)PJ"</f>
        <v>#VALUE!</v>
      </c>
      <c r="FG200" t="e">
        <f>Raw!E328+"h_l!)PK"</f>
        <v>#VALUE!</v>
      </c>
      <c r="FH200" t="e">
        <f>Raw!#REF!+"h_l!)PL"</f>
        <v>#REF!</v>
      </c>
      <c r="FI200" t="e">
        <f>Raw!G328+"h_l!)PM"</f>
        <v>#VALUE!</v>
      </c>
      <c r="FJ200" t="e">
        <f>Raw!H328+"h_l!)PN"</f>
        <v>#VALUE!</v>
      </c>
      <c r="FK200" t="e">
        <f>Raw!I328+"h_l!)PO"</f>
        <v>#VALUE!</v>
      </c>
      <c r="FL200" t="e">
        <f>Raw!J328+"h_l!)PP"</f>
        <v>#VALUE!</v>
      </c>
      <c r="FM200" t="e">
        <f>Raw!K328+"h_l!)PQ"</f>
        <v>#VALUE!</v>
      </c>
      <c r="FN200" t="e">
        <f>Raw!L328+"h_l!)PR"</f>
        <v>#VALUE!</v>
      </c>
      <c r="FO200" t="e">
        <f>Raw!M328+"h_l!)PS"</f>
        <v>#VALUE!</v>
      </c>
      <c r="FP200" t="e">
        <f>Raw!N328+"h_l!)PT"</f>
        <v>#VALUE!</v>
      </c>
      <c r="FQ200" t="e">
        <f>Raw!O328+"h_l!)PU"</f>
        <v>#VALUE!</v>
      </c>
      <c r="FR200" t="e">
        <f>Raw!P328+"h_l!)PV"</f>
        <v>#VALUE!</v>
      </c>
      <c r="FS200" t="e">
        <f>Raw!Q328+"h_l!)PW"</f>
        <v>#VALUE!</v>
      </c>
      <c r="FT200" t="e">
        <f>Raw!R328+"h_l!)PX"</f>
        <v>#VALUE!</v>
      </c>
      <c r="FU200" t="e">
        <f>Raw!S328+"h_l!)PY"</f>
        <v>#VALUE!</v>
      </c>
      <c r="FV200" t="e">
        <f>Raw!T328+"h_l!)PZ"</f>
        <v>#VALUE!</v>
      </c>
      <c r="FW200" t="e">
        <f>Raw!U328+"h_l!)P["</f>
        <v>#VALUE!</v>
      </c>
      <c r="FX200" t="e">
        <f>Raw!V328+"h_l!)P\"</f>
        <v>#VALUE!</v>
      </c>
      <c r="FY200" t="e">
        <f>Raw!W328+"h_l!)P]"</f>
        <v>#VALUE!</v>
      </c>
      <c r="FZ200" t="e">
        <f>Raw!A329+"h_l!)P^"</f>
        <v>#VALUE!</v>
      </c>
      <c r="GA200" t="e">
        <f>Raw!B329+"h_l!)P_"</f>
        <v>#VALUE!</v>
      </c>
      <c r="GB200" t="e">
        <f>Raw!C329+"h_l!)P`"</f>
        <v>#VALUE!</v>
      </c>
      <c r="GC200" t="e">
        <f>Raw!D329+"h_l!)Pa"</f>
        <v>#VALUE!</v>
      </c>
      <c r="GD200" t="e">
        <f>Raw!E329+"h_l!)Pb"</f>
        <v>#VALUE!</v>
      </c>
      <c r="GE200" t="e">
        <f>Raw!#REF!+"h_l!)Pc"</f>
        <v>#REF!</v>
      </c>
      <c r="GF200" t="e">
        <f>Raw!G329+"h_l!)Pd"</f>
        <v>#VALUE!</v>
      </c>
      <c r="GG200" t="e">
        <f>Raw!H329+"h_l!)Pe"</f>
        <v>#VALUE!</v>
      </c>
      <c r="GH200" t="e">
        <f>Raw!I329+"h_l!)Pf"</f>
        <v>#VALUE!</v>
      </c>
      <c r="GI200" t="e">
        <f>Raw!J329+"h_l!)Pg"</f>
        <v>#VALUE!</v>
      </c>
      <c r="GJ200" t="e">
        <f>Raw!K329+"h_l!)Ph"</f>
        <v>#VALUE!</v>
      </c>
      <c r="GK200" t="e">
        <f>Raw!L329+"h_l!)Pi"</f>
        <v>#VALUE!</v>
      </c>
      <c r="GL200" t="e">
        <f>Raw!M329+"h_l!)Pj"</f>
        <v>#VALUE!</v>
      </c>
      <c r="GM200" t="e">
        <f>Raw!N329+"h_l!)Pk"</f>
        <v>#VALUE!</v>
      </c>
      <c r="GN200" t="e">
        <f>Raw!O329+"h_l!)Pl"</f>
        <v>#VALUE!</v>
      </c>
      <c r="GO200" t="e">
        <f>Raw!P329+"h_l!)Pm"</f>
        <v>#VALUE!</v>
      </c>
      <c r="GP200" t="e">
        <f>Raw!Q329+"h_l!)Pn"</f>
        <v>#VALUE!</v>
      </c>
      <c r="GQ200" t="e">
        <f>Raw!R329+"h_l!)Po"</f>
        <v>#VALUE!</v>
      </c>
      <c r="GR200" t="e">
        <f>Raw!S329+"h_l!)Pp"</f>
        <v>#VALUE!</v>
      </c>
      <c r="GS200" t="e">
        <f>Raw!T329+"h_l!)Pq"</f>
        <v>#VALUE!</v>
      </c>
      <c r="GT200" t="e">
        <f>Raw!U329+"h_l!)Pr"</f>
        <v>#VALUE!</v>
      </c>
      <c r="GU200" t="e">
        <f>Raw!V329+"h_l!)Ps"</f>
        <v>#VALUE!</v>
      </c>
      <c r="GV200" t="e">
        <f>Raw!W329+"h_l!)Pt"</f>
        <v>#VALUE!</v>
      </c>
      <c r="GW200" t="e">
        <f>Raw!A330+"h_l!)Pu"</f>
        <v>#VALUE!</v>
      </c>
      <c r="GX200" t="e">
        <f>Raw!B330+"h_l!)Pv"</f>
        <v>#VALUE!</v>
      </c>
      <c r="GY200" t="e">
        <f>Raw!C330+"h_l!)Pw"</f>
        <v>#VALUE!</v>
      </c>
      <c r="GZ200" t="e">
        <f>Raw!D330+"h_l!)Px"</f>
        <v>#VALUE!</v>
      </c>
      <c r="HA200" t="e">
        <f>Raw!E330+"h_l!)Py"</f>
        <v>#VALUE!</v>
      </c>
      <c r="HB200" t="e">
        <f>Raw!#REF!+"h_l!)Pz"</f>
        <v>#REF!</v>
      </c>
      <c r="HC200" t="e">
        <f>Raw!G330+"h_l!)P{"</f>
        <v>#VALUE!</v>
      </c>
      <c r="HD200" t="e">
        <f>Raw!H330+"h_l!)P|"</f>
        <v>#VALUE!</v>
      </c>
      <c r="HE200" t="e">
        <f>Raw!I330+"h_l!)P}"</f>
        <v>#VALUE!</v>
      </c>
      <c r="HF200" t="e">
        <f>Raw!J330+"h_l!)P~"</f>
        <v>#VALUE!</v>
      </c>
      <c r="HG200" t="e">
        <f>Raw!K330+"h_l!)Q#"</f>
        <v>#VALUE!</v>
      </c>
      <c r="HH200" t="e">
        <f>Raw!L330+"h_l!)Q$"</f>
        <v>#VALUE!</v>
      </c>
      <c r="HI200" t="e">
        <f>Raw!M330+"h_l!)Q%"</f>
        <v>#VALUE!</v>
      </c>
      <c r="HJ200" t="e">
        <f>Raw!N330+"h_l!)Q&amp;"</f>
        <v>#VALUE!</v>
      </c>
      <c r="HK200" t="e">
        <f>Raw!O330+"h_l!)Q'"</f>
        <v>#VALUE!</v>
      </c>
      <c r="HL200" t="e">
        <f>Raw!P330+"h_l!)Q("</f>
        <v>#VALUE!</v>
      </c>
      <c r="HM200" t="e">
        <f>Raw!Q330+"h_l!)Q)"</f>
        <v>#VALUE!</v>
      </c>
      <c r="HN200" t="e">
        <f>Raw!R330+"h_l!)Q."</f>
        <v>#VALUE!</v>
      </c>
      <c r="HO200" t="e">
        <f>Raw!S330+"h_l!)Q/"</f>
        <v>#VALUE!</v>
      </c>
      <c r="HP200" t="e">
        <f>Raw!T330+"h_l!)Q0"</f>
        <v>#VALUE!</v>
      </c>
      <c r="HQ200" t="e">
        <f>Raw!U330+"h_l!)Q1"</f>
        <v>#VALUE!</v>
      </c>
      <c r="HR200" t="e">
        <f>Raw!V330+"h_l!)Q2"</f>
        <v>#VALUE!</v>
      </c>
      <c r="HS200" t="e">
        <f>Raw!W330+"h_l!)Q3"</f>
        <v>#VALUE!</v>
      </c>
      <c r="HT200" t="e">
        <f>Raw!A331+"h_l!)Q4"</f>
        <v>#VALUE!</v>
      </c>
      <c r="HU200" t="e">
        <f>Raw!B331+"h_l!)Q5"</f>
        <v>#VALUE!</v>
      </c>
      <c r="HV200" t="e">
        <f>Raw!C331+"h_l!)Q6"</f>
        <v>#VALUE!</v>
      </c>
      <c r="HW200" t="e">
        <f>Raw!D331+"h_l!)Q7"</f>
        <v>#VALUE!</v>
      </c>
      <c r="HX200" t="e">
        <f>Raw!E331+"h_l!)Q8"</f>
        <v>#VALUE!</v>
      </c>
      <c r="HY200" t="e">
        <f>Raw!#REF!+"h_l!)Q9"</f>
        <v>#REF!</v>
      </c>
      <c r="HZ200" t="e">
        <f>Raw!G331+"h_l!)Q:"</f>
        <v>#VALUE!</v>
      </c>
      <c r="IA200" t="e">
        <f>Raw!H331+"h_l!)Q;"</f>
        <v>#VALUE!</v>
      </c>
      <c r="IB200" t="e">
        <f>Raw!I331+"h_l!)Q&lt;"</f>
        <v>#VALUE!</v>
      </c>
      <c r="IC200" t="e">
        <f>Raw!J331+"h_l!)Q="</f>
        <v>#VALUE!</v>
      </c>
      <c r="ID200" t="e">
        <f>Raw!K331+"h_l!)Q&gt;"</f>
        <v>#VALUE!</v>
      </c>
      <c r="IE200" t="e">
        <f>Raw!L331+"h_l!)Q?"</f>
        <v>#VALUE!</v>
      </c>
      <c r="IF200" t="e">
        <f>Raw!M331+"h_l!)Q@"</f>
        <v>#VALUE!</v>
      </c>
      <c r="IG200" t="e">
        <f>Raw!N331+"h_l!)QA"</f>
        <v>#VALUE!</v>
      </c>
      <c r="IH200" t="e">
        <f>Raw!O331+"h_l!)QB"</f>
        <v>#VALUE!</v>
      </c>
      <c r="II200" t="e">
        <f>Raw!P331+"h_l!)QC"</f>
        <v>#VALUE!</v>
      </c>
      <c r="IJ200" t="e">
        <f>Raw!Q331+"h_l!)QD"</f>
        <v>#VALUE!</v>
      </c>
      <c r="IK200" t="e">
        <f>Raw!R331+"h_l!)QE"</f>
        <v>#VALUE!</v>
      </c>
      <c r="IL200" t="e">
        <f>Raw!S331+"h_l!)QF"</f>
        <v>#VALUE!</v>
      </c>
      <c r="IM200" t="e">
        <f>Raw!T331+"h_l!)QG"</f>
        <v>#VALUE!</v>
      </c>
      <c r="IN200" t="e">
        <f>Raw!U331+"h_l!)QH"</f>
        <v>#VALUE!</v>
      </c>
      <c r="IO200" t="e">
        <f>Raw!V331+"h_l!)QI"</f>
        <v>#VALUE!</v>
      </c>
      <c r="IP200" t="e">
        <f>Raw!W331+"h_l!)QJ"</f>
        <v>#VALUE!</v>
      </c>
      <c r="IQ200" t="e">
        <f>Raw!A332+"h_l!)QK"</f>
        <v>#VALUE!</v>
      </c>
      <c r="IR200" t="e">
        <f>Raw!B332+"h_l!)QL"</f>
        <v>#VALUE!</v>
      </c>
      <c r="IS200" t="e">
        <f>Raw!C332+"h_l!)QM"</f>
        <v>#VALUE!</v>
      </c>
      <c r="IT200" t="e">
        <f>Raw!D332+"h_l!)QN"</f>
        <v>#VALUE!</v>
      </c>
      <c r="IU200" t="e">
        <f>Raw!E332+"h_l!)QO"</f>
        <v>#VALUE!</v>
      </c>
      <c r="IV200" t="e">
        <f>Raw!#REF!+"h_l!)QP"</f>
        <v>#REF!</v>
      </c>
    </row>
    <row r="201" spans="6:256" x14ac:dyDescent="0.25">
      <c r="F201" t="e">
        <f>Raw!G332+"h_l!)QQ"</f>
        <v>#VALUE!</v>
      </c>
      <c r="G201" t="e">
        <f>Raw!H332+"h_l!)QR"</f>
        <v>#VALUE!</v>
      </c>
      <c r="H201" t="e">
        <f>Raw!I332+"h_l!)QS"</f>
        <v>#VALUE!</v>
      </c>
      <c r="I201" t="e">
        <f>Raw!J332+"h_l!)QT"</f>
        <v>#VALUE!</v>
      </c>
      <c r="J201" t="e">
        <f>Raw!K332+"h_l!)QU"</f>
        <v>#VALUE!</v>
      </c>
      <c r="K201" t="e">
        <f>Raw!L332+"h_l!)QV"</f>
        <v>#VALUE!</v>
      </c>
      <c r="L201" t="e">
        <f>Raw!M332+"h_l!)QW"</f>
        <v>#VALUE!</v>
      </c>
      <c r="M201" t="e">
        <f>Raw!N332+"h_l!)QX"</f>
        <v>#VALUE!</v>
      </c>
      <c r="N201" t="e">
        <f>Raw!O332+"h_l!)QY"</f>
        <v>#VALUE!</v>
      </c>
      <c r="O201" t="e">
        <f>Raw!P332+"h_l!)QZ"</f>
        <v>#VALUE!</v>
      </c>
      <c r="P201" t="e">
        <f>Raw!Q332+"h_l!)Q["</f>
        <v>#VALUE!</v>
      </c>
      <c r="Q201" t="e">
        <f>Raw!R332+"h_l!)Q\"</f>
        <v>#VALUE!</v>
      </c>
      <c r="R201" t="e">
        <f>Raw!S332+"h_l!)Q]"</f>
        <v>#VALUE!</v>
      </c>
      <c r="S201" t="e">
        <f>Raw!T332+"h_l!)Q^"</f>
        <v>#VALUE!</v>
      </c>
      <c r="T201" t="e">
        <f>Raw!U332+"h_l!)Q_"</f>
        <v>#VALUE!</v>
      </c>
      <c r="U201" t="e">
        <f>Raw!V332+"h_l!)Q`"</f>
        <v>#VALUE!</v>
      </c>
      <c r="V201" t="e">
        <f>Raw!W332+"h_l!)Qa"</f>
        <v>#VALUE!</v>
      </c>
      <c r="W201" t="e">
        <f>Raw!A333+"h_l!)Qb"</f>
        <v>#VALUE!</v>
      </c>
      <c r="X201" t="e">
        <f>Raw!B333+"h_l!)Qc"</f>
        <v>#VALUE!</v>
      </c>
      <c r="Y201" t="e">
        <f>Raw!C333+"h_l!)Qd"</f>
        <v>#VALUE!</v>
      </c>
      <c r="Z201" t="e">
        <f>Raw!D333+"h_l!)Qe"</f>
        <v>#VALUE!</v>
      </c>
      <c r="AA201" t="e">
        <f>Raw!E333+"h_l!)Qf"</f>
        <v>#VALUE!</v>
      </c>
      <c r="AB201" t="e">
        <f>Raw!#REF!+"h_l!)Qg"</f>
        <v>#REF!</v>
      </c>
      <c r="AC201" t="e">
        <f>Raw!G333+"h_l!)Qh"</f>
        <v>#VALUE!</v>
      </c>
      <c r="AD201" t="e">
        <f>Raw!H333+"h_l!)Qi"</f>
        <v>#VALUE!</v>
      </c>
      <c r="AE201" t="e">
        <f>Raw!I333+"h_l!)Qj"</f>
        <v>#VALUE!</v>
      </c>
      <c r="AF201" t="e">
        <f>Raw!J333+"h_l!)Qk"</f>
        <v>#VALUE!</v>
      </c>
      <c r="AG201" t="e">
        <f>Raw!K333+"h_l!)Ql"</f>
        <v>#VALUE!</v>
      </c>
      <c r="AH201" t="e">
        <f>Raw!L333+"h_l!)Qm"</f>
        <v>#VALUE!</v>
      </c>
      <c r="AI201" t="e">
        <f>Raw!M333+"h_l!)Qn"</f>
        <v>#VALUE!</v>
      </c>
      <c r="AJ201" t="e">
        <f>Raw!N333+"h_l!)Qo"</f>
        <v>#VALUE!</v>
      </c>
      <c r="AK201" t="e">
        <f>Raw!O333+"h_l!)Qp"</f>
        <v>#VALUE!</v>
      </c>
      <c r="AL201" t="e">
        <f>Raw!P333+"h_l!)Qq"</f>
        <v>#VALUE!</v>
      </c>
      <c r="AM201" t="e">
        <f>Raw!Q333+"h_l!)Qr"</f>
        <v>#VALUE!</v>
      </c>
      <c r="AN201" t="e">
        <f>Raw!R333+"h_l!)Qs"</f>
        <v>#VALUE!</v>
      </c>
      <c r="AO201" t="e">
        <f>Raw!S333+"h_l!)Qt"</f>
        <v>#VALUE!</v>
      </c>
      <c r="AP201" t="e">
        <f>Raw!T333+"h_l!)Qu"</f>
        <v>#VALUE!</v>
      </c>
      <c r="AQ201" t="e">
        <f>Raw!U333+"h_l!)Qv"</f>
        <v>#VALUE!</v>
      </c>
      <c r="AR201" t="e">
        <f>Raw!V333+"h_l!)Qw"</f>
        <v>#VALUE!</v>
      </c>
      <c r="AS201" t="e">
        <f>Raw!W333+"h_l!)Qx"</f>
        <v>#VALUE!</v>
      </c>
      <c r="AT201" t="e">
        <f>Raw!A334+"h_l!)Qy"</f>
        <v>#VALUE!</v>
      </c>
      <c r="AU201" t="e">
        <f>Raw!B334+"h_l!)Qz"</f>
        <v>#VALUE!</v>
      </c>
      <c r="AV201" t="e">
        <f>Raw!C334+"h_l!)Q{"</f>
        <v>#VALUE!</v>
      </c>
      <c r="AW201" t="e">
        <f>Raw!D334+"h_l!)Q|"</f>
        <v>#VALUE!</v>
      </c>
      <c r="AX201" t="e">
        <f>Raw!E334+"h_l!)Q}"</f>
        <v>#VALUE!</v>
      </c>
      <c r="AY201" t="e">
        <f>Raw!#REF!+"h_l!)Q~"</f>
        <v>#REF!</v>
      </c>
      <c r="AZ201" t="e">
        <f>Raw!G334+"h_l!)R#"</f>
        <v>#VALUE!</v>
      </c>
      <c r="BA201" t="e">
        <f>Raw!H334+"h_l!)R$"</f>
        <v>#VALUE!</v>
      </c>
      <c r="BB201" t="e">
        <f>Raw!I334+"h_l!)R%"</f>
        <v>#VALUE!</v>
      </c>
      <c r="BC201" t="e">
        <f>Raw!J334+"h_l!)R&amp;"</f>
        <v>#VALUE!</v>
      </c>
      <c r="BD201" t="e">
        <f>Raw!K334+"h_l!)R'"</f>
        <v>#VALUE!</v>
      </c>
      <c r="BE201" t="e">
        <f>Raw!L334+"h_l!)R("</f>
        <v>#VALUE!</v>
      </c>
      <c r="BF201" t="e">
        <f>Raw!M334+"h_l!)R)"</f>
        <v>#VALUE!</v>
      </c>
      <c r="BG201" t="e">
        <f>Raw!N334+"h_l!)R."</f>
        <v>#VALUE!</v>
      </c>
      <c r="BH201" t="e">
        <f>Raw!O334+"h_l!)R/"</f>
        <v>#VALUE!</v>
      </c>
      <c r="BI201" t="e">
        <f>Raw!P334+"h_l!)R0"</f>
        <v>#VALUE!</v>
      </c>
      <c r="BJ201" t="e">
        <f>Raw!Q334+"h_l!)R1"</f>
        <v>#VALUE!</v>
      </c>
      <c r="BK201" t="e">
        <f>Raw!R334+"h_l!)R2"</f>
        <v>#VALUE!</v>
      </c>
      <c r="BL201" t="e">
        <f>Raw!S334+"h_l!)R3"</f>
        <v>#VALUE!</v>
      </c>
      <c r="BM201" t="e">
        <f>Raw!T334+"h_l!)R4"</f>
        <v>#VALUE!</v>
      </c>
      <c r="BN201" t="e">
        <f>Raw!U334+"h_l!)R5"</f>
        <v>#VALUE!</v>
      </c>
      <c r="BO201" t="e">
        <f>Raw!V334+"h_l!)R6"</f>
        <v>#VALUE!</v>
      </c>
      <c r="BP201" t="e">
        <f>Raw!W334+"h_l!)R7"</f>
        <v>#VALUE!</v>
      </c>
      <c r="BQ201" t="e">
        <f>Raw!A335+"h_l!)R8"</f>
        <v>#VALUE!</v>
      </c>
      <c r="BR201" t="e">
        <f>Raw!B335+"h_l!)R9"</f>
        <v>#VALUE!</v>
      </c>
      <c r="BS201" t="e">
        <f>Raw!C335+"h_l!)R:"</f>
        <v>#VALUE!</v>
      </c>
      <c r="BT201" t="e">
        <f>Raw!D335+"h_l!)R;"</f>
        <v>#VALUE!</v>
      </c>
      <c r="BU201" t="e">
        <f>Raw!E335+"h_l!)R&lt;"</f>
        <v>#VALUE!</v>
      </c>
      <c r="BV201" t="e">
        <f>Raw!#REF!+"h_l!)R="</f>
        <v>#REF!</v>
      </c>
      <c r="BW201" t="e">
        <f>Raw!G335+"h_l!)R&gt;"</f>
        <v>#VALUE!</v>
      </c>
      <c r="BX201" t="e">
        <f>Raw!H335+"h_l!)R?"</f>
        <v>#VALUE!</v>
      </c>
      <c r="BY201" t="e">
        <f>Raw!I335+"h_l!)R@"</f>
        <v>#VALUE!</v>
      </c>
      <c r="BZ201" t="e">
        <f>Raw!J335+"h_l!)RA"</f>
        <v>#VALUE!</v>
      </c>
      <c r="CA201" t="e">
        <f>Raw!K335+"h_l!)RB"</f>
        <v>#VALUE!</v>
      </c>
      <c r="CB201" t="e">
        <f>Raw!L335+"h_l!)RC"</f>
        <v>#VALUE!</v>
      </c>
      <c r="CC201" t="e">
        <f>Raw!M335+"h_l!)RD"</f>
        <v>#VALUE!</v>
      </c>
      <c r="CD201" t="e">
        <f>Raw!N335+"h_l!)RE"</f>
        <v>#VALUE!</v>
      </c>
      <c r="CE201" t="e">
        <f>Raw!O335+"h_l!)RF"</f>
        <v>#VALUE!</v>
      </c>
      <c r="CF201" t="e">
        <f>Raw!P335+"h_l!)RG"</f>
        <v>#VALUE!</v>
      </c>
      <c r="CG201" t="e">
        <f>Raw!Q335+"h_l!)RH"</f>
        <v>#VALUE!</v>
      </c>
      <c r="CH201" t="e">
        <f>Raw!R335+"h_l!)RI"</f>
        <v>#VALUE!</v>
      </c>
      <c r="CI201" t="e">
        <f>Raw!S335+"h_l!)RJ"</f>
        <v>#VALUE!</v>
      </c>
      <c r="CJ201" t="e">
        <f>Raw!T335+"h_l!)RK"</f>
        <v>#VALUE!</v>
      </c>
      <c r="CK201" t="e">
        <f>Raw!U335+"h_l!)RL"</f>
        <v>#VALUE!</v>
      </c>
      <c r="CL201" t="e">
        <f>Raw!V335+"h_l!)RM"</f>
        <v>#VALUE!</v>
      </c>
      <c r="CM201" t="e">
        <f>Raw!W335+"h_l!)RN"</f>
        <v>#VALUE!</v>
      </c>
      <c r="CN201" t="e">
        <f>Raw!A336+"h_l!)RO"</f>
        <v>#VALUE!</v>
      </c>
      <c r="CO201" t="e">
        <f>Raw!B336+"h_l!)RP"</f>
        <v>#VALUE!</v>
      </c>
      <c r="CP201" t="e">
        <f>Raw!C336+"h_l!)RQ"</f>
        <v>#VALUE!</v>
      </c>
      <c r="CQ201" t="e">
        <f>Raw!D336+"h_l!)RR"</f>
        <v>#VALUE!</v>
      </c>
      <c r="CR201" t="e">
        <f>Raw!E336+"h_l!)RS"</f>
        <v>#VALUE!</v>
      </c>
      <c r="CS201" t="e">
        <f>Raw!#REF!+"h_l!)RT"</f>
        <v>#REF!</v>
      </c>
      <c r="CT201" t="e">
        <f>Raw!G336+"h_l!)RU"</f>
        <v>#VALUE!</v>
      </c>
      <c r="CU201" t="e">
        <f>Raw!H336+"h_l!)RV"</f>
        <v>#VALUE!</v>
      </c>
      <c r="CV201" t="e">
        <f>Raw!I336+"h_l!)RW"</f>
        <v>#VALUE!</v>
      </c>
      <c r="CW201" t="e">
        <f>Raw!J336+"h_l!)RX"</f>
        <v>#VALUE!</v>
      </c>
      <c r="CX201" t="e">
        <f>Raw!K336+"h_l!)RY"</f>
        <v>#VALUE!</v>
      </c>
      <c r="CY201" t="e">
        <f>Raw!L336+"h_l!)RZ"</f>
        <v>#VALUE!</v>
      </c>
      <c r="CZ201" t="e">
        <f>Raw!M336+"h_l!)R["</f>
        <v>#VALUE!</v>
      </c>
      <c r="DA201" t="e">
        <f>Raw!N336+"h_l!)R\"</f>
        <v>#VALUE!</v>
      </c>
      <c r="DB201" t="e">
        <f>Raw!O336+"h_l!)R]"</f>
        <v>#VALUE!</v>
      </c>
      <c r="DC201" t="e">
        <f>Raw!P336+"h_l!)R^"</f>
        <v>#VALUE!</v>
      </c>
      <c r="DD201" t="e">
        <f>Raw!Q336+"h_l!)R_"</f>
        <v>#VALUE!</v>
      </c>
      <c r="DE201" t="e">
        <f>Raw!R336+"h_l!)R`"</f>
        <v>#VALUE!</v>
      </c>
      <c r="DF201" t="e">
        <f>Raw!S336+"h_l!)Ra"</f>
        <v>#VALUE!</v>
      </c>
      <c r="DG201" t="e">
        <f>Raw!T336+"h_l!)Rb"</f>
        <v>#VALUE!</v>
      </c>
      <c r="DH201" t="e">
        <f>Raw!U336+"h_l!)Rc"</f>
        <v>#VALUE!</v>
      </c>
      <c r="DI201" t="e">
        <f>Raw!V336+"h_l!)Rd"</f>
        <v>#VALUE!</v>
      </c>
      <c r="DJ201" t="e">
        <f>Raw!W336+"h_l!)Re"</f>
        <v>#VALUE!</v>
      </c>
      <c r="DK201" t="e">
        <f>Raw!A337+"h_l!)Rf"</f>
        <v>#VALUE!</v>
      </c>
      <c r="DL201" t="e">
        <f>Raw!B337+"h_l!)Rg"</f>
        <v>#VALUE!</v>
      </c>
      <c r="DM201" t="e">
        <f>Raw!C337+"h_l!)Rh"</f>
        <v>#VALUE!</v>
      </c>
      <c r="DN201" t="e">
        <f>Raw!D337+"h_l!)Ri"</f>
        <v>#VALUE!</v>
      </c>
      <c r="DO201" t="e">
        <f>Raw!E337+"h_l!)Rj"</f>
        <v>#VALUE!</v>
      </c>
      <c r="DP201" t="e">
        <f>Raw!#REF!+"h_l!)Rk"</f>
        <v>#REF!</v>
      </c>
      <c r="DQ201" t="e">
        <f>Raw!G337+"h_l!)Rl"</f>
        <v>#VALUE!</v>
      </c>
      <c r="DR201" t="e">
        <f>Raw!H337+"h_l!)Rm"</f>
        <v>#VALUE!</v>
      </c>
      <c r="DS201" t="e">
        <f>Raw!I337+"h_l!)Rn"</f>
        <v>#VALUE!</v>
      </c>
      <c r="DT201" t="e">
        <f>Raw!J337+"h_l!)Ro"</f>
        <v>#VALUE!</v>
      </c>
      <c r="DU201" t="e">
        <f>Raw!K337+"h_l!)Rp"</f>
        <v>#VALUE!</v>
      </c>
      <c r="DV201" t="e">
        <f>Raw!L337+"h_l!)Rq"</f>
        <v>#VALUE!</v>
      </c>
      <c r="DW201" t="e">
        <f>Raw!M337+"h_l!)Rr"</f>
        <v>#VALUE!</v>
      </c>
      <c r="DX201" t="e">
        <f>Raw!N337+"h_l!)Rs"</f>
        <v>#VALUE!</v>
      </c>
      <c r="DY201" t="e">
        <f>Raw!O337+"h_l!)Rt"</f>
        <v>#VALUE!</v>
      </c>
      <c r="DZ201" t="e">
        <f>Raw!P337+"h_l!)Ru"</f>
        <v>#VALUE!</v>
      </c>
      <c r="EA201" t="e">
        <f>Raw!Q337+"h_l!)Rv"</f>
        <v>#VALUE!</v>
      </c>
      <c r="EB201" t="e">
        <f>Raw!R337+"h_l!)Rw"</f>
        <v>#VALUE!</v>
      </c>
      <c r="EC201" t="e">
        <f>Raw!S337+"h_l!)Rx"</f>
        <v>#VALUE!</v>
      </c>
      <c r="ED201" t="e">
        <f>Raw!T337+"h_l!)Ry"</f>
        <v>#VALUE!</v>
      </c>
      <c r="EE201" t="e">
        <f>Raw!U337+"h_l!)Rz"</f>
        <v>#VALUE!</v>
      </c>
      <c r="EF201" t="e">
        <f>Raw!V337+"h_l!)R{"</f>
        <v>#VALUE!</v>
      </c>
      <c r="EG201" t="e">
        <f>Raw!W337+"h_l!)R|"</f>
        <v>#VALUE!</v>
      </c>
      <c r="EH201" t="e">
        <f>Raw!A338+"h_l!)R}"</f>
        <v>#VALUE!</v>
      </c>
      <c r="EI201" t="e">
        <f>Raw!B338+"h_l!)R~"</f>
        <v>#VALUE!</v>
      </c>
      <c r="EJ201" t="e">
        <f>Raw!C338+"h_l!)S#"</f>
        <v>#VALUE!</v>
      </c>
      <c r="EK201" t="e">
        <f>Raw!D338+"h_l!)S$"</f>
        <v>#VALUE!</v>
      </c>
      <c r="EL201" t="e">
        <f>Raw!E338+"h_l!)S%"</f>
        <v>#VALUE!</v>
      </c>
      <c r="EM201" t="e">
        <f>Raw!#REF!+"h_l!)S&amp;"</f>
        <v>#REF!</v>
      </c>
      <c r="EN201" t="e">
        <f>Raw!G338+"h_l!)S'"</f>
        <v>#VALUE!</v>
      </c>
      <c r="EO201" t="e">
        <f>Raw!H338+"h_l!)S("</f>
        <v>#VALUE!</v>
      </c>
      <c r="EP201" t="e">
        <f>Raw!I338+"h_l!)S)"</f>
        <v>#VALUE!</v>
      </c>
      <c r="EQ201" t="e">
        <f>Raw!J338+"h_l!)S."</f>
        <v>#VALUE!</v>
      </c>
      <c r="ER201" t="e">
        <f>Raw!K338+"h_l!)S/"</f>
        <v>#VALUE!</v>
      </c>
      <c r="ES201" t="e">
        <f>Raw!L338+"h_l!)S0"</f>
        <v>#VALUE!</v>
      </c>
      <c r="ET201" t="e">
        <f>Raw!M338+"h_l!)S1"</f>
        <v>#VALUE!</v>
      </c>
      <c r="EU201" t="e">
        <f>Raw!N338+"h_l!)S2"</f>
        <v>#VALUE!</v>
      </c>
      <c r="EV201" t="e">
        <f>Raw!O338+"h_l!)S3"</f>
        <v>#VALUE!</v>
      </c>
      <c r="EW201" t="e">
        <f>Raw!P338+"h_l!)S4"</f>
        <v>#VALUE!</v>
      </c>
      <c r="EX201" t="e">
        <f>Raw!Q338+"h_l!)S5"</f>
        <v>#VALUE!</v>
      </c>
      <c r="EY201" t="e">
        <f>Raw!R338+"h_l!)S6"</f>
        <v>#VALUE!</v>
      </c>
      <c r="EZ201" t="e">
        <f>Raw!S338+"h_l!)S7"</f>
        <v>#VALUE!</v>
      </c>
      <c r="FA201" t="e">
        <f>Raw!T338+"h_l!)S8"</f>
        <v>#VALUE!</v>
      </c>
      <c r="FB201" t="e">
        <f>Raw!U338+"h_l!)S9"</f>
        <v>#VALUE!</v>
      </c>
      <c r="FC201" t="e">
        <f>Raw!V338+"h_l!)S:"</f>
        <v>#VALUE!</v>
      </c>
      <c r="FD201" t="e">
        <f>Raw!W338+"h_l!)S;"</f>
        <v>#VALUE!</v>
      </c>
      <c r="FE201" t="e">
        <f>Raw!A339+"h_l!)S&lt;"</f>
        <v>#VALUE!</v>
      </c>
      <c r="FF201" t="e">
        <f>Raw!B339+"h_l!)S="</f>
        <v>#VALUE!</v>
      </c>
      <c r="FG201" t="e">
        <f>Raw!C339+"h_l!)S&gt;"</f>
        <v>#VALUE!</v>
      </c>
      <c r="FH201" t="e">
        <f>Raw!D339+"h_l!)S?"</f>
        <v>#VALUE!</v>
      </c>
      <c r="FI201" t="e">
        <f>Raw!E339+"h_l!)S@"</f>
        <v>#VALUE!</v>
      </c>
      <c r="FJ201" t="e">
        <f>Raw!#REF!+"h_l!)SA"</f>
        <v>#REF!</v>
      </c>
      <c r="FK201" t="e">
        <f>Raw!G339+"h_l!)SB"</f>
        <v>#VALUE!</v>
      </c>
      <c r="FL201" t="e">
        <f>Raw!H339+"h_l!)SC"</f>
        <v>#VALUE!</v>
      </c>
      <c r="FM201" t="e">
        <f>Raw!I339+"h_l!)SD"</f>
        <v>#VALUE!</v>
      </c>
      <c r="FN201" t="e">
        <f>Raw!J339+"h_l!)SE"</f>
        <v>#VALUE!</v>
      </c>
      <c r="FO201" t="e">
        <f>Raw!K339+"h_l!)SF"</f>
        <v>#VALUE!</v>
      </c>
      <c r="FP201" t="e">
        <f>Raw!L339+"h_l!)SG"</f>
        <v>#VALUE!</v>
      </c>
      <c r="FQ201" t="e">
        <f>Raw!M339+"h_l!)SH"</f>
        <v>#VALUE!</v>
      </c>
      <c r="FR201" t="e">
        <f>Raw!N339+"h_l!)SI"</f>
        <v>#VALUE!</v>
      </c>
      <c r="FS201" t="e">
        <f>Raw!O339+"h_l!)SJ"</f>
        <v>#VALUE!</v>
      </c>
      <c r="FT201" t="e">
        <f>Raw!P339+"h_l!)SK"</f>
        <v>#VALUE!</v>
      </c>
      <c r="FU201" t="e">
        <f>Raw!Q339+"h_l!)SL"</f>
        <v>#VALUE!</v>
      </c>
      <c r="FV201" t="e">
        <f>Raw!R339+"h_l!)SM"</f>
        <v>#VALUE!</v>
      </c>
      <c r="FW201" t="e">
        <f>Raw!S339+"h_l!)SN"</f>
        <v>#VALUE!</v>
      </c>
      <c r="FX201" t="e">
        <f>Raw!T339+"h_l!)SO"</f>
        <v>#VALUE!</v>
      </c>
      <c r="FY201" t="e">
        <f>Raw!U339+"h_l!)SP"</f>
        <v>#VALUE!</v>
      </c>
      <c r="FZ201" t="e">
        <f>Raw!V339+"h_l!)SQ"</f>
        <v>#VALUE!</v>
      </c>
      <c r="GA201" t="e">
        <f>Raw!W339+"h_l!)SR"</f>
        <v>#VALUE!</v>
      </c>
      <c r="GB201" t="e">
        <f>Raw!A340+"h_l!)SS"</f>
        <v>#VALUE!</v>
      </c>
      <c r="GC201" t="e">
        <f>Raw!B340+"h_l!)ST"</f>
        <v>#VALUE!</v>
      </c>
      <c r="GD201" t="e">
        <f>Raw!C340+"h_l!)SU"</f>
        <v>#VALUE!</v>
      </c>
      <c r="GE201" t="e">
        <f>Raw!D340+"h_l!)SV"</f>
        <v>#VALUE!</v>
      </c>
      <c r="GF201" t="e">
        <f>Raw!E340+"h_l!)SW"</f>
        <v>#VALUE!</v>
      </c>
      <c r="GG201" t="e">
        <f>Raw!#REF!+"h_l!)SX"</f>
        <v>#REF!</v>
      </c>
      <c r="GH201" t="e">
        <f>Raw!G340+"h_l!)SY"</f>
        <v>#VALUE!</v>
      </c>
      <c r="GI201" t="e">
        <f>Raw!H340+"h_l!)SZ"</f>
        <v>#VALUE!</v>
      </c>
      <c r="GJ201" t="e">
        <f>Raw!I340+"h_l!)S["</f>
        <v>#VALUE!</v>
      </c>
      <c r="GK201" t="e">
        <f>Raw!J340+"h_l!)S\"</f>
        <v>#VALUE!</v>
      </c>
      <c r="GL201" t="e">
        <f>Raw!K340+"h_l!)S]"</f>
        <v>#VALUE!</v>
      </c>
      <c r="GM201" t="e">
        <f>Raw!L340+"h_l!)S^"</f>
        <v>#VALUE!</v>
      </c>
      <c r="GN201" t="e">
        <f>Raw!M340+"h_l!)S_"</f>
        <v>#VALUE!</v>
      </c>
      <c r="GO201" t="e">
        <f>Raw!N340+"h_l!)S`"</f>
        <v>#VALUE!</v>
      </c>
      <c r="GP201" t="e">
        <f>Raw!O340+"h_l!)Sa"</f>
        <v>#VALUE!</v>
      </c>
      <c r="GQ201" t="e">
        <f>Raw!P340+"h_l!)Sb"</f>
        <v>#VALUE!</v>
      </c>
      <c r="GR201" t="e">
        <f>Raw!Q340+"h_l!)Sc"</f>
        <v>#VALUE!</v>
      </c>
      <c r="GS201" t="e">
        <f>Raw!R340+"h_l!)Sd"</f>
        <v>#VALUE!</v>
      </c>
      <c r="GT201" t="e">
        <f>Raw!S340+"h_l!)Se"</f>
        <v>#VALUE!</v>
      </c>
      <c r="GU201" t="e">
        <f>Raw!T340+"h_l!)Sf"</f>
        <v>#VALUE!</v>
      </c>
      <c r="GV201" t="e">
        <f>Raw!U340+"h_l!)Sg"</f>
        <v>#VALUE!</v>
      </c>
      <c r="GW201" t="e">
        <f>Raw!V340+"h_l!)Sh"</f>
        <v>#VALUE!</v>
      </c>
      <c r="GX201" t="e">
        <f>Raw!W340+"h_l!)Si"</f>
        <v>#VALUE!</v>
      </c>
      <c r="GY201" t="e">
        <f>Raw!A341+"h_l!)Sj"</f>
        <v>#VALUE!</v>
      </c>
      <c r="GZ201" t="e">
        <f>Raw!B341+"h_l!)Sk"</f>
        <v>#VALUE!</v>
      </c>
      <c r="HA201" t="e">
        <f>Raw!C341+"h_l!)Sl"</f>
        <v>#VALUE!</v>
      </c>
      <c r="HB201" t="e">
        <f>Raw!D341+"h_l!)Sm"</f>
        <v>#VALUE!</v>
      </c>
      <c r="HC201" t="e">
        <f>Raw!E341+"h_l!)Sn"</f>
        <v>#VALUE!</v>
      </c>
      <c r="HD201" t="e">
        <f>Raw!#REF!+"h_l!)So"</f>
        <v>#REF!</v>
      </c>
      <c r="HE201" t="e">
        <f>Raw!G341+"h_l!)Sp"</f>
        <v>#VALUE!</v>
      </c>
      <c r="HF201" t="e">
        <f>Raw!H341+"h_l!)Sq"</f>
        <v>#VALUE!</v>
      </c>
      <c r="HG201" t="e">
        <f>Raw!I341+"h_l!)Sr"</f>
        <v>#VALUE!</v>
      </c>
      <c r="HH201" t="e">
        <f>Raw!J341+"h_l!)Ss"</f>
        <v>#VALUE!</v>
      </c>
      <c r="HI201" t="e">
        <f>Raw!K341+"h_l!)St"</f>
        <v>#VALUE!</v>
      </c>
      <c r="HJ201" t="e">
        <f>Raw!L341+"h_l!)Su"</f>
        <v>#VALUE!</v>
      </c>
      <c r="HK201" t="e">
        <f>Raw!M341+"h_l!)Sv"</f>
        <v>#VALUE!</v>
      </c>
      <c r="HL201" t="e">
        <f>Raw!N341+"h_l!)Sw"</f>
        <v>#VALUE!</v>
      </c>
      <c r="HM201" t="e">
        <f>Raw!O341+"h_l!)Sx"</f>
        <v>#VALUE!</v>
      </c>
      <c r="HN201" t="e">
        <f>Raw!P341+"h_l!)Sy"</f>
        <v>#VALUE!</v>
      </c>
      <c r="HO201" t="e">
        <f>Raw!Q341+"h_l!)Sz"</f>
        <v>#VALUE!</v>
      </c>
      <c r="HP201" t="e">
        <f>Raw!R341+"h_l!)S{"</f>
        <v>#VALUE!</v>
      </c>
      <c r="HQ201" t="e">
        <f>Raw!S341+"h_l!)S|"</f>
        <v>#VALUE!</v>
      </c>
      <c r="HR201" t="e">
        <f>Raw!T341+"h_l!)S}"</f>
        <v>#VALUE!</v>
      </c>
      <c r="HS201" t="e">
        <f>Raw!U341+"h_l!)S~"</f>
        <v>#VALUE!</v>
      </c>
      <c r="HT201" t="e">
        <f>Raw!V341+"h_l!)T#"</f>
        <v>#VALUE!</v>
      </c>
      <c r="HU201" t="e">
        <f>Raw!W341+"h_l!)T$"</f>
        <v>#VALUE!</v>
      </c>
      <c r="HV201" t="e">
        <f>Raw!A342+"h_l!)T%"</f>
        <v>#VALUE!</v>
      </c>
      <c r="HW201" t="e">
        <f>Raw!B342+"h_l!)T&amp;"</f>
        <v>#VALUE!</v>
      </c>
      <c r="HX201" t="e">
        <f>Raw!C342+"h_l!)T'"</f>
        <v>#VALUE!</v>
      </c>
      <c r="HY201" t="e">
        <f>Raw!D342+"h_l!)T("</f>
        <v>#VALUE!</v>
      </c>
      <c r="HZ201" t="e">
        <f>Raw!E342+"h_l!)T)"</f>
        <v>#VALUE!</v>
      </c>
      <c r="IA201" t="e">
        <f>Raw!#REF!+"h_l!)T."</f>
        <v>#REF!</v>
      </c>
      <c r="IB201" t="e">
        <f>Raw!G342+"h_l!)T/"</f>
        <v>#VALUE!</v>
      </c>
      <c r="IC201" t="e">
        <f>Raw!H342+"h_l!)T0"</f>
        <v>#VALUE!</v>
      </c>
      <c r="ID201" t="e">
        <f>Raw!I342+"h_l!)T1"</f>
        <v>#VALUE!</v>
      </c>
      <c r="IE201" t="e">
        <f>Raw!J342+"h_l!)T2"</f>
        <v>#VALUE!</v>
      </c>
      <c r="IF201" t="e">
        <f>Raw!K342+"h_l!)T3"</f>
        <v>#VALUE!</v>
      </c>
      <c r="IG201" t="e">
        <f>Raw!L342+"h_l!)T4"</f>
        <v>#VALUE!</v>
      </c>
      <c r="IH201" t="e">
        <f>Raw!M342+"h_l!)T5"</f>
        <v>#VALUE!</v>
      </c>
      <c r="II201" t="e">
        <f>Raw!N342+"h_l!)T6"</f>
        <v>#VALUE!</v>
      </c>
      <c r="IJ201" t="e">
        <f>Raw!O342+"h_l!)T7"</f>
        <v>#VALUE!</v>
      </c>
      <c r="IK201" t="e">
        <f>Raw!P342+"h_l!)T8"</f>
        <v>#VALUE!</v>
      </c>
      <c r="IL201" t="e">
        <f>Raw!Q342+"h_l!)T9"</f>
        <v>#VALUE!</v>
      </c>
      <c r="IM201" t="e">
        <f>Raw!R342+"h_l!)T:"</f>
        <v>#VALUE!</v>
      </c>
      <c r="IN201" t="e">
        <f>Raw!S342+"h_l!)T;"</f>
        <v>#VALUE!</v>
      </c>
      <c r="IO201" t="e">
        <f>Raw!T342+"h_l!)T&lt;"</f>
        <v>#VALUE!</v>
      </c>
      <c r="IP201" t="e">
        <f>Raw!U342+"h_l!)T="</f>
        <v>#VALUE!</v>
      </c>
      <c r="IQ201" t="e">
        <f>Raw!V342+"h_l!)T&gt;"</f>
        <v>#VALUE!</v>
      </c>
      <c r="IR201" t="e">
        <f>Raw!W342+"h_l!)T?"</f>
        <v>#VALUE!</v>
      </c>
      <c r="IS201" t="e">
        <f>Raw!A343+"h_l!)T@"</f>
        <v>#VALUE!</v>
      </c>
      <c r="IT201" t="e">
        <f>Raw!B343+"h_l!)TA"</f>
        <v>#VALUE!</v>
      </c>
      <c r="IU201" t="e">
        <f>Raw!C343+"h_l!)TB"</f>
        <v>#VALUE!</v>
      </c>
      <c r="IV201" t="e">
        <f>Raw!D343+"h_l!)TC"</f>
        <v>#VALUE!</v>
      </c>
    </row>
    <row r="202" spans="6:256" x14ac:dyDescent="0.25">
      <c r="F202" t="e">
        <f>Raw!E343+"h_l!)TD"</f>
        <v>#VALUE!</v>
      </c>
      <c r="G202" t="e">
        <f>Raw!#REF!+"h_l!)TE"</f>
        <v>#REF!</v>
      </c>
      <c r="H202" t="e">
        <f>Raw!G343+"h_l!)TF"</f>
        <v>#VALUE!</v>
      </c>
      <c r="I202" t="e">
        <f>Raw!H343+"h_l!)TG"</f>
        <v>#VALUE!</v>
      </c>
      <c r="J202" t="e">
        <f>Raw!I343+"h_l!)TH"</f>
        <v>#VALUE!</v>
      </c>
      <c r="K202" t="e">
        <f>Raw!J343+"h_l!)TI"</f>
        <v>#VALUE!</v>
      </c>
      <c r="L202" t="e">
        <f>Raw!K343+"h_l!)TJ"</f>
        <v>#VALUE!</v>
      </c>
      <c r="M202" t="e">
        <f>Raw!L343+"h_l!)TK"</f>
        <v>#VALUE!</v>
      </c>
      <c r="N202" t="e">
        <f>Raw!M343+"h_l!)TL"</f>
        <v>#VALUE!</v>
      </c>
      <c r="O202" t="e">
        <f>Raw!N343+"h_l!)TM"</f>
        <v>#VALUE!</v>
      </c>
      <c r="P202" t="e">
        <f>Raw!O343+"h_l!)TN"</f>
        <v>#VALUE!</v>
      </c>
      <c r="Q202" t="e">
        <f>Raw!P343+"h_l!)TO"</f>
        <v>#VALUE!</v>
      </c>
      <c r="R202" t="e">
        <f>Raw!Q343+"h_l!)TP"</f>
        <v>#VALUE!</v>
      </c>
      <c r="S202" t="e">
        <f>Raw!R343+"h_l!)TQ"</f>
        <v>#VALUE!</v>
      </c>
      <c r="T202" t="e">
        <f>Raw!S343+"h_l!)TR"</f>
        <v>#VALUE!</v>
      </c>
      <c r="U202" t="e">
        <f>Raw!T343+"h_l!)TS"</f>
        <v>#VALUE!</v>
      </c>
      <c r="V202" t="e">
        <f>Raw!U343+"h_l!)TT"</f>
        <v>#VALUE!</v>
      </c>
      <c r="W202" t="e">
        <f>Raw!V343+"h_l!)TU"</f>
        <v>#VALUE!</v>
      </c>
      <c r="X202" t="e">
        <f>Raw!W343+"h_l!)TV"</f>
        <v>#VALUE!</v>
      </c>
      <c r="Y202" t="e">
        <f>Raw!A344+"h_l!)TW"</f>
        <v>#VALUE!</v>
      </c>
      <c r="Z202" t="e">
        <f>Raw!B344+"h_l!)TX"</f>
        <v>#VALUE!</v>
      </c>
      <c r="AA202" t="e">
        <f>Raw!C344+"h_l!)TY"</f>
        <v>#VALUE!</v>
      </c>
      <c r="AB202" t="e">
        <f>Raw!D344+"h_l!)TZ"</f>
        <v>#VALUE!</v>
      </c>
      <c r="AC202" t="e">
        <f>Raw!E344+"h_l!)T["</f>
        <v>#VALUE!</v>
      </c>
      <c r="AD202" t="e">
        <f>Raw!#REF!+"h_l!)T\"</f>
        <v>#REF!</v>
      </c>
      <c r="AE202" t="e">
        <f>Raw!G344+"h_l!)T]"</f>
        <v>#VALUE!</v>
      </c>
      <c r="AF202" t="e">
        <f>Raw!H344+"h_l!)T^"</f>
        <v>#VALUE!</v>
      </c>
      <c r="AG202" t="e">
        <f>Raw!I344+"h_l!)T_"</f>
        <v>#VALUE!</v>
      </c>
      <c r="AH202" t="e">
        <f>Raw!J344+"h_l!)T`"</f>
        <v>#VALUE!</v>
      </c>
      <c r="AI202" t="e">
        <f>Raw!K344+"h_l!)Ta"</f>
        <v>#VALUE!</v>
      </c>
      <c r="AJ202" t="e">
        <f>Raw!L344+"h_l!)Tb"</f>
        <v>#VALUE!</v>
      </c>
      <c r="AK202" t="e">
        <f>Raw!M344+"h_l!)Tc"</f>
        <v>#VALUE!</v>
      </c>
      <c r="AL202" t="e">
        <f>Raw!N344+"h_l!)Td"</f>
        <v>#VALUE!</v>
      </c>
      <c r="AM202" t="e">
        <f>Raw!O344+"h_l!)Te"</f>
        <v>#VALUE!</v>
      </c>
      <c r="AN202" t="e">
        <f>Raw!P344+"h_l!)Tf"</f>
        <v>#VALUE!</v>
      </c>
      <c r="AO202" t="e">
        <f>Raw!Q344+"h_l!)Tg"</f>
        <v>#VALUE!</v>
      </c>
      <c r="AP202" t="e">
        <f>Raw!R344+"h_l!)Th"</f>
        <v>#VALUE!</v>
      </c>
      <c r="AQ202" t="e">
        <f>Raw!S344+"h_l!)Ti"</f>
        <v>#VALUE!</v>
      </c>
      <c r="AR202" t="e">
        <f>Raw!T344+"h_l!)Tj"</f>
        <v>#VALUE!</v>
      </c>
      <c r="AS202" t="e">
        <f>Raw!U344+"h_l!)Tk"</f>
        <v>#VALUE!</v>
      </c>
      <c r="AT202" t="e">
        <f>Raw!V344+"h_l!)Tl"</f>
        <v>#VALUE!</v>
      </c>
      <c r="AU202" t="e">
        <f>Raw!W344+"h_l!)Tm"</f>
        <v>#VALUE!</v>
      </c>
      <c r="AV202" t="e">
        <f>Raw!A345+"h_l!)Tn"</f>
        <v>#VALUE!</v>
      </c>
      <c r="AW202" t="e">
        <f>Raw!B345+"h_l!)To"</f>
        <v>#VALUE!</v>
      </c>
      <c r="AX202" t="e">
        <f>Raw!C345+"h_l!)Tp"</f>
        <v>#VALUE!</v>
      </c>
      <c r="AY202" t="e">
        <f>Raw!D345+"h_l!)Tq"</f>
        <v>#VALUE!</v>
      </c>
      <c r="AZ202" t="e">
        <f>Raw!E345+"h_l!)Tr"</f>
        <v>#VALUE!</v>
      </c>
      <c r="BA202" t="e">
        <f>Raw!#REF!+"h_l!)Ts"</f>
        <v>#REF!</v>
      </c>
      <c r="BB202" t="e">
        <f>Raw!G345+"h_l!)Tt"</f>
        <v>#VALUE!</v>
      </c>
      <c r="BC202" t="e">
        <f>Raw!H345+"h_l!)Tu"</f>
        <v>#VALUE!</v>
      </c>
      <c r="BD202" t="e">
        <f>Raw!I345+"h_l!)Tv"</f>
        <v>#VALUE!</v>
      </c>
      <c r="BE202" t="e">
        <f>Raw!J345+"h_l!)Tw"</f>
        <v>#VALUE!</v>
      </c>
      <c r="BF202" t="e">
        <f>Raw!K345+"h_l!)Tx"</f>
        <v>#VALUE!</v>
      </c>
      <c r="BG202" t="e">
        <f>Raw!L345+"h_l!)Ty"</f>
        <v>#VALUE!</v>
      </c>
      <c r="BH202" t="e">
        <f>Raw!M345+"h_l!)Tz"</f>
        <v>#VALUE!</v>
      </c>
      <c r="BI202" t="e">
        <f>Raw!N345+"h_l!)T{"</f>
        <v>#VALUE!</v>
      </c>
      <c r="BJ202" t="e">
        <f>Raw!O345+"h_l!)T|"</f>
        <v>#VALUE!</v>
      </c>
      <c r="BK202" t="e">
        <f>Raw!P345+"h_l!)T}"</f>
        <v>#VALUE!</v>
      </c>
      <c r="BL202" t="e">
        <f>Raw!Q345+"h_l!)T~"</f>
        <v>#VALUE!</v>
      </c>
      <c r="BM202" t="e">
        <f>Raw!R345+"h_l!)U#"</f>
        <v>#VALUE!</v>
      </c>
      <c r="BN202" t="e">
        <f>Raw!S345+"h_l!)U$"</f>
        <v>#VALUE!</v>
      </c>
      <c r="BO202" t="e">
        <f>Raw!T345+"h_l!)U%"</f>
        <v>#VALUE!</v>
      </c>
      <c r="BP202" t="e">
        <f>Raw!U345+"h_l!)U&amp;"</f>
        <v>#VALUE!</v>
      </c>
      <c r="BQ202" t="e">
        <f>Raw!V345+"h_l!)U'"</f>
        <v>#VALUE!</v>
      </c>
      <c r="BR202" t="e">
        <f>Raw!W345+"h_l!)U("</f>
        <v>#VALUE!</v>
      </c>
      <c r="BS202" t="e">
        <f>Raw!A346+"h_l!)U)"</f>
        <v>#VALUE!</v>
      </c>
      <c r="BT202" t="e">
        <f>Raw!B346+"h_l!)U."</f>
        <v>#VALUE!</v>
      </c>
      <c r="BU202" t="e">
        <f>Raw!C346+"h_l!)U/"</f>
        <v>#VALUE!</v>
      </c>
      <c r="BV202" t="e">
        <f>Raw!D346+"h_l!)U0"</f>
        <v>#VALUE!</v>
      </c>
      <c r="BW202" t="e">
        <f>Raw!E346+"h_l!)U1"</f>
        <v>#VALUE!</v>
      </c>
      <c r="BX202" t="e">
        <f>Raw!#REF!+"h_l!)U2"</f>
        <v>#REF!</v>
      </c>
      <c r="BY202" t="e">
        <f>Raw!G346+"h_l!)U3"</f>
        <v>#VALUE!</v>
      </c>
      <c r="BZ202" t="e">
        <f>Raw!H346+"h_l!)U4"</f>
        <v>#VALUE!</v>
      </c>
      <c r="CA202" t="e">
        <f>Raw!I346+"h_l!)U5"</f>
        <v>#VALUE!</v>
      </c>
      <c r="CB202" t="e">
        <f>Raw!J346+"h_l!)U6"</f>
        <v>#VALUE!</v>
      </c>
      <c r="CC202" t="e">
        <f>Raw!K346+"h_l!)U7"</f>
        <v>#VALUE!</v>
      </c>
      <c r="CD202" t="e">
        <f>Raw!L346+"h_l!)U8"</f>
        <v>#VALUE!</v>
      </c>
      <c r="CE202" t="e">
        <f>Raw!M346+"h_l!)U9"</f>
        <v>#VALUE!</v>
      </c>
      <c r="CF202" t="e">
        <f>Raw!N346+"h_l!)U:"</f>
        <v>#VALUE!</v>
      </c>
      <c r="CG202" t="e">
        <f>Raw!O346+"h_l!)U;"</f>
        <v>#VALUE!</v>
      </c>
      <c r="CH202" t="e">
        <f>Raw!P346+"h_l!)U&lt;"</f>
        <v>#VALUE!</v>
      </c>
      <c r="CI202" t="e">
        <f>Raw!Q346+"h_l!)U="</f>
        <v>#VALUE!</v>
      </c>
      <c r="CJ202" t="e">
        <f>Raw!R346+"h_l!)U&gt;"</f>
        <v>#VALUE!</v>
      </c>
      <c r="CK202" t="e">
        <f>Raw!S346+"h_l!)U?"</f>
        <v>#VALUE!</v>
      </c>
      <c r="CL202" t="e">
        <f>Raw!T346+"h_l!)U@"</f>
        <v>#VALUE!</v>
      </c>
      <c r="CM202" t="e">
        <f>Raw!U346+"h_l!)UA"</f>
        <v>#VALUE!</v>
      </c>
      <c r="CN202" t="e">
        <f>Raw!V346+"h_l!)UB"</f>
        <v>#VALUE!</v>
      </c>
      <c r="CO202" t="e">
        <f>Raw!W346+"h_l!)UC"</f>
        <v>#VALUE!</v>
      </c>
      <c r="CP202" t="e">
        <f>Raw!A347+"h_l!)UD"</f>
        <v>#VALUE!</v>
      </c>
      <c r="CQ202" t="e">
        <f>Raw!B347+"h_l!)UE"</f>
        <v>#VALUE!</v>
      </c>
      <c r="CR202" t="e">
        <f>Raw!C347+"h_l!)UF"</f>
        <v>#VALUE!</v>
      </c>
      <c r="CS202" t="e">
        <f>Raw!D347+"h_l!)UG"</f>
        <v>#VALUE!</v>
      </c>
      <c r="CT202" t="e">
        <f>Raw!E347+"h_l!)UH"</f>
        <v>#VALUE!</v>
      </c>
      <c r="CU202" t="e">
        <f>Raw!#REF!+"h_l!)UI"</f>
        <v>#REF!</v>
      </c>
      <c r="CV202" t="e">
        <f>Raw!G347+"h_l!)UJ"</f>
        <v>#VALUE!</v>
      </c>
      <c r="CW202" t="e">
        <f>Raw!H347+"h_l!)UK"</f>
        <v>#VALUE!</v>
      </c>
      <c r="CX202" t="e">
        <f>Raw!I347+"h_l!)UL"</f>
        <v>#VALUE!</v>
      </c>
      <c r="CY202" t="e">
        <f>Raw!J347+"h_l!)UM"</f>
        <v>#VALUE!</v>
      </c>
      <c r="CZ202" t="e">
        <f>Raw!K347+"h_l!)UN"</f>
        <v>#VALUE!</v>
      </c>
      <c r="DA202" t="e">
        <f>Raw!L347+"h_l!)UO"</f>
        <v>#VALUE!</v>
      </c>
      <c r="DB202" t="e">
        <f>Raw!M347+"h_l!)UP"</f>
        <v>#VALUE!</v>
      </c>
      <c r="DC202" t="e">
        <f>Raw!N347+"h_l!)UQ"</f>
        <v>#VALUE!</v>
      </c>
      <c r="DD202" t="e">
        <f>Raw!O347+"h_l!)UR"</f>
        <v>#VALUE!</v>
      </c>
      <c r="DE202" t="e">
        <f>Raw!P347+"h_l!)US"</f>
        <v>#VALUE!</v>
      </c>
      <c r="DF202" t="e">
        <f>Raw!Q347+"h_l!)UT"</f>
        <v>#VALUE!</v>
      </c>
      <c r="DG202" t="e">
        <f>Raw!R347+"h_l!)UU"</f>
        <v>#VALUE!</v>
      </c>
      <c r="DH202" t="e">
        <f>Raw!S347+"h_l!)UV"</f>
        <v>#VALUE!</v>
      </c>
      <c r="DI202" t="e">
        <f>Raw!T347+"h_l!)UW"</f>
        <v>#VALUE!</v>
      </c>
      <c r="DJ202" t="e">
        <f>Raw!U347+"h_l!)UX"</f>
        <v>#VALUE!</v>
      </c>
      <c r="DK202" t="e">
        <f>Raw!V347+"h_l!)UY"</f>
        <v>#VALUE!</v>
      </c>
      <c r="DL202" t="e">
        <f>Raw!W347+"h_l!)UZ"</f>
        <v>#VALUE!</v>
      </c>
      <c r="DM202" t="e">
        <f>Raw!A348+"h_l!)U["</f>
        <v>#VALUE!</v>
      </c>
      <c r="DN202" t="e">
        <f>Raw!B348+"h_l!)U\"</f>
        <v>#VALUE!</v>
      </c>
      <c r="DO202" t="e">
        <f>Raw!C348+"h_l!)U]"</f>
        <v>#VALUE!</v>
      </c>
      <c r="DP202" t="e">
        <f>Raw!D348+"h_l!)U^"</f>
        <v>#VALUE!</v>
      </c>
      <c r="DQ202" t="e">
        <f>Raw!E348+"h_l!)U_"</f>
        <v>#VALUE!</v>
      </c>
      <c r="DR202" t="e">
        <f>Raw!#REF!+"h_l!)U`"</f>
        <v>#REF!</v>
      </c>
      <c r="DS202" t="e">
        <f>Raw!G348+"h_l!)Ua"</f>
        <v>#VALUE!</v>
      </c>
      <c r="DT202" t="e">
        <f>Raw!H348+"h_l!)Ub"</f>
        <v>#VALUE!</v>
      </c>
      <c r="DU202" t="e">
        <f>Raw!I348+"h_l!)Uc"</f>
        <v>#VALUE!</v>
      </c>
      <c r="DV202" t="e">
        <f>Raw!J348+"h_l!)Ud"</f>
        <v>#VALUE!</v>
      </c>
      <c r="DW202" t="e">
        <f>Raw!K348+"h_l!)Ue"</f>
        <v>#VALUE!</v>
      </c>
      <c r="DX202" t="e">
        <f>Raw!L348+"h_l!)Uf"</f>
        <v>#VALUE!</v>
      </c>
      <c r="DY202" t="e">
        <f>Raw!M348+"h_l!)Ug"</f>
        <v>#VALUE!</v>
      </c>
      <c r="DZ202" t="e">
        <f>Raw!N348+"h_l!)Uh"</f>
        <v>#VALUE!</v>
      </c>
      <c r="EA202" t="e">
        <f>Raw!O348+"h_l!)Ui"</f>
        <v>#VALUE!</v>
      </c>
      <c r="EB202" t="e">
        <f>Raw!P348+"h_l!)Uj"</f>
        <v>#VALUE!</v>
      </c>
      <c r="EC202" t="e">
        <f>Raw!Q348+"h_l!)Uk"</f>
        <v>#VALUE!</v>
      </c>
      <c r="ED202" t="e">
        <f>Raw!R348+"h_l!)Ul"</f>
        <v>#VALUE!</v>
      </c>
      <c r="EE202" t="e">
        <f>Raw!S348+"h_l!)Um"</f>
        <v>#VALUE!</v>
      </c>
      <c r="EF202" t="e">
        <f>Raw!T348+"h_l!)Un"</f>
        <v>#VALUE!</v>
      </c>
      <c r="EG202" t="e">
        <f>Raw!U348+"h_l!)Uo"</f>
        <v>#VALUE!</v>
      </c>
      <c r="EH202" t="e">
        <f>Raw!V348+"h_l!)Up"</f>
        <v>#VALUE!</v>
      </c>
      <c r="EI202" t="e">
        <f>Raw!W348+"h_l!)Uq"</f>
        <v>#VALUE!</v>
      </c>
      <c r="EJ202" t="e">
        <f>Raw!A349+"h_l!)Ur"</f>
        <v>#VALUE!</v>
      </c>
      <c r="EK202" t="e">
        <f>Raw!B349+"h_l!)Us"</f>
        <v>#VALUE!</v>
      </c>
      <c r="EL202" t="e">
        <f>Raw!C349+"h_l!)Ut"</f>
        <v>#VALUE!</v>
      </c>
      <c r="EM202" t="e">
        <f>Raw!D349+"h_l!)Uu"</f>
        <v>#VALUE!</v>
      </c>
      <c r="EN202" t="e">
        <f>Raw!E349+"h_l!)Uv"</f>
        <v>#VALUE!</v>
      </c>
      <c r="EO202" t="e">
        <f>Raw!#REF!+"h_l!)Uw"</f>
        <v>#REF!</v>
      </c>
      <c r="EP202" t="e">
        <f>Raw!G349+"h_l!)Ux"</f>
        <v>#VALUE!</v>
      </c>
      <c r="EQ202" t="e">
        <f>Raw!H349+"h_l!)Uy"</f>
        <v>#VALUE!</v>
      </c>
      <c r="ER202" t="e">
        <f>Raw!I349+"h_l!)Uz"</f>
        <v>#VALUE!</v>
      </c>
      <c r="ES202" t="e">
        <f>Raw!J349+"h_l!)U{"</f>
        <v>#VALUE!</v>
      </c>
      <c r="ET202" t="e">
        <f>Raw!K349+"h_l!)U|"</f>
        <v>#VALUE!</v>
      </c>
      <c r="EU202" t="e">
        <f>Raw!L349+"h_l!)U}"</f>
        <v>#VALUE!</v>
      </c>
      <c r="EV202" t="e">
        <f>Raw!M349+"h_l!)U~"</f>
        <v>#VALUE!</v>
      </c>
      <c r="EW202" t="e">
        <f>Raw!N349+"h_l!)V#"</f>
        <v>#VALUE!</v>
      </c>
      <c r="EX202" t="e">
        <f>Raw!O349+"h_l!)V$"</f>
        <v>#VALUE!</v>
      </c>
      <c r="EY202" t="e">
        <f>Raw!P349+"h_l!)V%"</f>
        <v>#VALUE!</v>
      </c>
      <c r="EZ202" t="e">
        <f>Raw!Q349+"h_l!)V&amp;"</f>
        <v>#VALUE!</v>
      </c>
      <c r="FA202" t="e">
        <f>Raw!R349+"h_l!)V'"</f>
        <v>#VALUE!</v>
      </c>
      <c r="FB202" t="e">
        <f>Raw!S349+"h_l!)V("</f>
        <v>#VALUE!</v>
      </c>
      <c r="FC202" t="e">
        <f>Raw!T349+"h_l!)V)"</f>
        <v>#VALUE!</v>
      </c>
      <c r="FD202" t="e">
        <f>Raw!U349+"h_l!)V."</f>
        <v>#VALUE!</v>
      </c>
      <c r="FE202" t="e">
        <f>Raw!V349+"h_l!)V/"</f>
        <v>#VALUE!</v>
      </c>
      <c r="FF202" t="e">
        <f>Raw!W349+"h_l!)V0"</f>
        <v>#VALUE!</v>
      </c>
      <c r="FG202" t="e">
        <f>Raw!A350+"h_l!)V1"</f>
        <v>#VALUE!</v>
      </c>
      <c r="FH202" t="e">
        <f>Raw!B350+"h_l!)V2"</f>
        <v>#VALUE!</v>
      </c>
      <c r="FI202" t="e">
        <f>Raw!C350+"h_l!)V3"</f>
        <v>#VALUE!</v>
      </c>
      <c r="FJ202" t="e">
        <f>Raw!D350+"h_l!)V4"</f>
        <v>#VALUE!</v>
      </c>
      <c r="FK202" t="e">
        <f>Raw!E350+"h_l!)V5"</f>
        <v>#VALUE!</v>
      </c>
      <c r="FL202" t="e">
        <f>Raw!#REF!+"h_l!)V6"</f>
        <v>#REF!</v>
      </c>
      <c r="FM202" t="e">
        <f>Raw!G350+"h_l!)V7"</f>
        <v>#VALUE!</v>
      </c>
      <c r="FN202" t="e">
        <f>Raw!H350+"h_l!)V8"</f>
        <v>#VALUE!</v>
      </c>
      <c r="FO202" t="e">
        <f>Raw!I350+"h_l!)V9"</f>
        <v>#VALUE!</v>
      </c>
      <c r="FP202" t="e">
        <f>Raw!J350+"h_l!)V:"</f>
        <v>#VALUE!</v>
      </c>
      <c r="FQ202" t="e">
        <f>Raw!K350+"h_l!)V;"</f>
        <v>#VALUE!</v>
      </c>
      <c r="FR202" t="e">
        <f>Raw!L350+"h_l!)V&lt;"</f>
        <v>#VALUE!</v>
      </c>
      <c r="FS202" t="e">
        <f>Raw!M350+"h_l!)V="</f>
        <v>#VALUE!</v>
      </c>
      <c r="FT202" t="e">
        <f>Raw!N350+"h_l!)V&gt;"</f>
        <v>#VALUE!</v>
      </c>
      <c r="FU202" t="e">
        <f>Raw!O350+"h_l!)V?"</f>
        <v>#VALUE!</v>
      </c>
      <c r="FV202" t="e">
        <f>Raw!P350+"h_l!)V@"</f>
        <v>#VALUE!</v>
      </c>
      <c r="FW202" t="e">
        <f>Raw!Q350+"h_l!)VA"</f>
        <v>#VALUE!</v>
      </c>
      <c r="FX202" t="e">
        <f>Raw!R350+"h_l!)VB"</f>
        <v>#VALUE!</v>
      </c>
      <c r="FY202" t="e">
        <f>Raw!S350+"h_l!)VC"</f>
        <v>#VALUE!</v>
      </c>
      <c r="FZ202" t="e">
        <f>Raw!T350+"h_l!)VD"</f>
        <v>#VALUE!</v>
      </c>
      <c r="GA202" t="e">
        <f>Raw!U350+"h_l!)VE"</f>
        <v>#VALUE!</v>
      </c>
      <c r="GB202" t="e">
        <f>Raw!V350+"h_l!)VF"</f>
        <v>#VALUE!</v>
      </c>
      <c r="GC202" t="e">
        <f>Raw!W350+"h_l!)VG"</f>
        <v>#VALUE!</v>
      </c>
      <c r="GD202" t="e">
        <f>Raw!A351+"h_l!)VH"</f>
        <v>#VALUE!</v>
      </c>
      <c r="GE202" t="e">
        <f>Raw!B351+"h_l!)VI"</f>
        <v>#VALUE!</v>
      </c>
      <c r="GF202" t="e">
        <f>Raw!C351+"h_l!)VJ"</f>
        <v>#VALUE!</v>
      </c>
      <c r="GG202" t="e">
        <f>Raw!D351+"h_l!)VK"</f>
        <v>#VALUE!</v>
      </c>
      <c r="GH202" t="e">
        <f>Raw!E351+"h_l!)VL"</f>
        <v>#VALUE!</v>
      </c>
      <c r="GI202" t="e">
        <f>Raw!#REF!+"h_l!)VM"</f>
        <v>#REF!</v>
      </c>
      <c r="GJ202" t="e">
        <f>Raw!G351+"h_l!)VN"</f>
        <v>#VALUE!</v>
      </c>
      <c r="GK202" t="e">
        <f>Raw!H351+"h_l!)VO"</f>
        <v>#VALUE!</v>
      </c>
      <c r="GL202" t="e">
        <f>Raw!I351+"h_l!)VP"</f>
        <v>#VALUE!</v>
      </c>
      <c r="GM202" t="e">
        <f>Raw!J351+"h_l!)VQ"</f>
        <v>#VALUE!</v>
      </c>
      <c r="GN202" t="e">
        <f>Raw!K351+"h_l!)VR"</f>
        <v>#VALUE!</v>
      </c>
      <c r="GO202" t="e">
        <f>Raw!L351+"h_l!)VS"</f>
        <v>#VALUE!</v>
      </c>
      <c r="GP202" t="e">
        <f>Raw!M351+"h_l!)VT"</f>
        <v>#VALUE!</v>
      </c>
      <c r="GQ202" t="e">
        <f>Raw!N351+"h_l!)VU"</f>
        <v>#VALUE!</v>
      </c>
      <c r="GR202" t="e">
        <f>Raw!O351+"h_l!)VV"</f>
        <v>#VALUE!</v>
      </c>
      <c r="GS202" t="e">
        <f>Raw!P351+"h_l!)VW"</f>
        <v>#VALUE!</v>
      </c>
      <c r="GT202" t="e">
        <f>Raw!Q351+"h_l!)VX"</f>
        <v>#VALUE!</v>
      </c>
      <c r="GU202" t="e">
        <f>Raw!R351+"h_l!)VY"</f>
        <v>#VALUE!</v>
      </c>
      <c r="GV202" t="e">
        <f>Raw!S351+"h_l!)VZ"</f>
        <v>#VALUE!</v>
      </c>
      <c r="GW202" t="e">
        <f>Raw!T351+"h_l!)V["</f>
        <v>#VALUE!</v>
      </c>
      <c r="GX202" t="e">
        <f>Raw!U351+"h_l!)V\"</f>
        <v>#VALUE!</v>
      </c>
      <c r="GY202" t="e">
        <f>Raw!V351+"h_l!)V]"</f>
        <v>#VALUE!</v>
      </c>
      <c r="GZ202" t="e">
        <f>Raw!W351+"h_l!)V^"</f>
        <v>#VALUE!</v>
      </c>
      <c r="HA202" t="e">
        <f>Raw!A352+"h_l!)V_"</f>
        <v>#VALUE!</v>
      </c>
      <c r="HB202" t="e">
        <f>Raw!B352+"h_l!)V`"</f>
        <v>#VALUE!</v>
      </c>
      <c r="HC202" t="e">
        <f>Raw!C352+"h_l!)Va"</f>
        <v>#VALUE!</v>
      </c>
      <c r="HD202" t="e">
        <f>Raw!D352+"h_l!)Vb"</f>
        <v>#VALUE!</v>
      </c>
      <c r="HE202" t="e">
        <f>Raw!E352+"h_l!)Vc"</f>
        <v>#VALUE!</v>
      </c>
      <c r="HF202" t="e">
        <f>Raw!#REF!+"h_l!)Vd"</f>
        <v>#REF!</v>
      </c>
      <c r="HG202" t="e">
        <f>Raw!G352+"h_l!)Ve"</f>
        <v>#VALUE!</v>
      </c>
      <c r="HH202" t="e">
        <f>Raw!H352+"h_l!)Vf"</f>
        <v>#VALUE!</v>
      </c>
      <c r="HI202" t="e">
        <f>Raw!I352+"h_l!)Vg"</f>
        <v>#VALUE!</v>
      </c>
      <c r="HJ202" t="e">
        <f>Raw!J352+"h_l!)Vh"</f>
        <v>#VALUE!</v>
      </c>
      <c r="HK202" t="e">
        <f>Raw!K352+"h_l!)Vi"</f>
        <v>#VALUE!</v>
      </c>
      <c r="HL202" t="e">
        <f>Raw!L352+"h_l!)Vj"</f>
        <v>#VALUE!</v>
      </c>
      <c r="HM202" t="e">
        <f>Raw!M352+"h_l!)Vk"</f>
        <v>#VALUE!</v>
      </c>
      <c r="HN202" t="e">
        <f>Raw!N352+"h_l!)Vl"</f>
        <v>#VALUE!</v>
      </c>
      <c r="HO202" t="e">
        <f>Raw!O352+"h_l!)Vm"</f>
        <v>#VALUE!</v>
      </c>
      <c r="HP202" t="e">
        <f>Raw!P352+"h_l!)Vn"</f>
        <v>#VALUE!</v>
      </c>
      <c r="HQ202" t="e">
        <f>Raw!Q352+"h_l!)Vo"</f>
        <v>#VALUE!</v>
      </c>
      <c r="HR202" t="e">
        <f>Raw!R352+"h_l!)Vp"</f>
        <v>#VALUE!</v>
      </c>
      <c r="HS202" t="e">
        <f>Raw!S352+"h_l!)Vq"</f>
        <v>#VALUE!</v>
      </c>
      <c r="HT202" t="e">
        <f>Raw!T352+"h_l!)Vr"</f>
        <v>#VALUE!</v>
      </c>
      <c r="HU202" t="e">
        <f>Raw!U352+"h_l!)Vs"</f>
        <v>#VALUE!</v>
      </c>
      <c r="HV202" t="e">
        <f>Raw!V352+"h_l!)Vt"</f>
        <v>#VALUE!</v>
      </c>
      <c r="HW202" t="e">
        <f>Raw!W352+"h_l!)Vu"</f>
        <v>#VALUE!</v>
      </c>
      <c r="HX202" t="e">
        <f>Raw!A353+"h_l!)Vv"</f>
        <v>#VALUE!</v>
      </c>
      <c r="HY202" t="e">
        <f>Raw!B353+"h_l!)Vw"</f>
        <v>#VALUE!</v>
      </c>
      <c r="HZ202" t="e">
        <f>Raw!C353+"h_l!)Vx"</f>
        <v>#VALUE!</v>
      </c>
      <c r="IA202" t="e">
        <f>Raw!D353+"h_l!)Vy"</f>
        <v>#VALUE!</v>
      </c>
      <c r="IB202" t="e">
        <f>Raw!E353+"h_l!)Vz"</f>
        <v>#VALUE!</v>
      </c>
      <c r="IC202" t="e">
        <f>Raw!#REF!+"h_l!)V{"</f>
        <v>#REF!</v>
      </c>
      <c r="ID202" t="e">
        <f>Raw!G353+"h_l!)V|"</f>
        <v>#VALUE!</v>
      </c>
      <c r="IE202" t="e">
        <f>Raw!H353+"h_l!)V}"</f>
        <v>#VALUE!</v>
      </c>
      <c r="IF202" t="e">
        <f>Raw!I353+"h_l!)V~"</f>
        <v>#VALUE!</v>
      </c>
      <c r="IG202" t="e">
        <f>Raw!J353+"h_l!)W#"</f>
        <v>#VALUE!</v>
      </c>
      <c r="IH202" t="e">
        <f>Raw!K353+"h_l!)W$"</f>
        <v>#VALUE!</v>
      </c>
      <c r="II202" t="e">
        <f>Raw!L353+"h_l!)W%"</f>
        <v>#VALUE!</v>
      </c>
      <c r="IJ202" t="e">
        <f>Raw!M353+"h_l!)W&amp;"</f>
        <v>#VALUE!</v>
      </c>
      <c r="IK202" t="e">
        <f>Raw!N353+"h_l!)W'"</f>
        <v>#VALUE!</v>
      </c>
      <c r="IL202" t="e">
        <f>Raw!O353+"h_l!)W("</f>
        <v>#VALUE!</v>
      </c>
      <c r="IM202" t="e">
        <f>Raw!P353+"h_l!)W)"</f>
        <v>#VALUE!</v>
      </c>
      <c r="IN202" t="e">
        <f>Raw!Q353+"h_l!)W."</f>
        <v>#VALUE!</v>
      </c>
      <c r="IO202" t="e">
        <f>Raw!R353+"h_l!)W/"</f>
        <v>#VALUE!</v>
      </c>
      <c r="IP202" t="e">
        <f>Raw!S353+"h_l!)W0"</f>
        <v>#VALUE!</v>
      </c>
      <c r="IQ202" t="e">
        <f>Raw!T353+"h_l!)W1"</f>
        <v>#VALUE!</v>
      </c>
      <c r="IR202" t="e">
        <f>Raw!U353+"h_l!)W2"</f>
        <v>#VALUE!</v>
      </c>
      <c r="IS202" t="e">
        <f>Raw!V353+"h_l!)W3"</f>
        <v>#VALUE!</v>
      </c>
      <c r="IT202" t="e">
        <f>Raw!W353+"h_l!)W4"</f>
        <v>#VALUE!</v>
      </c>
      <c r="IU202" t="e">
        <f>Raw!A354+"h_l!)W5"</f>
        <v>#VALUE!</v>
      </c>
      <c r="IV202" t="e">
        <f>Raw!B354+"h_l!)W6"</f>
        <v>#VALUE!</v>
      </c>
    </row>
    <row r="203" spans="6:256" x14ac:dyDescent="0.25">
      <c r="F203" t="e">
        <f>Raw!C354+"h_l!)W7"</f>
        <v>#VALUE!</v>
      </c>
      <c r="G203" t="e">
        <f>Raw!D354+"h_l!)W8"</f>
        <v>#VALUE!</v>
      </c>
      <c r="H203" t="e">
        <f>Raw!E354+"h_l!)W9"</f>
        <v>#VALUE!</v>
      </c>
      <c r="I203" t="e">
        <f>Raw!#REF!+"h_l!)W:"</f>
        <v>#REF!</v>
      </c>
      <c r="J203" t="e">
        <f>Raw!G354+"h_l!)W;"</f>
        <v>#VALUE!</v>
      </c>
      <c r="K203" t="e">
        <f>Raw!H354+"h_l!)W&lt;"</f>
        <v>#VALUE!</v>
      </c>
      <c r="L203" t="e">
        <f>Raw!I354+"h_l!)W="</f>
        <v>#VALUE!</v>
      </c>
      <c r="M203" t="e">
        <f>Raw!J354+"h_l!)W&gt;"</f>
        <v>#VALUE!</v>
      </c>
      <c r="N203" t="e">
        <f>Raw!K354+"h_l!)W?"</f>
        <v>#VALUE!</v>
      </c>
      <c r="O203" t="e">
        <f>Raw!L354+"h_l!)W@"</f>
        <v>#VALUE!</v>
      </c>
      <c r="P203" t="e">
        <f>Raw!M354+"h_l!)WA"</f>
        <v>#VALUE!</v>
      </c>
      <c r="Q203" t="e">
        <f>Raw!N354+"h_l!)WB"</f>
        <v>#VALUE!</v>
      </c>
      <c r="R203" t="e">
        <f>Raw!O354+"h_l!)WC"</f>
        <v>#VALUE!</v>
      </c>
      <c r="S203" t="e">
        <f>Raw!P354+"h_l!)WD"</f>
        <v>#VALUE!</v>
      </c>
      <c r="T203" t="e">
        <f>Raw!Q354+"h_l!)WE"</f>
        <v>#VALUE!</v>
      </c>
      <c r="U203" t="e">
        <f>Raw!R354+"h_l!)WF"</f>
        <v>#VALUE!</v>
      </c>
      <c r="V203" t="e">
        <f>Raw!S354+"h_l!)WG"</f>
        <v>#VALUE!</v>
      </c>
      <c r="W203" t="e">
        <f>Raw!T354+"h_l!)WH"</f>
        <v>#VALUE!</v>
      </c>
      <c r="X203" t="e">
        <f>Raw!U354+"h_l!)WI"</f>
        <v>#VALUE!</v>
      </c>
      <c r="Y203" t="e">
        <f>Raw!V354+"h_l!)WJ"</f>
        <v>#VALUE!</v>
      </c>
      <c r="Z203" t="e">
        <f>Raw!W354+"h_l!)WK"</f>
        <v>#VALUE!</v>
      </c>
      <c r="AA203" t="e">
        <f>Raw!A355+"h_l!)WL"</f>
        <v>#VALUE!</v>
      </c>
      <c r="AB203" t="e">
        <f>Raw!B355+"h_l!)WM"</f>
        <v>#VALUE!</v>
      </c>
      <c r="AC203" t="e">
        <f>Raw!C355+"h_l!)WN"</f>
        <v>#VALUE!</v>
      </c>
      <c r="AD203" t="e">
        <f>Raw!D355+"h_l!)WO"</f>
        <v>#VALUE!</v>
      </c>
      <c r="AE203" t="e">
        <f>Raw!E355+"h_l!)WP"</f>
        <v>#VALUE!</v>
      </c>
      <c r="AF203" t="e">
        <f>Raw!#REF!+"h_l!)WQ"</f>
        <v>#REF!</v>
      </c>
      <c r="AG203" t="e">
        <f>Raw!G355+"h_l!)WR"</f>
        <v>#VALUE!</v>
      </c>
      <c r="AH203" t="e">
        <f>Raw!H355+"h_l!)WS"</f>
        <v>#VALUE!</v>
      </c>
      <c r="AI203" t="e">
        <f>Raw!I355+"h_l!)WT"</f>
        <v>#VALUE!</v>
      </c>
      <c r="AJ203" t="e">
        <f>Raw!J355+"h_l!)WU"</f>
        <v>#VALUE!</v>
      </c>
      <c r="AK203" t="e">
        <f>Raw!K355+"h_l!)WV"</f>
        <v>#VALUE!</v>
      </c>
      <c r="AL203" t="e">
        <f>Raw!L355+"h_l!)WW"</f>
        <v>#VALUE!</v>
      </c>
      <c r="AM203" t="e">
        <f>Raw!M355+"h_l!)WX"</f>
        <v>#VALUE!</v>
      </c>
      <c r="AN203" t="e">
        <f>Raw!N355+"h_l!)WY"</f>
        <v>#VALUE!</v>
      </c>
      <c r="AO203" t="e">
        <f>Raw!O355+"h_l!)WZ"</f>
        <v>#VALUE!</v>
      </c>
      <c r="AP203" t="e">
        <f>Raw!P355+"h_l!)W["</f>
        <v>#VALUE!</v>
      </c>
      <c r="AQ203" t="e">
        <f>Raw!Q355+"h_l!)W\"</f>
        <v>#VALUE!</v>
      </c>
      <c r="AR203" t="e">
        <f>Raw!R355+"h_l!)W]"</f>
        <v>#VALUE!</v>
      </c>
      <c r="AS203" t="e">
        <f>Raw!S355+"h_l!)W^"</f>
        <v>#VALUE!</v>
      </c>
      <c r="AT203" t="e">
        <f>Raw!T355+"h_l!)W_"</f>
        <v>#VALUE!</v>
      </c>
      <c r="AU203" t="e">
        <f>Raw!U355+"h_l!)W`"</f>
        <v>#VALUE!</v>
      </c>
      <c r="AV203" t="e">
        <f>Raw!V355+"h_l!)Wa"</f>
        <v>#VALUE!</v>
      </c>
      <c r="AW203" t="e">
        <f>Raw!W355+"h_l!)Wb"</f>
        <v>#VALUE!</v>
      </c>
      <c r="AX203" t="e">
        <f>Raw!A356+"h_l!)Wc"</f>
        <v>#VALUE!</v>
      </c>
      <c r="AY203" t="e">
        <f>Raw!B356+"h_l!)Wd"</f>
        <v>#VALUE!</v>
      </c>
      <c r="AZ203" t="e">
        <f>Raw!C356+"h_l!)We"</f>
        <v>#VALUE!</v>
      </c>
      <c r="BA203" t="e">
        <f>Raw!D356+"h_l!)Wf"</f>
        <v>#VALUE!</v>
      </c>
      <c r="BB203" t="e">
        <f>Raw!E356+"h_l!)Wg"</f>
        <v>#VALUE!</v>
      </c>
      <c r="BC203" t="e">
        <f>Raw!#REF!+"h_l!)Wh"</f>
        <v>#REF!</v>
      </c>
      <c r="BD203" t="e">
        <f>Raw!G356+"h_l!)Wi"</f>
        <v>#VALUE!</v>
      </c>
      <c r="BE203" t="e">
        <f>Raw!H356+"h_l!)Wj"</f>
        <v>#VALUE!</v>
      </c>
      <c r="BF203" t="e">
        <f>Raw!I356+"h_l!)Wk"</f>
        <v>#VALUE!</v>
      </c>
      <c r="BG203" t="e">
        <f>Raw!J356+"h_l!)Wl"</f>
        <v>#VALUE!</v>
      </c>
      <c r="BH203" t="e">
        <f>Raw!K356+"h_l!)Wm"</f>
        <v>#VALUE!</v>
      </c>
      <c r="BI203" t="e">
        <f>Raw!L356+"h_l!)Wn"</f>
        <v>#VALUE!</v>
      </c>
      <c r="BJ203" t="e">
        <f>Raw!M356+"h_l!)Wo"</f>
        <v>#VALUE!</v>
      </c>
      <c r="BK203" t="e">
        <f>Raw!N356+"h_l!)Wp"</f>
        <v>#VALUE!</v>
      </c>
      <c r="BL203" t="e">
        <f>Raw!O356+"h_l!)Wq"</f>
        <v>#VALUE!</v>
      </c>
      <c r="BM203" t="e">
        <f>Raw!P356+"h_l!)Wr"</f>
        <v>#VALUE!</v>
      </c>
      <c r="BN203" t="e">
        <f>Raw!Q356+"h_l!)Ws"</f>
        <v>#VALUE!</v>
      </c>
      <c r="BO203" t="e">
        <f>Raw!R356+"h_l!)Wt"</f>
        <v>#VALUE!</v>
      </c>
      <c r="BP203" t="e">
        <f>Raw!S356+"h_l!)Wu"</f>
        <v>#VALUE!</v>
      </c>
      <c r="BQ203" t="e">
        <f>Raw!T356+"h_l!)Wv"</f>
        <v>#VALUE!</v>
      </c>
      <c r="BR203" t="e">
        <f>Raw!U356+"h_l!)Ww"</f>
        <v>#VALUE!</v>
      </c>
      <c r="BS203" t="e">
        <f>Raw!V356+"h_l!)Wx"</f>
        <v>#VALUE!</v>
      </c>
      <c r="BT203" t="e">
        <f>Raw!W356+"h_l!)Wy"</f>
        <v>#VALUE!</v>
      </c>
      <c r="BU203" t="e">
        <f>Raw!A357+"h_l!)Wz"</f>
        <v>#VALUE!</v>
      </c>
      <c r="BV203" t="e">
        <f>Raw!B357+"h_l!)W{"</f>
        <v>#VALUE!</v>
      </c>
      <c r="BW203" t="e">
        <f>Raw!C357+"h_l!)W|"</f>
        <v>#VALUE!</v>
      </c>
      <c r="BX203" t="e">
        <f>Raw!D357+"h_l!)W}"</f>
        <v>#VALUE!</v>
      </c>
      <c r="BY203" t="e">
        <f>Raw!E357+"h_l!)W~"</f>
        <v>#VALUE!</v>
      </c>
      <c r="BZ203" t="e">
        <f>Raw!#REF!+"h_l!)X#"</f>
        <v>#REF!</v>
      </c>
      <c r="CA203" t="e">
        <f>Raw!G357+"h_l!)X$"</f>
        <v>#VALUE!</v>
      </c>
      <c r="CB203" t="e">
        <f>Raw!H357+"h_l!)X%"</f>
        <v>#VALUE!</v>
      </c>
      <c r="CC203" t="e">
        <f>Raw!I357+"h_l!)X&amp;"</f>
        <v>#VALUE!</v>
      </c>
      <c r="CD203" t="e">
        <f>Raw!J357+"h_l!)X'"</f>
        <v>#VALUE!</v>
      </c>
      <c r="CE203" t="e">
        <f>Raw!K357+"h_l!)X("</f>
        <v>#VALUE!</v>
      </c>
      <c r="CF203" t="e">
        <f>Raw!L357+"h_l!)X)"</f>
        <v>#VALUE!</v>
      </c>
      <c r="CG203" t="e">
        <f>Raw!M357+"h_l!)X."</f>
        <v>#VALUE!</v>
      </c>
      <c r="CH203" t="e">
        <f>Raw!N357+"h_l!)X/"</f>
        <v>#VALUE!</v>
      </c>
      <c r="CI203" t="e">
        <f>Raw!O357+"h_l!)X0"</f>
        <v>#VALUE!</v>
      </c>
      <c r="CJ203" t="e">
        <f>Raw!P357+"h_l!)X1"</f>
        <v>#VALUE!</v>
      </c>
      <c r="CK203" t="e">
        <f>Raw!Q357+"h_l!)X2"</f>
        <v>#VALUE!</v>
      </c>
      <c r="CL203" t="e">
        <f>Raw!R357+"h_l!)X3"</f>
        <v>#VALUE!</v>
      </c>
      <c r="CM203" t="e">
        <f>Raw!S357+"h_l!)X4"</f>
        <v>#VALUE!</v>
      </c>
      <c r="CN203" t="e">
        <f>Raw!T357+"h_l!)X5"</f>
        <v>#VALUE!</v>
      </c>
      <c r="CO203" t="e">
        <f>Raw!U357+"h_l!)X6"</f>
        <v>#VALUE!</v>
      </c>
      <c r="CP203" t="e">
        <f>Raw!V357+"h_l!)X7"</f>
        <v>#VALUE!</v>
      </c>
      <c r="CQ203" t="e">
        <f>Raw!W357+"h_l!)X8"</f>
        <v>#VALUE!</v>
      </c>
      <c r="CR203" t="e">
        <f>Raw!A358+"h_l!)X9"</f>
        <v>#VALUE!</v>
      </c>
      <c r="CS203" t="e">
        <f>Raw!B358+"h_l!)X:"</f>
        <v>#VALUE!</v>
      </c>
      <c r="CT203" t="e">
        <f>Raw!C358+"h_l!)X;"</f>
        <v>#VALUE!</v>
      </c>
      <c r="CU203" t="e">
        <f>Raw!D358+"h_l!)X&lt;"</f>
        <v>#VALUE!</v>
      </c>
      <c r="CV203" t="e">
        <f>Raw!E358+"h_l!)X="</f>
        <v>#VALUE!</v>
      </c>
      <c r="CW203" t="e">
        <f>Raw!#REF!+"h_l!)X&gt;"</f>
        <v>#REF!</v>
      </c>
      <c r="CX203" t="e">
        <f>Raw!G358+"h_l!)X?"</f>
        <v>#VALUE!</v>
      </c>
      <c r="CY203" t="e">
        <f>Raw!H358+"h_l!)X@"</f>
        <v>#VALUE!</v>
      </c>
      <c r="CZ203" t="e">
        <f>Raw!I358+"h_l!)XA"</f>
        <v>#VALUE!</v>
      </c>
      <c r="DA203" t="e">
        <f>Raw!J358+"h_l!)XB"</f>
        <v>#VALUE!</v>
      </c>
      <c r="DB203" t="e">
        <f>Raw!K358+"h_l!)XC"</f>
        <v>#VALUE!</v>
      </c>
      <c r="DC203" t="e">
        <f>Raw!L358+"h_l!)XD"</f>
        <v>#VALUE!</v>
      </c>
      <c r="DD203" t="e">
        <f>Raw!M358+"h_l!)XE"</f>
        <v>#VALUE!</v>
      </c>
      <c r="DE203" t="e">
        <f>Raw!N358+"h_l!)XF"</f>
        <v>#VALUE!</v>
      </c>
      <c r="DF203" t="e">
        <f>Raw!O358+"h_l!)XG"</f>
        <v>#VALUE!</v>
      </c>
      <c r="DG203" t="e">
        <f>Raw!P358+"h_l!)XH"</f>
        <v>#VALUE!</v>
      </c>
      <c r="DH203" t="e">
        <f>Raw!Q358+"h_l!)XI"</f>
        <v>#VALUE!</v>
      </c>
      <c r="DI203" t="e">
        <f>Raw!R358+"h_l!)XJ"</f>
        <v>#VALUE!</v>
      </c>
      <c r="DJ203" t="e">
        <f>Raw!S358+"h_l!)XK"</f>
        <v>#VALUE!</v>
      </c>
      <c r="DK203" t="e">
        <f>Raw!T358+"h_l!)XL"</f>
        <v>#VALUE!</v>
      </c>
      <c r="DL203" t="e">
        <f>Raw!U358+"h_l!)XM"</f>
        <v>#VALUE!</v>
      </c>
      <c r="DM203" t="e">
        <f>Raw!V358+"h_l!)XN"</f>
        <v>#VALUE!</v>
      </c>
      <c r="DN203" t="e">
        <f>Raw!W358+"h_l!)XO"</f>
        <v>#VALUE!</v>
      </c>
      <c r="DO203" t="e">
        <f>Raw!A359+"h_l!)XP"</f>
        <v>#VALUE!</v>
      </c>
      <c r="DP203" t="e">
        <f>Raw!B359+"h_l!)XQ"</f>
        <v>#VALUE!</v>
      </c>
      <c r="DQ203" t="e">
        <f>Raw!C359+"h_l!)XR"</f>
        <v>#VALUE!</v>
      </c>
      <c r="DR203" t="e">
        <f>Raw!D359+"h_l!)XS"</f>
        <v>#VALUE!</v>
      </c>
      <c r="DS203" t="e">
        <f>Raw!E359+"h_l!)XT"</f>
        <v>#VALUE!</v>
      </c>
      <c r="DT203" t="e">
        <f>Raw!#REF!+"h_l!)XU"</f>
        <v>#REF!</v>
      </c>
      <c r="DU203" t="e">
        <f>Raw!G359+"h_l!)XV"</f>
        <v>#VALUE!</v>
      </c>
      <c r="DV203" t="e">
        <f>Raw!H359+"h_l!)XW"</f>
        <v>#VALUE!</v>
      </c>
      <c r="DW203" t="e">
        <f>Raw!I359+"h_l!)XX"</f>
        <v>#VALUE!</v>
      </c>
      <c r="DX203" t="e">
        <f>Raw!J359+"h_l!)XY"</f>
        <v>#VALUE!</v>
      </c>
      <c r="DY203" t="e">
        <f>Raw!K359+"h_l!)XZ"</f>
        <v>#VALUE!</v>
      </c>
      <c r="DZ203" t="e">
        <f>Raw!L359+"h_l!)X["</f>
        <v>#VALUE!</v>
      </c>
      <c r="EA203" t="e">
        <f>Raw!M359+"h_l!)X\"</f>
        <v>#VALUE!</v>
      </c>
      <c r="EB203" t="e">
        <f>Raw!N359+"h_l!)X]"</f>
        <v>#VALUE!</v>
      </c>
      <c r="EC203" t="e">
        <f>Raw!O359+"h_l!)X^"</f>
        <v>#VALUE!</v>
      </c>
      <c r="ED203" t="e">
        <f>Raw!P359+"h_l!)X_"</f>
        <v>#VALUE!</v>
      </c>
      <c r="EE203" t="e">
        <f>Raw!Q359+"h_l!)X`"</f>
        <v>#VALUE!</v>
      </c>
      <c r="EF203" t="e">
        <f>Raw!R359+"h_l!)Xa"</f>
        <v>#VALUE!</v>
      </c>
      <c r="EG203" t="e">
        <f>Raw!S359+"h_l!)Xb"</f>
        <v>#VALUE!</v>
      </c>
      <c r="EH203" t="e">
        <f>Raw!T359+"h_l!)Xc"</f>
        <v>#VALUE!</v>
      </c>
      <c r="EI203" t="e">
        <f>Raw!U359+"h_l!)Xd"</f>
        <v>#VALUE!</v>
      </c>
      <c r="EJ203" t="e">
        <f>Raw!V359+"h_l!)Xe"</f>
        <v>#VALUE!</v>
      </c>
      <c r="EK203" t="e">
        <f>Raw!W359+"h_l!)Xf"</f>
        <v>#VALUE!</v>
      </c>
      <c r="EL203" t="e">
        <f>Raw!A360+"h_l!)Xg"</f>
        <v>#VALUE!</v>
      </c>
      <c r="EM203" t="e">
        <f>Raw!B360+"h_l!)Xh"</f>
        <v>#VALUE!</v>
      </c>
      <c r="EN203" t="e">
        <f>Raw!C360+"h_l!)Xi"</f>
        <v>#VALUE!</v>
      </c>
      <c r="EO203" t="e">
        <f>Raw!D360+"h_l!)Xj"</f>
        <v>#VALUE!</v>
      </c>
      <c r="EP203" t="e">
        <f>Raw!E360+"h_l!)Xk"</f>
        <v>#VALUE!</v>
      </c>
      <c r="EQ203" t="e">
        <f>Raw!#REF!+"h_l!)Xl"</f>
        <v>#REF!</v>
      </c>
      <c r="ER203" t="e">
        <f>Raw!G360+"h_l!)Xm"</f>
        <v>#VALUE!</v>
      </c>
      <c r="ES203" t="e">
        <f>Raw!H360+"h_l!)Xn"</f>
        <v>#VALUE!</v>
      </c>
      <c r="ET203" t="e">
        <f>Raw!I360+"h_l!)Xo"</f>
        <v>#VALUE!</v>
      </c>
      <c r="EU203" t="e">
        <f>Raw!J360+"h_l!)Xp"</f>
        <v>#VALUE!</v>
      </c>
      <c r="EV203" t="e">
        <f>Raw!K360+"h_l!)Xq"</f>
        <v>#VALUE!</v>
      </c>
      <c r="EW203" t="e">
        <f>Raw!L360+"h_l!)Xr"</f>
        <v>#VALUE!</v>
      </c>
      <c r="EX203" t="e">
        <f>Raw!M360+"h_l!)Xs"</f>
        <v>#VALUE!</v>
      </c>
      <c r="EY203" t="e">
        <f>Raw!N360+"h_l!)Xt"</f>
        <v>#VALUE!</v>
      </c>
      <c r="EZ203" t="e">
        <f>Raw!O360+"h_l!)Xu"</f>
        <v>#VALUE!</v>
      </c>
      <c r="FA203" t="e">
        <f>Raw!P360+"h_l!)Xv"</f>
        <v>#VALUE!</v>
      </c>
      <c r="FB203" t="e">
        <f>Raw!Q360+"h_l!)Xw"</f>
        <v>#VALUE!</v>
      </c>
      <c r="FC203" t="e">
        <f>Raw!R360+"h_l!)Xx"</f>
        <v>#VALUE!</v>
      </c>
      <c r="FD203" t="e">
        <f>Raw!S360+"h_l!)Xy"</f>
        <v>#VALUE!</v>
      </c>
      <c r="FE203" t="e">
        <f>Raw!T360+"h_l!)Xz"</f>
        <v>#VALUE!</v>
      </c>
      <c r="FF203" t="e">
        <f>Raw!U360+"h_l!)X{"</f>
        <v>#VALUE!</v>
      </c>
      <c r="FG203" t="e">
        <f>Raw!V360+"h_l!)X|"</f>
        <v>#VALUE!</v>
      </c>
      <c r="FH203" t="e">
        <f>Raw!W360+"h_l!)X}"</f>
        <v>#VALUE!</v>
      </c>
      <c r="FI203" t="e">
        <f>Raw!A361+"h_l!)X~"</f>
        <v>#VALUE!</v>
      </c>
      <c r="FJ203" t="e">
        <f>Raw!B361+"h_l!)Y#"</f>
        <v>#VALUE!</v>
      </c>
      <c r="FK203" t="e">
        <f>Raw!C361+"h_l!)Y$"</f>
        <v>#VALUE!</v>
      </c>
      <c r="FL203" t="e">
        <f>Raw!D361+"h_l!)Y%"</f>
        <v>#VALUE!</v>
      </c>
      <c r="FM203" t="e">
        <f>Raw!E361+"h_l!)Y&amp;"</f>
        <v>#VALUE!</v>
      </c>
      <c r="FN203" t="e">
        <f>Raw!#REF!+"h_l!)Y'"</f>
        <v>#REF!</v>
      </c>
      <c r="FO203" t="e">
        <f>Raw!G361+"h_l!)Y("</f>
        <v>#VALUE!</v>
      </c>
      <c r="FP203" t="e">
        <f>Raw!H361+"h_l!)Y)"</f>
        <v>#VALUE!</v>
      </c>
      <c r="FQ203" t="e">
        <f>Raw!I361+"h_l!)Y."</f>
        <v>#VALUE!</v>
      </c>
      <c r="FR203" t="e">
        <f>Raw!J361+"h_l!)Y/"</f>
        <v>#VALUE!</v>
      </c>
      <c r="FS203" t="e">
        <f>Raw!K361+"h_l!)Y0"</f>
        <v>#VALUE!</v>
      </c>
      <c r="FT203" t="e">
        <f>Raw!L361+"h_l!)Y1"</f>
        <v>#VALUE!</v>
      </c>
      <c r="FU203" t="e">
        <f>Raw!M361+"h_l!)Y2"</f>
        <v>#VALUE!</v>
      </c>
      <c r="FV203" t="e">
        <f>Raw!N361+"h_l!)Y3"</f>
        <v>#VALUE!</v>
      </c>
      <c r="FW203" t="e">
        <f>Raw!O361+"h_l!)Y4"</f>
        <v>#VALUE!</v>
      </c>
      <c r="FX203" t="e">
        <f>Raw!P361+"h_l!)Y5"</f>
        <v>#VALUE!</v>
      </c>
      <c r="FY203" t="e">
        <f>Raw!Q361+"h_l!)Y6"</f>
        <v>#VALUE!</v>
      </c>
      <c r="FZ203" t="e">
        <f>Raw!R361+"h_l!)Y7"</f>
        <v>#VALUE!</v>
      </c>
      <c r="GA203" t="e">
        <f>Raw!S361+"h_l!)Y8"</f>
        <v>#VALUE!</v>
      </c>
      <c r="GB203" t="e">
        <f>Raw!T361+"h_l!)Y9"</f>
        <v>#VALUE!</v>
      </c>
      <c r="GC203" t="e">
        <f>Raw!U361+"h_l!)Y:"</f>
        <v>#VALUE!</v>
      </c>
      <c r="GD203" t="e">
        <f>Raw!V361+"h_l!)Y;"</f>
        <v>#VALUE!</v>
      </c>
      <c r="GE203" t="e">
        <f>Raw!W361+"h_l!)Y&lt;"</f>
        <v>#VALUE!</v>
      </c>
      <c r="GF203" t="e">
        <f>Raw!A362+"h_l!)Y="</f>
        <v>#VALUE!</v>
      </c>
      <c r="GG203" t="e">
        <f>Raw!B362+"h_l!)Y&gt;"</f>
        <v>#VALUE!</v>
      </c>
      <c r="GH203" t="e">
        <f>Raw!C362+"h_l!)Y?"</f>
        <v>#VALUE!</v>
      </c>
      <c r="GI203" t="e">
        <f>Raw!D362+"h_l!)Y@"</f>
        <v>#VALUE!</v>
      </c>
      <c r="GJ203" t="e">
        <f>Raw!E362+"h_l!)YA"</f>
        <v>#VALUE!</v>
      </c>
      <c r="GK203" t="e">
        <f>Raw!#REF!+"h_l!)YB"</f>
        <v>#REF!</v>
      </c>
      <c r="GL203" t="e">
        <f>Raw!G362+"h_l!)YC"</f>
        <v>#VALUE!</v>
      </c>
      <c r="GM203" t="e">
        <f>Raw!H362+"h_l!)YD"</f>
        <v>#VALUE!</v>
      </c>
      <c r="GN203" t="e">
        <f>Raw!I362+"h_l!)YE"</f>
        <v>#VALUE!</v>
      </c>
      <c r="GO203" t="e">
        <f>Raw!J362+"h_l!)YF"</f>
        <v>#VALUE!</v>
      </c>
      <c r="GP203" t="e">
        <f>Raw!K362+"h_l!)YG"</f>
        <v>#VALUE!</v>
      </c>
      <c r="GQ203" t="e">
        <f>Raw!L362+"h_l!)YH"</f>
        <v>#VALUE!</v>
      </c>
      <c r="GR203" t="e">
        <f>Raw!M362+"h_l!)YI"</f>
        <v>#VALUE!</v>
      </c>
      <c r="GS203" t="e">
        <f>Raw!N362+"h_l!)YJ"</f>
        <v>#VALUE!</v>
      </c>
      <c r="GT203" t="e">
        <f>Raw!O362+"h_l!)YK"</f>
        <v>#VALUE!</v>
      </c>
      <c r="GU203" t="e">
        <f>Raw!P362+"h_l!)YL"</f>
        <v>#VALUE!</v>
      </c>
      <c r="GV203" t="e">
        <f>Raw!Q362+"h_l!)YM"</f>
        <v>#VALUE!</v>
      </c>
      <c r="GW203" t="e">
        <f>Raw!R362+"h_l!)YN"</f>
        <v>#VALUE!</v>
      </c>
      <c r="GX203" t="e">
        <f>Raw!S362+"h_l!)YO"</f>
        <v>#VALUE!</v>
      </c>
      <c r="GY203" t="e">
        <f>Raw!T362+"h_l!)YP"</f>
        <v>#VALUE!</v>
      </c>
      <c r="GZ203" t="e">
        <f>Raw!U362+"h_l!)YQ"</f>
        <v>#VALUE!</v>
      </c>
      <c r="HA203" t="e">
        <f>Raw!V362+"h_l!)YR"</f>
        <v>#VALUE!</v>
      </c>
      <c r="HB203" t="e">
        <f>Raw!W362+"h_l!)YS"</f>
        <v>#VALUE!</v>
      </c>
      <c r="HC203" t="e">
        <f>Raw!A363+"h_l!)YT"</f>
        <v>#VALUE!</v>
      </c>
      <c r="HD203" t="e">
        <f>Raw!B363+"h_l!)YU"</f>
        <v>#VALUE!</v>
      </c>
      <c r="HE203" t="e">
        <f>Raw!C363+"h_l!)YV"</f>
        <v>#VALUE!</v>
      </c>
      <c r="HF203" t="e">
        <f>Raw!D363+"h_l!)YW"</f>
        <v>#VALUE!</v>
      </c>
      <c r="HG203" t="e">
        <f>Raw!E363+"h_l!)YX"</f>
        <v>#VALUE!</v>
      </c>
      <c r="HH203" t="e">
        <f>Raw!#REF!+"h_l!)YY"</f>
        <v>#REF!</v>
      </c>
      <c r="HI203" t="e">
        <f>Raw!G363+"h_l!)YZ"</f>
        <v>#VALUE!</v>
      </c>
      <c r="HJ203" t="e">
        <f>Raw!H363+"h_l!)Y["</f>
        <v>#VALUE!</v>
      </c>
      <c r="HK203" t="e">
        <f>Raw!I363+"h_l!)Y\"</f>
        <v>#VALUE!</v>
      </c>
      <c r="HL203" t="e">
        <f>Raw!J363+"h_l!)Y]"</f>
        <v>#VALUE!</v>
      </c>
      <c r="HM203" t="e">
        <f>Raw!K363+"h_l!)Y^"</f>
        <v>#VALUE!</v>
      </c>
      <c r="HN203" t="e">
        <f>Raw!L363+"h_l!)Y_"</f>
        <v>#VALUE!</v>
      </c>
      <c r="HO203" t="e">
        <f>Raw!M363+"h_l!)Y`"</f>
        <v>#VALUE!</v>
      </c>
      <c r="HP203" t="e">
        <f>Raw!N363+"h_l!)Ya"</f>
        <v>#VALUE!</v>
      </c>
      <c r="HQ203" t="e">
        <f>Raw!O363+"h_l!)Yb"</f>
        <v>#VALUE!</v>
      </c>
      <c r="HR203" t="e">
        <f>Raw!P363+"h_l!)Yc"</f>
        <v>#VALUE!</v>
      </c>
      <c r="HS203" t="e">
        <f>Raw!Q363+"h_l!)Yd"</f>
        <v>#VALUE!</v>
      </c>
      <c r="HT203" t="e">
        <f>Raw!R363+"h_l!)Ye"</f>
        <v>#VALUE!</v>
      </c>
      <c r="HU203" t="e">
        <f>Raw!S363+"h_l!)Yf"</f>
        <v>#VALUE!</v>
      </c>
      <c r="HV203" t="e">
        <f>Raw!T363+"h_l!)Yg"</f>
        <v>#VALUE!</v>
      </c>
      <c r="HW203" t="e">
        <f>Raw!U363+"h_l!)Yh"</f>
        <v>#VALUE!</v>
      </c>
      <c r="HX203" t="e">
        <f>Raw!V363+"h_l!)Yi"</f>
        <v>#VALUE!</v>
      </c>
      <c r="HY203" t="e">
        <f>Raw!W363+"h_l!)Yj"</f>
        <v>#VALUE!</v>
      </c>
      <c r="HZ203" t="e">
        <f>Raw!A364+"h_l!)Yk"</f>
        <v>#VALUE!</v>
      </c>
      <c r="IA203" t="e">
        <f>Raw!B364+"h_l!)Yl"</f>
        <v>#VALUE!</v>
      </c>
      <c r="IB203" t="e">
        <f>Raw!C364+"h_l!)Ym"</f>
        <v>#VALUE!</v>
      </c>
      <c r="IC203" t="e">
        <f>Raw!D364+"h_l!)Yn"</f>
        <v>#VALUE!</v>
      </c>
      <c r="ID203" t="e">
        <f>Raw!E364+"h_l!)Yo"</f>
        <v>#VALUE!</v>
      </c>
      <c r="IE203" t="e">
        <f>Raw!#REF!+"h_l!)Yp"</f>
        <v>#REF!</v>
      </c>
      <c r="IF203" t="e">
        <f>Raw!G364+"h_l!)Yq"</f>
        <v>#VALUE!</v>
      </c>
      <c r="IG203" t="e">
        <f>Raw!H364+"h_l!)Yr"</f>
        <v>#VALUE!</v>
      </c>
      <c r="IH203" t="e">
        <f>Raw!I364+"h_l!)Ys"</f>
        <v>#VALUE!</v>
      </c>
      <c r="II203" t="e">
        <f>Raw!J364+"h_l!)Yt"</f>
        <v>#VALUE!</v>
      </c>
      <c r="IJ203" t="e">
        <f>Raw!K364+"h_l!)Yu"</f>
        <v>#VALUE!</v>
      </c>
      <c r="IK203" t="e">
        <f>Raw!L364+"h_l!)Yv"</f>
        <v>#VALUE!</v>
      </c>
      <c r="IL203" t="e">
        <f>Raw!M364+"h_l!)Yw"</f>
        <v>#VALUE!</v>
      </c>
      <c r="IM203" t="e">
        <f>Raw!N364+"h_l!)Yx"</f>
        <v>#VALUE!</v>
      </c>
      <c r="IN203" t="e">
        <f>Raw!O364+"h_l!)Yy"</f>
        <v>#VALUE!</v>
      </c>
      <c r="IO203" t="e">
        <f>Raw!P364+"h_l!)Yz"</f>
        <v>#VALUE!</v>
      </c>
      <c r="IP203" t="e">
        <f>Raw!Q364+"h_l!)Y{"</f>
        <v>#VALUE!</v>
      </c>
      <c r="IQ203" t="e">
        <f>Raw!R364+"h_l!)Y|"</f>
        <v>#VALUE!</v>
      </c>
      <c r="IR203" t="e">
        <f>Raw!S364+"h_l!)Y}"</f>
        <v>#VALUE!</v>
      </c>
      <c r="IS203" t="e">
        <f>Raw!T364+"h_l!)Y~"</f>
        <v>#VALUE!</v>
      </c>
      <c r="IT203" t="e">
        <f>Raw!U364+"h_l!)Z#"</f>
        <v>#VALUE!</v>
      </c>
      <c r="IU203" t="e">
        <f>Raw!V364+"h_l!)Z$"</f>
        <v>#VALUE!</v>
      </c>
      <c r="IV203" t="e">
        <f>Raw!W364+"h_l!)Z%"</f>
        <v>#VALUE!</v>
      </c>
    </row>
    <row r="204" spans="6:256" x14ac:dyDescent="0.25">
      <c r="F204" t="e">
        <f>Raw!A365+"h_l!)Z&amp;"</f>
        <v>#VALUE!</v>
      </c>
      <c r="G204" t="e">
        <f>Raw!B365+"h_l!)Z'"</f>
        <v>#VALUE!</v>
      </c>
      <c r="H204" t="e">
        <f>Raw!C365+"h_l!)Z("</f>
        <v>#VALUE!</v>
      </c>
      <c r="I204" t="e">
        <f>Raw!D365+"h_l!)Z)"</f>
        <v>#VALUE!</v>
      </c>
      <c r="J204" t="e">
        <f>Raw!E365+"h_l!)Z."</f>
        <v>#VALUE!</v>
      </c>
      <c r="K204" t="e">
        <f>Raw!#REF!+"h_l!)Z/"</f>
        <v>#REF!</v>
      </c>
      <c r="L204" t="e">
        <f>Raw!G365+"h_l!)Z0"</f>
        <v>#VALUE!</v>
      </c>
      <c r="M204" t="e">
        <f>Raw!H365+"h_l!)Z1"</f>
        <v>#VALUE!</v>
      </c>
      <c r="N204" t="e">
        <f>Raw!I365+"h_l!)Z2"</f>
        <v>#VALUE!</v>
      </c>
      <c r="O204" t="e">
        <f>Raw!J365+"h_l!)Z3"</f>
        <v>#VALUE!</v>
      </c>
      <c r="P204" t="e">
        <f>Raw!K365+"h_l!)Z4"</f>
        <v>#VALUE!</v>
      </c>
      <c r="Q204" t="e">
        <f>Raw!L365+"h_l!)Z5"</f>
        <v>#VALUE!</v>
      </c>
      <c r="R204" t="e">
        <f>Raw!M365+"h_l!)Z6"</f>
        <v>#VALUE!</v>
      </c>
      <c r="S204" t="e">
        <f>Raw!N365+"h_l!)Z7"</f>
        <v>#VALUE!</v>
      </c>
      <c r="T204" t="e">
        <f>Raw!O365+"h_l!)Z8"</f>
        <v>#VALUE!</v>
      </c>
      <c r="U204" t="e">
        <f>Raw!P365+"h_l!)Z9"</f>
        <v>#VALUE!</v>
      </c>
      <c r="V204" t="e">
        <f>Raw!Q365+"h_l!)Z:"</f>
        <v>#VALUE!</v>
      </c>
      <c r="W204" t="e">
        <f>Raw!R365+"h_l!)Z;"</f>
        <v>#VALUE!</v>
      </c>
      <c r="X204" t="e">
        <f>Raw!S365+"h_l!)Z&lt;"</f>
        <v>#VALUE!</v>
      </c>
      <c r="Y204" t="e">
        <f>Raw!T365+"h_l!)Z="</f>
        <v>#VALUE!</v>
      </c>
      <c r="Z204" t="e">
        <f>Raw!U365+"h_l!)Z&gt;"</f>
        <v>#VALUE!</v>
      </c>
      <c r="AA204" t="e">
        <f>Raw!V365+"h_l!)Z?"</f>
        <v>#VALUE!</v>
      </c>
      <c r="AB204" t="e">
        <f>Raw!W365+"h_l!)Z@"</f>
        <v>#VALUE!</v>
      </c>
      <c r="AC204" t="e">
        <f>Raw!A366+"h_l!)ZA"</f>
        <v>#VALUE!</v>
      </c>
      <c r="AD204" t="e">
        <f>Raw!B366+"h_l!)ZB"</f>
        <v>#VALUE!</v>
      </c>
      <c r="AE204" t="e">
        <f>Raw!C366+"h_l!)ZC"</f>
        <v>#VALUE!</v>
      </c>
      <c r="AF204" t="e">
        <f>Raw!D366+"h_l!)ZD"</f>
        <v>#VALUE!</v>
      </c>
      <c r="AG204" t="e">
        <f>Raw!E366+"h_l!)ZE"</f>
        <v>#VALUE!</v>
      </c>
      <c r="AH204" t="e">
        <f>Raw!#REF!+"h_l!)ZF"</f>
        <v>#REF!</v>
      </c>
      <c r="AI204" t="e">
        <f>Raw!G366+"h_l!)ZG"</f>
        <v>#VALUE!</v>
      </c>
      <c r="AJ204" t="e">
        <f>Raw!H366+"h_l!)ZH"</f>
        <v>#VALUE!</v>
      </c>
      <c r="AK204" t="e">
        <f>Raw!I366+"h_l!)ZI"</f>
        <v>#VALUE!</v>
      </c>
      <c r="AL204" t="e">
        <f>Raw!J366+"h_l!)ZJ"</f>
        <v>#VALUE!</v>
      </c>
      <c r="AM204" t="e">
        <f>Raw!K366+"h_l!)ZK"</f>
        <v>#VALUE!</v>
      </c>
      <c r="AN204" t="e">
        <f>Raw!L366+"h_l!)ZL"</f>
        <v>#VALUE!</v>
      </c>
      <c r="AO204" t="e">
        <f>Raw!M366+"h_l!)ZM"</f>
        <v>#VALUE!</v>
      </c>
      <c r="AP204" t="e">
        <f>Raw!N366+"h_l!)ZN"</f>
        <v>#VALUE!</v>
      </c>
      <c r="AQ204" t="e">
        <f>Raw!O366+"h_l!)ZO"</f>
        <v>#VALUE!</v>
      </c>
      <c r="AR204" t="e">
        <f>Raw!P366+"h_l!)ZP"</f>
        <v>#VALUE!</v>
      </c>
      <c r="AS204" t="e">
        <f>Raw!Q366+"h_l!)ZQ"</f>
        <v>#VALUE!</v>
      </c>
      <c r="AT204" t="e">
        <f>Raw!R366+"h_l!)ZR"</f>
        <v>#VALUE!</v>
      </c>
      <c r="AU204" t="e">
        <f>Raw!S366+"h_l!)ZS"</f>
        <v>#VALUE!</v>
      </c>
      <c r="AV204" t="e">
        <f>Raw!T366+"h_l!)ZT"</f>
        <v>#VALUE!</v>
      </c>
      <c r="AW204" t="e">
        <f>Raw!U366+"h_l!)ZU"</f>
        <v>#VALUE!</v>
      </c>
      <c r="AX204" t="e">
        <f>Raw!V366+"h_l!)ZV"</f>
        <v>#VALUE!</v>
      </c>
      <c r="AY204" t="e">
        <f>Raw!W366+"h_l!)ZW"</f>
        <v>#VALUE!</v>
      </c>
      <c r="AZ204" t="e">
        <f>Raw!A367+"h_l!)ZX"</f>
        <v>#VALUE!</v>
      </c>
      <c r="BA204" t="e">
        <f>Raw!B367+"h_l!)ZY"</f>
        <v>#VALUE!</v>
      </c>
      <c r="BB204" t="e">
        <f>Raw!C367+"h_l!)ZZ"</f>
        <v>#VALUE!</v>
      </c>
      <c r="BC204" t="e">
        <f>Raw!D367+"h_l!)Z["</f>
        <v>#VALUE!</v>
      </c>
      <c r="BD204" t="e">
        <f>Raw!E367+"h_l!)Z\"</f>
        <v>#VALUE!</v>
      </c>
      <c r="BE204" t="e">
        <f>Raw!#REF!+"h_l!)Z]"</f>
        <v>#REF!</v>
      </c>
      <c r="BF204" t="e">
        <f>Raw!G367+"h_l!)Z^"</f>
        <v>#VALUE!</v>
      </c>
      <c r="BG204" t="e">
        <f>Raw!H367+"h_l!)Z_"</f>
        <v>#VALUE!</v>
      </c>
      <c r="BH204" t="e">
        <f>Raw!I367+"h_l!)Z`"</f>
        <v>#VALUE!</v>
      </c>
      <c r="BI204" t="e">
        <f>Raw!J367+"h_l!)Za"</f>
        <v>#VALUE!</v>
      </c>
      <c r="BJ204" t="e">
        <f>Raw!K367+"h_l!)Zb"</f>
        <v>#VALUE!</v>
      </c>
      <c r="BK204" t="e">
        <f>Raw!L367+"h_l!)Zc"</f>
        <v>#VALUE!</v>
      </c>
      <c r="BL204" t="e">
        <f>Raw!M367+"h_l!)Zd"</f>
        <v>#VALUE!</v>
      </c>
      <c r="BM204" t="e">
        <f>Raw!N367+"h_l!)Ze"</f>
        <v>#VALUE!</v>
      </c>
      <c r="BN204" t="e">
        <f>Raw!O367+"h_l!)Zf"</f>
        <v>#VALUE!</v>
      </c>
      <c r="BO204" t="e">
        <f>Raw!P367+"h_l!)Zg"</f>
        <v>#VALUE!</v>
      </c>
      <c r="BP204" t="e">
        <f>Raw!Q367+"h_l!)Zh"</f>
        <v>#VALUE!</v>
      </c>
      <c r="BQ204" t="e">
        <f>Raw!R367+"h_l!)Zi"</f>
        <v>#VALUE!</v>
      </c>
      <c r="BR204" t="e">
        <f>Raw!S367+"h_l!)Zj"</f>
        <v>#VALUE!</v>
      </c>
      <c r="BS204" t="e">
        <f>Raw!T367+"h_l!)Zk"</f>
        <v>#VALUE!</v>
      </c>
      <c r="BT204" t="e">
        <f>Raw!U367+"h_l!)Zl"</f>
        <v>#VALUE!</v>
      </c>
      <c r="BU204" t="e">
        <f>Raw!V367+"h_l!)Zm"</f>
        <v>#VALUE!</v>
      </c>
      <c r="BV204" t="e">
        <f>Raw!W367+"h_l!)Zn"</f>
        <v>#VALUE!</v>
      </c>
      <c r="BW204" t="e">
        <f>Raw!A368+"h_l!)Zo"</f>
        <v>#VALUE!</v>
      </c>
      <c r="BX204" t="e">
        <f>Raw!B368+"h_l!)Zp"</f>
        <v>#VALUE!</v>
      </c>
      <c r="BY204" t="e">
        <f>Raw!C368+"h_l!)Zq"</f>
        <v>#VALUE!</v>
      </c>
      <c r="BZ204" t="e">
        <f>Raw!D368+"h_l!)Zr"</f>
        <v>#VALUE!</v>
      </c>
      <c r="CA204" t="e">
        <f>Raw!E368+"h_l!)Zs"</f>
        <v>#VALUE!</v>
      </c>
      <c r="CB204" t="e">
        <f>Raw!#REF!+"h_l!)Zt"</f>
        <v>#REF!</v>
      </c>
      <c r="CC204" t="e">
        <f>Raw!G368+"h_l!)Zu"</f>
        <v>#VALUE!</v>
      </c>
      <c r="CD204" t="e">
        <f>Raw!H368+"h_l!)Zv"</f>
        <v>#VALUE!</v>
      </c>
      <c r="CE204" t="e">
        <f>Raw!I368+"h_l!)Zw"</f>
        <v>#VALUE!</v>
      </c>
      <c r="CF204" t="e">
        <f>Raw!J368+"h_l!)Zx"</f>
        <v>#VALUE!</v>
      </c>
      <c r="CG204" t="e">
        <f>Raw!K368+"h_l!)Zy"</f>
        <v>#VALUE!</v>
      </c>
      <c r="CH204" t="e">
        <f>Raw!L368+"h_l!)Zz"</f>
        <v>#VALUE!</v>
      </c>
      <c r="CI204" t="e">
        <f>Raw!M368+"h_l!)Z{"</f>
        <v>#VALUE!</v>
      </c>
      <c r="CJ204" t="e">
        <f>Raw!N368+"h_l!)Z|"</f>
        <v>#VALUE!</v>
      </c>
      <c r="CK204" t="e">
        <f>Raw!O368+"h_l!)Z}"</f>
        <v>#VALUE!</v>
      </c>
      <c r="CL204" t="e">
        <f>Raw!P368+"h_l!)Z~"</f>
        <v>#VALUE!</v>
      </c>
      <c r="CM204" t="e">
        <f>Raw!Q368+"h_l!)[#"</f>
        <v>#VALUE!</v>
      </c>
      <c r="CN204" t="e">
        <f>Raw!R368+"h_l!)[$"</f>
        <v>#VALUE!</v>
      </c>
      <c r="CO204" t="e">
        <f>Raw!S368+"h_l!)[%"</f>
        <v>#VALUE!</v>
      </c>
      <c r="CP204" t="e">
        <f>Raw!T368+"h_l!)[&amp;"</f>
        <v>#VALUE!</v>
      </c>
      <c r="CQ204" t="e">
        <f>Raw!U368+"h_l!)['"</f>
        <v>#VALUE!</v>
      </c>
      <c r="CR204" t="e">
        <f>Raw!V368+"h_l!)[("</f>
        <v>#VALUE!</v>
      </c>
      <c r="CS204" t="e">
        <f>Raw!W368+"h_l!)[)"</f>
        <v>#VALUE!</v>
      </c>
      <c r="CT204" t="e">
        <f>Raw!A369+"h_l!)[."</f>
        <v>#VALUE!</v>
      </c>
      <c r="CU204" t="e">
        <f>Raw!B369+"h_l!)[/"</f>
        <v>#VALUE!</v>
      </c>
      <c r="CV204" t="e">
        <f>Raw!C369+"h_l!)[0"</f>
        <v>#VALUE!</v>
      </c>
      <c r="CW204" t="e">
        <f>Raw!D369+"h_l!)[1"</f>
        <v>#VALUE!</v>
      </c>
      <c r="CX204" t="e">
        <f>Raw!E369+"h_l!)[2"</f>
        <v>#VALUE!</v>
      </c>
      <c r="CY204" t="e">
        <f>Raw!#REF!+"h_l!)[3"</f>
        <v>#REF!</v>
      </c>
      <c r="CZ204" t="e">
        <f>Raw!G369+"h_l!)[4"</f>
        <v>#VALUE!</v>
      </c>
      <c r="DA204" t="e">
        <f>Raw!H369+"h_l!)[5"</f>
        <v>#VALUE!</v>
      </c>
      <c r="DB204" t="e">
        <f>Raw!I369+"h_l!)[6"</f>
        <v>#VALUE!</v>
      </c>
      <c r="DC204" t="e">
        <f>Raw!J369+"h_l!)[7"</f>
        <v>#VALUE!</v>
      </c>
      <c r="DD204" t="e">
        <f>Raw!K369+"h_l!)[8"</f>
        <v>#VALUE!</v>
      </c>
      <c r="DE204" t="e">
        <f>Raw!L369+"h_l!)[9"</f>
        <v>#VALUE!</v>
      </c>
      <c r="DF204" t="e">
        <f>Raw!M369+"h_l!)[:"</f>
        <v>#VALUE!</v>
      </c>
      <c r="DG204" t="e">
        <f>Raw!N369+"h_l!)[;"</f>
        <v>#VALUE!</v>
      </c>
      <c r="DH204" t="e">
        <f>Raw!O369+"h_l!)[&lt;"</f>
        <v>#VALUE!</v>
      </c>
      <c r="DI204" t="e">
        <f>Raw!P369+"h_l!)[="</f>
        <v>#VALUE!</v>
      </c>
      <c r="DJ204" t="e">
        <f>Raw!Q369+"h_l!)[&gt;"</f>
        <v>#VALUE!</v>
      </c>
      <c r="DK204" t="e">
        <f>Raw!R369+"h_l!)[?"</f>
        <v>#VALUE!</v>
      </c>
      <c r="DL204" t="e">
        <f>Raw!S369+"h_l!)[@"</f>
        <v>#VALUE!</v>
      </c>
      <c r="DM204" t="e">
        <f>Raw!T369+"h_l!)[A"</f>
        <v>#VALUE!</v>
      </c>
      <c r="DN204" t="e">
        <f>Raw!U369+"h_l!)[B"</f>
        <v>#VALUE!</v>
      </c>
      <c r="DO204" t="e">
        <f>Raw!V369+"h_l!)[C"</f>
        <v>#VALUE!</v>
      </c>
      <c r="DP204" t="e">
        <f>Raw!W369+"h_l!)[D"</f>
        <v>#VALUE!</v>
      </c>
      <c r="DQ204" t="e">
        <f>Raw!A370+"h_l!)[E"</f>
        <v>#VALUE!</v>
      </c>
      <c r="DR204" t="e">
        <f>Raw!B370+"h_l!)[F"</f>
        <v>#VALUE!</v>
      </c>
      <c r="DS204" t="e">
        <f>Raw!C370+"h_l!)[G"</f>
        <v>#VALUE!</v>
      </c>
      <c r="DT204" t="e">
        <f>Raw!D370+"h_l!)[H"</f>
        <v>#VALUE!</v>
      </c>
      <c r="DU204" t="e">
        <f>Raw!E370+"h_l!)[I"</f>
        <v>#VALUE!</v>
      </c>
      <c r="DV204" t="e">
        <f>Raw!#REF!+"h_l!)[J"</f>
        <v>#REF!</v>
      </c>
      <c r="DW204" t="e">
        <f>Raw!G370+"h_l!)[K"</f>
        <v>#VALUE!</v>
      </c>
      <c r="DX204" t="e">
        <f>Raw!H370+"h_l!)[L"</f>
        <v>#VALUE!</v>
      </c>
      <c r="DY204" t="e">
        <f>Raw!I370+"h_l!)[M"</f>
        <v>#VALUE!</v>
      </c>
      <c r="DZ204" t="e">
        <f>Raw!J370+"h_l!)[N"</f>
        <v>#VALUE!</v>
      </c>
      <c r="EA204" t="e">
        <f>Raw!K370+"h_l!)[O"</f>
        <v>#VALUE!</v>
      </c>
      <c r="EB204" t="e">
        <f>Raw!L370+"h_l!)[P"</f>
        <v>#VALUE!</v>
      </c>
      <c r="EC204" t="e">
        <f>Raw!M370+"h_l!)[Q"</f>
        <v>#VALUE!</v>
      </c>
      <c r="ED204" t="e">
        <f>Raw!N370+"h_l!)[R"</f>
        <v>#VALUE!</v>
      </c>
      <c r="EE204" t="e">
        <f>Raw!O370+"h_l!)[S"</f>
        <v>#VALUE!</v>
      </c>
      <c r="EF204" t="e">
        <f>Raw!P370+"h_l!)[T"</f>
        <v>#VALUE!</v>
      </c>
      <c r="EG204" t="e">
        <f>Raw!Q370+"h_l!)[U"</f>
        <v>#VALUE!</v>
      </c>
      <c r="EH204" t="e">
        <f>Raw!R370+"h_l!)[V"</f>
        <v>#VALUE!</v>
      </c>
      <c r="EI204" t="e">
        <f>Raw!S370+"h_l!)[W"</f>
        <v>#VALUE!</v>
      </c>
      <c r="EJ204" t="e">
        <f>Raw!T370+"h_l!)[X"</f>
        <v>#VALUE!</v>
      </c>
      <c r="EK204" t="e">
        <f>Raw!U370+"h_l!)[Y"</f>
        <v>#VALUE!</v>
      </c>
      <c r="EL204" t="e">
        <f>Raw!V370+"h_l!)[Z"</f>
        <v>#VALUE!</v>
      </c>
      <c r="EM204" t="e">
        <f>Raw!W370+"h_l!)[["</f>
        <v>#VALUE!</v>
      </c>
      <c r="EN204" t="e">
        <f>Raw!A371+"h_l!)[\"</f>
        <v>#VALUE!</v>
      </c>
      <c r="EO204" t="e">
        <f>Raw!B371+"h_l!)[]"</f>
        <v>#VALUE!</v>
      </c>
      <c r="EP204" t="e">
        <f>Raw!C371+"h_l!)[^"</f>
        <v>#VALUE!</v>
      </c>
      <c r="EQ204" t="e">
        <f>Raw!D371+"h_l!)[_"</f>
        <v>#VALUE!</v>
      </c>
      <c r="ER204" t="e">
        <f>Raw!E371+"h_l!)[`"</f>
        <v>#VALUE!</v>
      </c>
      <c r="ES204" t="e">
        <f>Raw!#REF!+"h_l!)[a"</f>
        <v>#REF!</v>
      </c>
      <c r="ET204" t="e">
        <f>Raw!G371+"h_l!)[b"</f>
        <v>#VALUE!</v>
      </c>
      <c r="EU204" t="e">
        <f>Raw!H371+"h_l!)[c"</f>
        <v>#VALUE!</v>
      </c>
      <c r="EV204" t="e">
        <f>Raw!I371+"h_l!)[d"</f>
        <v>#VALUE!</v>
      </c>
      <c r="EW204" t="e">
        <f>Raw!J371+"h_l!)[e"</f>
        <v>#VALUE!</v>
      </c>
      <c r="EX204" t="e">
        <f>Raw!K371+"h_l!)[f"</f>
        <v>#VALUE!</v>
      </c>
      <c r="EY204" t="e">
        <f>Raw!L371+"h_l!)[g"</f>
        <v>#VALUE!</v>
      </c>
      <c r="EZ204" t="e">
        <f>Raw!M371+"h_l!)[h"</f>
        <v>#VALUE!</v>
      </c>
      <c r="FA204" t="e">
        <f>Raw!N371+"h_l!)[i"</f>
        <v>#VALUE!</v>
      </c>
      <c r="FB204" t="e">
        <f>Raw!O371+"h_l!)[j"</f>
        <v>#VALUE!</v>
      </c>
      <c r="FC204" t="e">
        <f>Raw!P371+"h_l!)[k"</f>
        <v>#VALUE!</v>
      </c>
      <c r="FD204" t="e">
        <f>Raw!Q371+"h_l!)[l"</f>
        <v>#VALUE!</v>
      </c>
      <c r="FE204" t="e">
        <f>Raw!R371+"h_l!)[m"</f>
        <v>#VALUE!</v>
      </c>
      <c r="FF204" t="e">
        <f>Raw!S371+"h_l!)[n"</f>
        <v>#VALUE!</v>
      </c>
      <c r="FG204" t="e">
        <f>Raw!T371+"h_l!)[o"</f>
        <v>#VALUE!</v>
      </c>
      <c r="FH204" t="e">
        <f>Raw!U371+"h_l!)[p"</f>
        <v>#VALUE!</v>
      </c>
      <c r="FI204" t="e">
        <f>Raw!V371+"h_l!)[q"</f>
        <v>#VALUE!</v>
      </c>
      <c r="FJ204" t="e">
        <f>Raw!W371+"h_l!)[r"</f>
        <v>#VALUE!</v>
      </c>
      <c r="FK204" t="e">
        <f>Raw!A372+"h_l!)[s"</f>
        <v>#VALUE!</v>
      </c>
      <c r="FL204" t="e">
        <f>Raw!B372+"h_l!)[t"</f>
        <v>#VALUE!</v>
      </c>
      <c r="FM204" t="e">
        <f>Raw!C372+"h_l!)[u"</f>
        <v>#VALUE!</v>
      </c>
      <c r="FN204" t="e">
        <f>Raw!D372+"h_l!)[v"</f>
        <v>#VALUE!</v>
      </c>
      <c r="FO204" t="e">
        <f>Raw!E372+"h_l!)[w"</f>
        <v>#VALUE!</v>
      </c>
      <c r="FP204" t="e">
        <f>Raw!#REF!+"h_l!)[x"</f>
        <v>#REF!</v>
      </c>
      <c r="FQ204" t="e">
        <f>Raw!G372+"h_l!)[y"</f>
        <v>#VALUE!</v>
      </c>
      <c r="FR204" t="e">
        <f>Raw!H372+"h_l!)[z"</f>
        <v>#VALUE!</v>
      </c>
      <c r="FS204" t="e">
        <f>Raw!I372+"h_l!)[{"</f>
        <v>#VALUE!</v>
      </c>
      <c r="FT204" t="e">
        <f>Raw!J372+"h_l!)[|"</f>
        <v>#VALUE!</v>
      </c>
      <c r="FU204" t="e">
        <f>Raw!K372+"h_l!)[}"</f>
        <v>#VALUE!</v>
      </c>
      <c r="FV204" t="e">
        <f>Raw!L372+"h_l!)[~"</f>
        <v>#VALUE!</v>
      </c>
      <c r="FW204" t="e">
        <f>Raw!M372+"h_l!)\#"</f>
        <v>#VALUE!</v>
      </c>
      <c r="FX204" t="e">
        <f>Raw!N372+"h_l!)\$"</f>
        <v>#VALUE!</v>
      </c>
      <c r="FY204" t="e">
        <f>Raw!O372+"h_l!)\%"</f>
        <v>#VALUE!</v>
      </c>
      <c r="FZ204" t="e">
        <f>Raw!P372+"h_l!)\&amp;"</f>
        <v>#VALUE!</v>
      </c>
      <c r="GA204" t="e">
        <f>Raw!Q372+"h_l!)\'"</f>
        <v>#VALUE!</v>
      </c>
      <c r="GB204" t="e">
        <f>Raw!R372+"h_l!)\("</f>
        <v>#VALUE!</v>
      </c>
      <c r="GC204" t="e">
        <f>Raw!S372+"h_l!)\)"</f>
        <v>#VALUE!</v>
      </c>
      <c r="GD204" t="e">
        <f>Raw!T372+"h_l!)\."</f>
        <v>#VALUE!</v>
      </c>
      <c r="GE204" t="e">
        <f>Raw!U372+"h_l!)\/"</f>
        <v>#VALUE!</v>
      </c>
      <c r="GF204" t="e">
        <f>Raw!V372+"h_l!)\0"</f>
        <v>#VALUE!</v>
      </c>
      <c r="GG204" t="e">
        <f>Raw!W372+"h_l!)\1"</f>
        <v>#VALUE!</v>
      </c>
      <c r="GH204" t="e">
        <f>Raw!A373+"h_l!)\2"</f>
        <v>#VALUE!</v>
      </c>
      <c r="GI204" t="e">
        <f>Raw!B373+"h_l!)\3"</f>
        <v>#VALUE!</v>
      </c>
      <c r="GJ204" t="e">
        <f>Raw!C373+"h_l!)\4"</f>
        <v>#VALUE!</v>
      </c>
      <c r="GK204" t="e">
        <f>Raw!D373+"h_l!)\5"</f>
        <v>#VALUE!</v>
      </c>
      <c r="GL204" t="e">
        <f>Raw!E373+"h_l!)\6"</f>
        <v>#VALUE!</v>
      </c>
      <c r="GM204" t="e">
        <f>Raw!#REF!+"h_l!)\7"</f>
        <v>#REF!</v>
      </c>
      <c r="GN204" t="e">
        <f>Raw!G373+"h_l!)\8"</f>
        <v>#VALUE!</v>
      </c>
      <c r="GO204" t="e">
        <f>Raw!H373+"h_l!)\9"</f>
        <v>#VALUE!</v>
      </c>
      <c r="GP204" t="e">
        <f>Raw!I373+"h_l!)\:"</f>
        <v>#VALUE!</v>
      </c>
      <c r="GQ204" t="e">
        <f>Raw!J373+"h_l!)\;"</f>
        <v>#VALUE!</v>
      </c>
      <c r="GR204" t="e">
        <f>Raw!K373+"h_l!)\&lt;"</f>
        <v>#VALUE!</v>
      </c>
      <c r="GS204" t="e">
        <f>Raw!L373+"h_l!)\="</f>
        <v>#VALUE!</v>
      </c>
      <c r="GT204" t="e">
        <f>Raw!M373+"h_l!)\&gt;"</f>
        <v>#VALUE!</v>
      </c>
      <c r="GU204" t="e">
        <f>Raw!N373+"h_l!)\?"</f>
        <v>#VALUE!</v>
      </c>
      <c r="GV204" t="e">
        <f>Raw!O373+"h_l!)\@"</f>
        <v>#VALUE!</v>
      </c>
      <c r="GW204" t="e">
        <f>Raw!P373+"h_l!)\A"</f>
        <v>#VALUE!</v>
      </c>
      <c r="GX204" t="e">
        <f>Raw!Q373+"h_l!)\B"</f>
        <v>#VALUE!</v>
      </c>
      <c r="GY204" t="e">
        <f>Raw!R373+"h_l!)\C"</f>
        <v>#VALUE!</v>
      </c>
      <c r="GZ204" t="e">
        <f>Raw!S373+"h_l!)\D"</f>
        <v>#VALUE!</v>
      </c>
      <c r="HA204" t="e">
        <f>Raw!T373+"h_l!)\E"</f>
        <v>#VALUE!</v>
      </c>
      <c r="HB204" t="e">
        <f>Raw!U373+"h_l!)\F"</f>
        <v>#VALUE!</v>
      </c>
      <c r="HC204" t="e">
        <f>Raw!V373+"h_l!)\G"</f>
        <v>#VALUE!</v>
      </c>
      <c r="HD204" t="e">
        <f>Raw!W373+"h_l!)\H"</f>
        <v>#VALUE!</v>
      </c>
      <c r="HE204" t="e">
        <f>Raw!A374+"h_l!)\I"</f>
        <v>#VALUE!</v>
      </c>
      <c r="HF204" t="e">
        <f>Raw!B374+"h_l!)\J"</f>
        <v>#VALUE!</v>
      </c>
      <c r="HG204" t="e">
        <f>Raw!C374+"h_l!)\K"</f>
        <v>#VALUE!</v>
      </c>
      <c r="HH204" t="e">
        <f>Raw!D374+"h_l!)\L"</f>
        <v>#VALUE!</v>
      </c>
      <c r="HI204" t="e">
        <f>Raw!E374+"h_l!)\M"</f>
        <v>#VALUE!</v>
      </c>
      <c r="HJ204" t="e">
        <f>Raw!#REF!+"h_l!)\N"</f>
        <v>#REF!</v>
      </c>
      <c r="HK204" t="e">
        <f>Raw!G374+"h_l!)\O"</f>
        <v>#VALUE!</v>
      </c>
      <c r="HL204" t="e">
        <f>Raw!H374+"h_l!)\P"</f>
        <v>#VALUE!</v>
      </c>
      <c r="HM204" t="e">
        <f>Raw!I374+"h_l!)\Q"</f>
        <v>#VALUE!</v>
      </c>
      <c r="HN204" t="e">
        <f>Raw!J374+"h_l!)\R"</f>
        <v>#VALUE!</v>
      </c>
      <c r="HO204" t="e">
        <f>Raw!K374+"h_l!)\S"</f>
        <v>#VALUE!</v>
      </c>
      <c r="HP204" t="e">
        <f>Raw!L374+"h_l!)\T"</f>
        <v>#VALUE!</v>
      </c>
      <c r="HQ204" t="e">
        <f>Raw!M374+"h_l!)\U"</f>
        <v>#VALUE!</v>
      </c>
      <c r="HR204" t="e">
        <f>Raw!N374+"h_l!)\V"</f>
        <v>#VALUE!</v>
      </c>
      <c r="HS204" t="e">
        <f>Raw!O374+"h_l!)\W"</f>
        <v>#VALUE!</v>
      </c>
      <c r="HT204" t="e">
        <f>Raw!P374+"h_l!)\X"</f>
        <v>#VALUE!</v>
      </c>
      <c r="HU204" t="e">
        <f>Raw!Q374+"h_l!)\Y"</f>
        <v>#VALUE!</v>
      </c>
      <c r="HV204" t="e">
        <f>Raw!R374+"h_l!)\Z"</f>
        <v>#VALUE!</v>
      </c>
      <c r="HW204" t="e">
        <f>Raw!S374+"h_l!)\["</f>
        <v>#VALUE!</v>
      </c>
      <c r="HX204" t="e">
        <f>Raw!T374+"h_l!)\\"</f>
        <v>#VALUE!</v>
      </c>
      <c r="HY204" t="e">
        <f>Raw!U374+"h_l!)\]"</f>
        <v>#VALUE!</v>
      </c>
      <c r="HZ204" t="e">
        <f>Raw!V374+"h_l!)\^"</f>
        <v>#VALUE!</v>
      </c>
      <c r="IA204" t="e">
        <f>Raw!W374+"h_l!)\_"</f>
        <v>#VALUE!</v>
      </c>
      <c r="IB204" t="e">
        <f>Raw!A375+"h_l!)\`"</f>
        <v>#VALUE!</v>
      </c>
      <c r="IC204" t="e">
        <f>Raw!B375+"h_l!)\a"</f>
        <v>#VALUE!</v>
      </c>
      <c r="ID204" t="e">
        <f>Raw!C375+"h_l!)\b"</f>
        <v>#VALUE!</v>
      </c>
      <c r="IE204" t="e">
        <f>Raw!D375+"h_l!)\c"</f>
        <v>#VALUE!</v>
      </c>
      <c r="IF204" t="e">
        <f>Raw!E375+"h_l!)\d"</f>
        <v>#VALUE!</v>
      </c>
      <c r="IG204" t="e">
        <f>Raw!#REF!+"h_l!)\e"</f>
        <v>#REF!</v>
      </c>
      <c r="IH204" t="e">
        <f>Raw!G375+"h_l!)\f"</f>
        <v>#VALUE!</v>
      </c>
      <c r="II204" t="e">
        <f>Raw!H375+"h_l!)\g"</f>
        <v>#VALUE!</v>
      </c>
      <c r="IJ204" t="e">
        <f>Raw!I375+"h_l!)\h"</f>
        <v>#VALUE!</v>
      </c>
      <c r="IK204" t="e">
        <f>Raw!J375+"h_l!)\i"</f>
        <v>#VALUE!</v>
      </c>
      <c r="IL204" t="e">
        <f>Raw!K375+"h_l!)\j"</f>
        <v>#VALUE!</v>
      </c>
      <c r="IM204" t="e">
        <f>Raw!L375+"h_l!)\k"</f>
        <v>#VALUE!</v>
      </c>
      <c r="IN204" t="e">
        <f>Raw!M375+"h_l!)\l"</f>
        <v>#VALUE!</v>
      </c>
      <c r="IO204" t="e">
        <f>Raw!N375+"h_l!)\m"</f>
        <v>#VALUE!</v>
      </c>
      <c r="IP204" t="e">
        <f>Raw!O375+"h_l!)\n"</f>
        <v>#VALUE!</v>
      </c>
      <c r="IQ204" t="e">
        <f>Raw!P375+"h_l!)\o"</f>
        <v>#VALUE!</v>
      </c>
      <c r="IR204" t="e">
        <f>Raw!Q375+"h_l!)\p"</f>
        <v>#VALUE!</v>
      </c>
      <c r="IS204" t="e">
        <f>Raw!R375+"h_l!)\q"</f>
        <v>#VALUE!</v>
      </c>
      <c r="IT204" t="e">
        <f>Raw!S375+"h_l!)\r"</f>
        <v>#VALUE!</v>
      </c>
      <c r="IU204" t="e">
        <f>Raw!T375+"h_l!)\s"</f>
        <v>#VALUE!</v>
      </c>
      <c r="IV204" t="e">
        <f>Raw!U375+"h_l!)\t"</f>
        <v>#VALUE!</v>
      </c>
    </row>
    <row r="205" spans="6:256" x14ac:dyDescent="0.25">
      <c r="F205" t="e">
        <f>Raw!V375+"h_l!)\u"</f>
        <v>#VALUE!</v>
      </c>
      <c r="G205" t="e">
        <f>Raw!W375+"h_l!)\v"</f>
        <v>#VALUE!</v>
      </c>
      <c r="H205" t="e">
        <f>Raw!A376+"h_l!)\w"</f>
        <v>#VALUE!</v>
      </c>
      <c r="I205" t="e">
        <f>Raw!B376+"h_l!)\x"</f>
        <v>#VALUE!</v>
      </c>
      <c r="J205" t="e">
        <f>Raw!C376+"h_l!)\y"</f>
        <v>#VALUE!</v>
      </c>
      <c r="K205" t="e">
        <f>Raw!D376+"h_l!)\z"</f>
        <v>#VALUE!</v>
      </c>
      <c r="L205" t="e">
        <f>Raw!E376+"h_l!)\{"</f>
        <v>#VALUE!</v>
      </c>
      <c r="M205" t="e">
        <f>Raw!#REF!+"h_l!)\|"</f>
        <v>#REF!</v>
      </c>
      <c r="N205" t="e">
        <f>Raw!G376+"h_l!)\}"</f>
        <v>#VALUE!</v>
      </c>
      <c r="O205" t="e">
        <f>Raw!H376+"h_l!)\~"</f>
        <v>#VALUE!</v>
      </c>
      <c r="P205" t="e">
        <f>Raw!I376+"h_l!)]#"</f>
        <v>#VALUE!</v>
      </c>
      <c r="Q205" t="e">
        <f>Raw!J376+"h_l!)]$"</f>
        <v>#VALUE!</v>
      </c>
      <c r="R205" t="e">
        <f>Raw!K376+"h_l!)]%"</f>
        <v>#VALUE!</v>
      </c>
      <c r="S205" t="e">
        <f>Raw!L376+"h_l!)]&amp;"</f>
        <v>#VALUE!</v>
      </c>
      <c r="T205" t="e">
        <f>Raw!M376+"h_l!)]'"</f>
        <v>#VALUE!</v>
      </c>
      <c r="U205" t="e">
        <f>Raw!N376+"h_l!)]("</f>
        <v>#VALUE!</v>
      </c>
      <c r="V205" t="e">
        <f>Raw!O376+"h_l!)])"</f>
        <v>#VALUE!</v>
      </c>
      <c r="W205" t="e">
        <f>Raw!P376+"h_l!)]."</f>
        <v>#VALUE!</v>
      </c>
      <c r="X205" t="e">
        <f>Raw!Q376+"h_l!)]/"</f>
        <v>#VALUE!</v>
      </c>
      <c r="Y205" t="e">
        <f>Raw!R376+"h_l!)]0"</f>
        <v>#VALUE!</v>
      </c>
      <c r="Z205" t="e">
        <f>Raw!S376+"h_l!)]1"</f>
        <v>#VALUE!</v>
      </c>
      <c r="AA205" t="e">
        <f>Raw!T376+"h_l!)]2"</f>
        <v>#VALUE!</v>
      </c>
      <c r="AB205" t="e">
        <f>Raw!U376+"h_l!)]3"</f>
        <v>#VALUE!</v>
      </c>
      <c r="AC205" t="e">
        <f>Raw!V376+"h_l!)]4"</f>
        <v>#VALUE!</v>
      </c>
      <c r="AD205" t="e">
        <f>Raw!W376+"h_l!)]5"</f>
        <v>#VALUE!</v>
      </c>
      <c r="AE205" t="e">
        <f>Raw!A377+"h_l!)]6"</f>
        <v>#VALUE!</v>
      </c>
      <c r="AF205" t="e">
        <f>Raw!B377+"h_l!)]7"</f>
        <v>#VALUE!</v>
      </c>
      <c r="AG205" t="e">
        <f>Raw!C377+"h_l!)]8"</f>
        <v>#VALUE!</v>
      </c>
      <c r="AH205" t="e">
        <f>Raw!D377+"h_l!)]9"</f>
        <v>#VALUE!</v>
      </c>
      <c r="AI205" t="e">
        <f>Raw!E377+"h_l!)]:"</f>
        <v>#VALUE!</v>
      </c>
      <c r="AJ205" t="e">
        <f>Raw!#REF!+"h_l!)];"</f>
        <v>#REF!</v>
      </c>
      <c r="AK205" t="e">
        <f>Raw!G377+"h_l!)]&lt;"</f>
        <v>#VALUE!</v>
      </c>
      <c r="AL205" t="e">
        <f>Raw!H377+"h_l!)]="</f>
        <v>#VALUE!</v>
      </c>
      <c r="AM205" t="e">
        <f>Raw!I377+"h_l!)]&gt;"</f>
        <v>#VALUE!</v>
      </c>
      <c r="AN205" t="e">
        <f>Raw!J377+"h_l!)]?"</f>
        <v>#VALUE!</v>
      </c>
      <c r="AO205" t="e">
        <f>Raw!K377+"h_l!)]@"</f>
        <v>#VALUE!</v>
      </c>
      <c r="AP205" t="e">
        <f>Raw!L377+"h_l!)]A"</f>
        <v>#VALUE!</v>
      </c>
      <c r="AQ205" t="e">
        <f>Raw!M377+"h_l!)]B"</f>
        <v>#VALUE!</v>
      </c>
      <c r="AR205" t="e">
        <f>Raw!N377+"h_l!)]C"</f>
        <v>#VALUE!</v>
      </c>
      <c r="AS205" t="e">
        <f>Raw!O377+"h_l!)]D"</f>
        <v>#VALUE!</v>
      </c>
      <c r="AT205" t="e">
        <f>Raw!P377+"h_l!)]E"</f>
        <v>#VALUE!</v>
      </c>
      <c r="AU205" t="e">
        <f>Raw!Q377+"h_l!)]F"</f>
        <v>#VALUE!</v>
      </c>
      <c r="AV205" t="e">
        <f>Raw!R377+"h_l!)]G"</f>
        <v>#VALUE!</v>
      </c>
      <c r="AW205" t="e">
        <f>Raw!S377+"h_l!)]H"</f>
        <v>#VALUE!</v>
      </c>
      <c r="AX205" t="e">
        <f>Raw!T377+"h_l!)]I"</f>
        <v>#VALUE!</v>
      </c>
      <c r="AY205" t="e">
        <f>Raw!U377+"h_l!)]J"</f>
        <v>#VALUE!</v>
      </c>
      <c r="AZ205" t="e">
        <f>Raw!V377+"h_l!)]K"</f>
        <v>#VALUE!</v>
      </c>
      <c r="BA205" t="e">
        <f>Raw!W377+"h_l!)]L"</f>
        <v>#VALUE!</v>
      </c>
      <c r="BB205" t="e">
        <f>Raw!A378+"h_l!)]M"</f>
        <v>#VALUE!</v>
      </c>
      <c r="BC205" t="e">
        <f>Raw!B378+"h_l!)]N"</f>
        <v>#VALUE!</v>
      </c>
      <c r="BD205" t="e">
        <f>Raw!C378+"h_l!)]O"</f>
        <v>#VALUE!</v>
      </c>
      <c r="BE205" t="e">
        <f>Raw!D378+"h_l!)]P"</f>
        <v>#VALUE!</v>
      </c>
      <c r="BF205" t="e">
        <f>Raw!E378+"h_l!)]Q"</f>
        <v>#VALUE!</v>
      </c>
      <c r="BG205" t="e">
        <f>Raw!#REF!+"h_l!)]R"</f>
        <v>#REF!</v>
      </c>
      <c r="BH205" t="e">
        <f>Raw!G378+"h_l!)]S"</f>
        <v>#VALUE!</v>
      </c>
      <c r="BI205" t="e">
        <f>Raw!H378+"h_l!)]T"</f>
        <v>#VALUE!</v>
      </c>
      <c r="BJ205" t="e">
        <f>Raw!I378+"h_l!)]U"</f>
        <v>#VALUE!</v>
      </c>
      <c r="BK205" t="e">
        <f>Raw!J378+"h_l!)]V"</f>
        <v>#VALUE!</v>
      </c>
      <c r="BL205" t="e">
        <f>Raw!K378+"h_l!)]W"</f>
        <v>#VALUE!</v>
      </c>
      <c r="BM205" t="e">
        <f>Raw!L378+"h_l!)]X"</f>
        <v>#VALUE!</v>
      </c>
      <c r="BN205" t="e">
        <f>Raw!M378+"h_l!)]Y"</f>
        <v>#VALUE!</v>
      </c>
      <c r="BO205" t="e">
        <f>Raw!N378+"h_l!)]Z"</f>
        <v>#VALUE!</v>
      </c>
      <c r="BP205" t="e">
        <f>Raw!O378+"h_l!)]["</f>
        <v>#VALUE!</v>
      </c>
      <c r="BQ205" t="e">
        <f>Raw!P378+"h_l!)]\"</f>
        <v>#VALUE!</v>
      </c>
      <c r="BR205" t="e">
        <f>Raw!Q378+"h_l!)]]"</f>
        <v>#VALUE!</v>
      </c>
      <c r="BS205" t="e">
        <f>Raw!R378+"h_l!)]^"</f>
        <v>#VALUE!</v>
      </c>
      <c r="BT205" t="e">
        <f>Raw!S378+"h_l!)]_"</f>
        <v>#VALUE!</v>
      </c>
      <c r="BU205" t="e">
        <f>Raw!T378+"h_l!)]`"</f>
        <v>#VALUE!</v>
      </c>
      <c r="BV205" t="e">
        <f>Raw!U378+"h_l!)]a"</f>
        <v>#VALUE!</v>
      </c>
      <c r="BW205" t="e">
        <f>Raw!V378+"h_l!)]b"</f>
        <v>#VALUE!</v>
      </c>
      <c r="BX205" t="e">
        <f>Raw!W378+"h_l!)]c"</f>
        <v>#VALUE!</v>
      </c>
      <c r="BY205" t="e">
        <f>Raw!A379+"h_l!)]d"</f>
        <v>#VALUE!</v>
      </c>
      <c r="BZ205" t="e">
        <f>Raw!B379+"h_l!)]e"</f>
        <v>#VALUE!</v>
      </c>
      <c r="CA205" t="e">
        <f>Raw!C379+"h_l!)]f"</f>
        <v>#VALUE!</v>
      </c>
      <c r="CB205" t="e">
        <f>Raw!D379+"h_l!)]g"</f>
        <v>#VALUE!</v>
      </c>
      <c r="CC205" t="e">
        <f>Raw!E379+"h_l!)]h"</f>
        <v>#VALUE!</v>
      </c>
      <c r="CD205" t="e">
        <f>Raw!#REF!+"h_l!)]i"</f>
        <v>#REF!</v>
      </c>
      <c r="CE205" t="e">
        <f>Raw!G379+"h_l!)]j"</f>
        <v>#VALUE!</v>
      </c>
      <c r="CF205" t="e">
        <f>Raw!H379+"h_l!)]k"</f>
        <v>#VALUE!</v>
      </c>
      <c r="CG205" t="e">
        <f>Raw!I379+"h_l!)]l"</f>
        <v>#VALUE!</v>
      </c>
      <c r="CH205" t="e">
        <f>Raw!J379+"h_l!)]m"</f>
        <v>#VALUE!</v>
      </c>
      <c r="CI205" t="e">
        <f>Raw!K379+"h_l!)]n"</f>
        <v>#VALUE!</v>
      </c>
      <c r="CJ205" t="e">
        <f>Raw!L379+"h_l!)]o"</f>
        <v>#VALUE!</v>
      </c>
      <c r="CK205" t="e">
        <f>Raw!M379+"h_l!)]p"</f>
        <v>#VALUE!</v>
      </c>
      <c r="CL205" t="e">
        <f>Raw!N379+"h_l!)]q"</f>
        <v>#VALUE!</v>
      </c>
      <c r="CM205" t="e">
        <f>Raw!O379+"h_l!)]r"</f>
        <v>#VALUE!</v>
      </c>
      <c r="CN205" t="e">
        <f>Raw!P379+"h_l!)]s"</f>
        <v>#VALUE!</v>
      </c>
      <c r="CO205" t="e">
        <f>Raw!Q379+"h_l!)]t"</f>
        <v>#VALUE!</v>
      </c>
      <c r="CP205" t="e">
        <f>Raw!R379+"h_l!)]u"</f>
        <v>#VALUE!</v>
      </c>
      <c r="CQ205" t="e">
        <f>Raw!S379+"h_l!)]v"</f>
        <v>#VALUE!</v>
      </c>
      <c r="CR205" t="e">
        <f>Raw!T379+"h_l!)]w"</f>
        <v>#VALUE!</v>
      </c>
      <c r="CS205" t="e">
        <f>Raw!U379+"h_l!)]x"</f>
        <v>#VALUE!</v>
      </c>
      <c r="CT205" t="e">
        <f>Raw!V379+"h_l!)]y"</f>
        <v>#VALUE!</v>
      </c>
      <c r="CU205" t="e">
        <f>Raw!W379+"h_l!)]z"</f>
        <v>#VALUE!</v>
      </c>
      <c r="CV205" t="e">
        <f>Raw!A380+"h_l!)]{"</f>
        <v>#VALUE!</v>
      </c>
      <c r="CW205" t="e">
        <f>Raw!B380+"h_l!)]|"</f>
        <v>#VALUE!</v>
      </c>
      <c r="CX205" t="e">
        <f>Raw!C380+"h_l!)]}"</f>
        <v>#VALUE!</v>
      </c>
      <c r="CY205" t="e">
        <f>Raw!D380+"h_l!)]~"</f>
        <v>#VALUE!</v>
      </c>
      <c r="CZ205" t="e">
        <f>Raw!E380+"h_l!)^#"</f>
        <v>#VALUE!</v>
      </c>
      <c r="DA205" t="e">
        <f>Raw!#REF!+"h_l!)^$"</f>
        <v>#REF!</v>
      </c>
      <c r="DB205" t="e">
        <f>Raw!G380+"h_l!)^%"</f>
        <v>#VALUE!</v>
      </c>
      <c r="DC205" t="e">
        <f>Raw!H380+"h_l!)^&amp;"</f>
        <v>#VALUE!</v>
      </c>
      <c r="DD205" t="e">
        <f>Raw!I380+"h_l!)^'"</f>
        <v>#VALUE!</v>
      </c>
      <c r="DE205" t="e">
        <f>Raw!J380+"h_l!)^("</f>
        <v>#VALUE!</v>
      </c>
      <c r="DF205" t="e">
        <f>Raw!K380+"h_l!)^)"</f>
        <v>#VALUE!</v>
      </c>
      <c r="DG205" t="e">
        <f>Raw!L380+"h_l!)^."</f>
        <v>#VALUE!</v>
      </c>
      <c r="DH205" t="e">
        <f>Raw!M380+"h_l!)^/"</f>
        <v>#VALUE!</v>
      </c>
      <c r="DI205" t="e">
        <f>Raw!N380+"h_l!)^0"</f>
        <v>#VALUE!</v>
      </c>
      <c r="DJ205" t="e">
        <f>Raw!O380+"h_l!)^1"</f>
        <v>#VALUE!</v>
      </c>
      <c r="DK205" t="e">
        <f>Raw!P380+"h_l!)^2"</f>
        <v>#VALUE!</v>
      </c>
      <c r="DL205" t="e">
        <f>Raw!Q380+"h_l!)^3"</f>
        <v>#VALUE!</v>
      </c>
      <c r="DM205" t="e">
        <f>Raw!R380+"h_l!)^4"</f>
        <v>#VALUE!</v>
      </c>
      <c r="DN205" t="e">
        <f>Raw!S380+"h_l!)^5"</f>
        <v>#VALUE!</v>
      </c>
      <c r="DO205" t="e">
        <f>Raw!T380+"h_l!)^6"</f>
        <v>#VALUE!</v>
      </c>
      <c r="DP205" t="e">
        <f>Raw!U380+"h_l!)^7"</f>
        <v>#VALUE!</v>
      </c>
      <c r="DQ205" t="e">
        <f>Raw!V380+"h_l!)^8"</f>
        <v>#VALUE!</v>
      </c>
      <c r="DR205" t="e">
        <f>Raw!W380+"h_l!)^9"</f>
        <v>#VALUE!</v>
      </c>
      <c r="DS205" t="e">
        <f>Raw!A381+"h_l!)^:"</f>
        <v>#VALUE!</v>
      </c>
      <c r="DT205" t="e">
        <f>Raw!B381+"h_l!)^;"</f>
        <v>#VALUE!</v>
      </c>
      <c r="DU205" t="e">
        <f>Raw!C381+"h_l!)^&lt;"</f>
        <v>#VALUE!</v>
      </c>
      <c r="DV205" t="e">
        <f>Raw!D381+"h_l!)^="</f>
        <v>#VALUE!</v>
      </c>
      <c r="DW205" t="e">
        <f>Raw!E381+"h_l!)^&gt;"</f>
        <v>#VALUE!</v>
      </c>
      <c r="DX205" t="e">
        <f>Raw!#REF!+"h_l!)^?"</f>
        <v>#REF!</v>
      </c>
      <c r="DY205" t="e">
        <f>Raw!G381+"h_l!)^@"</f>
        <v>#VALUE!</v>
      </c>
      <c r="DZ205" t="e">
        <f>Raw!H381+"h_l!)^A"</f>
        <v>#VALUE!</v>
      </c>
      <c r="EA205" t="e">
        <f>Raw!I381+"h_l!)^B"</f>
        <v>#VALUE!</v>
      </c>
      <c r="EB205" t="e">
        <f>Raw!J381+"h_l!)^C"</f>
        <v>#VALUE!</v>
      </c>
      <c r="EC205" t="e">
        <f>Raw!K381+"h_l!)^D"</f>
        <v>#VALUE!</v>
      </c>
      <c r="ED205" t="e">
        <f>Raw!L381+"h_l!)^E"</f>
        <v>#VALUE!</v>
      </c>
      <c r="EE205" t="e">
        <f>Raw!M381+"h_l!)^F"</f>
        <v>#VALUE!</v>
      </c>
      <c r="EF205" t="e">
        <f>Raw!N381+"h_l!)^G"</f>
        <v>#VALUE!</v>
      </c>
      <c r="EG205" t="e">
        <f>Raw!O381+"h_l!)^H"</f>
        <v>#VALUE!</v>
      </c>
      <c r="EH205" t="e">
        <f>Raw!P381+"h_l!)^I"</f>
        <v>#VALUE!</v>
      </c>
      <c r="EI205" t="e">
        <f>Raw!Q381+"h_l!)^J"</f>
        <v>#VALUE!</v>
      </c>
      <c r="EJ205" t="e">
        <f>Raw!R381+"h_l!)^K"</f>
        <v>#VALUE!</v>
      </c>
      <c r="EK205" t="e">
        <f>Raw!S381+"h_l!)^L"</f>
        <v>#VALUE!</v>
      </c>
      <c r="EL205" t="e">
        <f>Raw!T381+"h_l!)^M"</f>
        <v>#VALUE!</v>
      </c>
      <c r="EM205" t="e">
        <f>Raw!U381+"h_l!)^N"</f>
        <v>#VALUE!</v>
      </c>
      <c r="EN205" t="e">
        <f>Raw!V381+"h_l!)^O"</f>
        <v>#VALUE!</v>
      </c>
      <c r="EO205" t="e">
        <f>Raw!W381+"h_l!)^P"</f>
        <v>#VALUE!</v>
      </c>
      <c r="EP205" t="e">
        <f>Raw!A382+"h_l!)^Q"</f>
        <v>#VALUE!</v>
      </c>
      <c r="EQ205" t="e">
        <f>Raw!B382+"h_l!)^R"</f>
        <v>#VALUE!</v>
      </c>
      <c r="ER205" t="e">
        <f>Raw!C382+"h_l!)^S"</f>
        <v>#VALUE!</v>
      </c>
      <c r="ES205" t="e">
        <f>Raw!D382+"h_l!)^T"</f>
        <v>#VALUE!</v>
      </c>
      <c r="ET205" t="e">
        <f>Raw!E382+"h_l!)^U"</f>
        <v>#VALUE!</v>
      </c>
      <c r="EU205" t="e">
        <f>Raw!#REF!+"h_l!)^V"</f>
        <v>#REF!</v>
      </c>
      <c r="EV205" t="e">
        <f>Raw!G382+"h_l!)^W"</f>
        <v>#VALUE!</v>
      </c>
      <c r="EW205" t="e">
        <f>Raw!H382+"h_l!)^X"</f>
        <v>#VALUE!</v>
      </c>
      <c r="EX205" t="e">
        <f>Raw!I382+"h_l!)^Y"</f>
        <v>#VALUE!</v>
      </c>
      <c r="EY205" t="e">
        <f>Raw!J382+"h_l!)^Z"</f>
        <v>#VALUE!</v>
      </c>
      <c r="EZ205" t="e">
        <f>Raw!K382+"h_l!)^["</f>
        <v>#VALUE!</v>
      </c>
      <c r="FA205" t="e">
        <f>Raw!L382+"h_l!)^\"</f>
        <v>#VALUE!</v>
      </c>
      <c r="FB205" t="e">
        <f>Raw!M382+"h_l!)^]"</f>
        <v>#VALUE!</v>
      </c>
      <c r="FC205" t="e">
        <f>Raw!N382+"h_l!)^^"</f>
        <v>#VALUE!</v>
      </c>
      <c r="FD205" t="e">
        <f>Raw!O382+"h_l!)^_"</f>
        <v>#VALUE!</v>
      </c>
      <c r="FE205" t="e">
        <f>Raw!P382+"h_l!)^`"</f>
        <v>#VALUE!</v>
      </c>
      <c r="FF205" t="e">
        <f>Raw!Q382+"h_l!)^a"</f>
        <v>#VALUE!</v>
      </c>
      <c r="FG205" t="e">
        <f>Raw!R382+"h_l!)^b"</f>
        <v>#VALUE!</v>
      </c>
      <c r="FH205" t="e">
        <f>Raw!S382+"h_l!)^c"</f>
        <v>#VALUE!</v>
      </c>
      <c r="FI205" t="e">
        <f>Raw!T382+"h_l!)^d"</f>
        <v>#VALUE!</v>
      </c>
      <c r="FJ205" t="e">
        <f>Raw!U382+"h_l!)^e"</f>
        <v>#VALUE!</v>
      </c>
      <c r="FK205" t="e">
        <f>Raw!V382+"h_l!)^f"</f>
        <v>#VALUE!</v>
      </c>
      <c r="FL205" t="e">
        <f>Raw!W382+"h_l!)^g"</f>
        <v>#VALUE!</v>
      </c>
      <c r="FM205" t="e">
        <f>Raw!A383+"h_l!)^h"</f>
        <v>#VALUE!</v>
      </c>
      <c r="FN205" t="e">
        <f>Raw!B383+"h_l!)^i"</f>
        <v>#VALUE!</v>
      </c>
      <c r="FO205" t="e">
        <f>Raw!C383+"h_l!)^j"</f>
        <v>#VALUE!</v>
      </c>
      <c r="FP205" t="e">
        <f>Raw!D383+"h_l!)^k"</f>
        <v>#VALUE!</v>
      </c>
      <c r="FQ205" t="e">
        <f>Raw!E383+"h_l!)^l"</f>
        <v>#VALUE!</v>
      </c>
      <c r="FR205" t="e">
        <f>Raw!#REF!+"h_l!)^m"</f>
        <v>#REF!</v>
      </c>
      <c r="FS205" t="e">
        <f>Raw!G383+"h_l!)^n"</f>
        <v>#VALUE!</v>
      </c>
      <c r="FT205" t="e">
        <f>Raw!H383+"h_l!)^o"</f>
        <v>#VALUE!</v>
      </c>
      <c r="FU205" t="e">
        <f>Raw!I383+"h_l!)^p"</f>
        <v>#VALUE!</v>
      </c>
      <c r="FV205" t="e">
        <f>Raw!J383+"h_l!)^q"</f>
        <v>#VALUE!</v>
      </c>
      <c r="FW205" t="e">
        <f>Raw!K383+"h_l!)^r"</f>
        <v>#VALUE!</v>
      </c>
      <c r="FX205" t="e">
        <f>Raw!L383+"h_l!)^s"</f>
        <v>#VALUE!</v>
      </c>
      <c r="FY205" t="e">
        <f>Raw!M383+"h_l!)^t"</f>
        <v>#VALUE!</v>
      </c>
      <c r="FZ205" t="e">
        <f>Raw!N383+"h_l!)^u"</f>
        <v>#VALUE!</v>
      </c>
      <c r="GA205" t="e">
        <f>Raw!O383+"h_l!)^v"</f>
        <v>#VALUE!</v>
      </c>
      <c r="GB205" t="e">
        <f>Raw!P383+"h_l!)^w"</f>
        <v>#VALUE!</v>
      </c>
      <c r="GC205" t="e">
        <f>Raw!Q383+"h_l!)^x"</f>
        <v>#VALUE!</v>
      </c>
      <c r="GD205" t="e">
        <f>Raw!R383+"h_l!)^y"</f>
        <v>#VALUE!</v>
      </c>
      <c r="GE205" t="e">
        <f>Raw!S383+"h_l!)^z"</f>
        <v>#VALUE!</v>
      </c>
      <c r="GF205" t="e">
        <f>Raw!T383+"h_l!)^{"</f>
        <v>#VALUE!</v>
      </c>
      <c r="GG205" t="e">
        <f>Raw!U383+"h_l!)^|"</f>
        <v>#VALUE!</v>
      </c>
      <c r="GH205" t="e">
        <f>Raw!V383+"h_l!)^}"</f>
        <v>#VALUE!</v>
      </c>
      <c r="GI205" t="e">
        <f>Raw!W383+"h_l!)^~"</f>
        <v>#VALUE!</v>
      </c>
      <c r="GJ205" t="e">
        <f>Raw!A384+"h_l!)_#"</f>
        <v>#VALUE!</v>
      </c>
      <c r="GK205" t="e">
        <f>Raw!B384+"h_l!)_$"</f>
        <v>#VALUE!</v>
      </c>
      <c r="GL205" t="e">
        <f>Raw!C384+"h_l!)_%"</f>
        <v>#VALUE!</v>
      </c>
      <c r="GM205" t="e">
        <f>Raw!D384+"h_l!)_&amp;"</f>
        <v>#VALUE!</v>
      </c>
      <c r="GN205" t="e">
        <f>Raw!E384+"h_l!)_'"</f>
        <v>#VALUE!</v>
      </c>
      <c r="GO205" t="e">
        <f>Raw!#REF!+"h_l!)_("</f>
        <v>#REF!</v>
      </c>
      <c r="GP205" t="e">
        <f>Raw!G384+"h_l!)_)"</f>
        <v>#VALUE!</v>
      </c>
      <c r="GQ205" t="e">
        <f>Raw!H384+"h_l!)_."</f>
        <v>#VALUE!</v>
      </c>
      <c r="GR205" t="e">
        <f>Raw!I384+"h_l!)_/"</f>
        <v>#VALUE!</v>
      </c>
      <c r="GS205" t="e">
        <f>Raw!J384+"h_l!)_0"</f>
        <v>#VALUE!</v>
      </c>
      <c r="GT205" t="e">
        <f>Raw!K384+"h_l!)_1"</f>
        <v>#VALUE!</v>
      </c>
      <c r="GU205" t="e">
        <f>Raw!L384+"h_l!)_2"</f>
        <v>#VALUE!</v>
      </c>
      <c r="GV205" t="e">
        <f>Raw!M384+"h_l!)_3"</f>
        <v>#VALUE!</v>
      </c>
      <c r="GW205" t="e">
        <f>Raw!N384+"h_l!)_4"</f>
        <v>#VALUE!</v>
      </c>
      <c r="GX205" t="e">
        <f>Raw!O384+"h_l!)_5"</f>
        <v>#VALUE!</v>
      </c>
      <c r="GY205" t="e">
        <f>Raw!P384+"h_l!)_6"</f>
        <v>#VALUE!</v>
      </c>
      <c r="GZ205" t="e">
        <f>Raw!Q384+"h_l!)_7"</f>
        <v>#VALUE!</v>
      </c>
      <c r="HA205" t="e">
        <f>Raw!R384+"h_l!)_8"</f>
        <v>#VALUE!</v>
      </c>
      <c r="HB205" t="e">
        <f>Raw!S384+"h_l!)_9"</f>
        <v>#VALUE!</v>
      </c>
      <c r="HC205" t="e">
        <f>Raw!T384+"h_l!)_:"</f>
        <v>#VALUE!</v>
      </c>
      <c r="HD205" t="e">
        <f>Raw!U384+"h_l!)_;"</f>
        <v>#VALUE!</v>
      </c>
      <c r="HE205" t="e">
        <f>Raw!V384+"h_l!)_&lt;"</f>
        <v>#VALUE!</v>
      </c>
      <c r="HF205" t="e">
        <f>Raw!W384+"h_l!)_="</f>
        <v>#VALUE!</v>
      </c>
      <c r="HG205" t="e">
        <f>Raw!A385+"h_l!)_&gt;"</f>
        <v>#VALUE!</v>
      </c>
      <c r="HH205" t="e">
        <f>Raw!B385+"h_l!)_?"</f>
        <v>#VALUE!</v>
      </c>
      <c r="HI205" t="e">
        <f>Raw!C385+"h_l!)_@"</f>
        <v>#VALUE!</v>
      </c>
      <c r="HJ205" t="e">
        <f>Raw!D385+"h_l!)_A"</f>
        <v>#VALUE!</v>
      </c>
      <c r="HK205" t="e">
        <f>Raw!E385+"h_l!)_B"</f>
        <v>#VALUE!</v>
      </c>
      <c r="HL205" t="e">
        <f>Raw!#REF!+"h_l!)_C"</f>
        <v>#REF!</v>
      </c>
      <c r="HM205" t="e">
        <f>Raw!G385+"h_l!)_D"</f>
        <v>#VALUE!</v>
      </c>
      <c r="HN205" t="e">
        <f>Raw!H385+"h_l!)_E"</f>
        <v>#VALUE!</v>
      </c>
      <c r="HO205" t="e">
        <f>Raw!I385+"h_l!)_F"</f>
        <v>#VALUE!</v>
      </c>
      <c r="HP205" t="e">
        <f>Raw!J385+"h_l!)_G"</f>
        <v>#VALUE!</v>
      </c>
      <c r="HQ205" t="e">
        <f>Raw!K385+"h_l!)_H"</f>
        <v>#VALUE!</v>
      </c>
      <c r="HR205" t="e">
        <f>Raw!L385+"h_l!)_I"</f>
        <v>#VALUE!</v>
      </c>
      <c r="HS205" t="e">
        <f>Raw!M385+"h_l!)_J"</f>
        <v>#VALUE!</v>
      </c>
      <c r="HT205" t="e">
        <f>Raw!N385+"h_l!)_K"</f>
        <v>#VALUE!</v>
      </c>
      <c r="HU205" t="e">
        <f>Raw!O385+"h_l!)_L"</f>
        <v>#VALUE!</v>
      </c>
      <c r="HV205" t="e">
        <f>Raw!P385+"h_l!)_M"</f>
        <v>#VALUE!</v>
      </c>
      <c r="HW205" t="e">
        <f>Raw!Q385+"h_l!)_N"</f>
        <v>#VALUE!</v>
      </c>
      <c r="HX205" t="e">
        <f>Raw!R385+"h_l!)_O"</f>
        <v>#VALUE!</v>
      </c>
      <c r="HY205" t="e">
        <f>Raw!S385+"h_l!)_P"</f>
        <v>#VALUE!</v>
      </c>
      <c r="HZ205" t="e">
        <f>Raw!T385+"h_l!)_Q"</f>
        <v>#VALUE!</v>
      </c>
      <c r="IA205" t="e">
        <f>Raw!U385+"h_l!)_R"</f>
        <v>#VALUE!</v>
      </c>
      <c r="IB205" t="e">
        <f>Raw!V385+"h_l!)_S"</f>
        <v>#VALUE!</v>
      </c>
      <c r="IC205" t="e">
        <f>Raw!W385+"h_l!)_T"</f>
        <v>#VALUE!</v>
      </c>
      <c r="ID205" t="e">
        <f>Raw!A386+"h_l!)_U"</f>
        <v>#VALUE!</v>
      </c>
      <c r="IE205" t="e">
        <f>Raw!B386+"h_l!)_V"</f>
        <v>#VALUE!</v>
      </c>
      <c r="IF205" t="e">
        <f>Raw!C386+"h_l!)_W"</f>
        <v>#VALUE!</v>
      </c>
      <c r="IG205" t="e">
        <f>Raw!D386+"h_l!)_X"</f>
        <v>#VALUE!</v>
      </c>
      <c r="IH205" t="e">
        <f>Raw!E386+"h_l!)_Y"</f>
        <v>#VALUE!</v>
      </c>
      <c r="II205" t="e">
        <f>Raw!#REF!+"h_l!)_Z"</f>
        <v>#REF!</v>
      </c>
      <c r="IJ205" t="e">
        <f>Raw!G386+"h_l!)_["</f>
        <v>#VALUE!</v>
      </c>
      <c r="IK205" t="e">
        <f>Raw!H386+"h_l!)_\"</f>
        <v>#VALUE!</v>
      </c>
      <c r="IL205" t="e">
        <f>Raw!I386+"h_l!)_]"</f>
        <v>#VALUE!</v>
      </c>
      <c r="IM205" t="e">
        <f>Raw!J386+"h_l!)_^"</f>
        <v>#VALUE!</v>
      </c>
      <c r="IN205" t="e">
        <f>Raw!K386+"h_l!)__"</f>
        <v>#VALUE!</v>
      </c>
      <c r="IO205" t="e">
        <f>Raw!L386+"h_l!)_`"</f>
        <v>#VALUE!</v>
      </c>
      <c r="IP205" t="e">
        <f>Raw!M386+"h_l!)_a"</f>
        <v>#VALUE!</v>
      </c>
      <c r="IQ205" t="e">
        <f>Raw!N386+"h_l!)_b"</f>
        <v>#VALUE!</v>
      </c>
      <c r="IR205" t="e">
        <f>Raw!O386+"h_l!)_c"</f>
        <v>#VALUE!</v>
      </c>
      <c r="IS205" t="e">
        <f>Raw!P386+"h_l!)_d"</f>
        <v>#VALUE!</v>
      </c>
      <c r="IT205" t="e">
        <f>Raw!Q386+"h_l!)_e"</f>
        <v>#VALUE!</v>
      </c>
      <c r="IU205" t="e">
        <f>Raw!R386+"h_l!)_f"</f>
        <v>#VALUE!</v>
      </c>
      <c r="IV205" t="e">
        <f>Raw!S386+"h_l!)_g"</f>
        <v>#VALUE!</v>
      </c>
    </row>
    <row r="206" spans="6:256" x14ac:dyDescent="0.25">
      <c r="F206" t="e">
        <f>Raw!T386+"h_l!)_h"</f>
        <v>#VALUE!</v>
      </c>
      <c r="G206" t="e">
        <f>Raw!U386+"h_l!)_i"</f>
        <v>#VALUE!</v>
      </c>
      <c r="H206" t="e">
        <f>Raw!V386+"h_l!)_j"</f>
        <v>#VALUE!</v>
      </c>
      <c r="I206" t="e">
        <f>Raw!W386+"h_l!)_k"</f>
        <v>#VALUE!</v>
      </c>
      <c r="J206" t="e">
        <f>Raw!A387+"h_l!)_l"</f>
        <v>#VALUE!</v>
      </c>
      <c r="K206" t="e">
        <f>Raw!B387+"h_l!)_m"</f>
        <v>#VALUE!</v>
      </c>
      <c r="L206" t="e">
        <f>Raw!C387+"h_l!)_n"</f>
        <v>#VALUE!</v>
      </c>
      <c r="M206" t="e">
        <f>Raw!D387+"h_l!)_o"</f>
        <v>#VALUE!</v>
      </c>
      <c r="N206" t="e">
        <f>Raw!E387+"h_l!)_p"</f>
        <v>#VALUE!</v>
      </c>
      <c r="O206" t="e">
        <f>Raw!#REF!+"h_l!)_q"</f>
        <v>#REF!</v>
      </c>
      <c r="P206" t="e">
        <f>Raw!G387+"h_l!)_r"</f>
        <v>#VALUE!</v>
      </c>
      <c r="Q206" t="e">
        <f>Raw!H387+"h_l!)_s"</f>
        <v>#VALUE!</v>
      </c>
      <c r="R206" t="e">
        <f>Raw!I387+"h_l!)_t"</f>
        <v>#VALUE!</v>
      </c>
      <c r="S206" t="e">
        <f>Raw!J387+"h_l!)_u"</f>
        <v>#VALUE!</v>
      </c>
      <c r="T206" t="e">
        <f>Raw!K387+"h_l!)_v"</f>
        <v>#VALUE!</v>
      </c>
      <c r="U206" t="e">
        <f>Raw!L387+"h_l!)_w"</f>
        <v>#VALUE!</v>
      </c>
      <c r="V206" t="e">
        <f>Raw!M387+"h_l!)_x"</f>
        <v>#VALUE!</v>
      </c>
      <c r="W206" t="e">
        <f>Raw!N387+"h_l!)_y"</f>
        <v>#VALUE!</v>
      </c>
      <c r="X206" t="e">
        <f>Raw!O387+"h_l!)_z"</f>
        <v>#VALUE!</v>
      </c>
      <c r="Y206" t="e">
        <f>Raw!P387+"h_l!)_{"</f>
        <v>#VALUE!</v>
      </c>
      <c r="Z206" t="e">
        <f>Raw!Q387+"h_l!)_|"</f>
        <v>#VALUE!</v>
      </c>
      <c r="AA206" t="e">
        <f>Raw!R387+"h_l!)_}"</f>
        <v>#VALUE!</v>
      </c>
      <c r="AB206" t="e">
        <f>Raw!S387+"h_l!)_~"</f>
        <v>#VALUE!</v>
      </c>
      <c r="AC206" t="e">
        <f>Raw!T387+"h_l!)`#"</f>
        <v>#VALUE!</v>
      </c>
      <c r="AD206" t="e">
        <f>Raw!U387+"h_l!)`$"</f>
        <v>#VALUE!</v>
      </c>
      <c r="AE206" t="e">
        <f>Raw!V387+"h_l!)`%"</f>
        <v>#VALUE!</v>
      </c>
      <c r="AF206" t="e">
        <f>Raw!W387+"h_l!)`&amp;"</f>
        <v>#VALUE!</v>
      </c>
      <c r="AG206" t="e">
        <f>Raw!A388+"h_l!)`'"</f>
        <v>#VALUE!</v>
      </c>
      <c r="AH206" t="e">
        <f>Raw!B388+"h_l!)`("</f>
        <v>#VALUE!</v>
      </c>
      <c r="AI206" t="e">
        <f>Raw!C388+"h_l!)`)"</f>
        <v>#VALUE!</v>
      </c>
      <c r="AJ206" t="e">
        <f>Raw!D388+"h_l!)`."</f>
        <v>#VALUE!</v>
      </c>
      <c r="AK206" t="e">
        <f>Raw!E388+"h_l!)`/"</f>
        <v>#VALUE!</v>
      </c>
      <c r="AL206" t="e">
        <f>Raw!#REF!+"h_l!)`0"</f>
        <v>#REF!</v>
      </c>
      <c r="AM206" t="e">
        <f>Raw!G388+"h_l!)`1"</f>
        <v>#VALUE!</v>
      </c>
      <c r="AN206" t="e">
        <f>Raw!H388+"h_l!)`2"</f>
        <v>#VALUE!</v>
      </c>
      <c r="AO206" t="e">
        <f>Raw!I388+"h_l!)`3"</f>
        <v>#VALUE!</v>
      </c>
      <c r="AP206" t="e">
        <f>Raw!J388+"h_l!)`4"</f>
        <v>#VALUE!</v>
      </c>
      <c r="AQ206" t="e">
        <f>Raw!K388+"h_l!)`5"</f>
        <v>#VALUE!</v>
      </c>
      <c r="AR206" t="e">
        <f>Raw!L388+"h_l!)`6"</f>
        <v>#VALUE!</v>
      </c>
      <c r="AS206" t="e">
        <f>Raw!M388+"h_l!)`7"</f>
        <v>#VALUE!</v>
      </c>
      <c r="AT206" t="e">
        <f>Raw!N388+"h_l!)`8"</f>
        <v>#VALUE!</v>
      </c>
      <c r="AU206" t="e">
        <f>Raw!O388+"h_l!)`9"</f>
        <v>#VALUE!</v>
      </c>
      <c r="AV206" t="e">
        <f>Raw!P388+"h_l!)`:"</f>
        <v>#VALUE!</v>
      </c>
      <c r="AW206" t="e">
        <f>Raw!Q388+"h_l!)`;"</f>
        <v>#VALUE!</v>
      </c>
      <c r="AX206" t="e">
        <f>Raw!R388+"h_l!)`&lt;"</f>
        <v>#VALUE!</v>
      </c>
      <c r="AY206" t="e">
        <f>Raw!S388+"h_l!)`="</f>
        <v>#VALUE!</v>
      </c>
      <c r="AZ206" t="e">
        <f>Raw!T388+"h_l!)`&gt;"</f>
        <v>#VALUE!</v>
      </c>
      <c r="BA206" t="e">
        <f>Raw!U388+"h_l!)`?"</f>
        <v>#VALUE!</v>
      </c>
      <c r="BB206" t="e">
        <f>Raw!V388+"h_l!)`@"</f>
        <v>#VALUE!</v>
      </c>
      <c r="BC206" t="e">
        <f>Raw!W388+"h_l!)`A"</f>
        <v>#VALUE!</v>
      </c>
      <c r="BD206" t="e">
        <f>Raw!A389+"h_l!)`B"</f>
        <v>#VALUE!</v>
      </c>
      <c r="BE206" t="e">
        <f>Raw!B389+"h_l!)`C"</f>
        <v>#VALUE!</v>
      </c>
      <c r="BF206" t="e">
        <f>Raw!C389+"h_l!)`D"</f>
        <v>#VALUE!</v>
      </c>
      <c r="BG206" t="e">
        <f>Raw!D389+"h_l!)`E"</f>
        <v>#VALUE!</v>
      </c>
      <c r="BH206" t="e">
        <f>Raw!E389+"h_l!)`F"</f>
        <v>#VALUE!</v>
      </c>
      <c r="BI206" t="e">
        <f>Raw!#REF!+"h_l!)`G"</f>
        <v>#REF!</v>
      </c>
      <c r="BJ206" t="e">
        <f>Raw!G389+"h_l!)`H"</f>
        <v>#VALUE!</v>
      </c>
      <c r="BK206" t="e">
        <f>Raw!H389+"h_l!)`I"</f>
        <v>#VALUE!</v>
      </c>
      <c r="BL206" t="e">
        <f>Raw!I389+"h_l!)`J"</f>
        <v>#VALUE!</v>
      </c>
      <c r="BM206" t="e">
        <f>Raw!J389+"h_l!)`K"</f>
        <v>#VALUE!</v>
      </c>
      <c r="BN206" t="e">
        <f>Raw!K389+"h_l!)`L"</f>
        <v>#VALUE!</v>
      </c>
      <c r="BO206" t="e">
        <f>Raw!L389+"h_l!)`M"</f>
        <v>#VALUE!</v>
      </c>
      <c r="BP206" t="e">
        <f>Raw!M389+"h_l!)`N"</f>
        <v>#VALUE!</v>
      </c>
      <c r="BQ206" t="e">
        <f>Raw!N389+"h_l!)`O"</f>
        <v>#VALUE!</v>
      </c>
      <c r="BR206" t="e">
        <f>Raw!O389+"h_l!)`P"</f>
        <v>#VALUE!</v>
      </c>
      <c r="BS206" t="e">
        <f>Raw!P389+"h_l!)`Q"</f>
        <v>#VALUE!</v>
      </c>
      <c r="BT206" t="e">
        <f>Raw!Q389+"h_l!)`R"</f>
        <v>#VALUE!</v>
      </c>
      <c r="BU206" t="e">
        <f>Raw!R389+"h_l!)`S"</f>
        <v>#VALUE!</v>
      </c>
      <c r="BV206" t="e">
        <f>Raw!S389+"h_l!)`T"</f>
        <v>#VALUE!</v>
      </c>
      <c r="BW206" t="e">
        <f>Raw!T389+"h_l!)`U"</f>
        <v>#VALUE!</v>
      </c>
      <c r="BX206" t="e">
        <f>Raw!U389+"h_l!)`V"</f>
        <v>#VALUE!</v>
      </c>
      <c r="BY206" t="e">
        <f>Raw!V389+"h_l!)`W"</f>
        <v>#VALUE!</v>
      </c>
      <c r="BZ206" t="e">
        <f>Raw!W389+"h_l!)`X"</f>
        <v>#VALUE!</v>
      </c>
      <c r="CA206" t="e">
        <f>Raw!A390+"h_l!)`Y"</f>
        <v>#VALUE!</v>
      </c>
      <c r="CB206" t="e">
        <f>Raw!B390+"h_l!)`Z"</f>
        <v>#VALUE!</v>
      </c>
      <c r="CC206" t="e">
        <f>Raw!C390+"h_l!)`["</f>
        <v>#VALUE!</v>
      </c>
      <c r="CD206" t="e">
        <f>Raw!D390+"h_l!)`\"</f>
        <v>#VALUE!</v>
      </c>
      <c r="CE206" t="e">
        <f>Raw!E390+"h_l!)`]"</f>
        <v>#VALUE!</v>
      </c>
      <c r="CF206" t="e">
        <f>Raw!#REF!+"h_l!)`^"</f>
        <v>#REF!</v>
      </c>
      <c r="CG206" t="e">
        <f>Raw!G390+"h_l!)`_"</f>
        <v>#VALUE!</v>
      </c>
      <c r="CH206" t="e">
        <f>Raw!H390+"h_l!)``"</f>
        <v>#VALUE!</v>
      </c>
      <c r="CI206" t="e">
        <f>Raw!I390+"h_l!)`a"</f>
        <v>#VALUE!</v>
      </c>
      <c r="CJ206" t="e">
        <f>Raw!J390+"h_l!)`b"</f>
        <v>#VALUE!</v>
      </c>
      <c r="CK206" t="e">
        <f>Raw!K390+"h_l!)`c"</f>
        <v>#VALUE!</v>
      </c>
      <c r="CL206" t="e">
        <f>Raw!L390+"h_l!)`d"</f>
        <v>#VALUE!</v>
      </c>
      <c r="CM206" t="e">
        <f>Raw!M390+"h_l!)`e"</f>
        <v>#VALUE!</v>
      </c>
      <c r="CN206" t="e">
        <f>Raw!N390+"h_l!)`f"</f>
        <v>#VALUE!</v>
      </c>
      <c r="CO206" t="e">
        <f>Raw!O390+"h_l!)`g"</f>
        <v>#VALUE!</v>
      </c>
      <c r="CP206" t="e">
        <f>Raw!P390+"h_l!)`h"</f>
        <v>#VALUE!</v>
      </c>
      <c r="CQ206" t="e">
        <f>Raw!Q390+"h_l!)`i"</f>
        <v>#VALUE!</v>
      </c>
      <c r="CR206" t="e">
        <f>Raw!R390+"h_l!)`j"</f>
        <v>#VALUE!</v>
      </c>
      <c r="CS206" t="e">
        <f>Raw!S390+"h_l!)`k"</f>
        <v>#VALUE!</v>
      </c>
      <c r="CT206" t="e">
        <f>Raw!T390+"h_l!)`l"</f>
        <v>#VALUE!</v>
      </c>
      <c r="CU206" t="e">
        <f>Raw!U390+"h_l!)`m"</f>
        <v>#VALUE!</v>
      </c>
      <c r="CV206" t="e">
        <f>Raw!V390+"h_l!)`n"</f>
        <v>#VALUE!</v>
      </c>
      <c r="CW206" t="e">
        <f>Raw!W390+"h_l!)`o"</f>
        <v>#VALUE!</v>
      </c>
      <c r="CX206" t="e">
        <f>Raw!A391+"h_l!)`p"</f>
        <v>#VALUE!</v>
      </c>
      <c r="CY206" t="e">
        <f>Raw!B391+"h_l!)`q"</f>
        <v>#VALUE!</v>
      </c>
      <c r="CZ206" t="e">
        <f>Raw!C391+"h_l!)`r"</f>
        <v>#VALUE!</v>
      </c>
      <c r="DA206" t="e">
        <f>Raw!D391+"h_l!)`s"</f>
        <v>#VALUE!</v>
      </c>
      <c r="DB206" t="e">
        <f>Raw!E391+"h_l!)`t"</f>
        <v>#VALUE!</v>
      </c>
      <c r="DC206" t="e">
        <f>Raw!#REF!+"h_l!)`u"</f>
        <v>#REF!</v>
      </c>
      <c r="DD206" t="e">
        <f>Raw!G391+"h_l!)`v"</f>
        <v>#VALUE!</v>
      </c>
      <c r="DE206" t="e">
        <f>Raw!H391+"h_l!)`w"</f>
        <v>#VALUE!</v>
      </c>
      <c r="DF206" t="e">
        <f>Raw!I391+"h_l!)`x"</f>
        <v>#VALUE!</v>
      </c>
      <c r="DG206" t="e">
        <f>Raw!J391+"h_l!)`y"</f>
        <v>#VALUE!</v>
      </c>
      <c r="DH206" t="e">
        <f>Raw!K391+"h_l!)`z"</f>
        <v>#VALUE!</v>
      </c>
      <c r="DI206" t="e">
        <f>Raw!L391+"h_l!)`{"</f>
        <v>#VALUE!</v>
      </c>
      <c r="DJ206" t="e">
        <f>Raw!M391+"h_l!)`|"</f>
        <v>#VALUE!</v>
      </c>
      <c r="DK206" t="e">
        <f>Raw!N391+"h_l!)`}"</f>
        <v>#VALUE!</v>
      </c>
      <c r="DL206" t="e">
        <f>Raw!O391+"h_l!)`~"</f>
        <v>#VALUE!</v>
      </c>
      <c r="DM206" t="e">
        <f>Raw!P391+"h_l!)a#"</f>
        <v>#VALUE!</v>
      </c>
      <c r="DN206" t="e">
        <f>Raw!Q391+"h_l!)a$"</f>
        <v>#VALUE!</v>
      </c>
      <c r="DO206" t="e">
        <f>Raw!R391+"h_l!)a%"</f>
        <v>#VALUE!</v>
      </c>
      <c r="DP206" t="e">
        <f>Raw!S391+"h_l!)a&amp;"</f>
        <v>#VALUE!</v>
      </c>
      <c r="DQ206" t="e">
        <f>Raw!T391+"h_l!)a'"</f>
        <v>#VALUE!</v>
      </c>
      <c r="DR206" t="e">
        <f>Raw!U391+"h_l!)a("</f>
        <v>#VALUE!</v>
      </c>
      <c r="DS206" t="e">
        <f>Raw!V391+"h_l!)a)"</f>
        <v>#VALUE!</v>
      </c>
      <c r="DT206" t="e">
        <f>Raw!W391+"h_l!)a."</f>
        <v>#VALUE!</v>
      </c>
      <c r="DU206" t="e">
        <f>Raw!A392+"h_l!)a/"</f>
        <v>#VALUE!</v>
      </c>
      <c r="DV206" t="e">
        <f>Raw!B392+"h_l!)a0"</f>
        <v>#VALUE!</v>
      </c>
      <c r="DW206" t="e">
        <f>Raw!C392+"h_l!)a1"</f>
        <v>#VALUE!</v>
      </c>
      <c r="DX206" t="e">
        <f>Raw!D392+"h_l!)a2"</f>
        <v>#VALUE!</v>
      </c>
      <c r="DY206" t="e">
        <f>Raw!E392+"h_l!)a3"</f>
        <v>#VALUE!</v>
      </c>
      <c r="DZ206" t="e">
        <f>Raw!#REF!+"h_l!)a4"</f>
        <v>#REF!</v>
      </c>
      <c r="EA206" t="e">
        <f>Raw!G392+"h_l!)a5"</f>
        <v>#VALUE!</v>
      </c>
      <c r="EB206" t="e">
        <f>Raw!H392+"h_l!)a6"</f>
        <v>#VALUE!</v>
      </c>
      <c r="EC206" t="e">
        <f>Raw!I392+"h_l!)a7"</f>
        <v>#VALUE!</v>
      </c>
      <c r="ED206" t="e">
        <f>Raw!J392+"h_l!)a8"</f>
        <v>#VALUE!</v>
      </c>
      <c r="EE206" t="e">
        <f>Raw!K392+"h_l!)a9"</f>
        <v>#VALUE!</v>
      </c>
      <c r="EF206" t="e">
        <f>Raw!L392+"h_l!)a:"</f>
        <v>#VALUE!</v>
      </c>
      <c r="EG206" t="e">
        <f>Raw!M392+"h_l!)a;"</f>
        <v>#VALUE!</v>
      </c>
      <c r="EH206" t="e">
        <f>Raw!N392+"h_l!)a&lt;"</f>
        <v>#VALUE!</v>
      </c>
      <c r="EI206" t="e">
        <f>Raw!O392+"h_l!)a="</f>
        <v>#VALUE!</v>
      </c>
      <c r="EJ206" t="e">
        <f>Raw!P392+"h_l!)a&gt;"</f>
        <v>#VALUE!</v>
      </c>
      <c r="EK206" t="e">
        <f>Raw!Q392+"h_l!)a?"</f>
        <v>#VALUE!</v>
      </c>
      <c r="EL206" t="e">
        <f>Raw!R392+"h_l!)a@"</f>
        <v>#VALUE!</v>
      </c>
      <c r="EM206" t="e">
        <f>Raw!S392+"h_l!)aA"</f>
        <v>#VALUE!</v>
      </c>
      <c r="EN206" t="e">
        <f>Raw!T392+"h_l!)aB"</f>
        <v>#VALUE!</v>
      </c>
      <c r="EO206" t="e">
        <f>Raw!U392+"h_l!)aC"</f>
        <v>#VALUE!</v>
      </c>
      <c r="EP206" t="e">
        <f>Raw!V392+"h_l!)aD"</f>
        <v>#VALUE!</v>
      </c>
      <c r="EQ206" t="e">
        <f>Raw!W392+"h_l!)aE"</f>
        <v>#VALUE!</v>
      </c>
      <c r="ER206" t="e">
        <f>Raw!A393+"h_l!)aF"</f>
        <v>#VALUE!</v>
      </c>
      <c r="ES206" t="e">
        <f>Raw!B393+"h_l!)aG"</f>
        <v>#VALUE!</v>
      </c>
      <c r="ET206" t="e">
        <f>Raw!C393+"h_l!)aH"</f>
        <v>#VALUE!</v>
      </c>
      <c r="EU206" t="e">
        <f>Raw!D393+"h_l!)aI"</f>
        <v>#VALUE!</v>
      </c>
      <c r="EV206" t="e">
        <f>Raw!E393+"h_l!)aJ"</f>
        <v>#VALUE!</v>
      </c>
      <c r="EW206" t="e">
        <f>Raw!#REF!+"h_l!)aK"</f>
        <v>#REF!</v>
      </c>
      <c r="EX206" t="e">
        <f>Raw!G393+"h_l!)aL"</f>
        <v>#VALUE!</v>
      </c>
      <c r="EY206" t="e">
        <f>Raw!H393+"h_l!)aM"</f>
        <v>#VALUE!</v>
      </c>
      <c r="EZ206" t="e">
        <f>Raw!I393+"h_l!)aN"</f>
        <v>#VALUE!</v>
      </c>
      <c r="FA206" t="e">
        <f>Raw!J393+"h_l!)aO"</f>
        <v>#VALUE!</v>
      </c>
      <c r="FB206" t="e">
        <f>Raw!K393+"h_l!)aP"</f>
        <v>#VALUE!</v>
      </c>
      <c r="FC206" t="e">
        <f>Raw!L393+"h_l!)aQ"</f>
        <v>#VALUE!</v>
      </c>
      <c r="FD206" t="e">
        <f>Raw!M393+"h_l!)aR"</f>
        <v>#VALUE!</v>
      </c>
      <c r="FE206" t="e">
        <f>Raw!N393+"h_l!)aS"</f>
        <v>#VALUE!</v>
      </c>
      <c r="FF206" t="e">
        <f>Raw!O393+"h_l!)aT"</f>
        <v>#VALUE!</v>
      </c>
      <c r="FG206" t="e">
        <f>Raw!P393+"h_l!)aU"</f>
        <v>#VALUE!</v>
      </c>
      <c r="FH206" t="e">
        <f>Raw!Q393+"h_l!)aV"</f>
        <v>#VALUE!</v>
      </c>
      <c r="FI206" t="e">
        <f>Raw!R393+"h_l!)aW"</f>
        <v>#VALUE!</v>
      </c>
      <c r="FJ206" t="e">
        <f>Raw!S393+"h_l!)aX"</f>
        <v>#VALUE!</v>
      </c>
      <c r="FK206" t="e">
        <f>Raw!T393+"h_l!)aY"</f>
        <v>#VALUE!</v>
      </c>
      <c r="FL206" t="e">
        <f>Raw!U393+"h_l!)aZ"</f>
        <v>#VALUE!</v>
      </c>
      <c r="FM206" t="e">
        <f>Raw!V393+"h_l!)a["</f>
        <v>#VALUE!</v>
      </c>
      <c r="FN206" t="e">
        <f>Raw!W393+"h_l!)a\"</f>
        <v>#VALUE!</v>
      </c>
      <c r="FO206" t="e">
        <f>Raw!A394+"h_l!)a]"</f>
        <v>#VALUE!</v>
      </c>
      <c r="FP206" t="e">
        <f>Raw!B394+"h_l!)a^"</f>
        <v>#VALUE!</v>
      </c>
      <c r="FQ206" t="e">
        <f>Raw!C394+"h_l!)a_"</f>
        <v>#VALUE!</v>
      </c>
      <c r="FR206" t="e">
        <f>Raw!D394+"h_l!)a`"</f>
        <v>#VALUE!</v>
      </c>
      <c r="FS206" t="e">
        <f>Raw!E394+"h_l!)aa"</f>
        <v>#VALUE!</v>
      </c>
      <c r="FT206" t="e">
        <f>Raw!#REF!+"h_l!)ab"</f>
        <v>#REF!</v>
      </c>
      <c r="FU206" t="e">
        <f>Raw!G394+"h_l!)ac"</f>
        <v>#VALUE!</v>
      </c>
      <c r="FV206" t="e">
        <f>Raw!H394+"h_l!)ad"</f>
        <v>#VALUE!</v>
      </c>
      <c r="FW206" t="e">
        <f>Raw!I394+"h_l!)ae"</f>
        <v>#VALUE!</v>
      </c>
      <c r="FX206" t="e">
        <f>Raw!J394+"h_l!)af"</f>
        <v>#VALUE!</v>
      </c>
      <c r="FY206" t="e">
        <f>Raw!K394+"h_l!)ag"</f>
        <v>#VALUE!</v>
      </c>
      <c r="FZ206" t="e">
        <f>Raw!L394+"h_l!)ah"</f>
        <v>#VALUE!</v>
      </c>
      <c r="GA206" t="e">
        <f>Raw!M394+"h_l!)ai"</f>
        <v>#VALUE!</v>
      </c>
      <c r="GB206" t="e">
        <f>Raw!N394+"h_l!)aj"</f>
        <v>#VALUE!</v>
      </c>
      <c r="GC206" t="e">
        <f>Raw!O394+"h_l!)ak"</f>
        <v>#VALUE!</v>
      </c>
      <c r="GD206" t="e">
        <f>Raw!P394+"h_l!)al"</f>
        <v>#VALUE!</v>
      </c>
      <c r="GE206" t="e">
        <f>Raw!Q394+"h_l!)am"</f>
        <v>#VALUE!</v>
      </c>
      <c r="GF206" t="e">
        <f>Raw!R394+"h_l!)an"</f>
        <v>#VALUE!</v>
      </c>
      <c r="GG206" t="e">
        <f>Raw!S394+"h_l!)ao"</f>
        <v>#VALUE!</v>
      </c>
      <c r="GH206" t="e">
        <f>Raw!T394+"h_l!)ap"</f>
        <v>#VALUE!</v>
      </c>
      <c r="GI206" t="e">
        <f>Raw!U394+"h_l!)aq"</f>
        <v>#VALUE!</v>
      </c>
      <c r="GJ206" t="e">
        <f>Raw!V394+"h_l!)ar"</f>
        <v>#VALUE!</v>
      </c>
      <c r="GK206" t="e">
        <f>Raw!W394+"h_l!)as"</f>
        <v>#VALUE!</v>
      </c>
      <c r="GL206" t="e">
        <f>Raw!A395+"h_l!)at"</f>
        <v>#VALUE!</v>
      </c>
      <c r="GM206" t="e">
        <f>Raw!B395+"h_l!)au"</f>
        <v>#VALUE!</v>
      </c>
      <c r="GN206" t="e">
        <f>Raw!C395+"h_l!)av"</f>
        <v>#VALUE!</v>
      </c>
      <c r="GO206" t="e">
        <f>Raw!D395+"h_l!)aw"</f>
        <v>#VALUE!</v>
      </c>
      <c r="GP206" t="e">
        <f>Raw!E395+"h_l!)ax"</f>
        <v>#VALUE!</v>
      </c>
      <c r="GQ206" t="e">
        <f>Raw!#REF!+"h_l!)ay"</f>
        <v>#REF!</v>
      </c>
      <c r="GR206" t="e">
        <f>Raw!G395+"h_l!)az"</f>
        <v>#VALUE!</v>
      </c>
      <c r="GS206" t="e">
        <f>Raw!H395+"h_l!)a{"</f>
        <v>#VALUE!</v>
      </c>
      <c r="GT206" t="e">
        <f>Raw!I395+"h_l!)a|"</f>
        <v>#VALUE!</v>
      </c>
      <c r="GU206" t="e">
        <f>Raw!J395+"h_l!)a}"</f>
        <v>#VALUE!</v>
      </c>
      <c r="GV206" t="e">
        <f>Raw!K395+"h_l!)a~"</f>
        <v>#VALUE!</v>
      </c>
      <c r="GW206" t="e">
        <f>Raw!L395+"h_l!)b#"</f>
        <v>#VALUE!</v>
      </c>
      <c r="GX206" t="e">
        <f>Raw!M395+"h_l!)b$"</f>
        <v>#VALUE!</v>
      </c>
      <c r="GY206" t="e">
        <f>Raw!N395+"h_l!)b%"</f>
        <v>#VALUE!</v>
      </c>
      <c r="GZ206" t="e">
        <f>Raw!O395+"h_l!)b&amp;"</f>
        <v>#VALUE!</v>
      </c>
      <c r="HA206" t="e">
        <f>Raw!P395+"h_l!)b'"</f>
        <v>#VALUE!</v>
      </c>
      <c r="HB206" t="e">
        <f>Raw!Q395+"h_l!)b("</f>
        <v>#VALUE!</v>
      </c>
      <c r="HC206" t="e">
        <f>Raw!R395+"h_l!)b)"</f>
        <v>#VALUE!</v>
      </c>
      <c r="HD206" t="e">
        <f>Raw!S395+"h_l!)b."</f>
        <v>#VALUE!</v>
      </c>
      <c r="HE206" t="e">
        <f>Raw!T395+"h_l!)b/"</f>
        <v>#VALUE!</v>
      </c>
      <c r="HF206" t="e">
        <f>Raw!U395+"h_l!)b0"</f>
        <v>#VALUE!</v>
      </c>
      <c r="HG206" t="e">
        <f>Raw!V395+"h_l!)b1"</f>
        <v>#VALUE!</v>
      </c>
      <c r="HH206" t="e">
        <f>Raw!W395+"h_l!)b2"</f>
        <v>#VALUE!</v>
      </c>
      <c r="HI206" t="e">
        <f>Raw!A396+"h_l!)b3"</f>
        <v>#VALUE!</v>
      </c>
      <c r="HJ206" t="e">
        <f>Raw!B396+"h_l!)b4"</f>
        <v>#VALUE!</v>
      </c>
      <c r="HK206" t="e">
        <f>Raw!C396+"h_l!)b5"</f>
        <v>#VALUE!</v>
      </c>
      <c r="HL206" t="e">
        <f>Raw!D396+"h_l!)b6"</f>
        <v>#VALUE!</v>
      </c>
      <c r="HM206" t="e">
        <f>Raw!E396+"h_l!)b7"</f>
        <v>#VALUE!</v>
      </c>
      <c r="HN206" t="e">
        <f>Raw!#REF!+"h_l!)b8"</f>
        <v>#REF!</v>
      </c>
      <c r="HO206" t="e">
        <f>Raw!G396+"h_l!)b9"</f>
        <v>#VALUE!</v>
      </c>
      <c r="HP206" t="e">
        <f>Raw!H396+"h_l!)b:"</f>
        <v>#VALUE!</v>
      </c>
      <c r="HQ206" t="e">
        <f>Raw!I396+"h_l!)b;"</f>
        <v>#VALUE!</v>
      </c>
      <c r="HR206" t="e">
        <f>Raw!J396+"h_l!)b&lt;"</f>
        <v>#VALUE!</v>
      </c>
      <c r="HS206" t="e">
        <f>Raw!K396+"h_l!)b="</f>
        <v>#VALUE!</v>
      </c>
      <c r="HT206" t="e">
        <f>Raw!L396+"h_l!)b&gt;"</f>
        <v>#VALUE!</v>
      </c>
      <c r="HU206" t="e">
        <f>Raw!M396+"h_l!)b?"</f>
        <v>#VALUE!</v>
      </c>
      <c r="HV206" t="e">
        <f>Raw!N396+"h_l!)b@"</f>
        <v>#VALUE!</v>
      </c>
      <c r="HW206" t="e">
        <f>Raw!O396+"h_l!)bA"</f>
        <v>#VALUE!</v>
      </c>
      <c r="HX206" t="e">
        <f>Raw!P396+"h_l!)bB"</f>
        <v>#VALUE!</v>
      </c>
      <c r="HY206" t="e">
        <f>Raw!Q396+"h_l!)bC"</f>
        <v>#VALUE!</v>
      </c>
      <c r="HZ206" t="e">
        <f>Raw!R396+"h_l!)bD"</f>
        <v>#VALUE!</v>
      </c>
      <c r="IA206" t="e">
        <f>Raw!S396+"h_l!)bE"</f>
        <v>#VALUE!</v>
      </c>
      <c r="IB206" t="e">
        <f>Raw!T396+"h_l!)bF"</f>
        <v>#VALUE!</v>
      </c>
      <c r="IC206" t="e">
        <f>Raw!U396+"h_l!)bG"</f>
        <v>#VALUE!</v>
      </c>
      <c r="ID206" t="e">
        <f>Raw!V396+"h_l!)bH"</f>
        <v>#VALUE!</v>
      </c>
      <c r="IE206" t="e">
        <f>Raw!W396+"h_l!)bI"</f>
        <v>#VALUE!</v>
      </c>
      <c r="IF206" t="e">
        <f>Raw!A397+"h_l!)bJ"</f>
        <v>#VALUE!</v>
      </c>
      <c r="IG206" t="e">
        <f>Raw!B397+"h_l!)bK"</f>
        <v>#VALUE!</v>
      </c>
      <c r="IH206" t="e">
        <f>Raw!C397+"h_l!)bL"</f>
        <v>#VALUE!</v>
      </c>
      <c r="II206" t="e">
        <f>Raw!D397+"h_l!)bM"</f>
        <v>#VALUE!</v>
      </c>
      <c r="IJ206" t="e">
        <f>Raw!E397+"h_l!)bN"</f>
        <v>#VALUE!</v>
      </c>
      <c r="IK206" t="e">
        <f>Raw!#REF!+"h_l!)bO"</f>
        <v>#REF!</v>
      </c>
      <c r="IL206" t="e">
        <f>Raw!G397+"h_l!)bP"</f>
        <v>#VALUE!</v>
      </c>
      <c r="IM206" t="e">
        <f>Raw!H397+"h_l!)bQ"</f>
        <v>#VALUE!</v>
      </c>
      <c r="IN206" t="e">
        <f>Raw!I397+"h_l!)bR"</f>
        <v>#VALUE!</v>
      </c>
      <c r="IO206" t="e">
        <f>Raw!J397+"h_l!)bS"</f>
        <v>#VALUE!</v>
      </c>
      <c r="IP206" t="e">
        <f>Raw!K397+"h_l!)bT"</f>
        <v>#VALUE!</v>
      </c>
      <c r="IQ206" t="e">
        <f>Raw!L397+"h_l!)bU"</f>
        <v>#VALUE!</v>
      </c>
      <c r="IR206" t="e">
        <f>Raw!M397+"h_l!)bV"</f>
        <v>#VALUE!</v>
      </c>
      <c r="IS206" t="e">
        <f>Raw!N397+"h_l!)bW"</f>
        <v>#VALUE!</v>
      </c>
      <c r="IT206" t="e">
        <f>Raw!O397+"h_l!)bX"</f>
        <v>#VALUE!</v>
      </c>
      <c r="IU206" t="e">
        <f>Raw!P397+"h_l!)bY"</f>
        <v>#VALUE!</v>
      </c>
      <c r="IV206" t="e">
        <f>Raw!Q397+"h_l!)bZ"</f>
        <v>#VALUE!</v>
      </c>
    </row>
    <row r="207" spans="6:256" x14ac:dyDescent="0.25">
      <c r="F207" t="e">
        <f>Raw!R397+"h_l!)b["</f>
        <v>#VALUE!</v>
      </c>
      <c r="G207" t="e">
        <f>Raw!S397+"h_l!)b\"</f>
        <v>#VALUE!</v>
      </c>
      <c r="H207" t="e">
        <f>Raw!T397+"h_l!)b]"</f>
        <v>#VALUE!</v>
      </c>
      <c r="I207" t="e">
        <f>Raw!U397+"h_l!)b^"</f>
        <v>#VALUE!</v>
      </c>
      <c r="J207" t="e">
        <f>Raw!V397+"h_l!)b_"</f>
        <v>#VALUE!</v>
      </c>
      <c r="K207" t="e">
        <f>Raw!W397+"h_l!)b`"</f>
        <v>#VALUE!</v>
      </c>
      <c r="L207" t="e">
        <f>Raw!A398+"h_l!)ba"</f>
        <v>#VALUE!</v>
      </c>
      <c r="M207" t="e">
        <f>Raw!B398+"h_l!)bb"</f>
        <v>#VALUE!</v>
      </c>
      <c r="N207" t="e">
        <f>Raw!C398+"h_l!)bc"</f>
        <v>#VALUE!</v>
      </c>
      <c r="O207" t="e">
        <f>Raw!D398+"h_l!)bd"</f>
        <v>#VALUE!</v>
      </c>
      <c r="P207" t="e">
        <f>Raw!E398+"h_l!)be"</f>
        <v>#VALUE!</v>
      </c>
      <c r="Q207" t="e">
        <f>Raw!#REF!+"h_l!)bf"</f>
        <v>#REF!</v>
      </c>
      <c r="R207" t="e">
        <f>Raw!G398+"h_l!)bg"</f>
        <v>#VALUE!</v>
      </c>
      <c r="S207" t="e">
        <f>Raw!H398+"h_l!)bh"</f>
        <v>#VALUE!</v>
      </c>
      <c r="T207" t="e">
        <f>Raw!I398+"h_l!)bi"</f>
        <v>#VALUE!</v>
      </c>
      <c r="U207" t="e">
        <f>Raw!J398+"h_l!)bj"</f>
        <v>#VALUE!</v>
      </c>
      <c r="V207" t="e">
        <f>Raw!K398+"h_l!)bk"</f>
        <v>#VALUE!</v>
      </c>
      <c r="W207" t="e">
        <f>Raw!L398+"h_l!)bl"</f>
        <v>#VALUE!</v>
      </c>
      <c r="X207" t="e">
        <f>Raw!M398+"h_l!)bm"</f>
        <v>#VALUE!</v>
      </c>
      <c r="Y207" t="e">
        <f>Raw!N398+"h_l!)bn"</f>
        <v>#VALUE!</v>
      </c>
      <c r="Z207" t="e">
        <f>Raw!O398+"h_l!)bo"</f>
        <v>#VALUE!</v>
      </c>
      <c r="AA207" t="e">
        <f>Raw!P398+"h_l!)bp"</f>
        <v>#VALUE!</v>
      </c>
      <c r="AB207" t="e">
        <f>Raw!Q398+"h_l!)bq"</f>
        <v>#VALUE!</v>
      </c>
      <c r="AC207" t="e">
        <f>Raw!R398+"h_l!)br"</f>
        <v>#VALUE!</v>
      </c>
      <c r="AD207" t="e">
        <f>Raw!S398+"h_l!)bs"</f>
        <v>#VALUE!</v>
      </c>
      <c r="AE207" t="e">
        <f>Raw!T398+"h_l!)bt"</f>
        <v>#VALUE!</v>
      </c>
      <c r="AF207" t="e">
        <f>Raw!U398+"h_l!)bu"</f>
        <v>#VALUE!</v>
      </c>
      <c r="AG207" t="e">
        <f>Raw!V398+"h_l!)bv"</f>
        <v>#VALUE!</v>
      </c>
      <c r="AH207" t="e">
        <f>Raw!W398+"h_l!)bw"</f>
        <v>#VALUE!</v>
      </c>
      <c r="AI207" t="e">
        <f>Raw!A399+"h_l!)bx"</f>
        <v>#VALUE!</v>
      </c>
      <c r="AJ207" t="e">
        <f>Raw!B399+"h_l!)by"</f>
        <v>#VALUE!</v>
      </c>
      <c r="AK207" t="e">
        <f>Raw!C399+"h_l!)bz"</f>
        <v>#VALUE!</v>
      </c>
      <c r="AL207" t="e">
        <f>Raw!D399+"h_l!)b{"</f>
        <v>#VALUE!</v>
      </c>
      <c r="AM207" t="e">
        <f>Raw!E399+"h_l!)b|"</f>
        <v>#VALUE!</v>
      </c>
      <c r="AN207" t="e">
        <f>Raw!#REF!+"h_l!)b}"</f>
        <v>#REF!</v>
      </c>
      <c r="AO207" t="e">
        <f>Raw!G399+"h_l!)b~"</f>
        <v>#VALUE!</v>
      </c>
      <c r="AP207" t="e">
        <f>Raw!H399+"h_l!)c#"</f>
        <v>#VALUE!</v>
      </c>
      <c r="AQ207" t="e">
        <f>Raw!I399+"h_l!)c$"</f>
        <v>#VALUE!</v>
      </c>
      <c r="AR207" t="e">
        <f>Raw!J399+"h_l!)c%"</f>
        <v>#VALUE!</v>
      </c>
      <c r="AS207" t="e">
        <f>Raw!K399+"h_l!)c&amp;"</f>
        <v>#VALUE!</v>
      </c>
      <c r="AT207" t="e">
        <f>Raw!L399+"h_l!)c'"</f>
        <v>#VALUE!</v>
      </c>
      <c r="AU207" t="e">
        <f>Raw!M399+"h_l!)c("</f>
        <v>#VALUE!</v>
      </c>
      <c r="AV207" t="e">
        <f>Raw!N399+"h_l!)c)"</f>
        <v>#VALUE!</v>
      </c>
      <c r="AW207" t="e">
        <f>Raw!O399+"h_l!)c."</f>
        <v>#VALUE!</v>
      </c>
      <c r="AX207" t="e">
        <f>Raw!P399+"h_l!)c/"</f>
        <v>#VALUE!</v>
      </c>
      <c r="AY207" t="e">
        <f>Raw!Q399+"h_l!)c0"</f>
        <v>#VALUE!</v>
      </c>
      <c r="AZ207" t="e">
        <f>Raw!R399+"h_l!)c1"</f>
        <v>#VALUE!</v>
      </c>
      <c r="BA207" t="e">
        <f>Raw!S399+"h_l!)c2"</f>
        <v>#VALUE!</v>
      </c>
      <c r="BB207" t="e">
        <f>Raw!T399+"h_l!)c3"</f>
        <v>#VALUE!</v>
      </c>
      <c r="BC207" t="e">
        <f>Raw!U399+"h_l!)c4"</f>
        <v>#VALUE!</v>
      </c>
      <c r="BD207" t="e">
        <f>Raw!V399+"h_l!)c5"</f>
        <v>#VALUE!</v>
      </c>
      <c r="BE207" t="e">
        <f>Raw!W399+"h_l!)c6"</f>
        <v>#VALUE!</v>
      </c>
      <c r="BF207" t="e">
        <f>Raw!A400+"h_l!)c7"</f>
        <v>#VALUE!</v>
      </c>
      <c r="BG207" t="e">
        <f>Raw!B400+"h_l!)c8"</f>
        <v>#VALUE!</v>
      </c>
      <c r="BH207" t="e">
        <f>Raw!C400+"h_l!)c9"</f>
        <v>#VALUE!</v>
      </c>
      <c r="BI207" t="e">
        <f>Raw!D400+"h_l!)c:"</f>
        <v>#VALUE!</v>
      </c>
      <c r="BJ207" t="e">
        <f>Raw!E400+"h_l!)c;"</f>
        <v>#VALUE!</v>
      </c>
      <c r="BK207" t="e">
        <f>Raw!#REF!+"h_l!)c&lt;"</f>
        <v>#REF!</v>
      </c>
      <c r="BL207" t="e">
        <f>Raw!G400+"h_l!)c="</f>
        <v>#VALUE!</v>
      </c>
      <c r="BM207" t="e">
        <f>Raw!H400+"h_l!)c&gt;"</f>
        <v>#VALUE!</v>
      </c>
      <c r="BN207" t="e">
        <f>Raw!I400+"h_l!)c?"</f>
        <v>#VALUE!</v>
      </c>
      <c r="BO207" t="e">
        <f>Raw!J400+"h_l!)c@"</f>
        <v>#VALUE!</v>
      </c>
      <c r="BP207" t="e">
        <f>Raw!K400+"h_l!)cA"</f>
        <v>#VALUE!</v>
      </c>
      <c r="BQ207" t="e">
        <f>Raw!L400+"h_l!)cB"</f>
        <v>#VALUE!</v>
      </c>
      <c r="BR207" t="e">
        <f>Raw!M400+"h_l!)cC"</f>
        <v>#VALUE!</v>
      </c>
      <c r="BS207" t="e">
        <f>Raw!N400+"h_l!)cD"</f>
        <v>#VALUE!</v>
      </c>
      <c r="BT207" t="e">
        <f>Raw!O400+"h_l!)cE"</f>
        <v>#VALUE!</v>
      </c>
      <c r="BU207" t="e">
        <f>Raw!P400+"h_l!)cF"</f>
        <v>#VALUE!</v>
      </c>
      <c r="BV207" t="e">
        <f>Raw!Q400+"h_l!)cG"</f>
        <v>#VALUE!</v>
      </c>
      <c r="BW207" t="e">
        <f>Raw!R400+"h_l!)cH"</f>
        <v>#VALUE!</v>
      </c>
      <c r="BX207" t="e">
        <f>Raw!S400+"h_l!)cI"</f>
        <v>#VALUE!</v>
      </c>
      <c r="BY207" t="e">
        <f>Raw!T400+"h_l!)cJ"</f>
        <v>#VALUE!</v>
      </c>
      <c r="BZ207" t="e">
        <f>Raw!U400+"h_l!)cK"</f>
        <v>#VALUE!</v>
      </c>
      <c r="CA207" t="e">
        <f>Raw!V400+"h_l!)cL"</f>
        <v>#VALUE!</v>
      </c>
      <c r="CB207" t="e">
        <f>Raw!W400+"h_l!)cM"</f>
        <v>#VALUE!</v>
      </c>
      <c r="CC207" t="e">
        <f>Raw!A401+"h_l!)cN"</f>
        <v>#VALUE!</v>
      </c>
      <c r="CD207" t="e">
        <f>Raw!B401+"h_l!)cO"</f>
        <v>#VALUE!</v>
      </c>
      <c r="CE207" t="e">
        <f>Raw!C401+"h_l!)cP"</f>
        <v>#VALUE!</v>
      </c>
      <c r="CF207" t="e">
        <f>Raw!D401+"h_l!)cQ"</f>
        <v>#VALUE!</v>
      </c>
      <c r="CG207" t="e">
        <f>Raw!E401+"h_l!)cR"</f>
        <v>#VALUE!</v>
      </c>
      <c r="CH207" t="e">
        <f>Raw!#REF!+"h_l!)cS"</f>
        <v>#REF!</v>
      </c>
      <c r="CI207" t="e">
        <f>Raw!G401+"h_l!)cT"</f>
        <v>#VALUE!</v>
      </c>
      <c r="CJ207" t="e">
        <f>Raw!H401+"h_l!)cU"</f>
        <v>#VALUE!</v>
      </c>
      <c r="CK207" t="e">
        <f>Raw!I401+"h_l!)cV"</f>
        <v>#VALUE!</v>
      </c>
      <c r="CL207" t="e">
        <f>Raw!J401+"h_l!)cW"</f>
        <v>#VALUE!</v>
      </c>
      <c r="CM207" t="e">
        <f>Raw!K401+"h_l!)cX"</f>
        <v>#VALUE!</v>
      </c>
      <c r="CN207" t="e">
        <f>Raw!L401+"h_l!)cY"</f>
        <v>#VALUE!</v>
      </c>
      <c r="CO207" t="e">
        <f>Raw!M401+"h_l!)cZ"</f>
        <v>#VALUE!</v>
      </c>
      <c r="CP207" t="e">
        <f>Raw!N401+"h_l!)c["</f>
        <v>#VALUE!</v>
      </c>
      <c r="CQ207" t="e">
        <f>Raw!O401+"h_l!)c\"</f>
        <v>#VALUE!</v>
      </c>
      <c r="CR207" t="e">
        <f>Raw!P401+"h_l!)c]"</f>
        <v>#VALUE!</v>
      </c>
      <c r="CS207" t="e">
        <f>Raw!Q401+"h_l!)c^"</f>
        <v>#VALUE!</v>
      </c>
      <c r="CT207" t="e">
        <f>Raw!R401+"h_l!)c_"</f>
        <v>#VALUE!</v>
      </c>
      <c r="CU207" t="e">
        <f>Raw!S401+"h_l!)c`"</f>
        <v>#VALUE!</v>
      </c>
      <c r="CV207" t="e">
        <f>Raw!T401+"h_l!)ca"</f>
        <v>#VALUE!</v>
      </c>
      <c r="CW207" t="e">
        <f>Raw!U401+"h_l!)cb"</f>
        <v>#VALUE!</v>
      </c>
      <c r="CX207" t="e">
        <f>Raw!V401+"h_l!)cc"</f>
        <v>#VALUE!</v>
      </c>
      <c r="CY207" t="e">
        <f>Raw!W401+"h_l!)cd"</f>
        <v>#VALUE!</v>
      </c>
      <c r="CZ207" t="e">
        <f>Raw!A402+"h_l!)ce"</f>
        <v>#VALUE!</v>
      </c>
      <c r="DA207" t="e">
        <f>Raw!B402+"h_l!)cf"</f>
        <v>#VALUE!</v>
      </c>
      <c r="DB207" t="e">
        <f>Raw!C402+"h_l!)cg"</f>
        <v>#VALUE!</v>
      </c>
      <c r="DC207" t="e">
        <f>Raw!D402+"h_l!)ch"</f>
        <v>#VALUE!</v>
      </c>
      <c r="DD207" t="e">
        <f>Raw!E402+"h_l!)ci"</f>
        <v>#VALUE!</v>
      </c>
      <c r="DE207" t="e">
        <f>Raw!#REF!+"h_l!)cj"</f>
        <v>#REF!</v>
      </c>
      <c r="DF207" t="e">
        <f>Raw!G402+"h_l!)ck"</f>
        <v>#VALUE!</v>
      </c>
      <c r="DG207" t="e">
        <f>Raw!H402+"h_l!)cl"</f>
        <v>#VALUE!</v>
      </c>
      <c r="DH207" t="e">
        <f>Raw!I402+"h_l!)cm"</f>
        <v>#VALUE!</v>
      </c>
      <c r="DI207" t="e">
        <f>Raw!J402+"h_l!)cn"</f>
        <v>#VALUE!</v>
      </c>
      <c r="DJ207" t="e">
        <f>Raw!K402+"h_l!)co"</f>
        <v>#VALUE!</v>
      </c>
      <c r="DK207" t="e">
        <f>Raw!L402+"h_l!)cp"</f>
        <v>#VALUE!</v>
      </c>
      <c r="DL207" t="e">
        <f>Raw!M402+"h_l!)cq"</f>
        <v>#VALUE!</v>
      </c>
      <c r="DM207" t="e">
        <f>Raw!N402+"h_l!)cr"</f>
        <v>#VALUE!</v>
      </c>
      <c r="DN207" t="e">
        <f>Raw!O402+"h_l!)cs"</f>
        <v>#VALUE!</v>
      </c>
      <c r="DO207" t="e">
        <f>Raw!P402+"h_l!)ct"</f>
        <v>#VALUE!</v>
      </c>
      <c r="DP207" t="e">
        <f>Raw!Q402+"h_l!)cu"</f>
        <v>#VALUE!</v>
      </c>
      <c r="DQ207" t="e">
        <f>Raw!R402+"h_l!)cv"</f>
        <v>#VALUE!</v>
      </c>
      <c r="DR207" t="e">
        <f>Raw!S402+"h_l!)cw"</f>
        <v>#VALUE!</v>
      </c>
      <c r="DS207" t="e">
        <f>Raw!T402+"h_l!)cx"</f>
        <v>#VALUE!</v>
      </c>
      <c r="DT207" t="e">
        <f>Raw!U402+"h_l!)cy"</f>
        <v>#VALUE!</v>
      </c>
      <c r="DU207" t="e">
        <f>Raw!V402+"h_l!)cz"</f>
        <v>#VALUE!</v>
      </c>
      <c r="DV207" t="e">
        <f>Raw!W402+"h_l!)c{"</f>
        <v>#VALUE!</v>
      </c>
      <c r="DW207" t="e">
        <f>Raw!A403+"h_l!)c|"</f>
        <v>#VALUE!</v>
      </c>
      <c r="DX207" t="e">
        <f>Raw!B403+"h_l!)c}"</f>
        <v>#VALUE!</v>
      </c>
      <c r="DY207" t="e">
        <f>Raw!C403+"h_l!)c~"</f>
        <v>#VALUE!</v>
      </c>
      <c r="DZ207" t="e">
        <f>Raw!D403+"h_l!)d#"</f>
        <v>#VALUE!</v>
      </c>
      <c r="EA207" t="e">
        <f>Raw!E403+"h_l!)d$"</f>
        <v>#VALUE!</v>
      </c>
      <c r="EB207" t="e">
        <f>Raw!#REF!+"h_l!)d%"</f>
        <v>#REF!</v>
      </c>
      <c r="EC207" t="e">
        <f>Raw!G403+"h_l!)d&amp;"</f>
        <v>#VALUE!</v>
      </c>
      <c r="ED207" t="e">
        <f>Raw!H403+"h_l!)d'"</f>
        <v>#VALUE!</v>
      </c>
      <c r="EE207" t="e">
        <f>Raw!I403+"h_l!)d("</f>
        <v>#VALUE!</v>
      </c>
      <c r="EF207" t="e">
        <f>Raw!J403+"h_l!)d)"</f>
        <v>#VALUE!</v>
      </c>
      <c r="EG207" t="e">
        <f>Raw!K403+"h_l!)d."</f>
        <v>#VALUE!</v>
      </c>
      <c r="EH207" t="e">
        <f>Raw!L403+"h_l!)d/"</f>
        <v>#VALUE!</v>
      </c>
      <c r="EI207" t="e">
        <f>Raw!M403+"h_l!)d0"</f>
        <v>#VALUE!</v>
      </c>
      <c r="EJ207" t="e">
        <f>Raw!N403+"h_l!)d1"</f>
        <v>#VALUE!</v>
      </c>
      <c r="EK207" t="e">
        <f>Raw!O403+"h_l!)d2"</f>
        <v>#VALUE!</v>
      </c>
      <c r="EL207" t="e">
        <f>Raw!P403+"h_l!)d3"</f>
        <v>#VALUE!</v>
      </c>
      <c r="EM207" t="e">
        <f>Raw!Q403+"h_l!)d4"</f>
        <v>#VALUE!</v>
      </c>
      <c r="EN207" t="e">
        <f>Raw!R403+"h_l!)d5"</f>
        <v>#VALUE!</v>
      </c>
      <c r="EO207" t="e">
        <f>Raw!S403+"h_l!)d6"</f>
        <v>#VALUE!</v>
      </c>
      <c r="EP207" t="e">
        <f>Raw!T403+"h_l!)d7"</f>
        <v>#VALUE!</v>
      </c>
      <c r="EQ207" t="e">
        <f>Raw!U403+"h_l!)d8"</f>
        <v>#VALUE!</v>
      </c>
      <c r="ER207" t="e">
        <f>Raw!V403+"h_l!)d9"</f>
        <v>#VALUE!</v>
      </c>
      <c r="ES207" t="e">
        <f>Raw!W403+"h_l!)d:"</f>
        <v>#VALUE!</v>
      </c>
      <c r="ET207" t="e">
        <f>Raw!A404+"h_l!)d;"</f>
        <v>#VALUE!</v>
      </c>
      <c r="EU207" t="e">
        <f>Raw!B404+"h_l!)d&lt;"</f>
        <v>#VALUE!</v>
      </c>
      <c r="EV207" t="e">
        <f>Raw!C404+"h_l!)d="</f>
        <v>#VALUE!</v>
      </c>
      <c r="EW207" t="e">
        <f>Raw!D404+"h_l!)d&gt;"</f>
        <v>#VALUE!</v>
      </c>
      <c r="EX207" t="e">
        <f>Raw!E404+"h_l!)d?"</f>
        <v>#VALUE!</v>
      </c>
      <c r="EY207" t="e">
        <f>Raw!#REF!+"h_l!)d@"</f>
        <v>#REF!</v>
      </c>
      <c r="EZ207" t="e">
        <f>Raw!G404+"h_l!)dA"</f>
        <v>#VALUE!</v>
      </c>
      <c r="FA207" t="e">
        <f>Raw!H404+"h_l!)dB"</f>
        <v>#VALUE!</v>
      </c>
      <c r="FB207" t="e">
        <f>Raw!I404+"h_l!)dC"</f>
        <v>#VALUE!</v>
      </c>
      <c r="FC207" t="e">
        <f>Raw!J404+"h_l!)dD"</f>
        <v>#VALUE!</v>
      </c>
      <c r="FD207" t="e">
        <f>Raw!K404+"h_l!)dE"</f>
        <v>#VALUE!</v>
      </c>
      <c r="FE207" t="e">
        <f>Raw!L404+"h_l!)dF"</f>
        <v>#VALUE!</v>
      </c>
      <c r="FF207" t="e">
        <f>Raw!M404+"h_l!)dG"</f>
        <v>#VALUE!</v>
      </c>
      <c r="FG207" t="e">
        <f>Raw!N404+"h_l!)dH"</f>
        <v>#VALUE!</v>
      </c>
      <c r="FH207" t="e">
        <f>Raw!O404+"h_l!)dI"</f>
        <v>#VALUE!</v>
      </c>
      <c r="FI207" t="e">
        <f>Raw!P404+"h_l!)dJ"</f>
        <v>#VALUE!</v>
      </c>
      <c r="FJ207" t="e">
        <f>Raw!Q404+"h_l!)dK"</f>
        <v>#VALUE!</v>
      </c>
      <c r="FK207" t="e">
        <f>Raw!R404+"h_l!)dL"</f>
        <v>#VALUE!</v>
      </c>
      <c r="FL207" t="e">
        <f>Raw!S404+"h_l!)dM"</f>
        <v>#VALUE!</v>
      </c>
      <c r="FM207" t="e">
        <f>Raw!T404+"h_l!)dN"</f>
        <v>#VALUE!</v>
      </c>
      <c r="FN207" t="e">
        <f>Raw!U404+"h_l!)dO"</f>
        <v>#VALUE!</v>
      </c>
      <c r="FO207" t="e">
        <f>Raw!V404+"h_l!)dP"</f>
        <v>#VALUE!</v>
      </c>
      <c r="FP207" t="e">
        <f>Raw!W404+"h_l!)dQ"</f>
        <v>#VALUE!</v>
      </c>
      <c r="FQ207" t="e">
        <f>Raw!A405+"h_l!)dR"</f>
        <v>#VALUE!</v>
      </c>
      <c r="FR207" t="e">
        <f>Raw!B405+"h_l!)dS"</f>
        <v>#VALUE!</v>
      </c>
      <c r="FS207" t="e">
        <f>Raw!C405+"h_l!)dT"</f>
        <v>#VALUE!</v>
      </c>
      <c r="FT207" t="e">
        <f>Raw!D405+"h_l!)dU"</f>
        <v>#VALUE!</v>
      </c>
      <c r="FU207" t="e">
        <f>Raw!E405+"h_l!)dV"</f>
        <v>#VALUE!</v>
      </c>
      <c r="FV207" t="e">
        <f>Raw!#REF!+"h_l!)dW"</f>
        <v>#REF!</v>
      </c>
      <c r="FW207" t="e">
        <f>Raw!G405+"h_l!)dX"</f>
        <v>#VALUE!</v>
      </c>
      <c r="FX207" t="e">
        <f>Raw!H405+"h_l!)dY"</f>
        <v>#VALUE!</v>
      </c>
      <c r="FY207" t="e">
        <f>Raw!I405+"h_l!)dZ"</f>
        <v>#VALUE!</v>
      </c>
      <c r="FZ207" t="e">
        <f>Raw!J405+"h_l!)d["</f>
        <v>#VALUE!</v>
      </c>
      <c r="GA207" t="e">
        <f>Raw!K405+"h_l!)d\"</f>
        <v>#VALUE!</v>
      </c>
      <c r="GB207" t="e">
        <f>Raw!L405+"h_l!)d]"</f>
        <v>#VALUE!</v>
      </c>
      <c r="GC207" t="e">
        <f>Raw!M405+"h_l!)d^"</f>
        <v>#VALUE!</v>
      </c>
      <c r="GD207" t="e">
        <f>Raw!N405+"h_l!)d_"</f>
        <v>#VALUE!</v>
      </c>
      <c r="GE207" t="e">
        <f>Raw!O405+"h_l!)d`"</f>
        <v>#VALUE!</v>
      </c>
      <c r="GF207" t="e">
        <f>Raw!P405+"h_l!)da"</f>
        <v>#VALUE!</v>
      </c>
      <c r="GG207" t="e">
        <f>Raw!Q405+"h_l!)db"</f>
        <v>#VALUE!</v>
      </c>
      <c r="GH207" t="e">
        <f>Raw!R405+"h_l!)dc"</f>
        <v>#VALUE!</v>
      </c>
      <c r="GI207" t="e">
        <f>Raw!S405+"h_l!)dd"</f>
        <v>#VALUE!</v>
      </c>
      <c r="GJ207" t="e">
        <f>Raw!T405+"h_l!)de"</f>
        <v>#VALUE!</v>
      </c>
      <c r="GK207" t="e">
        <f>Raw!U405+"h_l!)df"</f>
        <v>#VALUE!</v>
      </c>
      <c r="GL207" t="e">
        <f>Raw!V405+"h_l!)dg"</f>
        <v>#VALUE!</v>
      </c>
      <c r="GM207" t="e">
        <f>Raw!W405+"h_l!)dh"</f>
        <v>#VALUE!</v>
      </c>
      <c r="GN207" t="e">
        <f>Raw!A406+"h_l!)di"</f>
        <v>#VALUE!</v>
      </c>
      <c r="GO207" t="e">
        <f>Raw!B406+"h_l!)dj"</f>
        <v>#VALUE!</v>
      </c>
      <c r="GP207" t="e">
        <f>Raw!C406+"h_l!)dk"</f>
        <v>#VALUE!</v>
      </c>
      <c r="GQ207" t="e">
        <f>Raw!D406+"h_l!)dl"</f>
        <v>#VALUE!</v>
      </c>
      <c r="GR207" t="e">
        <f>Raw!E406+"h_l!)dm"</f>
        <v>#VALUE!</v>
      </c>
      <c r="GS207" t="e">
        <f>Raw!#REF!+"h_l!)dn"</f>
        <v>#REF!</v>
      </c>
      <c r="GT207" t="e">
        <f>Raw!G406+"h_l!)do"</f>
        <v>#VALUE!</v>
      </c>
      <c r="GU207" t="e">
        <f>Raw!H406+"h_l!)dp"</f>
        <v>#VALUE!</v>
      </c>
      <c r="GV207" t="e">
        <f>Raw!I406+"h_l!)dq"</f>
        <v>#VALUE!</v>
      </c>
      <c r="GW207" t="e">
        <f>Raw!J406+"h_l!)dr"</f>
        <v>#VALUE!</v>
      </c>
      <c r="GX207" t="e">
        <f>Raw!K406+"h_l!)ds"</f>
        <v>#VALUE!</v>
      </c>
      <c r="GY207" t="e">
        <f>Raw!L406+"h_l!)dt"</f>
        <v>#VALUE!</v>
      </c>
      <c r="GZ207" t="e">
        <f>Raw!M406+"h_l!)du"</f>
        <v>#VALUE!</v>
      </c>
      <c r="HA207" t="e">
        <f>Raw!N406+"h_l!)dv"</f>
        <v>#VALUE!</v>
      </c>
      <c r="HB207" t="e">
        <f>Raw!O406+"h_l!)dw"</f>
        <v>#VALUE!</v>
      </c>
      <c r="HC207" t="e">
        <f>Raw!P406+"h_l!)dx"</f>
        <v>#VALUE!</v>
      </c>
      <c r="HD207" t="e">
        <f>Raw!Q406+"h_l!)dy"</f>
        <v>#VALUE!</v>
      </c>
      <c r="HE207" t="e">
        <f>Raw!R406+"h_l!)dz"</f>
        <v>#VALUE!</v>
      </c>
      <c r="HF207" t="e">
        <f>Raw!S406+"h_l!)d{"</f>
        <v>#VALUE!</v>
      </c>
      <c r="HG207" t="e">
        <f>Raw!T406+"h_l!)d|"</f>
        <v>#VALUE!</v>
      </c>
      <c r="HH207" t="e">
        <f>Raw!U406+"h_l!)d}"</f>
        <v>#VALUE!</v>
      </c>
      <c r="HI207" t="e">
        <f>Raw!V406+"h_l!)d~"</f>
        <v>#VALUE!</v>
      </c>
      <c r="HJ207" t="e">
        <f>Raw!W406+"h_l!)e#"</f>
        <v>#VALUE!</v>
      </c>
      <c r="HK207" t="e">
        <f>Raw!A407+"h_l!)e$"</f>
        <v>#VALUE!</v>
      </c>
      <c r="HL207" t="e">
        <f>Raw!B407+"h_l!)e%"</f>
        <v>#VALUE!</v>
      </c>
      <c r="HM207" t="e">
        <f>Raw!C407+"h_l!)e&amp;"</f>
        <v>#VALUE!</v>
      </c>
      <c r="HN207" t="e">
        <f>Raw!D407+"h_l!)e'"</f>
        <v>#VALUE!</v>
      </c>
      <c r="HO207" t="e">
        <f>Raw!E407+"h_l!)e("</f>
        <v>#VALUE!</v>
      </c>
      <c r="HP207" t="e">
        <f>Raw!#REF!+"h_l!)e)"</f>
        <v>#REF!</v>
      </c>
      <c r="HQ207" t="e">
        <f>Raw!G407+"h_l!)e."</f>
        <v>#VALUE!</v>
      </c>
      <c r="HR207" t="e">
        <f>Raw!H407+"h_l!)e/"</f>
        <v>#VALUE!</v>
      </c>
      <c r="HS207" t="e">
        <f>Raw!I407+"h_l!)e0"</f>
        <v>#VALUE!</v>
      </c>
      <c r="HT207" t="e">
        <f>Raw!J407+"h_l!)e1"</f>
        <v>#VALUE!</v>
      </c>
      <c r="HU207" t="e">
        <f>Raw!K407+"h_l!)e2"</f>
        <v>#VALUE!</v>
      </c>
      <c r="HV207" t="e">
        <f>Raw!L407+"h_l!)e3"</f>
        <v>#VALUE!</v>
      </c>
      <c r="HW207" t="e">
        <f>Raw!M407+"h_l!)e4"</f>
        <v>#VALUE!</v>
      </c>
      <c r="HX207" t="e">
        <f>Raw!N407+"h_l!)e5"</f>
        <v>#VALUE!</v>
      </c>
      <c r="HY207" t="e">
        <f>Raw!O407+"h_l!)e6"</f>
        <v>#VALUE!</v>
      </c>
      <c r="HZ207" t="e">
        <f>Raw!P407+"h_l!)e7"</f>
        <v>#VALUE!</v>
      </c>
      <c r="IA207" t="e">
        <f>Raw!Q407+"h_l!)e8"</f>
        <v>#VALUE!</v>
      </c>
      <c r="IB207" t="e">
        <f>Raw!R407+"h_l!)e9"</f>
        <v>#VALUE!</v>
      </c>
      <c r="IC207" t="e">
        <f>Raw!S407+"h_l!)e:"</f>
        <v>#VALUE!</v>
      </c>
      <c r="ID207" t="e">
        <f>Raw!T407+"h_l!)e;"</f>
        <v>#VALUE!</v>
      </c>
      <c r="IE207" t="e">
        <f>Raw!U407+"h_l!)e&lt;"</f>
        <v>#VALUE!</v>
      </c>
      <c r="IF207" t="e">
        <f>Raw!V407+"h_l!)e="</f>
        <v>#VALUE!</v>
      </c>
      <c r="IG207" t="e">
        <f>Raw!W407+"h_l!)e&gt;"</f>
        <v>#VALUE!</v>
      </c>
      <c r="IH207" t="e">
        <f>Raw!A408+"h_l!)e?"</f>
        <v>#VALUE!</v>
      </c>
      <c r="II207" t="e">
        <f>Raw!B408+"h_l!)e@"</f>
        <v>#VALUE!</v>
      </c>
      <c r="IJ207" t="e">
        <f>Raw!C408+"h_l!)eA"</f>
        <v>#VALUE!</v>
      </c>
      <c r="IK207" t="e">
        <f>Raw!D408+"h_l!)eB"</f>
        <v>#VALUE!</v>
      </c>
      <c r="IL207" t="e">
        <f>Raw!E408+"h_l!)eC"</f>
        <v>#VALUE!</v>
      </c>
      <c r="IM207" t="e">
        <f>Raw!#REF!+"h_l!)eD"</f>
        <v>#REF!</v>
      </c>
      <c r="IN207" t="e">
        <f>Raw!G408+"h_l!)eE"</f>
        <v>#VALUE!</v>
      </c>
      <c r="IO207" t="e">
        <f>Raw!H408+"h_l!)eF"</f>
        <v>#VALUE!</v>
      </c>
      <c r="IP207" t="e">
        <f>Raw!I408+"h_l!)eG"</f>
        <v>#VALUE!</v>
      </c>
      <c r="IQ207" t="e">
        <f>Raw!J408+"h_l!)eH"</f>
        <v>#VALUE!</v>
      </c>
      <c r="IR207" t="e">
        <f>Raw!K408+"h_l!)eI"</f>
        <v>#VALUE!</v>
      </c>
      <c r="IS207" t="e">
        <f>Raw!L408+"h_l!)eJ"</f>
        <v>#VALUE!</v>
      </c>
      <c r="IT207" t="e">
        <f>Raw!M408+"h_l!)eK"</f>
        <v>#VALUE!</v>
      </c>
      <c r="IU207" t="e">
        <f>Raw!N408+"h_l!)eL"</f>
        <v>#VALUE!</v>
      </c>
      <c r="IV207" t="e">
        <f>Raw!O408+"h_l!)eM"</f>
        <v>#VALUE!</v>
      </c>
    </row>
    <row r="208" spans="6:256" x14ac:dyDescent="0.25">
      <c r="F208" t="e">
        <f>Raw!P408+"h_l!)eN"</f>
        <v>#VALUE!</v>
      </c>
      <c r="G208" t="e">
        <f>Raw!Q408+"h_l!)eO"</f>
        <v>#VALUE!</v>
      </c>
      <c r="H208" t="e">
        <f>Raw!R408+"h_l!)eP"</f>
        <v>#VALUE!</v>
      </c>
      <c r="I208" t="e">
        <f>Raw!S408+"h_l!)eQ"</f>
        <v>#VALUE!</v>
      </c>
      <c r="J208" t="e">
        <f>Raw!T408+"h_l!)eR"</f>
        <v>#VALUE!</v>
      </c>
      <c r="K208" t="e">
        <f>Raw!U408+"h_l!)eS"</f>
        <v>#VALUE!</v>
      </c>
      <c r="L208" t="e">
        <f>Raw!V408+"h_l!)eT"</f>
        <v>#VALUE!</v>
      </c>
      <c r="M208" t="e">
        <f>Raw!W408+"h_l!)eU"</f>
        <v>#VALUE!</v>
      </c>
      <c r="N208" t="e">
        <f>Raw!A409+"h_l!)eV"</f>
        <v>#VALUE!</v>
      </c>
      <c r="O208" t="e">
        <f>Raw!B409+"h_l!)eW"</f>
        <v>#VALUE!</v>
      </c>
      <c r="P208" t="e">
        <f>Raw!C409+"h_l!)eX"</f>
        <v>#VALUE!</v>
      </c>
      <c r="Q208" t="e">
        <f>Raw!D409+"h_l!)eY"</f>
        <v>#VALUE!</v>
      </c>
      <c r="R208" t="e">
        <f>Raw!E409+"h_l!)eZ"</f>
        <v>#VALUE!</v>
      </c>
      <c r="S208" t="e">
        <f>Raw!#REF!+"h_l!)e["</f>
        <v>#REF!</v>
      </c>
      <c r="T208" t="e">
        <f>Raw!G409+"h_l!)e\"</f>
        <v>#VALUE!</v>
      </c>
      <c r="U208" t="e">
        <f>Raw!H409+"h_l!)e]"</f>
        <v>#VALUE!</v>
      </c>
      <c r="V208" t="e">
        <f>Raw!I409+"h_l!)e^"</f>
        <v>#VALUE!</v>
      </c>
      <c r="W208" t="e">
        <f>Raw!J409+"h_l!)e_"</f>
        <v>#VALUE!</v>
      </c>
      <c r="X208" t="e">
        <f>Raw!K409+"h_l!)e`"</f>
        <v>#VALUE!</v>
      </c>
      <c r="Y208" t="e">
        <f>Raw!L409+"h_l!)ea"</f>
        <v>#VALUE!</v>
      </c>
      <c r="Z208" t="e">
        <f>Raw!M409+"h_l!)eb"</f>
        <v>#VALUE!</v>
      </c>
      <c r="AA208" t="e">
        <f>Raw!N409+"h_l!)ec"</f>
        <v>#VALUE!</v>
      </c>
      <c r="AB208" t="e">
        <f>Raw!O409+"h_l!)ed"</f>
        <v>#VALUE!</v>
      </c>
      <c r="AC208" t="e">
        <f>Raw!P409+"h_l!)ee"</f>
        <v>#VALUE!</v>
      </c>
      <c r="AD208" t="e">
        <f>Raw!Q409+"h_l!)ef"</f>
        <v>#VALUE!</v>
      </c>
      <c r="AE208" t="e">
        <f>Raw!R409+"h_l!)eg"</f>
        <v>#VALUE!</v>
      </c>
      <c r="AF208" t="e">
        <f>Raw!S409+"h_l!)eh"</f>
        <v>#VALUE!</v>
      </c>
      <c r="AG208" t="e">
        <f>Raw!T409+"h_l!)ei"</f>
        <v>#VALUE!</v>
      </c>
      <c r="AH208" t="e">
        <f>Raw!U409+"h_l!)ej"</f>
        <v>#VALUE!</v>
      </c>
      <c r="AI208" t="e">
        <f>Raw!V409+"h_l!)ek"</f>
        <v>#VALUE!</v>
      </c>
      <c r="AJ208" t="e">
        <f>Raw!W409+"h_l!)el"</f>
        <v>#VALUE!</v>
      </c>
      <c r="AK208" t="e">
        <f>Raw!A410+"h_l!)em"</f>
        <v>#VALUE!</v>
      </c>
      <c r="AL208" t="e">
        <f>Raw!B410+"h_l!)en"</f>
        <v>#VALUE!</v>
      </c>
      <c r="AM208" t="e">
        <f>Raw!C410+"h_l!)eo"</f>
        <v>#VALUE!</v>
      </c>
      <c r="AN208" t="e">
        <f>Raw!D410+"h_l!)ep"</f>
        <v>#VALUE!</v>
      </c>
      <c r="AO208" t="e">
        <f>Raw!E410+"h_l!)eq"</f>
        <v>#VALUE!</v>
      </c>
      <c r="AP208" t="e">
        <f>Raw!#REF!+"h_l!)er"</f>
        <v>#REF!</v>
      </c>
      <c r="AQ208" t="e">
        <f>Raw!G410+"h_l!)es"</f>
        <v>#VALUE!</v>
      </c>
      <c r="AR208" t="e">
        <f>Raw!H410+"h_l!)et"</f>
        <v>#VALUE!</v>
      </c>
      <c r="AS208" t="e">
        <f>Raw!I410+"h_l!)eu"</f>
        <v>#VALUE!</v>
      </c>
      <c r="AT208" t="e">
        <f>Raw!J410+"h_l!)ev"</f>
        <v>#VALUE!</v>
      </c>
      <c r="AU208" t="e">
        <f>Raw!K410+"h_l!)ew"</f>
        <v>#VALUE!</v>
      </c>
      <c r="AV208" t="e">
        <f>Raw!L410+"h_l!)ex"</f>
        <v>#VALUE!</v>
      </c>
      <c r="AW208" t="e">
        <f>Raw!M410+"h_l!)ey"</f>
        <v>#VALUE!</v>
      </c>
      <c r="AX208" t="e">
        <f>Raw!N410+"h_l!)ez"</f>
        <v>#VALUE!</v>
      </c>
      <c r="AY208" t="e">
        <f>Raw!O410+"h_l!)e{"</f>
        <v>#VALUE!</v>
      </c>
      <c r="AZ208" t="e">
        <f>Raw!P410+"h_l!)e|"</f>
        <v>#VALUE!</v>
      </c>
      <c r="BA208" t="e">
        <f>Raw!Q410+"h_l!)e}"</f>
        <v>#VALUE!</v>
      </c>
      <c r="BB208" t="e">
        <f>Raw!R410+"h_l!)e~"</f>
        <v>#VALUE!</v>
      </c>
      <c r="BC208" t="e">
        <f>Raw!S410+"h_l!)f#"</f>
        <v>#VALUE!</v>
      </c>
      <c r="BD208" t="e">
        <f>Raw!T410+"h_l!)f$"</f>
        <v>#VALUE!</v>
      </c>
      <c r="BE208" t="e">
        <f>Raw!U410+"h_l!)f%"</f>
        <v>#VALUE!</v>
      </c>
      <c r="BF208" t="e">
        <f>Raw!V410+"h_l!)f&amp;"</f>
        <v>#VALUE!</v>
      </c>
      <c r="BG208" t="e">
        <f>Raw!W410+"h_l!)f'"</f>
        <v>#VALUE!</v>
      </c>
      <c r="BH208" t="e">
        <f>Raw!A411+"h_l!)f("</f>
        <v>#VALUE!</v>
      </c>
      <c r="BI208" t="e">
        <f>Raw!B411+"h_l!)f)"</f>
        <v>#VALUE!</v>
      </c>
      <c r="BJ208" t="e">
        <f>Raw!C411+"h_l!)f."</f>
        <v>#VALUE!</v>
      </c>
      <c r="BK208" t="e">
        <f>Raw!D411+"h_l!)f/"</f>
        <v>#VALUE!</v>
      </c>
      <c r="BL208" t="e">
        <f>Raw!E411+"h_l!)f0"</f>
        <v>#VALUE!</v>
      </c>
      <c r="BM208" t="e">
        <f>Raw!#REF!+"h_l!)f1"</f>
        <v>#REF!</v>
      </c>
      <c r="BN208" t="e">
        <f>Raw!G411+"h_l!)f2"</f>
        <v>#VALUE!</v>
      </c>
      <c r="BO208" t="e">
        <f>Raw!H411+"h_l!)f3"</f>
        <v>#VALUE!</v>
      </c>
      <c r="BP208" t="e">
        <f>Raw!I411+"h_l!)f4"</f>
        <v>#VALUE!</v>
      </c>
      <c r="BQ208" t="e">
        <f>Raw!J411+"h_l!)f5"</f>
        <v>#VALUE!</v>
      </c>
      <c r="BR208" t="e">
        <f>Raw!K411+"h_l!)f6"</f>
        <v>#VALUE!</v>
      </c>
      <c r="BS208" t="e">
        <f>Raw!L411+"h_l!)f7"</f>
        <v>#VALUE!</v>
      </c>
      <c r="BT208" t="e">
        <f>Raw!M411+"h_l!)f8"</f>
        <v>#VALUE!</v>
      </c>
      <c r="BU208" t="e">
        <f>Raw!N411+"h_l!)f9"</f>
        <v>#VALUE!</v>
      </c>
      <c r="BV208" t="e">
        <f>Raw!O411+"h_l!)f:"</f>
        <v>#VALUE!</v>
      </c>
      <c r="BW208" t="e">
        <f>Raw!P411+"h_l!)f;"</f>
        <v>#VALUE!</v>
      </c>
      <c r="BX208" t="e">
        <f>Raw!Q411+"h_l!)f&lt;"</f>
        <v>#VALUE!</v>
      </c>
      <c r="BY208" t="e">
        <f>Raw!R411+"h_l!)f="</f>
        <v>#VALUE!</v>
      </c>
      <c r="BZ208" t="e">
        <f>Raw!S411+"h_l!)f&gt;"</f>
        <v>#VALUE!</v>
      </c>
      <c r="CA208" t="e">
        <f>Raw!T411+"h_l!)f?"</f>
        <v>#VALUE!</v>
      </c>
      <c r="CB208" t="e">
        <f>Raw!U411+"h_l!)f@"</f>
        <v>#VALUE!</v>
      </c>
      <c r="CC208" t="e">
        <f>Raw!V411+"h_l!)fA"</f>
        <v>#VALUE!</v>
      </c>
      <c r="CD208" t="e">
        <f>Raw!W411+"h_l!)fB"</f>
        <v>#VALUE!</v>
      </c>
      <c r="CE208" t="e">
        <f>Raw!A412+"h_l!)fC"</f>
        <v>#VALUE!</v>
      </c>
      <c r="CF208" t="e">
        <f>Raw!B412+"h_l!)fD"</f>
        <v>#VALUE!</v>
      </c>
      <c r="CG208" t="e">
        <f>Raw!C412+"h_l!)fE"</f>
        <v>#VALUE!</v>
      </c>
      <c r="CH208" t="e">
        <f>Raw!D412+"h_l!)fF"</f>
        <v>#VALUE!</v>
      </c>
      <c r="CI208" t="e">
        <f>Raw!E412+"h_l!)fG"</f>
        <v>#VALUE!</v>
      </c>
      <c r="CJ208" t="e">
        <f>Raw!#REF!+"h_l!)fH"</f>
        <v>#REF!</v>
      </c>
      <c r="CK208" t="e">
        <f>Raw!G412+"h_l!)fI"</f>
        <v>#VALUE!</v>
      </c>
      <c r="CL208" t="e">
        <f>Raw!H412+"h_l!)fJ"</f>
        <v>#VALUE!</v>
      </c>
      <c r="CM208" t="e">
        <f>Raw!I412+"h_l!)fK"</f>
        <v>#VALUE!</v>
      </c>
      <c r="CN208" t="e">
        <f>Raw!J412+"h_l!)fL"</f>
        <v>#VALUE!</v>
      </c>
      <c r="CO208" t="e">
        <f>Raw!K412+"h_l!)fM"</f>
        <v>#VALUE!</v>
      </c>
      <c r="CP208" t="e">
        <f>Raw!L412+"h_l!)fN"</f>
        <v>#VALUE!</v>
      </c>
      <c r="CQ208" t="e">
        <f>Raw!M412+"h_l!)fO"</f>
        <v>#VALUE!</v>
      </c>
      <c r="CR208" t="e">
        <f>Raw!N412+"h_l!)fP"</f>
        <v>#VALUE!</v>
      </c>
      <c r="CS208" t="e">
        <f>Raw!O412+"h_l!)fQ"</f>
        <v>#VALUE!</v>
      </c>
      <c r="CT208" t="e">
        <f>Raw!P412+"h_l!)fR"</f>
        <v>#VALUE!</v>
      </c>
      <c r="CU208" t="e">
        <f>Raw!Q412+"h_l!)fS"</f>
        <v>#VALUE!</v>
      </c>
      <c r="CV208" t="e">
        <f>Raw!R412+"h_l!)fT"</f>
        <v>#VALUE!</v>
      </c>
      <c r="CW208" t="e">
        <f>Raw!S412+"h_l!)fU"</f>
        <v>#VALUE!</v>
      </c>
      <c r="CX208" t="e">
        <f>Raw!T412+"h_l!)fV"</f>
        <v>#VALUE!</v>
      </c>
      <c r="CY208" t="e">
        <f>Raw!U412+"h_l!)fW"</f>
        <v>#VALUE!</v>
      </c>
      <c r="CZ208" t="e">
        <f>Raw!V412+"h_l!)fX"</f>
        <v>#VALUE!</v>
      </c>
      <c r="DA208" t="e">
        <f>Raw!W412+"h_l!)fY"</f>
        <v>#VALUE!</v>
      </c>
      <c r="DB208" t="e">
        <f>Raw!A413+"h_l!)fZ"</f>
        <v>#VALUE!</v>
      </c>
      <c r="DC208" t="e">
        <f>Raw!B413+"h_l!)f["</f>
        <v>#VALUE!</v>
      </c>
      <c r="DD208" t="e">
        <f>Raw!C413+"h_l!)f\"</f>
        <v>#VALUE!</v>
      </c>
      <c r="DE208" t="e">
        <f>Raw!D413+"h_l!)f]"</f>
        <v>#VALUE!</v>
      </c>
      <c r="DF208" t="e">
        <f>Raw!E413+"h_l!)f^"</f>
        <v>#VALUE!</v>
      </c>
      <c r="DG208" t="e">
        <f>Raw!#REF!+"h_l!)f_"</f>
        <v>#REF!</v>
      </c>
      <c r="DH208" t="e">
        <f>Raw!G413+"h_l!)f`"</f>
        <v>#VALUE!</v>
      </c>
      <c r="DI208" t="e">
        <f>Raw!H413+"h_l!)fa"</f>
        <v>#VALUE!</v>
      </c>
      <c r="DJ208" t="e">
        <f>Raw!I413+"h_l!)fb"</f>
        <v>#VALUE!</v>
      </c>
      <c r="DK208" t="e">
        <f>Raw!J413+"h_l!)fc"</f>
        <v>#VALUE!</v>
      </c>
      <c r="DL208" t="e">
        <f>Raw!K413+"h_l!)fd"</f>
        <v>#VALUE!</v>
      </c>
      <c r="DM208" t="e">
        <f>Raw!L413+"h_l!)fe"</f>
        <v>#VALUE!</v>
      </c>
      <c r="DN208" t="e">
        <f>Raw!M413+"h_l!)ff"</f>
        <v>#VALUE!</v>
      </c>
      <c r="DO208" t="e">
        <f>Raw!N413+"h_l!)fg"</f>
        <v>#VALUE!</v>
      </c>
      <c r="DP208" t="e">
        <f>Raw!O413+"h_l!)fh"</f>
        <v>#VALUE!</v>
      </c>
      <c r="DQ208" t="e">
        <f>Raw!P413+"h_l!)fi"</f>
        <v>#VALUE!</v>
      </c>
      <c r="DR208" t="e">
        <f>Raw!Q413+"h_l!)fj"</f>
        <v>#VALUE!</v>
      </c>
      <c r="DS208" t="e">
        <f>Raw!R413+"h_l!)fk"</f>
        <v>#VALUE!</v>
      </c>
      <c r="DT208" t="e">
        <f>Raw!S413+"h_l!)fl"</f>
        <v>#VALUE!</v>
      </c>
      <c r="DU208" t="e">
        <f>Raw!T413+"h_l!)fm"</f>
        <v>#VALUE!</v>
      </c>
      <c r="DV208" t="e">
        <f>Raw!U413+"h_l!)fn"</f>
        <v>#VALUE!</v>
      </c>
      <c r="DW208" t="e">
        <f>Raw!V413+"h_l!)fo"</f>
        <v>#VALUE!</v>
      </c>
      <c r="DX208" t="e">
        <f>Raw!W413+"h_l!)fp"</f>
        <v>#VALUE!</v>
      </c>
      <c r="DY208" t="e">
        <f>Raw!A414+"h_l!)fq"</f>
        <v>#VALUE!</v>
      </c>
      <c r="DZ208" t="e">
        <f>Raw!B414+"h_l!)fr"</f>
        <v>#VALUE!</v>
      </c>
      <c r="EA208" t="e">
        <f>Raw!C414+"h_l!)fs"</f>
        <v>#VALUE!</v>
      </c>
      <c r="EB208" t="e">
        <f>Raw!D414+"h_l!)ft"</f>
        <v>#VALUE!</v>
      </c>
      <c r="EC208" t="e">
        <f>Raw!E414+"h_l!)fu"</f>
        <v>#VALUE!</v>
      </c>
      <c r="ED208" t="e">
        <f>Raw!#REF!+"h_l!)fv"</f>
        <v>#REF!</v>
      </c>
      <c r="EE208" t="e">
        <f>Raw!G414+"h_l!)fw"</f>
        <v>#VALUE!</v>
      </c>
      <c r="EF208" t="e">
        <f>Raw!H414+"h_l!)fx"</f>
        <v>#VALUE!</v>
      </c>
      <c r="EG208" t="e">
        <f>Raw!I414+"h_l!)fy"</f>
        <v>#VALUE!</v>
      </c>
      <c r="EH208" t="e">
        <f>Raw!J414+"h_l!)fz"</f>
        <v>#VALUE!</v>
      </c>
      <c r="EI208" t="e">
        <f>Raw!K414+"h_l!)f{"</f>
        <v>#VALUE!</v>
      </c>
      <c r="EJ208" t="e">
        <f>Raw!L414+"h_l!)f|"</f>
        <v>#VALUE!</v>
      </c>
      <c r="EK208" t="e">
        <f>Raw!M414+"h_l!)f}"</f>
        <v>#VALUE!</v>
      </c>
      <c r="EL208" t="e">
        <f>Raw!N414+"h_l!)f~"</f>
        <v>#VALUE!</v>
      </c>
      <c r="EM208" t="e">
        <f>Raw!O414+"h_l!)g#"</f>
        <v>#VALUE!</v>
      </c>
      <c r="EN208" t="e">
        <f>Raw!P414+"h_l!)g$"</f>
        <v>#VALUE!</v>
      </c>
      <c r="EO208" t="e">
        <f>Raw!Q414+"h_l!)g%"</f>
        <v>#VALUE!</v>
      </c>
      <c r="EP208" t="e">
        <f>Raw!R414+"h_l!)g&amp;"</f>
        <v>#VALUE!</v>
      </c>
      <c r="EQ208" t="e">
        <f>Raw!S414+"h_l!)g'"</f>
        <v>#VALUE!</v>
      </c>
      <c r="ER208" t="e">
        <f>Raw!T414+"h_l!)g("</f>
        <v>#VALUE!</v>
      </c>
      <c r="ES208" t="e">
        <f>Raw!U414+"h_l!)g)"</f>
        <v>#VALUE!</v>
      </c>
      <c r="ET208" t="e">
        <f>Raw!V414+"h_l!)g."</f>
        <v>#VALUE!</v>
      </c>
      <c r="EU208" t="e">
        <f>Raw!W414+"h_l!)g/"</f>
        <v>#VALUE!</v>
      </c>
      <c r="EV208" t="e">
        <f>Raw!A415+"h_l!)g0"</f>
        <v>#VALUE!</v>
      </c>
      <c r="EW208" t="e">
        <f>Raw!B415+"h_l!)g1"</f>
        <v>#VALUE!</v>
      </c>
      <c r="EX208" t="e">
        <f>Raw!C415+"h_l!)g2"</f>
        <v>#VALUE!</v>
      </c>
      <c r="EY208" t="e">
        <f>Raw!D415+"h_l!)g3"</f>
        <v>#VALUE!</v>
      </c>
      <c r="EZ208" t="e">
        <f>Raw!E415+"h_l!)g4"</f>
        <v>#VALUE!</v>
      </c>
      <c r="FA208" t="e">
        <f>Raw!#REF!+"h_l!)g5"</f>
        <v>#REF!</v>
      </c>
      <c r="FB208" t="e">
        <f>Raw!G415+"h_l!)g6"</f>
        <v>#VALUE!</v>
      </c>
      <c r="FC208" t="e">
        <f>Raw!H415+"h_l!)g7"</f>
        <v>#VALUE!</v>
      </c>
      <c r="FD208" t="e">
        <f>Raw!I415+"h_l!)g8"</f>
        <v>#VALUE!</v>
      </c>
      <c r="FE208" t="e">
        <f>Raw!J415+"h_l!)g9"</f>
        <v>#VALUE!</v>
      </c>
      <c r="FF208" t="e">
        <f>Raw!K415+"h_l!)g:"</f>
        <v>#VALUE!</v>
      </c>
      <c r="FG208" t="e">
        <f>Raw!L415+"h_l!)g;"</f>
        <v>#VALUE!</v>
      </c>
      <c r="FH208" t="e">
        <f>Raw!M415+"h_l!)g&lt;"</f>
        <v>#VALUE!</v>
      </c>
      <c r="FI208" t="e">
        <f>Raw!N415+"h_l!)g="</f>
        <v>#VALUE!</v>
      </c>
      <c r="FJ208" t="e">
        <f>Raw!O415+"h_l!)g&gt;"</f>
        <v>#VALUE!</v>
      </c>
      <c r="FK208" t="e">
        <f>Raw!P415+"h_l!)g?"</f>
        <v>#VALUE!</v>
      </c>
      <c r="FL208" t="e">
        <f>Raw!Q415+"h_l!)g@"</f>
        <v>#VALUE!</v>
      </c>
      <c r="FM208" t="e">
        <f>Raw!R415+"h_l!)gA"</f>
        <v>#VALUE!</v>
      </c>
      <c r="FN208" t="e">
        <f>Raw!S415+"h_l!)gB"</f>
        <v>#VALUE!</v>
      </c>
      <c r="FO208" t="e">
        <f>Raw!T415+"h_l!)gC"</f>
        <v>#VALUE!</v>
      </c>
      <c r="FP208" t="e">
        <f>Raw!U415+"h_l!)gD"</f>
        <v>#VALUE!</v>
      </c>
      <c r="FQ208" t="e">
        <f>Raw!V415+"h_l!)gE"</f>
        <v>#VALUE!</v>
      </c>
      <c r="FR208" t="e">
        <f>Raw!W415+"h_l!)gF"</f>
        <v>#VALUE!</v>
      </c>
      <c r="FS208" t="e">
        <f>Raw!A416+"h_l!)gG"</f>
        <v>#VALUE!</v>
      </c>
      <c r="FT208" t="e">
        <f>Raw!B416+"h_l!)gH"</f>
        <v>#VALUE!</v>
      </c>
      <c r="FU208" t="e">
        <f>Raw!C416+"h_l!)gI"</f>
        <v>#VALUE!</v>
      </c>
      <c r="FV208" t="e">
        <f>Raw!D416+"h_l!)gJ"</f>
        <v>#VALUE!</v>
      </c>
      <c r="FW208" t="e">
        <f>Raw!E416+"h_l!)gK"</f>
        <v>#VALUE!</v>
      </c>
      <c r="FX208" t="e">
        <f>Raw!#REF!+"h_l!)gL"</f>
        <v>#REF!</v>
      </c>
      <c r="FY208" t="e">
        <f>Raw!G416+"h_l!)gM"</f>
        <v>#VALUE!</v>
      </c>
      <c r="FZ208" t="e">
        <f>Raw!H416+"h_l!)gN"</f>
        <v>#VALUE!</v>
      </c>
      <c r="GA208" t="e">
        <f>Raw!I416+"h_l!)gO"</f>
        <v>#VALUE!</v>
      </c>
      <c r="GB208" t="e">
        <f>Raw!J416+"h_l!)gP"</f>
        <v>#VALUE!</v>
      </c>
      <c r="GC208" t="e">
        <f>Raw!K416+"h_l!)gQ"</f>
        <v>#VALUE!</v>
      </c>
      <c r="GD208" t="e">
        <f>Raw!L416+"h_l!)gR"</f>
        <v>#VALUE!</v>
      </c>
      <c r="GE208" t="e">
        <f>Raw!M416+"h_l!)gS"</f>
        <v>#VALUE!</v>
      </c>
      <c r="GF208" t="e">
        <f>Raw!N416+"h_l!)gT"</f>
        <v>#VALUE!</v>
      </c>
      <c r="GG208" t="e">
        <f>Raw!O416+"h_l!)gU"</f>
        <v>#VALUE!</v>
      </c>
      <c r="GH208" t="e">
        <f>Raw!P416+"h_l!)gV"</f>
        <v>#VALUE!</v>
      </c>
      <c r="GI208" t="e">
        <f>Raw!Q416+"h_l!)gW"</f>
        <v>#VALUE!</v>
      </c>
      <c r="GJ208" t="e">
        <f>Raw!R416+"h_l!)gX"</f>
        <v>#VALUE!</v>
      </c>
      <c r="GK208" t="e">
        <f>Raw!S416+"h_l!)gY"</f>
        <v>#VALUE!</v>
      </c>
      <c r="GL208" t="e">
        <f>Raw!T416+"h_l!)gZ"</f>
        <v>#VALUE!</v>
      </c>
      <c r="GM208" t="e">
        <f>Raw!U416+"h_l!)g["</f>
        <v>#VALUE!</v>
      </c>
      <c r="GN208" t="e">
        <f>Raw!V416+"h_l!)g\"</f>
        <v>#VALUE!</v>
      </c>
      <c r="GO208" t="e">
        <f>Raw!W416+"h_l!)g]"</f>
        <v>#VALUE!</v>
      </c>
      <c r="GP208" t="e">
        <f>Raw!A417+"h_l!)g^"</f>
        <v>#VALUE!</v>
      </c>
      <c r="GQ208" t="e">
        <f>Raw!B417+"h_l!)g_"</f>
        <v>#VALUE!</v>
      </c>
      <c r="GR208" t="e">
        <f>Raw!C417+"h_l!)g`"</f>
        <v>#VALUE!</v>
      </c>
      <c r="GS208" t="e">
        <f>Raw!D417+"h_l!)ga"</f>
        <v>#VALUE!</v>
      </c>
      <c r="GT208" t="e">
        <f>Raw!E417+"h_l!)gb"</f>
        <v>#VALUE!</v>
      </c>
      <c r="GU208" t="e">
        <f>Raw!#REF!+"h_l!)gc"</f>
        <v>#REF!</v>
      </c>
      <c r="GV208" t="e">
        <f>Raw!G417+"h_l!)gd"</f>
        <v>#VALUE!</v>
      </c>
      <c r="GW208" t="e">
        <f>Raw!H417+"h_l!)ge"</f>
        <v>#VALUE!</v>
      </c>
      <c r="GX208" t="e">
        <f>Raw!I417+"h_l!)gf"</f>
        <v>#VALUE!</v>
      </c>
      <c r="GY208" t="e">
        <f>Raw!J417+"h_l!)gg"</f>
        <v>#VALUE!</v>
      </c>
      <c r="GZ208" t="e">
        <f>Raw!K417+"h_l!)gh"</f>
        <v>#VALUE!</v>
      </c>
      <c r="HA208" t="e">
        <f>Raw!L417+"h_l!)gi"</f>
        <v>#VALUE!</v>
      </c>
      <c r="HB208" t="e">
        <f>Raw!M417+"h_l!)gj"</f>
        <v>#VALUE!</v>
      </c>
      <c r="HC208" t="e">
        <f>Raw!N417+"h_l!)gk"</f>
        <v>#VALUE!</v>
      </c>
      <c r="HD208" t="e">
        <f>Raw!O417+"h_l!)gl"</f>
        <v>#VALUE!</v>
      </c>
      <c r="HE208" t="e">
        <f>Raw!P417+"h_l!)gm"</f>
        <v>#VALUE!</v>
      </c>
      <c r="HF208" t="e">
        <f>Raw!Q417+"h_l!)gn"</f>
        <v>#VALUE!</v>
      </c>
      <c r="HG208" t="e">
        <f>Raw!R417+"h_l!)go"</f>
        <v>#VALUE!</v>
      </c>
      <c r="HH208" t="e">
        <f>Raw!S417+"h_l!)gp"</f>
        <v>#VALUE!</v>
      </c>
      <c r="HI208" t="e">
        <f>Raw!T417+"h_l!)gq"</f>
        <v>#VALUE!</v>
      </c>
      <c r="HJ208" t="e">
        <f>Raw!U417+"h_l!)gr"</f>
        <v>#VALUE!</v>
      </c>
      <c r="HK208" t="e">
        <f>Raw!V417+"h_l!)gs"</f>
        <v>#VALUE!</v>
      </c>
      <c r="HL208" t="e">
        <f>Raw!W417+"h_l!)gt"</f>
        <v>#VALUE!</v>
      </c>
      <c r="HM208" t="e">
        <f>Raw!A418+"h_l!)gu"</f>
        <v>#VALUE!</v>
      </c>
      <c r="HN208" t="e">
        <f>Raw!B418+"h_l!)gv"</f>
        <v>#VALUE!</v>
      </c>
      <c r="HO208" t="e">
        <f>Raw!C418+"h_l!)gw"</f>
        <v>#VALUE!</v>
      </c>
      <c r="HP208" t="e">
        <f>Raw!D418+"h_l!)gx"</f>
        <v>#VALUE!</v>
      </c>
      <c r="HQ208" t="e">
        <f>Raw!E418+"h_l!)gy"</f>
        <v>#VALUE!</v>
      </c>
      <c r="HR208" t="e">
        <f>Raw!#REF!+"h_l!)gz"</f>
        <v>#REF!</v>
      </c>
      <c r="HS208" t="e">
        <f>Raw!G418+"h_l!)g{"</f>
        <v>#VALUE!</v>
      </c>
      <c r="HT208" t="e">
        <f>Raw!H418+"h_l!)g|"</f>
        <v>#VALUE!</v>
      </c>
      <c r="HU208" t="e">
        <f>Raw!I418+"h_l!)g}"</f>
        <v>#VALUE!</v>
      </c>
      <c r="HV208" t="e">
        <f>Raw!J418+"h_l!)g~"</f>
        <v>#VALUE!</v>
      </c>
      <c r="HW208" t="e">
        <f>Raw!K418+"h_l!)h#"</f>
        <v>#VALUE!</v>
      </c>
      <c r="HX208" t="e">
        <f>Raw!L418+"h_l!)h$"</f>
        <v>#VALUE!</v>
      </c>
      <c r="HY208" t="e">
        <f>Raw!M418+"h_l!)h%"</f>
        <v>#VALUE!</v>
      </c>
      <c r="HZ208" t="e">
        <f>Raw!N418+"h_l!)h&amp;"</f>
        <v>#VALUE!</v>
      </c>
      <c r="IA208" t="e">
        <f>Raw!O418+"h_l!)h'"</f>
        <v>#VALUE!</v>
      </c>
      <c r="IB208" t="e">
        <f>Raw!P418+"h_l!)h("</f>
        <v>#VALUE!</v>
      </c>
      <c r="IC208" t="e">
        <f>Raw!Q418+"h_l!)h)"</f>
        <v>#VALUE!</v>
      </c>
      <c r="ID208" t="e">
        <f>Raw!R418+"h_l!)h."</f>
        <v>#VALUE!</v>
      </c>
      <c r="IE208" t="e">
        <f>Raw!S418+"h_l!)h/"</f>
        <v>#VALUE!</v>
      </c>
      <c r="IF208" t="e">
        <f>Raw!T418+"h_l!)h0"</f>
        <v>#VALUE!</v>
      </c>
      <c r="IG208" t="e">
        <f>Raw!U418+"h_l!)h1"</f>
        <v>#VALUE!</v>
      </c>
      <c r="IH208" t="e">
        <f>Raw!V418+"h_l!)h2"</f>
        <v>#VALUE!</v>
      </c>
      <c r="II208" t="e">
        <f>Raw!W418+"h_l!)h3"</f>
        <v>#VALUE!</v>
      </c>
      <c r="IJ208" t="e">
        <f>Raw!A419+"h_l!)h4"</f>
        <v>#VALUE!</v>
      </c>
      <c r="IK208" t="e">
        <f>Raw!B419+"h_l!)h5"</f>
        <v>#VALUE!</v>
      </c>
      <c r="IL208" t="e">
        <f>Raw!C419+"h_l!)h6"</f>
        <v>#VALUE!</v>
      </c>
      <c r="IM208" t="e">
        <f>Raw!D419+"h_l!)h7"</f>
        <v>#VALUE!</v>
      </c>
      <c r="IN208" t="e">
        <f>Raw!E419+"h_l!)h8"</f>
        <v>#VALUE!</v>
      </c>
      <c r="IO208" t="e">
        <f>Raw!#REF!+"h_l!)h9"</f>
        <v>#REF!</v>
      </c>
      <c r="IP208" t="e">
        <f>Raw!G419+"h_l!)h:"</f>
        <v>#VALUE!</v>
      </c>
      <c r="IQ208" t="e">
        <f>Raw!H419+"h_l!)h;"</f>
        <v>#VALUE!</v>
      </c>
      <c r="IR208" t="e">
        <f>Raw!I419+"h_l!)h&lt;"</f>
        <v>#VALUE!</v>
      </c>
      <c r="IS208" t="e">
        <f>Raw!J419+"h_l!)h="</f>
        <v>#VALUE!</v>
      </c>
      <c r="IT208" t="e">
        <f>Raw!K419+"h_l!)h&gt;"</f>
        <v>#VALUE!</v>
      </c>
      <c r="IU208" t="e">
        <f>Raw!L419+"h_l!)h?"</f>
        <v>#VALUE!</v>
      </c>
      <c r="IV208" t="e">
        <f>Raw!M419+"h_l!)h@"</f>
        <v>#VALUE!</v>
      </c>
    </row>
    <row r="209" spans="6:256" x14ac:dyDescent="0.25">
      <c r="F209" t="e">
        <f>Raw!N419+"h_l!)hA"</f>
        <v>#VALUE!</v>
      </c>
      <c r="G209" t="e">
        <f>Raw!O419+"h_l!)hB"</f>
        <v>#VALUE!</v>
      </c>
      <c r="H209" t="e">
        <f>Raw!P419+"h_l!)hC"</f>
        <v>#VALUE!</v>
      </c>
      <c r="I209" t="e">
        <f>Raw!Q419+"h_l!)hD"</f>
        <v>#VALUE!</v>
      </c>
      <c r="J209" t="e">
        <f>Raw!R419+"h_l!)hE"</f>
        <v>#VALUE!</v>
      </c>
      <c r="K209" t="e">
        <f>Raw!S419+"h_l!)hF"</f>
        <v>#VALUE!</v>
      </c>
      <c r="L209" t="e">
        <f>Raw!T419+"h_l!)hG"</f>
        <v>#VALUE!</v>
      </c>
      <c r="M209" t="e">
        <f>Raw!U419+"h_l!)hH"</f>
        <v>#VALUE!</v>
      </c>
      <c r="N209" t="e">
        <f>Raw!V419+"h_l!)hI"</f>
        <v>#VALUE!</v>
      </c>
      <c r="O209" t="e">
        <f>Raw!W419+"h_l!)hJ"</f>
        <v>#VALUE!</v>
      </c>
      <c r="P209" t="e">
        <f>Raw!A420+"h_l!)hK"</f>
        <v>#VALUE!</v>
      </c>
      <c r="Q209" t="e">
        <f>Raw!B420+"h_l!)hL"</f>
        <v>#VALUE!</v>
      </c>
      <c r="R209" t="e">
        <f>Raw!C420+"h_l!)hM"</f>
        <v>#VALUE!</v>
      </c>
      <c r="S209" t="e">
        <f>Raw!D420+"h_l!)hN"</f>
        <v>#VALUE!</v>
      </c>
      <c r="T209" t="e">
        <f>Raw!E420+"h_l!)hO"</f>
        <v>#VALUE!</v>
      </c>
      <c r="U209" t="e">
        <f>Raw!#REF!+"h_l!)hP"</f>
        <v>#REF!</v>
      </c>
      <c r="V209" t="e">
        <f>Raw!G420+"h_l!)hQ"</f>
        <v>#VALUE!</v>
      </c>
      <c r="W209" t="e">
        <f>Raw!H420+"h_l!)hR"</f>
        <v>#VALUE!</v>
      </c>
      <c r="X209" t="e">
        <f>Raw!I420+"h_l!)hS"</f>
        <v>#VALUE!</v>
      </c>
      <c r="Y209" t="e">
        <f>Raw!J420+"h_l!)hT"</f>
        <v>#VALUE!</v>
      </c>
      <c r="Z209" t="e">
        <f>Raw!K420+"h_l!)hU"</f>
        <v>#VALUE!</v>
      </c>
      <c r="AA209" t="e">
        <f>Raw!L420+"h_l!)hV"</f>
        <v>#VALUE!</v>
      </c>
      <c r="AB209" t="e">
        <f>Raw!M420+"h_l!)hW"</f>
        <v>#VALUE!</v>
      </c>
      <c r="AC209" t="e">
        <f>Raw!N420+"h_l!)hX"</f>
        <v>#VALUE!</v>
      </c>
      <c r="AD209" t="e">
        <f>Raw!O420+"h_l!)hY"</f>
        <v>#VALUE!</v>
      </c>
      <c r="AE209" t="e">
        <f>Raw!P420+"h_l!)hZ"</f>
        <v>#VALUE!</v>
      </c>
      <c r="AF209" t="e">
        <f>Raw!Q420+"h_l!)h["</f>
        <v>#VALUE!</v>
      </c>
      <c r="AG209" t="e">
        <f>Raw!R420+"h_l!)h\"</f>
        <v>#VALUE!</v>
      </c>
      <c r="AH209" t="e">
        <f>Raw!S420+"h_l!)h]"</f>
        <v>#VALUE!</v>
      </c>
      <c r="AI209" t="e">
        <f>Raw!T420+"h_l!)h^"</f>
        <v>#VALUE!</v>
      </c>
      <c r="AJ209" t="e">
        <f>Raw!U420+"h_l!)h_"</f>
        <v>#VALUE!</v>
      </c>
      <c r="AK209" t="e">
        <f>Raw!V420+"h_l!)h`"</f>
        <v>#VALUE!</v>
      </c>
      <c r="AL209" t="e">
        <f>Raw!W420+"h_l!)ha"</f>
        <v>#VALUE!</v>
      </c>
      <c r="AM209" t="e">
        <f>Raw!A421+"h_l!)hb"</f>
        <v>#VALUE!</v>
      </c>
      <c r="AN209" t="e">
        <f>Raw!B421+"h_l!)hc"</f>
        <v>#VALUE!</v>
      </c>
      <c r="AO209" t="e">
        <f>Raw!C421+"h_l!)hd"</f>
        <v>#VALUE!</v>
      </c>
      <c r="AP209" t="e">
        <f>Raw!D421+"h_l!)he"</f>
        <v>#VALUE!</v>
      </c>
      <c r="AQ209" t="e">
        <f>Raw!E421+"h_l!)hf"</f>
        <v>#VALUE!</v>
      </c>
      <c r="AR209" t="e">
        <f>Raw!#REF!+"h_l!)hg"</f>
        <v>#REF!</v>
      </c>
      <c r="AS209" t="e">
        <f>Raw!G421+"h_l!)hh"</f>
        <v>#VALUE!</v>
      </c>
      <c r="AT209" t="e">
        <f>Raw!H421+"h_l!)hi"</f>
        <v>#VALUE!</v>
      </c>
      <c r="AU209" t="e">
        <f>Raw!I421+"h_l!)hj"</f>
        <v>#VALUE!</v>
      </c>
      <c r="AV209" t="e">
        <f>Raw!J421+"h_l!)hk"</f>
        <v>#VALUE!</v>
      </c>
      <c r="AW209" t="e">
        <f>Raw!K421+"h_l!)hl"</f>
        <v>#VALUE!</v>
      </c>
      <c r="AX209" t="e">
        <f>Raw!L421+"h_l!)hm"</f>
        <v>#VALUE!</v>
      </c>
      <c r="AY209" t="e">
        <f>Raw!M421+"h_l!)hn"</f>
        <v>#VALUE!</v>
      </c>
      <c r="AZ209" t="e">
        <f>Raw!N421+"h_l!)ho"</f>
        <v>#VALUE!</v>
      </c>
      <c r="BA209" t="e">
        <f>Raw!O421+"h_l!)hp"</f>
        <v>#VALUE!</v>
      </c>
      <c r="BB209" t="e">
        <f>Raw!P421+"h_l!)hq"</f>
        <v>#VALUE!</v>
      </c>
      <c r="BC209" t="e">
        <f>Raw!Q421+"h_l!)hr"</f>
        <v>#VALUE!</v>
      </c>
      <c r="BD209" t="e">
        <f>Raw!R421+"h_l!)hs"</f>
        <v>#VALUE!</v>
      </c>
      <c r="BE209" t="e">
        <f>Raw!S421+"h_l!)ht"</f>
        <v>#VALUE!</v>
      </c>
      <c r="BF209" t="e">
        <f>Raw!T421+"h_l!)hu"</f>
        <v>#VALUE!</v>
      </c>
      <c r="BG209" t="e">
        <f>Raw!U421+"h_l!)hv"</f>
        <v>#VALUE!</v>
      </c>
      <c r="BH209" t="e">
        <f>Raw!V421+"h_l!)hw"</f>
        <v>#VALUE!</v>
      </c>
      <c r="BI209" t="e">
        <f>Raw!W421+"h_l!)hx"</f>
        <v>#VALUE!</v>
      </c>
      <c r="BJ209" t="e">
        <f>Raw!A422+"h_l!)hy"</f>
        <v>#VALUE!</v>
      </c>
      <c r="BK209" t="e">
        <f>Raw!B422+"h_l!)hz"</f>
        <v>#VALUE!</v>
      </c>
      <c r="BL209" t="e">
        <f>Raw!C422+"h_l!)h{"</f>
        <v>#VALUE!</v>
      </c>
      <c r="BM209" t="e">
        <f>Raw!D422+"h_l!)h|"</f>
        <v>#VALUE!</v>
      </c>
      <c r="BN209" t="e">
        <f>Raw!E422+"h_l!)h}"</f>
        <v>#VALUE!</v>
      </c>
      <c r="BO209" t="e">
        <f>Raw!#REF!+"h_l!)h~"</f>
        <v>#REF!</v>
      </c>
      <c r="BP209" t="e">
        <f>Raw!G422+"h_l!)i#"</f>
        <v>#VALUE!</v>
      </c>
      <c r="BQ209" t="e">
        <f>Raw!H422+"h_l!)i$"</f>
        <v>#VALUE!</v>
      </c>
      <c r="BR209" t="e">
        <f>Raw!I422+"h_l!)i%"</f>
        <v>#VALUE!</v>
      </c>
      <c r="BS209" t="e">
        <f>Raw!J422+"h_l!)i&amp;"</f>
        <v>#VALUE!</v>
      </c>
      <c r="BT209" t="e">
        <f>Raw!K422+"h_l!)i'"</f>
        <v>#VALUE!</v>
      </c>
      <c r="BU209" t="e">
        <f>Raw!L422+"h_l!)i("</f>
        <v>#VALUE!</v>
      </c>
      <c r="BV209" t="e">
        <f>Raw!M422+"h_l!)i)"</f>
        <v>#VALUE!</v>
      </c>
      <c r="BW209" t="e">
        <f>Raw!N422+"h_l!)i."</f>
        <v>#VALUE!</v>
      </c>
      <c r="BX209" t="e">
        <f>Raw!O422+"h_l!)i/"</f>
        <v>#VALUE!</v>
      </c>
      <c r="BY209" t="e">
        <f>Raw!P422+"h_l!)i0"</f>
        <v>#VALUE!</v>
      </c>
      <c r="BZ209" t="e">
        <f>Raw!Q422+"h_l!)i1"</f>
        <v>#VALUE!</v>
      </c>
      <c r="CA209" t="e">
        <f>Raw!R422+"h_l!)i2"</f>
        <v>#VALUE!</v>
      </c>
      <c r="CB209" t="e">
        <f>Raw!S422+"h_l!)i3"</f>
        <v>#VALUE!</v>
      </c>
      <c r="CC209" t="e">
        <f>Raw!T422+"h_l!)i4"</f>
        <v>#VALUE!</v>
      </c>
      <c r="CD209" t="e">
        <f>Raw!U422+"h_l!)i5"</f>
        <v>#VALUE!</v>
      </c>
      <c r="CE209" t="e">
        <f>Raw!V422+"h_l!)i6"</f>
        <v>#VALUE!</v>
      </c>
      <c r="CF209" t="e">
        <f>Raw!W422+"h_l!)i7"</f>
        <v>#VALUE!</v>
      </c>
      <c r="CG209" t="e">
        <f>Raw!A423+"h_l!)i8"</f>
        <v>#VALUE!</v>
      </c>
      <c r="CH209" t="e">
        <f>Raw!B423+"h_l!)i9"</f>
        <v>#VALUE!</v>
      </c>
      <c r="CI209" t="e">
        <f>Raw!C423+"h_l!)i:"</f>
        <v>#VALUE!</v>
      </c>
      <c r="CJ209" t="e">
        <f>Raw!D423+"h_l!)i;"</f>
        <v>#VALUE!</v>
      </c>
      <c r="CK209" t="e">
        <f>Raw!E423+"h_l!)i&lt;"</f>
        <v>#VALUE!</v>
      </c>
      <c r="CL209" t="e">
        <f>Raw!#REF!+"h_l!)i="</f>
        <v>#REF!</v>
      </c>
      <c r="CM209" t="e">
        <f>Raw!G423+"h_l!)i&gt;"</f>
        <v>#VALUE!</v>
      </c>
      <c r="CN209" t="e">
        <f>Raw!H423+"h_l!)i?"</f>
        <v>#VALUE!</v>
      </c>
      <c r="CO209" t="e">
        <f>Raw!I423+"h_l!)i@"</f>
        <v>#VALUE!</v>
      </c>
      <c r="CP209" t="e">
        <f>Raw!J423+"h_l!)iA"</f>
        <v>#VALUE!</v>
      </c>
      <c r="CQ209" t="e">
        <f>Raw!K423+"h_l!)iB"</f>
        <v>#VALUE!</v>
      </c>
      <c r="CR209" t="e">
        <f>Raw!L423+"h_l!)iC"</f>
        <v>#VALUE!</v>
      </c>
      <c r="CS209" t="e">
        <f>Raw!M423+"h_l!)iD"</f>
        <v>#VALUE!</v>
      </c>
      <c r="CT209" t="e">
        <f>Raw!N423+"h_l!)iE"</f>
        <v>#VALUE!</v>
      </c>
      <c r="CU209" t="e">
        <f>Raw!O423+"h_l!)iF"</f>
        <v>#VALUE!</v>
      </c>
      <c r="CV209" t="e">
        <f>Raw!P423+"h_l!)iG"</f>
        <v>#VALUE!</v>
      </c>
      <c r="CW209" t="e">
        <f>Raw!Q423+"h_l!)iH"</f>
        <v>#VALUE!</v>
      </c>
      <c r="CX209" t="e">
        <f>Raw!R423+"h_l!)iI"</f>
        <v>#VALUE!</v>
      </c>
      <c r="CY209" t="e">
        <f>Raw!S423+"h_l!)iJ"</f>
        <v>#VALUE!</v>
      </c>
      <c r="CZ209" t="e">
        <f>Raw!T423+"h_l!)iK"</f>
        <v>#VALUE!</v>
      </c>
      <c r="DA209" t="e">
        <f>Raw!U423+"h_l!)iL"</f>
        <v>#VALUE!</v>
      </c>
      <c r="DB209" t="e">
        <f>Raw!V423+"h_l!)iM"</f>
        <v>#VALUE!</v>
      </c>
      <c r="DC209" t="e">
        <f>Raw!W423+"h_l!)iN"</f>
        <v>#VALUE!</v>
      </c>
      <c r="DD209" t="e">
        <f>Raw!A424+"h_l!)iO"</f>
        <v>#VALUE!</v>
      </c>
      <c r="DE209" t="e">
        <f>Raw!B424+"h_l!)iP"</f>
        <v>#VALUE!</v>
      </c>
      <c r="DF209" t="e">
        <f>Raw!C424+"h_l!)iQ"</f>
        <v>#VALUE!</v>
      </c>
      <c r="DG209" t="e">
        <f>Raw!D424+"h_l!)iR"</f>
        <v>#VALUE!</v>
      </c>
      <c r="DH209" t="e">
        <f>Raw!E424+"h_l!)iS"</f>
        <v>#VALUE!</v>
      </c>
      <c r="DI209" t="e">
        <f>Raw!#REF!+"h_l!)iT"</f>
        <v>#REF!</v>
      </c>
      <c r="DJ209" t="e">
        <f>Raw!G424+"h_l!)iU"</f>
        <v>#VALUE!</v>
      </c>
      <c r="DK209" t="e">
        <f>Raw!H424+"h_l!)iV"</f>
        <v>#VALUE!</v>
      </c>
      <c r="DL209" t="e">
        <f>Raw!I424+"h_l!)iW"</f>
        <v>#VALUE!</v>
      </c>
      <c r="DM209" t="e">
        <f>Raw!J424+"h_l!)iX"</f>
        <v>#VALUE!</v>
      </c>
      <c r="DN209" t="e">
        <f>Raw!K424+"h_l!)iY"</f>
        <v>#VALUE!</v>
      </c>
      <c r="DO209" t="e">
        <f>Raw!L424+"h_l!)iZ"</f>
        <v>#VALUE!</v>
      </c>
      <c r="DP209" t="e">
        <f>Raw!M424+"h_l!)i["</f>
        <v>#VALUE!</v>
      </c>
      <c r="DQ209" t="e">
        <f>Raw!N424+"h_l!)i\"</f>
        <v>#VALUE!</v>
      </c>
      <c r="DR209" t="e">
        <f>Raw!O424+"h_l!)i]"</f>
        <v>#VALUE!</v>
      </c>
      <c r="DS209" t="e">
        <f>Raw!P424+"h_l!)i^"</f>
        <v>#VALUE!</v>
      </c>
      <c r="DT209" t="e">
        <f>Raw!Q424+"h_l!)i_"</f>
        <v>#VALUE!</v>
      </c>
      <c r="DU209" t="e">
        <f>Raw!R424+"h_l!)i`"</f>
        <v>#VALUE!</v>
      </c>
      <c r="DV209" t="e">
        <f>Raw!S424+"h_l!)ia"</f>
        <v>#VALUE!</v>
      </c>
      <c r="DW209" t="e">
        <f>Raw!T424+"h_l!)ib"</f>
        <v>#VALUE!</v>
      </c>
      <c r="DX209" t="e">
        <f>Raw!U424+"h_l!)ic"</f>
        <v>#VALUE!</v>
      </c>
      <c r="DY209" t="e">
        <f>Raw!V424+"h_l!)id"</f>
        <v>#VALUE!</v>
      </c>
      <c r="DZ209" t="e">
        <f>Raw!W424+"h_l!)ie"</f>
        <v>#VALUE!</v>
      </c>
      <c r="EA209" t="e">
        <f>Raw!A425+"h_l!)if"</f>
        <v>#VALUE!</v>
      </c>
      <c r="EB209" t="e">
        <f>Raw!B425+"h_l!)ig"</f>
        <v>#VALUE!</v>
      </c>
      <c r="EC209" t="e">
        <f>Raw!C425+"h_l!)ih"</f>
        <v>#VALUE!</v>
      </c>
      <c r="ED209" t="e">
        <f>Raw!D425+"h_l!)ii"</f>
        <v>#VALUE!</v>
      </c>
      <c r="EE209" t="e">
        <f>Raw!E425+"h_l!)ij"</f>
        <v>#VALUE!</v>
      </c>
      <c r="EF209" t="e">
        <f>Raw!#REF!+"h_l!)ik"</f>
        <v>#REF!</v>
      </c>
      <c r="EG209" t="e">
        <f>Raw!G425+"h_l!)il"</f>
        <v>#VALUE!</v>
      </c>
      <c r="EH209" t="e">
        <f>Raw!H425+"h_l!)im"</f>
        <v>#VALUE!</v>
      </c>
      <c r="EI209" t="e">
        <f>Raw!I425+"h_l!)in"</f>
        <v>#VALUE!</v>
      </c>
      <c r="EJ209" t="e">
        <f>Raw!J425+"h_l!)io"</f>
        <v>#VALUE!</v>
      </c>
      <c r="EK209" t="e">
        <f>Raw!K425+"h_l!)ip"</f>
        <v>#VALUE!</v>
      </c>
      <c r="EL209" t="e">
        <f>Raw!L425+"h_l!)iq"</f>
        <v>#VALUE!</v>
      </c>
      <c r="EM209" t="e">
        <f>Raw!M425+"h_l!)ir"</f>
        <v>#VALUE!</v>
      </c>
      <c r="EN209" t="e">
        <f>Raw!N425+"h_l!)is"</f>
        <v>#VALUE!</v>
      </c>
      <c r="EO209" t="e">
        <f>Raw!O425+"h_l!)it"</f>
        <v>#VALUE!</v>
      </c>
      <c r="EP209" t="e">
        <f>Raw!P425+"h_l!)iu"</f>
        <v>#VALUE!</v>
      </c>
      <c r="EQ209" t="e">
        <f>Raw!Q425+"h_l!)iv"</f>
        <v>#VALUE!</v>
      </c>
      <c r="ER209" t="e">
        <f>Raw!R425+"h_l!)iw"</f>
        <v>#VALUE!</v>
      </c>
      <c r="ES209" t="e">
        <f>Raw!S425+"h_l!)ix"</f>
        <v>#VALUE!</v>
      </c>
      <c r="ET209" t="e">
        <f>Raw!T425+"h_l!)iy"</f>
        <v>#VALUE!</v>
      </c>
      <c r="EU209" t="e">
        <f>Raw!U425+"h_l!)iz"</f>
        <v>#VALUE!</v>
      </c>
      <c r="EV209" t="e">
        <f>Raw!V425+"h_l!)i{"</f>
        <v>#VALUE!</v>
      </c>
      <c r="EW209" t="e">
        <f>Raw!W425+"h_l!)i|"</f>
        <v>#VALUE!</v>
      </c>
      <c r="EX209" t="e">
        <f>Raw!A426+"h_l!)i}"</f>
        <v>#VALUE!</v>
      </c>
      <c r="EY209" t="e">
        <f>Raw!B426+"h_l!)i~"</f>
        <v>#VALUE!</v>
      </c>
      <c r="EZ209" t="e">
        <f>Raw!C426+"h_l!)j#"</f>
        <v>#VALUE!</v>
      </c>
      <c r="FA209" t="e">
        <f>Raw!D426+"h_l!)j$"</f>
        <v>#VALUE!</v>
      </c>
      <c r="FB209" t="e">
        <f>Raw!E426+"h_l!)j%"</f>
        <v>#VALUE!</v>
      </c>
      <c r="FC209" t="e">
        <f>Raw!#REF!+"h_l!)j&amp;"</f>
        <v>#REF!</v>
      </c>
      <c r="FD209" t="e">
        <f>Raw!G426+"h_l!)j'"</f>
        <v>#VALUE!</v>
      </c>
      <c r="FE209" t="e">
        <f>Raw!H426+"h_l!)j("</f>
        <v>#VALUE!</v>
      </c>
      <c r="FF209" t="e">
        <f>Raw!I426+"h_l!)j)"</f>
        <v>#VALUE!</v>
      </c>
      <c r="FG209" t="e">
        <f>Raw!J426+"h_l!)j."</f>
        <v>#VALUE!</v>
      </c>
      <c r="FH209" t="e">
        <f>Raw!K426+"h_l!)j/"</f>
        <v>#VALUE!</v>
      </c>
      <c r="FI209" t="e">
        <f>Raw!L426+"h_l!)j0"</f>
        <v>#VALUE!</v>
      </c>
      <c r="FJ209" t="e">
        <f>Raw!M426+"h_l!)j1"</f>
        <v>#VALUE!</v>
      </c>
      <c r="FK209" t="e">
        <f>Raw!N426+"h_l!)j2"</f>
        <v>#VALUE!</v>
      </c>
      <c r="FL209" t="e">
        <f>Raw!O426+"h_l!)j3"</f>
        <v>#VALUE!</v>
      </c>
      <c r="FM209" t="e">
        <f>Raw!P426+"h_l!)j4"</f>
        <v>#VALUE!</v>
      </c>
      <c r="FN209" t="e">
        <f>Raw!Q426+"h_l!)j5"</f>
        <v>#VALUE!</v>
      </c>
      <c r="FO209" t="e">
        <f>Raw!R426+"h_l!)j6"</f>
        <v>#VALUE!</v>
      </c>
      <c r="FP209" t="e">
        <f>Raw!S426+"h_l!)j7"</f>
        <v>#VALUE!</v>
      </c>
      <c r="FQ209" t="e">
        <f>Raw!T426+"h_l!)j8"</f>
        <v>#VALUE!</v>
      </c>
      <c r="FR209" t="e">
        <f>Raw!U426+"h_l!)j9"</f>
        <v>#VALUE!</v>
      </c>
      <c r="FS209" t="e">
        <f>Raw!V426+"h_l!)j:"</f>
        <v>#VALUE!</v>
      </c>
      <c r="FT209" t="e">
        <f>Raw!W426+"h_l!)j;"</f>
        <v>#VALUE!</v>
      </c>
      <c r="FU209" t="e">
        <f>Raw!A427+"h_l!)j&lt;"</f>
        <v>#VALUE!</v>
      </c>
      <c r="FV209" t="e">
        <f>Raw!B427+"h_l!)j="</f>
        <v>#VALUE!</v>
      </c>
      <c r="FW209" t="e">
        <f>Raw!C427+"h_l!)j&gt;"</f>
        <v>#VALUE!</v>
      </c>
      <c r="FX209" t="e">
        <f>Raw!D427+"h_l!)j?"</f>
        <v>#VALUE!</v>
      </c>
      <c r="FY209" t="e">
        <f>Raw!E427+"h_l!)j@"</f>
        <v>#VALUE!</v>
      </c>
      <c r="FZ209" t="e">
        <f>Raw!#REF!+"h_l!)jA"</f>
        <v>#REF!</v>
      </c>
      <c r="GA209" t="e">
        <f>Raw!G427+"h_l!)jB"</f>
        <v>#VALUE!</v>
      </c>
      <c r="GB209" t="e">
        <f>Raw!H427+"h_l!)jC"</f>
        <v>#VALUE!</v>
      </c>
      <c r="GC209" t="e">
        <f>Raw!I427+"h_l!)jD"</f>
        <v>#VALUE!</v>
      </c>
      <c r="GD209" t="e">
        <f>Raw!J427+"h_l!)jE"</f>
        <v>#VALUE!</v>
      </c>
      <c r="GE209" t="e">
        <f>Raw!K427+"h_l!)jF"</f>
        <v>#VALUE!</v>
      </c>
      <c r="GF209" t="e">
        <f>Raw!L427+"h_l!)jG"</f>
        <v>#VALUE!</v>
      </c>
      <c r="GG209" t="e">
        <f>Raw!M427+"h_l!)jH"</f>
        <v>#VALUE!</v>
      </c>
      <c r="GH209" t="e">
        <f>Raw!N427+"h_l!)jI"</f>
        <v>#VALUE!</v>
      </c>
      <c r="GI209" t="e">
        <f>Raw!O427+"h_l!)jJ"</f>
        <v>#VALUE!</v>
      </c>
      <c r="GJ209" t="e">
        <f>Raw!P427+"h_l!)jK"</f>
        <v>#VALUE!</v>
      </c>
      <c r="GK209" t="e">
        <f>Raw!Q427+"h_l!)jL"</f>
        <v>#VALUE!</v>
      </c>
      <c r="GL209" t="e">
        <f>Raw!R427+"h_l!)jM"</f>
        <v>#VALUE!</v>
      </c>
      <c r="GM209" t="e">
        <f>Raw!S427+"h_l!)jN"</f>
        <v>#VALUE!</v>
      </c>
      <c r="GN209" t="e">
        <f>Raw!T427+"h_l!)jO"</f>
        <v>#VALUE!</v>
      </c>
      <c r="GO209" t="e">
        <f>Raw!U427+"h_l!)jP"</f>
        <v>#VALUE!</v>
      </c>
      <c r="GP209" t="e">
        <f>Raw!V427+"h_l!)jQ"</f>
        <v>#VALUE!</v>
      </c>
      <c r="GQ209" t="e">
        <f>Raw!W427+"h_l!)jR"</f>
        <v>#VALUE!</v>
      </c>
      <c r="GR209" t="e">
        <f>Raw!A428+"h_l!)jS"</f>
        <v>#VALUE!</v>
      </c>
      <c r="GS209" t="e">
        <f>Raw!B428+"h_l!)jT"</f>
        <v>#VALUE!</v>
      </c>
      <c r="GT209" t="e">
        <f>Raw!C428+"h_l!)jU"</f>
        <v>#VALUE!</v>
      </c>
      <c r="GU209" t="e">
        <f>Raw!D428+"h_l!)jV"</f>
        <v>#VALUE!</v>
      </c>
      <c r="GV209" t="e">
        <f>Raw!E428+"h_l!)jW"</f>
        <v>#VALUE!</v>
      </c>
      <c r="GW209" t="e">
        <f>Raw!#REF!+"h_l!)jX"</f>
        <v>#REF!</v>
      </c>
      <c r="GX209" t="e">
        <f>Raw!G428+"h_l!)jY"</f>
        <v>#VALUE!</v>
      </c>
      <c r="GY209" t="e">
        <f>Raw!H428+"h_l!)jZ"</f>
        <v>#VALUE!</v>
      </c>
      <c r="GZ209" t="e">
        <f>Raw!I428+"h_l!)j["</f>
        <v>#VALUE!</v>
      </c>
      <c r="HA209" t="e">
        <f>Raw!J428+"h_l!)j\"</f>
        <v>#VALUE!</v>
      </c>
      <c r="HB209" t="e">
        <f>Raw!K428+"h_l!)j]"</f>
        <v>#VALUE!</v>
      </c>
      <c r="HC209" t="e">
        <f>Raw!L428+"h_l!)j^"</f>
        <v>#VALUE!</v>
      </c>
      <c r="HD209" t="e">
        <f>Raw!M428+"h_l!)j_"</f>
        <v>#VALUE!</v>
      </c>
      <c r="HE209" t="e">
        <f>Raw!N428+"h_l!)j`"</f>
        <v>#VALUE!</v>
      </c>
      <c r="HF209" t="e">
        <f>Raw!O428+"h_l!)ja"</f>
        <v>#VALUE!</v>
      </c>
      <c r="HG209" t="e">
        <f>Raw!P428+"h_l!)jb"</f>
        <v>#VALUE!</v>
      </c>
      <c r="HH209" t="e">
        <f>Raw!Q428+"h_l!)jc"</f>
        <v>#VALUE!</v>
      </c>
      <c r="HI209" t="e">
        <f>Raw!R428+"h_l!)jd"</f>
        <v>#VALUE!</v>
      </c>
      <c r="HJ209" t="e">
        <f>Raw!S428+"h_l!)je"</f>
        <v>#VALUE!</v>
      </c>
      <c r="HK209" t="e">
        <f>Raw!T428+"h_l!)jf"</f>
        <v>#VALUE!</v>
      </c>
      <c r="HL209" t="e">
        <f>Raw!U428+"h_l!)jg"</f>
        <v>#VALUE!</v>
      </c>
      <c r="HM209" t="e">
        <f>Raw!V428+"h_l!)jh"</f>
        <v>#VALUE!</v>
      </c>
      <c r="HN209" t="e">
        <f>Raw!W428+"h_l!)ji"</f>
        <v>#VALUE!</v>
      </c>
      <c r="HO209" t="e">
        <f>Raw!A429+"h_l!)jj"</f>
        <v>#VALUE!</v>
      </c>
      <c r="HP209" t="e">
        <f>Raw!B429+"h_l!)jk"</f>
        <v>#VALUE!</v>
      </c>
      <c r="HQ209" t="e">
        <f>Raw!C429+"h_l!)jl"</f>
        <v>#VALUE!</v>
      </c>
      <c r="HR209" t="e">
        <f>Raw!D429+"h_l!)jm"</f>
        <v>#VALUE!</v>
      </c>
      <c r="HS209" t="e">
        <f>Raw!E429+"h_l!)jn"</f>
        <v>#VALUE!</v>
      </c>
      <c r="HT209" t="e">
        <f>Raw!#REF!+"h_l!)jo"</f>
        <v>#REF!</v>
      </c>
      <c r="HU209" t="e">
        <f>Raw!G429+"h_l!)jp"</f>
        <v>#VALUE!</v>
      </c>
      <c r="HV209" t="e">
        <f>Raw!H429+"h_l!)jq"</f>
        <v>#VALUE!</v>
      </c>
      <c r="HW209" t="e">
        <f>Raw!I429+"h_l!)jr"</f>
        <v>#VALUE!</v>
      </c>
      <c r="HX209" t="e">
        <f>Raw!J429+"h_l!)js"</f>
        <v>#VALUE!</v>
      </c>
      <c r="HY209" t="e">
        <f>Raw!K429+"h_l!)jt"</f>
        <v>#VALUE!</v>
      </c>
      <c r="HZ209" t="e">
        <f>Raw!L429+"h_l!)ju"</f>
        <v>#VALUE!</v>
      </c>
      <c r="IA209" t="e">
        <f>Raw!M429+"h_l!)jv"</f>
        <v>#VALUE!</v>
      </c>
      <c r="IB209" t="e">
        <f>Raw!N429+"h_l!)jw"</f>
        <v>#VALUE!</v>
      </c>
      <c r="IC209" t="e">
        <f>Raw!O429+"h_l!)jx"</f>
        <v>#VALUE!</v>
      </c>
      <c r="ID209" t="e">
        <f>Raw!P429+"h_l!)jy"</f>
        <v>#VALUE!</v>
      </c>
      <c r="IE209" t="e">
        <f>Raw!Q429+"h_l!)jz"</f>
        <v>#VALUE!</v>
      </c>
      <c r="IF209" t="e">
        <f>Raw!R429+"h_l!)j{"</f>
        <v>#VALUE!</v>
      </c>
      <c r="IG209" t="e">
        <f>Raw!S429+"h_l!)j|"</f>
        <v>#VALUE!</v>
      </c>
      <c r="IH209" t="e">
        <f>Raw!T429+"h_l!)j}"</f>
        <v>#VALUE!</v>
      </c>
      <c r="II209" t="e">
        <f>Raw!U429+"h_l!)j~"</f>
        <v>#VALUE!</v>
      </c>
      <c r="IJ209" t="e">
        <f>Raw!V429+"h_l!)k#"</f>
        <v>#VALUE!</v>
      </c>
      <c r="IK209" t="e">
        <f>Raw!W429+"h_l!)k$"</f>
        <v>#VALUE!</v>
      </c>
      <c r="IL209" t="e">
        <f>Raw!A430+"h_l!)k%"</f>
        <v>#VALUE!</v>
      </c>
      <c r="IM209" t="e">
        <f>Raw!B430+"h_l!)k&amp;"</f>
        <v>#VALUE!</v>
      </c>
      <c r="IN209" t="e">
        <f>Raw!C430+"h_l!)k'"</f>
        <v>#VALUE!</v>
      </c>
      <c r="IO209" t="e">
        <f>Raw!D430+"h_l!)k("</f>
        <v>#VALUE!</v>
      </c>
      <c r="IP209" t="e">
        <f>Raw!E430+"h_l!)k)"</f>
        <v>#VALUE!</v>
      </c>
      <c r="IQ209" t="e">
        <f>Raw!#REF!+"h_l!)k."</f>
        <v>#REF!</v>
      </c>
      <c r="IR209" t="e">
        <f>Raw!G430+"h_l!)k/"</f>
        <v>#VALUE!</v>
      </c>
      <c r="IS209" t="e">
        <f>Raw!H430+"h_l!)k0"</f>
        <v>#VALUE!</v>
      </c>
      <c r="IT209" t="e">
        <f>Raw!I430+"h_l!)k1"</f>
        <v>#VALUE!</v>
      </c>
      <c r="IU209" t="e">
        <f>Raw!J430+"h_l!)k2"</f>
        <v>#VALUE!</v>
      </c>
      <c r="IV209" t="e">
        <f>Raw!K430+"h_l!)k3"</f>
        <v>#VALUE!</v>
      </c>
    </row>
    <row r="210" spans="6:256" x14ac:dyDescent="0.25">
      <c r="F210" t="e">
        <f>Raw!L430+"h_l!)k4"</f>
        <v>#VALUE!</v>
      </c>
      <c r="G210" t="e">
        <f>Raw!M430+"h_l!)k5"</f>
        <v>#VALUE!</v>
      </c>
      <c r="H210" t="e">
        <f>Raw!N430+"h_l!)k6"</f>
        <v>#VALUE!</v>
      </c>
      <c r="I210" t="e">
        <f>Raw!O430+"h_l!)k7"</f>
        <v>#VALUE!</v>
      </c>
      <c r="J210" t="e">
        <f>Raw!P430+"h_l!)k8"</f>
        <v>#VALUE!</v>
      </c>
      <c r="K210" t="e">
        <f>Raw!Q430+"h_l!)k9"</f>
        <v>#VALUE!</v>
      </c>
      <c r="L210" t="e">
        <f>Raw!R430+"h_l!)k:"</f>
        <v>#VALUE!</v>
      </c>
      <c r="M210" t="e">
        <f>Raw!S430+"h_l!)k;"</f>
        <v>#VALUE!</v>
      </c>
      <c r="N210" t="e">
        <f>Raw!T430+"h_l!)k&lt;"</f>
        <v>#VALUE!</v>
      </c>
      <c r="O210" t="e">
        <f>Raw!U430+"h_l!)k="</f>
        <v>#VALUE!</v>
      </c>
      <c r="P210" t="e">
        <f>Raw!V430+"h_l!)k&gt;"</f>
        <v>#VALUE!</v>
      </c>
      <c r="Q210" t="e">
        <f>Raw!W430+"h_l!)k?"</f>
        <v>#VALUE!</v>
      </c>
      <c r="R210" t="e">
        <f>Raw!A431+"h_l!)k@"</f>
        <v>#VALUE!</v>
      </c>
      <c r="S210" t="e">
        <f>Raw!B431+"h_l!)kA"</f>
        <v>#VALUE!</v>
      </c>
      <c r="T210" t="e">
        <f>Raw!C431+"h_l!)kB"</f>
        <v>#VALUE!</v>
      </c>
      <c r="U210" t="e">
        <f>Raw!D431+"h_l!)kC"</f>
        <v>#VALUE!</v>
      </c>
      <c r="V210" t="e">
        <f>Raw!E431+"h_l!)kD"</f>
        <v>#VALUE!</v>
      </c>
      <c r="W210" t="e">
        <f>Raw!#REF!+"h_l!)kE"</f>
        <v>#REF!</v>
      </c>
      <c r="X210" t="e">
        <f>Raw!G431+"h_l!)kF"</f>
        <v>#VALUE!</v>
      </c>
      <c r="Y210" t="e">
        <f>Raw!H431+"h_l!)kG"</f>
        <v>#VALUE!</v>
      </c>
      <c r="Z210" t="e">
        <f>Raw!I431+"h_l!)kH"</f>
        <v>#VALUE!</v>
      </c>
      <c r="AA210" t="e">
        <f>Raw!J431+"h_l!)kI"</f>
        <v>#VALUE!</v>
      </c>
      <c r="AB210" t="e">
        <f>Raw!K431+"h_l!)kJ"</f>
        <v>#VALUE!</v>
      </c>
      <c r="AC210" t="e">
        <f>Raw!L431+"h_l!)kK"</f>
        <v>#VALUE!</v>
      </c>
      <c r="AD210" t="e">
        <f>Raw!M431+"h_l!)kL"</f>
        <v>#VALUE!</v>
      </c>
      <c r="AE210" t="e">
        <f>Raw!N431+"h_l!)kM"</f>
        <v>#VALUE!</v>
      </c>
      <c r="AF210" t="e">
        <f>Raw!O431+"h_l!)kN"</f>
        <v>#VALUE!</v>
      </c>
      <c r="AG210" t="e">
        <f>Raw!P431+"h_l!)kO"</f>
        <v>#VALUE!</v>
      </c>
      <c r="AH210" t="e">
        <f>Raw!Q431+"h_l!)kP"</f>
        <v>#VALUE!</v>
      </c>
      <c r="AI210" t="e">
        <f>Raw!R431+"h_l!)kQ"</f>
        <v>#VALUE!</v>
      </c>
      <c r="AJ210" t="e">
        <f>Raw!S431+"h_l!)kR"</f>
        <v>#VALUE!</v>
      </c>
      <c r="AK210" t="e">
        <f>Raw!T431+"h_l!)kS"</f>
        <v>#VALUE!</v>
      </c>
      <c r="AL210" t="e">
        <f>Raw!U431+"h_l!)kT"</f>
        <v>#VALUE!</v>
      </c>
      <c r="AM210" t="e">
        <f>Raw!V431+"h_l!)kU"</f>
        <v>#VALUE!</v>
      </c>
      <c r="AN210" t="e">
        <f>Raw!W431+"h_l!)kV"</f>
        <v>#VALUE!</v>
      </c>
      <c r="AO210" t="e">
        <f>Raw!A432+"h_l!)kW"</f>
        <v>#VALUE!</v>
      </c>
      <c r="AP210" t="e">
        <f>Raw!B432+"h_l!)kX"</f>
        <v>#VALUE!</v>
      </c>
      <c r="AQ210" t="e">
        <f>Raw!C432+"h_l!)kY"</f>
        <v>#VALUE!</v>
      </c>
      <c r="AR210" t="e">
        <f>Raw!D432+"h_l!)kZ"</f>
        <v>#VALUE!</v>
      </c>
      <c r="AS210" t="e">
        <f>Raw!E432+"h_l!)k["</f>
        <v>#VALUE!</v>
      </c>
      <c r="AT210" t="e">
        <f>Raw!#REF!+"h_l!)k\"</f>
        <v>#REF!</v>
      </c>
      <c r="AU210" t="e">
        <f>Raw!G432+"h_l!)k]"</f>
        <v>#VALUE!</v>
      </c>
      <c r="AV210" t="e">
        <f>Raw!H432+"h_l!)k^"</f>
        <v>#VALUE!</v>
      </c>
      <c r="AW210" t="e">
        <f>Raw!I432+"h_l!)k_"</f>
        <v>#VALUE!</v>
      </c>
      <c r="AX210" t="e">
        <f>Raw!J432+"h_l!)k`"</f>
        <v>#VALUE!</v>
      </c>
      <c r="AY210" t="e">
        <f>Raw!K432+"h_l!)ka"</f>
        <v>#VALUE!</v>
      </c>
      <c r="AZ210" t="e">
        <f>Raw!L432+"h_l!)kb"</f>
        <v>#VALUE!</v>
      </c>
      <c r="BA210" t="e">
        <f>Raw!M432+"h_l!)kc"</f>
        <v>#VALUE!</v>
      </c>
      <c r="BB210" t="e">
        <f>Raw!N432+"h_l!)kd"</f>
        <v>#VALUE!</v>
      </c>
      <c r="BC210" t="e">
        <f>Raw!O432+"h_l!)ke"</f>
        <v>#VALUE!</v>
      </c>
      <c r="BD210" t="e">
        <f>Raw!P432+"h_l!)kf"</f>
        <v>#VALUE!</v>
      </c>
      <c r="BE210" t="e">
        <f>Raw!Q432+"h_l!)kg"</f>
        <v>#VALUE!</v>
      </c>
      <c r="BF210" t="e">
        <f>Raw!R432+"h_l!)kh"</f>
        <v>#VALUE!</v>
      </c>
      <c r="BG210" t="e">
        <f>Raw!S432+"h_l!)ki"</f>
        <v>#VALUE!</v>
      </c>
      <c r="BH210" t="e">
        <f>Raw!T432+"h_l!)kj"</f>
        <v>#VALUE!</v>
      </c>
      <c r="BI210" t="e">
        <f>Raw!U432+"h_l!)kk"</f>
        <v>#VALUE!</v>
      </c>
      <c r="BJ210" t="e">
        <f>Raw!V432+"h_l!)kl"</f>
        <v>#VALUE!</v>
      </c>
      <c r="BK210" t="e">
        <f>Raw!W432+"h_l!)km"</f>
        <v>#VALUE!</v>
      </c>
      <c r="BL210" t="e">
        <f>Raw!A433+"h_l!)kn"</f>
        <v>#VALUE!</v>
      </c>
      <c r="BM210" t="e">
        <f>Raw!B433+"h_l!)ko"</f>
        <v>#VALUE!</v>
      </c>
      <c r="BN210" t="e">
        <f>Raw!C433+"h_l!)kp"</f>
        <v>#VALUE!</v>
      </c>
      <c r="BO210" t="e">
        <f>Raw!D433+"h_l!)kq"</f>
        <v>#VALUE!</v>
      </c>
      <c r="BP210" t="e">
        <f>Raw!E433+"h_l!)kr"</f>
        <v>#VALUE!</v>
      </c>
      <c r="BQ210" t="e">
        <f>Raw!#REF!+"h_l!)ks"</f>
        <v>#REF!</v>
      </c>
      <c r="BR210" t="e">
        <f>Raw!G433+"h_l!)kt"</f>
        <v>#VALUE!</v>
      </c>
      <c r="BS210" t="e">
        <f>Raw!H433+"h_l!)ku"</f>
        <v>#VALUE!</v>
      </c>
      <c r="BT210" t="e">
        <f>Raw!I433+"h_l!)kv"</f>
        <v>#VALUE!</v>
      </c>
      <c r="BU210" t="e">
        <f>Raw!J433+"h_l!)kw"</f>
        <v>#VALUE!</v>
      </c>
      <c r="BV210" t="e">
        <f>Raw!K433+"h_l!)kx"</f>
        <v>#VALUE!</v>
      </c>
      <c r="BW210" t="e">
        <f>Raw!L433+"h_l!)ky"</f>
        <v>#VALUE!</v>
      </c>
      <c r="BX210" t="e">
        <f>Raw!M433+"h_l!)kz"</f>
        <v>#VALUE!</v>
      </c>
      <c r="BY210" t="e">
        <f>Raw!N433+"h_l!)k{"</f>
        <v>#VALUE!</v>
      </c>
      <c r="BZ210" t="e">
        <f>Raw!O433+"h_l!)k|"</f>
        <v>#VALUE!</v>
      </c>
      <c r="CA210" t="e">
        <f>Raw!P433+"h_l!)k}"</f>
        <v>#VALUE!</v>
      </c>
      <c r="CB210" t="e">
        <f>Raw!Q433+"h_l!)k~"</f>
        <v>#VALUE!</v>
      </c>
      <c r="CC210" t="e">
        <f>Raw!R433+"h_l!)l#"</f>
        <v>#VALUE!</v>
      </c>
      <c r="CD210" t="e">
        <f>Raw!S433+"h_l!)l$"</f>
        <v>#VALUE!</v>
      </c>
      <c r="CE210" t="e">
        <f>Raw!T433+"h_l!)l%"</f>
        <v>#VALUE!</v>
      </c>
      <c r="CF210" t="e">
        <f>Raw!U433+"h_l!)l&amp;"</f>
        <v>#VALUE!</v>
      </c>
      <c r="CG210" t="e">
        <f>Raw!V433+"h_l!)l'"</f>
        <v>#VALUE!</v>
      </c>
      <c r="CH210" t="e">
        <f>Raw!W433+"h_l!)l("</f>
        <v>#VALUE!</v>
      </c>
      <c r="CI210" t="e">
        <f>Raw!A434+"h_l!)l)"</f>
        <v>#VALUE!</v>
      </c>
      <c r="CJ210" t="e">
        <f>Raw!B434+"h_l!)l."</f>
        <v>#VALUE!</v>
      </c>
      <c r="CK210" t="e">
        <f>Raw!C434+"h_l!)l/"</f>
        <v>#VALUE!</v>
      </c>
      <c r="CL210" t="e">
        <f>Raw!D434+"h_l!)l0"</f>
        <v>#VALUE!</v>
      </c>
      <c r="CM210" t="e">
        <f>Raw!E434+"h_l!)l1"</f>
        <v>#VALUE!</v>
      </c>
      <c r="CN210" t="e">
        <f>Raw!#REF!+"h_l!)l2"</f>
        <v>#REF!</v>
      </c>
      <c r="CO210" t="e">
        <f>Raw!G434+"h_l!)l3"</f>
        <v>#VALUE!</v>
      </c>
      <c r="CP210" t="e">
        <f>Raw!H434+"h_l!)l4"</f>
        <v>#VALUE!</v>
      </c>
      <c r="CQ210" t="e">
        <f>Raw!I434+"h_l!)l5"</f>
        <v>#VALUE!</v>
      </c>
      <c r="CR210" t="e">
        <f>Raw!J434+"h_l!)l6"</f>
        <v>#VALUE!</v>
      </c>
      <c r="CS210" t="e">
        <f>Raw!K434+"h_l!)l7"</f>
        <v>#VALUE!</v>
      </c>
      <c r="CT210" t="e">
        <f>Raw!L434+"h_l!)l8"</f>
        <v>#VALUE!</v>
      </c>
      <c r="CU210" t="e">
        <f>Raw!M434+"h_l!)l9"</f>
        <v>#VALUE!</v>
      </c>
      <c r="CV210" t="e">
        <f>Raw!N434+"h_l!)l:"</f>
        <v>#VALUE!</v>
      </c>
      <c r="CW210" t="e">
        <f>Raw!O434+"h_l!)l;"</f>
        <v>#VALUE!</v>
      </c>
      <c r="CX210" t="e">
        <f>Raw!P434+"h_l!)l&lt;"</f>
        <v>#VALUE!</v>
      </c>
      <c r="CY210" t="e">
        <f>Raw!Q434+"h_l!)l="</f>
        <v>#VALUE!</v>
      </c>
      <c r="CZ210" t="e">
        <f>Raw!R434+"h_l!)l&gt;"</f>
        <v>#VALUE!</v>
      </c>
      <c r="DA210" t="e">
        <f>Raw!S434+"h_l!)l?"</f>
        <v>#VALUE!</v>
      </c>
      <c r="DB210" t="e">
        <f>Raw!T434+"h_l!)l@"</f>
        <v>#VALUE!</v>
      </c>
      <c r="DC210" t="e">
        <f>Raw!U434+"h_l!)lA"</f>
        <v>#VALUE!</v>
      </c>
      <c r="DD210" t="e">
        <f>Raw!V434+"h_l!)lB"</f>
        <v>#VALUE!</v>
      </c>
      <c r="DE210" t="e">
        <f>Raw!W434+"h_l!)lC"</f>
        <v>#VALUE!</v>
      </c>
      <c r="DF210" t="e">
        <f>Raw!A435+"h_l!)lD"</f>
        <v>#VALUE!</v>
      </c>
      <c r="DG210" t="e">
        <f>Raw!B435+"h_l!)lE"</f>
        <v>#VALUE!</v>
      </c>
      <c r="DH210" t="e">
        <f>Raw!C435+"h_l!)lF"</f>
        <v>#VALUE!</v>
      </c>
      <c r="DI210" t="e">
        <f>Raw!D435+"h_l!)lG"</f>
        <v>#VALUE!</v>
      </c>
      <c r="DJ210" t="e">
        <f>Raw!E435+"h_l!)lH"</f>
        <v>#VALUE!</v>
      </c>
      <c r="DK210" t="e">
        <f>Raw!#REF!+"h_l!)lI"</f>
        <v>#REF!</v>
      </c>
      <c r="DL210" t="e">
        <f>Raw!G435+"h_l!)lJ"</f>
        <v>#VALUE!</v>
      </c>
      <c r="DM210" t="e">
        <f>Raw!H435+"h_l!)lK"</f>
        <v>#VALUE!</v>
      </c>
      <c r="DN210" t="e">
        <f>Raw!I435+"h_l!)lL"</f>
        <v>#VALUE!</v>
      </c>
      <c r="DO210" t="e">
        <f>Raw!J435+"h_l!)lM"</f>
        <v>#VALUE!</v>
      </c>
      <c r="DP210" t="e">
        <f>Raw!K435+"h_l!)lN"</f>
        <v>#VALUE!</v>
      </c>
      <c r="DQ210" t="e">
        <f>Raw!L435+"h_l!)lO"</f>
        <v>#VALUE!</v>
      </c>
      <c r="DR210" t="e">
        <f>Raw!M435+"h_l!)lP"</f>
        <v>#VALUE!</v>
      </c>
      <c r="DS210" t="e">
        <f>Raw!N435+"h_l!)lQ"</f>
        <v>#VALUE!</v>
      </c>
      <c r="DT210" t="e">
        <f>Raw!O435+"h_l!)lR"</f>
        <v>#VALUE!</v>
      </c>
      <c r="DU210" t="e">
        <f>Raw!P435+"h_l!)lS"</f>
        <v>#VALUE!</v>
      </c>
      <c r="DV210" t="e">
        <f>Raw!Q435+"h_l!)lT"</f>
        <v>#VALUE!</v>
      </c>
      <c r="DW210" t="e">
        <f>Raw!R435+"h_l!)lU"</f>
        <v>#VALUE!</v>
      </c>
      <c r="DX210" t="e">
        <f>Raw!S435+"h_l!)lV"</f>
        <v>#VALUE!</v>
      </c>
      <c r="DY210" t="e">
        <f>Raw!T435+"h_l!)lW"</f>
        <v>#VALUE!</v>
      </c>
      <c r="DZ210" t="e">
        <f>Raw!U435+"h_l!)lX"</f>
        <v>#VALUE!</v>
      </c>
      <c r="EA210" t="e">
        <f>Raw!V435+"h_l!)lY"</f>
        <v>#VALUE!</v>
      </c>
      <c r="EB210" t="e">
        <f>Raw!W435+"h_l!)lZ"</f>
        <v>#VALUE!</v>
      </c>
      <c r="EC210" t="e">
        <f>Raw!A436+"h_l!)l["</f>
        <v>#VALUE!</v>
      </c>
      <c r="ED210" t="e">
        <f>Raw!B436+"h_l!)l\"</f>
        <v>#VALUE!</v>
      </c>
      <c r="EE210" t="e">
        <f>Raw!C436+"h_l!)l]"</f>
        <v>#VALUE!</v>
      </c>
      <c r="EF210" t="e">
        <f>Raw!D436+"h_l!)l^"</f>
        <v>#VALUE!</v>
      </c>
      <c r="EG210" t="e">
        <f>Raw!E436+"h_l!)l_"</f>
        <v>#VALUE!</v>
      </c>
      <c r="EH210" t="e">
        <f>Raw!#REF!+"h_l!)l`"</f>
        <v>#REF!</v>
      </c>
      <c r="EI210" t="e">
        <f>Raw!G436+"h_l!)la"</f>
        <v>#VALUE!</v>
      </c>
      <c r="EJ210" t="e">
        <f>Raw!H436+"h_l!)lb"</f>
        <v>#VALUE!</v>
      </c>
      <c r="EK210" t="e">
        <f>Raw!I436+"h_l!)lc"</f>
        <v>#VALUE!</v>
      </c>
      <c r="EL210" t="e">
        <f>Raw!J436+"h_l!)ld"</f>
        <v>#VALUE!</v>
      </c>
      <c r="EM210" t="e">
        <f>Raw!K436+"h_l!)le"</f>
        <v>#VALUE!</v>
      </c>
      <c r="EN210" t="e">
        <f>Raw!L436+"h_l!)lf"</f>
        <v>#VALUE!</v>
      </c>
      <c r="EO210" t="e">
        <f>Raw!M436+"h_l!)lg"</f>
        <v>#VALUE!</v>
      </c>
      <c r="EP210" t="e">
        <f>Raw!N436+"h_l!)lh"</f>
        <v>#VALUE!</v>
      </c>
      <c r="EQ210" t="e">
        <f>Raw!O436+"h_l!)li"</f>
        <v>#VALUE!</v>
      </c>
      <c r="ER210" t="e">
        <f>Raw!P436+"h_l!)lj"</f>
        <v>#VALUE!</v>
      </c>
      <c r="ES210" t="e">
        <f>Raw!Q436+"h_l!)lk"</f>
        <v>#VALUE!</v>
      </c>
      <c r="ET210" t="e">
        <f>Raw!R436+"h_l!)ll"</f>
        <v>#VALUE!</v>
      </c>
      <c r="EU210" t="e">
        <f>Raw!S436+"h_l!)lm"</f>
        <v>#VALUE!</v>
      </c>
      <c r="EV210" t="e">
        <f>Raw!T436+"h_l!)ln"</f>
        <v>#VALUE!</v>
      </c>
      <c r="EW210" t="e">
        <f>Raw!U436+"h_l!)lo"</f>
        <v>#VALUE!</v>
      </c>
      <c r="EX210" t="e">
        <f>Raw!V436+"h_l!)lp"</f>
        <v>#VALUE!</v>
      </c>
      <c r="EY210" t="e">
        <f>Raw!W436+"h_l!)lq"</f>
        <v>#VALUE!</v>
      </c>
      <c r="EZ210" t="e">
        <f>Raw!A437+"h_l!)lr"</f>
        <v>#VALUE!</v>
      </c>
      <c r="FA210" t="e">
        <f>Raw!B437+"h_l!)ls"</f>
        <v>#VALUE!</v>
      </c>
      <c r="FB210" t="e">
        <f>Raw!C437+"h_l!)lt"</f>
        <v>#VALUE!</v>
      </c>
      <c r="FC210" t="e">
        <f>Raw!D437+"h_l!)lu"</f>
        <v>#VALUE!</v>
      </c>
      <c r="FD210" t="e">
        <f>Raw!E437+"h_l!)lv"</f>
        <v>#VALUE!</v>
      </c>
      <c r="FE210" t="e">
        <f>Raw!#REF!+"h_l!)lw"</f>
        <v>#REF!</v>
      </c>
      <c r="FF210" t="e">
        <f>Raw!G437+"h_l!)lx"</f>
        <v>#VALUE!</v>
      </c>
      <c r="FG210" t="e">
        <f>Raw!H437+"h_l!)ly"</f>
        <v>#VALUE!</v>
      </c>
      <c r="FH210" t="e">
        <f>Raw!I437+"h_l!)lz"</f>
        <v>#VALUE!</v>
      </c>
      <c r="FI210" t="e">
        <f>Raw!J437+"h_l!)l{"</f>
        <v>#VALUE!</v>
      </c>
      <c r="FJ210" t="e">
        <f>Raw!K437+"h_l!)l|"</f>
        <v>#VALUE!</v>
      </c>
      <c r="FK210" t="e">
        <f>Raw!L437+"h_l!)l}"</f>
        <v>#VALUE!</v>
      </c>
      <c r="FL210" t="e">
        <f>Raw!M437+"h_l!)l~"</f>
        <v>#VALUE!</v>
      </c>
      <c r="FM210" t="e">
        <f>Raw!N437+"h_l!)m#"</f>
        <v>#VALUE!</v>
      </c>
      <c r="FN210" t="e">
        <f>Raw!O437+"h_l!)m$"</f>
        <v>#VALUE!</v>
      </c>
      <c r="FO210" t="e">
        <f>Raw!P437+"h_l!)m%"</f>
        <v>#VALUE!</v>
      </c>
      <c r="FP210" t="e">
        <f>Raw!Q437+"h_l!)m&amp;"</f>
        <v>#VALUE!</v>
      </c>
      <c r="FQ210" t="e">
        <f>Raw!R437+"h_l!)m'"</f>
        <v>#VALUE!</v>
      </c>
      <c r="FR210" t="e">
        <f>Raw!S437+"h_l!)m("</f>
        <v>#VALUE!</v>
      </c>
      <c r="FS210" t="e">
        <f>Raw!T437+"h_l!)m)"</f>
        <v>#VALUE!</v>
      </c>
      <c r="FT210" t="e">
        <f>Raw!U437+"h_l!)m."</f>
        <v>#VALUE!</v>
      </c>
      <c r="FU210" t="e">
        <f>Raw!V437+"h_l!)m/"</f>
        <v>#VALUE!</v>
      </c>
      <c r="FV210" t="e">
        <f>Raw!W437+"h_l!)m0"</f>
        <v>#VALUE!</v>
      </c>
      <c r="FW210" t="e">
        <f>Raw!A438+"h_l!)m1"</f>
        <v>#VALUE!</v>
      </c>
      <c r="FX210" t="e">
        <f>Raw!B438+"h_l!)m2"</f>
        <v>#VALUE!</v>
      </c>
      <c r="FY210" t="e">
        <f>Raw!C438+"h_l!)m3"</f>
        <v>#VALUE!</v>
      </c>
      <c r="FZ210" t="e">
        <f>Raw!D438+"h_l!)m4"</f>
        <v>#VALUE!</v>
      </c>
      <c r="GA210" t="e">
        <f>Raw!E438+"h_l!)m5"</f>
        <v>#VALUE!</v>
      </c>
      <c r="GB210" t="e">
        <f>Raw!#REF!+"h_l!)m6"</f>
        <v>#REF!</v>
      </c>
      <c r="GC210" t="e">
        <f>Raw!G438+"h_l!)m7"</f>
        <v>#VALUE!</v>
      </c>
      <c r="GD210" t="e">
        <f>Raw!H438+"h_l!)m8"</f>
        <v>#VALUE!</v>
      </c>
      <c r="GE210" t="e">
        <f>Raw!I438+"h_l!)m9"</f>
        <v>#VALUE!</v>
      </c>
      <c r="GF210" t="e">
        <f>Raw!J438+"h_l!)m:"</f>
        <v>#VALUE!</v>
      </c>
      <c r="GG210" t="e">
        <f>Raw!K438+"h_l!)m;"</f>
        <v>#VALUE!</v>
      </c>
      <c r="GH210" t="e">
        <f>Raw!L438+"h_l!)m&lt;"</f>
        <v>#VALUE!</v>
      </c>
      <c r="GI210" t="e">
        <f>Raw!M438+"h_l!)m="</f>
        <v>#VALUE!</v>
      </c>
      <c r="GJ210" t="e">
        <f>Raw!N438+"h_l!)m&gt;"</f>
        <v>#VALUE!</v>
      </c>
      <c r="GK210" t="e">
        <f>Raw!O438+"h_l!)m?"</f>
        <v>#VALUE!</v>
      </c>
      <c r="GL210" t="e">
        <f>Raw!P438+"h_l!)m@"</f>
        <v>#VALUE!</v>
      </c>
      <c r="GM210" t="e">
        <f>Raw!Q438+"h_l!)mA"</f>
        <v>#VALUE!</v>
      </c>
      <c r="GN210" t="e">
        <f>Raw!R438+"h_l!)mB"</f>
        <v>#VALUE!</v>
      </c>
      <c r="GO210" t="e">
        <f>Raw!S438+"h_l!)mC"</f>
        <v>#VALUE!</v>
      </c>
      <c r="GP210" t="e">
        <f>Raw!T438+"h_l!)mD"</f>
        <v>#VALUE!</v>
      </c>
      <c r="GQ210" t="e">
        <f>Raw!U438+"h_l!)mE"</f>
        <v>#VALUE!</v>
      </c>
      <c r="GR210" t="e">
        <f>Raw!V438+"h_l!)mF"</f>
        <v>#VALUE!</v>
      </c>
      <c r="GS210" t="e">
        <f>Raw!W438+"h_l!)mG"</f>
        <v>#VALUE!</v>
      </c>
      <c r="GT210" t="e">
        <f>Raw!A439+"h_l!)mH"</f>
        <v>#VALUE!</v>
      </c>
      <c r="GU210" t="e">
        <f>Raw!B439+"h_l!)mI"</f>
        <v>#VALUE!</v>
      </c>
      <c r="GV210" t="e">
        <f>Raw!C439+"h_l!)mJ"</f>
        <v>#VALUE!</v>
      </c>
      <c r="GW210" t="e">
        <f>Raw!D439+"h_l!)mK"</f>
        <v>#VALUE!</v>
      </c>
      <c r="GX210" t="e">
        <f>Raw!E439+"h_l!)mL"</f>
        <v>#VALUE!</v>
      </c>
      <c r="GY210" t="e">
        <f>Raw!#REF!+"h_l!)mM"</f>
        <v>#REF!</v>
      </c>
      <c r="GZ210" t="e">
        <f>Raw!G439+"h_l!)mN"</f>
        <v>#VALUE!</v>
      </c>
      <c r="HA210" t="e">
        <f>Raw!H439+"h_l!)mO"</f>
        <v>#VALUE!</v>
      </c>
      <c r="HB210" t="e">
        <f>Raw!I439+"h_l!)mP"</f>
        <v>#VALUE!</v>
      </c>
      <c r="HC210" t="e">
        <f>Raw!J439+"h_l!)mQ"</f>
        <v>#VALUE!</v>
      </c>
      <c r="HD210" t="e">
        <f>Raw!K439+"h_l!)mR"</f>
        <v>#VALUE!</v>
      </c>
      <c r="HE210" t="e">
        <f>Raw!L439+"h_l!)mS"</f>
        <v>#VALUE!</v>
      </c>
      <c r="HF210" t="e">
        <f>Raw!M439+"h_l!)mT"</f>
        <v>#VALUE!</v>
      </c>
      <c r="HG210" t="e">
        <f>Raw!N439+"h_l!)mU"</f>
        <v>#VALUE!</v>
      </c>
      <c r="HH210" t="e">
        <f>Raw!O439+"h_l!)mV"</f>
        <v>#VALUE!</v>
      </c>
      <c r="HI210" t="e">
        <f>Raw!P439+"h_l!)mW"</f>
        <v>#VALUE!</v>
      </c>
      <c r="HJ210" t="e">
        <f>Raw!Q439+"h_l!)mX"</f>
        <v>#VALUE!</v>
      </c>
      <c r="HK210" t="e">
        <f>Raw!R439+"h_l!)mY"</f>
        <v>#VALUE!</v>
      </c>
      <c r="HL210" t="e">
        <f>Raw!S439+"h_l!)mZ"</f>
        <v>#VALUE!</v>
      </c>
      <c r="HM210" t="e">
        <f>Raw!T439+"h_l!)m["</f>
        <v>#VALUE!</v>
      </c>
      <c r="HN210" t="e">
        <f>Raw!U439+"h_l!)m\"</f>
        <v>#VALUE!</v>
      </c>
      <c r="HO210" t="e">
        <f>Raw!V439+"h_l!)m]"</f>
        <v>#VALUE!</v>
      </c>
      <c r="HP210" t="e">
        <f>Raw!W439+"h_l!)m^"</f>
        <v>#VALUE!</v>
      </c>
      <c r="HQ210" t="e">
        <f>Raw!A440+"h_l!)m_"</f>
        <v>#VALUE!</v>
      </c>
      <c r="HR210" t="e">
        <f>Raw!B440+"h_l!)m`"</f>
        <v>#VALUE!</v>
      </c>
      <c r="HS210" t="e">
        <f>Raw!C440+"h_l!)ma"</f>
        <v>#VALUE!</v>
      </c>
      <c r="HT210" t="e">
        <f>Raw!D440+"h_l!)mb"</f>
        <v>#VALUE!</v>
      </c>
      <c r="HU210" t="e">
        <f>Raw!E440+"h_l!)mc"</f>
        <v>#VALUE!</v>
      </c>
      <c r="HV210" t="e">
        <f>Raw!#REF!+"h_l!)md"</f>
        <v>#REF!</v>
      </c>
      <c r="HW210" t="e">
        <f>Raw!G440+"h_l!)me"</f>
        <v>#VALUE!</v>
      </c>
      <c r="HX210" t="e">
        <f>Raw!H440+"h_l!)mf"</f>
        <v>#VALUE!</v>
      </c>
      <c r="HY210" t="e">
        <f>Raw!I440+"h_l!)mg"</f>
        <v>#VALUE!</v>
      </c>
      <c r="HZ210" t="e">
        <f>Raw!J440+"h_l!)mh"</f>
        <v>#VALUE!</v>
      </c>
      <c r="IA210" t="e">
        <f>Raw!K440+"h_l!)mi"</f>
        <v>#VALUE!</v>
      </c>
      <c r="IB210" t="e">
        <f>Raw!L440+"h_l!)mj"</f>
        <v>#VALUE!</v>
      </c>
      <c r="IC210" t="e">
        <f>Raw!M440+"h_l!)mk"</f>
        <v>#VALUE!</v>
      </c>
      <c r="ID210" t="e">
        <f>Raw!N440+"h_l!)ml"</f>
        <v>#VALUE!</v>
      </c>
      <c r="IE210" t="e">
        <f>Raw!O440+"h_l!)mm"</f>
        <v>#VALUE!</v>
      </c>
      <c r="IF210" t="e">
        <f>Raw!P440+"h_l!)mn"</f>
        <v>#VALUE!</v>
      </c>
      <c r="IG210" t="e">
        <f>Raw!Q440+"h_l!)mo"</f>
        <v>#VALUE!</v>
      </c>
      <c r="IH210" t="e">
        <f>Raw!R440+"h_l!)mp"</f>
        <v>#VALUE!</v>
      </c>
      <c r="II210" t="e">
        <f>Raw!S440+"h_l!)mq"</f>
        <v>#VALUE!</v>
      </c>
      <c r="IJ210" t="e">
        <f>Raw!T440+"h_l!)mr"</f>
        <v>#VALUE!</v>
      </c>
      <c r="IK210" t="e">
        <f>Raw!U440+"h_l!)ms"</f>
        <v>#VALUE!</v>
      </c>
      <c r="IL210" t="e">
        <f>Raw!V440+"h_l!)mt"</f>
        <v>#VALUE!</v>
      </c>
      <c r="IM210" t="e">
        <f>Raw!W440+"h_l!)mu"</f>
        <v>#VALUE!</v>
      </c>
      <c r="IN210" t="e">
        <f>Raw!A441+"h_l!)mv"</f>
        <v>#VALUE!</v>
      </c>
      <c r="IO210" t="e">
        <f>Raw!B441+"h_l!)mw"</f>
        <v>#VALUE!</v>
      </c>
      <c r="IP210" t="e">
        <f>Raw!C441+"h_l!)mx"</f>
        <v>#VALUE!</v>
      </c>
      <c r="IQ210" t="e">
        <f>Raw!D441+"h_l!)my"</f>
        <v>#VALUE!</v>
      </c>
      <c r="IR210" t="e">
        <f>Raw!E441+"h_l!)mz"</f>
        <v>#VALUE!</v>
      </c>
      <c r="IS210" t="e">
        <f>Raw!#REF!+"h_l!)m{"</f>
        <v>#REF!</v>
      </c>
      <c r="IT210" t="e">
        <f>Raw!G441+"h_l!)m|"</f>
        <v>#VALUE!</v>
      </c>
      <c r="IU210" t="e">
        <f>Raw!H441+"h_l!)m}"</f>
        <v>#VALUE!</v>
      </c>
      <c r="IV210" t="e">
        <f>Raw!I441+"h_l!)m~"</f>
        <v>#VALUE!</v>
      </c>
    </row>
    <row r="211" spans="6:256" x14ac:dyDescent="0.25">
      <c r="F211" t="e">
        <f>Raw!J441+"h_l!)n#"</f>
        <v>#VALUE!</v>
      </c>
      <c r="G211" t="e">
        <f>Raw!K441+"h_l!)n$"</f>
        <v>#VALUE!</v>
      </c>
      <c r="H211" t="e">
        <f>Raw!L441+"h_l!)n%"</f>
        <v>#VALUE!</v>
      </c>
      <c r="I211" t="e">
        <f>Raw!M441+"h_l!)n&amp;"</f>
        <v>#VALUE!</v>
      </c>
      <c r="J211" t="e">
        <f>Raw!N441+"h_l!)n'"</f>
        <v>#VALUE!</v>
      </c>
      <c r="K211" t="e">
        <f>Raw!O441+"h_l!)n("</f>
        <v>#VALUE!</v>
      </c>
      <c r="L211" t="e">
        <f>Raw!P441+"h_l!)n)"</f>
        <v>#VALUE!</v>
      </c>
      <c r="M211" t="e">
        <f>Raw!Q441+"h_l!)n."</f>
        <v>#VALUE!</v>
      </c>
      <c r="N211" t="e">
        <f>Raw!R441+"h_l!)n/"</f>
        <v>#VALUE!</v>
      </c>
      <c r="O211" t="e">
        <f>Raw!S441+"h_l!)n0"</f>
        <v>#VALUE!</v>
      </c>
      <c r="P211" t="e">
        <f>Raw!T441+"h_l!)n1"</f>
        <v>#VALUE!</v>
      </c>
      <c r="Q211" t="e">
        <f>Raw!U441+"h_l!)n2"</f>
        <v>#VALUE!</v>
      </c>
      <c r="R211" t="e">
        <f>Raw!V441+"h_l!)n3"</f>
        <v>#VALUE!</v>
      </c>
      <c r="S211" t="e">
        <f>Raw!W441+"h_l!)n4"</f>
        <v>#VALUE!</v>
      </c>
      <c r="T211" t="e">
        <f>Raw!A442+"h_l!)n5"</f>
        <v>#VALUE!</v>
      </c>
      <c r="U211" t="e">
        <f>Raw!B442+"h_l!)n6"</f>
        <v>#VALUE!</v>
      </c>
      <c r="V211" t="e">
        <f>Raw!C442+"h_l!)n7"</f>
        <v>#VALUE!</v>
      </c>
      <c r="W211" t="e">
        <f>Raw!D442+"h_l!)n8"</f>
        <v>#VALUE!</v>
      </c>
      <c r="X211" t="e">
        <f>Raw!E442+"h_l!)n9"</f>
        <v>#VALUE!</v>
      </c>
      <c r="Y211" t="e">
        <f>Raw!#REF!+"h_l!)n:"</f>
        <v>#REF!</v>
      </c>
      <c r="Z211" t="e">
        <f>Raw!G442+"h_l!)n;"</f>
        <v>#VALUE!</v>
      </c>
      <c r="AA211" t="e">
        <f>Raw!H442+"h_l!)n&lt;"</f>
        <v>#VALUE!</v>
      </c>
      <c r="AB211" t="e">
        <f>Raw!I442+"h_l!)n="</f>
        <v>#VALUE!</v>
      </c>
      <c r="AC211" t="e">
        <f>Raw!J442+"h_l!)n&gt;"</f>
        <v>#VALUE!</v>
      </c>
      <c r="AD211" t="e">
        <f>Raw!K442+"h_l!)n?"</f>
        <v>#VALUE!</v>
      </c>
      <c r="AE211" t="e">
        <f>Raw!L442+"h_l!)n@"</f>
        <v>#VALUE!</v>
      </c>
      <c r="AF211" t="e">
        <f>Raw!M442+"h_l!)nA"</f>
        <v>#VALUE!</v>
      </c>
      <c r="AG211" t="e">
        <f>Raw!N442+"h_l!)nB"</f>
        <v>#VALUE!</v>
      </c>
      <c r="AH211" t="e">
        <f>Raw!O442+"h_l!)nC"</f>
        <v>#VALUE!</v>
      </c>
      <c r="AI211" t="e">
        <f>Raw!P442+"h_l!)nD"</f>
        <v>#VALUE!</v>
      </c>
      <c r="AJ211" t="e">
        <f>Raw!Q442+"h_l!)nE"</f>
        <v>#VALUE!</v>
      </c>
      <c r="AK211" t="e">
        <f>Raw!R442+"h_l!)nF"</f>
        <v>#VALUE!</v>
      </c>
      <c r="AL211" t="e">
        <f>Raw!S442+"h_l!)nG"</f>
        <v>#VALUE!</v>
      </c>
      <c r="AM211" t="e">
        <f>Raw!T442+"h_l!)nH"</f>
        <v>#VALUE!</v>
      </c>
      <c r="AN211" t="e">
        <f>Raw!U442+"h_l!)nI"</f>
        <v>#VALUE!</v>
      </c>
      <c r="AO211" t="e">
        <f>Raw!V442+"h_l!)nJ"</f>
        <v>#VALUE!</v>
      </c>
      <c r="AP211" t="e">
        <f>Raw!W442+"h_l!)nK"</f>
        <v>#VALUE!</v>
      </c>
      <c r="AQ211" t="e">
        <f>Raw!A443+"h_l!)nL"</f>
        <v>#VALUE!</v>
      </c>
      <c r="AR211" t="e">
        <f>Raw!B443+"h_l!)nM"</f>
        <v>#VALUE!</v>
      </c>
      <c r="AS211" t="e">
        <f>Raw!C443+"h_l!)nN"</f>
        <v>#VALUE!</v>
      </c>
      <c r="AT211" t="e">
        <f>Raw!D443+"h_l!)nO"</f>
        <v>#VALUE!</v>
      </c>
      <c r="AU211" t="e">
        <f>Raw!E443+"h_l!)nP"</f>
        <v>#VALUE!</v>
      </c>
      <c r="AV211" t="e">
        <f>Raw!#REF!+"h_l!)nQ"</f>
        <v>#REF!</v>
      </c>
      <c r="AW211" t="e">
        <f>Raw!G443+"h_l!)nR"</f>
        <v>#VALUE!</v>
      </c>
      <c r="AX211" t="e">
        <f>Raw!H443+"h_l!)nS"</f>
        <v>#VALUE!</v>
      </c>
      <c r="AY211" t="e">
        <f>Raw!I443+"h_l!)nT"</f>
        <v>#VALUE!</v>
      </c>
      <c r="AZ211" t="e">
        <f>Raw!J443+"h_l!)nU"</f>
        <v>#VALUE!</v>
      </c>
      <c r="BA211" t="e">
        <f>Raw!K443+"h_l!)nV"</f>
        <v>#VALUE!</v>
      </c>
      <c r="BB211" t="e">
        <f>Raw!L443+"h_l!)nW"</f>
        <v>#VALUE!</v>
      </c>
      <c r="BC211" t="e">
        <f>Raw!M443+"h_l!)nX"</f>
        <v>#VALUE!</v>
      </c>
      <c r="BD211" t="e">
        <f>Raw!N443+"h_l!)nY"</f>
        <v>#VALUE!</v>
      </c>
      <c r="BE211" t="e">
        <f>Raw!O443+"h_l!)nZ"</f>
        <v>#VALUE!</v>
      </c>
      <c r="BF211" t="e">
        <f>Raw!P443+"h_l!)n["</f>
        <v>#VALUE!</v>
      </c>
      <c r="BG211" t="e">
        <f>Raw!Q443+"h_l!)n\"</f>
        <v>#VALUE!</v>
      </c>
      <c r="BH211" t="e">
        <f>Raw!R443+"h_l!)n]"</f>
        <v>#VALUE!</v>
      </c>
      <c r="BI211" t="e">
        <f>Raw!S443+"h_l!)n^"</f>
        <v>#VALUE!</v>
      </c>
      <c r="BJ211" t="e">
        <f>Raw!T443+"h_l!)n_"</f>
        <v>#VALUE!</v>
      </c>
      <c r="BK211" t="e">
        <f>Raw!U443+"h_l!)n`"</f>
        <v>#VALUE!</v>
      </c>
      <c r="BL211" t="e">
        <f>Raw!V443+"h_l!)na"</f>
        <v>#VALUE!</v>
      </c>
      <c r="BM211" t="e">
        <f>Raw!W443+"h_l!)nb"</f>
        <v>#VALUE!</v>
      </c>
      <c r="BN211" t="e">
        <f>Raw!A444+"h_l!)nc"</f>
        <v>#VALUE!</v>
      </c>
      <c r="BO211" t="e">
        <f>Raw!B444+"h_l!)nd"</f>
        <v>#VALUE!</v>
      </c>
      <c r="BP211" t="e">
        <f>Raw!C444+"h_l!)ne"</f>
        <v>#VALUE!</v>
      </c>
      <c r="BQ211" t="e">
        <f>Raw!D444+"h_l!)nf"</f>
        <v>#VALUE!</v>
      </c>
      <c r="BR211" t="e">
        <f>Raw!E444+"h_l!)ng"</f>
        <v>#VALUE!</v>
      </c>
      <c r="BS211" t="e">
        <f>Raw!#REF!+"h_l!)nh"</f>
        <v>#REF!</v>
      </c>
      <c r="BT211" t="e">
        <f>Raw!G444+"h_l!)ni"</f>
        <v>#VALUE!</v>
      </c>
      <c r="BU211" t="e">
        <f>Raw!H444+"h_l!)nj"</f>
        <v>#VALUE!</v>
      </c>
      <c r="BV211" t="e">
        <f>Raw!I444+"h_l!)nk"</f>
        <v>#VALUE!</v>
      </c>
      <c r="BW211" t="e">
        <f>Raw!J444+"h_l!)nl"</f>
        <v>#VALUE!</v>
      </c>
      <c r="BX211" t="e">
        <f>Raw!K444+"h_l!)nm"</f>
        <v>#VALUE!</v>
      </c>
      <c r="BY211" t="e">
        <f>Raw!L444+"h_l!)nn"</f>
        <v>#VALUE!</v>
      </c>
      <c r="BZ211" t="e">
        <f>Raw!M444+"h_l!)no"</f>
        <v>#VALUE!</v>
      </c>
      <c r="CA211" t="e">
        <f>Raw!N444+"h_l!)np"</f>
        <v>#VALUE!</v>
      </c>
      <c r="CB211" t="e">
        <f>Raw!O444+"h_l!)nq"</f>
        <v>#VALUE!</v>
      </c>
      <c r="CC211" t="e">
        <f>Raw!P444+"h_l!)nr"</f>
        <v>#VALUE!</v>
      </c>
      <c r="CD211" t="e">
        <f>Raw!Q444+"h_l!)ns"</f>
        <v>#VALUE!</v>
      </c>
      <c r="CE211" t="e">
        <f>Raw!R444+"h_l!)nt"</f>
        <v>#VALUE!</v>
      </c>
      <c r="CF211" t="e">
        <f>Raw!S444+"h_l!)nu"</f>
        <v>#VALUE!</v>
      </c>
      <c r="CG211" t="e">
        <f>Raw!T444+"h_l!)nv"</f>
        <v>#VALUE!</v>
      </c>
      <c r="CH211" t="e">
        <f>Raw!U444+"h_l!)nw"</f>
        <v>#VALUE!</v>
      </c>
      <c r="CI211" t="e">
        <f>Raw!V444+"h_l!)nx"</f>
        <v>#VALUE!</v>
      </c>
      <c r="CJ211" t="e">
        <f>Raw!W444+"h_l!)ny"</f>
        <v>#VALUE!</v>
      </c>
      <c r="CK211" t="e">
        <f>Raw!A445+"h_l!)nz"</f>
        <v>#VALUE!</v>
      </c>
      <c r="CL211" t="e">
        <f>Raw!B445+"h_l!)n{"</f>
        <v>#VALUE!</v>
      </c>
      <c r="CM211" t="e">
        <f>Raw!C445+"h_l!)n|"</f>
        <v>#VALUE!</v>
      </c>
      <c r="CN211" t="e">
        <f>Raw!D445+"h_l!)n}"</f>
        <v>#VALUE!</v>
      </c>
      <c r="CO211" t="e">
        <f>Raw!E445+"h_l!)n~"</f>
        <v>#VALUE!</v>
      </c>
      <c r="CP211" t="e">
        <f>Raw!#REF!+"h_l!)o#"</f>
        <v>#REF!</v>
      </c>
      <c r="CQ211" t="e">
        <f>Raw!G445+"h_l!)o$"</f>
        <v>#VALUE!</v>
      </c>
      <c r="CR211" t="e">
        <f>Raw!H445+"h_l!)o%"</f>
        <v>#VALUE!</v>
      </c>
      <c r="CS211" t="e">
        <f>Raw!I445+"h_l!)o&amp;"</f>
        <v>#VALUE!</v>
      </c>
      <c r="CT211" t="e">
        <f>Raw!J445+"h_l!)o'"</f>
        <v>#VALUE!</v>
      </c>
      <c r="CU211" t="e">
        <f>Raw!K445+"h_l!)o("</f>
        <v>#VALUE!</v>
      </c>
      <c r="CV211" t="e">
        <f>Raw!L445+"h_l!)o)"</f>
        <v>#VALUE!</v>
      </c>
      <c r="CW211" t="e">
        <f>Raw!M445+"h_l!)o."</f>
        <v>#VALUE!</v>
      </c>
      <c r="CX211" t="e">
        <f>Raw!N445+"h_l!)o/"</f>
        <v>#VALUE!</v>
      </c>
      <c r="CY211" t="e">
        <f>Raw!O445+"h_l!)o0"</f>
        <v>#VALUE!</v>
      </c>
      <c r="CZ211" t="e">
        <f>Raw!P445+"h_l!)o1"</f>
        <v>#VALUE!</v>
      </c>
      <c r="DA211" t="e">
        <f>Raw!Q445+"h_l!)o2"</f>
        <v>#VALUE!</v>
      </c>
      <c r="DB211" t="e">
        <f>Raw!R445+"h_l!)o3"</f>
        <v>#VALUE!</v>
      </c>
      <c r="DC211" t="e">
        <f>Raw!S445+"h_l!)o4"</f>
        <v>#VALUE!</v>
      </c>
      <c r="DD211" t="e">
        <f>Raw!T445+"h_l!)o5"</f>
        <v>#VALUE!</v>
      </c>
      <c r="DE211" t="e">
        <f>Raw!U445+"h_l!)o6"</f>
        <v>#VALUE!</v>
      </c>
      <c r="DF211" t="e">
        <f>Raw!V445+"h_l!)o7"</f>
        <v>#VALUE!</v>
      </c>
      <c r="DG211" t="e">
        <f>Raw!W445+"h_l!)o8"</f>
        <v>#VALUE!</v>
      </c>
      <c r="DH211" t="e">
        <f>Raw!A446+"h_l!)o9"</f>
        <v>#VALUE!</v>
      </c>
      <c r="DI211" t="e">
        <f>Raw!B446+"h_l!)o:"</f>
        <v>#VALUE!</v>
      </c>
      <c r="DJ211" t="e">
        <f>Raw!C446+"h_l!)o;"</f>
        <v>#VALUE!</v>
      </c>
      <c r="DK211" t="e">
        <f>Raw!D446+"h_l!)o&lt;"</f>
        <v>#VALUE!</v>
      </c>
      <c r="DL211" t="e">
        <f>Raw!E446+"h_l!)o="</f>
        <v>#VALUE!</v>
      </c>
      <c r="DM211" t="e">
        <f>Raw!#REF!+"h_l!)o&gt;"</f>
        <v>#REF!</v>
      </c>
      <c r="DN211" t="e">
        <f>Raw!G446+"h_l!)o?"</f>
        <v>#VALUE!</v>
      </c>
      <c r="DO211" t="e">
        <f>Raw!H446+"h_l!)o@"</f>
        <v>#VALUE!</v>
      </c>
      <c r="DP211" t="e">
        <f>Raw!I446+"h_l!)oA"</f>
        <v>#VALUE!</v>
      </c>
      <c r="DQ211" t="e">
        <f>Raw!J446+"h_l!)oB"</f>
        <v>#VALUE!</v>
      </c>
      <c r="DR211" t="e">
        <f>Raw!K446+"h_l!)oC"</f>
        <v>#VALUE!</v>
      </c>
      <c r="DS211" t="e">
        <f>Raw!L446+"h_l!)oD"</f>
        <v>#VALUE!</v>
      </c>
      <c r="DT211" t="e">
        <f>Raw!M446+"h_l!)oE"</f>
        <v>#VALUE!</v>
      </c>
      <c r="DU211" t="e">
        <f>Raw!N446+"h_l!)oF"</f>
        <v>#VALUE!</v>
      </c>
      <c r="DV211" t="e">
        <f>Raw!O446+"h_l!)oG"</f>
        <v>#VALUE!</v>
      </c>
      <c r="DW211" t="e">
        <f>Raw!P446+"h_l!)oH"</f>
        <v>#VALUE!</v>
      </c>
      <c r="DX211" t="e">
        <f>Raw!Q446+"h_l!)oI"</f>
        <v>#VALUE!</v>
      </c>
      <c r="DY211" t="e">
        <f>Raw!R446+"h_l!)oJ"</f>
        <v>#VALUE!</v>
      </c>
      <c r="DZ211" t="e">
        <f>Raw!S446+"h_l!)oK"</f>
        <v>#VALUE!</v>
      </c>
      <c r="EA211" t="e">
        <f>Raw!T446+"h_l!)oL"</f>
        <v>#VALUE!</v>
      </c>
      <c r="EB211" t="e">
        <f>Raw!U446+"h_l!)oM"</f>
        <v>#VALUE!</v>
      </c>
      <c r="EC211" t="e">
        <f>Raw!V446+"h_l!)oN"</f>
        <v>#VALUE!</v>
      </c>
      <c r="ED211" t="e">
        <f>Raw!W446+"h_l!)oO"</f>
        <v>#VALUE!</v>
      </c>
      <c r="EE211" t="e">
        <f>Raw!A447+"h_l!)oP"</f>
        <v>#VALUE!</v>
      </c>
      <c r="EF211" t="e">
        <f>Raw!B447+"h_l!)oQ"</f>
        <v>#VALUE!</v>
      </c>
      <c r="EG211" t="e">
        <f>Raw!C447+"h_l!)oR"</f>
        <v>#VALUE!</v>
      </c>
      <c r="EH211" t="e">
        <f>Raw!D447+"h_l!)oS"</f>
        <v>#VALUE!</v>
      </c>
      <c r="EI211" t="e">
        <f>Raw!E447+"h_l!)oT"</f>
        <v>#VALUE!</v>
      </c>
      <c r="EJ211" t="e">
        <f>Raw!#REF!+"h_l!)oU"</f>
        <v>#REF!</v>
      </c>
      <c r="EK211" t="e">
        <f>Raw!G447+"h_l!)oV"</f>
        <v>#VALUE!</v>
      </c>
      <c r="EL211" t="e">
        <f>Raw!H447+"h_l!)oW"</f>
        <v>#VALUE!</v>
      </c>
      <c r="EM211" t="e">
        <f>Raw!I447+"h_l!)oX"</f>
        <v>#VALUE!</v>
      </c>
      <c r="EN211" t="e">
        <f>Raw!J447+"h_l!)oY"</f>
        <v>#VALUE!</v>
      </c>
      <c r="EO211" t="e">
        <f>Raw!K447+"h_l!)oZ"</f>
        <v>#VALUE!</v>
      </c>
      <c r="EP211" t="e">
        <f>Raw!L447+"h_l!)o["</f>
        <v>#VALUE!</v>
      </c>
      <c r="EQ211" t="e">
        <f>Raw!M447+"h_l!)o\"</f>
        <v>#VALUE!</v>
      </c>
      <c r="ER211" t="e">
        <f>Raw!N447+"h_l!)o]"</f>
        <v>#VALUE!</v>
      </c>
      <c r="ES211" t="e">
        <f>Raw!O447+"h_l!)o^"</f>
        <v>#VALUE!</v>
      </c>
      <c r="ET211" t="e">
        <f>Raw!P447+"h_l!)o_"</f>
        <v>#VALUE!</v>
      </c>
      <c r="EU211" t="e">
        <f>Raw!Q447+"h_l!)o`"</f>
        <v>#VALUE!</v>
      </c>
      <c r="EV211" t="e">
        <f>Raw!R447+"h_l!)oa"</f>
        <v>#VALUE!</v>
      </c>
      <c r="EW211" t="e">
        <f>Raw!S447+"h_l!)ob"</f>
        <v>#VALUE!</v>
      </c>
      <c r="EX211" t="e">
        <f>Raw!T447+"h_l!)oc"</f>
        <v>#VALUE!</v>
      </c>
      <c r="EY211" t="e">
        <f>Raw!U447+"h_l!)od"</f>
        <v>#VALUE!</v>
      </c>
      <c r="EZ211" t="e">
        <f>Raw!V447+"h_l!)oe"</f>
        <v>#VALUE!</v>
      </c>
      <c r="FA211" t="e">
        <f>Raw!W447+"h_l!)of"</f>
        <v>#VALUE!</v>
      </c>
      <c r="FB211" t="e">
        <f>Raw!A448+"h_l!)og"</f>
        <v>#VALUE!</v>
      </c>
      <c r="FC211" t="e">
        <f>Raw!B448+"h_l!)oh"</f>
        <v>#VALUE!</v>
      </c>
      <c r="FD211" t="e">
        <f>Raw!C448+"h_l!)oi"</f>
        <v>#VALUE!</v>
      </c>
      <c r="FE211" t="e">
        <f>Raw!D448+"h_l!)oj"</f>
        <v>#VALUE!</v>
      </c>
      <c r="FF211" t="e">
        <f>Raw!E448+"h_l!)ok"</f>
        <v>#VALUE!</v>
      </c>
      <c r="FG211" t="e">
        <f>Raw!#REF!+"h_l!)ol"</f>
        <v>#REF!</v>
      </c>
      <c r="FH211" t="e">
        <f>Raw!G448+"h_l!)om"</f>
        <v>#VALUE!</v>
      </c>
      <c r="FI211" t="e">
        <f>Raw!H448+"h_l!)on"</f>
        <v>#VALUE!</v>
      </c>
      <c r="FJ211" t="e">
        <f>Raw!I448+"h_l!)oo"</f>
        <v>#VALUE!</v>
      </c>
      <c r="FK211" t="e">
        <f>Raw!J448+"h_l!)op"</f>
        <v>#VALUE!</v>
      </c>
      <c r="FL211" t="e">
        <f>Raw!K448+"h_l!)oq"</f>
        <v>#VALUE!</v>
      </c>
      <c r="FM211" t="e">
        <f>Raw!L448+"h_l!)or"</f>
        <v>#VALUE!</v>
      </c>
      <c r="FN211" t="e">
        <f>Raw!M448+"h_l!)os"</f>
        <v>#VALUE!</v>
      </c>
      <c r="FO211" t="e">
        <f>Raw!N448+"h_l!)ot"</f>
        <v>#VALUE!</v>
      </c>
      <c r="FP211" t="e">
        <f>Raw!O448+"h_l!)ou"</f>
        <v>#VALUE!</v>
      </c>
      <c r="FQ211" t="e">
        <f>Raw!P448+"h_l!)ov"</f>
        <v>#VALUE!</v>
      </c>
      <c r="FR211" t="e">
        <f>Raw!Q448+"h_l!)ow"</f>
        <v>#VALUE!</v>
      </c>
      <c r="FS211" t="e">
        <f>Raw!R448+"h_l!)ox"</f>
        <v>#VALUE!</v>
      </c>
      <c r="FT211" t="e">
        <f>Raw!S448+"h_l!)oy"</f>
        <v>#VALUE!</v>
      </c>
      <c r="FU211" t="e">
        <f>Raw!T448+"h_l!)oz"</f>
        <v>#VALUE!</v>
      </c>
      <c r="FV211" t="e">
        <f>Raw!U448+"h_l!)o{"</f>
        <v>#VALUE!</v>
      </c>
      <c r="FW211" t="e">
        <f>Raw!V448+"h_l!)o|"</f>
        <v>#VALUE!</v>
      </c>
      <c r="FX211" t="e">
        <f>Raw!W448+"h_l!)o}"</f>
        <v>#VALUE!</v>
      </c>
      <c r="FY211" t="e">
        <f>Raw!A449+"h_l!)o~"</f>
        <v>#VALUE!</v>
      </c>
      <c r="FZ211" t="e">
        <f>Raw!B449+"h_l!)p#"</f>
        <v>#VALUE!</v>
      </c>
      <c r="GA211" t="e">
        <f>Raw!C449+"h_l!)p$"</f>
        <v>#VALUE!</v>
      </c>
      <c r="GB211" t="e">
        <f>Raw!D449+"h_l!)p%"</f>
        <v>#VALUE!</v>
      </c>
      <c r="GC211" t="e">
        <f>Raw!E449+"h_l!)p&amp;"</f>
        <v>#VALUE!</v>
      </c>
      <c r="GD211" t="e">
        <f>Raw!#REF!+"h_l!)p'"</f>
        <v>#REF!</v>
      </c>
      <c r="GE211" t="e">
        <f>Raw!G449+"h_l!)p("</f>
        <v>#VALUE!</v>
      </c>
      <c r="GF211" t="e">
        <f>Raw!H449+"h_l!)p)"</f>
        <v>#VALUE!</v>
      </c>
      <c r="GG211" t="e">
        <f>Raw!I449+"h_l!)p."</f>
        <v>#VALUE!</v>
      </c>
      <c r="GH211" t="e">
        <f>Raw!J449+"h_l!)p/"</f>
        <v>#VALUE!</v>
      </c>
      <c r="GI211" t="e">
        <f>Raw!K449+"h_l!)p0"</f>
        <v>#VALUE!</v>
      </c>
      <c r="GJ211" t="e">
        <f>Raw!L449+"h_l!)p1"</f>
        <v>#VALUE!</v>
      </c>
      <c r="GK211" t="e">
        <f>Raw!M449+"h_l!)p2"</f>
        <v>#VALUE!</v>
      </c>
      <c r="GL211" t="e">
        <f>Raw!N449+"h_l!)p3"</f>
        <v>#VALUE!</v>
      </c>
      <c r="GM211" t="e">
        <f>Raw!O449+"h_l!)p4"</f>
        <v>#VALUE!</v>
      </c>
      <c r="GN211" t="e">
        <f>Raw!P449+"h_l!)p5"</f>
        <v>#VALUE!</v>
      </c>
      <c r="GO211" t="e">
        <f>Raw!Q449+"h_l!)p6"</f>
        <v>#VALUE!</v>
      </c>
      <c r="GP211" t="e">
        <f>Raw!R449+"h_l!)p7"</f>
        <v>#VALUE!</v>
      </c>
      <c r="GQ211" t="e">
        <f>Raw!S449+"h_l!)p8"</f>
        <v>#VALUE!</v>
      </c>
      <c r="GR211" t="e">
        <f>Raw!T449+"h_l!)p9"</f>
        <v>#VALUE!</v>
      </c>
      <c r="GS211" t="e">
        <f>Raw!U449+"h_l!)p:"</f>
        <v>#VALUE!</v>
      </c>
      <c r="GT211" t="e">
        <f>Raw!V449+"h_l!)p;"</f>
        <v>#VALUE!</v>
      </c>
      <c r="GU211" t="e">
        <f>Raw!W449+"h_l!)p&lt;"</f>
        <v>#VALUE!</v>
      </c>
      <c r="GV211" t="e">
        <f>Raw!A450+"h_l!)p="</f>
        <v>#VALUE!</v>
      </c>
      <c r="GW211" t="e">
        <f>Raw!B450+"h_l!)p&gt;"</f>
        <v>#VALUE!</v>
      </c>
      <c r="GX211" t="e">
        <f>Raw!C450+"h_l!)p?"</f>
        <v>#VALUE!</v>
      </c>
      <c r="GY211" t="e">
        <f>Raw!D450+"h_l!)p@"</f>
        <v>#VALUE!</v>
      </c>
      <c r="GZ211" t="e">
        <f>Raw!E450+"h_l!)pA"</f>
        <v>#VALUE!</v>
      </c>
      <c r="HA211" t="e">
        <f>Raw!#REF!+"h_l!)pB"</f>
        <v>#REF!</v>
      </c>
      <c r="HB211" t="e">
        <f>Raw!G450+"h_l!)pC"</f>
        <v>#VALUE!</v>
      </c>
      <c r="HC211" t="e">
        <f>Raw!H450+"h_l!)pD"</f>
        <v>#VALUE!</v>
      </c>
      <c r="HD211" t="e">
        <f>Raw!I450+"h_l!)pE"</f>
        <v>#VALUE!</v>
      </c>
      <c r="HE211" t="e">
        <f>Raw!J450+"h_l!)pF"</f>
        <v>#VALUE!</v>
      </c>
      <c r="HF211" t="e">
        <f>Raw!K450+"h_l!)pG"</f>
        <v>#VALUE!</v>
      </c>
      <c r="HG211" t="e">
        <f>Raw!L450+"h_l!)pH"</f>
        <v>#VALUE!</v>
      </c>
      <c r="HH211" t="e">
        <f>Raw!M450+"h_l!)pI"</f>
        <v>#VALUE!</v>
      </c>
      <c r="HI211" t="e">
        <f>Raw!N450+"h_l!)pJ"</f>
        <v>#VALUE!</v>
      </c>
      <c r="HJ211" t="e">
        <f>Raw!O450+"h_l!)pK"</f>
        <v>#VALUE!</v>
      </c>
      <c r="HK211" t="e">
        <f>Raw!P450+"h_l!)pL"</f>
        <v>#VALUE!</v>
      </c>
      <c r="HL211" t="e">
        <f>Raw!Q450+"h_l!)pM"</f>
        <v>#VALUE!</v>
      </c>
      <c r="HM211" t="e">
        <f>Raw!R450+"h_l!)pN"</f>
        <v>#VALUE!</v>
      </c>
      <c r="HN211" t="e">
        <f>Raw!S450+"h_l!)pO"</f>
        <v>#VALUE!</v>
      </c>
      <c r="HO211" t="e">
        <f>Raw!T450+"h_l!)pP"</f>
        <v>#VALUE!</v>
      </c>
      <c r="HP211" t="e">
        <f>Raw!U450+"h_l!)pQ"</f>
        <v>#VALUE!</v>
      </c>
      <c r="HQ211" t="e">
        <f>Raw!V450+"h_l!)pR"</f>
        <v>#VALUE!</v>
      </c>
      <c r="HR211" t="e">
        <f>Raw!W450+"h_l!)pS"</f>
        <v>#VALUE!</v>
      </c>
      <c r="HS211" t="e">
        <f>Raw!A451+"h_l!)pT"</f>
        <v>#VALUE!</v>
      </c>
      <c r="HT211" t="e">
        <f>Raw!B451+"h_l!)pU"</f>
        <v>#VALUE!</v>
      </c>
      <c r="HU211" t="e">
        <f>Raw!C451+"h_l!)pV"</f>
        <v>#VALUE!</v>
      </c>
      <c r="HV211" t="e">
        <f>Raw!D451+"h_l!)pW"</f>
        <v>#VALUE!</v>
      </c>
      <c r="HW211" t="e">
        <f>Raw!E451+"h_l!)pX"</f>
        <v>#VALUE!</v>
      </c>
      <c r="HX211" t="e">
        <f>Raw!#REF!+"h_l!)pY"</f>
        <v>#REF!</v>
      </c>
      <c r="HY211" t="e">
        <f>Raw!G451+"h_l!)pZ"</f>
        <v>#VALUE!</v>
      </c>
      <c r="HZ211" t="e">
        <f>Raw!H451+"h_l!)p["</f>
        <v>#VALUE!</v>
      </c>
      <c r="IA211" t="e">
        <f>Raw!I451+"h_l!)p\"</f>
        <v>#VALUE!</v>
      </c>
      <c r="IB211" t="e">
        <f>Raw!J451+"h_l!)p]"</f>
        <v>#VALUE!</v>
      </c>
      <c r="IC211" t="e">
        <f>Raw!K451+"h_l!)p^"</f>
        <v>#VALUE!</v>
      </c>
      <c r="ID211" t="e">
        <f>Raw!L451+"h_l!)p_"</f>
        <v>#VALUE!</v>
      </c>
      <c r="IE211" t="e">
        <f>Raw!M451+"h_l!)p`"</f>
        <v>#VALUE!</v>
      </c>
      <c r="IF211" t="e">
        <f>Raw!N451+"h_l!)pa"</f>
        <v>#VALUE!</v>
      </c>
      <c r="IG211" t="e">
        <f>Raw!O451+"h_l!)pb"</f>
        <v>#VALUE!</v>
      </c>
      <c r="IH211" t="e">
        <f>Raw!P451+"h_l!)pc"</f>
        <v>#VALUE!</v>
      </c>
      <c r="II211" t="e">
        <f>Raw!Q451+"h_l!)pd"</f>
        <v>#VALUE!</v>
      </c>
      <c r="IJ211" t="e">
        <f>Raw!R451+"h_l!)pe"</f>
        <v>#VALUE!</v>
      </c>
      <c r="IK211" t="e">
        <f>Raw!S451+"h_l!)pf"</f>
        <v>#VALUE!</v>
      </c>
      <c r="IL211" t="e">
        <f>Raw!T451+"h_l!)pg"</f>
        <v>#VALUE!</v>
      </c>
      <c r="IM211" t="e">
        <f>Raw!U451+"h_l!)ph"</f>
        <v>#VALUE!</v>
      </c>
      <c r="IN211" t="e">
        <f>Raw!V451+"h_l!)pi"</f>
        <v>#VALUE!</v>
      </c>
      <c r="IO211" t="e">
        <f>Raw!W451+"h_l!)pj"</f>
        <v>#VALUE!</v>
      </c>
      <c r="IP211" t="e">
        <f>Raw!A452+"h_l!)pk"</f>
        <v>#VALUE!</v>
      </c>
      <c r="IQ211" t="e">
        <f>Raw!B452+"h_l!)pl"</f>
        <v>#VALUE!</v>
      </c>
      <c r="IR211" t="e">
        <f>Raw!C452+"h_l!)pm"</f>
        <v>#VALUE!</v>
      </c>
      <c r="IS211" t="e">
        <f>Raw!D452+"h_l!)pn"</f>
        <v>#VALUE!</v>
      </c>
      <c r="IT211" t="e">
        <f>Raw!E452+"h_l!)po"</f>
        <v>#VALUE!</v>
      </c>
      <c r="IU211" t="e">
        <f>Raw!#REF!+"h_l!)pp"</f>
        <v>#REF!</v>
      </c>
      <c r="IV211" t="e">
        <f>Raw!G452+"h_l!)pq"</f>
        <v>#VALUE!</v>
      </c>
    </row>
    <row r="212" spans="6:256" x14ac:dyDescent="0.25">
      <c r="F212" t="e">
        <f>Raw!H452+"h_l!)pr"</f>
        <v>#VALUE!</v>
      </c>
      <c r="G212" t="e">
        <f>Raw!I452+"h_l!)ps"</f>
        <v>#VALUE!</v>
      </c>
      <c r="H212" t="e">
        <f>Raw!J452+"h_l!)pt"</f>
        <v>#VALUE!</v>
      </c>
      <c r="I212" t="e">
        <f>Raw!K452+"h_l!)pu"</f>
        <v>#VALUE!</v>
      </c>
      <c r="J212" t="e">
        <f>Raw!L452+"h_l!)pv"</f>
        <v>#VALUE!</v>
      </c>
      <c r="K212" t="e">
        <f>Raw!M452+"h_l!)pw"</f>
        <v>#VALUE!</v>
      </c>
      <c r="L212" t="e">
        <f>Raw!N452+"h_l!)px"</f>
        <v>#VALUE!</v>
      </c>
      <c r="M212" t="e">
        <f>Raw!O452+"h_l!)py"</f>
        <v>#VALUE!</v>
      </c>
      <c r="N212" t="e">
        <f>Raw!P452+"h_l!)pz"</f>
        <v>#VALUE!</v>
      </c>
      <c r="O212" t="e">
        <f>Raw!Q452+"h_l!)p{"</f>
        <v>#VALUE!</v>
      </c>
      <c r="P212" t="e">
        <f>Raw!R452+"h_l!)p|"</f>
        <v>#VALUE!</v>
      </c>
      <c r="Q212" t="e">
        <f>Raw!S452+"h_l!)p}"</f>
        <v>#VALUE!</v>
      </c>
      <c r="R212" t="e">
        <f>Raw!T452+"h_l!)p~"</f>
        <v>#VALUE!</v>
      </c>
      <c r="S212" t="e">
        <f>Raw!U452+"h_l!)q#"</f>
        <v>#VALUE!</v>
      </c>
      <c r="T212" t="e">
        <f>Raw!V452+"h_l!)q$"</f>
        <v>#VALUE!</v>
      </c>
      <c r="U212" t="e">
        <f>Raw!W452+"h_l!)q%"</f>
        <v>#VALUE!</v>
      </c>
      <c r="V212" t="e">
        <f>Raw!A453+"h_l!)q&amp;"</f>
        <v>#VALUE!</v>
      </c>
      <c r="W212" t="e">
        <f>Raw!B453+"h_l!)q'"</f>
        <v>#VALUE!</v>
      </c>
      <c r="X212" t="e">
        <f>Raw!C453+"h_l!)q("</f>
        <v>#VALUE!</v>
      </c>
      <c r="Y212" t="e">
        <f>Raw!D453+"h_l!)q)"</f>
        <v>#VALUE!</v>
      </c>
      <c r="Z212" t="e">
        <f>Raw!E453+"h_l!)q."</f>
        <v>#VALUE!</v>
      </c>
      <c r="AA212" t="e">
        <f>Raw!#REF!+"h_l!)q/"</f>
        <v>#REF!</v>
      </c>
      <c r="AB212" t="e">
        <f>Raw!G453+"h_l!)q0"</f>
        <v>#VALUE!</v>
      </c>
      <c r="AC212" t="e">
        <f>Raw!H453+"h_l!)q1"</f>
        <v>#VALUE!</v>
      </c>
      <c r="AD212" t="e">
        <f>Raw!I453+"h_l!)q2"</f>
        <v>#VALUE!</v>
      </c>
      <c r="AE212" t="e">
        <f>Raw!J453+"h_l!)q3"</f>
        <v>#VALUE!</v>
      </c>
      <c r="AF212" t="e">
        <f>Raw!K453+"h_l!)q4"</f>
        <v>#VALUE!</v>
      </c>
      <c r="AG212" t="e">
        <f>Raw!L453+"h_l!)q5"</f>
        <v>#VALUE!</v>
      </c>
      <c r="AH212" t="e">
        <f>Raw!M453+"h_l!)q6"</f>
        <v>#VALUE!</v>
      </c>
      <c r="AI212" t="e">
        <f>Raw!N453+"h_l!)q7"</f>
        <v>#VALUE!</v>
      </c>
      <c r="AJ212" t="e">
        <f>Raw!O453+"h_l!)q8"</f>
        <v>#VALUE!</v>
      </c>
      <c r="AK212" t="e">
        <f>Raw!P453+"h_l!)q9"</f>
        <v>#VALUE!</v>
      </c>
      <c r="AL212" t="e">
        <f>Raw!Q453+"h_l!)q:"</f>
        <v>#VALUE!</v>
      </c>
      <c r="AM212" t="e">
        <f>Raw!R453+"h_l!)q;"</f>
        <v>#VALUE!</v>
      </c>
      <c r="AN212" t="e">
        <f>Raw!S453+"h_l!)q&lt;"</f>
        <v>#VALUE!</v>
      </c>
      <c r="AO212" t="e">
        <f>Raw!T453+"h_l!)q="</f>
        <v>#VALUE!</v>
      </c>
      <c r="AP212" t="e">
        <f>Raw!U453+"h_l!)q&gt;"</f>
        <v>#VALUE!</v>
      </c>
      <c r="AQ212" t="e">
        <f>Raw!V453+"h_l!)q?"</f>
        <v>#VALUE!</v>
      </c>
      <c r="AR212" t="e">
        <f>Raw!W453+"h_l!)q@"</f>
        <v>#VALUE!</v>
      </c>
      <c r="AS212" t="e">
        <f>Raw!A454+"h_l!)qA"</f>
        <v>#VALUE!</v>
      </c>
      <c r="AT212" t="e">
        <f>Raw!B454+"h_l!)qB"</f>
        <v>#VALUE!</v>
      </c>
      <c r="AU212" t="e">
        <f>Raw!C454+"h_l!)qC"</f>
        <v>#VALUE!</v>
      </c>
      <c r="AV212" t="e">
        <f>Raw!D454+"h_l!)qD"</f>
        <v>#VALUE!</v>
      </c>
      <c r="AW212" t="e">
        <f>Raw!E454+"h_l!)qE"</f>
        <v>#VALUE!</v>
      </c>
      <c r="AX212" t="e">
        <f>Raw!#REF!+"h_l!)qF"</f>
        <v>#REF!</v>
      </c>
      <c r="AY212" t="e">
        <f>Raw!G454+"h_l!)qG"</f>
        <v>#VALUE!</v>
      </c>
      <c r="AZ212" t="e">
        <f>Raw!H454+"h_l!)qH"</f>
        <v>#VALUE!</v>
      </c>
      <c r="BA212" t="e">
        <f>Raw!I454+"h_l!)qI"</f>
        <v>#VALUE!</v>
      </c>
      <c r="BB212" t="e">
        <f>Raw!J454+"h_l!)qJ"</f>
        <v>#VALUE!</v>
      </c>
      <c r="BC212" t="e">
        <f>Raw!K454+"h_l!)qK"</f>
        <v>#VALUE!</v>
      </c>
      <c r="BD212" t="e">
        <f>Raw!L454+"h_l!)qL"</f>
        <v>#VALUE!</v>
      </c>
      <c r="BE212" t="e">
        <f>Raw!M454+"h_l!)qM"</f>
        <v>#VALUE!</v>
      </c>
      <c r="BF212" t="e">
        <f>Raw!N454+"h_l!)qN"</f>
        <v>#VALUE!</v>
      </c>
      <c r="BG212" t="e">
        <f>Raw!O454+"h_l!)qO"</f>
        <v>#VALUE!</v>
      </c>
      <c r="BH212" t="e">
        <f>Raw!P454+"h_l!)qP"</f>
        <v>#VALUE!</v>
      </c>
      <c r="BI212" t="e">
        <f>Raw!Q454+"h_l!)qQ"</f>
        <v>#VALUE!</v>
      </c>
      <c r="BJ212" t="e">
        <f>Raw!R454+"h_l!)qR"</f>
        <v>#VALUE!</v>
      </c>
      <c r="BK212" t="e">
        <f>Raw!S454+"h_l!)qS"</f>
        <v>#VALUE!</v>
      </c>
      <c r="BL212" t="e">
        <f>Raw!T454+"h_l!)qT"</f>
        <v>#VALUE!</v>
      </c>
      <c r="BM212" t="e">
        <f>Raw!U454+"h_l!)qU"</f>
        <v>#VALUE!</v>
      </c>
      <c r="BN212" t="e">
        <f>Raw!V454+"h_l!)qV"</f>
        <v>#VALUE!</v>
      </c>
      <c r="BO212" t="e">
        <f>Raw!W454+"h_l!)qW"</f>
        <v>#VALUE!</v>
      </c>
      <c r="BP212" t="e">
        <f>Raw!A455+"h_l!)qX"</f>
        <v>#VALUE!</v>
      </c>
      <c r="BQ212" t="e">
        <f>Raw!B455+"h_l!)qY"</f>
        <v>#VALUE!</v>
      </c>
      <c r="BR212" t="e">
        <f>Raw!C455+"h_l!)qZ"</f>
        <v>#VALUE!</v>
      </c>
      <c r="BS212" t="e">
        <f>Raw!D455+"h_l!)q["</f>
        <v>#VALUE!</v>
      </c>
      <c r="BT212" t="e">
        <f>Raw!E455+"h_l!)q\"</f>
        <v>#VALUE!</v>
      </c>
      <c r="BU212" t="e">
        <f>Raw!#REF!+"h_l!)q]"</f>
        <v>#REF!</v>
      </c>
      <c r="BV212" t="e">
        <f>Raw!G455+"h_l!)q^"</f>
        <v>#VALUE!</v>
      </c>
      <c r="BW212" t="e">
        <f>Raw!H455+"h_l!)q_"</f>
        <v>#VALUE!</v>
      </c>
      <c r="BX212" t="e">
        <f>Raw!I455+"h_l!)q`"</f>
        <v>#VALUE!</v>
      </c>
      <c r="BY212" t="e">
        <f>Raw!J455+"h_l!)qa"</f>
        <v>#VALUE!</v>
      </c>
      <c r="BZ212" t="e">
        <f>Raw!K455+"h_l!)qb"</f>
        <v>#VALUE!</v>
      </c>
      <c r="CA212" t="e">
        <f>Raw!L455+"h_l!)qc"</f>
        <v>#VALUE!</v>
      </c>
      <c r="CB212" t="e">
        <f>Raw!M455+"h_l!)qd"</f>
        <v>#VALUE!</v>
      </c>
      <c r="CC212" t="e">
        <f>Raw!N455+"h_l!)qe"</f>
        <v>#VALUE!</v>
      </c>
      <c r="CD212" t="e">
        <f>Raw!O455+"h_l!)qf"</f>
        <v>#VALUE!</v>
      </c>
      <c r="CE212" t="e">
        <f>Raw!P455+"h_l!)qg"</f>
        <v>#VALUE!</v>
      </c>
      <c r="CF212" t="e">
        <f>Raw!Q455+"h_l!)qh"</f>
        <v>#VALUE!</v>
      </c>
      <c r="CG212" t="e">
        <f>Raw!R455+"h_l!)qi"</f>
        <v>#VALUE!</v>
      </c>
      <c r="CH212" t="e">
        <f>Raw!S455+"h_l!)qj"</f>
        <v>#VALUE!</v>
      </c>
      <c r="CI212" t="e">
        <f>Raw!T455+"h_l!)qk"</f>
        <v>#VALUE!</v>
      </c>
      <c r="CJ212" t="e">
        <f>Raw!U455+"h_l!)ql"</f>
        <v>#VALUE!</v>
      </c>
      <c r="CK212" t="e">
        <f>Raw!V455+"h_l!)qm"</f>
        <v>#VALUE!</v>
      </c>
      <c r="CL212" t="e">
        <f>Raw!W455+"h_l!)qn"</f>
        <v>#VALUE!</v>
      </c>
      <c r="CM212" t="e">
        <f>Raw!A456+"h_l!)qo"</f>
        <v>#VALUE!</v>
      </c>
      <c r="CN212" t="e">
        <f>Raw!B456+"h_l!)qp"</f>
        <v>#VALUE!</v>
      </c>
      <c r="CO212" t="e">
        <f>Raw!C456+"h_l!)qq"</f>
        <v>#VALUE!</v>
      </c>
      <c r="CP212" t="e">
        <f>Raw!D456+"h_l!)qr"</f>
        <v>#VALUE!</v>
      </c>
      <c r="CQ212" t="e">
        <f>Raw!E456+"h_l!)qs"</f>
        <v>#VALUE!</v>
      </c>
      <c r="CR212" t="e">
        <f>Raw!#REF!+"h_l!)qt"</f>
        <v>#REF!</v>
      </c>
      <c r="CS212" t="e">
        <f>Raw!G456+"h_l!)qu"</f>
        <v>#VALUE!</v>
      </c>
      <c r="CT212" t="e">
        <f>Raw!H456+"h_l!)qv"</f>
        <v>#VALUE!</v>
      </c>
      <c r="CU212" t="e">
        <f>Raw!I456+"h_l!)qw"</f>
        <v>#VALUE!</v>
      </c>
      <c r="CV212" t="e">
        <f>Raw!J456+"h_l!)qx"</f>
        <v>#VALUE!</v>
      </c>
      <c r="CW212" t="e">
        <f>Raw!K456+"h_l!)qy"</f>
        <v>#VALUE!</v>
      </c>
      <c r="CX212" t="e">
        <f>Raw!L456+"h_l!)qz"</f>
        <v>#VALUE!</v>
      </c>
      <c r="CY212" t="e">
        <f>Raw!M456+"h_l!)q{"</f>
        <v>#VALUE!</v>
      </c>
      <c r="CZ212" t="e">
        <f>Raw!N456+"h_l!)q|"</f>
        <v>#VALUE!</v>
      </c>
      <c r="DA212" t="e">
        <f>Raw!O456+"h_l!)q}"</f>
        <v>#VALUE!</v>
      </c>
      <c r="DB212" t="e">
        <f>Raw!P456+"h_l!)q~"</f>
        <v>#VALUE!</v>
      </c>
      <c r="DC212" t="e">
        <f>Raw!Q456+"h_l!)r#"</f>
        <v>#VALUE!</v>
      </c>
      <c r="DD212" t="e">
        <f>Raw!R456+"h_l!)r$"</f>
        <v>#VALUE!</v>
      </c>
      <c r="DE212" t="e">
        <f>Raw!S456+"h_l!)r%"</f>
        <v>#VALUE!</v>
      </c>
      <c r="DF212" t="e">
        <f>Raw!T456+"h_l!)r&amp;"</f>
        <v>#VALUE!</v>
      </c>
      <c r="DG212" t="e">
        <f>Raw!U456+"h_l!)r'"</f>
        <v>#VALUE!</v>
      </c>
      <c r="DH212" t="e">
        <f>Raw!V456+"h_l!)r("</f>
        <v>#VALUE!</v>
      </c>
      <c r="DI212" t="e">
        <f>Raw!W456+"h_l!)r)"</f>
        <v>#VALUE!</v>
      </c>
      <c r="DJ212" t="e">
        <f>Raw!A457+"h_l!)r."</f>
        <v>#VALUE!</v>
      </c>
      <c r="DK212" t="e">
        <f>Raw!B457+"h_l!)r/"</f>
        <v>#VALUE!</v>
      </c>
      <c r="DL212" t="e">
        <f>Raw!C457+"h_l!)r0"</f>
        <v>#VALUE!</v>
      </c>
      <c r="DM212" t="e">
        <f>Raw!D457+"h_l!)r1"</f>
        <v>#VALUE!</v>
      </c>
      <c r="DN212" t="e">
        <f>Raw!E457+"h_l!)r2"</f>
        <v>#VALUE!</v>
      </c>
      <c r="DO212" t="e">
        <f>Raw!#REF!+"h_l!)r3"</f>
        <v>#REF!</v>
      </c>
      <c r="DP212" t="e">
        <f>Raw!G457+"h_l!)r4"</f>
        <v>#VALUE!</v>
      </c>
      <c r="DQ212" t="e">
        <f>Raw!H457+"h_l!)r5"</f>
        <v>#VALUE!</v>
      </c>
      <c r="DR212" t="e">
        <f>Raw!I457+"h_l!)r6"</f>
        <v>#VALUE!</v>
      </c>
      <c r="DS212" t="e">
        <f>Raw!J457+"h_l!)r7"</f>
        <v>#VALUE!</v>
      </c>
      <c r="DT212" t="e">
        <f>Raw!K457+"h_l!)r8"</f>
        <v>#VALUE!</v>
      </c>
      <c r="DU212" t="e">
        <f>Raw!L457+"h_l!)r9"</f>
        <v>#VALUE!</v>
      </c>
      <c r="DV212" t="e">
        <f>Raw!M457+"h_l!)r:"</f>
        <v>#VALUE!</v>
      </c>
      <c r="DW212" t="e">
        <f>Raw!N457+"h_l!)r;"</f>
        <v>#VALUE!</v>
      </c>
      <c r="DX212" t="e">
        <f>Raw!O457+"h_l!)r&lt;"</f>
        <v>#VALUE!</v>
      </c>
      <c r="DY212" t="e">
        <f>Raw!P457+"h_l!)r="</f>
        <v>#VALUE!</v>
      </c>
      <c r="DZ212" t="e">
        <f>Raw!Q457+"h_l!)r&gt;"</f>
        <v>#VALUE!</v>
      </c>
      <c r="EA212" t="e">
        <f>Raw!R457+"h_l!)r?"</f>
        <v>#VALUE!</v>
      </c>
      <c r="EB212" t="e">
        <f>Raw!S457+"h_l!)r@"</f>
        <v>#VALUE!</v>
      </c>
      <c r="EC212" t="e">
        <f>Raw!T457+"h_l!)rA"</f>
        <v>#VALUE!</v>
      </c>
      <c r="ED212" t="e">
        <f>Raw!U457+"h_l!)rB"</f>
        <v>#VALUE!</v>
      </c>
      <c r="EE212" t="e">
        <f>Raw!V457+"h_l!)rC"</f>
        <v>#VALUE!</v>
      </c>
      <c r="EF212" t="e">
        <f>Raw!W457+"h_l!)rD"</f>
        <v>#VALUE!</v>
      </c>
      <c r="EG212" t="e">
        <f>Raw!A458+"h_l!)rE"</f>
        <v>#VALUE!</v>
      </c>
      <c r="EH212" t="e">
        <f>Raw!B458+"h_l!)rF"</f>
        <v>#VALUE!</v>
      </c>
      <c r="EI212" t="e">
        <f>Raw!C458+"h_l!)rG"</f>
        <v>#VALUE!</v>
      </c>
      <c r="EJ212" t="e">
        <f>Raw!D458+"h_l!)rH"</f>
        <v>#VALUE!</v>
      </c>
      <c r="EK212" t="e">
        <f>Raw!E458+"h_l!)rI"</f>
        <v>#VALUE!</v>
      </c>
      <c r="EL212" t="e">
        <f>Raw!#REF!+"h_l!)rJ"</f>
        <v>#REF!</v>
      </c>
      <c r="EM212" t="e">
        <f>Raw!G458+"h_l!)rK"</f>
        <v>#VALUE!</v>
      </c>
      <c r="EN212" t="e">
        <f>Raw!H458+"h_l!)rL"</f>
        <v>#VALUE!</v>
      </c>
      <c r="EO212" t="e">
        <f>Raw!I458+"h_l!)rM"</f>
        <v>#VALUE!</v>
      </c>
      <c r="EP212" t="e">
        <f>Raw!J458+"h_l!)rN"</f>
        <v>#VALUE!</v>
      </c>
      <c r="EQ212" t="e">
        <f>Raw!K458+"h_l!)rO"</f>
        <v>#VALUE!</v>
      </c>
      <c r="ER212" t="e">
        <f>Raw!L458+"h_l!)rP"</f>
        <v>#VALUE!</v>
      </c>
      <c r="ES212" t="e">
        <f>Raw!M458+"h_l!)rQ"</f>
        <v>#VALUE!</v>
      </c>
      <c r="ET212" t="e">
        <f>Raw!N458+"h_l!)rR"</f>
        <v>#VALUE!</v>
      </c>
      <c r="EU212" t="e">
        <f>Raw!O458+"h_l!)rS"</f>
        <v>#VALUE!</v>
      </c>
      <c r="EV212" t="e">
        <f>Raw!P458+"h_l!)rT"</f>
        <v>#VALUE!</v>
      </c>
      <c r="EW212" t="e">
        <f>Raw!Q458+"h_l!)rU"</f>
        <v>#VALUE!</v>
      </c>
      <c r="EX212" t="e">
        <f>Raw!R458+"h_l!)rV"</f>
        <v>#VALUE!</v>
      </c>
      <c r="EY212" t="e">
        <f>Raw!S458+"h_l!)rW"</f>
        <v>#VALUE!</v>
      </c>
      <c r="EZ212" t="e">
        <f>Raw!T458+"h_l!)rX"</f>
        <v>#VALUE!</v>
      </c>
      <c r="FA212" t="e">
        <f>Raw!U458+"h_l!)rY"</f>
        <v>#VALUE!</v>
      </c>
      <c r="FB212" t="e">
        <f>Raw!V458+"h_l!)rZ"</f>
        <v>#VALUE!</v>
      </c>
      <c r="FC212" t="e">
        <f>Raw!W458+"h_l!)r["</f>
        <v>#VALUE!</v>
      </c>
      <c r="FD212" t="e">
        <f>Raw!A459+"h_l!)r\"</f>
        <v>#VALUE!</v>
      </c>
      <c r="FE212" t="e">
        <f>Raw!B459+"h_l!)r]"</f>
        <v>#VALUE!</v>
      </c>
      <c r="FF212" t="e">
        <f>Raw!C459+"h_l!)r^"</f>
        <v>#VALUE!</v>
      </c>
      <c r="FG212" t="e">
        <f>Raw!D459+"h_l!)r_"</f>
        <v>#VALUE!</v>
      </c>
      <c r="FH212" t="e">
        <f>Raw!E459+"h_l!)r`"</f>
        <v>#VALUE!</v>
      </c>
      <c r="FI212" t="e">
        <f>Raw!#REF!+"h_l!)ra"</f>
        <v>#REF!</v>
      </c>
      <c r="FJ212" t="e">
        <f>Raw!G459+"h_l!)rb"</f>
        <v>#VALUE!</v>
      </c>
      <c r="FK212" t="e">
        <f>Raw!H459+"h_l!)rc"</f>
        <v>#VALUE!</v>
      </c>
      <c r="FL212" t="e">
        <f>Raw!I459+"h_l!)rd"</f>
        <v>#VALUE!</v>
      </c>
      <c r="FM212" t="e">
        <f>Raw!J459+"h_l!)re"</f>
        <v>#VALUE!</v>
      </c>
      <c r="FN212" t="e">
        <f>Raw!K459+"h_l!)rf"</f>
        <v>#VALUE!</v>
      </c>
      <c r="FO212" t="e">
        <f>Raw!L459+"h_l!)rg"</f>
        <v>#VALUE!</v>
      </c>
      <c r="FP212" t="e">
        <f>Raw!M459+"h_l!)rh"</f>
        <v>#VALUE!</v>
      </c>
      <c r="FQ212" t="e">
        <f>Raw!N459+"h_l!)ri"</f>
        <v>#VALUE!</v>
      </c>
      <c r="FR212" t="e">
        <f>Raw!O459+"h_l!)rj"</f>
        <v>#VALUE!</v>
      </c>
      <c r="FS212" t="e">
        <f>Raw!P459+"h_l!)rk"</f>
        <v>#VALUE!</v>
      </c>
      <c r="FT212" t="e">
        <f>Raw!Q459+"h_l!)rl"</f>
        <v>#VALUE!</v>
      </c>
      <c r="FU212" t="e">
        <f>Raw!R459+"h_l!)rm"</f>
        <v>#VALUE!</v>
      </c>
      <c r="FV212" t="e">
        <f>Raw!S459+"h_l!)rn"</f>
        <v>#VALUE!</v>
      </c>
      <c r="FW212" t="e">
        <f>Raw!T459+"h_l!)ro"</f>
        <v>#VALUE!</v>
      </c>
      <c r="FX212" t="e">
        <f>Raw!U459+"h_l!)rp"</f>
        <v>#VALUE!</v>
      </c>
      <c r="FY212" t="e">
        <f>Raw!V459+"h_l!)rq"</f>
        <v>#VALUE!</v>
      </c>
      <c r="FZ212" t="e">
        <f>Raw!W459+"h_l!)rr"</f>
        <v>#VALUE!</v>
      </c>
      <c r="GA212" t="e">
        <f>Raw!A460+"h_l!)rs"</f>
        <v>#VALUE!</v>
      </c>
      <c r="GB212" t="e">
        <f>Raw!B460+"h_l!)rt"</f>
        <v>#VALUE!</v>
      </c>
      <c r="GC212" t="e">
        <f>Raw!C460+"h_l!)ru"</f>
        <v>#VALUE!</v>
      </c>
      <c r="GD212" t="e">
        <f>Raw!D460+"h_l!)rv"</f>
        <v>#VALUE!</v>
      </c>
      <c r="GE212" t="e">
        <f>Raw!E460+"h_l!)rw"</f>
        <v>#VALUE!</v>
      </c>
      <c r="GF212" t="e">
        <f>Raw!#REF!+"h_l!)rx"</f>
        <v>#REF!</v>
      </c>
      <c r="GG212" t="e">
        <f>Raw!G460+"h_l!)ry"</f>
        <v>#VALUE!</v>
      </c>
      <c r="GH212" t="e">
        <f>Raw!H460+"h_l!)rz"</f>
        <v>#VALUE!</v>
      </c>
      <c r="GI212" t="e">
        <f>Raw!I460+"h_l!)r{"</f>
        <v>#VALUE!</v>
      </c>
      <c r="GJ212" t="e">
        <f>Raw!J460+"h_l!)r|"</f>
        <v>#VALUE!</v>
      </c>
      <c r="GK212" t="e">
        <f>Raw!K460+"h_l!)r}"</f>
        <v>#VALUE!</v>
      </c>
      <c r="GL212" t="e">
        <f>Raw!L460+"h_l!)r~"</f>
        <v>#VALUE!</v>
      </c>
      <c r="GM212" t="e">
        <f>Raw!M460+"h_l!)s#"</f>
        <v>#VALUE!</v>
      </c>
      <c r="GN212" t="e">
        <f>Raw!N460+"h_l!)s$"</f>
        <v>#VALUE!</v>
      </c>
      <c r="GO212" t="e">
        <f>Raw!O460+"h_l!)s%"</f>
        <v>#VALUE!</v>
      </c>
      <c r="GP212" t="e">
        <f>Raw!P460+"h_l!)s&amp;"</f>
        <v>#VALUE!</v>
      </c>
      <c r="GQ212" t="e">
        <f>Raw!Q460+"h_l!)s'"</f>
        <v>#VALUE!</v>
      </c>
      <c r="GR212" t="e">
        <f>Raw!R460+"h_l!)s("</f>
        <v>#VALUE!</v>
      </c>
      <c r="GS212" t="e">
        <f>Raw!S460+"h_l!)s)"</f>
        <v>#VALUE!</v>
      </c>
      <c r="GT212" t="e">
        <f>Raw!T460+"h_l!)s."</f>
        <v>#VALUE!</v>
      </c>
      <c r="GU212" t="e">
        <f>Raw!U460+"h_l!)s/"</f>
        <v>#VALUE!</v>
      </c>
      <c r="GV212" t="e">
        <f>Raw!V460+"h_l!)s0"</f>
        <v>#VALUE!</v>
      </c>
      <c r="GW212" t="e">
        <f>Raw!W460+"h_l!)s1"</f>
        <v>#VALUE!</v>
      </c>
      <c r="GX212" t="e">
        <f>Raw!A461+"h_l!)s2"</f>
        <v>#VALUE!</v>
      </c>
      <c r="GY212" t="e">
        <f>Raw!B461+"h_l!)s3"</f>
        <v>#VALUE!</v>
      </c>
      <c r="GZ212" t="e">
        <f>Raw!C461+"h_l!)s4"</f>
        <v>#VALUE!</v>
      </c>
      <c r="HA212" t="e">
        <f>Raw!D461+"h_l!)s5"</f>
        <v>#VALUE!</v>
      </c>
      <c r="HB212" t="e">
        <f>Raw!E461+"h_l!)s6"</f>
        <v>#VALUE!</v>
      </c>
      <c r="HC212" t="e">
        <f>Raw!#REF!+"h_l!)s7"</f>
        <v>#REF!</v>
      </c>
      <c r="HD212" t="e">
        <f>Raw!G461+"h_l!)s8"</f>
        <v>#VALUE!</v>
      </c>
      <c r="HE212" t="e">
        <f>Raw!H461+"h_l!)s9"</f>
        <v>#VALUE!</v>
      </c>
      <c r="HF212" t="e">
        <f>Raw!I461+"h_l!)s:"</f>
        <v>#VALUE!</v>
      </c>
      <c r="HG212" t="e">
        <f>Raw!J461+"h_l!)s;"</f>
        <v>#VALUE!</v>
      </c>
      <c r="HH212" t="e">
        <f>Raw!K461+"h_l!)s&lt;"</f>
        <v>#VALUE!</v>
      </c>
      <c r="HI212" t="e">
        <f>Raw!L461+"h_l!)s="</f>
        <v>#VALUE!</v>
      </c>
      <c r="HJ212" t="e">
        <f>Raw!M461+"h_l!)s&gt;"</f>
        <v>#VALUE!</v>
      </c>
      <c r="HK212" t="e">
        <f>Raw!N461+"h_l!)s?"</f>
        <v>#VALUE!</v>
      </c>
      <c r="HL212" t="e">
        <f>Raw!O461+"h_l!)s@"</f>
        <v>#VALUE!</v>
      </c>
      <c r="HM212" t="e">
        <f>Raw!P461+"h_l!)sA"</f>
        <v>#VALUE!</v>
      </c>
      <c r="HN212" t="e">
        <f>Raw!Q461+"h_l!)sB"</f>
        <v>#VALUE!</v>
      </c>
      <c r="HO212" t="e">
        <f>Raw!R461+"h_l!)sC"</f>
        <v>#VALUE!</v>
      </c>
      <c r="HP212" t="e">
        <f>Raw!S461+"h_l!)sD"</f>
        <v>#VALUE!</v>
      </c>
      <c r="HQ212" t="e">
        <f>Raw!T461+"h_l!)sE"</f>
        <v>#VALUE!</v>
      </c>
      <c r="HR212" t="e">
        <f>Raw!U461+"h_l!)sF"</f>
        <v>#VALUE!</v>
      </c>
      <c r="HS212" t="e">
        <f>Raw!V461+"h_l!)sG"</f>
        <v>#VALUE!</v>
      </c>
      <c r="HT212" t="e">
        <f>Raw!W461+"h_l!)sH"</f>
        <v>#VALUE!</v>
      </c>
      <c r="HU212" t="e">
        <f>Raw!A462+"h_l!)sI"</f>
        <v>#VALUE!</v>
      </c>
      <c r="HV212" t="e">
        <f>Raw!B462+"h_l!)sJ"</f>
        <v>#VALUE!</v>
      </c>
      <c r="HW212" t="e">
        <f>Raw!C462+"h_l!)sK"</f>
        <v>#VALUE!</v>
      </c>
      <c r="HX212" t="e">
        <f>Raw!D462+"h_l!)sL"</f>
        <v>#VALUE!</v>
      </c>
      <c r="HY212" t="e">
        <f>Raw!E462+"h_l!)sM"</f>
        <v>#VALUE!</v>
      </c>
      <c r="HZ212" t="e">
        <f>Raw!#REF!+"h_l!)sN"</f>
        <v>#REF!</v>
      </c>
      <c r="IA212" t="e">
        <f>Raw!G462+"h_l!)sO"</f>
        <v>#VALUE!</v>
      </c>
      <c r="IB212" t="e">
        <f>Raw!H462+"h_l!)sP"</f>
        <v>#VALUE!</v>
      </c>
      <c r="IC212" t="e">
        <f>Raw!I462+"h_l!)sQ"</f>
        <v>#VALUE!</v>
      </c>
      <c r="ID212" t="e">
        <f>Raw!J462+"h_l!)sR"</f>
        <v>#VALUE!</v>
      </c>
      <c r="IE212" t="e">
        <f>Raw!K462+"h_l!)sS"</f>
        <v>#VALUE!</v>
      </c>
      <c r="IF212" t="e">
        <f>Raw!L462+"h_l!)sT"</f>
        <v>#VALUE!</v>
      </c>
      <c r="IG212" t="e">
        <f>Raw!M462+"h_l!)sU"</f>
        <v>#VALUE!</v>
      </c>
      <c r="IH212" t="e">
        <f>Raw!N462+"h_l!)sV"</f>
        <v>#VALUE!</v>
      </c>
      <c r="II212" t="e">
        <f>Raw!O462+"h_l!)sW"</f>
        <v>#VALUE!</v>
      </c>
      <c r="IJ212" t="e">
        <f>Raw!P462+"h_l!)sX"</f>
        <v>#VALUE!</v>
      </c>
      <c r="IK212" t="e">
        <f>Raw!Q462+"h_l!)sY"</f>
        <v>#VALUE!</v>
      </c>
      <c r="IL212" t="e">
        <f>Raw!R462+"h_l!)sZ"</f>
        <v>#VALUE!</v>
      </c>
      <c r="IM212" t="e">
        <f>Raw!S462+"h_l!)s["</f>
        <v>#VALUE!</v>
      </c>
      <c r="IN212" t="e">
        <f>Raw!T462+"h_l!)s\"</f>
        <v>#VALUE!</v>
      </c>
      <c r="IO212" t="e">
        <f>Raw!U462+"h_l!)s]"</f>
        <v>#VALUE!</v>
      </c>
      <c r="IP212" t="e">
        <f>Raw!V462+"h_l!)s^"</f>
        <v>#VALUE!</v>
      </c>
      <c r="IQ212" t="e">
        <f>Raw!W462+"h_l!)s_"</f>
        <v>#VALUE!</v>
      </c>
      <c r="IR212" t="e">
        <f>Raw!A463+"h_l!)s`"</f>
        <v>#VALUE!</v>
      </c>
      <c r="IS212" t="e">
        <f>Raw!B463+"h_l!)sa"</f>
        <v>#VALUE!</v>
      </c>
      <c r="IT212" t="e">
        <f>Raw!C463+"h_l!)sb"</f>
        <v>#VALUE!</v>
      </c>
      <c r="IU212" t="e">
        <f>Raw!D463+"h_l!)sc"</f>
        <v>#VALUE!</v>
      </c>
      <c r="IV212" t="e">
        <f>Raw!E463+"h_l!)sd"</f>
        <v>#VALUE!</v>
      </c>
    </row>
    <row r="213" spans="6:256" x14ac:dyDescent="0.25">
      <c r="F213" t="e">
        <f>Raw!#REF!+"h_l!)se"</f>
        <v>#REF!</v>
      </c>
      <c r="G213" t="e">
        <f>Raw!G463+"h_l!)sf"</f>
        <v>#VALUE!</v>
      </c>
      <c r="H213" t="e">
        <f>Raw!H463+"h_l!)sg"</f>
        <v>#VALUE!</v>
      </c>
      <c r="I213" t="e">
        <f>Raw!I463+"h_l!)sh"</f>
        <v>#VALUE!</v>
      </c>
      <c r="J213" t="e">
        <f>Raw!J463+"h_l!)si"</f>
        <v>#VALUE!</v>
      </c>
      <c r="K213" t="e">
        <f>Raw!K463+"h_l!)sj"</f>
        <v>#VALUE!</v>
      </c>
      <c r="L213" t="e">
        <f>Raw!L463+"h_l!)sk"</f>
        <v>#VALUE!</v>
      </c>
      <c r="M213" t="e">
        <f>Raw!M463+"h_l!)sl"</f>
        <v>#VALUE!</v>
      </c>
      <c r="N213" t="e">
        <f>Raw!N463+"h_l!)sm"</f>
        <v>#VALUE!</v>
      </c>
      <c r="O213" t="e">
        <f>Raw!O463+"h_l!)sn"</f>
        <v>#VALUE!</v>
      </c>
      <c r="P213" t="e">
        <f>Raw!P463+"h_l!)so"</f>
        <v>#VALUE!</v>
      </c>
      <c r="Q213" t="e">
        <f>Raw!Q463+"h_l!)sp"</f>
        <v>#VALUE!</v>
      </c>
      <c r="R213" t="e">
        <f>Raw!R463+"h_l!)sq"</f>
        <v>#VALUE!</v>
      </c>
      <c r="S213" t="e">
        <f>Raw!S463+"h_l!)sr"</f>
        <v>#VALUE!</v>
      </c>
      <c r="T213" t="e">
        <f>Raw!T463+"h_l!)ss"</f>
        <v>#VALUE!</v>
      </c>
      <c r="U213" t="e">
        <f>Raw!U463+"h_l!)st"</f>
        <v>#VALUE!</v>
      </c>
      <c r="V213" t="e">
        <f>Raw!V463+"h_l!)su"</f>
        <v>#VALUE!</v>
      </c>
      <c r="W213" t="e">
        <f>Raw!W463+"h_l!)sv"</f>
        <v>#VALUE!</v>
      </c>
      <c r="X213" t="e">
        <f>Raw!A464+"h_l!)sw"</f>
        <v>#VALUE!</v>
      </c>
      <c r="Y213" t="e">
        <f>Raw!B464+"h_l!)sx"</f>
        <v>#VALUE!</v>
      </c>
      <c r="Z213" t="e">
        <f>Raw!C464+"h_l!)sy"</f>
        <v>#VALUE!</v>
      </c>
      <c r="AA213" t="e">
        <f>Raw!D464+"h_l!)sz"</f>
        <v>#VALUE!</v>
      </c>
      <c r="AB213" t="e">
        <f>Raw!E464+"h_l!)s{"</f>
        <v>#VALUE!</v>
      </c>
      <c r="AC213" t="e">
        <f>Raw!#REF!+"h_l!)s|"</f>
        <v>#REF!</v>
      </c>
      <c r="AD213" t="e">
        <f>Raw!G464+"h_l!)s}"</f>
        <v>#VALUE!</v>
      </c>
      <c r="AE213" t="e">
        <f>Raw!H464+"h_l!)s~"</f>
        <v>#VALUE!</v>
      </c>
      <c r="AF213" t="e">
        <f>Raw!I464+"h_l!)t#"</f>
        <v>#VALUE!</v>
      </c>
      <c r="AG213" t="e">
        <f>Raw!J464+"h_l!)t$"</f>
        <v>#VALUE!</v>
      </c>
      <c r="AH213" t="e">
        <f>Raw!K464+"h_l!)t%"</f>
        <v>#VALUE!</v>
      </c>
      <c r="AI213" t="e">
        <f>Raw!L464+"h_l!)t&amp;"</f>
        <v>#VALUE!</v>
      </c>
      <c r="AJ213" t="e">
        <f>Raw!M464+"h_l!)t'"</f>
        <v>#VALUE!</v>
      </c>
      <c r="AK213" t="e">
        <f>Raw!N464+"h_l!)t("</f>
        <v>#VALUE!</v>
      </c>
      <c r="AL213" t="e">
        <f>Raw!O464+"h_l!)t)"</f>
        <v>#VALUE!</v>
      </c>
      <c r="AM213" t="e">
        <f>Raw!P464+"h_l!)t."</f>
        <v>#VALUE!</v>
      </c>
      <c r="AN213" t="e">
        <f>Raw!Q464+"h_l!)t/"</f>
        <v>#VALUE!</v>
      </c>
      <c r="AO213" t="e">
        <f>Raw!R464+"h_l!)t0"</f>
        <v>#VALUE!</v>
      </c>
      <c r="AP213" t="e">
        <f>Raw!S464+"h_l!)t1"</f>
        <v>#VALUE!</v>
      </c>
      <c r="AQ213" t="e">
        <f>Raw!T464+"h_l!)t2"</f>
        <v>#VALUE!</v>
      </c>
      <c r="AR213" t="e">
        <f>Raw!U464+"h_l!)t3"</f>
        <v>#VALUE!</v>
      </c>
      <c r="AS213" t="e">
        <f>Raw!V464+"h_l!)t4"</f>
        <v>#VALUE!</v>
      </c>
      <c r="AT213" t="e">
        <f>Raw!W464+"h_l!)t5"</f>
        <v>#VALUE!</v>
      </c>
      <c r="AU213" t="e">
        <f>Raw!A465+"h_l!)t6"</f>
        <v>#VALUE!</v>
      </c>
      <c r="AV213" t="e">
        <f>Raw!B465+"h_l!)t7"</f>
        <v>#VALUE!</v>
      </c>
      <c r="AW213" t="e">
        <f>Raw!C465+"h_l!)t8"</f>
        <v>#VALUE!</v>
      </c>
      <c r="AX213" t="e">
        <f>Raw!D465+"h_l!)t9"</f>
        <v>#VALUE!</v>
      </c>
      <c r="AY213" t="e">
        <f>Raw!E465+"h_l!)t:"</f>
        <v>#VALUE!</v>
      </c>
      <c r="AZ213" t="e">
        <f>Raw!#REF!+"h_l!)t;"</f>
        <v>#REF!</v>
      </c>
      <c r="BA213" t="e">
        <f>Raw!G465+"h_l!)t&lt;"</f>
        <v>#VALUE!</v>
      </c>
      <c r="BB213" t="e">
        <f>Raw!H465+"h_l!)t="</f>
        <v>#VALUE!</v>
      </c>
      <c r="BC213" t="e">
        <f>Raw!I465+"h_l!)t&gt;"</f>
        <v>#VALUE!</v>
      </c>
      <c r="BD213" t="e">
        <f>Raw!J465+"h_l!)t?"</f>
        <v>#VALUE!</v>
      </c>
      <c r="BE213" t="e">
        <f>Raw!K465+"h_l!)t@"</f>
        <v>#VALUE!</v>
      </c>
      <c r="BF213" t="e">
        <f>Raw!L465+"h_l!)tA"</f>
        <v>#VALUE!</v>
      </c>
      <c r="BG213" t="e">
        <f>Raw!M465+"h_l!)tB"</f>
        <v>#VALUE!</v>
      </c>
      <c r="BH213" t="e">
        <f>Raw!N465+"h_l!)tC"</f>
        <v>#VALUE!</v>
      </c>
      <c r="BI213" t="e">
        <f>Raw!O465+"h_l!)tD"</f>
        <v>#VALUE!</v>
      </c>
      <c r="BJ213" t="e">
        <f>Raw!P465+"h_l!)tE"</f>
        <v>#VALUE!</v>
      </c>
      <c r="BK213" t="e">
        <f>Raw!Q465+"h_l!)tF"</f>
        <v>#VALUE!</v>
      </c>
      <c r="BL213" t="e">
        <f>Raw!R465+"h_l!)tG"</f>
        <v>#VALUE!</v>
      </c>
      <c r="BM213" t="e">
        <f>Raw!S465+"h_l!)tH"</f>
        <v>#VALUE!</v>
      </c>
      <c r="BN213" t="e">
        <f>Raw!T465+"h_l!)tI"</f>
        <v>#VALUE!</v>
      </c>
      <c r="BO213" t="e">
        <f>Raw!U465+"h_l!)tJ"</f>
        <v>#VALUE!</v>
      </c>
      <c r="BP213" t="e">
        <f>Raw!V465+"h_l!)tK"</f>
        <v>#VALUE!</v>
      </c>
      <c r="BQ213" t="e">
        <f>Raw!W465+"h_l!)tL"</f>
        <v>#VALUE!</v>
      </c>
      <c r="BR213" t="e">
        <f>Raw!A466+"h_l!)tM"</f>
        <v>#VALUE!</v>
      </c>
      <c r="BS213" t="e">
        <f>Raw!B466+"h_l!)tN"</f>
        <v>#VALUE!</v>
      </c>
      <c r="BT213" t="e">
        <f>Raw!C466+"h_l!)tO"</f>
        <v>#VALUE!</v>
      </c>
      <c r="BU213" t="e">
        <f>Raw!D466+"h_l!)tP"</f>
        <v>#VALUE!</v>
      </c>
      <c r="BV213" t="e">
        <f>Raw!E466+"h_l!)tQ"</f>
        <v>#VALUE!</v>
      </c>
      <c r="BW213" t="e">
        <f>Raw!#REF!+"h_l!)tR"</f>
        <v>#REF!</v>
      </c>
      <c r="BX213" t="e">
        <f>Raw!G466+"h_l!)tS"</f>
        <v>#VALUE!</v>
      </c>
      <c r="BY213" t="e">
        <f>Raw!H466+"h_l!)tT"</f>
        <v>#VALUE!</v>
      </c>
      <c r="BZ213" t="e">
        <f>Raw!I466+"h_l!)tU"</f>
        <v>#VALUE!</v>
      </c>
      <c r="CA213" t="e">
        <f>Raw!J466+"h_l!)tV"</f>
        <v>#VALUE!</v>
      </c>
      <c r="CB213" t="e">
        <f>Raw!K466+"h_l!)tW"</f>
        <v>#VALUE!</v>
      </c>
      <c r="CC213" t="e">
        <f>Raw!L466+"h_l!)tX"</f>
        <v>#VALUE!</v>
      </c>
      <c r="CD213" t="e">
        <f>Raw!M466+"h_l!)tY"</f>
        <v>#VALUE!</v>
      </c>
      <c r="CE213" t="e">
        <f>Raw!N466+"h_l!)tZ"</f>
        <v>#VALUE!</v>
      </c>
      <c r="CF213" t="e">
        <f>Raw!O466+"h_l!)t["</f>
        <v>#VALUE!</v>
      </c>
      <c r="CG213" t="e">
        <f>Raw!P466+"h_l!)t\"</f>
        <v>#VALUE!</v>
      </c>
      <c r="CH213" t="e">
        <f>Raw!Q466+"h_l!)t]"</f>
        <v>#VALUE!</v>
      </c>
      <c r="CI213" t="e">
        <f>Raw!R466+"h_l!)t^"</f>
        <v>#VALUE!</v>
      </c>
      <c r="CJ213" t="e">
        <f>Raw!S466+"h_l!)t_"</f>
        <v>#VALUE!</v>
      </c>
      <c r="CK213" t="e">
        <f>Raw!T466+"h_l!)t`"</f>
        <v>#VALUE!</v>
      </c>
      <c r="CL213" t="e">
        <f>Raw!U466+"h_l!)ta"</f>
        <v>#VALUE!</v>
      </c>
      <c r="CM213" t="e">
        <f>Raw!V466+"h_l!)tb"</f>
        <v>#VALUE!</v>
      </c>
      <c r="CN213" t="e">
        <f>Raw!W466+"h_l!)tc"</f>
        <v>#VALUE!</v>
      </c>
      <c r="CO213" t="e">
        <f>Raw!A467+"h_l!)td"</f>
        <v>#VALUE!</v>
      </c>
      <c r="CP213" t="e">
        <f>Raw!B467+"h_l!)te"</f>
        <v>#VALUE!</v>
      </c>
      <c r="CQ213" t="e">
        <f>Raw!C467+"h_l!)tf"</f>
        <v>#VALUE!</v>
      </c>
      <c r="CR213" t="e">
        <f>Raw!D467+"h_l!)tg"</f>
        <v>#VALUE!</v>
      </c>
      <c r="CS213" t="e">
        <f>Raw!E467+"h_l!)th"</f>
        <v>#VALUE!</v>
      </c>
      <c r="CT213" t="e">
        <f>Raw!#REF!+"h_l!)ti"</f>
        <v>#REF!</v>
      </c>
      <c r="CU213" t="e">
        <f>Raw!G467+"h_l!)tj"</f>
        <v>#VALUE!</v>
      </c>
      <c r="CV213" t="e">
        <f>Raw!H467+"h_l!)tk"</f>
        <v>#VALUE!</v>
      </c>
      <c r="CW213" t="e">
        <f>Raw!I467+"h_l!)tl"</f>
        <v>#VALUE!</v>
      </c>
      <c r="CX213" t="e">
        <f>Raw!J467+"h_l!)tm"</f>
        <v>#VALUE!</v>
      </c>
      <c r="CY213" t="e">
        <f>Raw!K467+"h_l!)tn"</f>
        <v>#VALUE!</v>
      </c>
      <c r="CZ213" t="e">
        <f>Raw!L467+"h_l!)to"</f>
        <v>#VALUE!</v>
      </c>
      <c r="DA213" t="e">
        <f>Raw!M467+"h_l!)tp"</f>
        <v>#VALUE!</v>
      </c>
      <c r="DB213" t="e">
        <f>Raw!N467+"h_l!)tq"</f>
        <v>#VALUE!</v>
      </c>
      <c r="DC213" t="e">
        <f>Raw!O467+"h_l!)tr"</f>
        <v>#VALUE!</v>
      </c>
      <c r="DD213" t="e">
        <f>Raw!P467+"h_l!)ts"</f>
        <v>#VALUE!</v>
      </c>
      <c r="DE213" t="e">
        <f>Raw!Q467+"h_l!)tt"</f>
        <v>#VALUE!</v>
      </c>
      <c r="DF213" t="e">
        <f>Raw!R467+"h_l!)tu"</f>
        <v>#VALUE!</v>
      </c>
      <c r="DG213" t="e">
        <f>Raw!S467+"h_l!)tv"</f>
        <v>#VALUE!</v>
      </c>
      <c r="DH213" t="e">
        <f>Raw!T467+"h_l!)tw"</f>
        <v>#VALUE!</v>
      </c>
      <c r="DI213" t="e">
        <f>Raw!U467+"h_l!)tx"</f>
        <v>#VALUE!</v>
      </c>
      <c r="DJ213" t="e">
        <f>Raw!V467+"h_l!)ty"</f>
        <v>#VALUE!</v>
      </c>
      <c r="DK213" t="e">
        <f>Raw!W467+"h_l!)tz"</f>
        <v>#VALUE!</v>
      </c>
      <c r="DL213" t="e">
        <f>Raw!A468+"h_l!)t{"</f>
        <v>#VALUE!</v>
      </c>
      <c r="DM213" t="e">
        <f>Raw!B468+"h_l!)t|"</f>
        <v>#VALUE!</v>
      </c>
      <c r="DN213" t="e">
        <f>Raw!C468+"h_l!)t}"</f>
        <v>#VALUE!</v>
      </c>
      <c r="DO213" t="e">
        <f>Raw!D468+"h_l!)t~"</f>
        <v>#VALUE!</v>
      </c>
      <c r="DP213" t="e">
        <f>Raw!E468+"h_l!)u#"</f>
        <v>#VALUE!</v>
      </c>
      <c r="DQ213" t="e">
        <f>Raw!#REF!+"h_l!)u$"</f>
        <v>#REF!</v>
      </c>
      <c r="DR213" t="e">
        <f>Raw!G468+"h_l!)u%"</f>
        <v>#VALUE!</v>
      </c>
      <c r="DS213" t="e">
        <f>Raw!H468+"h_l!)u&amp;"</f>
        <v>#VALUE!</v>
      </c>
      <c r="DT213" t="e">
        <f>Raw!I468+"h_l!)u'"</f>
        <v>#VALUE!</v>
      </c>
      <c r="DU213" t="e">
        <f>Raw!J468+"h_l!)u("</f>
        <v>#VALUE!</v>
      </c>
      <c r="DV213" t="e">
        <f>Raw!K468+"h_l!)u)"</f>
        <v>#VALUE!</v>
      </c>
      <c r="DW213" t="e">
        <f>Raw!L468+"h_l!)u."</f>
        <v>#VALUE!</v>
      </c>
      <c r="DX213" t="e">
        <f>Raw!M468+"h_l!)u/"</f>
        <v>#VALUE!</v>
      </c>
      <c r="DY213" t="e">
        <f>Raw!N468+"h_l!)u0"</f>
        <v>#VALUE!</v>
      </c>
      <c r="DZ213" t="e">
        <f>Raw!O468+"h_l!)u1"</f>
        <v>#VALUE!</v>
      </c>
      <c r="EA213" t="e">
        <f>Raw!P468+"h_l!)u2"</f>
        <v>#VALUE!</v>
      </c>
      <c r="EB213" t="e">
        <f>Raw!Q468+"h_l!)u3"</f>
        <v>#VALUE!</v>
      </c>
      <c r="EC213" t="e">
        <f>Raw!R468+"h_l!)u4"</f>
        <v>#VALUE!</v>
      </c>
      <c r="ED213" t="e">
        <f>Raw!S468+"h_l!)u5"</f>
        <v>#VALUE!</v>
      </c>
      <c r="EE213" t="e">
        <f>Raw!T468+"h_l!)u6"</f>
        <v>#VALUE!</v>
      </c>
      <c r="EF213" t="e">
        <f>Raw!U468+"h_l!)u7"</f>
        <v>#VALUE!</v>
      </c>
      <c r="EG213" t="e">
        <f>Raw!V468+"h_l!)u8"</f>
        <v>#VALUE!</v>
      </c>
      <c r="EH213" t="e">
        <f>Raw!W468+"h_l!)u9"</f>
        <v>#VALUE!</v>
      </c>
      <c r="EI213" t="e">
        <f>Raw!A469+"h_l!)u:"</f>
        <v>#VALUE!</v>
      </c>
      <c r="EJ213" t="e">
        <f>Raw!B469+"h_l!)u;"</f>
        <v>#VALUE!</v>
      </c>
      <c r="EK213" t="e">
        <f>Raw!C469+"h_l!)u&lt;"</f>
        <v>#VALUE!</v>
      </c>
      <c r="EL213" t="e">
        <f>Raw!D469+"h_l!)u="</f>
        <v>#VALUE!</v>
      </c>
      <c r="EM213" t="e">
        <f>Raw!E469+"h_l!)u&gt;"</f>
        <v>#VALUE!</v>
      </c>
      <c r="EN213" t="e">
        <f>Raw!#REF!+"h_l!)u?"</f>
        <v>#REF!</v>
      </c>
      <c r="EO213" t="e">
        <f>Raw!G469+"h_l!)u@"</f>
        <v>#VALUE!</v>
      </c>
      <c r="EP213" t="e">
        <f>Raw!H469+"h_l!)uA"</f>
        <v>#VALUE!</v>
      </c>
      <c r="EQ213" t="e">
        <f>Raw!I469+"h_l!)uB"</f>
        <v>#VALUE!</v>
      </c>
      <c r="ER213" t="e">
        <f>Raw!J469+"h_l!)uC"</f>
        <v>#VALUE!</v>
      </c>
      <c r="ES213" t="e">
        <f>Raw!K469+"h_l!)uD"</f>
        <v>#VALUE!</v>
      </c>
      <c r="ET213" t="e">
        <f>Raw!L469+"h_l!)uE"</f>
        <v>#VALUE!</v>
      </c>
      <c r="EU213" t="e">
        <f>Raw!M469+"h_l!)uF"</f>
        <v>#VALUE!</v>
      </c>
      <c r="EV213" t="e">
        <f>Raw!N469+"h_l!)uG"</f>
        <v>#VALUE!</v>
      </c>
      <c r="EW213" t="e">
        <f>Raw!O469+"h_l!)uH"</f>
        <v>#VALUE!</v>
      </c>
      <c r="EX213" t="e">
        <f>Raw!P469+"h_l!)uI"</f>
        <v>#VALUE!</v>
      </c>
      <c r="EY213" t="e">
        <f>Raw!Q469+"h_l!)uJ"</f>
        <v>#VALUE!</v>
      </c>
      <c r="EZ213" t="e">
        <f>Raw!R469+"h_l!)uK"</f>
        <v>#VALUE!</v>
      </c>
      <c r="FA213" t="e">
        <f>Raw!S469+"h_l!)uL"</f>
        <v>#VALUE!</v>
      </c>
      <c r="FB213" t="e">
        <f>Raw!T469+"h_l!)uM"</f>
        <v>#VALUE!</v>
      </c>
      <c r="FC213" t="e">
        <f>Raw!U469+"h_l!)uN"</f>
        <v>#VALUE!</v>
      </c>
      <c r="FD213" t="e">
        <f>Raw!V469+"h_l!)uO"</f>
        <v>#VALUE!</v>
      </c>
      <c r="FE213" t="e">
        <f>Raw!W469+"h_l!)uP"</f>
        <v>#VALUE!</v>
      </c>
      <c r="FF213" t="e">
        <f>Raw!A470+"h_l!)uQ"</f>
        <v>#VALUE!</v>
      </c>
      <c r="FG213" t="e">
        <f>Raw!B470+"h_l!)uR"</f>
        <v>#VALUE!</v>
      </c>
      <c r="FH213" t="e">
        <f>Raw!C470+"h_l!)uS"</f>
        <v>#VALUE!</v>
      </c>
      <c r="FI213" t="e">
        <f>Raw!D470+"h_l!)uT"</f>
        <v>#VALUE!</v>
      </c>
      <c r="FJ213" t="e">
        <f>Raw!E470+"h_l!)uU"</f>
        <v>#VALUE!</v>
      </c>
      <c r="FK213" t="e">
        <f>Raw!#REF!+"h_l!)uV"</f>
        <v>#REF!</v>
      </c>
      <c r="FL213" t="e">
        <f>Raw!G470+"h_l!)uW"</f>
        <v>#VALUE!</v>
      </c>
      <c r="FM213" t="e">
        <f>Raw!H470+"h_l!)uX"</f>
        <v>#VALUE!</v>
      </c>
      <c r="FN213" t="e">
        <f>Raw!I470+"h_l!)uY"</f>
        <v>#VALUE!</v>
      </c>
      <c r="FO213" t="e">
        <f>Raw!J470+"h_l!)uZ"</f>
        <v>#VALUE!</v>
      </c>
      <c r="FP213" t="e">
        <f>Raw!K470+"h_l!)u["</f>
        <v>#VALUE!</v>
      </c>
      <c r="FQ213" t="e">
        <f>Raw!L470+"h_l!)u\"</f>
        <v>#VALUE!</v>
      </c>
      <c r="FR213" t="e">
        <f>Raw!M470+"h_l!)u]"</f>
        <v>#VALUE!</v>
      </c>
      <c r="FS213" t="e">
        <f>Raw!N470+"h_l!)u^"</f>
        <v>#VALUE!</v>
      </c>
      <c r="FT213" t="e">
        <f>Raw!O470+"h_l!)u_"</f>
        <v>#VALUE!</v>
      </c>
      <c r="FU213" t="e">
        <f>Raw!P470+"h_l!)u`"</f>
        <v>#VALUE!</v>
      </c>
      <c r="FV213" t="e">
        <f>Raw!Q470+"h_l!)ua"</f>
        <v>#VALUE!</v>
      </c>
      <c r="FW213" t="e">
        <f>Raw!R470+"h_l!)ub"</f>
        <v>#VALUE!</v>
      </c>
      <c r="FX213" t="e">
        <f>Raw!S470+"h_l!)uc"</f>
        <v>#VALUE!</v>
      </c>
      <c r="FY213" t="e">
        <f>Raw!T470+"h_l!)ud"</f>
        <v>#VALUE!</v>
      </c>
      <c r="FZ213" t="e">
        <f>Raw!U470+"h_l!)ue"</f>
        <v>#VALUE!</v>
      </c>
      <c r="GA213" t="e">
        <f>Raw!V470+"h_l!)uf"</f>
        <v>#VALUE!</v>
      </c>
      <c r="GB213" t="e">
        <f>Raw!W470+"h_l!)ug"</f>
        <v>#VALUE!</v>
      </c>
      <c r="GC213" t="e">
        <f>Raw!A471+"h_l!)uh"</f>
        <v>#VALUE!</v>
      </c>
      <c r="GD213" t="e">
        <f>Raw!B471+"h_l!)ui"</f>
        <v>#VALUE!</v>
      </c>
      <c r="GE213" t="e">
        <f>Raw!C471+"h_l!)uj"</f>
        <v>#VALUE!</v>
      </c>
      <c r="GF213" t="e">
        <f>Raw!D471+"h_l!)uk"</f>
        <v>#VALUE!</v>
      </c>
      <c r="GG213" t="e">
        <f>Raw!E471+"h_l!)ul"</f>
        <v>#VALUE!</v>
      </c>
      <c r="GH213" t="e">
        <f>Raw!#REF!+"h_l!)um"</f>
        <v>#REF!</v>
      </c>
      <c r="GI213" t="e">
        <f>Raw!G471+"h_l!)un"</f>
        <v>#VALUE!</v>
      </c>
      <c r="GJ213" t="e">
        <f>Raw!H471+"h_l!)uo"</f>
        <v>#VALUE!</v>
      </c>
      <c r="GK213" t="e">
        <f>Raw!I471+"h_l!)up"</f>
        <v>#VALUE!</v>
      </c>
      <c r="GL213" t="e">
        <f>Raw!J471+"h_l!)uq"</f>
        <v>#VALUE!</v>
      </c>
      <c r="GM213" t="e">
        <f>Raw!K471+"h_l!)ur"</f>
        <v>#VALUE!</v>
      </c>
      <c r="GN213" t="e">
        <f>Raw!L471+"h_l!)us"</f>
        <v>#VALUE!</v>
      </c>
      <c r="GO213" t="e">
        <f>Raw!M471+"h_l!)ut"</f>
        <v>#VALUE!</v>
      </c>
      <c r="GP213" t="e">
        <f>Raw!N471+"h_l!)uu"</f>
        <v>#VALUE!</v>
      </c>
      <c r="GQ213" t="e">
        <f>Raw!O471+"h_l!)uv"</f>
        <v>#VALUE!</v>
      </c>
      <c r="GR213" t="e">
        <f>Raw!P471+"h_l!)uw"</f>
        <v>#VALUE!</v>
      </c>
      <c r="GS213" t="e">
        <f>Raw!Q471+"h_l!)ux"</f>
        <v>#VALUE!</v>
      </c>
      <c r="GT213" t="e">
        <f>Raw!R471+"h_l!)uy"</f>
        <v>#VALUE!</v>
      </c>
      <c r="GU213" t="e">
        <f>Raw!S471+"h_l!)uz"</f>
        <v>#VALUE!</v>
      </c>
      <c r="GV213" t="e">
        <f>Raw!T471+"h_l!)u{"</f>
        <v>#VALUE!</v>
      </c>
      <c r="GW213" t="e">
        <f>Raw!U471+"h_l!)u|"</f>
        <v>#VALUE!</v>
      </c>
      <c r="GX213" t="e">
        <f>Raw!V471+"h_l!)u}"</f>
        <v>#VALUE!</v>
      </c>
      <c r="GY213" t="e">
        <f>Raw!W471+"h_l!)u~"</f>
        <v>#VALUE!</v>
      </c>
      <c r="GZ213" t="e">
        <f>Raw!A472+"h_l!)v#"</f>
        <v>#VALUE!</v>
      </c>
      <c r="HA213" t="e">
        <f>Raw!B472+"h_l!)v$"</f>
        <v>#VALUE!</v>
      </c>
      <c r="HB213" t="e">
        <f>Raw!C472+"h_l!)v%"</f>
        <v>#VALUE!</v>
      </c>
      <c r="HC213" t="e">
        <f>Raw!D472+"h_l!)v&amp;"</f>
        <v>#VALUE!</v>
      </c>
      <c r="HD213" t="e">
        <f>Raw!E472+"h_l!)v'"</f>
        <v>#VALUE!</v>
      </c>
      <c r="HE213" t="e">
        <f>Raw!#REF!+"h_l!)v("</f>
        <v>#REF!</v>
      </c>
      <c r="HF213" t="e">
        <f>Raw!G472+"h_l!)v)"</f>
        <v>#VALUE!</v>
      </c>
      <c r="HG213" t="e">
        <f>Raw!H472+"h_l!)v."</f>
        <v>#VALUE!</v>
      </c>
      <c r="HH213" t="e">
        <f>Raw!I472+"h_l!)v/"</f>
        <v>#VALUE!</v>
      </c>
      <c r="HI213" t="e">
        <f>Raw!J472+"h_l!)v0"</f>
        <v>#VALUE!</v>
      </c>
      <c r="HJ213" t="e">
        <f>Raw!K472+"h_l!)v1"</f>
        <v>#VALUE!</v>
      </c>
      <c r="HK213" t="e">
        <f>Raw!L472+"h_l!)v2"</f>
        <v>#VALUE!</v>
      </c>
      <c r="HL213" t="e">
        <f>Raw!M472+"h_l!)v3"</f>
        <v>#VALUE!</v>
      </c>
      <c r="HM213" t="e">
        <f>Raw!N472+"h_l!)v4"</f>
        <v>#VALUE!</v>
      </c>
      <c r="HN213" t="e">
        <f>Raw!O472+"h_l!)v5"</f>
        <v>#VALUE!</v>
      </c>
      <c r="HO213" t="e">
        <f>Raw!P472+"h_l!)v6"</f>
        <v>#VALUE!</v>
      </c>
      <c r="HP213" t="e">
        <f>Raw!Q472+"h_l!)v7"</f>
        <v>#VALUE!</v>
      </c>
      <c r="HQ213" t="e">
        <f>Raw!R472+"h_l!)v8"</f>
        <v>#VALUE!</v>
      </c>
      <c r="HR213" t="e">
        <f>Raw!S472+"h_l!)v9"</f>
        <v>#VALUE!</v>
      </c>
      <c r="HS213" t="e">
        <f>Raw!T472+"h_l!)v:"</f>
        <v>#VALUE!</v>
      </c>
      <c r="HT213" t="e">
        <f>Raw!U472+"h_l!)v;"</f>
        <v>#VALUE!</v>
      </c>
      <c r="HU213" t="e">
        <f>Raw!V472+"h_l!)v&lt;"</f>
        <v>#VALUE!</v>
      </c>
      <c r="HV213" t="e">
        <f>Raw!W472+"h_l!)v="</f>
        <v>#VALUE!</v>
      </c>
      <c r="HW213" t="e">
        <f>Raw!A473+"h_l!)v&gt;"</f>
        <v>#VALUE!</v>
      </c>
      <c r="HX213" t="e">
        <f>Raw!B473+"h_l!)v?"</f>
        <v>#VALUE!</v>
      </c>
      <c r="HY213" t="e">
        <f>Raw!C473+"h_l!)v@"</f>
        <v>#VALUE!</v>
      </c>
      <c r="HZ213" t="e">
        <f>Raw!D473+"h_l!)vA"</f>
        <v>#VALUE!</v>
      </c>
      <c r="IA213" t="e">
        <f>Raw!E473+"h_l!)vB"</f>
        <v>#VALUE!</v>
      </c>
      <c r="IB213" t="e">
        <f>Raw!#REF!+"h_l!)vC"</f>
        <v>#REF!</v>
      </c>
      <c r="IC213" t="e">
        <f>Raw!G473+"h_l!)vD"</f>
        <v>#VALUE!</v>
      </c>
      <c r="ID213" t="e">
        <f>Raw!H473+"h_l!)vE"</f>
        <v>#VALUE!</v>
      </c>
      <c r="IE213" t="e">
        <f>Raw!I473+"h_l!)vF"</f>
        <v>#VALUE!</v>
      </c>
      <c r="IF213" t="e">
        <f>Raw!J473+"h_l!)vG"</f>
        <v>#VALUE!</v>
      </c>
      <c r="IG213" t="e">
        <f>Raw!K473+"h_l!)vH"</f>
        <v>#VALUE!</v>
      </c>
      <c r="IH213" t="e">
        <f>Raw!L473+"h_l!)vI"</f>
        <v>#VALUE!</v>
      </c>
      <c r="II213" t="e">
        <f>Raw!M473+"h_l!)vJ"</f>
        <v>#VALUE!</v>
      </c>
      <c r="IJ213" t="e">
        <f>Raw!N473+"h_l!)vK"</f>
        <v>#VALUE!</v>
      </c>
      <c r="IK213" t="e">
        <f>Raw!O473+"h_l!)vL"</f>
        <v>#VALUE!</v>
      </c>
      <c r="IL213" t="e">
        <f>Raw!P473+"h_l!)vM"</f>
        <v>#VALUE!</v>
      </c>
      <c r="IM213" t="e">
        <f>Raw!Q473+"h_l!)vN"</f>
        <v>#VALUE!</v>
      </c>
      <c r="IN213" t="e">
        <f>Raw!R473+"h_l!)vO"</f>
        <v>#VALUE!</v>
      </c>
      <c r="IO213" t="e">
        <f>Raw!S473+"h_l!)vP"</f>
        <v>#VALUE!</v>
      </c>
      <c r="IP213" t="e">
        <f>Raw!T473+"h_l!)vQ"</f>
        <v>#VALUE!</v>
      </c>
      <c r="IQ213" t="e">
        <f>Raw!U473+"h_l!)vR"</f>
        <v>#VALUE!</v>
      </c>
      <c r="IR213" t="e">
        <f>Raw!V473+"h_l!)vS"</f>
        <v>#VALUE!</v>
      </c>
      <c r="IS213" t="e">
        <f>Raw!W473+"h_l!)vT"</f>
        <v>#VALUE!</v>
      </c>
      <c r="IT213" t="e">
        <f>Raw!A474+"h_l!)vU"</f>
        <v>#VALUE!</v>
      </c>
      <c r="IU213" t="e">
        <f>Raw!B474+"h_l!)vV"</f>
        <v>#VALUE!</v>
      </c>
      <c r="IV213" t="e">
        <f>Raw!C474+"h_l!)vW"</f>
        <v>#VALUE!</v>
      </c>
    </row>
    <row r="214" spans="6:256" x14ac:dyDescent="0.25">
      <c r="F214" t="e">
        <f>Raw!D474+"h_l!)vX"</f>
        <v>#VALUE!</v>
      </c>
      <c r="G214" t="e">
        <f>Raw!E474+"h_l!)vY"</f>
        <v>#VALUE!</v>
      </c>
      <c r="H214" t="e">
        <f>Raw!#REF!+"h_l!)vZ"</f>
        <v>#REF!</v>
      </c>
      <c r="I214" t="e">
        <f>Raw!G474+"h_l!)v["</f>
        <v>#VALUE!</v>
      </c>
      <c r="J214" t="e">
        <f>Raw!H474+"h_l!)v\"</f>
        <v>#VALUE!</v>
      </c>
      <c r="K214" t="e">
        <f>Raw!I474+"h_l!)v]"</f>
        <v>#VALUE!</v>
      </c>
      <c r="L214" t="e">
        <f>Raw!J474+"h_l!)v^"</f>
        <v>#VALUE!</v>
      </c>
      <c r="M214" t="e">
        <f>Raw!K474+"h_l!)v_"</f>
        <v>#VALUE!</v>
      </c>
      <c r="N214" t="e">
        <f>Raw!L474+"h_l!)v`"</f>
        <v>#VALUE!</v>
      </c>
      <c r="O214" t="e">
        <f>Raw!M474+"h_l!)va"</f>
        <v>#VALUE!</v>
      </c>
      <c r="P214" t="e">
        <f>Raw!N474+"h_l!)vb"</f>
        <v>#VALUE!</v>
      </c>
      <c r="Q214" t="e">
        <f>Raw!O474+"h_l!)vc"</f>
        <v>#VALUE!</v>
      </c>
      <c r="R214" t="e">
        <f>Raw!P474+"h_l!)vd"</f>
        <v>#VALUE!</v>
      </c>
      <c r="S214" t="e">
        <f>Raw!Q474+"h_l!)ve"</f>
        <v>#VALUE!</v>
      </c>
      <c r="T214" t="e">
        <f>Raw!R474+"h_l!)vf"</f>
        <v>#VALUE!</v>
      </c>
      <c r="U214" t="e">
        <f>Raw!S474+"h_l!)vg"</f>
        <v>#VALUE!</v>
      </c>
      <c r="V214" t="e">
        <f>Raw!T474+"h_l!)vh"</f>
        <v>#VALUE!</v>
      </c>
      <c r="W214" t="e">
        <f>Raw!U474+"h_l!)vi"</f>
        <v>#VALUE!</v>
      </c>
      <c r="X214" t="e">
        <f>Raw!V474+"h_l!)vj"</f>
        <v>#VALUE!</v>
      </c>
      <c r="Y214" t="e">
        <f>Raw!W474+"h_l!)vk"</f>
        <v>#VALUE!</v>
      </c>
      <c r="Z214" t="e">
        <f>Raw!A475+"h_l!)vl"</f>
        <v>#VALUE!</v>
      </c>
      <c r="AA214" t="e">
        <f>Raw!B475+"h_l!)vm"</f>
        <v>#VALUE!</v>
      </c>
      <c r="AB214" t="e">
        <f>Raw!C475+"h_l!)vn"</f>
        <v>#VALUE!</v>
      </c>
      <c r="AC214" t="e">
        <f>Raw!D475+"h_l!)vo"</f>
        <v>#VALUE!</v>
      </c>
      <c r="AD214" t="e">
        <f>Raw!E475+"h_l!)vp"</f>
        <v>#VALUE!</v>
      </c>
      <c r="AE214" t="e">
        <f>Raw!#REF!+"h_l!)vq"</f>
        <v>#REF!</v>
      </c>
      <c r="AF214" t="e">
        <f>Raw!G475+"h_l!)vr"</f>
        <v>#VALUE!</v>
      </c>
      <c r="AG214" t="e">
        <f>Raw!H475+"h_l!)vs"</f>
        <v>#VALUE!</v>
      </c>
      <c r="AH214" t="e">
        <f>Raw!I475+"h_l!)vt"</f>
        <v>#VALUE!</v>
      </c>
      <c r="AI214" t="e">
        <f>Raw!J475+"h_l!)vu"</f>
        <v>#VALUE!</v>
      </c>
      <c r="AJ214" t="e">
        <f>Raw!K475+"h_l!)vv"</f>
        <v>#VALUE!</v>
      </c>
      <c r="AK214" t="e">
        <f>Raw!L475+"h_l!)vw"</f>
        <v>#VALUE!</v>
      </c>
      <c r="AL214" t="e">
        <f>Raw!M475+"h_l!)vx"</f>
        <v>#VALUE!</v>
      </c>
      <c r="AM214" t="e">
        <f>Raw!N475+"h_l!)vy"</f>
        <v>#VALUE!</v>
      </c>
      <c r="AN214" t="e">
        <f>Raw!O475+"h_l!)vz"</f>
        <v>#VALUE!</v>
      </c>
      <c r="AO214" t="e">
        <f>Raw!P475+"h_l!)v{"</f>
        <v>#VALUE!</v>
      </c>
      <c r="AP214" t="e">
        <f>Raw!Q475+"h_l!)v|"</f>
        <v>#VALUE!</v>
      </c>
      <c r="AQ214" t="e">
        <f>Raw!R475+"h_l!)v}"</f>
        <v>#VALUE!</v>
      </c>
      <c r="AR214" t="e">
        <f>Raw!S475+"h_l!)v~"</f>
        <v>#VALUE!</v>
      </c>
      <c r="AS214" t="e">
        <f>Raw!T475+"h_l!)w#"</f>
        <v>#VALUE!</v>
      </c>
      <c r="AT214" t="e">
        <f>Raw!U475+"h_l!)w$"</f>
        <v>#VALUE!</v>
      </c>
      <c r="AU214" t="e">
        <f>Raw!V475+"h_l!)w%"</f>
        <v>#VALUE!</v>
      </c>
      <c r="AV214" t="e">
        <f>Raw!W475+"h_l!)w&amp;"</f>
        <v>#VALUE!</v>
      </c>
      <c r="AW214" t="e">
        <f>Raw!A476+"h_l!)w'"</f>
        <v>#VALUE!</v>
      </c>
      <c r="AX214" t="e">
        <f>Raw!B476+"h_l!)w("</f>
        <v>#VALUE!</v>
      </c>
      <c r="AY214" t="e">
        <f>Raw!C476+"h_l!)w)"</f>
        <v>#VALUE!</v>
      </c>
      <c r="AZ214" t="e">
        <f>Raw!D476+"h_l!)w."</f>
        <v>#VALUE!</v>
      </c>
      <c r="BA214" t="e">
        <f>Raw!E476+"h_l!)w/"</f>
        <v>#VALUE!</v>
      </c>
      <c r="BB214" t="e">
        <f>Raw!#REF!+"h_l!)w0"</f>
        <v>#REF!</v>
      </c>
      <c r="BC214" t="e">
        <f>Raw!G476+"h_l!)w1"</f>
        <v>#VALUE!</v>
      </c>
      <c r="BD214" t="e">
        <f>Raw!H476+"h_l!)w2"</f>
        <v>#VALUE!</v>
      </c>
      <c r="BE214" t="e">
        <f>Raw!I476+"h_l!)w3"</f>
        <v>#VALUE!</v>
      </c>
      <c r="BF214" t="e">
        <f>Raw!J476+"h_l!)w4"</f>
        <v>#VALUE!</v>
      </c>
      <c r="BG214" t="e">
        <f>Raw!K476+"h_l!)w5"</f>
        <v>#VALUE!</v>
      </c>
      <c r="BH214" t="e">
        <f>Raw!L476+"h_l!)w6"</f>
        <v>#VALUE!</v>
      </c>
      <c r="BI214" t="e">
        <f>Raw!M476+"h_l!)w7"</f>
        <v>#VALUE!</v>
      </c>
      <c r="BJ214" t="e">
        <f>Raw!N476+"h_l!)w8"</f>
        <v>#VALUE!</v>
      </c>
      <c r="BK214" t="e">
        <f>Raw!O476+"h_l!)w9"</f>
        <v>#VALUE!</v>
      </c>
      <c r="BL214" t="e">
        <f>Raw!P476+"h_l!)w:"</f>
        <v>#VALUE!</v>
      </c>
      <c r="BM214" t="e">
        <f>Raw!Q476+"h_l!)w;"</f>
        <v>#VALUE!</v>
      </c>
      <c r="BN214" t="e">
        <f>Raw!R476+"h_l!)w&lt;"</f>
        <v>#VALUE!</v>
      </c>
      <c r="BO214" t="e">
        <f>Raw!S476+"h_l!)w="</f>
        <v>#VALUE!</v>
      </c>
      <c r="BP214" t="e">
        <f>Raw!T476+"h_l!)w&gt;"</f>
        <v>#VALUE!</v>
      </c>
      <c r="BQ214" t="e">
        <f>Raw!U476+"h_l!)w?"</f>
        <v>#VALUE!</v>
      </c>
      <c r="BR214" t="e">
        <f>Raw!V476+"h_l!)w@"</f>
        <v>#VALUE!</v>
      </c>
      <c r="BS214" t="e">
        <f>Raw!W476+"h_l!)wA"</f>
        <v>#VALUE!</v>
      </c>
      <c r="BT214" t="e">
        <f>Raw!A477+"h_l!)wB"</f>
        <v>#VALUE!</v>
      </c>
      <c r="BU214" t="e">
        <f>Raw!B477+"h_l!)wC"</f>
        <v>#VALUE!</v>
      </c>
      <c r="BV214" t="e">
        <f>Raw!C477+"h_l!)wD"</f>
        <v>#VALUE!</v>
      </c>
      <c r="BW214" t="e">
        <f>Raw!D477+"h_l!)wE"</f>
        <v>#VALUE!</v>
      </c>
      <c r="BX214" t="e">
        <f>Raw!E477+"h_l!)wF"</f>
        <v>#VALUE!</v>
      </c>
      <c r="BY214" t="e">
        <f>Raw!#REF!+"h_l!)wG"</f>
        <v>#REF!</v>
      </c>
      <c r="BZ214" t="e">
        <f>Raw!G477+"h_l!)wH"</f>
        <v>#VALUE!</v>
      </c>
      <c r="CA214" t="e">
        <f>Raw!H477+"h_l!)wI"</f>
        <v>#VALUE!</v>
      </c>
      <c r="CB214" t="e">
        <f>Raw!I477+"h_l!)wJ"</f>
        <v>#VALUE!</v>
      </c>
      <c r="CC214" t="e">
        <f>Raw!J477+"h_l!)wK"</f>
        <v>#VALUE!</v>
      </c>
      <c r="CD214" t="e">
        <f>Raw!K477+"h_l!)wL"</f>
        <v>#VALUE!</v>
      </c>
      <c r="CE214" t="e">
        <f>Raw!L477+"h_l!)wM"</f>
        <v>#VALUE!</v>
      </c>
      <c r="CF214" t="e">
        <f>Raw!M477+"h_l!)wN"</f>
        <v>#VALUE!</v>
      </c>
      <c r="CG214" t="e">
        <f>Raw!N477+"h_l!)wO"</f>
        <v>#VALUE!</v>
      </c>
      <c r="CH214" t="e">
        <f>Raw!O477+"h_l!)wP"</f>
        <v>#VALUE!</v>
      </c>
      <c r="CI214" t="e">
        <f>Raw!P477+"h_l!)wQ"</f>
        <v>#VALUE!</v>
      </c>
      <c r="CJ214" t="e">
        <f>Raw!Q477+"h_l!)wR"</f>
        <v>#VALUE!</v>
      </c>
      <c r="CK214" t="e">
        <f>Raw!R477+"h_l!)wS"</f>
        <v>#VALUE!</v>
      </c>
      <c r="CL214" t="e">
        <f>Raw!S477+"h_l!)wT"</f>
        <v>#VALUE!</v>
      </c>
      <c r="CM214" t="e">
        <f>Raw!T477+"h_l!)wU"</f>
        <v>#VALUE!</v>
      </c>
      <c r="CN214" t="e">
        <f>Raw!U477+"h_l!)wV"</f>
        <v>#VALUE!</v>
      </c>
      <c r="CO214" t="e">
        <f>Raw!V477+"h_l!)wW"</f>
        <v>#VALUE!</v>
      </c>
      <c r="CP214" t="e">
        <f>Raw!W477+"h_l!)wX"</f>
        <v>#VALUE!</v>
      </c>
      <c r="CQ214" t="e">
        <f>Raw!A478+"h_l!)wY"</f>
        <v>#VALUE!</v>
      </c>
      <c r="CR214" t="e">
        <f>Raw!B478+"h_l!)wZ"</f>
        <v>#VALUE!</v>
      </c>
      <c r="CS214" t="e">
        <f>Raw!C478+"h_l!)w["</f>
        <v>#VALUE!</v>
      </c>
      <c r="CT214" t="e">
        <f>Raw!D478+"h_l!)w\"</f>
        <v>#VALUE!</v>
      </c>
      <c r="CU214" t="e">
        <f>Raw!E478+"h_l!)w]"</f>
        <v>#VALUE!</v>
      </c>
      <c r="CV214" t="e">
        <f>Raw!#REF!+"h_l!)w^"</f>
        <v>#REF!</v>
      </c>
      <c r="CW214" t="e">
        <f>Raw!G478+"h_l!)w_"</f>
        <v>#VALUE!</v>
      </c>
      <c r="CX214" t="e">
        <f>Raw!H478+"h_l!)w`"</f>
        <v>#VALUE!</v>
      </c>
      <c r="CY214" t="e">
        <f>Raw!I478+"h_l!)wa"</f>
        <v>#VALUE!</v>
      </c>
      <c r="CZ214" t="e">
        <f>Raw!J478+"h_l!)wb"</f>
        <v>#VALUE!</v>
      </c>
      <c r="DA214" t="e">
        <f>Raw!K478+"h_l!)wc"</f>
        <v>#VALUE!</v>
      </c>
      <c r="DB214" t="e">
        <f>Raw!L478+"h_l!)wd"</f>
        <v>#VALUE!</v>
      </c>
      <c r="DC214" t="e">
        <f>Raw!M478+"h_l!)we"</f>
        <v>#VALUE!</v>
      </c>
      <c r="DD214" t="e">
        <f>Raw!N478+"h_l!)wf"</f>
        <v>#VALUE!</v>
      </c>
      <c r="DE214" t="e">
        <f>Raw!O478+"h_l!)wg"</f>
        <v>#VALUE!</v>
      </c>
      <c r="DF214" t="e">
        <f>Raw!P478+"h_l!)wh"</f>
        <v>#VALUE!</v>
      </c>
      <c r="DG214" t="e">
        <f>Raw!Q478+"h_l!)wi"</f>
        <v>#VALUE!</v>
      </c>
      <c r="DH214" t="e">
        <f>Raw!R478+"h_l!)wj"</f>
        <v>#VALUE!</v>
      </c>
      <c r="DI214" t="e">
        <f>Raw!S478+"h_l!)wk"</f>
        <v>#VALUE!</v>
      </c>
      <c r="DJ214" t="e">
        <f>Raw!T478+"h_l!)wl"</f>
        <v>#VALUE!</v>
      </c>
      <c r="DK214" t="e">
        <f>Raw!U478+"h_l!)wm"</f>
        <v>#VALUE!</v>
      </c>
      <c r="DL214" t="e">
        <f>Raw!V478+"h_l!)wn"</f>
        <v>#VALUE!</v>
      </c>
      <c r="DM214" t="e">
        <f>Raw!W478+"h_l!)wo"</f>
        <v>#VALUE!</v>
      </c>
      <c r="DN214" t="e">
        <f>Raw!A479+"h_l!)wp"</f>
        <v>#VALUE!</v>
      </c>
      <c r="DO214" t="e">
        <f>Raw!B479+"h_l!)wq"</f>
        <v>#VALUE!</v>
      </c>
      <c r="DP214" t="e">
        <f>Raw!C479+"h_l!)wr"</f>
        <v>#VALUE!</v>
      </c>
      <c r="DQ214" t="e">
        <f>Raw!D479+"h_l!)ws"</f>
        <v>#VALUE!</v>
      </c>
      <c r="DR214" t="e">
        <f>Raw!E479+"h_l!)wt"</f>
        <v>#VALUE!</v>
      </c>
      <c r="DS214" t="e">
        <f>Raw!#REF!+"h_l!)wu"</f>
        <v>#REF!</v>
      </c>
      <c r="DT214" t="e">
        <f>Raw!G479+"h_l!)wv"</f>
        <v>#VALUE!</v>
      </c>
      <c r="DU214" t="e">
        <f>Raw!H479+"h_l!)ww"</f>
        <v>#VALUE!</v>
      </c>
      <c r="DV214" t="e">
        <f>Raw!I479+"h_l!)wx"</f>
        <v>#VALUE!</v>
      </c>
      <c r="DW214" t="e">
        <f>Raw!J479+"h_l!)wy"</f>
        <v>#VALUE!</v>
      </c>
      <c r="DX214" t="e">
        <f>Raw!K479+"h_l!)wz"</f>
        <v>#VALUE!</v>
      </c>
      <c r="DY214" t="e">
        <f>Raw!L479+"h_l!)w{"</f>
        <v>#VALUE!</v>
      </c>
      <c r="DZ214" t="e">
        <f>Raw!M479+"h_l!)w|"</f>
        <v>#VALUE!</v>
      </c>
      <c r="EA214" t="e">
        <f>Raw!N479+"h_l!)w}"</f>
        <v>#VALUE!</v>
      </c>
      <c r="EB214" t="e">
        <f>Raw!O479+"h_l!)w~"</f>
        <v>#VALUE!</v>
      </c>
      <c r="EC214" t="e">
        <f>Raw!P479+"h_l!)x#"</f>
        <v>#VALUE!</v>
      </c>
      <c r="ED214" t="e">
        <f>Raw!Q479+"h_l!)x$"</f>
        <v>#VALUE!</v>
      </c>
      <c r="EE214" t="e">
        <f>Raw!R479+"h_l!)x%"</f>
        <v>#VALUE!</v>
      </c>
      <c r="EF214" t="e">
        <f>Raw!S479+"h_l!)x&amp;"</f>
        <v>#VALUE!</v>
      </c>
      <c r="EG214" t="e">
        <f>Raw!T479+"h_l!)x'"</f>
        <v>#VALUE!</v>
      </c>
      <c r="EH214" t="e">
        <f>Raw!U479+"h_l!)x("</f>
        <v>#VALUE!</v>
      </c>
      <c r="EI214" t="e">
        <f>Raw!V479+"h_l!)x)"</f>
        <v>#VALUE!</v>
      </c>
      <c r="EJ214" t="e">
        <f>Raw!W479+"h_l!)x."</f>
        <v>#VALUE!</v>
      </c>
      <c r="EK214" t="e">
        <f>Raw!A480+"h_l!)x/"</f>
        <v>#VALUE!</v>
      </c>
      <c r="EL214" t="e">
        <f>Raw!B480+"h_l!)x0"</f>
        <v>#VALUE!</v>
      </c>
      <c r="EM214" t="e">
        <f>Raw!C480+"h_l!)x1"</f>
        <v>#VALUE!</v>
      </c>
      <c r="EN214" t="e">
        <f>Raw!D480+"h_l!)x2"</f>
        <v>#VALUE!</v>
      </c>
      <c r="EO214" t="e">
        <f>Raw!E480+"h_l!)x3"</f>
        <v>#VALUE!</v>
      </c>
      <c r="EP214" t="e">
        <f>Raw!#REF!+"h_l!)x4"</f>
        <v>#REF!</v>
      </c>
      <c r="EQ214" t="e">
        <f>Raw!G480+"h_l!)x5"</f>
        <v>#VALUE!</v>
      </c>
      <c r="ER214" t="e">
        <f>Raw!H480+"h_l!)x6"</f>
        <v>#VALUE!</v>
      </c>
      <c r="ES214" t="e">
        <f>Raw!I480+"h_l!)x7"</f>
        <v>#VALUE!</v>
      </c>
      <c r="ET214" t="e">
        <f>Raw!J480+"h_l!)x8"</f>
        <v>#VALUE!</v>
      </c>
      <c r="EU214" t="e">
        <f>Raw!K480+"h_l!)x9"</f>
        <v>#VALUE!</v>
      </c>
      <c r="EV214" t="e">
        <f>Raw!L480+"h_l!)x:"</f>
        <v>#VALUE!</v>
      </c>
      <c r="EW214" t="e">
        <f>Raw!M480+"h_l!)x;"</f>
        <v>#VALUE!</v>
      </c>
      <c r="EX214" t="e">
        <f>Raw!N480+"h_l!)x&lt;"</f>
        <v>#VALUE!</v>
      </c>
      <c r="EY214" t="e">
        <f>Raw!O480+"h_l!)x="</f>
        <v>#VALUE!</v>
      </c>
      <c r="EZ214" t="e">
        <f>Raw!P480+"h_l!)x&gt;"</f>
        <v>#VALUE!</v>
      </c>
      <c r="FA214" t="e">
        <f>Raw!Q480+"h_l!)x?"</f>
        <v>#VALUE!</v>
      </c>
      <c r="FB214" t="e">
        <f>Raw!R480+"h_l!)x@"</f>
        <v>#VALUE!</v>
      </c>
      <c r="FC214" t="e">
        <f>Raw!S480+"h_l!)xA"</f>
        <v>#VALUE!</v>
      </c>
      <c r="FD214" t="e">
        <f>Raw!T480+"h_l!)xB"</f>
        <v>#VALUE!</v>
      </c>
      <c r="FE214" t="e">
        <f>Raw!U480+"h_l!)xC"</f>
        <v>#VALUE!</v>
      </c>
      <c r="FF214" t="e">
        <f>Raw!V480+"h_l!)xD"</f>
        <v>#VALUE!</v>
      </c>
      <c r="FG214" t="e">
        <f>Raw!W480+"h_l!)xE"</f>
        <v>#VALUE!</v>
      </c>
      <c r="FH214" t="e">
        <f>Raw!A481+"h_l!)xF"</f>
        <v>#VALUE!</v>
      </c>
      <c r="FI214" t="e">
        <f>Raw!B481+"h_l!)xG"</f>
        <v>#VALUE!</v>
      </c>
      <c r="FJ214" t="e">
        <f>Raw!C481+"h_l!)xH"</f>
        <v>#VALUE!</v>
      </c>
      <c r="FK214" t="e">
        <f>Raw!D481+"h_l!)xI"</f>
        <v>#VALUE!</v>
      </c>
      <c r="FL214" t="e">
        <f>Raw!E481+"h_l!)xJ"</f>
        <v>#VALUE!</v>
      </c>
      <c r="FM214" t="e">
        <f>Raw!#REF!+"h_l!)xK"</f>
        <v>#REF!</v>
      </c>
      <c r="FN214" t="e">
        <f>Raw!G481+"h_l!)xL"</f>
        <v>#VALUE!</v>
      </c>
      <c r="FO214" t="e">
        <f>Raw!H481+"h_l!)xM"</f>
        <v>#VALUE!</v>
      </c>
      <c r="FP214" t="e">
        <f>Raw!I481+"h_l!)xN"</f>
        <v>#VALUE!</v>
      </c>
      <c r="FQ214" t="e">
        <f>Raw!J481+"h_l!)xO"</f>
        <v>#VALUE!</v>
      </c>
      <c r="FR214" t="e">
        <f>Raw!K481+"h_l!)xP"</f>
        <v>#VALUE!</v>
      </c>
      <c r="FS214" t="e">
        <f>Raw!L481+"h_l!)xQ"</f>
        <v>#VALUE!</v>
      </c>
      <c r="FT214" t="e">
        <f>Raw!M481+"h_l!)xR"</f>
        <v>#VALUE!</v>
      </c>
      <c r="FU214" t="e">
        <f>Raw!N481+"h_l!)xS"</f>
        <v>#VALUE!</v>
      </c>
      <c r="FV214" t="e">
        <f>Raw!O481+"h_l!)xT"</f>
        <v>#VALUE!</v>
      </c>
      <c r="FW214" t="e">
        <f>Raw!P481+"h_l!)xU"</f>
        <v>#VALUE!</v>
      </c>
      <c r="FX214" t="e">
        <f>Raw!Q481+"h_l!)xV"</f>
        <v>#VALUE!</v>
      </c>
      <c r="FY214" t="e">
        <f>Raw!R481+"h_l!)xW"</f>
        <v>#VALUE!</v>
      </c>
      <c r="FZ214" t="e">
        <f>Raw!S481+"h_l!)xX"</f>
        <v>#VALUE!</v>
      </c>
      <c r="GA214" t="e">
        <f>Raw!T481+"h_l!)xY"</f>
        <v>#VALUE!</v>
      </c>
      <c r="GB214" t="e">
        <f>Raw!U481+"h_l!)xZ"</f>
        <v>#VALUE!</v>
      </c>
      <c r="GC214" t="e">
        <f>Raw!V481+"h_l!)x["</f>
        <v>#VALUE!</v>
      </c>
      <c r="GD214" t="e">
        <f>Raw!W481+"h_l!)x\"</f>
        <v>#VALUE!</v>
      </c>
      <c r="GE214" t="e">
        <f>Raw!A482+"h_l!)x]"</f>
        <v>#VALUE!</v>
      </c>
      <c r="GF214" t="e">
        <f>Raw!B482+"h_l!)x^"</f>
        <v>#VALUE!</v>
      </c>
      <c r="GG214" t="e">
        <f>Raw!C482+"h_l!)x_"</f>
        <v>#VALUE!</v>
      </c>
      <c r="GH214" t="e">
        <f>Raw!D482+"h_l!)x`"</f>
        <v>#VALUE!</v>
      </c>
      <c r="GI214" t="e">
        <f>Raw!E482+"h_l!)xa"</f>
        <v>#VALUE!</v>
      </c>
      <c r="GJ214" t="e">
        <f>Raw!#REF!+"h_l!)xb"</f>
        <v>#REF!</v>
      </c>
      <c r="GK214" t="e">
        <f>Raw!G482+"h_l!)xc"</f>
        <v>#VALUE!</v>
      </c>
      <c r="GL214" t="e">
        <f>Raw!H482+"h_l!)xd"</f>
        <v>#VALUE!</v>
      </c>
      <c r="GM214" t="e">
        <f>Raw!I482+"h_l!)xe"</f>
        <v>#VALUE!</v>
      </c>
      <c r="GN214" t="e">
        <f>Raw!J482+"h_l!)xf"</f>
        <v>#VALUE!</v>
      </c>
      <c r="GO214" t="e">
        <f>Raw!K482+"h_l!)xg"</f>
        <v>#VALUE!</v>
      </c>
      <c r="GP214" t="e">
        <f>Raw!L482+"h_l!)xh"</f>
        <v>#VALUE!</v>
      </c>
      <c r="GQ214" t="e">
        <f>Raw!M482+"h_l!)xi"</f>
        <v>#VALUE!</v>
      </c>
      <c r="GR214" t="e">
        <f>Raw!N482+"h_l!)xj"</f>
        <v>#VALUE!</v>
      </c>
      <c r="GS214" t="e">
        <f>Raw!O482+"h_l!)xk"</f>
        <v>#VALUE!</v>
      </c>
      <c r="GT214" t="e">
        <f>Raw!P482+"h_l!)xl"</f>
        <v>#VALUE!</v>
      </c>
      <c r="GU214" t="e">
        <f>Raw!Q482+"h_l!)xm"</f>
        <v>#VALUE!</v>
      </c>
      <c r="GV214" t="e">
        <f>Raw!R482+"h_l!)xn"</f>
        <v>#VALUE!</v>
      </c>
      <c r="GW214" t="e">
        <f>Raw!S482+"h_l!)xo"</f>
        <v>#VALUE!</v>
      </c>
      <c r="GX214" t="e">
        <f>Raw!T482+"h_l!)xp"</f>
        <v>#VALUE!</v>
      </c>
      <c r="GY214" t="e">
        <f>Raw!U482+"h_l!)xq"</f>
        <v>#VALUE!</v>
      </c>
      <c r="GZ214" t="e">
        <f>Raw!V482+"h_l!)xr"</f>
        <v>#VALUE!</v>
      </c>
      <c r="HA214" t="e">
        <f>Raw!W482+"h_l!)xs"</f>
        <v>#VALUE!</v>
      </c>
      <c r="HB214" t="e">
        <f>Raw!A483+"h_l!)xt"</f>
        <v>#VALUE!</v>
      </c>
      <c r="HC214" t="e">
        <f>Raw!B483+"h_l!)xu"</f>
        <v>#VALUE!</v>
      </c>
      <c r="HD214" t="e">
        <f>Raw!C483+"h_l!)xv"</f>
        <v>#VALUE!</v>
      </c>
      <c r="HE214" t="e">
        <f>Raw!D483+"h_l!)xw"</f>
        <v>#VALUE!</v>
      </c>
      <c r="HF214" t="e">
        <f>Raw!E483+"h_l!)xx"</f>
        <v>#VALUE!</v>
      </c>
      <c r="HG214" t="e">
        <f>Raw!#REF!+"h_l!)xy"</f>
        <v>#REF!</v>
      </c>
      <c r="HH214" t="e">
        <f>Raw!G483+"h_l!)xz"</f>
        <v>#VALUE!</v>
      </c>
      <c r="HI214" t="e">
        <f>Raw!H483+"h_l!)x{"</f>
        <v>#VALUE!</v>
      </c>
      <c r="HJ214" t="e">
        <f>Raw!I483+"h_l!)x|"</f>
        <v>#VALUE!</v>
      </c>
      <c r="HK214" t="e">
        <f>Raw!J483+"h_l!)x}"</f>
        <v>#VALUE!</v>
      </c>
      <c r="HL214" t="e">
        <f>Raw!K483+"h_l!)x~"</f>
        <v>#VALUE!</v>
      </c>
      <c r="HM214" t="e">
        <f>Raw!L483+"h_l!)y#"</f>
        <v>#VALUE!</v>
      </c>
      <c r="HN214" t="e">
        <f>Raw!M483+"h_l!)y$"</f>
        <v>#VALUE!</v>
      </c>
      <c r="HO214" t="e">
        <f>Raw!N483+"h_l!)y%"</f>
        <v>#VALUE!</v>
      </c>
      <c r="HP214" t="e">
        <f>Raw!O483+"h_l!)y&amp;"</f>
        <v>#VALUE!</v>
      </c>
      <c r="HQ214" t="e">
        <f>Raw!P483+"h_l!)y'"</f>
        <v>#VALUE!</v>
      </c>
      <c r="HR214" t="e">
        <f>Raw!Q483+"h_l!)y("</f>
        <v>#VALUE!</v>
      </c>
      <c r="HS214" t="e">
        <f>Raw!R483+"h_l!)y)"</f>
        <v>#VALUE!</v>
      </c>
      <c r="HT214" t="e">
        <f>Raw!S483+"h_l!)y."</f>
        <v>#VALUE!</v>
      </c>
      <c r="HU214" t="e">
        <f>Raw!T483+"h_l!)y/"</f>
        <v>#VALUE!</v>
      </c>
      <c r="HV214" t="e">
        <f>Raw!U483+"h_l!)y0"</f>
        <v>#VALUE!</v>
      </c>
      <c r="HW214" t="e">
        <f>Raw!V483+"h_l!)y1"</f>
        <v>#VALUE!</v>
      </c>
      <c r="HX214" t="e">
        <f>Raw!W483+"h_l!)y2"</f>
        <v>#VALUE!</v>
      </c>
      <c r="HY214" t="e">
        <f>Raw!A484+"h_l!)y3"</f>
        <v>#VALUE!</v>
      </c>
      <c r="HZ214" t="e">
        <f>Raw!B484+"h_l!)y4"</f>
        <v>#VALUE!</v>
      </c>
      <c r="IA214" t="e">
        <f>Raw!C484+"h_l!)y5"</f>
        <v>#VALUE!</v>
      </c>
      <c r="IB214" t="e">
        <f>Raw!D484+"h_l!)y6"</f>
        <v>#VALUE!</v>
      </c>
      <c r="IC214" t="e">
        <f>Raw!E484+"h_l!)y7"</f>
        <v>#VALUE!</v>
      </c>
      <c r="ID214" t="e">
        <f>Raw!#REF!+"h_l!)y8"</f>
        <v>#REF!</v>
      </c>
      <c r="IE214" t="e">
        <f>Raw!G484+"h_l!)y9"</f>
        <v>#VALUE!</v>
      </c>
      <c r="IF214" t="e">
        <f>Raw!H484+"h_l!)y:"</f>
        <v>#VALUE!</v>
      </c>
      <c r="IG214" t="e">
        <f>Raw!I484+"h_l!)y;"</f>
        <v>#VALUE!</v>
      </c>
      <c r="IH214" t="e">
        <f>Raw!J484+"h_l!)y&lt;"</f>
        <v>#VALUE!</v>
      </c>
      <c r="II214" t="e">
        <f>Raw!K484+"h_l!)y="</f>
        <v>#VALUE!</v>
      </c>
      <c r="IJ214" t="e">
        <f>Raw!L484+"h_l!)y&gt;"</f>
        <v>#VALUE!</v>
      </c>
      <c r="IK214" t="e">
        <f>Raw!M484+"h_l!)y?"</f>
        <v>#VALUE!</v>
      </c>
      <c r="IL214" t="e">
        <f>Raw!N484+"h_l!)y@"</f>
        <v>#VALUE!</v>
      </c>
      <c r="IM214" t="e">
        <f>Raw!O484+"h_l!)yA"</f>
        <v>#VALUE!</v>
      </c>
      <c r="IN214" t="e">
        <f>Raw!P484+"h_l!)yB"</f>
        <v>#VALUE!</v>
      </c>
      <c r="IO214" t="e">
        <f>Raw!Q484+"h_l!)yC"</f>
        <v>#VALUE!</v>
      </c>
      <c r="IP214" t="e">
        <f>Raw!R484+"h_l!)yD"</f>
        <v>#VALUE!</v>
      </c>
      <c r="IQ214" t="e">
        <f>Raw!S484+"h_l!)yE"</f>
        <v>#VALUE!</v>
      </c>
      <c r="IR214" t="e">
        <f>Raw!T484+"h_l!)yF"</f>
        <v>#VALUE!</v>
      </c>
      <c r="IS214" t="e">
        <f>Raw!U484+"h_l!)yG"</f>
        <v>#VALUE!</v>
      </c>
      <c r="IT214" t="e">
        <f>Raw!V484+"h_l!)yH"</f>
        <v>#VALUE!</v>
      </c>
      <c r="IU214" t="e">
        <f>Raw!W484+"h_l!)yI"</f>
        <v>#VALUE!</v>
      </c>
      <c r="IV214" t="e">
        <f>Raw!A485+"h_l!)yJ"</f>
        <v>#VALUE!</v>
      </c>
    </row>
    <row r="215" spans="6:256" x14ac:dyDescent="0.25">
      <c r="F215" t="e">
        <f>Raw!B485+"h_l!)yK"</f>
        <v>#VALUE!</v>
      </c>
      <c r="G215" t="e">
        <f>Raw!C485+"h_l!)yL"</f>
        <v>#VALUE!</v>
      </c>
      <c r="H215" t="e">
        <f>Raw!D485+"h_l!)yM"</f>
        <v>#VALUE!</v>
      </c>
      <c r="I215" t="e">
        <f>Raw!E485+"h_l!)yN"</f>
        <v>#VALUE!</v>
      </c>
      <c r="J215" t="e">
        <f>Raw!#REF!+"h_l!)yO"</f>
        <v>#REF!</v>
      </c>
      <c r="K215" t="e">
        <f>Raw!G485+"h_l!)yP"</f>
        <v>#VALUE!</v>
      </c>
      <c r="L215" t="e">
        <f>Raw!H485+"h_l!)yQ"</f>
        <v>#VALUE!</v>
      </c>
      <c r="M215" t="e">
        <f>Raw!I485+"h_l!)yR"</f>
        <v>#VALUE!</v>
      </c>
      <c r="N215" t="e">
        <f>Raw!J485+"h_l!)yS"</f>
        <v>#VALUE!</v>
      </c>
      <c r="O215" t="e">
        <f>Raw!K485+"h_l!)yT"</f>
        <v>#VALUE!</v>
      </c>
      <c r="P215" t="e">
        <f>Raw!L485+"h_l!)yU"</f>
        <v>#VALUE!</v>
      </c>
      <c r="Q215" t="e">
        <f>Raw!M485+"h_l!)yV"</f>
        <v>#VALUE!</v>
      </c>
      <c r="R215" t="e">
        <f>Raw!N485+"h_l!)yW"</f>
        <v>#VALUE!</v>
      </c>
      <c r="S215" t="e">
        <f>Raw!O485+"h_l!)yX"</f>
        <v>#VALUE!</v>
      </c>
      <c r="T215" t="e">
        <f>Raw!P485+"h_l!)yY"</f>
        <v>#VALUE!</v>
      </c>
      <c r="U215" t="e">
        <f>Raw!Q485+"h_l!)yZ"</f>
        <v>#VALUE!</v>
      </c>
      <c r="V215" t="e">
        <f>Raw!R485+"h_l!)y["</f>
        <v>#VALUE!</v>
      </c>
      <c r="W215" t="e">
        <f>Raw!S485+"h_l!)y\"</f>
        <v>#VALUE!</v>
      </c>
      <c r="X215" t="e">
        <f>Raw!T485+"h_l!)y]"</f>
        <v>#VALUE!</v>
      </c>
      <c r="Y215" t="e">
        <f>Raw!U485+"h_l!)y^"</f>
        <v>#VALUE!</v>
      </c>
      <c r="Z215" t="e">
        <f>Raw!V485+"h_l!)y_"</f>
        <v>#VALUE!</v>
      </c>
      <c r="AA215" t="e">
        <f>Raw!W485+"h_l!)y`"</f>
        <v>#VALUE!</v>
      </c>
      <c r="AB215" t="e">
        <f>Raw!A486+"h_l!)ya"</f>
        <v>#VALUE!</v>
      </c>
      <c r="AC215" t="e">
        <f>Raw!B486+"h_l!)yb"</f>
        <v>#VALUE!</v>
      </c>
      <c r="AD215" t="e">
        <f>Raw!C486+"h_l!)yc"</f>
        <v>#VALUE!</v>
      </c>
      <c r="AE215" t="e">
        <f>Raw!D486+"h_l!)yd"</f>
        <v>#VALUE!</v>
      </c>
      <c r="AF215" t="e">
        <f>Raw!E486+"h_l!)ye"</f>
        <v>#VALUE!</v>
      </c>
      <c r="AG215" t="e">
        <f>Raw!#REF!+"h_l!)yf"</f>
        <v>#REF!</v>
      </c>
      <c r="AH215" t="e">
        <f>Raw!G486+"h_l!)yg"</f>
        <v>#VALUE!</v>
      </c>
      <c r="AI215" t="e">
        <f>Raw!H486+"h_l!)yh"</f>
        <v>#VALUE!</v>
      </c>
      <c r="AJ215" t="e">
        <f>Raw!I486+"h_l!)yi"</f>
        <v>#VALUE!</v>
      </c>
      <c r="AK215" t="e">
        <f>Raw!J486+"h_l!)yj"</f>
        <v>#VALUE!</v>
      </c>
      <c r="AL215" t="e">
        <f>Raw!K486+"h_l!)yk"</f>
        <v>#VALUE!</v>
      </c>
      <c r="AM215" t="e">
        <f>Raw!L486+"h_l!)yl"</f>
        <v>#VALUE!</v>
      </c>
      <c r="AN215" t="e">
        <f>Raw!M486+"h_l!)ym"</f>
        <v>#VALUE!</v>
      </c>
      <c r="AO215" t="e">
        <f>Raw!N486+"h_l!)yn"</f>
        <v>#VALUE!</v>
      </c>
      <c r="AP215" t="e">
        <f>Raw!O486+"h_l!)yo"</f>
        <v>#VALUE!</v>
      </c>
      <c r="AQ215" t="e">
        <f>Raw!P486+"h_l!)yp"</f>
        <v>#VALUE!</v>
      </c>
      <c r="AR215" t="e">
        <f>Raw!Q486+"h_l!)yq"</f>
        <v>#VALUE!</v>
      </c>
      <c r="AS215" t="e">
        <f>Raw!R486+"h_l!)yr"</f>
        <v>#VALUE!</v>
      </c>
      <c r="AT215" t="e">
        <f>Raw!S486+"h_l!)ys"</f>
        <v>#VALUE!</v>
      </c>
      <c r="AU215" t="e">
        <f>Raw!T486+"h_l!)yt"</f>
        <v>#VALUE!</v>
      </c>
      <c r="AV215" t="e">
        <f>Raw!U486+"h_l!)yu"</f>
        <v>#VALUE!</v>
      </c>
      <c r="AW215" t="e">
        <f>Raw!V486+"h_l!)yv"</f>
        <v>#VALUE!</v>
      </c>
      <c r="AX215" t="e">
        <f>Raw!W486+"h_l!)yw"</f>
        <v>#VALUE!</v>
      </c>
      <c r="AY215" t="e">
        <f>Raw!A487+"h_l!)yx"</f>
        <v>#VALUE!</v>
      </c>
      <c r="AZ215" t="e">
        <f>Raw!B487+"h_l!)yy"</f>
        <v>#VALUE!</v>
      </c>
      <c r="BA215" t="e">
        <f>Raw!C487+"h_l!)yz"</f>
        <v>#VALUE!</v>
      </c>
      <c r="BB215" t="e">
        <f>Raw!D487+"h_l!)y{"</f>
        <v>#VALUE!</v>
      </c>
      <c r="BC215" t="e">
        <f>Raw!E487+"h_l!)y|"</f>
        <v>#VALUE!</v>
      </c>
      <c r="BD215" t="e">
        <f>Raw!#REF!+"h_l!)y}"</f>
        <v>#REF!</v>
      </c>
      <c r="BE215" t="e">
        <f>Raw!G487+"h_l!)y~"</f>
        <v>#VALUE!</v>
      </c>
      <c r="BF215" t="e">
        <f>Raw!H487+"h_l!)z#"</f>
        <v>#VALUE!</v>
      </c>
      <c r="BG215" t="e">
        <f>Raw!I487+"h_l!)z$"</f>
        <v>#VALUE!</v>
      </c>
      <c r="BH215" t="e">
        <f>Raw!J487+"h_l!)z%"</f>
        <v>#VALUE!</v>
      </c>
      <c r="BI215" t="e">
        <f>Raw!K487+"h_l!)z&amp;"</f>
        <v>#VALUE!</v>
      </c>
      <c r="BJ215" t="e">
        <f>Raw!L487+"h_l!)z'"</f>
        <v>#VALUE!</v>
      </c>
      <c r="BK215" t="e">
        <f>Raw!M487+"h_l!)z("</f>
        <v>#VALUE!</v>
      </c>
      <c r="BL215" t="e">
        <f>Raw!N487+"h_l!)z)"</f>
        <v>#VALUE!</v>
      </c>
      <c r="BM215" t="e">
        <f>Raw!O487+"h_l!)z."</f>
        <v>#VALUE!</v>
      </c>
      <c r="BN215" t="e">
        <f>Raw!P487+"h_l!)z/"</f>
        <v>#VALUE!</v>
      </c>
      <c r="BO215" t="e">
        <f>Raw!Q487+"h_l!)z0"</f>
        <v>#VALUE!</v>
      </c>
      <c r="BP215" t="e">
        <f>Raw!R487+"h_l!)z1"</f>
        <v>#VALUE!</v>
      </c>
      <c r="BQ215" t="e">
        <f>Raw!S487+"h_l!)z2"</f>
        <v>#VALUE!</v>
      </c>
      <c r="BR215" t="e">
        <f>Raw!T487+"h_l!)z3"</f>
        <v>#VALUE!</v>
      </c>
      <c r="BS215" t="e">
        <f>Raw!U487+"h_l!)z4"</f>
        <v>#VALUE!</v>
      </c>
      <c r="BT215" t="e">
        <f>Raw!V487+"h_l!)z5"</f>
        <v>#VALUE!</v>
      </c>
      <c r="BU215" t="e">
        <f>Raw!W487+"h_l!)z6"</f>
        <v>#VALUE!</v>
      </c>
      <c r="BV215" t="e">
        <f>Raw!A488+"h_l!)z7"</f>
        <v>#VALUE!</v>
      </c>
      <c r="BW215" t="e">
        <f>Raw!B488+"h_l!)z8"</f>
        <v>#VALUE!</v>
      </c>
      <c r="BX215" t="e">
        <f>Raw!C488+"h_l!)z9"</f>
        <v>#VALUE!</v>
      </c>
      <c r="BY215" t="e">
        <f>Raw!D488+"h_l!)z:"</f>
        <v>#VALUE!</v>
      </c>
      <c r="BZ215" t="e">
        <f>Raw!E488+"h_l!)z;"</f>
        <v>#VALUE!</v>
      </c>
      <c r="CA215" t="e">
        <f>Raw!#REF!+"h_l!)z&lt;"</f>
        <v>#REF!</v>
      </c>
      <c r="CB215" t="e">
        <f>Raw!G488+"h_l!)z="</f>
        <v>#VALUE!</v>
      </c>
      <c r="CC215" t="e">
        <f>Raw!H488+"h_l!)z&gt;"</f>
        <v>#VALUE!</v>
      </c>
      <c r="CD215" t="e">
        <f>Raw!I488+"h_l!)z?"</f>
        <v>#VALUE!</v>
      </c>
      <c r="CE215" t="e">
        <f>Raw!J488+"h_l!)z@"</f>
        <v>#VALUE!</v>
      </c>
      <c r="CF215" t="e">
        <f>Raw!K488+"h_l!)zA"</f>
        <v>#VALUE!</v>
      </c>
      <c r="CG215" t="e">
        <f>Raw!L488+"h_l!)zB"</f>
        <v>#VALUE!</v>
      </c>
      <c r="CH215" t="e">
        <f>Raw!M488+"h_l!)zC"</f>
        <v>#VALUE!</v>
      </c>
      <c r="CI215" t="e">
        <f>Raw!N488+"h_l!)zD"</f>
        <v>#VALUE!</v>
      </c>
      <c r="CJ215" t="e">
        <f>Raw!O488+"h_l!)zE"</f>
        <v>#VALUE!</v>
      </c>
      <c r="CK215" t="e">
        <f>Raw!P488+"h_l!)zF"</f>
        <v>#VALUE!</v>
      </c>
      <c r="CL215" t="e">
        <f>Raw!Q488+"h_l!)zG"</f>
        <v>#VALUE!</v>
      </c>
      <c r="CM215" t="e">
        <f>Raw!R488+"h_l!)zH"</f>
        <v>#VALUE!</v>
      </c>
      <c r="CN215" t="e">
        <f>Raw!S488+"h_l!)zI"</f>
        <v>#VALUE!</v>
      </c>
      <c r="CO215" t="e">
        <f>Raw!T488+"h_l!)zJ"</f>
        <v>#VALUE!</v>
      </c>
      <c r="CP215" t="e">
        <f>Raw!U488+"h_l!)zK"</f>
        <v>#VALUE!</v>
      </c>
      <c r="CQ215" t="e">
        <f>Raw!V488+"h_l!)zL"</f>
        <v>#VALUE!</v>
      </c>
      <c r="CR215" t="e">
        <f>Raw!W488+"h_l!)zM"</f>
        <v>#VALUE!</v>
      </c>
      <c r="CS215" t="e">
        <f>Raw!A489+"h_l!)zN"</f>
        <v>#VALUE!</v>
      </c>
      <c r="CT215" t="e">
        <f>Raw!B489+"h_l!)zO"</f>
        <v>#VALUE!</v>
      </c>
      <c r="CU215" t="e">
        <f>Raw!C489+"h_l!)zP"</f>
        <v>#VALUE!</v>
      </c>
      <c r="CV215" t="e">
        <f>Raw!D489+"h_l!)zQ"</f>
        <v>#VALUE!</v>
      </c>
      <c r="CW215" t="e">
        <f>Raw!E489+"h_l!)zR"</f>
        <v>#VALUE!</v>
      </c>
      <c r="CX215" t="e">
        <f>Raw!#REF!+"h_l!)zS"</f>
        <v>#REF!</v>
      </c>
      <c r="CY215" t="e">
        <f>Raw!G489+"h_l!)zT"</f>
        <v>#VALUE!</v>
      </c>
      <c r="CZ215" t="e">
        <f>Raw!H489+"h_l!)zU"</f>
        <v>#VALUE!</v>
      </c>
      <c r="DA215" t="e">
        <f>Raw!I489+"h_l!)zV"</f>
        <v>#VALUE!</v>
      </c>
      <c r="DB215" t="e">
        <f>Raw!J489+"h_l!)zW"</f>
        <v>#VALUE!</v>
      </c>
      <c r="DC215" t="e">
        <f>Raw!K489+"h_l!)zX"</f>
        <v>#VALUE!</v>
      </c>
      <c r="DD215" t="e">
        <f>Raw!L489+"h_l!)zY"</f>
        <v>#VALUE!</v>
      </c>
      <c r="DE215" t="e">
        <f>Raw!M489+"h_l!)zZ"</f>
        <v>#VALUE!</v>
      </c>
      <c r="DF215" t="e">
        <f>Raw!N489+"h_l!)z["</f>
        <v>#VALUE!</v>
      </c>
      <c r="DG215" t="e">
        <f>Raw!O489+"h_l!)z\"</f>
        <v>#VALUE!</v>
      </c>
      <c r="DH215" t="e">
        <f>Raw!P489+"h_l!)z]"</f>
        <v>#VALUE!</v>
      </c>
      <c r="DI215" t="e">
        <f>Raw!Q489+"h_l!)z^"</f>
        <v>#VALUE!</v>
      </c>
      <c r="DJ215" t="e">
        <f>Raw!R489+"h_l!)z_"</f>
        <v>#VALUE!</v>
      </c>
      <c r="DK215" t="e">
        <f>Raw!S489+"h_l!)z`"</f>
        <v>#VALUE!</v>
      </c>
      <c r="DL215" t="e">
        <f>Raw!T489+"h_l!)za"</f>
        <v>#VALUE!</v>
      </c>
      <c r="DM215" t="e">
        <f>Raw!U489+"h_l!)zb"</f>
        <v>#VALUE!</v>
      </c>
      <c r="DN215" t="e">
        <f>Raw!V489+"h_l!)zc"</f>
        <v>#VALUE!</v>
      </c>
      <c r="DO215" t="e">
        <f>Raw!W489+"h_l!)zd"</f>
        <v>#VALUE!</v>
      </c>
      <c r="DP215" t="e">
        <f>Raw!A490+"h_l!)ze"</f>
        <v>#VALUE!</v>
      </c>
      <c r="DQ215" t="e">
        <f>Raw!B490+"h_l!)zf"</f>
        <v>#VALUE!</v>
      </c>
      <c r="DR215" t="e">
        <f>Raw!C490+"h_l!)zg"</f>
        <v>#VALUE!</v>
      </c>
      <c r="DS215" t="e">
        <f>Raw!D490+"h_l!)zh"</f>
        <v>#VALUE!</v>
      </c>
      <c r="DT215" t="e">
        <f>Raw!E490+"h_l!)zi"</f>
        <v>#VALUE!</v>
      </c>
      <c r="DU215" t="e">
        <f>Raw!#REF!+"h_l!)zj"</f>
        <v>#REF!</v>
      </c>
      <c r="DV215" t="e">
        <f>Raw!G490+"h_l!)zk"</f>
        <v>#VALUE!</v>
      </c>
      <c r="DW215" t="e">
        <f>Raw!H490+"h_l!)zl"</f>
        <v>#VALUE!</v>
      </c>
      <c r="DX215" t="e">
        <f>Raw!I490+"h_l!)zm"</f>
        <v>#VALUE!</v>
      </c>
      <c r="DY215" t="e">
        <f>Raw!J490+"h_l!)zn"</f>
        <v>#VALUE!</v>
      </c>
      <c r="DZ215" t="e">
        <f>Raw!K490+"h_l!)zo"</f>
        <v>#VALUE!</v>
      </c>
      <c r="EA215" t="e">
        <f>Raw!L490+"h_l!)zp"</f>
        <v>#VALUE!</v>
      </c>
      <c r="EB215" t="e">
        <f>Raw!M490+"h_l!)zq"</f>
        <v>#VALUE!</v>
      </c>
      <c r="EC215" t="e">
        <f>Raw!N490+"h_l!)zr"</f>
        <v>#VALUE!</v>
      </c>
      <c r="ED215" t="e">
        <f>Raw!O490+"h_l!)zs"</f>
        <v>#VALUE!</v>
      </c>
      <c r="EE215" t="e">
        <f>Raw!P490+"h_l!)zt"</f>
        <v>#VALUE!</v>
      </c>
      <c r="EF215" t="e">
        <f>Raw!Q490+"h_l!)zu"</f>
        <v>#VALUE!</v>
      </c>
      <c r="EG215" t="e">
        <f>Raw!R490+"h_l!)zv"</f>
        <v>#VALUE!</v>
      </c>
      <c r="EH215" t="e">
        <f>Raw!S490+"h_l!)zw"</f>
        <v>#VALUE!</v>
      </c>
      <c r="EI215" t="e">
        <f>Raw!T490+"h_l!)zx"</f>
        <v>#VALUE!</v>
      </c>
      <c r="EJ215" t="e">
        <f>Raw!U490+"h_l!)zy"</f>
        <v>#VALUE!</v>
      </c>
      <c r="EK215" t="e">
        <f>Raw!V490+"h_l!)zz"</f>
        <v>#VALUE!</v>
      </c>
      <c r="EL215" t="e">
        <f>Raw!W490+"h_l!)z{"</f>
        <v>#VALUE!</v>
      </c>
      <c r="EM215" t="e">
        <f>Raw!A491+"h_l!)z|"</f>
        <v>#VALUE!</v>
      </c>
      <c r="EN215" t="e">
        <f>Raw!B491+"h_l!)z}"</f>
        <v>#VALUE!</v>
      </c>
      <c r="EO215" t="e">
        <f>Raw!C491+"h_l!)z~"</f>
        <v>#VALUE!</v>
      </c>
      <c r="EP215" t="e">
        <f>Raw!D491+"h_l!){#"</f>
        <v>#VALUE!</v>
      </c>
      <c r="EQ215" t="e">
        <f>Raw!E491+"h_l!){$"</f>
        <v>#VALUE!</v>
      </c>
      <c r="ER215" t="e">
        <f>Raw!#REF!+"h_l!){%"</f>
        <v>#REF!</v>
      </c>
      <c r="ES215" t="e">
        <f>Raw!G491+"h_l!){&amp;"</f>
        <v>#VALUE!</v>
      </c>
      <c r="ET215" t="e">
        <f>Raw!H491+"h_l!){'"</f>
        <v>#VALUE!</v>
      </c>
      <c r="EU215" t="e">
        <f>Raw!I491+"h_l!){("</f>
        <v>#VALUE!</v>
      </c>
      <c r="EV215" t="e">
        <f>Raw!J491+"h_l!){)"</f>
        <v>#VALUE!</v>
      </c>
      <c r="EW215" t="e">
        <f>Raw!K491+"h_l!){."</f>
        <v>#VALUE!</v>
      </c>
      <c r="EX215" t="e">
        <f>Raw!L491+"h_l!){/"</f>
        <v>#VALUE!</v>
      </c>
      <c r="EY215" t="e">
        <f>Raw!M491+"h_l!){0"</f>
        <v>#VALUE!</v>
      </c>
      <c r="EZ215" t="e">
        <f>Raw!N491+"h_l!){1"</f>
        <v>#VALUE!</v>
      </c>
      <c r="FA215" t="e">
        <f>Raw!O491+"h_l!){2"</f>
        <v>#VALUE!</v>
      </c>
      <c r="FB215" t="e">
        <f>Raw!P491+"h_l!){3"</f>
        <v>#VALUE!</v>
      </c>
      <c r="FC215" t="e">
        <f>Raw!Q491+"h_l!){4"</f>
        <v>#VALUE!</v>
      </c>
      <c r="FD215" t="e">
        <f>Raw!R491+"h_l!){5"</f>
        <v>#VALUE!</v>
      </c>
      <c r="FE215" t="e">
        <f>Raw!S491+"h_l!){6"</f>
        <v>#VALUE!</v>
      </c>
      <c r="FF215" t="e">
        <f>Raw!T491+"h_l!){7"</f>
        <v>#VALUE!</v>
      </c>
      <c r="FG215" t="e">
        <f>Raw!U491+"h_l!){8"</f>
        <v>#VALUE!</v>
      </c>
      <c r="FH215" t="e">
        <f>Raw!V491+"h_l!){9"</f>
        <v>#VALUE!</v>
      </c>
      <c r="FI215" t="e">
        <f>Raw!W491+"h_l!){:"</f>
        <v>#VALUE!</v>
      </c>
      <c r="FJ215" t="e">
        <f>Raw!A492+"h_l!){;"</f>
        <v>#VALUE!</v>
      </c>
      <c r="FK215" t="e">
        <f>Raw!B492+"h_l!){&lt;"</f>
        <v>#VALUE!</v>
      </c>
      <c r="FL215" t="e">
        <f>Raw!C492+"h_l!){="</f>
        <v>#VALUE!</v>
      </c>
      <c r="FM215" t="e">
        <f>Raw!D492+"h_l!){&gt;"</f>
        <v>#VALUE!</v>
      </c>
      <c r="FN215" t="e">
        <f>Raw!E492+"h_l!){?"</f>
        <v>#VALUE!</v>
      </c>
      <c r="FO215" t="e">
        <f>Raw!#REF!+"h_l!){@"</f>
        <v>#REF!</v>
      </c>
      <c r="FP215" t="e">
        <f>Raw!G492+"h_l!){A"</f>
        <v>#VALUE!</v>
      </c>
      <c r="FQ215" t="e">
        <f>Raw!H492+"h_l!){B"</f>
        <v>#VALUE!</v>
      </c>
      <c r="FR215" t="e">
        <f>Raw!I492+"h_l!){C"</f>
        <v>#VALUE!</v>
      </c>
      <c r="FS215" t="e">
        <f>Raw!J492+"h_l!){D"</f>
        <v>#VALUE!</v>
      </c>
      <c r="FT215" t="e">
        <f>Raw!K492+"h_l!){E"</f>
        <v>#VALUE!</v>
      </c>
      <c r="FU215" t="e">
        <f>Raw!L492+"h_l!){F"</f>
        <v>#VALUE!</v>
      </c>
      <c r="FV215" t="e">
        <f>Raw!M492+"h_l!){G"</f>
        <v>#VALUE!</v>
      </c>
      <c r="FW215" t="e">
        <f>Raw!N492+"h_l!){H"</f>
        <v>#VALUE!</v>
      </c>
      <c r="FX215" t="e">
        <f>Raw!O492+"h_l!){I"</f>
        <v>#VALUE!</v>
      </c>
      <c r="FY215" t="e">
        <f>Raw!P492+"h_l!){J"</f>
        <v>#VALUE!</v>
      </c>
      <c r="FZ215" t="e">
        <f>Raw!Q492+"h_l!){K"</f>
        <v>#VALUE!</v>
      </c>
      <c r="GA215" t="e">
        <f>Raw!R492+"h_l!){L"</f>
        <v>#VALUE!</v>
      </c>
      <c r="GB215" t="e">
        <f>Raw!S492+"h_l!){M"</f>
        <v>#VALUE!</v>
      </c>
      <c r="GC215" t="e">
        <f>Raw!T492+"h_l!){N"</f>
        <v>#VALUE!</v>
      </c>
      <c r="GD215" t="e">
        <f>Raw!U492+"h_l!){O"</f>
        <v>#VALUE!</v>
      </c>
      <c r="GE215" t="e">
        <f>Raw!V492+"h_l!){P"</f>
        <v>#VALUE!</v>
      </c>
      <c r="GF215" t="e">
        <f>Raw!W492+"h_l!){Q"</f>
        <v>#VALUE!</v>
      </c>
      <c r="GG215" t="e">
        <f>Raw!A493+"h_l!){R"</f>
        <v>#VALUE!</v>
      </c>
      <c r="GH215" t="e">
        <f>Raw!B493+"h_l!){S"</f>
        <v>#VALUE!</v>
      </c>
      <c r="GI215" t="e">
        <f>Raw!C493+"h_l!){T"</f>
        <v>#VALUE!</v>
      </c>
      <c r="GJ215" t="e">
        <f>Raw!D493+"h_l!){U"</f>
        <v>#VALUE!</v>
      </c>
      <c r="GK215" t="e">
        <f>Raw!E493+"h_l!){V"</f>
        <v>#VALUE!</v>
      </c>
      <c r="GL215" t="e">
        <f>Raw!#REF!+"h_l!){W"</f>
        <v>#REF!</v>
      </c>
      <c r="GM215" t="e">
        <f>Raw!G493+"h_l!){X"</f>
        <v>#VALUE!</v>
      </c>
      <c r="GN215" t="e">
        <f>Raw!H493+"h_l!){Y"</f>
        <v>#VALUE!</v>
      </c>
      <c r="GO215" t="e">
        <f>Raw!I493+"h_l!){Z"</f>
        <v>#VALUE!</v>
      </c>
      <c r="GP215" t="e">
        <f>Raw!J493+"h_l!){["</f>
        <v>#VALUE!</v>
      </c>
      <c r="GQ215" t="e">
        <f>Raw!K493+"h_l!){\"</f>
        <v>#VALUE!</v>
      </c>
      <c r="GR215" t="e">
        <f>Raw!L493+"h_l!){]"</f>
        <v>#VALUE!</v>
      </c>
      <c r="GS215" t="e">
        <f>Raw!M493+"h_l!){^"</f>
        <v>#VALUE!</v>
      </c>
      <c r="GT215" t="e">
        <f>Raw!N493+"h_l!){_"</f>
        <v>#VALUE!</v>
      </c>
      <c r="GU215" t="e">
        <f>Raw!O493+"h_l!){`"</f>
        <v>#VALUE!</v>
      </c>
      <c r="GV215" t="e">
        <f>Raw!P493+"h_l!){a"</f>
        <v>#VALUE!</v>
      </c>
      <c r="GW215" t="e">
        <f>Raw!Q493+"h_l!){b"</f>
        <v>#VALUE!</v>
      </c>
      <c r="GX215" t="e">
        <f>Raw!R493+"h_l!){c"</f>
        <v>#VALUE!</v>
      </c>
      <c r="GY215" t="e">
        <f>Raw!S493+"h_l!){d"</f>
        <v>#VALUE!</v>
      </c>
      <c r="GZ215" t="e">
        <f>Raw!T493+"h_l!){e"</f>
        <v>#VALUE!</v>
      </c>
      <c r="HA215" t="e">
        <f>Raw!U493+"h_l!){f"</f>
        <v>#VALUE!</v>
      </c>
      <c r="HB215" t="e">
        <f>Raw!V493+"h_l!){g"</f>
        <v>#VALUE!</v>
      </c>
      <c r="HC215" t="e">
        <f>Raw!W493+"h_l!){h"</f>
        <v>#VALUE!</v>
      </c>
      <c r="HD215" t="e">
        <f>Raw!A494+"h_l!){i"</f>
        <v>#VALUE!</v>
      </c>
      <c r="HE215" t="e">
        <f>Raw!B494+"h_l!){j"</f>
        <v>#VALUE!</v>
      </c>
      <c r="HF215" t="e">
        <f>Raw!C494+"h_l!){k"</f>
        <v>#VALUE!</v>
      </c>
      <c r="HG215" t="e">
        <f>Raw!D494+"h_l!){l"</f>
        <v>#VALUE!</v>
      </c>
      <c r="HH215" t="e">
        <f>Raw!E494+"h_l!){m"</f>
        <v>#VALUE!</v>
      </c>
      <c r="HI215" t="e">
        <f>Raw!#REF!+"h_l!){n"</f>
        <v>#REF!</v>
      </c>
      <c r="HJ215" t="e">
        <f>Raw!G494+"h_l!){o"</f>
        <v>#VALUE!</v>
      </c>
      <c r="HK215" t="e">
        <f>Raw!H494+"h_l!){p"</f>
        <v>#VALUE!</v>
      </c>
      <c r="HL215" t="e">
        <f>Raw!I494+"h_l!){q"</f>
        <v>#VALUE!</v>
      </c>
      <c r="HM215" t="e">
        <f>Raw!J494+"h_l!){r"</f>
        <v>#VALUE!</v>
      </c>
      <c r="HN215" t="e">
        <f>Raw!K494+"h_l!){s"</f>
        <v>#VALUE!</v>
      </c>
      <c r="HO215" t="e">
        <f>Raw!L494+"h_l!){t"</f>
        <v>#VALUE!</v>
      </c>
      <c r="HP215" t="e">
        <f>Raw!M494+"h_l!){u"</f>
        <v>#VALUE!</v>
      </c>
      <c r="HQ215" t="e">
        <f>Raw!N494+"h_l!){v"</f>
        <v>#VALUE!</v>
      </c>
      <c r="HR215" t="e">
        <f>Raw!O494+"h_l!){w"</f>
        <v>#VALUE!</v>
      </c>
      <c r="HS215" t="e">
        <f>Raw!P494+"h_l!){x"</f>
        <v>#VALUE!</v>
      </c>
      <c r="HT215" t="e">
        <f>Raw!Q494+"h_l!){y"</f>
        <v>#VALUE!</v>
      </c>
      <c r="HU215" t="e">
        <f>Raw!R494+"h_l!){z"</f>
        <v>#VALUE!</v>
      </c>
      <c r="HV215" t="e">
        <f>Raw!S494+"h_l!){{"</f>
        <v>#VALUE!</v>
      </c>
      <c r="HW215" t="e">
        <f>Raw!T494+"h_l!){|"</f>
        <v>#VALUE!</v>
      </c>
      <c r="HX215" t="e">
        <f>Raw!U494+"h_l!){}"</f>
        <v>#VALUE!</v>
      </c>
      <c r="HY215" t="e">
        <f>Raw!V494+"h_l!){~"</f>
        <v>#VALUE!</v>
      </c>
      <c r="HZ215" t="e">
        <f>Raw!W494+"h_l!)|#"</f>
        <v>#VALUE!</v>
      </c>
      <c r="IA215" t="e">
        <f>Raw!A495+"h_l!)|$"</f>
        <v>#VALUE!</v>
      </c>
      <c r="IB215" t="e">
        <f>Raw!B495+"h_l!)|%"</f>
        <v>#VALUE!</v>
      </c>
      <c r="IC215" t="e">
        <f>Raw!C495+"h_l!)|&amp;"</f>
        <v>#VALUE!</v>
      </c>
      <c r="ID215" t="e">
        <f>Raw!D495+"h_l!)|'"</f>
        <v>#VALUE!</v>
      </c>
      <c r="IE215" t="e">
        <f>Raw!E495+"h_l!)|("</f>
        <v>#VALUE!</v>
      </c>
      <c r="IF215" t="e">
        <f>Raw!#REF!+"h_l!)|)"</f>
        <v>#REF!</v>
      </c>
      <c r="IG215" t="e">
        <f>Raw!G495+"h_l!)|."</f>
        <v>#VALUE!</v>
      </c>
      <c r="IH215" t="e">
        <f>Raw!H495+"h_l!)|/"</f>
        <v>#VALUE!</v>
      </c>
      <c r="II215" t="e">
        <f>Raw!I495+"h_l!)|0"</f>
        <v>#VALUE!</v>
      </c>
      <c r="IJ215" t="e">
        <f>Raw!J495+"h_l!)|1"</f>
        <v>#VALUE!</v>
      </c>
      <c r="IK215" t="e">
        <f>Raw!K495+"h_l!)|2"</f>
        <v>#VALUE!</v>
      </c>
      <c r="IL215" t="e">
        <f>Raw!L495+"h_l!)|3"</f>
        <v>#VALUE!</v>
      </c>
      <c r="IM215" t="e">
        <f>Raw!M495+"h_l!)|4"</f>
        <v>#VALUE!</v>
      </c>
      <c r="IN215" t="e">
        <f>Raw!N495+"h_l!)|5"</f>
        <v>#VALUE!</v>
      </c>
      <c r="IO215" t="e">
        <f>Raw!O495+"h_l!)|6"</f>
        <v>#VALUE!</v>
      </c>
      <c r="IP215" t="e">
        <f>Raw!P495+"h_l!)|7"</f>
        <v>#VALUE!</v>
      </c>
      <c r="IQ215" t="e">
        <f>Raw!Q495+"h_l!)|8"</f>
        <v>#VALUE!</v>
      </c>
      <c r="IR215" t="e">
        <f>Raw!R495+"h_l!)|9"</f>
        <v>#VALUE!</v>
      </c>
      <c r="IS215" t="e">
        <f>Raw!S495+"h_l!)|:"</f>
        <v>#VALUE!</v>
      </c>
      <c r="IT215" t="e">
        <f>Raw!T495+"h_l!)|;"</f>
        <v>#VALUE!</v>
      </c>
      <c r="IU215" t="e">
        <f>Raw!U495+"h_l!)|&lt;"</f>
        <v>#VALUE!</v>
      </c>
      <c r="IV215" t="e">
        <f>Raw!V495+"h_l!)|="</f>
        <v>#VALUE!</v>
      </c>
    </row>
    <row r="216" spans="6:256" x14ac:dyDescent="0.25">
      <c r="F216" t="e">
        <f>Raw!W495+"h_l!)|&gt;"</f>
        <v>#VALUE!</v>
      </c>
      <c r="G216" t="e">
        <f>Raw!A496+"h_l!)|?"</f>
        <v>#VALUE!</v>
      </c>
      <c r="H216" t="e">
        <f>Raw!B496+"h_l!)|@"</f>
        <v>#VALUE!</v>
      </c>
      <c r="I216" t="e">
        <f>Raw!C496+"h_l!)|A"</f>
        <v>#VALUE!</v>
      </c>
      <c r="J216" t="e">
        <f>Raw!D496+"h_l!)|B"</f>
        <v>#VALUE!</v>
      </c>
      <c r="K216" t="e">
        <f>Raw!E496+"h_l!)|C"</f>
        <v>#VALUE!</v>
      </c>
      <c r="L216" t="e">
        <f>Raw!#REF!+"h_l!)|D"</f>
        <v>#REF!</v>
      </c>
      <c r="M216" t="e">
        <f>Raw!G496+"h_l!)|E"</f>
        <v>#VALUE!</v>
      </c>
      <c r="N216" t="e">
        <f>Raw!H496+"h_l!)|F"</f>
        <v>#VALUE!</v>
      </c>
      <c r="O216" t="e">
        <f>Raw!I496+"h_l!)|G"</f>
        <v>#VALUE!</v>
      </c>
      <c r="P216" t="e">
        <f>Raw!J496+"h_l!)|H"</f>
        <v>#VALUE!</v>
      </c>
      <c r="Q216" t="e">
        <f>Raw!K496+"h_l!)|I"</f>
        <v>#VALUE!</v>
      </c>
      <c r="R216" t="e">
        <f>Raw!L496+"h_l!)|J"</f>
        <v>#VALUE!</v>
      </c>
      <c r="S216" t="e">
        <f>Raw!M496+"h_l!)|K"</f>
        <v>#VALUE!</v>
      </c>
      <c r="T216" t="e">
        <f>Raw!N496+"h_l!)|L"</f>
        <v>#VALUE!</v>
      </c>
      <c r="U216" t="e">
        <f>Raw!O496+"h_l!)|M"</f>
        <v>#VALUE!</v>
      </c>
      <c r="V216" t="e">
        <f>Raw!P496+"h_l!)|N"</f>
        <v>#VALUE!</v>
      </c>
      <c r="W216" t="e">
        <f>Raw!Q496+"h_l!)|O"</f>
        <v>#VALUE!</v>
      </c>
      <c r="X216" t="e">
        <f>Raw!R496+"h_l!)|P"</f>
        <v>#VALUE!</v>
      </c>
      <c r="Y216" t="e">
        <f>Raw!S496+"h_l!)|Q"</f>
        <v>#VALUE!</v>
      </c>
      <c r="Z216" t="e">
        <f>Raw!T496+"h_l!)|R"</f>
        <v>#VALUE!</v>
      </c>
      <c r="AA216" t="e">
        <f>Raw!U496+"h_l!)|S"</f>
        <v>#VALUE!</v>
      </c>
      <c r="AB216" t="e">
        <f>Raw!V496+"h_l!)|T"</f>
        <v>#VALUE!</v>
      </c>
      <c r="AC216" t="e">
        <f>Raw!W496+"h_l!)|U"</f>
        <v>#VALUE!</v>
      </c>
      <c r="AD216" t="e">
        <f>Raw!A497+"h_l!)|V"</f>
        <v>#VALUE!</v>
      </c>
      <c r="AE216" t="e">
        <f>Raw!B497+"h_l!)|W"</f>
        <v>#VALUE!</v>
      </c>
      <c r="AF216" t="e">
        <f>Raw!C497+"h_l!)|X"</f>
        <v>#VALUE!</v>
      </c>
      <c r="AG216" t="e">
        <f>Raw!D497+"h_l!)|Y"</f>
        <v>#VALUE!</v>
      </c>
      <c r="AH216" t="e">
        <f>Raw!E497+"h_l!)|Z"</f>
        <v>#VALUE!</v>
      </c>
      <c r="AI216" t="e">
        <f>Raw!#REF!+"h_l!)|["</f>
        <v>#REF!</v>
      </c>
      <c r="AJ216" t="e">
        <f>Raw!G497+"h_l!)|\"</f>
        <v>#VALUE!</v>
      </c>
      <c r="AK216" t="e">
        <f>Raw!H497+"h_l!)|]"</f>
        <v>#VALUE!</v>
      </c>
      <c r="AL216" t="e">
        <f>Raw!I497+"h_l!)|^"</f>
        <v>#VALUE!</v>
      </c>
      <c r="AM216" t="e">
        <f>Raw!J497+"h_l!)|_"</f>
        <v>#VALUE!</v>
      </c>
      <c r="AN216" t="e">
        <f>Raw!K497+"h_l!)|`"</f>
        <v>#VALUE!</v>
      </c>
      <c r="AO216" t="e">
        <f>Raw!L497+"h_l!)|a"</f>
        <v>#VALUE!</v>
      </c>
      <c r="AP216" t="e">
        <f>Raw!M497+"h_l!)|b"</f>
        <v>#VALUE!</v>
      </c>
      <c r="AQ216" t="e">
        <f>Raw!N497+"h_l!)|c"</f>
        <v>#VALUE!</v>
      </c>
      <c r="AR216" t="e">
        <f>Raw!O497+"h_l!)|d"</f>
        <v>#VALUE!</v>
      </c>
      <c r="AS216" t="e">
        <f>Raw!P497+"h_l!)|e"</f>
        <v>#VALUE!</v>
      </c>
      <c r="AT216" t="e">
        <f>Raw!Q497+"h_l!)|f"</f>
        <v>#VALUE!</v>
      </c>
      <c r="AU216" t="e">
        <f>Raw!R497+"h_l!)|g"</f>
        <v>#VALUE!</v>
      </c>
      <c r="AV216" t="e">
        <f>Raw!S497+"h_l!)|h"</f>
        <v>#VALUE!</v>
      </c>
      <c r="AW216" t="e">
        <f>Raw!T497+"h_l!)|i"</f>
        <v>#VALUE!</v>
      </c>
      <c r="AX216" t="e">
        <f>Raw!U497+"h_l!)|j"</f>
        <v>#VALUE!</v>
      </c>
      <c r="AY216" t="e">
        <f>Raw!V497+"h_l!)|k"</f>
        <v>#VALUE!</v>
      </c>
      <c r="AZ216" t="e">
        <f>Raw!W497+"h_l!)|l"</f>
        <v>#VALUE!</v>
      </c>
      <c r="BA216" t="e">
        <f>Raw!A498+"h_l!)|m"</f>
        <v>#VALUE!</v>
      </c>
      <c r="BB216" t="e">
        <f>Raw!B498+"h_l!)|n"</f>
        <v>#VALUE!</v>
      </c>
      <c r="BC216" t="e">
        <f>Raw!C498+"h_l!)|o"</f>
        <v>#VALUE!</v>
      </c>
      <c r="BD216" t="e">
        <f>Raw!D498+"h_l!)|p"</f>
        <v>#VALUE!</v>
      </c>
      <c r="BE216" t="e">
        <f>Raw!E498+"h_l!)|q"</f>
        <v>#VALUE!</v>
      </c>
      <c r="BF216" t="e">
        <f>Raw!#REF!+"h_l!)|r"</f>
        <v>#REF!</v>
      </c>
      <c r="BG216" t="e">
        <f>Raw!G498+"h_l!)|s"</f>
        <v>#VALUE!</v>
      </c>
      <c r="BH216" t="e">
        <f>Raw!H498+"h_l!)|t"</f>
        <v>#VALUE!</v>
      </c>
      <c r="BI216" t="e">
        <f>Raw!I498+"h_l!)|u"</f>
        <v>#VALUE!</v>
      </c>
      <c r="BJ216" t="e">
        <f>Raw!J498+"h_l!)|v"</f>
        <v>#VALUE!</v>
      </c>
      <c r="BK216" t="e">
        <f>Raw!K498+"h_l!)|w"</f>
        <v>#VALUE!</v>
      </c>
      <c r="BL216" t="e">
        <f>Raw!L498+"h_l!)|x"</f>
        <v>#VALUE!</v>
      </c>
      <c r="BM216" t="e">
        <f>Raw!M498+"h_l!)|y"</f>
        <v>#VALUE!</v>
      </c>
      <c r="BN216" t="e">
        <f>Raw!N498+"h_l!)|z"</f>
        <v>#VALUE!</v>
      </c>
      <c r="BO216" t="e">
        <f>Raw!O498+"h_l!)|{"</f>
        <v>#VALUE!</v>
      </c>
      <c r="BP216" t="e">
        <f>Raw!P498+"h_l!)||"</f>
        <v>#VALUE!</v>
      </c>
      <c r="BQ216" t="e">
        <f>Raw!Q498+"h_l!)|}"</f>
        <v>#VALUE!</v>
      </c>
      <c r="BR216" t="e">
        <f>Raw!R498+"h_l!)|~"</f>
        <v>#VALUE!</v>
      </c>
      <c r="BS216" t="e">
        <f>Raw!S498+"h_l!)}#"</f>
        <v>#VALUE!</v>
      </c>
      <c r="BT216" t="e">
        <f>Raw!T498+"h_l!)}$"</f>
        <v>#VALUE!</v>
      </c>
      <c r="BU216" t="e">
        <f>Raw!U498+"h_l!)}%"</f>
        <v>#VALUE!</v>
      </c>
      <c r="BV216" t="e">
        <f>Raw!V498+"h_l!)}&amp;"</f>
        <v>#VALUE!</v>
      </c>
      <c r="BW216" t="e">
        <f>Raw!W498+"h_l!)}'"</f>
        <v>#VALUE!</v>
      </c>
      <c r="BX216" t="e">
        <f>Raw!A499+"h_l!)}("</f>
        <v>#VALUE!</v>
      </c>
      <c r="BY216" t="e">
        <f>Raw!B499+"h_l!)})"</f>
        <v>#VALUE!</v>
      </c>
      <c r="BZ216" t="e">
        <f>Raw!C499+"h_l!)}."</f>
        <v>#VALUE!</v>
      </c>
      <c r="CA216" t="e">
        <f>Raw!D499+"h_l!)}/"</f>
        <v>#VALUE!</v>
      </c>
      <c r="CB216" t="e">
        <f>Raw!E499+"h_l!)}0"</f>
        <v>#VALUE!</v>
      </c>
      <c r="CC216" t="e">
        <f>Raw!#REF!+"h_l!)}1"</f>
        <v>#REF!</v>
      </c>
      <c r="CD216" t="e">
        <f>Raw!G499+"h_l!)}2"</f>
        <v>#VALUE!</v>
      </c>
      <c r="CE216" t="e">
        <f>Raw!H499+"h_l!)}3"</f>
        <v>#VALUE!</v>
      </c>
      <c r="CF216" t="e">
        <f>Raw!I499+"h_l!)}4"</f>
        <v>#VALUE!</v>
      </c>
      <c r="CG216" t="e">
        <f>Raw!J499+"h_l!)}5"</f>
        <v>#VALUE!</v>
      </c>
      <c r="CH216" t="e">
        <f>Raw!K499+"h_l!)}6"</f>
        <v>#VALUE!</v>
      </c>
      <c r="CI216" t="e">
        <f>Raw!L499+"h_l!)}7"</f>
        <v>#VALUE!</v>
      </c>
      <c r="CJ216" t="e">
        <f>Raw!M499+"h_l!)}8"</f>
        <v>#VALUE!</v>
      </c>
      <c r="CK216" t="e">
        <f>Raw!N499+"h_l!)}9"</f>
        <v>#VALUE!</v>
      </c>
      <c r="CL216" t="e">
        <f>Raw!O499+"h_l!)}:"</f>
        <v>#VALUE!</v>
      </c>
      <c r="CM216" t="e">
        <f>Raw!P499+"h_l!)};"</f>
        <v>#VALUE!</v>
      </c>
      <c r="CN216" t="e">
        <f>Raw!Q499+"h_l!)}&lt;"</f>
        <v>#VALUE!</v>
      </c>
      <c r="CO216" t="e">
        <f>Raw!R499+"h_l!)}="</f>
        <v>#VALUE!</v>
      </c>
      <c r="CP216" t="e">
        <f>Raw!S499+"h_l!)}&gt;"</f>
        <v>#VALUE!</v>
      </c>
      <c r="CQ216" t="e">
        <f>Raw!T499+"h_l!)}?"</f>
        <v>#VALUE!</v>
      </c>
      <c r="CR216" t="e">
        <f>Raw!U499+"h_l!)}@"</f>
        <v>#VALUE!</v>
      </c>
      <c r="CS216" t="e">
        <f>Raw!V499+"h_l!)}A"</f>
        <v>#VALUE!</v>
      </c>
      <c r="CT216" t="e">
        <f>Raw!W499+"h_l!)}B"</f>
        <v>#VALUE!</v>
      </c>
      <c r="CU216" t="e">
        <f>Raw!A500+"h_l!)}C"</f>
        <v>#VALUE!</v>
      </c>
      <c r="CV216" t="e">
        <f>Raw!B500+"h_l!)}D"</f>
        <v>#VALUE!</v>
      </c>
      <c r="CW216" t="e">
        <f>Raw!C500+"h_l!)}E"</f>
        <v>#VALUE!</v>
      </c>
      <c r="CX216" t="e">
        <f>Raw!D500+"h_l!)}F"</f>
        <v>#VALUE!</v>
      </c>
      <c r="CY216" t="e">
        <f>Raw!E500+"h_l!)}G"</f>
        <v>#VALUE!</v>
      </c>
      <c r="CZ216" t="e">
        <f>Raw!#REF!+"h_l!)}H"</f>
        <v>#REF!</v>
      </c>
      <c r="DA216" t="e">
        <f>Raw!G500+"h_l!)}I"</f>
        <v>#VALUE!</v>
      </c>
      <c r="DB216" t="e">
        <f>Raw!H500+"h_l!)}J"</f>
        <v>#VALUE!</v>
      </c>
      <c r="DC216" t="e">
        <f>Raw!I500+"h_l!)}K"</f>
        <v>#VALUE!</v>
      </c>
      <c r="DD216" t="e">
        <f>Raw!J500+"h_l!)}L"</f>
        <v>#VALUE!</v>
      </c>
      <c r="DE216" t="e">
        <f>Raw!K500+"h_l!)}M"</f>
        <v>#VALUE!</v>
      </c>
      <c r="DF216" t="e">
        <f>Raw!L500+"h_l!)}N"</f>
        <v>#VALUE!</v>
      </c>
      <c r="DG216" t="e">
        <f>Raw!M500+"h_l!)}O"</f>
        <v>#VALUE!</v>
      </c>
      <c r="DH216" t="e">
        <f>Raw!N500+"h_l!)}P"</f>
        <v>#VALUE!</v>
      </c>
      <c r="DI216" t="e">
        <f>Raw!O500+"h_l!)}Q"</f>
        <v>#VALUE!</v>
      </c>
      <c r="DJ216" t="e">
        <f>Raw!P500+"h_l!)}R"</f>
        <v>#VALUE!</v>
      </c>
      <c r="DK216" t="e">
        <f>Raw!Q500+"h_l!)}S"</f>
        <v>#VALUE!</v>
      </c>
      <c r="DL216" t="e">
        <f>Raw!R500+"h_l!)}T"</f>
        <v>#VALUE!</v>
      </c>
      <c r="DM216" t="e">
        <f>Raw!S500+"h_l!)}U"</f>
        <v>#VALUE!</v>
      </c>
      <c r="DN216" t="e">
        <f>Raw!T500+"h_l!)}V"</f>
        <v>#VALUE!</v>
      </c>
      <c r="DO216" t="e">
        <f>Raw!U500+"h_l!)}W"</f>
        <v>#VALUE!</v>
      </c>
      <c r="DP216" t="e">
        <f>Raw!V500+"h_l!)}X"</f>
        <v>#VALUE!</v>
      </c>
      <c r="DQ216" t="e">
        <f>Raw!W500+"h_l!)}Y"</f>
        <v>#VALUE!</v>
      </c>
      <c r="DR216" t="e">
        <f>Raw!A501+"h_l!)}Z"</f>
        <v>#VALUE!</v>
      </c>
      <c r="DS216" t="e">
        <f>Raw!B501+"h_l!)}["</f>
        <v>#VALUE!</v>
      </c>
      <c r="DT216" t="e">
        <f>Raw!C501+"h_l!)}\"</f>
        <v>#VALUE!</v>
      </c>
      <c r="DU216" t="e">
        <f>Raw!D501+"h_l!)}]"</f>
        <v>#VALUE!</v>
      </c>
      <c r="DV216" t="e">
        <f>Raw!E501+"h_l!)}^"</f>
        <v>#VALUE!</v>
      </c>
      <c r="DW216" t="e">
        <f>Raw!#REF!+"h_l!)}_"</f>
        <v>#REF!</v>
      </c>
      <c r="DX216" t="e">
        <f>Raw!G501+"h_l!)}`"</f>
        <v>#VALUE!</v>
      </c>
      <c r="DY216" t="e">
        <f>Raw!H501+"h_l!)}a"</f>
        <v>#VALUE!</v>
      </c>
      <c r="DZ216" t="e">
        <f>Raw!I501+"h_l!)}b"</f>
        <v>#VALUE!</v>
      </c>
      <c r="EA216" t="e">
        <f>Raw!J501+"h_l!)}c"</f>
        <v>#VALUE!</v>
      </c>
      <c r="EB216" t="e">
        <f>Raw!K501+"h_l!)}d"</f>
        <v>#VALUE!</v>
      </c>
      <c r="EC216" t="e">
        <f>Raw!L501+"h_l!)}e"</f>
        <v>#VALUE!</v>
      </c>
      <c r="ED216" t="e">
        <f>Raw!M501+"h_l!)}f"</f>
        <v>#VALUE!</v>
      </c>
      <c r="EE216" t="e">
        <f>Raw!N501+"h_l!)}g"</f>
        <v>#VALUE!</v>
      </c>
      <c r="EF216" t="e">
        <f>Raw!O501+"h_l!)}h"</f>
        <v>#VALUE!</v>
      </c>
      <c r="EG216" t="e">
        <f>Raw!P501+"h_l!)}i"</f>
        <v>#VALUE!</v>
      </c>
      <c r="EH216" t="e">
        <f>Raw!Q501+"h_l!)}j"</f>
        <v>#VALUE!</v>
      </c>
      <c r="EI216" t="e">
        <f>Raw!R501+"h_l!)}k"</f>
        <v>#VALUE!</v>
      </c>
      <c r="EJ216" t="e">
        <f>Raw!S501+"h_l!)}l"</f>
        <v>#VALUE!</v>
      </c>
      <c r="EK216" t="e">
        <f>Raw!T501+"h_l!)}m"</f>
        <v>#VALUE!</v>
      </c>
      <c r="EL216" t="e">
        <f>Raw!U501+"h_l!)}n"</f>
        <v>#VALUE!</v>
      </c>
      <c r="EM216" t="e">
        <f>Raw!V501+"h_l!)}o"</f>
        <v>#VALUE!</v>
      </c>
      <c r="EN216" t="e">
        <f>Raw!W501+"h_l!)}p"</f>
        <v>#VALUE!</v>
      </c>
      <c r="EO216" t="e">
        <f>Raw!A502+"h_l!)}q"</f>
        <v>#VALUE!</v>
      </c>
      <c r="EP216" t="e">
        <f>Raw!B502+"h_l!)}r"</f>
        <v>#VALUE!</v>
      </c>
      <c r="EQ216" t="e">
        <f>Raw!C502+"h_l!)}s"</f>
        <v>#VALUE!</v>
      </c>
      <c r="ER216" t="e">
        <f>Raw!D502+"h_l!)}t"</f>
        <v>#VALUE!</v>
      </c>
      <c r="ES216" t="e">
        <f>Raw!E502+"h_l!)}u"</f>
        <v>#VALUE!</v>
      </c>
      <c r="ET216" t="e">
        <f>Raw!#REF!+"h_l!)}v"</f>
        <v>#REF!</v>
      </c>
      <c r="EU216" t="e">
        <f>Raw!G502+"h_l!)}w"</f>
        <v>#VALUE!</v>
      </c>
      <c r="EV216" t="e">
        <f>Raw!H502+"h_l!)}x"</f>
        <v>#VALUE!</v>
      </c>
      <c r="EW216" t="e">
        <f>Raw!I502+"h_l!)}y"</f>
        <v>#VALUE!</v>
      </c>
      <c r="EX216" t="e">
        <f>Raw!J502+"h_l!)}z"</f>
        <v>#VALUE!</v>
      </c>
      <c r="EY216" t="e">
        <f>Raw!K502+"h_l!)}{"</f>
        <v>#VALUE!</v>
      </c>
      <c r="EZ216" t="e">
        <f>Raw!L502+"h_l!)}|"</f>
        <v>#VALUE!</v>
      </c>
      <c r="FA216" t="e">
        <f>Raw!M502+"h_l!)}}"</f>
        <v>#VALUE!</v>
      </c>
      <c r="FB216" t="e">
        <f>Raw!N502+"h_l!)}~"</f>
        <v>#VALUE!</v>
      </c>
      <c r="FC216" t="e">
        <f>Raw!O502+"h_l!)~#"</f>
        <v>#VALUE!</v>
      </c>
      <c r="FD216" t="e">
        <f>Raw!P502+"h_l!)~$"</f>
        <v>#VALUE!</v>
      </c>
      <c r="FE216" t="e">
        <f>Raw!Q502+"h_l!)~%"</f>
        <v>#VALUE!</v>
      </c>
      <c r="FF216" t="e">
        <f>Raw!R502+"h_l!)~&amp;"</f>
        <v>#VALUE!</v>
      </c>
      <c r="FG216" t="e">
        <f>Raw!S502+"h_l!)~'"</f>
        <v>#VALUE!</v>
      </c>
      <c r="FH216" t="e">
        <f>Raw!T502+"h_l!)~("</f>
        <v>#VALUE!</v>
      </c>
      <c r="FI216" t="e">
        <f>Raw!U502+"h_l!)~)"</f>
        <v>#VALUE!</v>
      </c>
      <c r="FJ216" t="e">
        <f>Raw!V502+"h_l!)~."</f>
        <v>#VALUE!</v>
      </c>
      <c r="FK216" t="e">
        <f>Raw!W502+"h_l!)~/"</f>
        <v>#VALUE!</v>
      </c>
      <c r="FL216" t="e">
        <f>Raw!A503+"h_l!)~0"</f>
        <v>#VALUE!</v>
      </c>
      <c r="FM216" t="e">
        <f>Raw!B503+"h_l!)~1"</f>
        <v>#VALUE!</v>
      </c>
      <c r="FN216" t="e">
        <f>Raw!C503+"h_l!)~2"</f>
        <v>#VALUE!</v>
      </c>
      <c r="FO216" t="e">
        <f>Raw!D503+"h_l!)~3"</f>
        <v>#VALUE!</v>
      </c>
      <c r="FP216" t="e">
        <f>Raw!E503+"h_l!)~4"</f>
        <v>#VALUE!</v>
      </c>
      <c r="FQ216" t="e">
        <f>Raw!#REF!+"h_l!)~5"</f>
        <v>#REF!</v>
      </c>
      <c r="FR216" t="e">
        <f>Raw!G503+"h_l!)~6"</f>
        <v>#VALUE!</v>
      </c>
      <c r="FS216" t="e">
        <f>Raw!H503+"h_l!)~7"</f>
        <v>#VALUE!</v>
      </c>
      <c r="FT216" t="e">
        <f>Raw!I503+"h_l!)~8"</f>
        <v>#VALUE!</v>
      </c>
      <c r="FU216" t="e">
        <f>Raw!J503+"h_l!)~9"</f>
        <v>#VALUE!</v>
      </c>
      <c r="FV216" t="e">
        <f>Raw!K503+"h_l!)~:"</f>
        <v>#VALUE!</v>
      </c>
      <c r="FW216" t="e">
        <f>Raw!L503+"h_l!)~;"</f>
        <v>#VALUE!</v>
      </c>
      <c r="FX216" t="e">
        <f>Raw!M503+"h_l!)~&lt;"</f>
        <v>#VALUE!</v>
      </c>
      <c r="FY216" t="e">
        <f>Raw!N503+"h_l!)~="</f>
        <v>#VALUE!</v>
      </c>
      <c r="FZ216" t="e">
        <f>Raw!O503+"h_l!)~&gt;"</f>
        <v>#VALUE!</v>
      </c>
      <c r="GA216" t="e">
        <f>Raw!P503+"h_l!)~?"</f>
        <v>#VALUE!</v>
      </c>
      <c r="GB216" t="e">
        <f>Raw!Q503+"h_l!)~@"</f>
        <v>#VALUE!</v>
      </c>
      <c r="GC216" t="e">
        <f>Raw!R503+"h_l!)~A"</f>
        <v>#VALUE!</v>
      </c>
      <c r="GD216" t="e">
        <f>Raw!S503+"h_l!)~B"</f>
        <v>#VALUE!</v>
      </c>
      <c r="GE216" t="e">
        <f>Raw!T503+"h_l!)~C"</f>
        <v>#VALUE!</v>
      </c>
      <c r="GF216" t="e">
        <f>Raw!U503+"h_l!)~D"</f>
        <v>#VALUE!</v>
      </c>
      <c r="GG216" t="e">
        <f>Raw!V503+"h_l!)~E"</f>
        <v>#VALUE!</v>
      </c>
      <c r="GH216" t="e">
        <f>Raw!W503+"h_l!)~F"</f>
        <v>#VALUE!</v>
      </c>
      <c r="GI216" t="e">
        <f>Raw!A504+"h_l!)~G"</f>
        <v>#VALUE!</v>
      </c>
      <c r="GJ216" t="e">
        <f>Raw!B504+"h_l!)~H"</f>
        <v>#VALUE!</v>
      </c>
      <c r="GK216" t="e">
        <f>Raw!C504+"h_l!)~I"</f>
        <v>#VALUE!</v>
      </c>
      <c r="GL216" t="e">
        <f>Raw!D504+"h_l!)~J"</f>
        <v>#VALUE!</v>
      </c>
      <c r="GM216" t="e">
        <f>Raw!E504+"h_l!)~K"</f>
        <v>#VALUE!</v>
      </c>
      <c r="GN216" t="e">
        <f>Raw!#REF!+"h_l!)~L"</f>
        <v>#REF!</v>
      </c>
      <c r="GO216" t="e">
        <f>Raw!G504+"h_l!)~M"</f>
        <v>#VALUE!</v>
      </c>
      <c r="GP216" t="e">
        <f>Raw!H504+"h_l!)~N"</f>
        <v>#VALUE!</v>
      </c>
      <c r="GQ216" t="e">
        <f>Raw!I504+"h_l!)~O"</f>
        <v>#VALUE!</v>
      </c>
      <c r="GR216" t="e">
        <f>Raw!J504+"h_l!)~P"</f>
        <v>#VALUE!</v>
      </c>
      <c r="GS216" t="e">
        <f>Raw!K504+"h_l!)~Q"</f>
        <v>#VALUE!</v>
      </c>
      <c r="GT216" t="e">
        <f>Raw!L504+"h_l!)~R"</f>
        <v>#VALUE!</v>
      </c>
      <c r="GU216" t="e">
        <f>Raw!M504+"h_l!)~S"</f>
        <v>#VALUE!</v>
      </c>
      <c r="GV216" t="e">
        <f>Raw!N504+"h_l!)~T"</f>
        <v>#VALUE!</v>
      </c>
      <c r="GW216" t="e">
        <f>Raw!O504+"h_l!)~U"</f>
        <v>#VALUE!</v>
      </c>
      <c r="GX216" t="e">
        <f>Raw!P504+"h_l!)~V"</f>
        <v>#VALUE!</v>
      </c>
      <c r="GY216" t="e">
        <f>Raw!Q504+"h_l!)~W"</f>
        <v>#VALUE!</v>
      </c>
      <c r="GZ216" t="e">
        <f>Raw!R504+"h_l!)~X"</f>
        <v>#VALUE!</v>
      </c>
      <c r="HA216" t="e">
        <f>Raw!S504+"h_l!)~Y"</f>
        <v>#VALUE!</v>
      </c>
      <c r="HB216" t="e">
        <f>Raw!T504+"h_l!)~Z"</f>
        <v>#VALUE!</v>
      </c>
      <c r="HC216" t="e">
        <f>Raw!U504+"h_l!)~["</f>
        <v>#VALUE!</v>
      </c>
      <c r="HD216" t="e">
        <f>Raw!V504+"h_l!)~\"</f>
        <v>#VALUE!</v>
      </c>
      <c r="HE216" t="e">
        <f>Raw!W504+"h_l!)~]"</f>
        <v>#VALUE!</v>
      </c>
      <c r="HF216" t="e">
        <f>Raw!A505+"h_l!)~^"</f>
        <v>#VALUE!</v>
      </c>
      <c r="HG216" t="e">
        <f>Raw!B505+"h_l!)~_"</f>
        <v>#VALUE!</v>
      </c>
      <c r="HH216" t="e">
        <f>Raw!C505+"h_l!)~`"</f>
        <v>#VALUE!</v>
      </c>
      <c r="HI216" t="e">
        <f>Raw!D505+"h_l!)~a"</f>
        <v>#VALUE!</v>
      </c>
      <c r="HJ216" t="e">
        <f>Raw!E505+"h_l!)~b"</f>
        <v>#VALUE!</v>
      </c>
      <c r="HK216" t="e">
        <f>Raw!#REF!+"h_l!)~c"</f>
        <v>#REF!</v>
      </c>
      <c r="HL216" t="e">
        <f>Raw!G505+"h_l!)~d"</f>
        <v>#VALUE!</v>
      </c>
      <c r="HM216" t="e">
        <f>Raw!H505+"h_l!)~e"</f>
        <v>#VALUE!</v>
      </c>
      <c r="HN216" t="e">
        <f>Raw!I505+"h_l!)~f"</f>
        <v>#VALUE!</v>
      </c>
      <c r="HO216" t="e">
        <f>Raw!J505+"h_l!)~g"</f>
        <v>#VALUE!</v>
      </c>
      <c r="HP216" t="e">
        <f>Raw!K505+"h_l!)~h"</f>
        <v>#VALUE!</v>
      </c>
      <c r="HQ216" t="e">
        <f>Raw!L505+"h_l!)~i"</f>
        <v>#VALUE!</v>
      </c>
      <c r="HR216" t="e">
        <f>Raw!M505+"h_l!)~j"</f>
        <v>#VALUE!</v>
      </c>
      <c r="HS216" t="e">
        <f>Raw!N505+"h_l!)~k"</f>
        <v>#VALUE!</v>
      </c>
      <c r="HT216" t="e">
        <f>Raw!O505+"h_l!)~l"</f>
        <v>#VALUE!</v>
      </c>
      <c r="HU216" t="e">
        <f>Raw!P505+"h_l!)~m"</f>
        <v>#VALUE!</v>
      </c>
      <c r="HV216" t="e">
        <f>Raw!Q505+"h_l!)~n"</f>
        <v>#VALUE!</v>
      </c>
      <c r="HW216" t="e">
        <f>Raw!R505+"h_l!)~o"</f>
        <v>#VALUE!</v>
      </c>
      <c r="HX216" t="e">
        <f>Raw!S505+"h_l!)~p"</f>
        <v>#VALUE!</v>
      </c>
      <c r="HY216" t="e">
        <f>Raw!T505+"h_l!)~q"</f>
        <v>#VALUE!</v>
      </c>
      <c r="HZ216" t="e">
        <f>Raw!U505+"h_l!)~r"</f>
        <v>#VALUE!</v>
      </c>
      <c r="IA216" t="e">
        <f>Raw!V505+"h_l!)~s"</f>
        <v>#VALUE!</v>
      </c>
      <c r="IB216" t="e">
        <f>Raw!W505+"h_l!)~t"</f>
        <v>#VALUE!</v>
      </c>
      <c r="IC216" t="e">
        <f>Raw!A506+"h_l!)~u"</f>
        <v>#VALUE!</v>
      </c>
      <c r="ID216" t="e">
        <f>Raw!B506+"h_l!)~v"</f>
        <v>#VALUE!</v>
      </c>
      <c r="IE216" t="e">
        <f>Raw!C506+"h_l!)~w"</f>
        <v>#VALUE!</v>
      </c>
      <c r="IF216" t="e">
        <f>Raw!D506+"h_l!)~x"</f>
        <v>#VALUE!</v>
      </c>
      <c r="IG216" t="e">
        <f>Raw!E506+"h_l!)~y"</f>
        <v>#VALUE!</v>
      </c>
      <c r="IH216" t="e">
        <f>Raw!#REF!+"h_l!)~z"</f>
        <v>#REF!</v>
      </c>
      <c r="II216" t="e">
        <f>Raw!G506+"h_l!)~{"</f>
        <v>#VALUE!</v>
      </c>
      <c r="IJ216" t="e">
        <f>Raw!H506+"h_l!)~|"</f>
        <v>#VALUE!</v>
      </c>
      <c r="IK216" t="e">
        <f>Raw!I506+"h_l!)~}"</f>
        <v>#VALUE!</v>
      </c>
      <c r="IL216" t="e">
        <f>Raw!J506+"h_l!)~~"</f>
        <v>#VALUE!</v>
      </c>
      <c r="IM216" t="e">
        <f>Raw!K506+"h_l!.##"</f>
        <v>#VALUE!</v>
      </c>
      <c r="IN216" t="e">
        <f>Raw!L506+"h_l!.#$"</f>
        <v>#VALUE!</v>
      </c>
      <c r="IO216" t="e">
        <f>Raw!M506+"h_l!.#%"</f>
        <v>#VALUE!</v>
      </c>
      <c r="IP216" t="e">
        <f>Raw!N506+"h_l!.#&amp;"</f>
        <v>#VALUE!</v>
      </c>
      <c r="IQ216" t="e">
        <f>Raw!O506+"h_l!.#'"</f>
        <v>#VALUE!</v>
      </c>
      <c r="IR216" t="e">
        <f>Raw!P506+"h_l!.#("</f>
        <v>#VALUE!</v>
      </c>
      <c r="IS216" t="e">
        <f>Raw!Q506+"h_l!.#)"</f>
        <v>#VALUE!</v>
      </c>
      <c r="IT216" t="e">
        <f>Raw!R506+"h_l!.#."</f>
        <v>#VALUE!</v>
      </c>
      <c r="IU216" t="e">
        <f>Raw!S506+"h_l!.#/"</f>
        <v>#VALUE!</v>
      </c>
      <c r="IV216" t="e">
        <f>Raw!T506+"h_l!.#0"</f>
        <v>#VALUE!</v>
      </c>
    </row>
    <row r="217" spans="6:256" x14ac:dyDescent="0.25">
      <c r="F217" t="e">
        <f>Raw!U506+"h_l!.#1"</f>
        <v>#VALUE!</v>
      </c>
      <c r="G217" t="e">
        <f>Raw!V506+"h_l!.#2"</f>
        <v>#VALUE!</v>
      </c>
      <c r="H217" t="e">
        <f>Raw!W506+"h_l!.#3"</f>
        <v>#VALUE!</v>
      </c>
      <c r="I217" t="e">
        <f>Raw!A507+"h_l!.#4"</f>
        <v>#VALUE!</v>
      </c>
      <c r="J217" t="e">
        <f>Raw!B507+"h_l!.#5"</f>
        <v>#VALUE!</v>
      </c>
      <c r="K217" t="e">
        <f>Raw!C507+"h_l!.#6"</f>
        <v>#VALUE!</v>
      </c>
      <c r="L217" t="e">
        <f>Raw!D507+"h_l!.#7"</f>
        <v>#VALUE!</v>
      </c>
      <c r="M217" t="e">
        <f>Raw!E507+"h_l!.#8"</f>
        <v>#VALUE!</v>
      </c>
      <c r="N217" t="e">
        <f>Raw!#REF!+"h_l!.#9"</f>
        <v>#REF!</v>
      </c>
      <c r="O217" t="e">
        <f>Raw!G507+"h_l!.#:"</f>
        <v>#VALUE!</v>
      </c>
      <c r="P217" t="e">
        <f>Raw!H507+"h_l!.#;"</f>
        <v>#VALUE!</v>
      </c>
      <c r="Q217" t="e">
        <f>Raw!I507+"h_l!.#&lt;"</f>
        <v>#VALUE!</v>
      </c>
      <c r="R217" t="e">
        <f>Raw!J507+"h_l!.#="</f>
        <v>#VALUE!</v>
      </c>
      <c r="S217" t="e">
        <f>Raw!K507+"h_l!.#&gt;"</f>
        <v>#VALUE!</v>
      </c>
      <c r="T217" t="e">
        <f>Raw!L507+"h_l!.#?"</f>
        <v>#VALUE!</v>
      </c>
      <c r="U217" t="e">
        <f>Raw!M507+"h_l!.#@"</f>
        <v>#VALUE!</v>
      </c>
      <c r="V217" t="e">
        <f>Raw!N507+"h_l!.#A"</f>
        <v>#VALUE!</v>
      </c>
      <c r="W217" t="e">
        <f>Raw!O507+"h_l!.#B"</f>
        <v>#VALUE!</v>
      </c>
      <c r="X217" t="e">
        <f>Raw!P507+"h_l!.#C"</f>
        <v>#VALUE!</v>
      </c>
      <c r="Y217" t="e">
        <f>Raw!Q507+"h_l!.#D"</f>
        <v>#VALUE!</v>
      </c>
      <c r="Z217" t="e">
        <f>Raw!R507+"h_l!.#E"</f>
        <v>#VALUE!</v>
      </c>
      <c r="AA217" t="e">
        <f>Raw!S507+"h_l!.#F"</f>
        <v>#VALUE!</v>
      </c>
      <c r="AB217" t="e">
        <f>Raw!T507+"h_l!.#G"</f>
        <v>#VALUE!</v>
      </c>
      <c r="AC217" t="e">
        <f>Raw!U507+"h_l!.#H"</f>
        <v>#VALUE!</v>
      </c>
      <c r="AD217" t="e">
        <f>Raw!V507+"h_l!.#I"</f>
        <v>#VALUE!</v>
      </c>
      <c r="AE217" t="e">
        <f>Raw!W507+"h_l!.#J"</f>
        <v>#VALUE!</v>
      </c>
      <c r="AF217" t="e">
        <f>Raw!A508+"h_l!.#K"</f>
        <v>#VALUE!</v>
      </c>
      <c r="AG217" t="e">
        <f>Raw!B508+"h_l!.#L"</f>
        <v>#VALUE!</v>
      </c>
      <c r="AH217" t="e">
        <f>Raw!C508+"h_l!.#M"</f>
        <v>#VALUE!</v>
      </c>
      <c r="AI217" t="e">
        <f>Raw!D508+"h_l!.#N"</f>
        <v>#VALUE!</v>
      </c>
      <c r="AJ217" t="e">
        <f>Raw!E508+"h_l!.#O"</f>
        <v>#VALUE!</v>
      </c>
      <c r="AK217" t="e">
        <f>Raw!#REF!+"h_l!.#P"</f>
        <v>#REF!</v>
      </c>
      <c r="AL217" t="e">
        <f>Raw!G508+"h_l!.#Q"</f>
        <v>#VALUE!</v>
      </c>
      <c r="AM217" t="e">
        <f>Raw!H508+"h_l!.#R"</f>
        <v>#VALUE!</v>
      </c>
      <c r="AN217" t="e">
        <f>Raw!I508+"h_l!.#S"</f>
        <v>#VALUE!</v>
      </c>
      <c r="AO217" t="e">
        <f>Raw!J508+"h_l!.#T"</f>
        <v>#VALUE!</v>
      </c>
      <c r="AP217" t="e">
        <f>Raw!K508+"h_l!.#U"</f>
        <v>#VALUE!</v>
      </c>
      <c r="AQ217" t="e">
        <f>Raw!L508+"h_l!.#V"</f>
        <v>#VALUE!</v>
      </c>
      <c r="AR217" t="e">
        <f>Raw!M508+"h_l!.#W"</f>
        <v>#VALUE!</v>
      </c>
      <c r="AS217" t="e">
        <f>Raw!N508+"h_l!.#X"</f>
        <v>#VALUE!</v>
      </c>
      <c r="AT217" t="e">
        <f>Raw!O508+"h_l!.#Y"</f>
        <v>#VALUE!</v>
      </c>
      <c r="AU217" t="e">
        <f>Raw!P508+"h_l!.#Z"</f>
        <v>#VALUE!</v>
      </c>
      <c r="AV217" t="e">
        <f>Raw!Q508+"h_l!.#["</f>
        <v>#VALUE!</v>
      </c>
      <c r="AW217" t="e">
        <f>Raw!R508+"h_l!.#\"</f>
        <v>#VALUE!</v>
      </c>
      <c r="AX217" t="e">
        <f>Raw!S508+"h_l!.#]"</f>
        <v>#VALUE!</v>
      </c>
      <c r="AY217" t="e">
        <f>Raw!T508+"h_l!.#^"</f>
        <v>#VALUE!</v>
      </c>
      <c r="AZ217" t="e">
        <f>Raw!U508+"h_l!.#_"</f>
        <v>#VALUE!</v>
      </c>
      <c r="BA217" t="e">
        <f>Raw!V508+"h_l!.#`"</f>
        <v>#VALUE!</v>
      </c>
      <c r="BB217" t="e">
        <f>Raw!W508+"h_l!.#a"</f>
        <v>#VALUE!</v>
      </c>
      <c r="BC217" t="e">
        <f>Raw!A509+"h_l!.#b"</f>
        <v>#VALUE!</v>
      </c>
      <c r="BD217" t="e">
        <f>Raw!B509+"h_l!.#c"</f>
        <v>#VALUE!</v>
      </c>
      <c r="BE217" t="e">
        <f>Raw!C509+"h_l!.#d"</f>
        <v>#VALUE!</v>
      </c>
      <c r="BF217" t="e">
        <f>Raw!D509+"h_l!.#e"</f>
        <v>#VALUE!</v>
      </c>
      <c r="BG217" t="e">
        <f>Raw!E509+"h_l!.#f"</f>
        <v>#VALUE!</v>
      </c>
      <c r="BH217" t="e">
        <f>Raw!#REF!+"h_l!.#g"</f>
        <v>#REF!</v>
      </c>
      <c r="BI217" t="e">
        <f>Raw!G509+"h_l!.#h"</f>
        <v>#VALUE!</v>
      </c>
      <c r="BJ217" t="e">
        <f>Raw!H509+"h_l!.#i"</f>
        <v>#VALUE!</v>
      </c>
      <c r="BK217" t="e">
        <f>Raw!I509+"h_l!.#j"</f>
        <v>#VALUE!</v>
      </c>
      <c r="BL217" t="e">
        <f>Raw!J509+"h_l!.#k"</f>
        <v>#VALUE!</v>
      </c>
      <c r="BM217" t="e">
        <f>Raw!K509+"h_l!.#l"</f>
        <v>#VALUE!</v>
      </c>
      <c r="BN217" t="e">
        <f>Raw!L509+"h_l!.#m"</f>
        <v>#VALUE!</v>
      </c>
      <c r="BO217" t="e">
        <f>Raw!M509+"h_l!.#n"</f>
        <v>#VALUE!</v>
      </c>
      <c r="BP217" t="e">
        <f>Raw!N509+"h_l!.#o"</f>
        <v>#VALUE!</v>
      </c>
      <c r="BQ217" t="e">
        <f>Raw!O509+"h_l!.#p"</f>
        <v>#VALUE!</v>
      </c>
      <c r="BR217" t="e">
        <f>Raw!P509+"h_l!.#q"</f>
        <v>#VALUE!</v>
      </c>
      <c r="BS217" t="e">
        <f>Raw!Q509+"h_l!.#r"</f>
        <v>#VALUE!</v>
      </c>
      <c r="BT217" t="e">
        <f>Raw!R509+"h_l!.#s"</f>
        <v>#VALUE!</v>
      </c>
      <c r="BU217" t="e">
        <f>Raw!S509+"h_l!.#t"</f>
        <v>#VALUE!</v>
      </c>
      <c r="BV217" t="e">
        <f>Raw!T509+"h_l!.#u"</f>
        <v>#VALUE!</v>
      </c>
      <c r="BW217" t="e">
        <f>Raw!U509+"h_l!.#v"</f>
        <v>#VALUE!</v>
      </c>
      <c r="BX217" t="e">
        <f>Raw!V509+"h_l!.#w"</f>
        <v>#VALUE!</v>
      </c>
      <c r="BY217" t="e">
        <f>Raw!W509+"h_l!.#x"</f>
        <v>#VALUE!</v>
      </c>
      <c r="BZ217" t="e">
        <f>Raw!A510+"h_l!.#y"</f>
        <v>#VALUE!</v>
      </c>
      <c r="CA217" t="e">
        <f>Raw!B510+"h_l!.#z"</f>
        <v>#VALUE!</v>
      </c>
      <c r="CB217" t="e">
        <f>Raw!C510+"h_l!.#{"</f>
        <v>#VALUE!</v>
      </c>
      <c r="CC217" t="e">
        <f>Raw!D510+"h_l!.#|"</f>
        <v>#VALUE!</v>
      </c>
      <c r="CD217" t="e">
        <f>Raw!E510+"h_l!.#}"</f>
        <v>#VALUE!</v>
      </c>
      <c r="CE217" t="e">
        <f>Raw!#REF!+"h_l!.#~"</f>
        <v>#REF!</v>
      </c>
      <c r="CF217" t="e">
        <f>Raw!G510+"h_l!.$#"</f>
        <v>#VALUE!</v>
      </c>
      <c r="CG217" t="e">
        <f>Raw!H510+"h_l!.$$"</f>
        <v>#VALUE!</v>
      </c>
      <c r="CH217" t="e">
        <f>Raw!I510+"h_l!.$%"</f>
        <v>#VALUE!</v>
      </c>
      <c r="CI217" t="e">
        <f>Raw!J510+"h_l!.$&amp;"</f>
        <v>#VALUE!</v>
      </c>
      <c r="CJ217" t="e">
        <f>Raw!K510+"h_l!.$'"</f>
        <v>#VALUE!</v>
      </c>
      <c r="CK217" t="e">
        <f>Raw!L510+"h_l!.$("</f>
        <v>#VALUE!</v>
      </c>
      <c r="CL217" t="e">
        <f>Raw!M510+"h_l!.$)"</f>
        <v>#VALUE!</v>
      </c>
      <c r="CM217" t="e">
        <f>Raw!N510+"h_l!.$."</f>
        <v>#VALUE!</v>
      </c>
      <c r="CN217" t="e">
        <f>Raw!O510+"h_l!.$/"</f>
        <v>#VALUE!</v>
      </c>
      <c r="CO217" t="e">
        <f>Raw!P510+"h_l!.$0"</f>
        <v>#VALUE!</v>
      </c>
      <c r="CP217" t="e">
        <f>Raw!Q510+"h_l!.$1"</f>
        <v>#VALUE!</v>
      </c>
      <c r="CQ217" t="e">
        <f>Raw!R510+"h_l!.$2"</f>
        <v>#VALUE!</v>
      </c>
      <c r="CR217" t="e">
        <f>Raw!S510+"h_l!.$3"</f>
        <v>#VALUE!</v>
      </c>
      <c r="CS217" t="e">
        <f>Raw!T510+"h_l!.$4"</f>
        <v>#VALUE!</v>
      </c>
      <c r="CT217" t="e">
        <f>Raw!U510+"h_l!.$5"</f>
        <v>#VALUE!</v>
      </c>
      <c r="CU217" t="e">
        <f>Raw!V510+"h_l!.$6"</f>
        <v>#VALUE!</v>
      </c>
      <c r="CV217" t="e">
        <f>Raw!W510+"h_l!.$7"</f>
        <v>#VALUE!</v>
      </c>
      <c r="CW217" t="e">
        <f>Raw!A511+"h_l!.$8"</f>
        <v>#VALUE!</v>
      </c>
      <c r="CX217" t="e">
        <f>Raw!B511+"h_l!.$9"</f>
        <v>#VALUE!</v>
      </c>
      <c r="CY217" t="e">
        <f>Raw!C511+"h_l!.$:"</f>
        <v>#VALUE!</v>
      </c>
      <c r="CZ217" t="e">
        <f>Raw!D511+"h_l!.$;"</f>
        <v>#VALUE!</v>
      </c>
      <c r="DA217" t="e">
        <f>Raw!E511+"h_l!.$&lt;"</f>
        <v>#VALUE!</v>
      </c>
      <c r="DB217" t="e">
        <f>Raw!#REF!+"h_l!.$="</f>
        <v>#REF!</v>
      </c>
      <c r="DC217" t="e">
        <f>Raw!G511+"h_l!.$&gt;"</f>
        <v>#VALUE!</v>
      </c>
      <c r="DD217" t="e">
        <f>Raw!H511+"h_l!.$?"</f>
        <v>#VALUE!</v>
      </c>
      <c r="DE217" t="e">
        <f>Raw!I511+"h_l!.$@"</f>
        <v>#VALUE!</v>
      </c>
      <c r="DF217" t="e">
        <f>Raw!J511+"h_l!.$A"</f>
        <v>#VALUE!</v>
      </c>
      <c r="DG217" t="e">
        <f>Raw!K511+"h_l!.$B"</f>
        <v>#VALUE!</v>
      </c>
      <c r="DH217" t="e">
        <f>Raw!L511+"h_l!.$C"</f>
        <v>#VALUE!</v>
      </c>
      <c r="DI217" t="e">
        <f>Raw!M511+"h_l!.$D"</f>
        <v>#VALUE!</v>
      </c>
      <c r="DJ217" t="e">
        <f>Raw!N511+"h_l!.$E"</f>
        <v>#VALUE!</v>
      </c>
      <c r="DK217" t="e">
        <f>Raw!O511+"h_l!.$F"</f>
        <v>#VALUE!</v>
      </c>
      <c r="DL217" t="e">
        <f>Raw!P511+"h_l!.$G"</f>
        <v>#VALUE!</v>
      </c>
      <c r="DM217" t="e">
        <f>Raw!Q511+"h_l!.$H"</f>
        <v>#VALUE!</v>
      </c>
      <c r="DN217" t="e">
        <f>Raw!R511+"h_l!.$I"</f>
        <v>#VALUE!</v>
      </c>
      <c r="DO217" t="e">
        <f>Raw!S511+"h_l!.$J"</f>
        <v>#VALUE!</v>
      </c>
      <c r="DP217" t="e">
        <f>Raw!T511+"h_l!.$K"</f>
        <v>#VALUE!</v>
      </c>
      <c r="DQ217" t="e">
        <f>Raw!U511+"h_l!.$L"</f>
        <v>#VALUE!</v>
      </c>
      <c r="DR217" t="e">
        <f>Raw!V511+"h_l!.$M"</f>
        <v>#VALUE!</v>
      </c>
      <c r="DS217" t="e">
        <f>Raw!W511+"h_l!.$N"</f>
        <v>#VALUE!</v>
      </c>
      <c r="DT217" t="e">
        <f>Raw!A512+"h_l!.$O"</f>
        <v>#VALUE!</v>
      </c>
      <c r="DU217" t="e">
        <f>Raw!B512+"h_l!.$P"</f>
        <v>#VALUE!</v>
      </c>
      <c r="DV217" t="e">
        <f>Raw!C512+"h_l!.$Q"</f>
        <v>#VALUE!</v>
      </c>
      <c r="DW217" t="e">
        <f>Raw!D512+"h_l!.$R"</f>
        <v>#VALUE!</v>
      </c>
      <c r="DX217" t="e">
        <f>Raw!E512+"h_l!.$S"</f>
        <v>#VALUE!</v>
      </c>
      <c r="DY217" t="e">
        <f>Raw!#REF!+"h_l!.$T"</f>
        <v>#REF!</v>
      </c>
      <c r="DZ217" t="e">
        <f>Raw!G512+"h_l!.$U"</f>
        <v>#VALUE!</v>
      </c>
      <c r="EA217" t="e">
        <f>Raw!H512+"h_l!.$V"</f>
        <v>#VALUE!</v>
      </c>
      <c r="EB217" t="e">
        <f>Raw!I512+"h_l!.$W"</f>
        <v>#VALUE!</v>
      </c>
      <c r="EC217" t="e">
        <f>Raw!J512+"h_l!.$X"</f>
        <v>#VALUE!</v>
      </c>
      <c r="ED217" t="e">
        <f>Raw!K512+"h_l!.$Y"</f>
        <v>#VALUE!</v>
      </c>
      <c r="EE217" t="e">
        <f>Raw!L512+"h_l!.$Z"</f>
        <v>#VALUE!</v>
      </c>
      <c r="EF217" t="e">
        <f>Raw!M512+"h_l!.$["</f>
        <v>#VALUE!</v>
      </c>
      <c r="EG217" t="e">
        <f>Raw!N512+"h_l!.$\"</f>
        <v>#VALUE!</v>
      </c>
      <c r="EH217" t="e">
        <f>Raw!O512+"h_l!.$]"</f>
        <v>#VALUE!</v>
      </c>
      <c r="EI217" t="e">
        <f>Raw!P512+"h_l!.$^"</f>
        <v>#VALUE!</v>
      </c>
      <c r="EJ217" t="e">
        <f>Raw!Q512+"h_l!.$_"</f>
        <v>#VALUE!</v>
      </c>
      <c r="EK217" t="e">
        <f>Raw!R512+"h_l!.$`"</f>
        <v>#VALUE!</v>
      </c>
      <c r="EL217" t="e">
        <f>Raw!S512+"h_l!.$a"</f>
        <v>#VALUE!</v>
      </c>
      <c r="EM217" t="e">
        <f>Raw!T512+"h_l!.$b"</f>
        <v>#VALUE!</v>
      </c>
      <c r="EN217" t="e">
        <f>Raw!U512+"h_l!.$c"</f>
        <v>#VALUE!</v>
      </c>
      <c r="EO217" t="e">
        <f>Raw!V512+"h_l!.$d"</f>
        <v>#VALUE!</v>
      </c>
      <c r="EP217" t="e">
        <f>Raw!W512+"h_l!.$e"</f>
        <v>#VALUE!</v>
      </c>
      <c r="EQ217" t="e">
        <f>Raw!A513+"h_l!.$f"</f>
        <v>#VALUE!</v>
      </c>
      <c r="ER217" t="e">
        <f>Raw!B513+"h_l!.$g"</f>
        <v>#VALUE!</v>
      </c>
      <c r="ES217" t="e">
        <f>Raw!C513+"h_l!.$h"</f>
        <v>#VALUE!</v>
      </c>
      <c r="ET217" t="e">
        <f>Raw!D513+"h_l!.$i"</f>
        <v>#VALUE!</v>
      </c>
      <c r="EU217" t="e">
        <f>Raw!E513+"h_l!.$j"</f>
        <v>#VALUE!</v>
      </c>
      <c r="EV217" t="e">
        <f>Raw!#REF!+"h_l!.$k"</f>
        <v>#REF!</v>
      </c>
      <c r="EW217" t="e">
        <f>Raw!G513+"h_l!.$l"</f>
        <v>#VALUE!</v>
      </c>
      <c r="EX217" t="e">
        <f>Raw!H513+"h_l!.$m"</f>
        <v>#VALUE!</v>
      </c>
      <c r="EY217" t="e">
        <f>Raw!I513+"h_l!.$n"</f>
        <v>#VALUE!</v>
      </c>
      <c r="EZ217" t="e">
        <f>Raw!J513+"h_l!.$o"</f>
        <v>#VALUE!</v>
      </c>
      <c r="FA217" t="e">
        <f>Raw!K513+"h_l!.$p"</f>
        <v>#VALUE!</v>
      </c>
      <c r="FB217" t="e">
        <f>Raw!L513+"h_l!.$q"</f>
        <v>#VALUE!</v>
      </c>
      <c r="FC217" t="e">
        <f>Raw!M513+"h_l!.$r"</f>
        <v>#VALUE!</v>
      </c>
      <c r="FD217" t="e">
        <f>Raw!N513+"h_l!.$s"</f>
        <v>#VALUE!</v>
      </c>
      <c r="FE217" t="e">
        <f>Raw!O513+"h_l!.$t"</f>
        <v>#VALUE!</v>
      </c>
      <c r="FF217" t="e">
        <f>Raw!P513+"h_l!.$u"</f>
        <v>#VALUE!</v>
      </c>
      <c r="FG217" t="e">
        <f>Raw!Q513+"h_l!.$v"</f>
        <v>#VALUE!</v>
      </c>
      <c r="FH217" t="e">
        <f>Raw!R513+"h_l!.$w"</f>
        <v>#VALUE!</v>
      </c>
      <c r="FI217" t="e">
        <f>Raw!S513+"h_l!.$x"</f>
        <v>#VALUE!</v>
      </c>
      <c r="FJ217" t="e">
        <f>Raw!T513+"h_l!.$y"</f>
        <v>#VALUE!</v>
      </c>
      <c r="FK217" t="e">
        <f>Raw!U513+"h_l!.$z"</f>
        <v>#VALUE!</v>
      </c>
      <c r="FL217" t="e">
        <f>Raw!V513+"h_l!.${"</f>
        <v>#VALUE!</v>
      </c>
      <c r="FM217" t="e">
        <f>Raw!W513+"h_l!.$|"</f>
        <v>#VALUE!</v>
      </c>
      <c r="FN217" t="e">
        <f>Raw!A514+"h_l!.$}"</f>
        <v>#VALUE!</v>
      </c>
      <c r="FO217" t="e">
        <f>Raw!B514+"h_l!.$~"</f>
        <v>#VALUE!</v>
      </c>
      <c r="FP217" t="e">
        <f>Raw!C514+"h_l!.%#"</f>
        <v>#VALUE!</v>
      </c>
      <c r="FQ217" t="e">
        <f>Raw!D514+"h_l!.%$"</f>
        <v>#VALUE!</v>
      </c>
      <c r="FR217" t="e">
        <f>Raw!E514+"h_l!.%%"</f>
        <v>#VALUE!</v>
      </c>
      <c r="FS217" t="e">
        <f>Raw!#REF!+"h_l!.%&amp;"</f>
        <v>#REF!</v>
      </c>
      <c r="FT217" t="e">
        <f>Raw!G514+"h_l!.%'"</f>
        <v>#VALUE!</v>
      </c>
      <c r="FU217" t="e">
        <f>Raw!H514+"h_l!.%("</f>
        <v>#VALUE!</v>
      </c>
      <c r="FV217" t="e">
        <f>Raw!I514+"h_l!.%)"</f>
        <v>#VALUE!</v>
      </c>
      <c r="FW217" t="e">
        <f>Raw!J514+"h_l!.%."</f>
        <v>#VALUE!</v>
      </c>
      <c r="FX217" t="e">
        <f>Raw!K514+"h_l!.%/"</f>
        <v>#VALUE!</v>
      </c>
      <c r="FY217" t="e">
        <f>Raw!L514+"h_l!.%0"</f>
        <v>#VALUE!</v>
      </c>
      <c r="FZ217" t="e">
        <f>Raw!M514+"h_l!.%1"</f>
        <v>#VALUE!</v>
      </c>
      <c r="GA217" t="e">
        <f>Raw!N514+"h_l!.%2"</f>
        <v>#VALUE!</v>
      </c>
      <c r="GB217" t="e">
        <f>Raw!O514+"h_l!.%3"</f>
        <v>#VALUE!</v>
      </c>
      <c r="GC217" t="e">
        <f>Raw!P514+"h_l!.%4"</f>
        <v>#VALUE!</v>
      </c>
      <c r="GD217" t="e">
        <f>Raw!Q514+"h_l!.%5"</f>
        <v>#VALUE!</v>
      </c>
      <c r="GE217" t="e">
        <f>Raw!R514+"h_l!.%6"</f>
        <v>#VALUE!</v>
      </c>
      <c r="GF217" t="e">
        <f>Raw!S514+"h_l!.%7"</f>
        <v>#VALUE!</v>
      </c>
      <c r="GG217" t="e">
        <f>Raw!T514+"h_l!.%8"</f>
        <v>#VALUE!</v>
      </c>
      <c r="GH217" t="e">
        <f>Raw!U514+"h_l!.%9"</f>
        <v>#VALUE!</v>
      </c>
      <c r="GI217" t="e">
        <f>Raw!V514+"h_l!.%:"</f>
        <v>#VALUE!</v>
      </c>
      <c r="GJ217" t="e">
        <f>Raw!W514+"h_l!.%;"</f>
        <v>#VALUE!</v>
      </c>
      <c r="GK217" t="e">
        <f>Raw!A515+"h_l!.%&lt;"</f>
        <v>#VALUE!</v>
      </c>
      <c r="GL217" t="e">
        <f>Raw!B515+"h_l!.%="</f>
        <v>#VALUE!</v>
      </c>
      <c r="GM217" t="e">
        <f>Raw!C515+"h_l!.%&gt;"</f>
        <v>#VALUE!</v>
      </c>
      <c r="GN217" t="e">
        <f>Raw!D515+"h_l!.%?"</f>
        <v>#VALUE!</v>
      </c>
      <c r="GO217" t="e">
        <f>Raw!E515+"h_l!.%@"</f>
        <v>#VALUE!</v>
      </c>
      <c r="GP217" t="e">
        <f>Raw!#REF!+"h_l!.%A"</f>
        <v>#REF!</v>
      </c>
      <c r="GQ217" t="e">
        <f>Raw!G515+"h_l!.%B"</f>
        <v>#VALUE!</v>
      </c>
      <c r="GR217" t="e">
        <f>Raw!H515+"h_l!.%C"</f>
        <v>#VALUE!</v>
      </c>
      <c r="GS217" t="e">
        <f>Raw!I515+"h_l!.%D"</f>
        <v>#VALUE!</v>
      </c>
      <c r="GT217" t="e">
        <f>Raw!J515+"h_l!.%E"</f>
        <v>#VALUE!</v>
      </c>
      <c r="GU217" t="e">
        <f>Raw!K515+"h_l!.%F"</f>
        <v>#VALUE!</v>
      </c>
      <c r="GV217" t="e">
        <f>Raw!L515+"h_l!.%G"</f>
        <v>#VALUE!</v>
      </c>
      <c r="GW217" t="e">
        <f>Raw!M515+"h_l!.%H"</f>
        <v>#VALUE!</v>
      </c>
      <c r="GX217" t="e">
        <f>Raw!N515+"h_l!.%I"</f>
        <v>#VALUE!</v>
      </c>
      <c r="GY217" t="e">
        <f>Raw!O515+"h_l!.%J"</f>
        <v>#VALUE!</v>
      </c>
      <c r="GZ217" t="e">
        <f>Raw!P515+"h_l!.%K"</f>
        <v>#VALUE!</v>
      </c>
      <c r="HA217" t="e">
        <f>Raw!Q515+"h_l!.%L"</f>
        <v>#VALUE!</v>
      </c>
      <c r="HB217" t="e">
        <f>Raw!R515+"h_l!.%M"</f>
        <v>#VALUE!</v>
      </c>
      <c r="HC217" t="e">
        <f>Raw!S515+"h_l!.%N"</f>
        <v>#VALUE!</v>
      </c>
      <c r="HD217" t="e">
        <f>Raw!T515+"h_l!.%O"</f>
        <v>#VALUE!</v>
      </c>
      <c r="HE217" t="e">
        <f>Raw!U515+"h_l!.%P"</f>
        <v>#VALUE!</v>
      </c>
      <c r="HF217" t="e">
        <f>Raw!V515+"h_l!.%Q"</f>
        <v>#VALUE!</v>
      </c>
      <c r="HG217" t="e">
        <f>Raw!W515+"h_l!.%R"</f>
        <v>#VALUE!</v>
      </c>
      <c r="HH217" t="e">
        <f>Raw!A516+"h_l!.%S"</f>
        <v>#VALUE!</v>
      </c>
      <c r="HI217" t="e">
        <f>Raw!B516+"h_l!.%T"</f>
        <v>#VALUE!</v>
      </c>
      <c r="HJ217" t="e">
        <f>Raw!C516+"h_l!.%U"</f>
        <v>#VALUE!</v>
      </c>
      <c r="HK217" t="e">
        <f>Raw!D516+"h_l!.%V"</f>
        <v>#VALUE!</v>
      </c>
      <c r="HL217" t="e">
        <f>Raw!E516+"h_l!.%W"</f>
        <v>#VALUE!</v>
      </c>
      <c r="HM217" t="e">
        <f>Raw!#REF!+"h_l!.%X"</f>
        <v>#REF!</v>
      </c>
      <c r="HN217" t="e">
        <f>Raw!G516+"h_l!.%Y"</f>
        <v>#VALUE!</v>
      </c>
      <c r="HO217" t="e">
        <f>Raw!H516+"h_l!.%Z"</f>
        <v>#VALUE!</v>
      </c>
      <c r="HP217" t="e">
        <f>Raw!I516+"h_l!.%["</f>
        <v>#VALUE!</v>
      </c>
      <c r="HQ217" t="e">
        <f>Raw!J516+"h_l!.%\"</f>
        <v>#VALUE!</v>
      </c>
      <c r="HR217" t="e">
        <f>Raw!K516+"h_l!.%]"</f>
        <v>#VALUE!</v>
      </c>
      <c r="HS217" t="e">
        <f>Raw!L516+"h_l!.%^"</f>
        <v>#VALUE!</v>
      </c>
      <c r="HT217" t="e">
        <f>Raw!M516+"h_l!.%_"</f>
        <v>#VALUE!</v>
      </c>
      <c r="HU217" t="e">
        <f>Raw!N516+"h_l!.%`"</f>
        <v>#VALUE!</v>
      </c>
      <c r="HV217" t="e">
        <f>Raw!O516+"h_l!.%a"</f>
        <v>#VALUE!</v>
      </c>
      <c r="HW217" t="e">
        <f>Raw!P516+"h_l!.%b"</f>
        <v>#VALUE!</v>
      </c>
      <c r="HX217" t="e">
        <f>Raw!Q516+"h_l!.%c"</f>
        <v>#VALUE!</v>
      </c>
      <c r="HY217" t="e">
        <f>Raw!R516+"h_l!.%d"</f>
        <v>#VALUE!</v>
      </c>
      <c r="HZ217" t="e">
        <f>Raw!S516+"h_l!.%e"</f>
        <v>#VALUE!</v>
      </c>
      <c r="IA217" t="e">
        <f>Raw!T516+"h_l!.%f"</f>
        <v>#VALUE!</v>
      </c>
      <c r="IB217" t="e">
        <f>Raw!U516+"h_l!.%g"</f>
        <v>#VALUE!</v>
      </c>
      <c r="IC217" t="e">
        <f>Raw!V516+"h_l!.%h"</f>
        <v>#VALUE!</v>
      </c>
      <c r="ID217" t="e">
        <f>Raw!W516+"h_l!.%i"</f>
        <v>#VALUE!</v>
      </c>
      <c r="IE217" t="e">
        <f>Raw!A517+"h_l!.%j"</f>
        <v>#VALUE!</v>
      </c>
      <c r="IF217" t="e">
        <f>Raw!B517+"h_l!.%k"</f>
        <v>#VALUE!</v>
      </c>
      <c r="IG217" t="e">
        <f>Raw!C517+"h_l!.%l"</f>
        <v>#VALUE!</v>
      </c>
      <c r="IH217" t="e">
        <f>Raw!D517+"h_l!.%m"</f>
        <v>#VALUE!</v>
      </c>
      <c r="II217" t="e">
        <f>Raw!E517+"h_l!.%n"</f>
        <v>#VALUE!</v>
      </c>
      <c r="IJ217" t="e">
        <f>Raw!#REF!+"h_l!.%o"</f>
        <v>#REF!</v>
      </c>
      <c r="IK217" t="e">
        <f>Raw!G517+"h_l!.%p"</f>
        <v>#VALUE!</v>
      </c>
      <c r="IL217" t="e">
        <f>Raw!H517+"h_l!.%q"</f>
        <v>#VALUE!</v>
      </c>
      <c r="IM217" t="e">
        <f>Raw!I517+"h_l!.%r"</f>
        <v>#VALUE!</v>
      </c>
      <c r="IN217" t="e">
        <f>Raw!J517+"h_l!.%s"</f>
        <v>#VALUE!</v>
      </c>
      <c r="IO217" t="e">
        <f>Raw!K517+"h_l!.%t"</f>
        <v>#VALUE!</v>
      </c>
      <c r="IP217" t="e">
        <f>Raw!L517+"h_l!.%u"</f>
        <v>#VALUE!</v>
      </c>
      <c r="IQ217" t="e">
        <f>Raw!M517+"h_l!.%v"</f>
        <v>#VALUE!</v>
      </c>
      <c r="IR217" t="e">
        <f>Raw!N517+"h_l!.%w"</f>
        <v>#VALUE!</v>
      </c>
      <c r="IS217" t="e">
        <f>Raw!O517+"h_l!.%x"</f>
        <v>#VALUE!</v>
      </c>
      <c r="IT217" t="e">
        <f>Raw!P517+"h_l!.%y"</f>
        <v>#VALUE!</v>
      </c>
      <c r="IU217" t="e">
        <f>Raw!Q517+"h_l!.%z"</f>
        <v>#VALUE!</v>
      </c>
      <c r="IV217" t="e">
        <f>Raw!R517+"h_l!.%{"</f>
        <v>#VALUE!</v>
      </c>
    </row>
    <row r="218" spans="6:256" x14ac:dyDescent="0.25">
      <c r="F218" t="e">
        <f>Raw!S517+"h_l!.%|"</f>
        <v>#VALUE!</v>
      </c>
      <c r="G218" t="e">
        <f>Raw!T517+"h_l!.%}"</f>
        <v>#VALUE!</v>
      </c>
      <c r="H218" t="e">
        <f>Raw!U517+"h_l!.%~"</f>
        <v>#VALUE!</v>
      </c>
      <c r="I218" t="e">
        <f>Raw!V517+"h_l!.&amp;#"</f>
        <v>#VALUE!</v>
      </c>
      <c r="J218" t="e">
        <f>Raw!W517+"h_l!.&amp;$"</f>
        <v>#VALUE!</v>
      </c>
      <c r="K218" t="e">
        <f>Raw!A518+"h_l!.&amp;%"</f>
        <v>#VALUE!</v>
      </c>
      <c r="L218" t="e">
        <f>Raw!B518+"h_l!.&amp;&amp;"</f>
        <v>#VALUE!</v>
      </c>
      <c r="M218" t="e">
        <f>Raw!C518+"h_l!.&amp;'"</f>
        <v>#VALUE!</v>
      </c>
      <c r="N218" t="e">
        <f>Raw!D518+"h_l!.&amp;("</f>
        <v>#VALUE!</v>
      </c>
      <c r="O218" t="e">
        <f>Raw!E518+"h_l!.&amp;)"</f>
        <v>#VALUE!</v>
      </c>
      <c r="P218" t="e">
        <f>Raw!#REF!+"h_l!.&amp;."</f>
        <v>#REF!</v>
      </c>
      <c r="Q218" t="e">
        <f>Raw!G518+"h_l!.&amp;/"</f>
        <v>#VALUE!</v>
      </c>
      <c r="R218" t="e">
        <f>Raw!H518+"h_l!.&amp;0"</f>
        <v>#VALUE!</v>
      </c>
      <c r="S218" t="e">
        <f>Raw!I518+"h_l!.&amp;1"</f>
        <v>#VALUE!</v>
      </c>
      <c r="T218" t="e">
        <f>Raw!J518+"h_l!.&amp;2"</f>
        <v>#VALUE!</v>
      </c>
      <c r="U218" t="e">
        <f>Raw!K518+"h_l!.&amp;3"</f>
        <v>#VALUE!</v>
      </c>
      <c r="V218" t="e">
        <f>Raw!L518+"h_l!.&amp;4"</f>
        <v>#VALUE!</v>
      </c>
      <c r="W218" t="e">
        <f>Raw!M518+"h_l!.&amp;5"</f>
        <v>#VALUE!</v>
      </c>
      <c r="X218" t="e">
        <f>Raw!N518+"h_l!.&amp;6"</f>
        <v>#VALUE!</v>
      </c>
      <c r="Y218" t="e">
        <f>Raw!O518+"h_l!.&amp;7"</f>
        <v>#VALUE!</v>
      </c>
      <c r="Z218" t="e">
        <f>Raw!P518+"h_l!.&amp;8"</f>
        <v>#VALUE!</v>
      </c>
      <c r="AA218" t="e">
        <f>Raw!Q518+"h_l!.&amp;9"</f>
        <v>#VALUE!</v>
      </c>
      <c r="AB218" t="e">
        <f>Raw!R518+"h_l!.&amp;:"</f>
        <v>#VALUE!</v>
      </c>
      <c r="AC218" t="e">
        <f>Raw!S518+"h_l!.&amp;;"</f>
        <v>#VALUE!</v>
      </c>
      <c r="AD218" t="e">
        <f>Raw!T518+"h_l!.&amp;&lt;"</f>
        <v>#VALUE!</v>
      </c>
      <c r="AE218" t="e">
        <f>Raw!U518+"h_l!.&amp;="</f>
        <v>#VALUE!</v>
      </c>
      <c r="AF218" t="e">
        <f>Raw!V518+"h_l!.&amp;&gt;"</f>
        <v>#VALUE!</v>
      </c>
      <c r="AG218" t="e">
        <f>Raw!W518+"h_l!.&amp;?"</f>
        <v>#VALUE!</v>
      </c>
      <c r="AH218" t="e">
        <f>Raw!A519+"h_l!.&amp;@"</f>
        <v>#VALUE!</v>
      </c>
      <c r="AI218" t="e">
        <f>Raw!B519+"h_l!.&amp;A"</f>
        <v>#VALUE!</v>
      </c>
      <c r="AJ218" t="e">
        <f>Raw!C519+"h_l!.&amp;B"</f>
        <v>#VALUE!</v>
      </c>
      <c r="AK218" t="e">
        <f>Raw!D519+"h_l!.&amp;C"</f>
        <v>#VALUE!</v>
      </c>
      <c r="AL218" t="e">
        <f>Raw!E519+"h_l!.&amp;D"</f>
        <v>#VALUE!</v>
      </c>
      <c r="AM218" t="e">
        <f>Raw!#REF!+"h_l!.&amp;E"</f>
        <v>#REF!</v>
      </c>
      <c r="AN218" t="e">
        <f>Raw!G519+"h_l!.&amp;F"</f>
        <v>#VALUE!</v>
      </c>
      <c r="AO218" t="e">
        <f>Raw!H519+"h_l!.&amp;G"</f>
        <v>#VALUE!</v>
      </c>
      <c r="AP218" t="e">
        <f>Raw!I519+"h_l!.&amp;H"</f>
        <v>#VALUE!</v>
      </c>
      <c r="AQ218" t="e">
        <f>Raw!J519+"h_l!.&amp;I"</f>
        <v>#VALUE!</v>
      </c>
      <c r="AR218" t="e">
        <f>Raw!K519+"h_l!.&amp;J"</f>
        <v>#VALUE!</v>
      </c>
      <c r="AS218" t="e">
        <f>Raw!L519+"h_l!.&amp;K"</f>
        <v>#VALUE!</v>
      </c>
      <c r="AT218" t="e">
        <f>Raw!M519+"h_l!.&amp;L"</f>
        <v>#VALUE!</v>
      </c>
      <c r="AU218" t="e">
        <f>Raw!N519+"h_l!.&amp;M"</f>
        <v>#VALUE!</v>
      </c>
      <c r="AV218" t="e">
        <f>Raw!O519+"h_l!.&amp;N"</f>
        <v>#VALUE!</v>
      </c>
      <c r="AW218" t="e">
        <f>Raw!P519+"h_l!.&amp;O"</f>
        <v>#VALUE!</v>
      </c>
      <c r="AX218" t="e">
        <f>Raw!Q519+"h_l!.&amp;P"</f>
        <v>#VALUE!</v>
      </c>
      <c r="AY218" t="e">
        <f>Raw!R519+"h_l!.&amp;Q"</f>
        <v>#VALUE!</v>
      </c>
      <c r="AZ218" t="e">
        <f>Raw!S519+"h_l!.&amp;R"</f>
        <v>#VALUE!</v>
      </c>
      <c r="BA218" t="e">
        <f>Raw!T519+"h_l!.&amp;S"</f>
        <v>#VALUE!</v>
      </c>
      <c r="BB218" t="e">
        <f>Raw!U519+"h_l!.&amp;T"</f>
        <v>#VALUE!</v>
      </c>
      <c r="BC218" t="e">
        <f>Raw!V519+"h_l!.&amp;U"</f>
        <v>#VALUE!</v>
      </c>
      <c r="BD218" t="e">
        <f>Raw!W519+"h_l!.&amp;V"</f>
        <v>#VALUE!</v>
      </c>
      <c r="BE218" t="e">
        <f>Raw!A520+"h_l!.&amp;W"</f>
        <v>#VALUE!</v>
      </c>
      <c r="BF218" t="e">
        <f>Raw!B520+"h_l!.&amp;X"</f>
        <v>#VALUE!</v>
      </c>
      <c r="BG218" t="e">
        <f>Raw!C520+"h_l!.&amp;Y"</f>
        <v>#VALUE!</v>
      </c>
      <c r="BH218" t="e">
        <f>Raw!D520+"h_l!.&amp;Z"</f>
        <v>#VALUE!</v>
      </c>
      <c r="BI218" t="e">
        <f>Raw!E520+"h_l!.&amp;["</f>
        <v>#VALUE!</v>
      </c>
      <c r="BJ218" t="e">
        <f>Raw!#REF!+"h_l!.&amp;\"</f>
        <v>#REF!</v>
      </c>
      <c r="BK218" t="e">
        <f>Raw!G520+"h_l!.&amp;]"</f>
        <v>#VALUE!</v>
      </c>
      <c r="BL218" t="e">
        <f>Raw!H520+"h_l!.&amp;^"</f>
        <v>#VALUE!</v>
      </c>
      <c r="BM218" t="e">
        <f>Raw!I520+"h_l!.&amp;_"</f>
        <v>#VALUE!</v>
      </c>
      <c r="BN218" t="e">
        <f>Raw!J520+"h_l!.&amp;`"</f>
        <v>#VALUE!</v>
      </c>
      <c r="BO218" t="e">
        <f>Raw!K520+"h_l!.&amp;a"</f>
        <v>#VALUE!</v>
      </c>
      <c r="BP218" t="e">
        <f>Raw!L520+"h_l!.&amp;b"</f>
        <v>#VALUE!</v>
      </c>
      <c r="BQ218" t="e">
        <f>Raw!M520+"h_l!.&amp;c"</f>
        <v>#VALUE!</v>
      </c>
      <c r="BR218" t="e">
        <f>Raw!N520+"h_l!.&amp;d"</f>
        <v>#VALUE!</v>
      </c>
      <c r="BS218" t="e">
        <f>Raw!O520+"h_l!.&amp;e"</f>
        <v>#VALUE!</v>
      </c>
      <c r="BT218" t="e">
        <f>Raw!P520+"h_l!.&amp;f"</f>
        <v>#VALUE!</v>
      </c>
      <c r="BU218" t="e">
        <f>Raw!Q520+"h_l!.&amp;g"</f>
        <v>#VALUE!</v>
      </c>
      <c r="BV218" t="e">
        <f>Raw!R520+"h_l!.&amp;h"</f>
        <v>#VALUE!</v>
      </c>
      <c r="BW218" t="e">
        <f>Raw!S520+"h_l!.&amp;i"</f>
        <v>#VALUE!</v>
      </c>
      <c r="BX218" t="e">
        <f>Raw!T520+"h_l!.&amp;j"</f>
        <v>#VALUE!</v>
      </c>
      <c r="BY218" t="e">
        <f>Raw!U520+"h_l!.&amp;k"</f>
        <v>#VALUE!</v>
      </c>
      <c r="BZ218" t="e">
        <f>Raw!V520+"h_l!.&amp;l"</f>
        <v>#VALUE!</v>
      </c>
      <c r="CA218" t="e">
        <f>Raw!W520+"h_l!.&amp;m"</f>
        <v>#VALUE!</v>
      </c>
      <c r="CB218" t="e">
        <f>Raw!A521+"h_l!.&amp;n"</f>
        <v>#VALUE!</v>
      </c>
      <c r="CC218" t="e">
        <f>Raw!B521+"h_l!.&amp;o"</f>
        <v>#VALUE!</v>
      </c>
      <c r="CD218" t="e">
        <f>Raw!C521+"h_l!.&amp;p"</f>
        <v>#VALUE!</v>
      </c>
      <c r="CE218" t="e">
        <f>Raw!D521+"h_l!.&amp;q"</f>
        <v>#VALUE!</v>
      </c>
      <c r="CF218" t="e">
        <f>Raw!E521+"h_l!.&amp;r"</f>
        <v>#VALUE!</v>
      </c>
      <c r="CG218" t="e">
        <f>Raw!#REF!+"h_l!.&amp;s"</f>
        <v>#REF!</v>
      </c>
      <c r="CH218" t="e">
        <f>Raw!G521+"h_l!.&amp;t"</f>
        <v>#VALUE!</v>
      </c>
      <c r="CI218" t="e">
        <f>Raw!H521+"h_l!.&amp;u"</f>
        <v>#VALUE!</v>
      </c>
      <c r="CJ218" t="e">
        <f>Raw!I521+"h_l!.&amp;v"</f>
        <v>#VALUE!</v>
      </c>
      <c r="CK218" t="e">
        <f>Raw!J521+"h_l!.&amp;w"</f>
        <v>#VALUE!</v>
      </c>
      <c r="CL218" t="e">
        <f>Raw!K521+"h_l!.&amp;x"</f>
        <v>#VALUE!</v>
      </c>
      <c r="CM218" t="e">
        <f>Raw!L521+"h_l!.&amp;y"</f>
        <v>#VALUE!</v>
      </c>
      <c r="CN218" t="e">
        <f>Raw!M521+"h_l!.&amp;z"</f>
        <v>#VALUE!</v>
      </c>
      <c r="CO218" t="e">
        <f>Raw!N521+"h_l!.&amp;{"</f>
        <v>#VALUE!</v>
      </c>
      <c r="CP218" t="e">
        <f>Raw!O521+"h_l!.&amp;|"</f>
        <v>#VALUE!</v>
      </c>
      <c r="CQ218" t="e">
        <f>Raw!P521+"h_l!.&amp;}"</f>
        <v>#VALUE!</v>
      </c>
      <c r="CR218" t="e">
        <f>Raw!Q521+"h_l!.&amp;~"</f>
        <v>#VALUE!</v>
      </c>
      <c r="CS218" t="e">
        <f>Raw!R521+"h_l!.'#"</f>
        <v>#VALUE!</v>
      </c>
      <c r="CT218" t="e">
        <f>Raw!S521+"h_l!.'$"</f>
        <v>#VALUE!</v>
      </c>
      <c r="CU218" t="e">
        <f>Raw!T521+"h_l!.'%"</f>
        <v>#VALUE!</v>
      </c>
      <c r="CV218" t="e">
        <f>Raw!U521+"h_l!.'&amp;"</f>
        <v>#VALUE!</v>
      </c>
      <c r="CW218" t="e">
        <f>Raw!V521+"h_l!.''"</f>
        <v>#VALUE!</v>
      </c>
      <c r="CX218" t="e">
        <f>Raw!W521+"h_l!.'("</f>
        <v>#VALUE!</v>
      </c>
      <c r="CY218" t="e">
        <f>Raw!A522+"h_l!.')"</f>
        <v>#VALUE!</v>
      </c>
      <c r="CZ218" t="e">
        <f>Raw!B522+"h_l!.'."</f>
        <v>#VALUE!</v>
      </c>
      <c r="DA218" t="e">
        <f>Raw!C522+"h_l!.'/"</f>
        <v>#VALUE!</v>
      </c>
      <c r="DB218" t="e">
        <f>Raw!D522+"h_l!.'0"</f>
        <v>#VALUE!</v>
      </c>
      <c r="DC218" t="e">
        <f>Raw!E522+"h_l!.'1"</f>
        <v>#VALUE!</v>
      </c>
      <c r="DD218" t="e">
        <f>Raw!#REF!+"h_l!.'2"</f>
        <v>#REF!</v>
      </c>
      <c r="DE218" t="e">
        <f>Raw!G522+"h_l!.'3"</f>
        <v>#VALUE!</v>
      </c>
      <c r="DF218" t="e">
        <f>Raw!H522+"h_l!.'4"</f>
        <v>#VALUE!</v>
      </c>
      <c r="DG218" t="e">
        <f>Raw!I522+"h_l!.'5"</f>
        <v>#VALUE!</v>
      </c>
      <c r="DH218" t="e">
        <f>Raw!J522+"h_l!.'6"</f>
        <v>#VALUE!</v>
      </c>
      <c r="DI218" t="e">
        <f>Raw!K522+"h_l!.'7"</f>
        <v>#VALUE!</v>
      </c>
      <c r="DJ218" t="e">
        <f>Raw!L522+"h_l!.'8"</f>
        <v>#VALUE!</v>
      </c>
      <c r="DK218" t="e">
        <f>Raw!M522+"h_l!.'9"</f>
        <v>#VALUE!</v>
      </c>
      <c r="DL218" t="e">
        <f>Raw!N522+"h_l!.':"</f>
        <v>#VALUE!</v>
      </c>
      <c r="DM218" t="e">
        <f>Raw!O522+"h_l!.';"</f>
        <v>#VALUE!</v>
      </c>
      <c r="DN218" t="e">
        <f>Raw!P522+"h_l!.'&lt;"</f>
        <v>#VALUE!</v>
      </c>
      <c r="DO218" t="e">
        <f>Raw!Q522+"h_l!.'="</f>
        <v>#VALUE!</v>
      </c>
      <c r="DP218" t="e">
        <f>Raw!R522+"h_l!.'&gt;"</f>
        <v>#VALUE!</v>
      </c>
      <c r="DQ218" t="e">
        <f>Raw!S522+"h_l!.'?"</f>
        <v>#VALUE!</v>
      </c>
      <c r="DR218" t="e">
        <f>Raw!T522+"h_l!.'@"</f>
        <v>#VALUE!</v>
      </c>
      <c r="DS218" t="e">
        <f>Raw!U522+"h_l!.'A"</f>
        <v>#VALUE!</v>
      </c>
      <c r="DT218" t="e">
        <f>Raw!V522+"h_l!.'B"</f>
        <v>#VALUE!</v>
      </c>
      <c r="DU218" t="e">
        <f>Raw!W522+"h_l!.'C"</f>
        <v>#VALUE!</v>
      </c>
      <c r="DV218" t="e">
        <f>Raw!A523+"h_l!.'D"</f>
        <v>#VALUE!</v>
      </c>
      <c r="DW218" t="e">
        <f>Raw!B523+"h_l!.'E"</f>
        <v>#VALUE!</v>
      </c>
      <c r="DX218" t="e">
        <f>Raw!C523+"h_l!.'F"</f>
        <v>#VALUE!</v>
      </c>
      <c r="DY218" t="e">
        <f>Raw!D523+"h_l!.'G"</f>
        <v>#VALUE!</v>
      </c>
      <c r="DZ218" t="e">
        <f>Raw!E523+"h_l!.'H"</f>
        <v>#VALUE!</v>
      </c>
      <c r="EA218" t="e">
        <f>Raw!#REF!+"h_l!.'I"</f>
        <v>#REF!</v>
      </c>
      <c r="EB218" t="e">
        <f>Raw!G523+"h_l!.'J"</f>
        <v>#VALUE!</v>
      </c>
      <c r="EC218" t="e">
        <f>Raw!H523+"h_l!.'K"</f>
        <v>#VALUE!</v>
      </c>
      <c r="ED218" t="e">
        <f>Raw!I523+"h_l!.'L"</f>
        <v>#VALUE!</v>
      </c>
      <c r="EE218" t="e">
        <f>Raw!J523+"h_l!.'M"</f>
        <v>#VALUE!</v>
      </c>
      <c r="EF218" t="e">
        <f>Raw!K523+"h_l!.'N"</f>
        <v>#VALUE!</v>
      </c>
      <c r="EG218" t="e">
        <f>Raw!L523+"h_l!.'O"</f>
        <v>#VALUE!</v>
      </c>
      <c r="EH218" t="e">
        <f>Raw!M523+"h_l!.'P"</f>
        <v>#VALUE!</v>
      </c>
      <c r="EI218" t="e">
        <f>Raw!N523+"h_l!.'Q"</f>
        <v>#VALUE!</v>
      </c>
      <c r="EJ218" t="e">
        <f>Raw!O523+"h_l!.'R"</f>
        <v>#VALUE!</v>
      </c>
      <c r="EK218" t="e">
        <f>Raw!P523+"h_l!.'S"</f>
        <v>#VALUE!</v>
      </c>
      <c r="EL218" t="e">
        <f>Raw!Q523+"h_l!.'T"</f>
        <v>#VALUE!</v>
      </c>
      <c r="EM218" t="e">
        <f>Raw!R523+"h_l!.'U"</f>
        <v>#VALUE!</v>
      </c>
      <c r="EN218" t="e">
        <f>Raw!S523+"h_l!.'V"</f>
        <v>#VALUE!</v>
      </c>
      <c r="EO218" t="e">
        <f>Raw!T523+"h_l!.'W"</f>
        <v>#VALUE!</v>
      </c>
      <c r="EP218" t="e">
        <f>Raw!U523+"h_l!.'X"</f>
        <v>#VALUE!</v>
      </c>
      <c r="EQ218" t="e">
        <f>Raw!V523+"h_l!.'Y"</f>
        <v>#VALUE!</v>
      </c>
      <c r="ER218" t="e">
        <f>Raw!W523+"h_l!.'Z"</f>
        <v>#VALUE!</v>
      </c>
      <c r="ES218" t="e">
        <f>Raw!A524+"h_l!.'["</f>
        <v>#VALUE!</v>
      </c>
      <c r="ET218" t="e">
        <f>Raw!B524+"h_l!.'\"</f>
        <v>#VALUE!</v>
      </c>
      <c r="EU218" t="e">
        <f>Raw!C524+"h_l!.']"</f>
        <v>#VALUE!</v>
      </c>
      <c r="EV218" t="e">
        <f>Raw!D524+"h_l!.'^"</f>
        <v>#VALUE!</v>
      </c>
      <c r="EW218" t="e">
        <f>Raw!E524+"h_l!.'_"</f>
        <v>#VALUE!</v>
      </c>
      <c r="EX218" t="e">
        <f>Raw!#REF!+"h_l!.'`"</f>
        <v>#REF!</v>
      </c>
      <c r="EY218" t="e">
        <f>Raw!G524+"h_l!.'a"</f>
        <v>#VALUE!</v>
      </c>
      <c r="EZ218" t="e">
        <f>Raw!H524+"h_l!.'b"</f>
        <v>#VALUE!</v>
      </c>
      <c r="FA218" t="e">
        <f>Raw!I524+"h_l!.'c"</f>
        <v>#VALUE!</v>
      </c>
      <c r="FB218" t="e">
        <f>Raw!J524+"h_l!.'d"</f>
        <v>#VALUE!</v>
      </c>
      <c r="FC218" t="e">
        <f>Raw!K524+"h_l!.'e"</f>
        <v>#VALUE!</v>
      </c>
      <c r="FD218" t="e">
        <f>Raw!L524+"h_l!.'f"</f>
        <v>#VALUE!</v>
      </c>
      <c r="FE218" t="e">
        <f>Raw!M524+"h_l!.'g"</f>
        <v>#VALUE!</v>
      </c>
      <c r="FF218" t="e">
        <f>Raw!N524+"h_l!.'h"</f>
        <v>#VALUE!</v>
      </c>
      <c r="FG218" t="e">
        <f>Raw!O524+"h_l!.'i"</f>
        <v>#VALUE!</v>
      </c>
      <c r="FH218" t="e">
        <f>Raw!P524+"h_l!.'j"</f>
        <v>#VALUE!</v>
      </c>
      <c r="FI218" t="e">
        <f>Raw!Q524+"h_l!.'k"</f>
        <v>#VALUE!</v>
      </c>
      <c r="FJ218" t="e">
        <f>Raw!R524+"h_l!.'l"</f>
        <v>#VALUE!</v>
      </c>
      <c r="FK218" t="e">
        <f>Raw!S524+"h_l!.'m"</f>
        <v>#VALUE!</v>
      </c>
      <c r="FL218" t="e">
        <f>Raw!T524+"h_l!.'n"</f>
        <v>#VALUE!</v>
      </c>
      <c r="FM218" t="e">
        <f>Raw!U524+"h_l!.'o"</f>
        <v>#VALUE!</v>
      </c>
      <c r="FN218" t="e">
        <f>Raw!V524+"h_l!.'p"</f>
        <v>#VALUE!</v>
      </c>
      <c r="FO218" t="e">
        <f>Raw!W524+"h_l!.'q"</f>
        <v>#VALUE!</v>
      </c>
      <c r="FP218" t="e">
        <f>Raw!A525+"h_l!.'r"</f>
        <v>#VALUE!</v>
      </c>
      <c r="FQ218" t="e">
        <f>Raw!B525+"h_l!.'s"</f>
        <v>#VALUE!</v>
      </c>
      <c r="FR218" t="e">
        <f>Raw!C525+"h_l!.'t"</f>
        <v>#VALUE!</v>
      </c>
      <c r="FS218" t="e">
        <f>Raw!D525+"h_l!.'u"</f>
        <v>#VALUE!</v>
      </c>
      <c r="FT218" t="e">
        <f>Raw!E525+"h_l!.'v"</f>
        <v>#VALUE!</v>
      </c>
      <c r="FU218" t="e">
        <f>Raw!#REF!+"h_l!.'w"</f>
        <v>#REF!</v>
      </c>
      <c r="FV218" t="e">
        <f>Raw!G525+"h_l!.'x"</f>
        <v>#VALUE!</v>
      </c>
      <c r="FW218" t="e">
        <f>Raw!H525+"h_l!.'y"</f>
        <v>#VALUE!</v>
      </c>
      <c r="FX218" t="e">
        <f>Raw!I525+"h_l!.'z"</f>
        <v>#VALUE!</v>
      </c>
      <c r="FY218" t="e">
        <f>Raw!J525+"h_l!.'{"</f>
        <v>#VALUE!</v>
      </c>
      <c r="FZ218" t="e">
        <f>Raw!K525+"h_l!.'|"</f>
        <v>#VALUE!</v>
      </c>
      <c r="GA218" t="e">
        <f>Raw!L525+"h_l!.'}"</f>
        <v>#VALUE!</v>
      </c>
      <c r="GB218" t="e">
        <f>Raw!M525+"h_l!.'~"</f>
        <v>#VALUE!</v>
      </c>
      <c r="GC218" t="e">
        <f>Raw!N525+"h_l!.(#"</f>
        <v>#VALUE!</v>
      </c>
      <c r="GD218" t="e">
        <f>Raw!O525+"h_l!.($"</f>
        <v>#VALUE!</v>
      </c>
      <c r="GE218" t="e">
        <f>Raw!P525+"h_l!.(%"</f>
        <v>#VALUE!</v>
      </c>
      <c r="GF218" t="e">
        <f>Raw!Q525+"h_l!.(&amp;"</f>
        <v>#VALUE!</v>
      </c>
      <c r="GG218" t="e">
        <f>Raw!R525+"h_l!.('"</f>
        <v>#VALUE!</v>
      </c>
      <c r="GH218" t="e">
        <f>Raw!S525+"h_l!.(("</f>
        <v>#VALUE!</v>
      </c>
      <c r="GI218" t="e">
        <f>Raw!T525+"h_l!.()"</f>
        <v>#VALUE!</v>
      </c>
      <c r="GJ218" t="e">
        <f>Raw!U525+"h_l!.(."</f>
        <v>#VALUE!</v>
      </c>
      <c r="GK218" t="e">
        <f>Raw!V525+"h_l!.(/"</f>
        <v>#VALUE!</v>
      </c>
      <c r="GL218" t="e">
        <f>Raw!W525+"h_l!.(0"</f>
        <v>#VALUE!</v>
      </c>
      <c r="GM218" t="e">
        <f>Raw!A526+"h_l!.(1"</f>
        <v>#VALUE!</v>
      </c>
      <c r="GN218" t="e">
        <f>Raw!B526+"h_l!.(2"</f>
        <v>#VALUE!</v>
      </c>
      <c r="GO218" t="e">
        <f>Raw!C526+"h_l!.(3"</f>
        <v>#VALUE!</v>
      </c>
      <c r="GP218" t="e">
        <f>Raw!D526+"h_l!.(4"</f>
        <v>#VALUE!</v>
      </c>
      <c r="GQ218" t="e">
        <f>Raw!E526+"h_l!.(5"</f>
        <v>#VALUE!</v>
      </c>
      <c r="GR218" t="e">
        <f>Raw!#REF!+"h_l!.(6"</f>
        <v>#REF!</v>
      </c>
      <c r="GS218" t="e">
        <f>Raw!G526+"h_l!.(7"</f>
        <v>#VALUE!</v>
      </c>
      <c r="GT218" t="e">
        <f>Raw!H526+"h_l!.(8"</f>
        <v>#VALUE!</v>
      </c>
      <c r="GU218" t="e">
        <f>Raw!I526+"h_l!.(9"</f>
        <v>#VALUE!</v>
      </c>
      <c r="GV218" t="e">
        <f>Raw!J526+"h_l!.(:"</f>
        <v>#VALUE!</v>
      </c>
      <c r="GW218" t="e">
        <f>Raw!K526+"h_l!.(;"</f>
        <v>#VALUE!</v>
      </c>
      <c r="GX218" t="e">
        <f>Raw!L526+"h_l!.(&lt;"</f>
        <v>#VALUE!</v>
      </c>
      <c r="GY218" t="e">
        <f>Raw!M526+"h_l!.(="</f>
        <v>#VALUE!</v>
      </c>
      <c r="GZ218" t="e">
        <f>Raw!N526+"h_l!.(&gt;"</f>
        <v>#VALUE!</v>
      </c>
      <c r="HA218" t="e">
        <f>Raw!O526+"h_l!.(?"</f>
        <v>#VALUE!</v>
      </c>
      <c r="HB218" t="e">
        <f>Raw!P526+"h_l!.(@"</f>
        <v>#VALUE!</v>
      </c>
      <c r="HC218" t="e">
        <f>Raw!Q526+"h_l!.(A"</f>
        <v>#VALUE!</v>
      </c>
      <c r="HD218" t="e">
        <f>Raw!R526+"h_l!.(B"</f>
        <v>#VALUE!</v>
      </c>
      <c r="HE218" t="e">
        <f>Raw!S526+"h_l!.(C"</f>
        <v>#VALUE!</v>
      </c>
      <c r="HF218" t="e">
        <f>Raw!T526+"h_l!.(D"</f>
        <v>#VALUE!</v>
      </c>
      <c r="HG218" t="e">
        <f>Raw!U526+"h_l!.(E"</f>
        <v>#VALUE!</v>
      </c>
      <c r="HH218" t="e">
        <f>Raw!V526+"h_l!.(F"</f>
        <v>#VALUE!</v>
      </c>
      <c r="HI218" t="e">
        <f>Raw!W526+"h_l!.(G"</f>
        <v>#VALUE!</v>
      </c>
      <c r="HJ218" t="e">
        <f>Raw!A527+"h_l!.(H"</f>
        <v>#VALUE!</v>
      </c>
      <c r="HK218" t="e">
        <f>Raw!B527+"h_l!.(I"</f>
        <v>#VALUE!</v>
      </c>
      <c r="HL218" t="e">
        <f>Raw!C527+"h_l!.(J"</f>
        <v>#VALUE!</v>
      </c>
      <c r="HM218" t="e">
        <f>Raw!D527+"h_l!.(K"</f>
        <v>#VALUE!</v>
      </c>
      <c r="HN218" t="e">
        <f>Raw!E527+"h_l!.(L"</f>
        <v>#VALUE!</v>
      </c>
      <c r="HO218" t="e">
        <f>Raw!#REF!+"h_l!.(M"</f>
        <v>#REF!</v>
      </c>
      <c r="HP218" t="e">
        <f>Raw!G527+"h_l!.(N"</f>
        <v>#VALUE!</v>
      </c>
      <c r="HQ218" t="e">
        <f>Raw!H527+"h_l!.(O"</f>
        <v>#VALUE!</v>
      </c>
      <c r="HR218" t="e">
        <f>Raw!I527+"h_l!.(P"</f>
        <v>#VALUE!</v>
      </c>
      <c r="HS218" t="e">
        <f>Raw!J527+"h_l!.(Q"</f>
        <v>#VALUE!</v>
      </c>
      <c r="HT218" t="e">
        <f>Raw!K527+"h_l!.(R"</f>
        <v>#VALUE!</v>
      </c>
      <c r="HU218" t="e">
        <f>Raw!L527+"h_l!.(S"</f>
        <v>#VALUE!</v>
      </c>
      <c r="HV218" t="e">
        <f>Raw!M527+"h_l!.(T"</f>
        <v>#VALUE!</v>
      </c>
      <c r="HW218" t="e">
        <f>Raw!N527+"h_l!.(U"</f>
        <v>#VALUE!</v>
      </c>
      <c r="HX218" t="e">
        <f>Raw!O527+"h_l!.(V"</f>
        <v>#VALUE!</v>
      </c>
      <c r="HY218" t="e">
        <f>Raw!P527+"h_l!.(W"</f>
        <v>#VALUE!</v>
      </c>
      <c r="HZ218" t="e">
        <f>Raw!Q527+"h_l!.(X"</f>
        <v>#VALUE!</v>
      </c>
      <c r="IA218" t="e">
        <f>Raw!R527+"h_l!.(Y"</f>
        <v>#VALUE!</v>
      </c>
      <c r="IB218" t="e">
        <f>Raw!S527+"h_l!.(Z"</f>
        <v>#VALUE!</v>
      </c>
      <c r="IC218" t="e">
        <f>Raw!T527+"h_l!.(["</f>
        <v>#VALUE!</v>
      </c>
      <c r="ID218" t="e">
        <f>Raw!U527+"h_l!.(\"</f>
        <v>#VALUE!</v>
      </c>
      <c r="IE218" t="e">
        <f>Raw!V527+"h_l!.(]"</f>
        <v>#VALUE!</v>
      </c>
      <c r="IF218" t="e">
        <f>Raw!W527+"h_l!.(^"</f>
        <v>#VALUE!</v>
      </c>
      <c r="IG218" t="e">
        <f>Raw!A528+"h_l!.(_"</f>
        <v>#VALUE!</v>
      </c>
      <c r="IH218" t="e">
        <f>Raw!B528+"h_l!.(`"</f>
        <v>#VALUE!</v>
      </c>
      <c r="II218" t="e">
        <f>Raw!C528+"h_l!.(a"</f>
        <v>#VALUE!</v>
      </c>
      <c r="IJ218" t="e">
        <f>Raw!D528+"h_l!.(b"</f>
        <v>#VALUE!</v>
      </c>
      <c r="IK218" t="e">
        <f>Raw!E528+"h_l!.(c"</f>
        <v>#VALUE!</v>
      </c>
      <c r="IL218" t="e">
        <f>Raw!#REF!+"h_l!.(d"</f>
        <v>#REF!</v>
      </c>
      <c r="IM218" t="e">
        <f>Raw!G528+"h_l!.(e"</f>
        <v>#VALUE!</v>
      </c>
      <c r="IN218" t="e">
        <f>Raw!H528+"h_l!.(f"</f>
        <v>#VALUE!</v>
      </c>
      <c r="IO218" t="e">
        <f>Raw!I528+"h_l!.(g"</f>
        <v>#VALUE!</v>
      </c>
      <c r="IP218" t="e">
        <f>Raw!J528+"h_l!.(h"</f>
        <v>#VALUE!</v>
      </c>
      <c r="IQ218" t="e">
        <f>Raw!K528+"h_l!.(i"</f>
        <v>#VALUE!</v>
      </c>
      <c r="IR218" t="e">
        <f>Raw!L528+"h_l!.(j"</f>
        <v>#VALUE!</v>
      </c>
      <c r="IS218" t="e">
        <f>Raw!M528+"h_l!.(k"</f>
        <v>#VALUE!</v>
      </c>
      <c r="IT218" t="e">
        <f>Raw!N528+"h_l!.(l"</f>
        <v>#VALUE!</v>
      </c>
      <c r="IU218" t="e">
        <f>Raw!O528+"h_l!.(m"</f>
        <v>#VALUE!</v>
      </c>
      <c r="IV218" t="e">
        <f>Raw!P528+"h_l!.(n"</f>
        <v>#VALUE!</v>
      </c>
    </row>
    <row r="219" spans="6:256" x14ac:dyDescent="0.25">
      <c r="F219" t="e">
        <f>Raw!Q528+"h_l!.(o"</f>
        <v>#VALUE!</v>
      </c>
      <c r="G219" t="e">
        <f>Raw!R528+"h_l!.(p"</f>
        <v>#VALUE!</v>
      </c>
      <c r="H219" t="e">
        <f>Raw!S528+"h_l!.(q"</f>
        <v>#VALUE!</v>
      </c>
      <c r="I219" t="e">
        <f>Raw!T528+"h_l!.(r"</f>
        <v>#VALUE!</v>
      </c>
      <c r="J219" t="e">
        <f>Raw!U528+"h_l!.(s"</f>
        <v>#VALUE!</v>
      </c>
      <c r="K219" t="e">
        <f>Raw!V528+"h_l!.(t"</f>
        <v>#VALUE!</v>
      </c>
      <c r="L219" t="e">
        <f>Raw!W528+"h_l!.(u"</f>
        <v>#VALUE!</v>
      </c>
      <c r="M219" t="e">
        <f>Raw!A529+"h_l!.(v"</f>
        <v>#VALUE!</v>
      </c>
      <c r="N219" t="e">
        <f>Raw!B529+"h_l!.(w"</f>
        <v>#VALUE!</v>
      </c>
      <c r="O219" t="e">
        <f>Raw!C529+"h_l!.(x"</f>
        <v>#VALUE!</v>
      </c>
      <c r="P219" t="e">
        <f>Raw!D529+"h_l!.(y"</f>
        <v>#VALUE!</v>
      </c>
      <c r="Q219" t="e">
        <f>Raw!E529+"h_l!.(z"</f>
        <v>#VALUE!</v>
      </c>
      <c r="R219" t="e">
        <f>Raw!#REF!+"h_l!.({"</f>
        <v>#REF!</v>
      </c>
      <c r="S219" t="e">
        <f>Raw!G529+"h_l!.(|"</f>
        <v>#VALUE!</v>
      </c>
      <c r="T219" t="e">
        <f>Raw!H529+"h_l!.(}"</f>
        <v>#VALUE!</v>
      </c>
      <c r="U219" t="e">
        <f>Raw!I529+"h_l!.(~"</f>
        <v>#VALUE!</v>
      </c>
      <c r="V219" t="e">
        <f>Raw!J529+"h_l!.)#"</f>
        <v>#VALUE!</v>
      </c>
      <c r="W219" t="e">
        <f>Raw!K529+"h_l!.)$"</f>
        <v>#VALUE!</v>
      </c>
      <c r="X219" t="e">
        <f>Raw!L529+"h_l!.)%"</f>
        <v>#VALUE!</v>
      </c>
      <c r="Y219" t="e">
        <f>Raw!M529+"h_l!.)&amp;"</f>
        <v>#VALUE!</v>
      </c>
      <c r="Z219" t="e">
        <f>Raw!N529+"h_l!.)'"</f>
        <v>#VALUE!</v>
      </c>
      <c r="AA219" t="e">
        <f>Raw!O529+"h_l!.)("</f>
        <v>#VALUE!</v>
      </c>
      <c r="AB219" t="e">
        <f>Raw!P529+"h_l!.))"</f>
        <v>#VALUE!</v>
      </c>
      <c r="AC219" t="e">
        <f>Raw!Q529+"h_l!.)."</f>
        <v>#VALUE!</v>
      </c>
      <c r="AD219" t="e">
        <f>Raw!R529+"h_l!.)/"</f>
        <v>#VALUE!</v>
      </c>
      <c r="AE219" t="e">
        <f>Raw!S529+"h_l!.)0"</f>
        <v>#VALUE!</v>
      </c>
      <c r="AF219" t="e">
        <f>Raw!T529+"h_l!.)1"</f>
        <v>#VALUE!</v>
      </c>
      <c r="AG219" t="e">
        <f>Raw!U529+"h_l!.)2"</f>
        <v>#VALUE!</v>
      </c>
      <c r="AH219" t="e">
        <f>Raw!V529+"h_l!.)3"</f>
        <v>#VALUE!</v>
      </c>
      <c r="AI219" t="e">
        <f>Raw!W529+"h_l!.)4"</f>
        <v>#VALUE!</v>
      </c>
      <c r="AJ219" t="e">
        <f>Raw!A530+"h_l!.)5"</f>
        <v>#VALUE!</v>
      </c>
      <c r="AK219" t="e">
        <f>Raw!B530+"h_l!.)6"</f>
        <v>#VALUE!</v>
      </c>
      <c r="AL219" t="e">
        <f>Raw!C530+"h_l!.)7"</f>
        <v>#VALUE!</v>
      </c>
      <c r="AM219" t="e">
        <f>Raw!D530+"h_l!.)8"</f>
        <v>#VALUE!</v>
      </c>
      <c r="AN219" t="e">
        <f>Raw!E530+"h_l!.)9"</f>
        <v>#VALUE!</v>
      </c>
      <c r="AO219" t="e">
        <f>Raw!#REF!+"h_l!.):"</f>
        <v>#REF!</v>
      </c>
      <c r="AP219" t="e">
        <f>Raw!G530+"h_l!.);"</f>
        <v>#VALUE!</v>
      </c>
      <c r="AQ219" t="e">
        <f>Raw!H530+"h_l!.)&lt;"</f>
        <v>#VALUE!</v>
      </c>
      <c r="AR219" t="e">
        <f>Raw!I530+"h_l!.)="</f>
        <v>#VALUE!</v>
      </c>
      <c r="AS219" t="e">
        <f>Raw!J530+"h_l!.)&gt;"</f>
        <v>#VALUE!</v>
      </c>
      <c r="AT219" t="e">
        <f>Raw!K530+"h_l!.)?"</f>
        <v>#VALUE!</v>
      </c>
      <c r="AU219" t="e">
        <f>Raw!L530+"h_l!.)@"</f>
        <v>#VALUE!</v>
      </c>
      <c r="AV219" t="e">
        <f>Raw!M530+"h_l!.)A"</f>
        <v>#VALUE!</v>
      </c>
      <c r="AW219" t="e">
        <f>Raw!N530+"h_l!.)B"</f>
        <v>#VALUE!</v>
      </c>
      <c r="AX219" t="e">
        <f>Raw!O530+"h_l!.)C"</f>
        <v>#VALUE!</v>
      </c>
      <c r="AY219" t="e">
        <f>Raw!P530+"h_l!.)D"</f>
        <v>#VALUE!</v>
      </c>
      <c r="AZ219" t="e">
        <f>Raw!Q530+"h_l!.)E"</f>
        <v>#VALUE!</v>
      </c>
      <c r="BA219" t="e">
        <f>Raw!R530+"h_l!.)F"</f>
        <v>#VALUE!</v>
      </c>
      <c r="BB219" t="e">
        <f>Raw!S530+"h_l!.)G"</f>
        <v>#VALUE!</v>
      </c>
      <c r="BC219" t="e">
        <f>Raw!T530+"h_l!.)H"</f>
        <v>#VALUE!</v>
      </c>
      <c r="BD219" t="e">
        <f>Raw!U530+"h_l!.)I"</f>
        <v>#VALUE!</v>
      </c>
      <c r="BE219" t="e">
        <f>Raw!V530+"h_l!.)J"</f>
        <v>#VALUE!</v>
      </c>
      <c r="BF219" t="e">
        <f>Raw!W530+"h_l!.)K"</f>
        <v>#VALUE!</v>
      </c>
      <c r="BG219" t="e">
        <f>Raw!A531+"h_l!.)L"</f>
        <v>#VALUE!</v>
      </c>
      <c r="BH219" t="e">
        <f>Raw!B531+"h_l!.)M"</f>
        <v>#VALUE!</v>
      </c>
      <c r="BI219" t="e">
        <f>Raw!C531+"h_l!.)N"</f>
        <v>#VALUE!</v>
      </c>
      <c r="BJ219" t="e">
        <f>Raw!D531+"h_l!.)O"</f>
        <v>#VALUE!</v>
      </c>
      <c r="BK219" t="e">
        <f>Raw!E531+"h_l!.)P"</f>
        <v>#VALUE!</v>
      </c>
      <c r="BL219" t="e">
        <f>Raw!#REF!+"h_l!.)Q"</f>
        <v>#REF!</v>
      </c>
      <c r="BM219" t="e">
        <f>Raw!G531+"h_l!.)R"</f>
        <v>#VALUE!</v>
      </c>
      <c r="BN219" t="e">
        <f>Raw!H531+"h_l!.)S"</f>
        <v>#VALUE!</v>
      </c>
      <c r="BO219" t="e">
        <f>Raw!I531+"h_l!.)T"</f>
        <v>#VALUE!</v>
      </c>
      <c r="BP219" t="e">
        <f>Raw!J531+"h_l!.)U"</f>
        <v>#VALUE!</v>
      </c>
      <c r="BQ219" t="e">
        <f>Raw!K531+"h_l!.)V"</f>
        <v>#VALUE!</v>
      </c>
      <c r="BR219" t="e">
        <f>Raw!L531+"h_l!.)W"</f>
        <v>#VALUE!</v>
      </c>
      <c r="BS219" t="e">
        <f>Raw!M531+"h_l!.)X"</f>
        <v>#VALUE!</v>
      </c>
      <c r="BT219" t="e">
        <f>Raw!N531+"h_l!.)Y"</f>
        <v>#VALUE!</v>
      </c>
      <c r="BU219" t="e">
        <f>Raw!O531+"h_l!.)Z"</f>
        <v>#VALUE!</v>
      </c>
      <c r="BV219" t="e">
        <f>Raw!P531+"h_l!.)["</f>
        <v>#VALUE!</v>
      </c>
      <c r="BW219" t="e">
        <f>Raw!Q531+"h_l!.)\"</f>
        <v>#VALUE!</v>
      </c>
      <c r="BX219" t="e">
        <f>Raw!R531+"h_l!.)]"</f>
        <v>#VALUE!</v>
      </c>
      <c r="BY219" t="e">
        <f>Raw!S531+"h_l!.)^"</f>
        <v>#VALUE!</v>
      </c>
      <c r="BZ219" t="e">
        <f>Raw!T531+"h_l!.)_"</f>
        <v>#VALUE!</v>
      </c>
      <c r="CA219" t="e">
        <f>Raw!U531+"h_l!.)`"</f>
        <v>#VALUE!</v>
      </c>
      <c r="CB219" t="e">
        <f>Raw!V531+"h_l!.)a"</f>
        <v>#VALUE!</v>
      </c>
      <c r="CC219" t="e">
        <f>Raw!W531+"h_l!.)b"</f>
        <v>#VALUE!</v>
      </c>
      <c r="CD219" t="e">
        <f>Raw!A532+"h_l!.)c"</f>
        <v>#VALUE!</v>
      </c>
      <c r="CE219" t="e">
        <f>Raw!B532+"h_l!.)d"</f>
        <v>#VALUE!</v>
      </c>
      <c r="CF219" t="e">
        <f>Raw!C532+"h_l!.)e"</f>
        <v>#VALUE!</v>
      </c>
      <c r="CG219" t="e">
        <f>Raw!D532+"h_l!.)f"</f>
        <v>#VALUE!</v>
      </c>
      <c r="CH219" t="e">
        <f>Raw!E532+"h_l!.)g"</f>
        <v>#VALUE!</v>
      </c>
      <c r="CI219" t="e">
        <f>Raw!#REF!+"h_l!.)h"</f>
        <v>#REF!</v>
      </c>
      <c r="CJ219" t="e">
        <f>Raw!G532+"h_l!.)i"</f>
        <v>#VALUE!</v>
      </c>
      <c r="CK219" t="e">
        <f>Raw!H532+"h_l!.)j"</f>
        <v>#VALUE!</v>
      </c>
      <c r="CL219" t="e">
        <f>Raw!I532+"h_l!.)k"</f>
        <v>#VALUE!</v>
      </c>
      <c r="CM219" t="e">
        <f>Raw!J532+"h_l!.)l"</f>
        <v>#VALUE!</v>
      </c>
      <c r="CN219" t="e">
        <f>Raw!K532+"h_l!.)m"</f>
        <v>#VALUE!</v>
      </c>
      <c r="CO219" t="e">
        <f>Raw!L532+"h_l!.)n"</f>
        <v>#VALUE!</v>
      </c>
      <c r="CP219" t="e">
        <f>Raw!M532+"h_l!.)o"</f>
        <v>#VALUE!</v>
      </c>
      <c r="CQ219" t="e">
        <f>Raw!N532+"h_l!.)p"</f>
        <v>#VALUE!</v>
      </c>
      <c r="CR219" t="e">
        <f>Raw!O532+"h_l!.)q"</f>
        <v>#VALUE!</v>
      </c>
      <c r="CS219" t="e">
        <f>Raw!P532+"h_l!.)r"</f>
        <v>#VALUE!</v>
      </c>
      <c r="CT219" t="e">
        <f>Raw!Q532+"h_l!.)s"</f>
        <v>#VALUE!</v>
      </c>
      <c r="CU219" t="e">
        <f>Raw!R532+"h_l!.)t"</f>
        <v>#VALUE!</v>
      </c>
      <c r="CV219" t="e">
        <f>Raw!S532+"h_l!.)u"</f>
        <v>#VALUE!</v>
      </c>
      <c r="CW219" t="e">
        <f>Raw!T532+"h_l!.)v"</f>
        <v>#VALUE!</v>
      </c>
      <c r="CX219" t="e">
        <f>Raw!U532+"h_l!.)w"</f>
        <v>#VALUE!</v>
      </c>
      <c r="CY219" t="e">
        <f>Raw!V532+"h_l!.)x"</f>
        <v>#VALUE!</v>
      </c>
      <c r="CZ219" t="e">
        <f>Raw!W532+"h_l!.)y"</f>
        <v>#VALUE!</v>
      </c>
      <c r="DA219" t="e">
        <f>Raw!A533+"h_l!.)z"</f>
        <v>#VALUE!</v>
      </c>
      <c r="DB219" t="e">
        <f>Raw!B533+"h_l!.){"</f>
        <v>#VALUE!</v>
      </c>
      <c r="DC219" t="e">
        <f>Raw!C533+"h_l!.)|"</f>
        <v>#VALUE!</v>
      </c>
      <c r="DD219" t="e">
        <f>Raw!D533+"h_l!.)}"</f>
        <v>#VALUE!</v>
      </c>
      <c r="DE219" t="e">
        <f>Raw!E533+"h_l!.)~"</f>
        <v>#VALUE!</v>
      </c>
      <c r="DF219" t="e">
        <f>Raw!#REF!+"h_l!..#"</f>
        <v>#REF!</v>
      </c>
      <c r="DG219" t="e">
        <f>Raw!G533+"h_l!..$"</f>
        <v>#VALUE!</v>
      </c>
      <c r="DH219" t="e">
        <f>Raw!H533+"h_l!..%"</f>
        <v>#VALUE!</v>
      </c>
      <c r="DI219" t="e">
        <f>Raw!I533+"h_l!..&amp;"</f>
        <v>#VALUE!</v>
      </c>
      <c r="DJ219" t="e">
        <f>Raw!J533+"h_l!..'"</f>
        <v>#VALUE!</v>
      </c>
      <c r="DK219" t="e">
        <f>Raw!K533+"h_l!..("</f>
        <v>#VALUE!</v>
      </c>
      <c r="DL219" t="e">
        <f>Raw!L533+"h_l!..)"</f>
        <v>#VALUE!</v>
      </c>
      <c r="DM219" t="e">
        <f>Raw!M533+"h_l!..."</f>
        <v>#VALUE!</v>
      </c>
      <c r="DN219" t="e">
        <f>Raw!N533+"h_l!../"</f>
        <v>#VALUE!</v>
      </c>
      <c r="DO219" t="e">
        <f>Raw!O533+"h_l!..0"</f>
        <v>#VALUE!</v>
      </c>
      <c r="DP219" t="e">
        <f>Raw!P533+"h_l!..1"</f>
        <v>#VALUE!</v>
      </c>
      <c r="DQ219" t="e">
        <f>Raw!Q533+"h_l!..2"</f>
        <v>#VALUE!</v>
      </c>
      <c r="DR219" t="e">
        <f>Raw!R533+"h_l!..3"</f>
        <v>#VALUE!</v>
      </c>
      <c r="DS219" t="e">
        <f>Raw!S533+"h_l!..4"</f>
        <v>#VALUE!</v>
      </c>
      <c r="DT219" t="e">
        <f>Raw!T533+"h_l!..5"</f>
        <v>#VALUE!</v>
      </c>
      <c r="DU219" t="e">
        <f>Raw!U533+"h_l!..6"</f>
        <v>#VALUE!</v>
      </c>
      <c r="DV219" t="e">
        <f>Raw!V533+"h_l!..7"</f>
        <v>#VALUE!</v>
      </c>
      <c r="DW219" t="e">
        <f>Raw!W533+"h_l!..8"</f>
        <v>#VALUE!</v>
      </c>
      <c r="DX219" t="e">
        <f>Raw!A534+"h_l!..9"</f>
        <v>#VALUE!</v>
      </c>
      <c r="DY219" t="e">
        <f>Raw!B534+"h_l!..:"</f>
        <v>#VALUE!</v>
      </c>
      <c r="DZ219" t="e">
        <f>Raw!C534+"h_l!..;"</f>
        <v>#VALUE!</v>
      </c>
      <c r="EA219" t="e">
        <f>Raw!D534+"h_l!..&lt;"</f>
        <v>#VALUE!</v>
      </c>
      <c r="EB219" t="e">
        <f>Raw!E534+"h_l!..="</f>
        <v>#VALUE!</v>
      </c>
      <c r="EC219" t="e">
        <f>Raw!#REF!+"h_l!..&gt;"</f>
        <v>#REF!</v>
      </c>
      <c r="ED219" t="e">
        <f>Raw!G534+"h_l!..?"</f>
        <v>#VALUE!</v>
      </c>
      <c r="EE219" t="e">
        <f>Raw!H534+"h_l!..@"</f>
        <v>#VALUE!</v>
      </c>
      <c r="EF219" t="e">
        <f>Raw!I534+"h_l!..A"</f>
        <v>#VALUE!</v>
      </c>
      <c r="EG219" t="e">
        <f>Raw!J534+"h_l!..B"</f>
        <v>#VALUE!</v>
      </c>
      <c r="EH219" t="e">
        <f>Raw!K534+"h_l!..C"</f>
        <v>#VALUE!</v>
      </c>
      <c r="EI219" t="e">
        <f>Raw!L534+"h_l!..D"</f>
        <v>#VALUE!</v>
      </c>
      <c r="EJ219" t="e">
        <f>Raw!M534+"h_l!..E"</f>
        <v>#VALUE!</v>
      </c>
      <c r="EK219" t="e">
        <f>Raw!N534+"h_l!..F"</f>
        <v>#VALUE!</v>
      </c>
      <c r="EL219" t="e">
        <f>Raw!O534+"h_l!..G"</f>
        <v>#VALUE!</v>
      </c>
      <c r="EM219" t="e">
        <f>Raw!P534+"h_l!..H"</f>
        <v>#VALUE!</v>
      </c>
      <c r="EN219" t="e">
        <f>Raw!Q534+"h_l!..I"</f>
        <v>#VALUE!</v>
      </c>
      <c r="EO219" t="e">
        <f>Raw!R534+"h_l!..J"</f>
        <v>#VALUE!</v>
      </c>
      <c r="EP219" t="e">
        <f>Raw!S534+"h_l!..K"</f>
        <v>#VALUE!</v>
      </c>
      <c r="EQ219" t="e">
        <f>Raw!T534+"h_l!..L"</f>
        <v>#VALUE!</v>
      </c>
      <c r="ER219" t="e">
        <f>Raw!U534+"h_l!..M"</f>
        <v>#VALUE!</v>
      </c>
      <c r="ES219" t="e">
        <f>Raw!V534+"h_l!..N"</f>
        <v>#VALUE!</v>
      </c>
      <c r="ET219" t="e">
        <f>Raw!W534+"h_l!..O"</f>
        <v>#VALUE!</v>
      </c>
      <c r="EU219" t="e">
        <f>Raw!A535+"h_l!..P"</f>
        <v>#VALUE!</v>
      </c>
      <c r="EV219" t="e">
        <f>Raw!B535+"h_l!..Q"</f>
        <v>#VALUE!</v>
      </c>
      <c r="EW219" t="e">
        <f>Raw!C535+"h_l!..R"</f>
        <v>#VALUE!</v>
      </c>
      <c r="EX219" t="e">
        <f>Raw!D535+"h_l!..S"</f>
        <v>#VALUE!</v>
      </c>
      <c r="EY219" t="e">
        <f>Raw!E535+"h_l!..T"</f>
        <v>#VALUE!</v>
      </c>
      <c r="EZ219" t="e">
        <f>Raw!#REF!+"h_l!..U"</f>
        <v>#REF!</v>
      </c>
      <c r="FA219" t="e">
        <f>Raw!G535+"h_l!..V"</f>
        <v>#VALUE!</v>
      </c>
      <c r="FB219" t="e">
        <f>Raw!H535+"h_l!..W"</f>
        <v>#VALUE!</v>
      </c>
      <c r="FC219" t="e">
        <f>Raw!I535+"h_l!..X"</f>
        <v>#VALUE!</v>
      </c>
      <c r="FD219" t="e">
        <f>Raw!J535+"h_l!..Y"</f>
        <v>#VALUE!</v>
      </c>
      <c r="FE219" t="e">
        <f>Raw!K535+"h_l!..Z"</f>
        <v>#VALUE!</v>
      </c>
      <c r="FF219" t="e">
        <f>Raw!L535+"h_l!..["</f>
        <v>#VALUE!</v>
      </c>
      <c r="FG219" t="e">
        <f>Raw!M535+"h_l!..\"</f>
        <v>#VALUE!</v>
      </c>
      <c r="FH219" t="e">
        <f>Raw!N535+"h_l!..]"</f>
        <v>#VALUE!</v>
      </c>
      <c r="FI219" t="e">
        <f>Raw!O535+"h_l!..^"</f>
        <v>#VALUE!</v>
      </c>
      <c r="FJ219" t="e">
        <f>Raw!P535+"h_l!.._"</f>
        <v>#VALUE!</v>
      </c>
      <c r="FK219" t="e">
        <f>Raw!Q535+"h_l!..`"</f>
        <v>#VALUE!</v>
      </c>
      <c r="FL219" t="e">
        <f>Raw!R535+"h_l!..a"</f>
        <v>#VALUE!</v>
      </c>
      <c r="FM219" t="e">
        <f>Raw!S535+"h_l!..b"</f>
        <v>#VALUE!</v>
      </c>
      <c r="FN219" t="e">
        <f>Raw!T535+"h_l!..c"</f>
        <v>#VALUE!</v>
      </c>
      <c r="FO219" t="e">
        <f>Raw!U535+"h_l!..d"</f>
        <v>#VALUE!</v>
      </c>
      <c r="FP219" t="e">
        <f>Raw!V535+"h_l!..e"</f>
        <v>#VALUE!</v>
      </c>
      <c r="FQ219" t="e">
        <f>Raw!W535+"h_l!..f"</f>
        <v>#VALUE!</v>
      </c>
      <c r="FR219" t="e">
        <f>Raw!A536+"h_l!..g"</f>
        <v>#VALUE!</v>
      </c>
      <c r="FS219" t="e">
        <f>Raw!B536+"h_l!..h"</f>
        <v>#VALUE!</v>
      </c>
      <c r="FT219" t="e">
        <f>Raw!C536+"h_l!..i"</f>
        <v>#VALUE!</v>
      </c>
      <c r="FU219" t="e">
        <f>Raw!D536+"h_l!..j"</f>
        <v>#VALUE!</v>
      </c>
      <c r="FV219" t="e">
        <f>Raw!E536+"h_l!..k"</f>
        <v>#VALUE!</v>
      </c>
      <c r="FW219" t="e">
        <f>Raw!#REF!+"h_l!..l"</f>
        <v>#REF!</v>
      </c>
      <c r="FX219" t="e">
        <f>Raw!G536+"h_l!..m"</f>
        <v>#VALUE!</v>
      </c>
      <c r="FY219" t="e">
        <f>Raw!H536+"h_l!..n"</f>
        <v>#VALUE!</v>
      </c>
      <c r="FZ219" t="e">
        <f>Raw!I536+"h_l!..o"</f>
        <v>#VALUE!</v>
      </c>
      <c r="GA219" t="e">
        <f>Raw!J536+"h_l!..p"</f>
        <v>#VALUE!</v>
      </c>
      <c r="GB219" t="e">
        <f>Raw!K536+"h_l!..q"</f>
        <v>#VALUE!</v>
      </c>
      <c r="GC219" t="e">
        <f>Raw!L536+"h_l!..r"</f>
        <v>#VALUE!</v>
      </c>
      <c r="GD219" t="e">
        <f>Raw!M536+"h_l!..s"</f>
        <v>#VALUE!</v>
      </c>
      <c r="GE219" t="e">
        <f>Raw!N536+"h_l!..t"</f>
        <v>#VALUE!</v>
      </c>
      <c r="GF219" t="e">
        <f>Raw!O536+"h_l!..u"</f>
        <v>#VALUE!</v>
      </c>
      <c r="GG219" t="e">
        <f>Raw!P536+"h_l!..v"</f>
        <v>#VALUE!</v>
      </c>
      <c r="GH219" t="e">
        <f>Raw!Q536+"h_l!..w"</f>
        <v>#VALUE!</v>
      </c>
      <c r="GI219" t="e">
        <f>Raw!R536+"h_l!..x"</f>
        <v>#VALUE!</v>
      </c>
      <c r="GJ219" t="e">
        <f>Raw!S536+"h_l!..y"</f>
        <v>#VALUE!</v>
      </c>
      <c r="GK219" t="e">
        <f>Raw!T536+"h_l!..z"</f>
        <v>#VALUE!</v>
      </c>
      <c r="GL219" t="e">
        <f>Raw!U536+"h_l!..{"</f>
        <v>#VALUE!</v>
      </c>
      <c r="GM219" t="e">
        <f>Raw!V536+"h_l!..|"</f>
        <v>#VALUE!</v>
      </c>
      <c r="GN219" t="e">
        <f>Raw!W536+"h_l!..}"</f>
        <v>#VALUE!</v>
      </c>
      <c r="GO219" t="e">
        <f>Raw!A537+"h_l!..~"</f>
        <v>#VALUE!</v>
      </c>
      <c r="GP219" t="e">
        <f>Raw!B537+"h_l!./#"</f>
        <v>#VALUE!</v>
      </c>
      <c r="GQ219" t="e">
        <f>Raw!C537+"h_l!./$"</f>
        <v>#VALUE!</v>
      </c>
      <c r="GR219" t="e">
        <f>Raw!D537+"h_l!./%"</f>
        <v>#VALUE!</v>
      </c>
      <c r="GS219" t="e">
        <f>Raw!E537+"h_l!./&amp;"</f>
        <v>#VALUE!</v>
      </c>
      <c r="GT219" t="e">
        <f>Raw!#REF!+"h_l!./'"</f>
        <v>#REF!</v>
      </c>
      <c r="GU219" t="e">
        <f>Raw!G537+"h_l!./("</f>
        <v>#VALUE!</v>
      </c>
      <c r="GV219" t="e">
        <f>Raw!H537+"h_l!./)"</f>
        <v>#VALUE!</v>
      </c>
      <c r="GW219" t="e">
        <f>Raw!I537+"h_l!./."</f>
        <v>#VALUE!</v>
      </c>
      <c r="GX219" t="e">
        <f>Raw!J537+"h_l!.//"</f>
        <v>#VALUE!</v>
      </c>
      <c r="GY219" t="e">
        <f>Raw!K537+"h_l!./0"</f>
        <v>#VALUE!</v>
      </c>
      <c r="GZ219" t="e">
        <f>Raw!L537+"h_l!./1"</f>
        <v>#VALUE!</v>
      </c>
      <c r="HA219" t="e">
        <f>Raw!M537+"h_l!./2"</f>
        <v>#VALUE!</v>
      </c>
      <c r="HB219" t="e">
        <f>Raw!N537+"h_l!./3"</f>
        <v>#VALUE!</v>
      </c>
      <c r="HC219" t="e">
        <f>Raw!O537+"h_l!./4"</f>
        <v>#VALUE!</v>
      </c>
      <c r="HD219" t="e">
        <f>Raw!P537+"h_l!./5"</f>
        <v>#VALUE!</v>
      </c>
      <c r="HE219" t="e">
        <f>Raw!Q537+"h_l!./6"</f>
        <v>#VALUE!</v>
      </c>
      <c r="HF219" t="e">
        <f>Raw!R537+"h_l!./7"</f>
        <v>#VALUE!</v>
      </c>
      <c r="HG219" t="e">
        <f>Raw!S537+"h_l!./8"</f>
        <v>#VALUE!</v>
      </c>
      <c r="HH219" t="e">
        <f>Raw!T537+"h_l!./9"</f>
        <v>#VALUE!</v>
      </c>
      <c r="HI219" t="e">
        <f>Raw!U537+"h_l!./:"</f>
        <v>#VALUE!</v>
      </c>
      <c r="HJ219" t="e">
        <f>Raw!V537+"h_l!./;"</f>
        <v>#VALUE!</v>
      </c>
      <c r="HK219" t="e">
        <f>Raw!W537+"h_l!./&lt;"</f>
        <v>#VALUE!</v>
      </c>
      <c r="HL219" t="e">
        <f>Raw!A538+"h_l!./="</f>
        <v>#VALUE!</v>
      </c>
      <c r="HM219" t="e">
        <f>Raw!B538+"h_l!./&gt;"</f>
        <v>#VALUE!</v>
      </c>
      <c r="HN219" t="e">
        <f>Raw!C538+"h_l!./?"</f>
        <v>#VALUE!</v>
      </c>
      <c r="HO219" t="e">
        <f>Raw!D538+"h_l!./@"</f>
        <v>#VALUE!</v>
      </c>
      <c r="HP219" t="e">
        <f>Raw!E538+"h_l!./A"</f>
        <v>#VALUE!</v>
      </c>
      <c r="HQ219" t="e">
        <f>Raw!#REF!+"h_l!./B"</f>
        <v>#REF!</v>
      </c>
      <c r="HR219" t="e">
        <f>Raw!G538+"h_l!./C"</f>
        <v>#VALUE!</v>
      </c>
      <c r="HS219" t="e">
        <f>Raw!H538+"h_l!./D"</f>
        <v>#VALUE!</v>
      </c>
      <c r="HT219" t="e">
        <f>Raw!I538+"h_l!./E"</f>
        <v>#VALUE!</v>
      </c>
      <c r="HU219" t="e">
        <f>Raw!J538+"h_l!./F"</f>
        <v>#VALUE!</v>
      </c>
      <c r="HV219" t="e">
        <f>Raw!K538+"h_l!./G"</f>
        <v>#VALUE!</v>
      </c>
      <c r="HW219" t="e">
        <f>Raw!L538+"h_l!./H"</f>
        <v>#VALUE!</v>
      </c>
      <c r="HX219" t="e">
        <f>Raw!M538+"h_l!./I"</f>
        <v>#VALUE!</v>
      </c>
      <c r="HY219" t="e">
        <f>Raw!N538+"h_l!./J"</f>
        <v>#VALUE!</v>
      </c>
      <c r="HZ219" t="e">
        <f>Raw!O538+"h_l!./K"</f>
        <v>#VALUE!</v>
      </c>
      <c r="IA219" t="e">
        <f>Raw!P538+"h_l!./L"</f>
        <v>#VALUE!</v>
      </c>
      <c r="IB219" t="e">
        <f>Raw!Q538+"h_l!./M"</f>
        <v>#VALUE!</v>
      </c>
      <c r="IC219" t="e">
        <f>Raw!R538+"h_l!./N"</f>
        <v>#VALUE!</v>
      </c>
      <c r="ID219" t="e">
        <f>Raw!S538+"h_l!./O"</f>
        <v>#VALUE!</v>
      </c>
      <c r="IE219" t="e">
        <f>Raw!T538+"h_l!./P"</f>
        <v>#VALUE!</v>
      </c>
      <c r="IF219" t="e">
        <f>Raw!U538+"h_l!./Q"</f>
        <v>#VALUE!</v>
      </c>
      <c r="IG219" t="e">
        <f>Raw!V538+"h_l!./R"</f>
        <v>#VALUE!</v>
      </c>
      <c r="IH219" t="e">
        <f>Raw!W538+"h_l!./S"</f>
        <v>#VALUE!</v>
      </c>
      <c r="II219" t="e">
        <f>Raw!A539+"h_l!./T"</f>
        <v>#VALUE!</v>
      </c>
      <c r="IJ219" t="e">
        <f>Raw!B539+"h_l!./U"</f>
        <v>#VALUE!</v>
      </c>
      <c r="IK219" t="e">
        <f>Raw!C539+"h_l!./V"</f>
        <v>#VALUE!</v>
      </c>
      <c r="IL219" t="e">
        <f>Raw!D539+"h_l!./W"</f>
        <v>#VALUE!</v>
      </c>
      <c r="IM219" t="e">
        <f>Raw!E539+"h_l!./X"</f>
        <v>#VALUE!</v>
      </c>
      <c r="IN219" t="e">
        <f>Raw!#REF!+"h_l!./Y"</f>
        <v>#REF!</v>
      </c>
      <c r="IO219" t="e">
        <f>Raw!G539+"h_l!./Z"</f>
        <v>#VALUE!</v>
      </c>
      <c r="IP219" t="e">
        <f>Raw!H539+"h_l!./["</f>
        <v>#VALUE!</v>
      </c>
      <c r="IQ219" t="e">
        <f>Raw!I539+"h_l!./\"</f>
        <v>#VALUE!</v>
      </c>
      <c r="IR219" t="e">
        <f>Raw!J539+"h_l!./]"</f>
        <v>#VALUE!</v>
      </c>
      <c r="IS219" t="e">
        <f>Raw!K539+"h_l!./^"</f>
        <v>#VALUE!</v>
      </c>
      <c r="IT219" t="e">
        <f>Raw!L539+"h_l!./_"</f>
        <v>#VALUE!</v>
      </c>
      <c r="IU219" t="e">
        <f>Raw!M539+"h_l!./`"</f>
        <v>#VALUE!</v>
      </c>
      <c r="IV219" t="e">
        <f>Raw!N539+"h_l!./a"</f>
        <v>#VALUE!</v>
      </c>
    </row>
    <row r="220" spans="6:256" x14ac:dyDescent="0.25">
      <c r="F220" t="e">
        <f>Raw!O539+"h_l!./b"</f>
        <v>#VALUE!</v>
      </c>
      <c r="G220" t="e">
        <f>Raw!P539+"h_l!./c"</f>
        <v>#VALUE!</v>
      </c>
      <c r="H220" t="e">
        <f>Raw!Q539+"h_l!./d"</f>
        <v>#VALUE!</v>
      </c>
      <c r="I220" t="e">
        <f>Raw!R539+"h_l!./e"</f>
        <v>#VALUE!</v>
      </c>
      <c r="J220" t="e">
        <f>Raw!S539+"h_l!./f"</f>
        <v>#VALUE!</v>
      </c>
      <c r="K220" t="e">
        <f>Raw!T539+"h_l!./g"</f>
        <v>#VALUE!</v>
      </c>
      <c r="L220" t="e">
        <f>Raw!U539+"h_l!./h"</f>
        <v>#VALUE!</v>
      </c>
      <c r="M220" t="e">
        <f>Raw!V539+"h_l!./i"</f>
        <v>#VALUE!</v>
      </c>
      <c r="N220" t="e">
        <f>Raw!W539+"h_l!./j"</f>
        <v>#VALUE!</v>
      </c>
      <c r="O220" t="e">
        <f>Raw!A540+"h_l!./k"</f>
        <v>#VALUE!</v>
      </c>
      <c r="P220" t="e">
        <f>Raw!B540+"h_l!./l"</f>
        <v>#VALUE!</v>
      </c>
      <c r="Q220" t="e">
        <f>Raw!C540+"h_l!./m"</f>
        <v>#VALUE!</v>
      </c>
      <c r="R220" t="e">
        <f>Raw!D540+"h_l!./n"</f>
        <v>#VALUE!</v>
      </c>
      <c r="S220" t="e">
        <f>Raw!E540+"h_l!./o"</f>
        <v>#VALUE!</v>
      </c>
      <c r="T220" t="e">
        <f>Raw!#REF!+"h_l!./p"</f>
        <v>#REF!</v>
      </c>
      <c r="U220" t="e">
        <f>Raw!G540+"h_l!./q"</f>
        <v>#VALUE!</v>
      </c>
      <c r="V220" t="e">
        <f>Raw!H540+"h_l!./r"</f>
        <v>#VALUE!</v>
      </c>
      <c r="W220" t="e">
        <f>Raw!I540+"h_l!./s"</f>
        <v>#VALUE!</v>
      </c>
      <c r="X220" t="e">
        <f>Raw!J540+"h_l!./t"</f>
        <v>#VALUE!</v>
      </c>
      <c r="Y220" t="e">
        <f>Raw!K540+"h_l!./u"</f>
        <v>#VALUE!</v>
      </c>
      <c r="Z220" t="e">
        <f>Raw!L540+"h_l!./v"</f>
        <v>#VALUE!</v>
      </c>
      <c r="AA220" t="e">
        <f>Raw!M540+"h_l!./w"</f>
        <v>#VALUE!</v>
      </c>
      <c r="AB220" t="e">
        <f>Raw!N540+"h_l!./x"</f>
        <v>#VALUE!</v>
      </c>
      <c r="AC220" t="e">
        <f>Raw!O540+"h_l!./y"</f>
        <v>#VALUE!</v>
      </c>
      <c r="AD220" t="e">
        <f>Raw!P540+"h_l!./z"</f>
        <v>#VALUE!</v>
      </c>
      <c r="AE220" t="e">
        <f>Raw!Q540+"h_l!./{"</f>
        <v>#VALUE!</v>
      </c>
      <c r="AF220" t="e">
        <f>Raw!R540+"h_l!./|"</f>
        <v>#VALUE!</v>
      </c>
      <c r="AG220" t="e">
        <f>Raw!S540+"h_l!./}"</f>
        <v>#VALUE!</v>
      </c>
      <c r="AH220" t="e">
        <f>Raw!T540+"h_l!./~"</f>
        <v>#VALUE!</v>
      </c>
      <c r="AI220" t="e">
        <f>Raw!U540+"h_l!.0#"</f>
        <v>#VALUE!</v>
      </c>
      <c r="AJ220" t="e">
        <f>Raw!V540+"h_l!.0$"</f>
        <v>#VALUE!</v>
      </c>
      <c r="AK220" t="e">
        <f>Raw!W540+"h_l!.0%"</f>
        <v>#VALUE!</v>
      </c>
      <c r="AL220" t="e">
        <f>Raw!A541+"h_l!.0&amp;"</f>
        <v>#VALUE!</v>
      </c>
      <c r="AM220" t="e">
        <f>Raw!B541+"h_l!.0'"</f>
        <v>#VALUE!</v>
      </c>
      <c r="AN220" t="e">
        <f>Raw!C541+"h_l!.0("</f>
        <v>#VALUE!</v>
      </c>
      <c r="AO220" t="e">
        <f>Raw!D541+"h_l!.0)"</f>
        <v>#VALUE!</v>
      </c>
      <c r="AP220" t="e">
        <f>Raw!E541+"h_l!.0."</f>
        <v>#VALUE!</v>
      </c>
      <c r="AQ220" t="e">
        <f>Raw!#REF!+"h_l!.0/"</f>
        <v>#REF!</v>
      </c>
      <c r="AR220" t="e">
        <f>Raw!G541+"h_l!.00"</f>
        <v>#VALUE!</v>
      </c>
      <c r="AS220" t="e">
        <f>Raw!H541+"h_l!.01"</f>
        <v>#VALUE!</v>
      </c>
      <c r="AT220" t="e">
        <f>Raw!I541+"h_l!.02"</f>
        <v>#VALUE!</v>
      </c>
      <c r="AU220" t="e">
        <f>Raw!J541+"h_l!.03"</f>
        <v>#VALUE!</v>
      </c>
      <c r="AV220" t="e">
        <f>Raw!K541+"h_l!.04"</f>
        <v>#VALUE!</v>
      </c>
      <c r="AW220" t="e">
        <f>Raw!L541+"h_l!.05"</f>
        <v>#VALUE!</v>
      </c>
      <c r="AX220" t="e">
        <f>Raw!M541+"h_l!.06"</f>
        <v>#VALUE!</v>
      </c>
      <c r="AY220" t="e">
        <f>Raw!N541+"h_l!.07"</f>
        <v>#VALUE!</v>
      </c>
      <c r="AZ220" t="e">
        <f>Raw!O541+"h_l!.08"</f>
        <v>#VALUE!</v>
      </c>
      <c r="BA220" t="e">
        <f>Raw!P541+"h_l!.09"</f>
        <v>#VALUE!</v>
      </c>
      <c r="BB220" t="e">
        <f>Raw!Q541+"h_l!.0:"</f>
        <v>#VALUE!</v>
      </c>
      <c r="BC220" t="e">
        <f>Raw!R541+"h_l!.0;"</f>
        <v>#VALUE!</v>
      </c>
      <c r="BD220" t="e">
        <f>Raw!S541+"h_l!.0&lt;"</f>
        <v>#VALUE!</v>
      </c>
      <c r="BE220" t="e">
        <f>Raw!T541+"h_l!.0="</f>
        <v>#VALUE!</v>
      </c>
      <c r="BF220" t="e">
        <f>Raw!U541+"h_l!.0&gt;"</f>
        <v>#VALUE!</v>
      </c>
      <c r="BG220" t="e">
        <f>Raw!V541+"h_l!.0?"</f>
        <v>#VALUE!</v>
      </c>
      <c r="BH220" t="e">
        <f>Raw!W541+"h_l!.0@"</f>
        <v>#VALUE!</v>
      </c>
      <c r="BI220" t="e">
        <f>Raw!A542+"h_l!.0A"</f>
        <v>#VALUE!</v>
      </c>
      <c r="BJ220" t="e">
        <f>Raw!B542+"h_l!.0B"</f>
        <v>#VALUE!</v>
      </c>
      <c r="BK220" t="e">
        <f>Raw!C542+"h_l!.0C"</f>
        <v>#VALUE!</v>
      </c>
      <c r="BL220" t="e">
        <f>Raw!D542+"h_l!.0D"</f>
        <v>#VALUE!</v>
      </c>
      <c r="BM220" t="e">
        <f>Raw!E542+"h_l!.0E"</f>
        <v>#VALUE!</v>
      </c>
      <c r="BN220" t="e">
        <f>Raw!#REF!+"h_l!.0F"</f>
        <v>#REF!</v>
      </c>
      <c r="BO220" t="e">
        <f>Raw!G542+"h_l!.0G"</f>
        <v>#VALUE!</v>
      </c>
      <c r="BP220" t="e">
        <f>Raw!H542+"h_l!.0H"</f>
        <v>#VALUE!</v>
      </c>
      <c r="BQ220" t="e">
        <f>Raw!I542+"h_l!.0I"</f>
        <v>#VALUE!</v>
      </c>
      <c r="BR220" t="e">
        <f>Raw!J542+"h_l!.0J"</f>
        <v>#VALUE!</v>
      </c>
      <c r="BS220" t="e">
        <f>Raw!K542+"h_l!.0K"</f>
        <v>#VALUE!</v>
      </c>
      <c r="BT220" t="e">
        <f>Raw!L542+"h_l!.0L"</f>
        <v>#VALUE!</v>
      </c>
      <c r="BU220" t="e">
        <f>Raw!M542+"h_l!.0M"</f>
        <v>#VALUE!</v>
      </c>
      <c r="BV220" t="e">
        <f>Raw!N542+"h_l!.0N"</f>
        <v>#VALUE!</v>
      </c>
      <c r="BW220" t="e">
        <f>Raw!O542+"h_l!.0O"</f>
        <v>#VALUE!</v>
      </c>
      <c r="BX220" t="e">
        <f>Raw!P542+"h_l!.0P"</f>
        <v>#VALUE!</v>
      </c>
      <c r="BY220" t="e">
        <f>Raw!Q542+"h_l!.0Q"</f>
        <v>#VALUE!</v>
      </c>
      <c r="BZ220" t="e">
        <f>Raw!R542+"h_l!.0R"</f>
        <v>#VALUE!</v>
      </c>
      <c r="CA220" t="e">
        <f>Raw!S542+"h_l!.0S"</f>
        <v>#VALUE!</v>
      </c>
      <c r="CB220" t="e">
        <f>Raw!T542+"h_l!.0T"</f>
        <v>#VALUE!</v>
      </c>
      <c r="CC220" t="e">
        <f>Raw!U542+"h_l!.0U"</f>
        <v>#VALUE!</v>
      </c>
      <c r="CD220" t="e">
        <f>Raw!V542+"h_l!.0V"</f>
        <v>#VALUE!</v>
      </c>
      <c r="CE220" t="e">
        <f>Raw!W542+"h_l!.0W"</f>
        <v>#VALUE!</v>
      </c>
      <c r="CF220" t="e">
        <f>Raw!A543+"h_l!.0X"</f>
        <v>#VALUE!</v>
      </c>
      <c r="CG220" t="e">
        <f>Raw!B543+"h_l!.0Y"</f>
        <v>#VALUE!</v>
      </c>
      <c r="CH220" t="e">
        <f>Raw!C543+"h_l!.0Z"</f>
        <v>#VALUE!</v>
      </c>
      <c r="CI220" t="e">
        <f>Raw!D543+"h_l!.0["</f>
        <v>#VALUE!</v>
      </c>
      <c r="CJ220" t="e">
        <f>Raw!E543+"h_l!.0\"</f>
        <v>#VALUE!</v>
      </c>
      <c r="CK220" t="e">
        <f>Raw!#REF!+"h_l!.0]"</f>
        <v>#REF!</v>
      </c>
      <c r="CL220" t="e">
        <f>Raw!G543+"h_l!.0^"</f>
        <v>#VALUE!</v>
      </c>
      <c r="CM220" t="e">
        <f>Raw!H543+"h_l!.0_"</f>
        <v>#VALUE!</v>
      </c>
      <c r="CN220" t="e">
        <f>Raw!I543+"h_l!.0`"</f>
        <v>#VALUE!</v>
      </c>
      <c r="CO220" t="e">
        <f>Raw!J543+"h_l!.0a"</f>
        <v>#VALUE!</v>
      </c>
      <c r="CP220" t="e">
        <f>Raw!K543+"h_l!.0b"</f>
        <v>#VALUE!</v>
      </c>
      <c r="CQ220" t="e">
        <f>Raw!L543+"h_l!.0c"</f>
        <v>#VALUE!</v>
      </c>
      <c r="CR220" t="e">
        <f>Raw!M543+"h_l!.0d"</f>
        <v>#VALUE!</v>
      </c>
      <c r="CS220" t="e">
        <f>Raw!N543+"h_l!.0e"</f>
        <v>#VALUE!</v>
      </c>
      <c r="CT220" t="e">
        <f>Raw!O543+"h_l!.0f"</f>
        <v>#VALUE!</v>
      </c>
      <c r="CU220" t="e">
        <f>Raw!P543+"h_l!.0g"</f>
        <v>#VALUE!</v>
      </c>
      <c r="CV220" t="e">
        <f>Raw!Q543+"h_l!.0h"</f>
        <v>#VALUE!</v>
      </c>
      <c r="CW220" t="e">
        <f>Raw!R543+"h_l!.0i"</f>
        <v>#VALUE!</v>
      </c>
      <c r="CX220" t="e">
        <f>Raw!S543+"h_l!.0j"</f>
        <v>#VALUE!</v>
      </c>
      <c r="CY220" t="e">
        <f>Raw!T543+"h_l!.0k"</f>
        <v>#VALUE!</v>
      </c>
      <c r="CZ220" t="e">
        <f>Raw!U543+"h_l!.0l"</f>
        <v>#VALUE!</v>
      </c>
      <c r="DA220" t="e">
        <f>Raw!V543+"h_l!.0m"</f>
        <v>#VALUE!</v>
      </c>
      <c r="DB220" t="e">
        <f>Raw!W543+"h_l!.0n"</f>
        <v>#VALUE!</v>
      </c>
      <c r="DC220" t="e">
        <f>Raw!A544+"h_l!.0o"</f>
        <v>#VALUE!</v>
      </c>
      <c r="DD220" t="e">
        <f>Raw!B544+"h_l!.0p"</f>
        <v>#VALUE!</v>
      </c>
      <c r="DE220" t="e">
        <f>Raw!C544+"h_l!.0q"</f>
        <v>#VALUE!</v>
      </c>
      <c r="DF220" t="e">
        <f>Raw!D544+"h_l!.0r"</f>
        <v>#VALUE!</v>
      </c>
      <c r="DG220" t="e">
        <f>Raw!E544+"h_l!.0s"</f>
        <v>#VALUE!</v>
      </c>
      <c r="DH220" t="e">
        <f>Raw!#REF!+"h_l!.0t"</f>
        <v>#REF!</v>
      </c>
      <c r="DI220" t="e">
        <f>Raw!G544+"h_l!.0u"</f>
        <v>#VALUE!</v>
      </c>
      <c r="DJ220" t="e">
        <f>Raw!H544+"h_l!.0v"</f>
        <v>#VALUE!</v>
      </c>
      <c r="DK220" t="e">
        <f>Raw!I544+"h_l!.0w"</f>
        <v>#VALUE!</v>
      </c>
      <c r="DL220" t="e">
        <f>Raw!J544+"h_l!.0x"</f>
        <v>#VALUE!</v>
      </c>
      <c r="DM220" t="e">
        <f>Raw!K544+"h_l!.0y"</f>
        <v>#VALUE!</v>
      </c>
      <c r="DN220" t="e">
        <f>Raw!L544+"h_l!.0z"</f>
        <v>#VALUE!</v>
      </c>
      <c r="DO220" t="e">
        <f>Raw!M544+"h_l!.0{"</f>
        <v>#VALUE!</v>
      </c>
      <c r="DP220" t="e">
        <f>Raw!N544+"h_l!.0|"</f>
        <v>#VALUE!</v>
      </c>
      <c r="DQ220" t="e">
        <f>Raw!O544+"h_l!.0}"</f>
        <v>#VALUE!</v>
      </c>
      <c r="DR220" t="e">
        <f>Raw!P544+"h_l!.0~"</f>
        <v>#VALUE!</v>
      </c>
      <c r="DS220" t="e">
        <f>Raw!Q544+"h_l!.1#"</f>
        <v>#VALUE!</v>
      </c>
      <c r="DT220" t="e">
        <f>Raw!R544+"h_l!.1$"</f>
        <v>#VALUE!</v>
      </c>
      <c r="DU220" t="e">
        <f>Raw!S544+"h_l!.1%"</f>
        <v>#VALUE!</v>
      </c>
      <c r="DV220" t="e">
        <f>Raw!T544+"h_l!.1&amp;"</f>
        <v>#VALUE!</v>
      </c>
      <c r="DW220" t="e">
        <f>Raw!U544+"h_l!.1'"</f>
        <v>#VALUE!</v>
      </c>
      <c r="DX220" t="e">
        <f>Raw!V544+"h_l!.1("</f>
        <v>#VALUE!</v>
      </c>
      <c r="DY220" t="e">
        <f>Raw!W544+"h_l!.1)"</f>
        <v>#VALUE!</v>
      </c>
      <c r="DZ220" t="e">
        <f>Raw!A545+"h_l!.1."</f>
        <v>#VALUE!</v>
      </c>
      <c r="EA220" t="e">
        <f>Raw!B545+"h_l!.1/"</f>
        <v>#VALUE!</v>
      </c>
      <c r="EB220" t="e">
        <f>Raw!C545+"h_l!.10"</f>
        <v>#VALUE!</v>
      </c>
      <c r="EC220" t="e">
        <f>Raw!D545+"h_l!.11"</f>
        <v>#VALUE!</v>
      </c>
      <c r="ED220" t="e">
        <f>Raw!E545+"h_l!.12"</f>
        <v>#VALUE!</v>
      </c>
      <c r="EE220" t="e">
        <f>Raw!#REF!+"h_l!.13"</f>
        <v>#REF!</v>
      </c>
      <c r="EF220" t="e">
        <f>Raw!G545+"h_l!.14"</f>
        <v>#VALUE!</v>
      </c>
      <c r="EG220" t="e">
        <f>Raw!H545+"h_l!.15"</f>
        <v>#VALUE!</v>
      </c>
      <c r="EH220" t="e">
        <f>Raw!I545+"h_l!.16"</f>
        <v>#VALUE!</v>
      </c>
      <c r="EI220" t="e">
        <f>Raw!J545+"h_l!.17"</f>
        <v>#VALUE!</v>
      </c>
      <c r="EJ220" t="e">
        <f>Raw!K545+"h_l!.18"</f>
        <v>#VALUE!</v>
      </c>
      <c r="EK220" t="e">
        <f>Raw!L545+"h_l!.19"</f>
        <v>#VALUE!</v>
      </c>
      <c r="EL220" t="e">
        <f>Raw!M545+"h_l!.1:"</f>
        <v>#VALUE!</v>
      </c>
      <c r="EM220" t="e">
        <f>Raw!N545+"h_l!.1;"</f>
        <v>#VALUE!</v>
      </c>
      <c r="EN220" t="e">
        <f>Raw!O545+"h_l!.1&lt;"</f>
        <v>#VALUE!</v>
      </c>
      <c r="EO220" t="e">
        <f>Raw!P545+"h_l!.1="</f>
        <v>#VALUE!</v>
      </c>
      <c r="EP220" t="e">
        <f>Raw!Q545+"h_l!.1&gt;"</f>
        <v>#VALUE!</v>
      </c>
      <c r="EQ220" t="e">
        <f>Raw!R545+"h_l!.1?"</f>
        <v>#VALUE!</v>
      </c>
      <c r="ER220" t="e">
        <f>Raw!S545+"h_l!.1@"</f>
        <v>#VALUE!</v>
      </c>
      <c r="ES220" t="e">
        <f>Raw!T545+"h_l!.1A"</f>
        <v>#VALUE!</v>
      </c>
      <c r="ET220" t="e">
        <f>Raw!U545+"h_l!.1B"</f>
        <v>#VALUE!</v>
      </c>
      <c r="EU220" t="e">
        <f>Raw!V545+"h_l!.1C"</f>
        <v>#VALUE!</v>
      </c>
      <c r="EV220" t="e">
        <f>Raw!W545+"h_l!.1D"</f>
        <v>#VALUE!</v>
      </c>
      <c r="EW220" t="e">
        <f>Raw!A546+"h_l!.1E"</f>
        <v>#VALUE!</v>
      </c>
      <c r="EX220" t="e">
        <f>Raw!B546+"h_l!.1F"</f>
        <v>#VALUE!</v>
      </c>
      <c r="EY220" t="e">
        <f>Raw!C546+"h_l!.1G"</f>
        <v>#VALUE!</v>
      </c>
      <c r="EZ220" t="e">
        <f>Raw!D546+"h_l!.1H"</f>
        <v>#VALUE!</v>
      </c>
      <c r="FA220" t="e">
        <f>Raw!E546+"h_l!.1I"</f>
        <v>#VALUE!</v>
      </c>
      <c r="FB220" t="e">
        <f>Raw!#REF!+"h_l!.1J"</f>
        <v>#REF!</v>
      </c>
      <c r="FC220" t="e">
        <f>Raw!G546+"h_l!.1K"</f>
        <v>#VALUE!</v>
      </c>
      <c r="FD220" t="e">
        <f>Raw!H546+"h_l!.1L"</f>
        <v>#VALUE!</v>
      </c>
      <c r="FE220" t="e">
        <f>Raw!I546+"h_l!.1M"</f>
        <v>#VALUE!</v>
      </c>
      <c r="FF220" t="e">
        <f>Raw!J546+"h_l!.1N"</f>
        <v>#VALUE!</v>
      </c>
      <c r="FG220" t="e">
        <f>Raw!K546+"h_l!.1O"</f>
        <v>#VALUE!</v>
      </c>
      <c r="FH220" t="e">
        <f>Raw!L546+"h_l!.1P"</f>
        <v>#VALUE!</v>
      </c>
      <c r="FI220" t="e">
        <f>Raw!M546+"h_l!.1Q"</f>
        <v>#VALUE!</v>
      </c>
      <c r="FJ220" t="e">
        <f>Raw!N546+"h_l!.1R"</f>
        <v>#VALUE!</v>
      </c>
      <c r="FK220" t="e">
        <f>Raw!O546+"h_l!.1S"</f>
        <v>#VALUE!</v>
      </c>
      <c r="FL220" t="e">
        <f>Raw!P546+"h_l!.1T"</f>
        <v>#VALUE!</v>
      </c>
      <c r="FM220" t="e">
        <f>Raw!Q546+"h_l!.1U"</f>
        <v>#VALUE!</v>
      </c>
      <c r="FN220" t="e">
        <f>Raw!R546+"h_l!.1V"</f>
        <v>#VALUE!</v>
      </c>
      <c r="FO220" t="e">
        <f>Raw!S546+"h_l!.1W"</f>
        <v>#VALUE!</v>
      </c>
      <c r="FP220" t="e">
        <f>Raw!T546+"h_l!.1X"</f>
        <v>#VALUE!</v>
      </c>
      <c r="FQ220" t="e">
        <f>Raw!U546+"h_l!.1Y"</f>
        <v>#VALUE!</v>
      </c>
      <c r="FR220" t="e">
        <f>Raw!V546+"h_l!.1Z"</f>
        <v>#VALUE!</v>
      </c>
      <c r="FS220" t="e">
        <f>Raw!W546+"h_l!.1["</f>
        <v>#VALUE!</v>
      </c>
      <c r="FT220" t="e">
        <f>Raw!A547+"h_l!.1\"</f>
        <v>#VALUE!</v>
      </c>
      <c r="FU220" t="e">
        <f>Raw!B547+"h_l!.1]"</f>
        <v>#VALUE!</v>
      </c>
      <c r="FV220" t="e">
        <f>Raw!C547+"h_l!.1^"</f>
        <v>#VALUE!</v>
      </c>
      <c r="FW220" t="e">
        <f>Raw!D547+"h_l!.1_"</f>
        <v>#VALUE!</v>
      </c>
      <c r="FX220" t="e">
        <f>Raw!E547+"h_l!.1`"</f>
        <v>#VALUE!</v>
      </c>
      <c r="FY220" t="e">
        <f>Raw!#REF!+"h_l!.1a"</f>
        <v>#REF!</v>
      </c>
      <c r="FZ220" t="e">
        <f>Raw!G547+"h_l!.1b"</f>
        <v>#VALUE!</v>
      </c>
      <c r="GA220" t="e">
        <f>Raw!H547+"h_l!.1c"</f>
        <v>#VALUE!</v>
      </c>
      <c r="GB220" t="e">
        <f>Raw!I547+"h_l!.1d"</f>
        <v>#VALUE!</v>
      </c>
      <c r="GC220" t="e">
        <f>Raw!J547+"h_l!.1e"</f>
        <v>#VALUE!</v>
      </c>
      <c r="GD220" t="e">
        <f>Raw!K547+"h_l!.1f"</f>
        <v>#VALUE!</v>
      </c>
      <c r="GE220" t="e">
        <f>Raw!L547+"h_l!.1g"</f>
        <v>#VALUE!</v>
      </c>
      <c r="GF220" t="e">
        <f>Raw!M547+"h_l!.1h"</f>
        <v>#VALUE!</v>
      </c>
      <c r="GG220" t="e">
        <f>Raw!N547+"h_l!.1i"</f>
        <v>#VALUE!</v>
      </c>
      <c r="GH220" t="e">
        <f>Raw!O547+"h_l!.1j"</f>
        <v>#VALUE!</v>
      </c>
      <c r="GI220" t="e">
        <f>Raw!P547+"h_l!.1k"</f>
        <v>#VALUE!</v>
      </c>
      <c r="GJ220" t="e">
        <f>Raw!Q547+"h_l!.1l"</f>
        <v>#VALUE!</v>
      </c>
      <c r="GK220" t="e">
        <f>Raw!R547+"h_l!.1m"</f>
        <v>#VALUE!</v>
      </c>
      <c r="GL220" t="e">
        <f>Raw!S547+"h_l!.1n"</f>
        <v>#VALUE!</v>
      </c>
      <c r="GM220" t="e">
        <f>Raw!T547+"h_l!.1o"</f>
        <v>#VALUE!</v>
      </c>
      <c r="GN220" t="e">
        <f>Raw!U547+"h_l!.1p"</f>
        <v>#VALUE!</v>
      </c>
      <c r="GO220" t="e">
        <f>Raw!V547+"h_l!.1q"</f>
        <v>#VALUE!</v>
      </c>
      <c r="GP220" t="e">
        <f>Raw!W547+"h_l!.1r"</f>
        <v>#VALUE!</v>
      </c>
      <c r="GQ220" t="e">
        <f>Raw!A548+"h_l!.1s"</f>
        <v>#VALUE!</v>
      </c>
      <c r="GR220" t="e">
        <f>Raw!B548+"h_l!.1t"</f>
        <v>#VALUE!</v>
      </c>
      <c r="GS220" t="e">
        <f>Raw!C548+"h_l!.1u"</f>
        <v>#VALUE!</v>
      </c>
      <c r="GT220" t="e">
        <f>Raw!D548+"h_l!.1v"</f>
        <v>#VALUE!</v>
      </c>
      <c r="GU220" t="e">
        <f>Raw!E548+"h_l!.1w"</f>
        <v>#VALUE!</v>
      </c>
      <c r="GV220" t="e">
        <f>Raw!#REF!+"h_l!.1x"</f>
        <v>#REF!</v>
      </c>
      <c r="GW220" t="e">
        <f>Raw!G548+"h_l!.1y"</f>
        <v>#VALUE!</v>
      </c>
      <c r="GX220" t="e">
        <f>Raw!H548+"h_l!.1z"</f>
        <v>#VALUE!</v>
      </c>
      <c r="GY220" t="e">
        <f>Raw!I548+"h_l!.1{"</f>
        <v>#VALUE!</v>
      </c>
      <c r="GZ220" t="e">
        <f>Raw!J548+"h_l!.1|"</f>
        <v>#VALUE!</v>
      </c>
      <c r="HA220" t="e">
        <f>Raw!K548+"h_l!.1}"</f>
        <v>#VALUE!</v>
      </c>
      <c r="HB220" t="e">
        <f>Raw!L548+"h_l!.1~"</f>
        <v>#VALUE!</v>
      </c>
      <c r="HC220" t="e">
        <f>Raw!M548+"h_l!.2#"</f>
        <v>#VALUE!</v>
      </c>
      <c r="HD220" t="e">
        <f>Raw!N548+"h_l!.2$"</f>
        <v>#VALUE!</v>
      </c>
      <c r="HE220" t="e">
        <f>Raw!O548+"h_l!.2%"</f>
        <v>#VALUE!</v>
      </c>
      <c r="HF220" t="e">
        <f>Raw!P548+"h_l!.2&amp;"</f>
        <v>#VALUE!</v>
      </c>
      <c r="HG220" t="e">
        <f>Raw!Q548+"h_l!.2'"</f>
        <v>#VALUE!</v>
      </c>
      <c r="HH220" t="e">
        <f>Raw!R548+"h_l!.2("</f>
        <v>#VALUE!</v>
      </c>
      <c r="HI220" t="e">
        <f>Raw!S548+"h_l!.2)"</f>
        <v>#VALUE!</v>
      </c>
      <c r="HJ220" t="e">
        <f>Raw!T548+"h_l!.2."</f>
        <v>#VALUE!</v>
      </c>
      <c r="HK220" t="e">
        <f>Raw!U548+"h_l!.2/"</f>
        <v>#VALUE!</v>
      </c>
      <c r="HL220" t="e">
        <f>Raw!V548+"h_l!.20"</f>
        <v>#VALUE!</v>
      </c>
      <c r="HM220" t="e">
        <f>Raw!W548+"h_l!.21"</f>
        <v>#VALUE!</v>
      </c>
      <c r="HN220" t="e">
        <f>Raw!A549+"h_l!.22"</f>
        <v>#VALUE!</v>
      </c>
      <c r="HO220" t="e">
        <f>Raw!B549+"h_l!.23"</f>
        <v>#VALUE!</v>
      </c>
      <c r="HP220" t="e">
        <f>Raw!C549+"h_l!.24"</f>
        <v>#VALUE!</v>
      </c>
      <c r="HQ220" t="e">
        <f>Raw!D549+"h_l!.25"</f>
        <v>#VALUE!</v>
      </c>
      <c r="HR220" t="e">
        <f>Raw!E549+"h_l!.26"</f>
        <v>#VALUE!</v>
      </c>
      <c r="HS220" t="e">
        <f>Raw!#REF!+"h_l!.27"</f>
        <v>#REF!</v>
      </c>
      <c r="HT220" t="e">
        <f>Raw!G549+"h_l!.28"</f>
        <v>#VALUE!</v>
      </c>
      <c r="HU220" t="e">
        <f>Raw!H549+"h_l!.29"</f>
        <v>#VALUE!</v>
      </c>
      <c r="HV220" t="e">
        <f>Raw!I549+"h_l!.2:"</f>
        <v>#VALUE!</v>
      </c>
      <c r="HW220" t="e">
        <f>Raw!J549+"h_l!.2;"</f>
        <v>#VALUE!</v>
      </c>
      <c r="HX220" t="e">
        <f>Raw!K549+"h_l!.2&lt;"</f>
        <v>#VALUE!</v>
      </c>
      <c r="HY220" t="e">
        <f>Raw!L549+"h_l!.2="</f>
        <v>#VALUE!</v>
      </c>
      <c r="HZ220" t="e">
        <f>Raw!M549+"h_l!.2&gt;"</f>
        <v>#VALUE!</v>
      </c>
      <c r="IA220" t="e">
        <f>Raw!N549+"h_l!.2?"</f>
        <v>#VALUE!</v>
      </c>
      <c r="IB220" t="e">
        <f>Raw!O549+"h_l!.2@"</f>
        <v>#VALUE!</v>
      </c>
      <c r="IC220" t="e">
        <f>Raw!P549+"h_l!.2A"</f>
        <v>#VALUE!</v>
      </c>
      <c r="ID220" t="e">
        <f>Raw!Q549+"h_l!.2B"</f>
        <v>#VALUE!</v>
      </c>
      <c r="IE220" t="e">
        <f>Raw!R549+"h_l!.2C"</f>
        <v>#VALUE!</v>
      </c>
      <c r="IF220" t="e">
        <f>Raw!S549+"h_l!.2D"</f>
        <v>#VALUE!</v>
      </c>
      <c r="IG220" t="e">
        <f>Raw!T549+"h_l!.2E"</f>
        <v>#VALUE!</v>
      </c>
      <c r="IH220" t="e">
        <f>Raw!U549+"h_l!.2F"</f>
        <v>#VALUE!</v>
      </c>
      <c r="II220" t="e">
        <f>Raw!V549+"h_l!.2G"</f>
        <v>#VALUE!</v>
      </c>
      <c r="IJ220" t="e">
        <f>Raw!W549+"h_l!.2H"</f>
        <v>#VALUE!</v>
      </c>
      <c r="IK220" t="e">
        <f>Raw!A550+"h_l!.2I"</f>
        <v>#VALUE!</v>
      </c>
      <c r="IL220" t="e">
        <f>Raw!B550+"h_l!.2J"</f>
        <v>#VALUE!</v>
      </c>
      <c r="IM220" t="e">
        <f>Raw!C550+"h_l!.2K"</f>
        <v>#VALUE!</v>
      </c>
      <c r="IN220" t="e">
        <f>Raw!D550+"h_l!.2L"</f>
        <v>#VALUE!</v>
      </c>
      <c r="IO220" t="e">
        <f>Raw!E550+"h_l!.2M"</f>
        <v>#VALUE!</v>
      </c>
      <c r="IP220" t="e">
        <f>Raw!#REF!+"h_l!.2N"</f>
        <v>#REF!</v>
      </c>
      <c r="IQ220" t="e">
        <f>Raw!G550+"h_l!.2O"</f>
        <v>#VALUE!</v>
      </c>
      <c r="IR220" t="e">
        <f>Raw!H550+"h_l!.2P"</f>
        <v>#VALUE!</v>
      </c>
      <c r="IS220" t="e">
        <f>Raw!I550+"h_l!.2Q"</f>
        <v>#VALUE!</v>
      </c>
      <c r="IT220" t="e">
        <f>Raw!J550+"h_l!.2R"</f>
        <v>#VALUE!</v>
      </c>
      <c r="IU220" t="e">
        <f>Raw!K550+"h_l!.2S"</f>
        <v>#VALUE!</v>
      </c>
      <c r="IV220" t="e">
        <f>Raw!L550+"h_l!.2T"</f>
        <v>#VALUE!</v>
      </c>
    </row>
    <row r="221" spans="6:256" x14ac:dyDescent="0.25">
      <c r="F221" t="e">
        <f>Raw!M550+"h_l!.2U"</f>
        <v>#VALUE!</v>
      </c>
      <c r="G221" t="e">
        <f>Raw!N550+"h_l!.2V"</f>
        <v>#VALUE!</v>
      </c>
      <c r="H221" t="e">
        <f>Raw!O550+"h_l!.2W"</f>
        <v>#VALUE!</v>
      </c>
      <c r="I221" t="e">
        <f>Raw!P550+"h_l!.2X"</f>
        <v>#VALUE!</v>
      </c>
      <c r="J221" t="e">
        <f>Raw!Q550+"h_l!.2Y"</f>
        <v>#VALUE!</v>
      </c>
      <c r="K221" t="e">
        <f>Raw!R550+"h_l!.2Z"</f>
        <v>#VALUE!</v>
      </c>
      <c r="L221" t="e">
        <f>Raw!S550+"h_l!.2["</f>
        <v>#VALUE!</v>
      </c>
      <c r="M221" t="e">
        <f>Raw!T550+"h_l!.2\"</f>
        <v>#VALUE!</v>
      </c>
      <c r="N221" t="e">
        <f>Raw!U550+"h_l!.2]"</f>
        <v>#VALUE!</v>
      </c>
      <c r="O221" t="e">
        <f>Raw!V550+"h_l!.2^"</f>
        <v>#VALUE!</v>
      </c>
      <c r="P221" t="e">
        <f>Raw!W550+"h_l!.2_"</f>
        <v>#VALUE!</v>
      </c>
      <c r="Q221" t="e">
        <f>Raw!A551+"h_l!.2`"</f>
        <v>#VALUE!</v>
      </c>
      <c r="R221" t="e">
        <f>Raw!B551+"h_l!.2a"</f>
        <v>#VALUE!</v>
      </c>
      <c r="S221" t="e">
        <f>Raw!C551+"h_l!.2b"</f>
        <v>#VALUE!</v>
      </c>
      <c r="T221" t="e">
        <f>Raw!D551+"h_l!.2c"</f>
        <v>#VALUE!</v>
      </c>
      <c r="U221" t="e">
        <f>Raw!E551+"h_l!.2d"</f>
        <v>#VALUE!</v>
      </c>
      <c r="V221" t="e">
        <f>Raw!#REF!+"h_l!.2e"</f>
        <v>#REF!</v>
      </c>
      <c r="W221" t="e">
        <f>Raw!G551+"h_l!.2f"</f>
        <v>#VALUE!</v>
      </c>
      <c r="X221" t="e">
        <f>Raw!H551+"h_l!.2g"</f>
        <v>#VALUE!</v>
      </c>
      <c r="Y221" t="e">
        <f>Raw!I551+"h_l!.2h"</f>
        <v>#VALUE!</v>
      </c>
      <c r="Z221" t="e">
        <f>Raw!J551+"h_l!.2i"</f>
        <v>#VALUE!</v>
      </c>
      <c r="AA221" t="e">
        <f>Raw!K551+"h_l!.2j"</f>
        <v>#VALUE!</v>
      </c>
      <c r="AB221" t="e">
        <f>Raw!L551+"h_l!.2k"</f>
        <v>#VALUE!</v>
      </c>
      <c r="AC221" t="e">
        <f>Raw!M551+"h_l!.2l"</f>
        <v>#VALUE!</v>
      </c>
      <c r="AD221" t="e">
        <f>Raw!N551+"h_l!.2m"</f>
        <v>#VALUE!</v>
      </c>
      <c r="AE221" t="e">
        <f>Raw!O551+"h_l!.2n"</f>
        <v>#VALUE!</v>
      </c>
      <c r="AF221" t="e">
        <f>Raw!P551+"h_l!.2o"</f>
        <v>#VALUE!</v>
      </c>
      <c r="AG221" t="e">
        <f>Raw!Q551+"h_l!.2p"</f>
        <v>#VALUE!</v>
      </c>
      <c r="AH221" t="e">
        <f>Raw!R551+"h_l!.2q"</f>
        <v>#VALUE!</v>
      </c>
      <c r="AI221" t="e">
        <f>Raw!S551+"h_l!.2r"</f>
        <v>#VALUE!</v>
      </c>
      <c r="AJ221" t="e">
        <f>Raw!T551+"h_l!.2s"</f>
        <v>#VALUE!</v>
      </c>
      <c r="AK221" t="e">
        <f>Raw!U551+"h_l!.2t"</f>
        <v>#VALUE!</v>
      </c>
      <c r="AL221" t="e">
        <f>Raw!V551+"h_l!.2u"</f>
        <v>#VALUE!</v>
      </c>
      <c r="AM221" t="e">
        <f>Raw!W551+"h_l!.2v"</f>
        <v>#VALUE!</v>
      </c>
      <c r="AN221" t="e">
        <f>Raw!A552+"h_l!.2w"</f>
        <v>#VALUE!</v>
      </c>
      <c r="AO221" t="e">
        <f>Raw!B552+"h_l!.2x"</f>
        <v>#VALUE!</v>
      </c>
      <c r="AP221" t="e">
        <f>Raw!C552+"h_l!.2y"</f>
        <v>#VALUE!</v>
      </c>
      <c r="AQ221" t="e">
        <f>Raw!D552+"h_l!.2z"</f>
        <v>#VALUE!</v>
      </c>
      <c r="AR221" t="e">
        <f>Raw!E552+"h_l!.2{"</f>
        <v>#VALUE!</v>
      </c>
      <c r="AS221" t="e">
        <f>Raw!#REF!+"h_l!.2|"</f>
        <v>#REF!</v>
      </c>
      <c r="AT221" t="e">
        <f>Raw!G552+"h_l!.2}"</f>
        <v>#VALUE!</v>
      </c>
      <c r="AU221" t="e">
        <f>Raw!H552+"h_l!.2~"</f>
        <v>#VALUE!</v>
      </c>
      <c r="AV221" t="e">
        <f>Raw!I552+"h_l!.3#"</f>
        <v>#VALUE!</v>
      </c>
      <c r="AW221" t="e">
        <f>Raw!J552+"h_l!.3$"</f>
        <v>#VALUE!</v>
      </c>
      <c r="AX221" t="e">
        <f>Raw!K552+"h_l!.3%"</f>
        <v>#VALUE!</v>
      </c>
      <c r="AY221" t="e">
        <f>Raw!L552+"h_l!.3&amp;"</f>
        <v>#VALUE!</v>
      </c>
      <c r="AZ221" t="e">
        <f>Raw!M552+"h_l!.3'"</f>
        <v>#VALUE!</v>
      </c>
      <c r="BA221" t="e">
        <f>Raw!N552+"h_l!.3("</f>
        <v>#VALUE!</v>
      </c>
      <c r="BB221" t="e">
        <f>Raw!O552+"h_l!.3)"</f>
        <v>#VALUE!</v>
      </c>
      <c r="BC221" t="e">
        <f>Raw!P552+"h_l!.3."</f>
        <v>#VALUE!</v>
      </c>
      <c r="BD221" t="e">
        <f>Raw!Q552+"h_l!.3/"</f>
        <v>#VALUE!</v>
      </c>
      <c r="BE221" t="e">
        <f>Raw!R552+"h_l!.30"</f>
        <v>#VALUE!</v>
      </c>
      <c r="BF221" t="e">
        <f>Raw!S552+"h_l!.31"</f>
        <v>#VALUE!</v>
      </c>
      <c r="BG221" t="e">
        <f>Raw!T552+"h_l!.32"</f>
        <v>#VALUE!</v>
      </c>
      <c r="BH221" t="e">
        <f>Raw!U552+"h_l!.33"</f>
        <v>#VALUE!</v>
      </c>
      <c r="BI221" t="e">
        <f>Raw!V552+"h_l!.34"</f>
        <v>#VALUE!</v>
      </c>
      <c r="BJ221" t="e">
        <f>Raw!W552+"h_l!.35"</f>
        <v>#VALUE!</v>
      </c>
      <c r="BK221" t="e">
        <f>Raw!A553+"h_l!.36"</f>
        <v>#VALUE!</v>
      </c>
      <c r="BL221" t="e">
        <f>Raw!B553+"h_l!.37"</f>
        <v>#VALUE!</v>
      </c>
      <c r="BM221" t="e">
        <f>Raw!C553+"h_l!.38"</f>
        <v>#VALUE!</v>
      </c>
      <c r="BN221" t="e">
        <f>Raw!D553+"h_l!.39"</f>
        <v>#VALUE!</v>
      </c>
      <c r="BO221" t="e">
        <f>Raw!E553+"h_l!.3:"</f>
        <v>#VALUE!</v>
      </c>
      <c r="BP221" t="e">
        <f>Raw!#REF!+"h_l!.3;"</f>
        <v>#REF!</v>
      </c>
      <c r="BQ221" t="e">
        <f>Raw!G553+"h_l!.3&lt;"</f>
        <v>#VALUE!</v>
      </c>
      <c r="BR221" t="e">
        <f>Raw!H553+"h_l!.3="</f>
        <v>#VALUE!</v>
      </c>
      <c r="BS221" t="e">
        <f>Raw!I553+"h_l!.3&gt;"</f>
        <v>#VALUE!</v>
      </c>
      <c r="BT221" t="e">
        <f>Raw!J553+"h_l!.3?"</f>
        <v>#VALUE!</v>
      </c>
      <c r="BU221" t="e">
        <f>Raw!K553+"h_l!.3@"</f>
        <v>#VALUE!</v>
      </c>
      <c r="BV221" t="e">
        <f>Raw!L553+"h_l!.3A"</f>
        <v>#VALUE!</v>
      </c>
      <c r="BW221" t="e">
        <f>Raw!M553+"h_l!.3B"</f>
        <v>#VALUE!</v>
      </c>
      <c r="BX221" t="e">
        <f>Raw!N553+"h_l!.3C"</f>
        <v>#VALUE!</v>
      </c>
      <c r="BY221" t="e">
        <f>Raw!O553+"h_l!.3D"</f>
        <v>#VALUE!</v>
      </c>
      <c r="BZ221" t="e">
        <f>Raw!P553+"h_l!.3E"</f>
        <v>#VALUE!</v>
      </c>
      <c r="CA221" t="e">
        <f>Raw!Q553+"h_l!.3F"</f>
        <v>#VALUE!</v>
      </c>
      <c r="CB221" t="e">
        <f>Raw!R553+"h_l!.3G"</f>
        <v>#VALUE!</v>
      </c>
      <c r="CC221" t="e">
        <f>Raw!S553+"h_l!.3H"</f>
        <v>#VALUE!</v>
      </c>
      <c r="CD221" t="e">
        <f>Raw!T553+"h_l!.3I"</f>
        <v>#VALUE!</v>
      </c>
      <c r="CE221" t="e">
        <f>Raw!U553+"h_l!.3J"</f>
        <v>#VALUE!</v>
      </c>
      <c r="CF221" t="e">
        <f>Raw!V553+"h_l!.3K"</f>
        <v>#VALUE!</v>
      </c>
      <c r="CG221" t="e">
        <f>Raw!W553+"h_l!.3L"</f>
        <v>#VALUE!</v>
      </c>
      <c r="CH221" t="e">
        <f>Raw!A554+"h_l!.3M"</f>
        <v>#VALUE!</v>
      </c>
      <c r="CI221" t="e">
        <f>Raw!B554+"h_l!.3N"</f>
        <v>#VALUE!</v>
      </c>
      <c r="CJ221" t="e">
        <f>Raw!C554+"h_l!.3O"</f>
        <v>#VALUE!</v>
      </c>
      <c r="CK221" t="e">
        <f>Raw!D554+"h_l!.3P"</f>
        <v>#VALUE!</v>
      </c>
      <c r="CL221" t="e">
        <f>Raw!E554+"h_l!.3Q"</f>
        <v>#VALUE!</v>
      </c>
      <c r="CM221" t="e">
        <f>Raw!#REF!+"h_l!.3R"</f>
        <v>#REF!</v>
      </c>
      <c r="CN221" t="e">
        <f>Raw!G554+"h_l!.3S"</f>
        <v>#VALUE!</v>
      </c>
      <c r="CO221" t="e">
        <f>Raw!H554+"h_l!.3T"</f>
        <v>#VALUE!</v>
      </c>
      <c r="CP221" t="e">
        <f>Raw!I554+"h_l!.3U"</f>
        <v>#VALUE!</v>
      </c>
      <c r="CQ221" t="e">
        <f>Raw!J554+"h_l!.3V"</f>
        <v>#VALUE!</v>
      </c>
      <c r="CR221" t="e">
        <f>Raw!K554+"h_l!.3W"</f>
        <v>#VALUE!</v>
      </c>
      <c r="CS221" t="e">
        <f>Raw!L554+"h_l!.3X"</f>
        <v>#VALUE!</v>
      </c>
      <c r="CT221" t="e">
        <f>Raw!M554+"h_l!.3Y"</f>
        <v>#VALUE!</v>
      </c>
      <c r="CU221" t="e">
        <f>Raw!N554+"h_l!.3Z"</f>
        <v>#VALUE!</v>
      </c>
      <c r="CV221" t="e">
        <f>Raw!O554+"h_l!.3["</f>
        <v>#VALUE!</v>
      </c>
      <c r="CW221" t="e">
        <f>Raw!P554+"h_l!.3\"</f>
        <v>#VALUE!</v>
      </c>
      <c r="CX221" t="e">
        <f>Raw!Q554+"h_l!.3]"</f>
        <v>#VALUE!</v>
      </c>
      <c r="CY221" t="e">
        <f>Raw!R554+"h_l!.3^"</f>
        <v>#VALUE!</v>
      </c>
      <c r="CZ221" t="e">
        <f>Raw!S554+"h_l!.3_"</f>
        <v>#VALUE!</v>
      </c>
      <c r="DA221" t="e">
        <f>Raw!T554+"h_l!.3`"</f>
        <v>#VALUE!</v>
      </c>
      <c r="DB221" t="e">
        <f>Raw!U554+"h_l!.3a"</f>
        <v>#VALUE!</v>
      </c>
      <c r="DC221" t="e">
        <f>Raw!V554+"h_l!.3b"</f>
        <v>#VALUE!</v>
      </c>
      <c r="DD221" t="e">
        <f>Raw!W554+"h_l!.3c"</f>
        <v>#VALUE!</v>
      </c>
      <c r="DE221" t="e">
        <f>Raw!A555+"h_l!.3d"</f>
        <v>#VALUE!</v>
      </c>
      <c r="DF221" t="e">
        <f>Raw!B555+"h_l!.3e"</f>
        <v>#VALUE!</v>
      </c>
      <c r="DG221" t="e">
        <f>Raw!C555+"h_l!.3f"</f>
        <v>#VALUE!</v>
      </c>
      <c r="DH221" t="e">
        <f>Raw!D555+"h_l!.3g"</f>
        <v>#VALUE!</v>
      </c>
      <c r="DI221" t="e">
        <f>Raw!E555+"h_l!.3h"</f>
        <v>#VALUE!</v>
      </c>
      <c r="DJ221" t="e">
        <f>Raw!#REF!+"h_l!.3i"</f>
        <v>#REF!</v>
      </c>
      <c r="DK221" t="e">
        <f>Raw!G555+"h_l!.3j"</f>
        <v>#VALUE!</v>
      </c>
      <c r="DL221" t="e">
        <f>Raw!H555+"h_l!.3k"</f>
        <v>#VALUE!</v>
      </c>
      <c r="DM221" t="e">
        <f>Raw!I555+"h_l!.3l"</f>
        <v>#VALUE!</v>
      </c>
      <c r="DN221" t="e">
        <f>Raw!J555+"h_l!.3m"</f>
        <v>#VALUE!</v>
      </c>
      <c r="DO221" t="e">
        <f>Raw!K555+"h_l!.3n"</f>
        <v>#VALUE!</v>
      </c>
      <c r="DP221" t="e">
        <f>Raw!L555+"h_l!.3o"</f>
        <v>#VALUE!</v>
      </c>
      <c r="DQ221" t="e">
        <f>Raw!M555+"h_l!.3p"</f>
        <v>#VALUE!</v>
      </c>
      <c r="DR221" t="e">
        <f>Raw!N555+"h_l!.3q"</f>
        <v>#VALUE!</v>
      </c>
      <c r="DS221" t="e">
        <f>Raw!O555+"h_l!.3r"</f>
        <v>#VALUE!</v>
      </c>
      <c r="DT221" t="e">
        <f>Raw!P555+"h_l!.3s"</f>
        <v>#VALUE!</v>
      </c>
      <c r="DU221" t="e">
        <f>Raw!Q555+"h_l!.3t"</f>
        <v>#VALUE!</v>
      </c>
      <c r="DV221" t="e">
        <f>Raw!R555+"h_l!.3u"</f>
        <v>#VALUE!</v>
      </c>
      <c r="DW221" t="e">
        <f>Raw!S555+"h_l!.3v"</f>
        <v>#VALUE!</v>
      </c>
      <c r="DX221" t="e">
        <f>Raw!T555+"h_l!.3w"</f>
        <v>#VALUE!</v>
      </c>
      <c r="DY221" t="e">
        <f>Raw!U555+"h_l!.3x"</f>
        <v>#VALUE!</v>
      </c>
      <c r="DZ221" t="e">
        <f>Raw!V555+"h_l!.3y"</f>
        <v>#VALUE!</v>
      </c>
      <c r="EA221" t="e">
        <f>Raw!W555+"h_l!.3z"</f>
        <v>#VALUE!</v>
      </c>
      <c r="EB221" t="e">
        <f>Raw!A556+"h_l!.3{"</f>
        <v>#VALUE!</v>
      </c>
      <c r="EC221" t="e">
        <f>Raw!B556+"h_l!.3|"</f>
        <v>#VALUE!</v>
      </c>
      <c r="ED221" t="e">
        <f>Raw!C556+"h_l!.3}"</f>
        <v>#VALUE!</v>
      </c>
      <c r="EE221" t="e">
        <f>Raw!D556+"h_l!.3~"</f>
        <v>#VALUE!</v>
      </c>
      <c r="EF221" t="e">
        <f>Raw!E556+"h_l!.4#"</f>
        <v>#VALUE!</v>
      </c>
      <c r="EG221" t="e">
        <f>Raw!#REF!+"h_l!.4$"</f>
        <v>#REF!</v>
      </c>
      <c r="EH221" t="e">
        <f>Raw!G556+"h_l!.4%"</f>
        <v>#VALUE!</v>
      </c>
      <c r="EI221" t="e">
        <f>Raw!H556+"h_l!.4&amp;"</f>
        <v>#VALUE!</v>
      </c>
      <c r="EJ221" t="e">
        <f>Raw!I556+"h_l!.4'"</f>
        <v>#VALUE!</v>
      </c>
      <c r="EK221" t="e">
        <f>Raw!J556+"h_l!.4("</f>
        <v>#VALUE!</v>
      </c>
      <c r="EL221" t="e">
        <f>Raw!K556+"h_l!.4)"</f>
        <v>#VALUE!</v>
      </c>
      <c r="EM221" t="e">
        <f>Raw!L556+"h_l!.4."</f>
        <v>#VALUE!</v>
      </c>
      <c r="EN221" t="e">
        <f>Raw!M556+"h_l!.4/"</f>
        <v>#VALUE!</v>
      </c>
      <c r="EO221" t="e">
        <f>Raw!N556+"h_l!.40"</f>
        <v>#VALUE!</v>
      </c>
      <c r="EP221" t="e">
        <f>Raw!O556+"h_l!.41"</f>
        <v>#VALUE!</v>
      </c>
      <c r="EQ221" t="e">
        <f>Raw!P556+"h_l!.42"</f>
        <v>#VALUE!</v>
      </c>
      <c r="ER221" t="e">
        <f>Raw!Q556+"h_l!.43"</f>
        <v>#VALUE!</v>
      </c>
      <c r="ES221" t="e">
        <f>Raw!R556+"h_l!.44"</f>
        <v>#VALUE!</v>
      </c>
      <c r="ET221" t="e">
        <f>Raw!S556+"h_l!.45"</f>
        <v>#VALUE!</v>
      </c>
      <c r="EU221" t="e">
        <f>Raw!T556+"h_l!.46"</f>
        <v>#VALUE!</v>
      </c>
      <c r="EV221" t="e">
        <f>Raw!U556+"h_l!.47"</f>
        <v>#VALUE!</v>
      </c>
      <c r="EW221" t="e">
        <f>Raw!V556+"h_l!.48"</f>
        <v>#VALUE!</v>
      </c>
      <c r="EX221" t="e">
        <f>Raw!W556+"h_l!.49"</f>
        <v>#VALUE!</v>
      </c>
      <c r="EY221" t="e">
        <f>Raw!A557+"h_l!.4:"</f>
        <v>#VALUE!</v>
      </c>
      <c r="EZ221" t="e">
        <f>Raw!B557+"h_l!.4;"</f>
        <v>#VALUE!</v>
      </c>
      <c r="FA221" t="e">
        <f>Raw!C557+"h_l!.4&lt;"</f>
        <v>#VALUE!</v>
      </c>
      <c r="FB221" t="e">
        <f>Raw!D557+"h_l!.4="</f>
        <v>#VALUE!</v>
      </c>
      <c r="FC221" t="e">
        <f>Raw!E557+"h_l!.4&gt;"</f>
        <v>#VALUE!</v>
      </c>
      <c r="FD221" t="e">
        <f>Raw!#REF!+"h_l!.4?"</f>
        <v>#REF!</v>
      </c>
      <c r="FE221" t="e">
        <f>Raw!G557+"h_l!.4@"</f>
        <v>#VALUE!</v>
      </c>
      <c r="FF221" t="e">
        <f>Raw!H557+"h_l!.4A"</f>
        <v>#VALUE!</v>
      </c>
      <c r="FG221" t="e">
        <f>Raw!I557+"h_l!.4B"</f>
        <v>#VALUE!</v>
      </c>
      <c r="FH221" t="e">
        <f>Raw!J557+"h_l!.4C"</f>
        <v>#VALUE!</v>
      </c>
      <c r="FI221" t="e">
        <f>Raw!K557+"h_l!.4D"</f>
        <v>#VALUE!</v>
      </c>
      <c r="FJ221" t="e">
        <f>Raw!L557+"h_l!.4E"</f>
        <v>#VALUE!</v>
      </c>
      <c r="FK221" t="e">
        <f>Raw!M557+"h_l!.4F"</f>
        <v>#VALUE!</v>
      </c>
      <c r="FL221" t="e">
        <f>Raw!N557+"h_l!.4G"</f>
        <v>#VALUE!</v>
      </c>
      <c r="FM221" t="e">
        <f>Raw!O557+"h_l!.4H"</f>
        <v>#VALUE!</v>
      </c>
      <c r="FN221" t="e">
        <f>Raw!P557+"h_l!.4I"</f>
        <v>#VALUE!</v>
      </c>
      <c r="FO221" t="e">
        <f>Raw!Q557+"h_l!.4J"</f>
        <v>#VALUE!</v>
      </c>
      <c r="FP221" t="e">
        <f>Raw!R557+"h_l!.4K"</f>
        <v>#VALUE!</v>
      </c>
      <c r="FQ221" t="e">
        <f>Raw!S557+"h_l!.4L"</f>
        <v>#VALUE!</v>
      </c>
      <c r="FR221" t="e">
        <f>Raw!T557+"h_l!.4M"</f>
        <v>#VALUE!</v>
      </c>
      <c r="FS221" t="e">
        <f>Raw!U557+"h_l!.4N"</f>
        <v>#VALUE!</v>
      </c>
      <c r="FT221" t="e">
        <f>Raw!V557+"h_l!.4O"</f>
        <v>#VALUE!</v>
      </c>
      <c r="FU221" t="e">
        <f>Raw!W557+"h_l!.4P"</f>
        <v>#VALUE!</v>
      </c>
      <c r="FV221" t="e">
        <f>Raw!A558+"h_l!.4Q"</f>
        <v>#VALUE!</v>
      </c>
      <c r="FW221" t="e">
        <f>Raw!B558+"h_l!.4R"</f>
        <v>#VALUE!</v>
      </c>
      <c r="FX221" t="e">
        <f>Raw!C558+"h_l!.4S"</f>
        <v>#VALUE!</v>
      </c>
      <c r="FY221" t="e">
        <f>Raw!D558+"h_l!.4T"</f>
        <v>#VALUE!</v>
      </c>
      <c r="FZ221" t="e">
        <f>Raw!E558+"h_l!.4U"</f>
        <v>#VALUE!</v>
      </c>
      <c r="GA221" t="e">
        <f>Raw!#REF!+"h_l!.4V"</f>
        <v>#REF!</v>
      </c>
      <c r="GB221" t="e">
        <f>Raw!G558+"h_l!.4W"</f>
        <v>#VALUE!</v>
      </c>
      <c r="GC221" t="e">
        <f>Raw!H558+"h_l!.4X"</f>
        <v>#VALUE!</v>
      </c>
      <c r="GD221" t="e">
        <f>Raw!I558+"h_l!.4Y"</f>
        <v>#VALUE!</v>
      </c>
      <c r="GE221" t="e">
        <f>Raw!J558+"h_l!.4Z"</f>
        <v>#VALUE!</v>
      </c>
      <c r="GF221" t="e">
        <f>Raw!K558+"h_l!.4["</f>
        <v>#VALUE!</v>
      </c>
      <c r="GG221" t="e">
        <f>Raw!L558+"h_l!.4\"</f>
        <v>#VALUE!</v>
      </c>
      <c r="GH221" t="e">
        <f>Raw!M558+"h_l!.4]"</f>
        <v>#VALUE!</v>
      </c>
      <c r="GI221" t="e">
        <f>Raw!N558+"h_l!.4^"</f>
        <v>#VALUE!</v>
      </c>
      <c r="GJ221" t="e">
        <f>Raw!O558+"h_l!.4_"</f>
        <v>#VALUE!</v>
      </c>
      <c r="GK221" t="e">
        <f>Raw!P558+"h_l!.4`"</f>
        <v>#VALUE!</v>
      </c>
      <c r="GL221" t="e">
        <f>Raw!Q558+"h_l!.4a"</f>
        <v>#VALUE!</v>
      </c>
      <c r="GM221" t="e">
        <f>Raw!R558+"h_l!.4b"</f>
        <v>#VALUE!</v>
      </c>
      <c r="GN221" t="e">
        <f>Raw!S558+"h_l!.4c"</f>
        <v>#VALUE!</v>
      </c>
      <c r="GO221" t="e">
        <f>Raw!T558+"h_l!.4d"</f>
        <v>#VALUE!</v>
      </c>
      <c r="GP221" t="e">
        <f>Raw!U558+"h_l!.4e"</f>
        <v>#VALUE!</v>
      </c>
      <c r="GQ221" t="e">
        <f>Raw!V558+"h_l!.4f"</f>
        <v>#VALUE!</v>
      </c>
      <c r="GR221" t="e">
        <f>Raw!W558+"h_l!.4g"</f>
        <v>#VALUE!</v>
      </c>
      <c r="GS221" t="e">
        <f>Raw!A559+"h_l!.4h"</f>
        <v>#VALUE!</v>
      </c>
      <c r="GT221" t="e">
        <f>Raw!B559+"h_l!.4i"</f>
        <v>#VALUE!</v>
      </c>
      <c r="GU221" t="e">
        <f>Raw!C559+"h_l!.4j"</f>
        <v>#VALUE!</v>
      </c>
      <c r="GV221" t="e">
        <f>Raw!D559+"h_l!.4k"</f>
        <v>#VALUE!</v>
      </c>
      <c r="GW221" t="e">
        <f>Raw!E559+"h_l!.4l"</f>
        <v>#VALUE!</v>
      </c>
      <c r="GX221" t="e">
        <f>Raw!#REF!+"h_l!.4m"</f>
        <v>#REF!</v>
      </c>
      <c r="GY221" t="e">
        <f>Raw!G559+"h_l!.4n"</f>
        <v>#VALUE!</v>
      </c>
      <c r="GZ221" t="e">
        <f>Raw!H559+"h_l!.4o"</f>
        <v>#VALUE!</v>
      </c>
      <c r="HA221" t="e">
        <f>Raw!I559+"h_l!.4p"</f>
        <v>#VALUE!</v>
      </c>
      <c r="HB221" t="e">
        <f>Raw!J559+"h_l!.4q"</f>
        <v>#VALUE!</v>
      </c>
      <c r="HC221" t="e">
        <f>Raw!K559+"h_l!.4r"</f>
        <v>#VALUE!</v>
      </c>
      <c r="HD221" t="e">
        <f>Raw!L559+"h_l!.4s"</f>
        <v>#VALUE!</v>
      </c>
      <c r="HE221" t="e">
        <f>Raw!M559+"h_l!.4t"</f>
        <v>#VALUE!</v>
      </c>
      <c r="HF221" t="e">
        <f>Raw!N559+"h_l!.4u"</f>
        <v>#VALUE!</v>
      </c>
      <c r="HG221" t="e">
        <f>Raw!O559+"h_l!.4v"</f>
        <v>#VALUE!</v>
      </c>
      <c r="HH221" t="e">
        <f>Raw!P559+"h_l!.4w"</f>
        <v>#VALUE!</v>
      </c>
      <c r="HI221" t="e">
        <f>Raw!Q559+"h_l!.4x"</f>
        <v>#VALUE!</v>
      </c>
      <c r="HJ221" t="e">
        <f>Raw!R559+"h_l!.4y"</f>
        <v>#VALUE!</v>
      </c>
      <c r="HK221" t="e">
        <f>Raw!S559+"h_l!.4z"</f>
        <v>#VALUE!</v>
      </c>
      <c r="HL221" t="e">
        <f>Raw!T559+"h_l!.4{"</f>
        <v>#VALUE!</v>
      </c>
      <c r="HM221" t="e">
        <f>Raw!U559+"h_l!.4|"</f>
        <v>#VALUE!</v>
      </c>
      <c r="HN221" t="e">
        <f>Raw!V559+"h_l!.4}"</f>
        <v>#VALUE!</v>
      </c>
      <c r="HO221" t="e">
        <f>Raw!W559+"h_l!.4~"</f>
        <v>#VALUE!</v>
      </c>
      <c r="HP221" t="e">
        <f>Raw!A560+"h_l!.5#"</f>
        <v>#VALUE!</v>
      </c>
      <c r="HQ221" t="e">
        <f>Raw!B560+"h_l!.5$"</f>
        <v>#VALUE!</v>
      </c>
      <c r="HR221" t="e">
        <f>Raw!C560+"h_l!.5%"</f>
        <v>#VALUE!</v>
      </c>
      <c r="HS221" t="e">
        <f>Raw!D560+"h_l!.5&amp;"</f>
        <v>#VALUE!</v>
      </c>
      <c r="HT221" t="e">
        <f>Raw!E560+"h_l!.5'"</f>
        <v>#VALUE!</v>
      </c>
      <c r="HU221" t="e">
        <f>Raw!#REF!+"h_l!.5("</f>
        <v>#REF!</v>
      </c>
      <c r="HV221" t="e">
        <f>Raw!G560+"h_l!.5)"</f>
        <v>#VALUE!</v>
      </c>
      <c r="HW221" t="e">
        <f>Raw!H560+"h_l!.5."</f>
        <v>#VALUE!</v>
      </c>
      <c r="HX221" t="e">
        <f>Raw!I560+"h_l!.5/"</f>
        <v>#VALUE!</v>
      </c>
      <c r="HY221" t="e">
        <f>Raw!J560+"h_l!.50"</f>
        <v>#VALUE!</v>
      </c>
      <c r="HZ221" t="e">
        <f>Raw!K560+"h_l!.51"</f>
        <v>#VALUE!</v>
      </c>
      <c r="IA221" t="e">
        <f>Raw!L560+"h_l!.52"</f>
        <v>#VALUE!</v>
      </c>
      <c r="IB221" t="e">
        <f>Raw!M560+"h_l!.53"</f>
        <v>#VALUE!</v>
      </c>
      <c r="IC221" t="e">
        <f>Raw!N560+"h_l!.54"</f>
        <v>#VALUE!</v>
      </c>
      <c r="ID221" t="e">
        <f>Raw!O560+"h_l!.55"</f>
        <v>#VALUE!</v>
      </c>
      <c r="IE221" t="e">
        <f>Raw!P560+"h_l!.56"</f>
        <v>#VALUE!</v>
      </c>
      <c r="IF221" t="e">
        <f>Raw!Q560+"h_l!.57"</f>
        <v>#VALUE!</v>
      </c>
      <c r="IG221" t="e">
        <f>Raw!R560+"h_l!.58"</f>
        <v>#VALUE!</v>
      </c>
      <c r="IH221" t="e">
        <f>Raw!S560+"h_l!.59"</f>
        <v>#VALUE!</v>
      </c>
      <c r="II221" t="e">
        <f>Raw!T560+"h_l!.5:"</f>
        <v>#VALUE!</v>
      </c>
      <c r="IJ221" t="e">
        <f>Raw!U560+"h_l!.5;"</f>
        <v>#VALUE!</v>
      </c>
      <c r="IK221" t="e">
        <f>Raw!V560+"h_l!.5&lt;"</f>
        <v>#VALUE!</v>
      </c>
      <c r="IL221" t="e">
        <f>Raw!W560+"h_l!.5="</f>
        <v>#VALUE!</v>
      </c>
      <c r="IM221" t="e">
        <f>Raw!A561+"h_l!.5&gt;"</f>
        <v>#VALUE!</v>
      </c>
      <c r="IN221" t="e">
        <f>Raw!B561+"h_l!.5?"</f>
        <v>#VALUE!</v>
      </c>
      <c r="IO221" t="e">
        <f>Raw!C561+"h_l!.5@"</f>
        <v>#VALUE!</v>
      </c>
      <c r="IP221" t="e">
        <f>Raw!D561+"h_l!.5A"</f>
        <v>#VALUE!</v>
      </c>
      <c r="IQ221" t="e">
        <f>Raw!E561+"h_l!.5B"</f>
        <v>#VALUE!</v>
      </c>
      <c r="IR221" t="e">
        <f>Raw!#REF!+"h_l!.5C"</f>
        <v>#REF!</v>
      </c>
      <c r="IS221" t="e">
        <f>Raw!G561+"h_l!.5D"</f>
        <v>#VALUE!</v>
      </c>
      <c r="IT221" t="e">
        <f>Raw!H561+"h_l!.5E"</f>
        <v>#VALUE!</v>
      </c>
      <c r="IU221" t="e">
        <f>Raw!I561+"h_l!.5F"</f>
        <v>#VALUE!</v>
      </c>
      <c r="IV221" t="e">
        <f>Raw!J561+"h_l!.5G"</f>
        <v>#VALUE!</v>
      </c>
    </row>
    <row r="222" spans="6:256" x14ac:dyDescent="0.25">
      <c r="F222" t="e">
        <f>Raw!K561+"h_l!.5H"</f>
        <v>#VALUE!</v>
      </c>
      <c r="G222" t="e">
        <f>Raw!L561+"h_l!.5I"</f>
        <v>#VALUE!</v>
      </c>
      <c r="H222" t="e">
        <f>Raw!M561+"h_l!.5J"</f>
        <v>#VALUE!</v>
      </c>
      <c r="I222" t="e">
        <f>Raw!N561+"h_l!.5K"</f>
        <v>#VALUE!</v>
      </c>
      <c r="J222" t="e">
        <f>Raw!O561+"h_l!.5L"</f>
        <v>#VALUE!</v>
      </c>
      <c r="K222" t="e">
        <f>Raw!P561+"h_l!.5M"</f>
        <v>#VALUE!</v>
      </c>
      <c r="L222" t="e">
        <f>Raw!Q561+"h_l!.5N"</f>
        <v>#VALUE!</v>
      </c>
      <c r="M222" t="e">
        <f>Raw!R561+"h_l!.5O"</f>
        <v>#VALUE!</v>
      </c>
      <c r="N222" t="e">
        <f>Raw!S561+"h_l!.5P"</f>
        <v>#VALUE!</v>
      </c>
      <c r="O222" t="e">
        <f>Raw!T561+"h_l!.5Q"</f>
        <v>#VALUE!</v>
      </c>
      <c r="P222" t="e">
        <f>Raw!U561+"h_l!.5R"</f>
        <v>#VALUE!</v>
      </c>
      <c r="Q222" t="e">
        <f>Raw!V561+"h_l!.5S"</f>
        <v>#VALUE!</v>
      </c>
      <c r="R222" t="e">
        <f>Raw!W561+"h_l!.5T"</f>
        <v>#VALUE!</v>
      </c>
      <c r="S222" t="e">
        <f>Raw!A562+"h_l!.5U"</f>
        <v>#VALUE!</v>
      </c>
      <c r="T222" t="e">
        <f>Raw!B562+"h_l!.5V"</f>
        <v>#VALUE!</v>
      </c>
      <c r="U222" t="e">
        <f>Raw!C562+"h_l!.5W"</f>
        <v>#VALUE!</v>
      </c>
      <c r="V222" t="e">
        <f>Raw!D562+"h_l!.5X"</f>
        <v>#VALUE!</v>
      </c>
      <c r="W222" t="e">
        <f>Raw!E562+"h_l!.5Y"</f>
        <v>#VALUE!</v>
      </c>
      <c r="X222" t="e">
        <f>Raw!#REF!+"h_l!.5Z"</f>
        <v>#REF!</v>
      </c>
      <c r="Y222" t="e">
        <f>Raw!G562+"h_l!.5["</f>
        <v>#VALUE!</v>
      </c>
      <c r="Z222" t="e">
        <f>Raw!H562+"h_l!.5\"</f>
        <v>#VALUE!</v>
      </c>
      <c r="AA222" t="e">
        <f>Raw!I562+"h_l!.5]"</f>
        <v>#VALUE!</v>
      </c>
      <c r="AB222" t="e">
        <f>Raw!J562+"h_l!.5^"</f>
        <v>#VALUE!</v>
      </c>
      <c r="AC222" t="e">
        <f>Raw!K562+"h_l!.5_"</f>
        <v>#VALUE!</v>
      </c>
      <c r="AD222" t="e">
        <f>Raw!L562+"h_l!.5`"</f>
        <v>#VALUE!</v>
      </c>
      <c r="AE222" t="e">
        <f>Raw!M562+"h_l!.5a"</f>
        <v>#VALUE!</v>
      </c>
      <c r="AF222" t="e">
        <f>Raw!N562+"h_l!.5b"</f>
        <v>#VALUE!</v>
      </c>
      <c r="AG222" t="e">
        <f>Raw!O562+"h_l!.5c"</f>
        <v>#VALUE!</v>
      </c>
      <c r="AH222" t="e">
        <f>Raw!P562+"h_l!.5d"</f>
        <v>#VALUE!</v>
      </c>
      <c r="AI222" t="e">
        <f>Raw!Q562+"h_l!.5e"</f>
        <v>#VALUE!</v>
      </c>
      <c r="AJ222" t="e">
        <f>Raw!R562+"h_l!.5f"</f>
        <v>#VALUE!</v>
      </c>
      <c r="AK222" t="e">
        <f>Raw!S562+"h_l!.5g"</f>
        <v>#VALUE!</v>
      </c>
      <c r="AL222" t="e">
        <f>Raw!T562+"h_l!.5h"</f>
        <v>#VALUE!</v>
      </c>
      <c r="AM222" t="e">
        <f>Raw!U562+"h_l!.5i"</f>
        <v>#VALUE!</v>
      </c>
      <c r="AN222" t="e">
        <f>Raw!V562+"h_l!.5j"</f>
        <v>#VALUE!</v>
      </c>
      <c r="AO222" t="e">
        <f>Raw!W562+"h_l!.5k"</f>
        <v>#VALUE!</v>
      </c>
      <c r="AP222" t="e">
        <f>Raw!A563+"h_l!.5l"</f>
        <v>#VALUE!</v>
      </c>
      <c r="AQ222" t="e">
        <f>Raw!B563+"h_l!.5m"</f>
        <v>#VALUE!</v>
      </c>
      <c r="AR222" t="e">
        <f>Raw!C563+"h_l!.5n"</f>
        <v>#VALUE!</v>
      </c>
      <c r="AS222" t="e">
        <f>Raw!D563+"h_l!.5o"</f>
        <v>#VALUE!</v>
      </c>
      <c r="AT222" t="e">
        <f>Raw!E563+"h_l!.5p"</f>
        <v>#VALUE!</v>
      </c>
      <c r="AU222" t="e">
        <f>Raw!#REF!+"h_l!.5q"</f>
        <v>#REF!</v>
      </c>
      <c r="AV222" t="e">
        <f>Raw!G563+"h_l!.5r"</f>
        <v>#VALUE!</v>
      </c>
      <c r="AW222" t="e">
        <f>Raw!H563+"h_l!.5s"</f>
        <v>#VALUE!</v>
      </c>
      <c r="AX222" t="e">
        <f>Raw!I563+"h_l!.5t"</f>
        <v>#VALUE!</v>
      </c>
      <c r="AY222" t="e">
        <f>Raw!J563+"h_l!.5u"</f>
        <v>#VALUE!</v>
      </c>
      <c r="AZ222" t="e">
        <f>Raw!K563+"h_l!.5v"</f>
        <v>#VALUE!</v>
      </c>
      <c r="BA222" t="e">
        <f>Raw!L563+"h_l!.5w"</f>
        <v>#VALUE!</v>
      </c>
      <c r="BB222" t="e">
        <f>Raw!M563+"h_l!.5x"</f>
        <v>#VALUE!</v>
      </c>
      <c r="BC222" t="e">
        <f>Raw!N563+"h_l!.5y"</f>
        <v>#VALUE!</v>
      </c>
      <c r="BD222" t="e">
        <f>Raw!O563+"h_l!.5z"</f>
        <v>#VALUE!</v>
      </c>
      <c r="BE222" t="e">
        <f>Raw!P563+"h_l!.5{"</f>
        <v>#VALUE!</v>
      </c>
      <c r="BF222" t="e">
        <f>Raw!Q563+"h_l!.5|"</f>
        <v>#VALUE!</v>
      </c>
      <c r="BG222" t="e">
        <f>Raw!R563+"h_l!.5}"</f>
        <v>#VALUE!</v>
      </c>
      <c r="BH222" t="e">
        <f>Raw!S563+"h_l!.5~"</f>
        <v>#VALUE!</v>
      </c>
      <c r="BI222" t="e">
        <f>Raw!T563+"h_l!.6#"</f>
        <v>#VALUE!</v>
      </c>
      <c r="BJ222" t="e">
        <f>Raw!U563+"h_l!.6$"</f>
        <v>#VALUE!</v>
      </c>
      <c r="BK222" t="e">
        <f>Raw!V563+"h_l!.6%"</f>
        <v>#VALUE!</v>
      </c>
      <c r="BL222" t="e">
        <f>Raw!W563+"h_l!.6&amp;"</f>
        <v>#VALUE!</v>
      </c>
      <c r="BM222" t="e">
        <f>Raw!A564+"h_l!.6'"</f>
        <v>#VALUE!</v>
      </c>
      <c r="BN222" t="e">
        <f>Raw!B564+"h_l!.6("</f>
        <v>#VALUE!</v>
      </c>
      <c r="BO222" t="e">
        <f>Raw!C564+"h_l!.6)"</f>
        <v>#VALUE!</v>
      </c>
      <c r="BP222" t="e">
        <f>Raw!D564+"h_l!.6."</f>
        <v>#VALUE!</v>
      </c>
      <c r="BQ222" t="e">
        <f>Raw!E564+"h_l!.6/"</f>
        <v>#VALUE!</v>
      </c>
      <c r="BR222" t="e">
        <f>Raw!#REF!+"h_l!.60"</f>
        <v>#REF!</v>
      </c>
      <c r="BS222" t="e">
        <f>Raw!G564+"h_l!.61"</f>
        <v>#VALUE!</v>
      </c>
      <c r="BT222" t="e">
        <f>Raw!H564+"h_l!.62"</f>
        <v>#VALUE!</v>
      </c>
      <c r="BU222" t="e">
        <f>Raw!I564+"h_l!.63"</f>
        <v>#VALUE!</v>
      </c>
      <c r="BV222" t="e">
        <f>Raw!J564+"h_l!.64"</f>
        <v>#VALUE!</v>
      </c>
      <c r="BW222" t="e">
        <f>Raw!K564+"h_l!.65"</f>
        <v>#VALUE!</v>
      </c>
      <c r="BX222" t="e">
        <f>Raw!L564+"h_l!.66"</f>
        <v>#VALUE!</v>
      </c>
      <c r="BY222" t="e">
        <f>Raw!M564+"h_l!.67"</f>
        <v>#VALUE!</v>
      </c>
      <c r="BZ222" t="e">
        <f>Raw!N564+"h_l!.68"</f>
        <v>#VALUE!</v>
      </c>
      <c r="CA222" t="e">
        <f>Raw!O564+"h_l!.69"</f>
        <v>#VALUE!</v>
      </c>
      <c r="CB222" t="e">
        <f>Raw!P564+"h_l!.6:"</f>
        <v>#VALUE!</v>
      </c>
      <c r="CC222" t="e">
        <f>Raw!Q564+"h_l!.6;"</f>
        <v>#VALUE!</v>
      </c>
      <c r="CD222" t="e">
        <f>Raw!R564+"h_l!.6&lt;"</f>
        <v>#VALUE!</v>
      </c>
      <c r="CE222" t="e">
        <f>Raw!S564+"h_l!.6="</f>
        <v>#VALUE!</v>
      </c>
      <c r="CF222" t="e">
        <f>Raw!T564+"h_l!.6&gt;"</f>
        <v>#VALUE!</v>
      </c>
      <c r="CG222" t="e">
        <f>Raw!U564+"h_l!.6?"</f>
        <v>#VALUE!</v>
      </c>
      <c r="CH222" t="e">
        <f>Raw!V564+"h_l!.6@"</f>
        <v>#VALUE!</v>
      </c>
      <c r="CI222" t="e">
        <f>Raw!W564+"h_l!.6A"</f>
        <v>#VALUE!</v>
      </c>
      <c r="CJ222" t="e">
        <f>Raw!A565+"h_l!.6B"</f>
        <v>#VALUE!</v>
      </c>
      <c r="CK222" t="e">
        <f>Raw!B565+"h_l!.6C"</f>
        <v>#VALUE!</v>
      </c>
      <c r="CL222" t="e">
        <f>Raw!C565+"h_l!.6D"</f>
        <v>#VALUE!</v>
      </c>
      <c r="CM222" t="e">
        <f>Raw!D565+"h_l!.6E"</f>
        <v>#VALUE!</v>
      </c>
      <c r="CN222" t="e">
        <f>Raw!E565+"h_l!.6F"</f>
        <v>#VALUE!</v>
      </c>
      <c r="CO222" t="e">
        <f>Raw!#REF!+"h_l!.6G"</f>
        <v>#REF!</v>
      </c>
      <c r="CP222" t="e">
        <f>Raw!G565+"h_l!.6H"</f>
        <v>#VALUE!</v>
      </c>
      <c r="CQ222" t="e">
        <f>Raw!H565+"h_l!.6I"</f>
        <v>#VALUE!</v>
      </c>
      <c r="CR222" t="e">
        <f>Raw!I565+"h_l!.6J"</f>
        <v>#VALUE!</v>
      </c>
      <c r="CS222" t="e">
        <f>Raw!J565+"h_l!.6K"</f>
        <v>#VALUE!</v>
      </c>
      <c r="CT222" t="e">
        <f>Raw!K565+"h_l!.6L"</f>
        <v>#VALUE!</v>
      </c>
      <c r="CU222" t="e">
        <f>Raw!L565+"h_l!.6M"</f>
        <v>#VALUE!</v>
      </c>
      <c r="CV222" t="e">
        <f>Raw!M565+"h_l!.6N"</f>
        <v>#VALUE!</v>
      </c>
      <c r="CW222" t="e">
        <f>Raw!N565+"h_l!.6O"</f>
        <v>#VALUE!</v>
      </c>
      <c r="CX222" t="e">
        <f>Raw!O565+"h_l!.6P"</f>
        <v>#VALUE!</v>
      </c>
      <c r="CY222" t="e">
        <f>Raw!P565+"h_l!.6Q"</f>
        <v>#VALUE!</v>
      </c>
      <c r="CZ222" t="e">
        <f>Raw!Q565+"h_l!.6R"</f>
        <v>#VALUE!</v>
      </c>
      <c r="DA222" t="e">
        <f>Raw!R565+"h_l!.6S"</f>
        <v>#VALUE!</v>
      </c>
      <c r="DB222" t="e">
        <f>Raw!S565+"h_l!.6T"</f>
        <v>#VALUE!</v>
      </c>
      <c r="DC222" t="e">
        <f>Raw!T565+"h_l!.6U"</f>
        <v>#VALUE!</v>
      </c>
      <c r="DD222" t="e">
        <f>Raw!U565+"h_l!.6V"</f>
        <v>#VALUE!</v>
      </c>
      <c r="DE222" t="e">
        <f>Raw!V565+"h_l!.6W"</f>
        <v>#VALUE!</v>
      </c>
      <c r="DF222" t="e">
        <f>Raw!W565+"h_l!.6X"</f>
        <v>#VALUE!</v>
      </c>
      <c r="DG222" t="e">
        <f>Raw!A566+"h_l!.6Y"</f>
        <v>#VALUE!</v>
      </c>
      <c r="DH222" t="e">
        <f>Raw!B566+"h_l!.6Z"</f>
        <v>#VALUE!</v>
      </c>
      <c r="DI222" t="e">
        <f>Raw!C566+"h_l!.6["</f>
        <v>#VALUE!</v>
      </c>
      <c r="DJ222" t="e">
        <f>Raw!D566+"h_l!.6\"</f>
        <v>#VALUE!</v>
      </c>
      <c r="DK222" t="e">
        <f>Raw!E566+"h_l!.6]"</f>
        <v>#VALUE!</v>
      </c>
      <c r="DL222" t="e">
        <f>Raw!#REF!+"h_l!.6^"</f>
        <v>#REF!</v>
      </c>
      <c r="DM222" t="e">
        <f>Raw!G566+"h_l!.6_"</f>
        <v>#VALUE!</v>
      </c>
      <c r="DN222" t="e">
        <f>Raw!H566+"h_l!.6`"</f>
        <v>#VALUE!</v>
      </c>
      <c r="DO222" t="e">
        <f>Raw!I566+"h_l!.6a"</f>
        <v>#VALUE!</v>
      </c>
      <c r="DP222" t="e">
        <f>Raw!J566+"h_l!.6b"</f>
        <v>#VALUE!</v>
      </c>
      <c r="DQ222" t="e">
        <f>Raw!K566+"h_l!.6c"</f>
        <v>#VALUE!</v>
      </c>
      <c r="DR222" t="e">
        <f>Raw!L566+"h_l!.6d"</f>
        <v>#VALUE!</v>
      </c>
      <c r="DS222" t="e">
        <f>Raw!M566+"h_l!.6e"</f>
        <v>#VALUE!</v>
      </c>
      <c r="DT222" t="e">
        <f>Raw!N566+"h_l!.6f"</f>
        <v>#VALUE!</v>
      </c>
      <c r="DU222" t="e">
        <f>Raw!O566+"h_l!.6g"</f>
        <v>#VALUE!</v>
      </c>
      <c r="DV222" t="e">
        <f>Raw!P566+"h_l!.6h"</f>
        <v>#VALUE!</v>
      </c>
      <c r="DW222" t="e">
        <f>Raw!Q566+"h_l!.6i"</f>
        <v>#VALUE!</v>
      </c>
      <c r="DX222" t="e">
        <f>Raw!R566+"h_l!.6j"</f>
        <v>#VALUE!</v>
      </c>
      <c r="DY222" t="e">
        <f>Raw!S566+"h_l!.6k"</f>
        <v>#VALUE!</v>
      </c>
      <c r="DZ222" t="e">
        <f>Raw!T566+"h_l!.6l"</f>
        <v>#VALUE!</v>
      </c>
      <c r="EA222" t="e">
        <f>Raw!U566+"h_l!.6m"</f>
        <v>#VALUE!</v>
      </c>
      <c r="EB222" t="e">
        <f>Raw!V566+"h_l!.6n"</f>
        <v>#VALUE!</v>
      </c>
      <c r="EC222" t="e">
        <f>Raw!W566+"h_l!.6o"</f>
        <v>#VALUE!</v>
      </c>
      <c r="ED222" t="e">
        <f>Raw!A567+"h_l!.6p"</f>
        <v>#VALUE!</v>
      </c>
      <c r="EE222" t="e">
        <f>Raw!B567+"h_l!.6q"</f>
        <v>#VALUE!</v>
      </c>
      <c r="EF222" t="e">
        <f>Raw!C567+"h_l!.6r"</f>
        <v>#VALUE!</v>
      </c>
      <c r="EG222" t="e">
        <f>Raw!D567+"h_l!.6s"</f>
        <v>#VALUE!</v>
      </c>
      <c r="EH222" t="e">
        <f>Raw!E567+"h_l!.6t"</f>
        <v>#VALUE!</v>
      </c>
      <c r="EI222" t="e">
        <f>Raw!#REF!+"h_l!.6u"</f>
        <v>#REF!</v>
      </c>
      <c r="EJ222" t="e">
        <f>Raw!G567+"h_l!.6v"</f>
        <v>#VALUE!</v>
      </c>
      <c r="EK222" t="e">
        <f>Raw!H567+"h_l!.6w"</f>
        <v>#VALUE!</v>
      </c>
      <c r="EL222" t="e">
        <f>Raw!I567+"h_l!.6x"</f>
        <v>#VALUE!</v>
      </c>
      <c r="EM222" t="e">
        <f>Raw!J567+"h_l!.6y"</f>
        <v>#VALUE!</v>
      </c>
      <c r="EN222" t="e">
        <f>Raw!K567+"h_l!.6z"</f>
        <v>#VALUE!</v>
      </c>
      <c r="EO222" t="e">
        <f>Raw!L567+"h_l!.6{"</f>
        <v>#VALUE!</v>
      </c>
      <c r="EP222" t="e">
        <f>Raw!M567+"h_l!.6|"</f>
        <v>#VALUE!</v>
      </c>
      <c r="EQ222" t="e">
        <f>Raw!N567+"h_l!.6}"</f>
        <v>#VALUE!</v>
      </c>
      <c r="ER222" t="e">
        <f>Raw!O567+"h_l!.6~"</f>
        <v>#VALUE!</v>
      </c>
      <c r="ES222" t="e">
        <f>Raw!P567+"h_l!.7#"</f>
        <v>#VALUE!</v>
      </c>
      <c r="ET222" t="e">
        <f>Raw!Q567+"h_l!.7$"</f>
        <v>#VALUE!</v>
      </c>
      <c r="EU222" t="e">
        <f>Raw!R567+"h_l!.7%"</f>
        <v>#VALUE!</v>
      </c>
      <c r="EV222" t="e">
        <f>Raw!S567+"h_l!.7&amp;"</f>
        <v>#VALUE!</v>
      </c>
      <c r="EW222" t="e">
        <f>Raw!T567+"h_l!.7'"</f>
        <v>#VALUE!</v>
      </c>
      <c r="EX222" t="e">
        <f>Raw!U567+"h_l!.7("</f>
        <v>#VALUE!</v>
      </c>
      <c r="EY222" t="e">
        <f>Raw!V567+"h_l!.7)"</f>
        <v>#VALUE!</v>
      </c>
      <c r="EZ222" t="e">
        <f>Raw!W567+"h_l!.7."</f>
        <v>#VALUE!</v>
      </c>
      <c r="FA222" t="e">
        <f>Raw!A568+"h_l!.7/"</f>
        <v>#VALUE!</v>
      </c>
      <c r="FB222" t="e">
        <f>Raw!B568+"h_l!.70"</f>
        <v>#VALUE!</v>
      </c>
      <c r="FC222" t="e">
        <f>Raw!C568+"h_l!.71"</f>
        <v>#VALUE!</v>
      </c>
      <c r="FD222" t="e">
        <f>Raw!D568+"h_l!.72"</f>
        <v>#VALUE!</v>
      </c>
      <c r="FE222" t="e">
        <f>Raw!E568+"h_l!.73"</f>
        <v>#VALUE!</v>
      </c>
      <c r="FF222" t="e">
        <f>Raw!#REF!+"h_l!.74"</f>
        <v>#REF!</v>
      </c>
      <c r="FG222" t="e">
        <f>Raw!G568+"h_l!.75"</f>
        <v>#VALUE!</v>
      </c>
      <c r="FH222" t="e">
        <f>Raw!H568+"h_l!.76"</f>
        <v>#VALUE!</v>
      </c>
      <c r="FI222" t="e">
        <f>Raw!I568+"h_l!.77"</f>
        <v>#VALUE!</v>
      </c>
      <c r="FJ222" t="e">
        <f>Raw!J568+"h_l!.78"</f>
        <v>#VALUE!</v>
      </c>
      <c r="FK222" t="e">
        <f>Raw!K568+"h_l!.79"</f>
        <v>#VALUE!</v>
      </c>
      <c r="FL222" t="e">
        <f>Raw!L568+"h_l!.7:"</f>
        <v>#VALUE!</v>
      </c>
      <c r="FM222" t="e">
        <f>Raw!M568+"h_l!.7;"</f>
        <v>#VALUE!</v>
      </c>
      <c r="FN222" t="e">
        <f>Raw!N568+"h_l!.7&lt;"</f>
        <v>#VALUE!</v>
      </c>
      <c r="FO222" t="e">
        <f>Raw!O568+"h_l!.7="</f>
        <v>#VALUE!</v>
      </c>
      <c r="FP222" t="e">
        <f>Raw!P568+"h_l!.7&gt;"</f>
        <v>#VALUE!</v>
      </c>
      <c r="FQ222" t="e">
        <f>Raw!Q568+"h_l!.7?"</f>
        <v>#VALUE!</v>
      </c>
      <c r="FR222" t="e">
        <f>Raw!R568+"h_l!.7@"</f>
        <v>#VALUE!</v>
      </c>
      <c r="FS222" t="e">
        <f>Raw!S568+"h_l!.7A"</f>
        <v>#VALUE!</v>
      </c>
      <c r="FT222" t="e">
        <f>Raw!T568+"h_l!.7B"</f>
        <v>#VALUE!</v>
      </c>
      <c r="FU222" t="e">
        <f>Raw!U568+"h_l!.7C"</f>
        <v>#VALUE!</v>
      </c>
      <c r="FV222" t="e">
        <f>Raw!V568+"h_l!.7D"</f>
        <v>#VALUE!</v>
      </c>
      <c r="FW222" t="e">
        <f>Raw!W568+"h_l!.7E"</f>
        <v>#VALUE!</v>
      </c>
      <c r="FX222" t="e">
        <f>Raw!A569+"h_l!.7F"</f>
        <v>#VALUE!</v>
      </c>
      <c r="FY222" t="e">
        <f>Raw!B569+"h_l!.7G"</f>
        <v>#VALUE!</v>
      </c>
      <c r="FZ222" t="e">
        <f>Raw!C569+"h_l!.7H"</f>
        <v>#VALUE!</v>
      </c>
      <c r="GA222" t="e">
        <f>Raw!D569+"h_l!.7I"</f>
        <v>#VALUE!</v>
      </c>
      <c r="GB222" t="e">
        <f>Raw!E569+"h_l!.7J"</f>
        <v>#VALUE!</v>
      </c>
      <c r="GC222" t="e">
        <f>Raw!#REF!+"h_l!.7K"</f>
        <v>#REF!</v>
      </c>
      <c r="GD222" t="e">
        <f>Raw!G569+"h_l!.7L"</f>
        <v>#VALUE!</v>
      </c>
      <c r="GE222" t="e">
        <f>Raw!H569+"h_l!.7M"</f>
        <v>#VALUE!</v>
      </c>
      <c r="GF222" t="e">
        <f>Raw!I569+"h_l!.7N"</f>
        <v>#VALUE!</v>
      </c>
      <c r="GG222" t="e">
        <f>Raw!J569+"h_l!.7O"</f>
        <v>#VALUE!</v>
      </c>
      <c r="GH222" t="e">
        <f>Raw!K569+"h_l!.7P"</f>
        <v>#VALUE!</v>
      </c>
      <c r="GI222" t="e">
        <f>Raw!L569+"h_l!.7Q"</f>
        <v>#VALUE!</v>
      </c>
      <c r="GJ222" t="e">
        <f>Raw!M569+"h_l!.7R"</f>
        <v>#VALUE!</v>
      </c>
      <c r="GK222" t="e">
        <f>Raw!N569+"h_l!.7S"</f>
        <v>#VALUE!</v>
      </c>
      <c r="GL222" t="e">
        <f>Raw!O569+"h_l!.7T"</f>
        <v>#VALUE!</v>
      </c>
      <c r="GM222" t="e">
        <f>Raw!P569+"h_l!.7U"</f>
        <v>#VALUE!</v>
      </c>
      <c r="GN222" t="e">
        <f>Raw!Q569+"h_l!.7V"</f>
        <v>#VALUE!</v>
      </c>
      <c r="GO222" t="e">
        <f>Raw!R569+"h_l!.7W"</f>
        <v>#VALUE!</v>
      </c>
      <c r="GP222" t="e">
        <f>Raw!S569+"h_l!.7X"</f>
        <v>#VALUE!</v>
      </c>
      <c r="GQ222" t="e">
        <f>Raw!T569+"h_l!.7Y"</f>
        <v>#VALUE!</v>
      </c>
      <c r="GR222" t="e">
        <f>Raw!U569+"h_l!.7Z"</f>
        <v>#VALUE!</v>
      </c>
      <c r="GS222" t="e">
        <f>Raw!V569+"h_l!.7["</f>
        <v>#VALUE!</v>
      </c>
      <c r="GT222" t="e">
        <f>Raw!W569+"h_l!.7\"</f>
        <v>#VALUE!</v>
      </c>
      <c r="GU222" t="e">
        <f>Raw!A570+"h_l!.7]"</f>
        <v>#VALUE!</v>
      </c>
      <c r="GV222" t="e">
        <f>Raw!B570+"h_l!.7^"</f>
        <v>#VALUE!</v>
      </c>
      <c r="GW222" t="e">
        <f>Raw!C570+"h_l!.7_"</f>
        <v>#VALUE!</v>
      </c>
      <c r="GX222" t="e">
        <f>Raw!D570+"h_l!.7`"</f>
        <v>#VALUE!</v>
      </c>
      <c r="GY222" t="e">
        <f>Raw!E570+"h_l!.7a"</f>
        <v>#VALUE!</v>
      </c>
      <c r="GZ222" t="e">
        <f>Raw!#REF!+"h_l!.7b"</f>
        <v>#REF!</v>
      </c>
      <c r="HA222" t="e">
        <f>Raw!G570+"h_l!.7c"</f>
        <v>#VALUE!</v>
      </c>
      <c r="HB222" t="e">
        <f>Raw!H570+"h_l!.7d"</f>
        <v>#VALUE!</v>
      </c>
      <c r="HC222" t="e">
        <f>Raw!I570+"h_l!.7e"</f>
        <v>#VALUE!</v>
      </c>
      <c r="HD222" t="e">
        <f>Raw!J570+"h_l!.7f"</f>
        <v>#VALUE!</v>
      </c>
      <c r="HE222" t="e">
        <f>Raw!K570+"h_l!.7g"</f>
        <v>#VALUE!</v>
      </c>
      <c r="HF222" t="e">
        <f>Raw!L570+"h_l!.7h"</f>
        <v>#VALUE!</v>
      </c>
      <c r="HG222" t="e">
        <f>Raw!M570+"h_l!.7i"</f>
        <v>#VALUE!</v>
      </c>
      <c r="HH222" t="e">
        <f>Raw!N570+"h_l!.7j"</f>
        <v>#VALUE!</v>
      </c>
      <c r="HI222" t="e">
        <f>Raw!O570+"h_l!.7k"</f>
        <v>#VALUE!</v>
      </c>
      <c r="HJ222" t="e">
        <f>Raw!P570+"h_l!.7l"</f>
        <v>#VALUE!</v>
      </c>
      <c r="HK222" t="e">
        <f>Raw!Q570+"h_l!.7m"</f>
        <v>#VALUE!</v>
      </c>
      <c r="HL222" t="e">
        <f>Raw!R570+"h_l!.7n"</f>
        <v>#VALUE!</v>
      </c>
      <c r="HM222" t="e">
        <f>Raw!S570+"h_l!.7o"</f>
        <v>#VALUE!</v>
      </c>
      <c r="HN222" t="e">
        <f>Raw!T570+"h_l!.7p"</f>
        <v>#VALUE!</v>
      </c>
      <c r="HO222" t="e">
        <f>Raw!U570+"h_l!.7q"</f>
        <v>#VALUE!</v>
      </c>
      <c r="HP222" t="e">
        <f>Raw!V570+"h_l!.7r"</f>
        <v>#VALUE!</v>
      </c>
      <c r="HQ222" t="e">
        <f>Raw!W570+"h_l!.7s"</f>
        <v>#VALUE!</v>
      </c>
      <c r="HR222" t="e">
        <f>Raw!A571+"h_l!.7t"</f>
        <v>#VALUE!</v>
      </c>
      <c r="HS222" t="e">
        <f>Raw!B571+"h_l!.7u"</f>
        <v>#VALUE!</v>
      </c>
      <c r="HT222" t="e">
        <f>Raw!C571+"h_l!.7v"</f>
        <v>#VALUE!</v>
      </c>
      <c r="HU222" t="e">
        <f>Raw!D571+"h_l!.7w"</f>
        <v>#VALUE!</v>
      </c>
      <c r="HV222" t="e">
        <f>Raw!E571+"h_l!.7x"</f>
        <v>#VALUE!</v>
      </c>
      <c r="HW222" t="e">
        <f>Raw!#REF!+"h_l!.7y"</f>
        <v>#REF!</v>
      </c>
      <c r="HX222" t="e">
        <f>Raw!G571+"h_l!.7z"</f>
        <v>#VALUE!</v>
      </c>
      <c r="HY222" t="e">
        <f>Raw!H571+"h_l!.7{"</f>
        <v>#VALUE!</v>
      </c>
      <c r="HZ222" t="e">
        <f>Raw!I571+"h_l!.7|"</f>
        <v>#VALUE!</v>
      </c>
      <c r="IA222" t="e">
        <f>Raw!J571+"h_l!.7}"</f>
        <v>#VALUE!</v>
      </c>
      <c r="IB222" t="e">
        <f>Raw!K571+"h_l!.7~"</f>
        <v>#VALUE!</v>
      </c>
      <c r="IC222" t="e">
        <f>Raw!L571+"h_l!.8#"</f>
        <v>#VALUE!</v>
      </c>
      <c r="ID222" t="e">
        <f>Raw!M571+"h_l!.8$"</f>
        <v>#VALUE!</v>
      </c>
      <c r="IE222" t="e">
        <f>Raw!N571+"h_l!.8%"</f>
        <v>#VALUE!</v>
      </c>
      <c r="IF222" t="e">
        <f>Raw!O571+"h_l!.8&amp;"</f>
        <v>#VALUE!</v>
      </c>
      <c r="IG222" t="e">
        <f>Raw!P571+"h_l!.8'"</f>
        <v>#VALUE!</v>
      </c>
      <c r="IH222" t="e">
        <f>Raw!Q571+"h_l!.8("</f>
        <v>#VALUE!</v>
      </c>
      <c r="II222" t="e">
        <f>Raw!R571+"h_l!.8)"</f>
        <v>#VALUE!</v>
      </c>
      <c r="IJ222" t="e">
        <f>Raw!S571+"h_l!.8."</f>
        <v>#VALUE!</v>
      </c>
      <c r="IK222" t="e">
        <f>Raw!T571+"h_l!.8/"</f>
        <v>#VALUE!</v>
      </c>
      <c r="IL222" t="e">
        <f>Raw!U571+"h_l!.80"</f>
        <v>#VALUE!</v>
      </c>
      <c r="IM222" t="e">
        <f>Raw!V571+"h_l!.81"</f>
        <v>#VALUE!</v>
      </c>
      <c r="IN222" t="e">
        <f>Raw!W571+"h_l!.82"</f>
        <v>#VALUE!</v>
      </c>
      <c r="IO222" t="e">
        <f>Raw!A572+"h_l!.83"</f>
        <v>#VALUE!</v>
      </c>
      <c r="IP222" t="e">
        <f>Raw!B572+"h_l!.84"</f>
        <v>#VALUE!</v>
      </c>
      <c r="IQ222" t="e">
        <f>Raw!C572+"h_l!.85"</f>
        <v>#VALUE!</v>
      </c>
      <c r="IR222" t="e">
        <f>Raw!D572+"h_l!.86"</f>
        <v>#VALUE!</v>
      </c>
      <c r="IS222" t="e">
        <f>Raw!E572+"h_l!.87"</f>
        <v>#VALUE!</v>
      </c>
      <c r="IT222" t="e">
        <f>Raw!#REF!+"h_l!.88"</f>
        <v>#REF!</v>
      </c>
      <c r="IU222" t="e">
        <f>Raw!G572+"h_l!.89"</f>
        <v>#VALUE!</v>
      </c>
      <c r="IV222" t="e">
        <f>Raw!H572+"h_l!.8:"</f>
        <v>#VALUE!</v>
      </c>
    </row>
    <row r="223" spans="6:256" x14ac:dyDescent="0.25">
      <c r="F223" t="e">
        <f>Raw!I572+"h_l!.8;"</f>
        <v>#VALUE!</v>
      </c>
      <c r="G223" t="e">
        <f>Raw!J572+"h_l!.8&lt;"</f>
        <v>#VALUE!</v>
      </c>
      <c r="H223" t="e">
        <f>Raw!K572+"h_l!.8="</f>
        <v>#VALUE!</v>
      </c>
      <c r="I223" t="e">
        <f>Raw!L572+"h_l!.8&gt;"</f>
        <v>#VALUE!</v>
      </c>
      <c r="J223" t="e">
        <f>Raw!M572+"h_l!.8?"</f>
        <v>#VALUE!</v>
      </c>
      <c r="K223" t="e">
        <f>Raw!N572+"h_l!.8@"</f>
        <v>#VALUE!</v>
      </c>
      <c r="L223" t="e">
        <f>Raw!O572+"h_l!.8A"</f>
        <v>#VALUE!</v>
      </c>
      <c r="M223" t="e">
        <f>Raw!P572+"h_l!.8B"</f>
        <v>#VALUE!</v>
      </c>
      <c r="N223" t="e">
        <f>Raw!Q572+"h_l!.8C"</f>
        <v>#VALUE!</v>
      </c>
      <c r="O223" t="e">
        <f>Raw!R572+"h_l!.8D"</f>
        <v>#VALUE!</v>
      </c>
      <c r="P223" t="e">
        <f>Raw!S572+"h_l!.8E"</f>
        <v>#VALUE!</v>
      </c>
      <c r="Q223" t="e">
        <f>Raw!T572+"h_l!.8F"</f>
        <v>#VALUE!</v>
      </c>
      <c r="R223" t="e">
        <f>Raw!U572+"h_l!.8G"</f>
        <v>#VALUE!</v>
      </c>
      <c r="S223" t="e">
        <f>Raw!V572+"h_l!.8H"</f>
        <v>#VALUE!</v>
      </c>
      <c r="T223" t="e">
        <f>Raw!W572+"h_l!.8I"</f>
        <v>#VALUE!</v>
      </c>
      <c r="U223" t="e">
        <f>Raw!A573+"h_l!.8J"</f>
        <v>#VALUE!</v>
      </c>
      <c r="V223" t="e">
        <f>Raw!B573+"h_l!.8K"</f>
        <v>#VALUE!</v>
      </c>
      <c r="W223" t="e">
        <f>Raw!C573+"h_l!.8L"</f>
        <v>#VALUE!</v>
      </c>
      <c r="X223" t="e">
        <f>Raw!D573+"h_l!.8M"</f>
        <v>#VALUE!</v>
      </c>
      <c r="Y223" t="e">
        <f>Raw!E573+"h_l!.8N"</f>
        <v>#VALUE!</v>
      </c>
      <c r="Z223" t="e">
        <f>Raw!#REF!+"h_l!.8O"</f>
        <v>#REF!</v>
      </c>
      <c r="AA223" t="e">
        <f>Raw!G573+"h_l!.8P"</f>
        <v>#VALUE!</v>
      </c>
      <c r="AB223" t="e">
        <f>Raw!H573+"h_l!.8Q"</f>
        <v>#VALUE!</v>
      </c>
      <c r="AC223" t="e">
        <f>Raw!I573+"h_l!.8R"</f>
        <v>#VALUE!</v>
      </c>
      <c r="AD223" t="e">
        <f>Raw!J573+"h_l!.8S"</f>
        <v>#VALUE!</v>
      </c>
      <c r="AE223" t="e">
        <f>Raw!K573+"h_l!.8T"</f>
        <v>#VALUE!</v>
      </c>
      <c r="AF223" t="e">
        <f>Raw!L573+"h_l!.8U"</f>
        <v>#VALUE!</v>
      </c>
      <c r="AG223" t="e">
        <f>Raw!M573+"h_l!.8V"</f>
        <v>#VALUE!</v>
      </c>
      <c r="AH223" t="e">
        <f>Raw!N573+"h_l!.8W"</f>
        <v>#VALUE!</v>
      </c>
      <c r="AI223" t="e">
        <f>Raw!O573+"h_l!.8X"</f>
        <v>#VALUE!</v>
      </c>
      <c r="AJ223" t="e">
        <f>Raw!P573+"h_l!.8Y"</f>
        <v>#VALUE!</v>
      </c>
      <c r="AK223" t="e">
        <f>Raw!Q573+"h_l!.8Z"</f>
        <v>#VALUE!</v>
      </c>
      <c r="AL223" t="e">
        <f>Raw!R573+"h_l!.8["</f>
        <v>#VALUE!</v>
      </c>
      <c r="AM223" t="e">
        <f>Raw!S573+"h_l!.8\"</f>
        <v>#VALUE!</v>
      </c>
      <c r="AN223" t="e">
        <f>Raw!T573+"h_l!.8]"</f>
        <v>#VALUE!</v>
      </c>
      <c r="AO223" t="e">
        <f>Raw!U573+"h_l!.8^"</f>
        <v>#VALUE!</v>
      </c>
      <c r="AP223" t="e">
        <f>Raw!V573+"h_l!.8_"</f>
        <v>#VALUE!</v>
      </c>
      <c r="AQ223" t="e">
        <f>Raw!W573+"h_l!.8`"</f>
        <v>#VALUE!</v>
      </c>
      <c r="AR223" t="e">
        <f>Raw!A574+"h_l!.8a"</f>
        <v>#VALUE!</v>
      </c>
      <c r="AS223" t="e">
        <f>Raw!B574+"h_l!.8b"</f>
        <v>#VALUE!</v>
      </c>
      <c r="AT223" t="e">
        <f>Raw!C574+"h_l!.8c"</f>
        <v>#VALUE!</v>
      </c>
      <c r="AU223" t="e">
        <f>Raw!D574+"h_l!.8d"</f>
        <v>#VALUE!</v>
      </c>
      <c r="AV223" t="e">
        <f>Raw!E574+"h_l!.8e"</f>
        <v>#VALUE!</v>
      </c>
      <c r="AW223" t="e">
        <f>Raw!#REF!+"h_l!.8f"</f>
        <v>#REF!</v>
      </c>
      <c r="AX223" t="e">
        <f>Raw!G574+"h_l!.8g"</f>
        <v>#VALUE!</v>
      </c>
      <c r="AY223" t="e">
        <f>Raw!H574+"h_l!.8h"</f>
        <v>#VALUE!</v>
      </c>
      <c r="AZ223" t="e">
        <f>Raw!I574+"h_l!.8i"</f>
        <v>#VALUE!</v>
      </c>
      <c r="BA223" t="e">
        <f>Raw!J574+"h_l!.8j"</f>
        <v>#VALUE!</v>
      </c>
      <c r="BB223" t="e">
        <f>Raw!K574+"h_l!.8k"</f>
        <v>#VALUE!</v>
      </c>
      <c r="BC223" t="e">
        <f>Raw!L574+"h_l!.8l"</f>
        <v>#VALUE!</v>
      </c>
      <c r="BD223" t="e">
        <f>Raw!M574+"h_l!.8m"</f>
        <v>#VALUE!</v>
      </c>
      <c r="BE223" t="e">
        <f>Raw!N574+"h_l!.8n"</f>
        <v>#VALUE!</v>
      </c>
      <c r="BF223" t="e">
        <f>Raw!O574+"h_l!.8o"</f>
        <v>#VALUE!</v>
      </c>
      <c r="BG223" t="e">
        <f>Raw!P574+"h_l!.8p"</f>
        <v>#VALUE!</v>
      </c>
      <c r="BH223" t="e">
        <f>Raw!Q574+"h_l!.8q"</f>
        <v>#VALUE!</v>
      </c>
      <c r="BI223" t="e">
        <f>Raw!R574+"h_l!.8r"</f>
        <v>#VALUE!</v>
      </c>
      <c r="BJ223" t="e">
        <f>Raw!S574+"h_l!.8s"</f>
        <v>#VALUE!</v>
      </c>
      <c r="BK223" t="e">
        <f>Raw!T574+"h_l!.8t"</f>
        <v>#VALUE!</v>
      </c>
      <c r="BL223" t="e">
        <f>Raw!U574+"h_l!.8u"</f>
        <v>#VALUE!</v>
      </c>
      <c r="BM223" t="e">
        <f>Raw!V574+"h_l!.8v"</f>
        <v>#VALUE!</v>
      </c>
      <c r="BN223" t="e">
        <f>Raw!W574+"h_l!.8w"</f>
        <v>#VALUE!</v>
      </c>
      <c r="BO223" t="e">
        <f>Raw!A575+"h_l!.8x"</f>
        <v>#VALUE!</v>
      </c>
      <c r="BP223" t="e">
        <f>Raw!B575+"h_l!.8y"</f>
        <v>#VALUE!</v>
      </c>
      <c r="BQ223" t="e">
        <f>Raw!C575+"h_l!.8z"</f>
        <v>#VALUE!</v>
      </c>
      <c r="BR223" t="e">
        <f>Raw!D575+"h_l!.8{"</f>
        <v>#VALUE!</v>
      </c>
      <c r="BS223" t="e">
        <f>Raw!E575+"h_l!.8|"</f>
        <v>#VALUE!</v>
      </c>
      <c r="BT223" t="e">
        <f>Raw!#REF!+"h_l!.8}"</f>
        <v>#REF!</v>
      </c>
      <c r="BU223" t="e">
        <f>Raw!G575+"h_l!.8~"</f>
        <v>#VALUE!</v>
      </c>
      <c r="BV223" t="e">
        <f>Raw!H575+"h_l!.9#"</f>
        <v>#VALUE!</v>
      </c>
      <c r="BW223" t="e">
        <f>Raw!I575+"h_l!.9$"</f>
        <v>#VALUE!</v>
      </c>
      <c r="BX223" t="e">
        <f>Raw!J575+"h_l!.9%"</f>
        <v>#VALUE!</v>
      </c>
      <c r="BY223" t="e">
        <f>Raw!K575+"h_l!.9&amp;"</f>
        <v>#VALUE!</v>
      </c>
      <c r="BZ223" t="e">
        <f>Raw!L575+"h_l!.9'"</f>
        <v>#VALUE!</v>
      </c>
      <c r="CA223" t="e">
        <f>Raw!M575+"h_l!.9("</f>
        <v>#VALUE!</v>
      </c>
      <c r="CB223" t="e">
        <f>Raw!N575+"h_l!.9)"</f>
        <v>#VALUE!</v>
      </c>
      <c r="CC223" t="e">
        <f>Raw!O575+"h_l!.9."</f>
        <v>#VALUE!</v>
      </c>
      <c r="CD223" t="e">
        <f>Raw!P575+"h_l!.9/"</f>
        <v>#VALUE!</v>
      </c>
      <c r="CE223" t="e">
        <f>Raw!Q575+"h_l!.90"</f>
        <v>#VALUE!</v>
      </c>
      <c r="CF223" t="e">
        <f>Raw!R575+"h_l!.91"</f>
        <v>#VALUE!</v>
      </c>
      <c r="CG223" t="e">
        <f>Raw!S575+"h_l!.92"</f>
        <v>#VALUE!</v>
      </c>
      <c r="CH223" t="e">
        <f>Raw!T575+"h_l!.93"</f>
        <v>#VALUE!</v>
      </c>
      <c r="CI223" t="e">
        <f>Raw!U575+"h_l!.94"</f>
        <v>#VALUE!</v>
      </c>
      <c r="CJ223" t="e">
        <f>Raw!V575+"h_l!.95"</f>
        <v>#VALUE!</v>
      </c>
      <c r="CK223" t="e">
        <f>Raw!W575+"h_l!.96"</f>
        <v>#VALUE!</v>
      </c>
      <c r="CL223" t="e">
        <f>Raw!A576+"h_l!.97"</f>
        <v>#VALUE!</v>
      </c>
      <c r="CM223" t="e">
        <f>Raw!B576+"h_l!.98"</f>
        <v>#VALUE!</v>
      </c>
      <c r="CN223" t="e">
        <f>Raw!C576+"h_l!.99"</f>
        <v>#VALUE!</v>
      </c>
      <c r="CO223" t="e">
        <f>Raw!D576+"h_l!.9:"</f>
        <v>#VALUE!</v>
      </c>
      <c r="CP223" t="e">
        <f>Raw!E576+"h_l!.9;"</f>
        <v>#VALUE!</v>
      </c>
      <c r="CQ223" t="e">
        <f>Raw!#REF!+"h_l!.9&lt;"</f>
        <v>#REF!</v>
      </c>
      <c r="CR223" t="e">
        <f>Raw!G576+"h_l!.9="</f>
        <v>#VALUE!</v>
      </c>
      <c r="CS223" t="e">
        <f>Raw!H576+"h_l!.9&gt;"</f>
        <v>#VALUE!</v>
      </c>
      <c r="CT223" t="e">
        <f>Raw!I576+"h_l!.9?"</f>
        <v>#VALUE!</v>
      </c>
      <c r="CU223" t="e">
        <f>Raw!J576+"h_l!.9@"</f>
        <v>#VALUE!</v>
      </c>
      <c r="CV223" t="e">
        <f>Raw!K576+"h_l!.9A"</f>
        <v>#VALUE!</v>
      </c>
      <c r="CW223" t="e">
        <f>Raw!L576+"h_l!.9B"</f>
        <v>#VALUE!</v>
      </c>
      <c r="CX223" t="e">
        <f>Raw!M576+"h_l!.9C"</f>
        <v>#VALUE!</v>
      </c>
      <c r="CY223" t="e">
        <f>Raw!N576+"h_l!.9D"</f>
        <v>#VALUE!</v>
      </c>
      <c r="CZ223" t="e">
        <f>Raw!O576+"h_l!.9E"</f>
        <v>#VALUE!</v>
      </c>
      <c r="DA223" t="e">
        <f>Raw!P576+"h_l!.9F"</f>
        <v>#VALUE!</v>
      </c>
      <c r="DB223" t="e">
        <f>Raw!Q576+"h_l!.9G"</f>
        <v>#VALUE!</v>
      </c>
      <c r="DC223" t="e">
        <f>Raw!R576+"h_l!.9H"</f>
        <v>#VALUE!</v>
      </c>
      <c r="DD223" t="e">
        <f>Raw!S576+"h_l!.9I"</f>
        <v>#VALUE!</v>
      </c>
      <c r="DE223" t="e">
        <f>Raw!T576+"h_l!.9J"</f>
        <v>#VALUE!</v>
      </c>
      <c r="DF223" t="e">
        <f>Raw!U576+"h_l!.9K"</f>
        <v>#VALUE!</v>
      </c>
      <c r="DG223" t="e">
        <f>Raw!V576+"h_l!.9L"</f>
        <v>#VALUE!</v>
      </c>
      <c r="DH223" t="e">
        <f>Raw!W576+"h_l!.9M"</f>
        <v>#VALUE!</v>
      </c>
      <c r="DI223" t="e">
        <f>Raw!A577+"h_l!.9N"</f>
        <v>#VALUE!</v>
      </c>
      <c r="DJ223" t="e">
        <f>Raw!B577+"h_l!.9O"</f>
        <v>#VALUE!</v>
      </c>
      <c r="DK223" t="e">
        <f>Raw!C577+"h_l!.9P"</f>
        <v>#VALUE!</v>
      </c>
      <c r="DL223" t="e">
        <f>Raw!D577+"h_l!.9Q"</f>
        <v>#VALUE!</v>
      </c>
      <c r="DM223" t="e">
        <f>Raw!E577+"h_l!.9R"</f>
        <v>#VALUE!</v>
      </c>
      <c r="DN223" t="e">
        <f>Raw!#REF!+"h_l!.9S"</f>
        <v>#REF!</v>
      </c>
      <c r="DO223" t="e">
        <f>Raw!G577+"h_l!.9T"</f>
        <v>#VALUE!</v>
      </c>
      <c r="DP223" t="e">
        <f>Raw!H577+"h_l!.9U"</f>
        <v>#VALUE!</v>
      </c>
      <c r="DQ223" t="e">
        <f>Raw!I577+"h_l!.9V"</f>
        <v>#VALUE!</v>
      </c>
      <c r="DR223" t="e">
        <f>Raw!J577+"h_l!.9W"</f>
        <v>#VALUE!</v>
      </c>
      <c r="DS223" t="e">
        <f>Raw!K577+"h_l!.9X"</f>
        <v>#VALUE!</v>
      </c>
      <c r="DT223" t="e">
        <f>Raw!L577+"h_l!.9Y"</f>
        <v>#VALUE!</v>
      </c>
      <c r="DU223" t="e">
        <f>Raw!M577+"h_l!.9Z"</f>
        <v>#VALUE!</v>
      </c>
      <c r="DV223" t="e">
        <f>Raw!N577+"h_l!.9["</f>
        <v>#VALUE!</v>
      </c>
      <c r="DW223" t="e">
        <f>Raw!O577+"h_l!.9\"</f>
        <v>#VALUE!</v>
      </c>
      <c r="DX223" t="e">
        <f>Raw!P577+"h_l!.9]"</f>
        <v>#VALUE!</v>
      </c>
      <c r="DY223" t="e">
        <f>Raw!Q577+"h_l!.9^"</f>
        <v>#VALUE!</v>
      </c>
      <c r="DZ223" t="e">
        <f>Raw!R577+"h_l!.9_"</f>
        <v>#VALUE!</v>
      </c>
      <c r="EA223" t="e">
        <f>Raw!S577+"h_l!.9`"</f>
        <v>#VALUE!</v>
      </c>
      <c r="EB223" t="e">
        <f>Raw!T577+"h_l!.9a"</f>
        <v>#VALUE!</v>
      </c>
      <c r="EC223" t="e">
        <f>Raw!U577+"h_l!.9b"</f>
        <v>#VALUE!</v>
      </c>
      <c r="ED223" t="e">
        <f>Raw!V577+"h_l!.9c"</f>
        <v>#VALUE!</v>
      </c>
      <c r="EE223" t="e">
        <f>Raw!W577+"h_l!.9d"</f>
        <v>#VALUE!</v>
      </c>
      <c r="EF223" t="e">
        <f>Raw!A578+"h_l!.9e"</f>
        <v>#VALUE!</v>
      </c>
      <c r="EG223" t="e">
        <f>Raw!B578+"h_l!.9f"</f>
        <v>#VALUE!</v>
      </c>
      <c r="EH223" t="e">
        <f>Raw!C578+"h_l!.9g"</f>
        <v>#VALUE!</v>
      </c>
      <c r="EI223" t="e">
        <f>Raw!D578+"h_l!.9h"</f>
        <v>#VALUE!</v>
      </c>
      <c r="EJ223" t="e">
        <f>Raw!E578+"h_l!.9i"</f>
        <v>#VALUE!</v>
      </c>
      <c r="EK223" t="e">
        <f>Raw!#REF!+"h_l!.9j"</f>
        <v>#REF!</v>
      </c>
      <c r="EL223" t="e">
        <f>Raw!G578+"h_l!.9k"</f>
        <v>#VALUE!</v>
      </c>
      <c r="EM223" t="e">
        <f>Raw!H578+"h_l!.9l"</f>
        <v>#VALUE!</v>
      </c>
      <c r="EN223" t="e">
        <f>Raw!I578+"h_l!.9m"</f>
        <v>#VALUE!</v>
      </c>
      <c r="EO223" t="e">
        <f>Raw!J578+"h_l!.9n"</f>
        <v>#VALUE!</v>
      </c>
      <c r="EP223" t="e">
        <f>Raw!K578+"h_l!.9o"</f>
        <v>#VALUE!</v>
      </c>
      <c r="EQ223" t="e">
        <f>Raw!L578+"h_l!.9p"</f>
        <v>#VALUE!</v>
      </c>
      <c r="ER223" t="e">
        <f>Raw!M578+"h_l!.9q"</f>
        <v>#VALUE!</v>
      </c>
      <c r="ES223" t="e">
        <f>Raw!N578+"h_l!.9r"</f>
        <v>#VALUE!</v>
      </c>
      <c r="ET223" t="e">
        <f>Raw!O578+"h_l!.9s"</f>
        <v>#VALUE!</v>
      </c>
      <c r="EU223" t="e">
        <f>Raw!P578+"h_l!.9t"</f>
        <v>#VALUE!</v>
      </c>
      <c r="EV223" t="e">
        <f>Raw!Q578+"h_l!.9u"</f>
        <v>#VALUE!</v>
      </c>
      <c r="EW223" t="e">
        <f>Raw!R578+"h_l!.9v"</f>
        <v>#VALUE!</v>
      </c>
      <c r="EX223" t="e">
        <f>Raw!S578+"h_l!.9w"</f>
        <v>#VALUE!</v>
      </c>
      <c r="EY223" t="e">
        <f>Raw!T578+"h_l!.9x"</f>
        <v>#VALUE!</v>
      </c>
      <c r="EZ223" t="e">
        <f>Raw!U578+"h_l!.9y"</f>
        <v>#VALUE!</v>
      </c>
      <c r="FA223" t="e">
        <f>Raw!V578+"h_l!.9z"</f>
        <v>#VALUE!</v>
      </c>
      <c r="FB223" t="e">
        <f>Raw!W578+"h_l!.9{"</f>
        <v>#VALUE!</v>
      </c>
      <c r="FC223" t="e">
        <f>Raw!A579+"h_l!.9|"</f>
        <v>#VALUE!</v>
      </c>
      <c r="FD223" t="e">
        <f>Raw!B579+"h_l!.9}"</f>
        <v>#VALUE!</v>
      </c>
      <c r="FE223" t="e">
        <f>Raw!C579+"h_l!.9~"</f>
        <v>#VALUE!</v>
      </c>
      <c r="FF223" t="e">
        <f>Raw!D579+"h_l!.:#"</f>
        <v>#VALUE!</v>
      </c>
      <c r="FG223" t="e">
        <f>Raw!E579+"h_l!.:$"</f>
        <v>#VALUE!</v>
      </c>
      <c r="FH223" t="e">
        <f>Raw!#REF!+"h_l!.:%"</f>
        <v>#REF!</v>
      </c>
      <c r="FI223" t="e">
        <f>Raw!G579+"h_l!.:&amp;"</f>
        <v>#VALUE!</v>
      </c>
      <c r="FJ223" t="e">
        <f>Raw!H579+"h_l!.:'"</f>
        <v>#VALUE!</v>
      </c>
      <c r="FK223" t="e">
        <f>Raw!I579+"h_l!.:("</f>
        <v>#VALUE!</v>
      </c>
      <c r="FL223" t="e">
        <f>Raw!J579+"h_l!.:)"</f>
        <v>#VALUE!</v>
      </c>
      <c r="FM223" t="e">
        <f>Raw!K579+"h_l!.:."</f>
        <v>#VALUE!</v>
      </c>
      <c r="FN223" t="e">
        <f>Raw!L579+"h_l!.:/"</f>
        <v>#VALUE!</v>
      </c>
      <c r="FO223" t="e">
        <f>Raw!M579+"h_l!.:0"</f>
        <v>#VALUE!</v>
      </c>
      <c r="FP223" t="e">
        <f>Raw!N579+"h_l!.:1"</f>
        <v>#VALUE!</v>
      </c>
      <c r="FQ223" t="e">
        <f>Raw!O579+"h_l!.:2"</f>
        <v>#VALUE!</v>
      </c>
      <c r="FR223" t="e">
        <f>Raw!P579+"h_l!.:3"</f>
        <v>#VALUE!</v>
      </c>
      <c r="FS223" t="e">
        <f>Raw!Q579+"h_l!.:4"</f>
        <v>#VALUE!</v>
      </c>
      <c r="FT223" t="e">
        <f>Raw!R579+"h_l!.:5"</f>
        <v>#VALUE!</v>
      </c>
      <c r="FU223" t="e">
        <f>Raw!S579+"h_l!.:6"</f>
        <v>#VALUE!</v>
      </c>
      <c r="FV223" t="e">
        <f>Raw!T579+"h_l!.:7"</f>
        <v>#VALUE!</v>
      </c>
      <c r="FW223" t="e">
        <f>Raw!U579+"h_l!.:8"</f>
        <v>#VALUE!</v>
      </c>
      <c r="FX223" t="e">
        <f>Raw!V579+"h_l!.:9"</f>
        <v>#VALUE!</v>
      </c>
      <c r="FY223" t="e">
        <f>Raw!W579+"h_l!.::"</f>
        <v>#VALUE!</v>
      </c>
      <c r="FZ223" t="e">
        <f>Raw!A580+"h_l!.:;"</f>
        <v>#VALUE!</v>
      </c>
      <c r="GA223" t="e">
        <f>Raw!B580+"h_l!.:&lt;"</f>
        <v>#VALUE!</v>
      </c>
      <c r="GB223" t="e">
        <f>Raw!C580+"h_l!.:="</f>
        <v>#VALUE!</v>
      </c>
      <c r="GC223" t="e">
        <f>Raw!D580+"h_l!.:&gt;"</f>
        <v>#VALUE!</v>
      </c>
      <c r="GD223" t="e">
        <f>Raw!E580+"h_l!.:?"</f>
        <v>#VALUE!</v>
      </c>
      <c r="GE223" t="e">
        <f>Raw!#REF!+"h_l!.:@"</f>
        <v>#REF!</v>
      </c>
      <c r="GF223" t="e">
        <f>Raw!G580+"h_l!.:A"</f>
        <v>#VALUE!</v>
      </c>
      <c r="GG223" t="e">
        <f>Raw!H580+"h_l!.:B"</f>
        <v>#VALUE!</v>
      </c>
      <c r="GH223" t="e">
        <f>Raw!I580+"h_l!.:C"</f>
        <v>#VALUE!</v>
      </c>
      <c r="GI223" t="e">
        <f>Raw!J580+"h_l!.:D"</f>
        <v>#VALUE!</v>
      </c>
      <c r="GJ223" t="e">
        <f>Raw!K580+"h_l!.:E"</f>
        <v>#VALUE!</v>
      </c>
      <c r="GK223" t="e">
        <f>Raw!L580+"h_l!.:F"</f>
        <v>#VALUE!</v>
      </c>
      <c r="GL223" t="e">
        <f>Raw!M580+"h_l!.:G"</f>
        <v>#VALUE!</v>
      </c>
      <c r="GM223" t="e">
        <f>Raw!N580+"h_l!.:H"</f>
        <v>#VALUE!</v>
      </c>
      <c r="GN223" t="e">
        <f>Raw!O580+"h_l!.:I"</f>
        <v>#VALUE!</v>
      </c>
      <c r="GO223" t="e">
        <f>Raw!P580+"h_l!.:J"</f>
        <v>#VALUE!</v>
      </c>
      <c r="GP223" t="e">
        <f>Raw!Q580+"h_l!.:K"</f>
        <v>#VALUE!</v>
      </c>
      <c r="GQ223" t="e">
        <f>Raw!R580+"h_l!.:L"</f>
        <v>#VALUE!</v>
      </c>
      <c r="GR223" t="e">
        <f>Raw!S580+"h_l!.:M"</f>
        <v>#VALUE!</v>
      </c>
      <c r="GS223" t="e">
        <f>Raw!T580+"h_l!.:N"</f>
        <v>#VALUE!</v>
      </c>
      <c r="GT223" t="e">
        <f>Raw!U580+"h_l!.:O"</f>
        <v>#VALUE!</v>
      </c>
      <c r="GU223" t="e">
        <f>Raw!V580+"h_l!.:P"</f>
        <v>#VALUE!</v>
      </c>
      <c r="GV223" t="e">
        <f>Raw!W580+"h_l!.:Q"</f>
        <v>#VALUE!</v>
      </c>
      <c r="GW223" t="e">
        <f>Raw!A581+"h_l!.:R"</f>
        <v>#VALUE!</v>
      </c>
      <c r="GX223" t="e">
        <f>Raw!B581+"h_l!.:S"</f>
        <v>#VALUE!</v>
      </c>
      <c r="GY223" t="e">
        <f>Raw!C581+"h_l!.:T"</f>
        <v>#VALUE!</v>
      </c>
      <c r="GZ223" t="e">
        <f>Raw!D581+"h_l!.:U"</f>
        <v>#VALUE!</v>
      </c>
      <c r="HA223" t="e">
        <f>Raw!E581+"h_l!.:V"</f>
        <v>#VALUE!</v>
      </c>
      <c r="HB223" t="e">
        <f>Raw!#REF!+"h_l!.:W"</f>
        <v>#REF!</v>
      </c>
      <c r="HC223" t="e">
        <f>Raw!G581+"h_l!.:X"</f>
        <v>#VALUE!</v>
      </c>
      <c r="HD223" t="e">
        <f>Raw!H581+"h_l!.:Y"</f>
        <v>#VALUE!</v>
      </c>
      <c r="HE223" t="e">
        <f>Raw!I581+"h_l!.:Z"</f>
        <v>#VALUE!</v>
      </c>
      <c r="HF223" t="e">
        <f>Raw!J581+"h_l!.:["</f>
        <v>#VALUE!</v>
      </c>
      <c r="HG223" t="e">
        <f>Raw!K581+"h_l!.:\"</f>
        <v>#VALUE!</v>
      </c>
      <c r="HH223" t="e">
        <f>Raw!L581+"h_l!.:]"</f>
        <v>#VALUE!</v>
      </c>
      <c r="HI223" t="e">
        <f>Raw!M581+"h_l!.:^"</f>
        <v>#VALUE!</v>
      </c>
      <c r="HJ223" t="e">
        <f>Raw!N581+"h_l!.:_"</f>
        <v>#VALUE!</v>
      </c>
      <c r="HK223" t="e">
        <f>Raw!O581+"h_l!.:`"</f>
        <v>#VALUE!</v>
      </c>
      <c r="HL223" t="e">
        <f>Raw!P581+"h_l!.:a"</f>
        <v>#VALUE!</v>
      </c>
      <c r="HM223" t="e">
        <f>Raw!Q581+"h_l!.:b"</f>
        <v>#VALUE!</v>
      </c>
      <c r="HN223" t="e">
        <f>Raw!R581+"h_l!.:c"</f>
        <v>#VALUE!</v>
      </c>
      <c r="HO223" t="e">
        <f>Raw!S581+"h_l!.:d"</f>
        <v>#VALUE!</v>
      </c>
      <c r="HP223" t="e">
        <f>Raw!T581+"h_l!.:e"</f>
        <v>#VALUE!</v>
      </c>
      <c r="HQ223" t="e">
        <f>Raw!U581+"h_l!.:f"</f>
        <v>#VALUE!</v>
      </c>
      <c r="HR223" t="e">
        <f>Raw!V581+"h_l!.:g"</f>
        <v>#VALUE!</v>
      </c>
      <c r="HS223" t="e">
        <f>Raw!W581+"h_l!.:h"</f>
        <v>#VALUE!</v>
      </c>
      <c r="HT223" t="e">
        <f>Raw!A582+"h_l!.:i"</f>
        <v>#VALUE!</v>
      </c>
      <c r="HU223" t="e">
        <f>Raw!B582+"h_l!.:j"</f>
        <v>#VALUE!</v>
      </c>
      <c r="HV223" t="e">
        <f>Raw!C582+"h_l!.:k"</f>
        <v>#VALUE!</v>
      </c>
      <c r="HW223" t="e">
        <f>Raw!D582+"h_l!.:l"</f>
        <v>#VALUE!</v>
      </c>
      <c r="HX223" t="e">
        <f>Raw!E582+"h_l!.:m"</f>
        <v>#VALUE!</v>
      </c>
      <c r="HY223" t="e">
        <f>Raw!#REF!+"h_l!.:n"</f>
        <v>#REF!</v>
      </c>
      <c r="HZ223" t="e">
        <f>Raw!G582+"h_l!.:o"</f>
        <v>#VALUE!</v>
      </c>
      <c r="IA223" t="e">
        <f>Raw!H582+"h_l!.:p"</f>
        <v>#VALUE!</v>
      </c>
      <c r="IB223" t="e">
        <f>Raw!I582+"h_l!.:q"</f>
        <v>#VALUE!</v>
      </c>
      <c r="IC223" t="e">
        <f>Raw!J582+"h_l!.:r"</f>
        <v>#VALUE!</v>
      </c>
      <c r="ID223" t="e">
        <f>Raw!K582+"h_l!.:s"</f>
        <v>#VALUE!</v>
      </c>
      <c r="IE223" t="e">
        <f>Raw!L582+"h_l!.:t"</f>
        <v>#VALUE!</v>
      </c>
      <c r="IF223" t="e">
        <f>Raw!M582+"h_l!.:u"</f>
        <v>#VALUE!</v>
      </c>
      <c r="IG223" t="e">
        <f>Raw!N582+"h_l!.:v"</f>
        <v>#VALUE!</v>
      </c>
      <c r="IH223" t="e">
        <f>Raw!O582+"h_l!.:w"</f>
        <v>#VALUE!</v>
      </c>
      <c r="II223" t="e">
        <f>Raw!P582+"h_l!.:x"</f>
        <v>#VALUE!</v>
      </c>
      <c r="IJ223" t="e">
        <f>Raw!Q582+"h_l!.:y"</f>
        <v>#VALUE!</v>
      </c>
      <c r="IK223" t="e">
        <f>Raw!R582+"h_l!.:z"</f>
        <v>#VALUE!</v>
      </c>
      <c r="IL223" t="e">
        <f>Raw!S582+"h_l!.:{"</f>
        <v>#VALUE!</v>
      </c>
      <c r="IM223" t="e">
        <f>Raw!T582+"h_l!.:|"</f>
        <v>#VALUE!</v>
      </c>
      <c r="IN223" t="e">
        <f>Raw!U582+"h_l!.:}"</f>
        <v>#VALUE!</v>
      </c>
      <c r="IO223" t="e">
        <f>Raw!V582+"h_l!.:~"</f>
        <v>#VALUE!</v>
      </c>
      <c r="IP223" t="e">
        <f>Raw!W582+"h_l!.;#"</f>
        <v>#VALUE!</v>
      </c>
      <c r="IQ223" t="e">
        <f>Raw!A583+"h_l!.;$"</f>
        <v>#VALUE!</v>
      </c>
      <c r="IR223" t="e">
        <f>Raw!B583+"h_l!.;%"</f>
        <v>#VALUE!</v>
      </c>
      <c r="IS223" t="e">
        <f>Raw!C583+"h_l!.;&amp;"</f>
        <v>#VALUE!</v>
      </c>
      <c r="IT223" t="e">
        <f>Raw!D583+"h_l!.;'"</f>
        <v>#VALUE!</v>
      </c>
      <c r="IU223" t="e">
        <f>Raw!E583+"h_l!.;("</f>
        <v>#VALUE!</v>
      </c>
      <c r="IV223" t="e">
        <f>Raw!#REF!+"h_l!.;)"</f>
        <v>#REF!</v>
      </c>
    </row>
    <row r="224" spans="6:256" x14ac:dyDescent="0.25">
      <c r="F224" t="e">
        <f>Raw!G583+"h_l!.;."</f>
        <v>#VALUE!</v>
      </c>
      <c r="G224" t="e">
        <f>Raw!H583+"h_l!.;/"</f>
        <v>#VALUE!</v>
      </c>
      <c r="H224" t="e">
        <f>Raw!I583+"h_l!.;0"</f>
        <v>#VALUE!</v>
      </c>
      <c r="I224" t="e">
        <f>Raw!J583+"h_l!.;1"</f>
        <v>#VALUE!</v>
      </c>
      <c r="J224" t="e">
        <f>Raw!K583+"h_l!.;2"</f>
        <v>#VALUE!</v>
      </c>
      <c r="K224" t="e">
        <f>Raw!L583+"h_l!.;3"</f>
        <v>#VALUE!</v>
      </c>
      <c r="L224" t="e">
        <f>Raw!M583+"h_l!.;4"</f>
        <v>#VALUE!</v>
      </c>
      <c r="M224" t="e">
        <f>Raw!N583+"h_l!.;5"</f>
        <v>#VALUE!</v>
      </c>
      <c r="N224" t="e">
        <f>Raw!O583+"h_l!.;6"</f>
        <v>#VALUE!</v>
      </c>
      <c r="O224" t="e">
        <f>Raw!P583+"h_l!.;7"</f>
        <v>#VALUE!</v>
      </c>
      <c r="P224" t="e">
        <f>Raw!Q583+"h_l!.;8"</f>
        <v>#VALUE!</v>
      </c>
      <c r="Q224" t="e">
        <f>Raw!R583+"h_l!.;9"</f>
        <v>#VALUE!</v>
      </c>
      <c r="R224" t="e">
        <f>Raw!S583+"h_l!.;:"</f>
        <v>#VALUE!</v>
      </c>
      <c r="S224" t="e">
        <f>Raw!T583+"h_l!.;;"</f>
        <v>#VALUE!</v>
      </c>
      <c r="T224" t="e">
        <f>Raw!U583+"h_l!.;&lt;"</f>
        <v>#VALUE!</v>
      </c>
      <c r="U224" t="e">
        <f>Raw!V583+"h_l!.;="</f>
        <v>#VALUE!</v>
      </c>
      <c r="V224" t="e">
        <f>Raw!W583+"h_l!.;&gt;"</f>
        <v>#VALUE!</v>
      </c>
      <c r="W224" t="e">
        <f>Raw!A584+"h_l!.;?"</f>
        <v>#VALUE!</v>
      </c>
      <c r="X224" t="e">
        <f>Raw!B584+"h_l!.;@"</f>
        <v>#VALUE!</v>
      </c>
      <c r="Y224" t="e">
        <f>Raw!C584+"h_l!.;A"</f>
        <v>#VALUE!</v>
      </c>
      <c r="Z224" t="e">
        <f>Raw!D584+"h_l!.;B"</f>
        <v>#VALUE!</v>
      </c>
      <c r="AA224" t="e">
        <f>Raw!E584+"h_l!.;C"</f>
        <v>#VALUE!</v>
      </c>
      <c r="AB224" t="e">
        <f>Raw!#REF!+"h_l!.;D"</f>
        <v>#REF!</v>
      </c>
      <c r="AC224" t="e">
        <f>Raw!G584+"h_l!.;E"</f>
        <v>#VALUE!</v>
      </c>
      <c r="AD224" t="e">
        <f>Raw!H584+"h_l!.;F"</f>
        <v>#VALUE!</v>
      </c>
      <c r="AE224" t="e">
        <f>Raw!I584+"h_l!.;G"</f>
        <v>#VALUE!</v>
      </c>
      <c r="AF224" t="e">
        <f>Raw!J584+"h_l!.;H"</f>
        <v>#VALUE!</v>
      </c>
      <c r="AG224" t="e">
        <f>Raw!K584+"h_l!.;I"</f>
        <v>#VALUE!</v>
      </c>
      <c r="AH224" t="e">
        <f>Raw!L584+"h_l!.;J"</f>
        <v>#VALUE!</v>
      </c>
      <c r="AI224" t="e">
        <f>Raw!M584+"h_l!.;K"</f>
        <v>#VALUE!</v>
      </c>
      <c r="AJ224" t="e">
        <f>Raw!N584+"h_l!.;L"</f>
        <v>#VALUE!</v>
      </c>
      <c r="AK224" t="e">
        <f>Raw!O584+"h_l!.;M"</f>
        <v>#VALUE!</v>
      </c>
      <c r="AL224" t="e">
        <f>Raw!P584+"h_l!.;N"</f>
        <v>#VALUE!</v>
      </c>
      <c r="AM224" t="e">
        <f>Raw!Q584+"h_l!.;O"</f>
        <v>#VALUE!</v>
      </c>
      <c r="AN224" t="e">
        <f>Raw!R584+"h_l!.;P"</f>
        <v>#VALUE!</v>
      </c>
      <c r="AO224" t="e">
        <f>Raw!S584+"h_l!.;Q"</f>
        <v>#VALUE!</v>
      </c>
      <c r="AP224" t="e">
        <f>Raw!T584+"h_l!.;R"</f>
        <v>#VALUE!</v>
      </c>
      <c r="AQ224" t="e">
        <f>Raw!U584+"h_l!.;S"</f>
        <v>#VALUE!</v>
      </c>
      <c r="AR224" t="e">
        <f>Raw!V584+"h_l!.;T"</f>
        <v>#VALUE!</v>
      </c>
      <c r="AS224" t="e">
        <f>Raw!W584+"h_l!.;U"</f>
        <v>#VALUE!</v>
      </c>
      <c r="AT224" t="e">
        <f>Raw!A585+"h_l!.;V"</f>
        <v>#VALUE!</v>
      </c>
      <c r="AU224" t="e">
        <f>Raw!B585+"h_l!.;W"</f>
        <v>#VALUE!</v>
      </c>
      <c r="AV224" t="e">
        <f>Raw!C585+"h_l!.;X"</f>
        <v>#VALUE!</v>
      </c>
      <c r="AW224" t="e">
        <f>Raw!D585+"h_l!.;Y"</f>
        <v>#VALUE!</v>
      </c>
      <c r="AX224" t="e">
        <f>Raw!E585+"h_l!.;Z"</f>
        <v>#VALUE!</v>
      </c>
      <c r="AY224" t="e">
        <f>Raw!#REF!+"h_l!.;["</f>
        <v>#REF!</v>
      </c>
      <c r="AZ224" t="e">
        <f>Raw!G585+"h_l!.;\"</f>
        <v>#VALUE!</v>
      </c>
      <c r="BA224" t="e">
        <f>Raw!H585+"h_l!.;]"</f>
        <v>#VALUE!</v>
      </c>
      <c r="BB224" t="e">
        <f>Raw!I585+"h_l!.;^"</f>
        <v>#VALUE!</v>
      </c>
      <c r="BC224" t="e">
        <f>Raw!J585+"h_l!.;_"</f>
        <v>#VALUE!</v>
      </c>
      <c r="BD224" t="e">
        <f>Raw!K585+"h_l!.;`"</f>
        <v>#VALUE!</v>
      </c>
      <c r="BE224" t="e">
        <f>Raw!L585+"h_l!.;a"</f>
        <v>#VALUE!</v>
      </c>
      <c r="BF224" t="e">
        <f>Raw!M585+"h_l!.;b"</f>
        <v>#VALUE!</v>
      </c>
      <c r="BG224" t="e">
        <f>Raw!N585+"h_l!.;c"</f>
        <v>#VALUE!</v>
      </c>
      <c r="BH224" t="e">
        <f>Raw!O585+"h_l!.;d"</f>
        <v>#VALUE!</v>
      </c>
      <c r="BI224" t="e">
        <f>Raw!P585+"h_l!.;e"</f>
        <v>#VALUE!</v>
      </c>
      <c r="BJ224" t="e">
        <f>Raw!Q585+"h_l!.;f"</f>
        <v>#VALUE!</v>
      </c>
      <c r="BK224" t="e">
        <f>Raw!R585+"h_l!.;g"</f>
        <v>#VALUE!</v>
      </c>
      <c r="BL224" t="e">
        <f>Raw!S585+"h_l!.;h"</f>
        <v>#VALUE!</v>
      </c>
      <c r="BM224" t="e">
        <f>Raw!T585+"h_l!.;i"</f>
        <v>#VALUE!</v>
      </c>
      <c r="BN224" t="e">
        <f>Raw!U585+"h_l!.;j"</f>
        <v>#VALUE!</v>
      </c>
      <c r="BO224" t="e">
        <f>Raw!V585+"h_l!.;k"</f>
        <v>#VALUE!</v>
      </c>
      <c r="BP224" t="e">
        <f>Raw!W585+"h_l!.;l"</f>
        <v>#VALUE!</v>
      </c>
      <c r="BQ224" t="e">
        <f>Raw!A586+"h_l!.;m"</f>
        <v>#VALUE!</v>
      </c>
      <c r="BR224" t="e">
        <f>Raw!B586+"h_l!.;n"</f>
        <v>#VALUE!</v>
      </c>
      <c r="BS224" t="e">
        <f>Raw!C586+"h_l!.;o"</f>
        <v>#VALUE!</v>
      </c>
      <c r="BT224" t="e">
        <f>Raw!D586+"h_l!.;p"</f>
        <v>#VALUE!</v>
      </c>
      <c r="BU224" t="e">
        <f>Raw!E586+"h_l!.;q"</f>
        <v>#VALUE!</v>
      </c>
      <c r="BV224" t="e">
        <f>Raw!#REF!+"h_l!.;r"</f>
        <v>#REF!</v>
      </c>
      <c r="BW224" t="e">
        <f>Raw!G586+"h_l!.;s"</f>
        <v>#VALUE!</v>
      </c>
      <c r="BX224" t="e">
        <f>Raw!H586+"h_l!.;t"</f>
        <v>#VALUE!</v>
      </c>
      <c r="BY224" t="e">
        <f>Raw!I586+"h_l!.;u"</f>
        <v>#VALUE!</v>
      </c>
      <c r="BZ224" t="e">
        <f>Raw!J586+"h_l!.;v"</f>
        <v>#VALUE!</v>
      </c>
      <c r="CA224" t="e">
        <f>Raw!K586+"h_l!.;w"</f>
        <v>#VALUE!</v>
      </c>
      <c r="CB224" t="e">
        <f>Raw!L586+"h_l!.;x"</f>
        <v>#VALUE!</v>
      </c>
      <c r="CC224" t="e">
        <f>Raw!M586+"h_l!.;y"</f>
        <v>#VALUE!</v>
      </c>
      <c r="CD224" t="e">
        <f>Raw!N586+"h_l!.;z"</f>
        <v>#VALUE!</v>
      </c>
      <c r="CE224" t="e">
        <f>Raw!O586+"h_l!.;{"</f>
        <v>#VALUE!</v>
      </c>
      <c r="CF224" t="e">
        <f>Raw!P586+"h_l!.;|"</f>
        <v>#VALUE!</v>
      </c>
      <c r="CG224" t="e">
        <f>Raw!Q586+"h_l!.;}"</f>
        <v>#VALUE!</v>
      </c>
      <c r="CH224" t="e">
        <f>Raw!R586+"h_l!.;~"</f>
        <v>#VALUE!</v>
      </c>
      <c r="CI224" t="e">
        <f>Raw!S586+"h_l!.&lt;#"</f>
        <v>#VALUE!</v>
      </c>
      <c r="CJ224" t="e">
        <f>Raw!T586+"h_l!.&lt;$"</f>
        <v>#VALUE!</v>
      </c>
      <c r="CK224" t="e">
        <f>Raw!U586+"h_l!.&lt;%"</f>
        <v>#VALUE!</v>
      </c>
      <c r="CL224" t="e">
        <f>Raw!V586+"h_l!.&lt;&amp;"</f>
        <v>#VALUE!</v>
      </c>
      <c r="CM224" t="e">
        <f>Raw!W586+"h_l!.&lt;'"</f>
        <v>#VALUE!</v>
      </c>
      <c r="CN224" t="e">
        <f>Raw!A587+"h_l!.&lt;("</f>
        <v>#VALUE!</v>
      </c>
      <c r="CO224" t="e">
        <f>Raw!B587+"h_l!.&lt;)"</f>
        <v>#VALUE!</v>
      </c>
      <c r="CP224" t="e">
        <f>Raw!C587+"h_l!.&lt;."</f>
        <v>#VALUE!</v>
      </c>
      <c r="CQ224" t="e">
        <f>Raw!D587+"h_l!.&lt;/"</f>
        <v>#VALUE!</v>
      </c>
      <c r="CR224" t="e">
        <f>Raw!E587+"h_l!.&lt;0"</f>
        <v>#VALUE!</v>
      </c>
      <c r="CS224" t="e">
        <f>Raw!#REF!+"h_l!.&lt;1"</f>
        <v>#REF!</v>
      </c>
      <c r="CT224" t="e">
        <f>Raw!G587+"h_l!.&lt;2"</f>
        <v>#VALUE!</v>
      </c>
      <c r="CU224" t="e">
        <f>Raw!H587+"h_l!.&lt;3"</f>
        <v>#VALUE!</v>
      </c>
      <c r="CV224" t="e">
        <f>Raw!I587+"h_l!.&lt;4"</f>
        <v>#VALUE!</v>
      </c>
      <c r="CW224" t="e">
        <f>Raw!J587+"h_l!.&lt;5"</f>
        <v>#VALUE!</v>
      </c>
      <c r="CX224" t="e">
        <f>Raw!K587+"h_l!.&lt;6"</f>
        <v>#VALUE!</v>
      </c>
      <c r="CY224" t="e">
        <f>Raw!L587+"h_l!.&lt;7"</f>
        <v>#VALUE!</v>
      </c>
      <c r="CZ224" t="e">
        <f>Raw!M587+"h_l!.&lt;8"</f>
        <v>#VALUE!</v>
      </c>
      <c r="DA224" t="e">
        <f>Raw!N587+"h_l!.&lt;9"</f>
        <v>#VALUE!</v>
      </c>
      <c r="DB224" t="e">
        <f>Raw!O587+"h_l!.&lt;:"</f>
        <v>#VALUE!</v>
      </c>
      <c r="DC224" t="e">
        <f>Raw!P587+"h_l!.&lt;;"</f>
        <v>#VALUE!</v>
      </c>
      <c r="DD224" t="e">
        <f>Raw!Q587+"h_l!.&lt;&lt;"</f>
        <v>#VALUE!</v>
      </c>
      <c r="DE224" t="e">
        <f>Raw!R587+"h_l!.&lt;="</f>
        <v>#VALUE!</v>
      </c>
      <c r="DF224" t="e">
        <f>Raw!S587+"h_l!.&lt;&gt;"</f>
        <v>#VALUE!</v>
      </c>
      <c r="DG224" t="e">
        <f>Raw!T587+"h_l!.&lt;?"</f>
        <v>#VALUE!</v>
      </c>
      <c r="DH224" t="e">
        <f>Raw!U587+"h_l!.&lt;@"</f>
        <v>#VALUE!</v>
      </c>
      <c r="DI224" t="e">
        <f>Raw!V587+"h_l!.&lt;A"</f>
        <v>#VALUE!</v>
      </c>
      <c r="DJ224" t="e">
        <f>Raw!W587+"h_l!.&lt;B"</f>
        <v>#VALUE!</v>
      </c>
      <c r="DK224" t="e">
        <f>Raw!A588+"h_l!.&lt;C"</f>
        <v>#VALUE!</v>
      </c>
      <c r="DL224" t="e">
        <f>Raw!B588+"h_l!.&lt;D"</f>
        <v>#VALUE!</v>
      </c>
      <c r="DM224" t="e">
        <f>Raw!C588+"h_l!.&lt;E"</f>
        <v>#VALUE!</v>
      </c>
      <c r="DN224" t="e">
        <f>Raw!D588+"h_l!.&lt;F"</f>
        <v>#VALUE!</v>
      </c>
      <c r="DO224" t="e">
        <f>Raw!E588+"h_l!.&lt;G"</f>
        <v>#VALUE!</v>
      </c>
      <c r="DP224" t="e">
        <f>Raw!#REF!+"h_l!.&lt;H"</f>
        <v>#REF!</v>
      </c>
      <c r="DQ224" t="e">
        <f>Raw!G588+"h_l!.&lt;I"</f>
        <v>#VALUE!</v>
      </c>
      <c r="DR224" t="e">
        <f>Raw!H588+"h_l!.&lt;J"</f>
        <v>#VALUE!</v>
      </c>
      <c r="DS224" t="e">
        <f>Raw!I588+"h_l!.&lt;K"</f>
        <v>#VALUE!</v>
      </c>
      <c r="DT224" t="e">
        <f>Raw!J588+"h_l!.&lt;L"</f>
        <v>#VALUE!</v>
      </c>
      <c r="DU224" t="e">
        <f>Raw!K588+"h_l!.&lt;M"</f>
        <v>#VALUE!</v>
      </c>
      <c r="DV224" t="e">
        <f>Raw!L588+"h_l!.&lt;N"</f>
        <v>#VALUE!</v>
      </c>
      <c r="DW224" t="e">
        <f>Raw!M588+"h_l!.&lt;O"</f>
        <v>#VALUE!</v>
      </c>
      <c r="DX224" t="e">
        <f>Raw!N588+"h_l!.&lt;P"</f>
        <v>#VALUE!</v>
      </c>
      <c r="DY224" t="e">
        <f>Raw!O588+"h_l!.&lt;Q"</f>
        <v>#VALUE!</v>
      </c>
      <c r="DZ224" t="e">
        <f>Raw!P588+"h_l!.&lt;R"</f>
        <v>#VALUE!</v>
      </c>
      <c r="EA224" t="e">
        <f>Raw!Q588+"h_l!.&lt;S"</f>
        <v>#VALUE!</v>
      </c>
      <c r="EB224" t="e">
        <f>Raw!R588+"h_l!.&lt;T"</f>
        <v>#VALUE!</v>
      </c>
      <c r="EC224" t="e">
        <f>Raw!S588+"h_l!.&lt;U"</f>
        <v>#VALUE!</v>
      </c>
      <c r="ED224" t="e">
        <f>Raw!T588+"h_l!.&lt;V"</f>
        <v>#VALUE!</v>
      </c>
      <c r="EE224" t="e">
        <f>Raw!U588+"h_l!.&lt;W"</f>
        <v>#VALUE!</v>
      </c>
      <c r="EF224" t="e">
        <f>Raw!V588+"h_l!.&lt;X"</f>
        <v>#VALUE!</v>
      </c>
      <c r="EG224" t="e">
        <f>Raw!W588+"h_l!.&lt;Y"</f>
        <v>#VALUE!</v>
      </c>
      <c r="EH224" t="e">
        <f>Raw!A589+"h_l!.&lt;Z"</f>
        <v>#VALUE!</v>
      </c>
      <c r="EI224" t="e">
        <f>Raw!B589+"h_l!.&lt;["</f>
        <v>#VALUE!</v>
      </c>
      <c r="EJ224" t="e">
        <f>Raw!C589+"h_l!.&lt;\"</f>
        <v>#VALUE!</v>
      </c>
      <c r="EK224" t="e">
        <f>Raw!D589+"h_l!.&lt;]"</f>
        <v>#VALUE!</v>
      </c>
      <c r="EL224" t="e">
        <f>Raw!E589+"h_l!.&lt;^"</f>
        <v>#VALUE!</v>
      </c>
      <c r="EM224" t="e">
        <f>Raw!#REF!+"h_l!.&lt;_"</f>
        <v>#REF!</v>
      </c>
      <c r="EN224" t="e">
        <f>Raw!G589+"h_l!.&lt;`"</f>
        <v>#VALUE!</v>
      </c>
      <c r="EO224" t="e">
        <f>Raw!H589+"h_l!.&lt;a"</f>
        <v>#VALUE!</v>
      </c>
      <c r="EP224" t="e">
        <f>Raw!I589+"h_l!.&lt;b"</f>
        <v>#VALUE!</v>
      </c>
      <c r="EQ224" t="e">
        <f>Raw!J589+"h_l!.&lt;c"</f>
        <v>#VALUE!</v>
      </c>
      <c r="ER224" t="e">
        <f>Raw!K589+"h_l!.&lt;d"</f>
        <v>#VALUE!</v>
      </c>
      <c r="ES224" t="e">
        <f>Raw!L589+"h_l!.&lt;e"</f>
        <v>#VALUE!</v>
      </c>
      <c r="ET224" t="e">
        <f>Raw!M589+"h_l!.&lt;f"</f>
        <v>#VALUE!</v>
      </c>
      <c r="EU224" t="e">
        <f>Raw!N589+"h_l!.&lt;g"</f>
        <v>#VALUE!</v>
      </c>
      <c r="EV224" t="e">
        <f>Raw!O589+"h_l!.&lt;h"</f>
        <v>#VALUE!</v>
      </c>
      <c r="EW224" t="e">
        <f>Raw!P589+"h_l!.&lt;i"</f>
        <v>#VALUE!</v>
      </c>
      <c r="EX224" t="e">
        <f>Raw!Q589+"h_l!.&lt;j"</f>
        <v>#VALUE!</v>
      </c>
      <c r="EY224" t="e">
        <f>Raw!R589+"h_l!.&lt;k"</f>
        <v>#VALUE!</v>
      </c>
      <c r="EZ224" t="e">
        <f>Raw!S589+"h_l!.&lt;l"</f>
        <v>#VALUE!</v>
      </c>
      <c r="FA224" t="e">
        <f>Raw!T589+"h_l!.&lt;m"</f>
        <v>#VALUE!</v>
      </c>
      <c r="FB224" t="e">
        <f>Raw!U589+"h_l!.&lt;n"</f>
        <v>#VALUE!</v>
      </c>
      <c r="FC224" t="e">
        <f>Raw!V589+"h_l!.&lt;o"</f>
        <v>#VALUE!</v>
      </c>
      <c r="FD224" t="e">
        <f>Raw!W589+"h_l!.&lt;p"</f>
        <v>#VALUE!</v>
      </c>
      <c r="FE224" t="e">
        <f>Raw!A590+"h_l!.&lt;q"</f>
        <v>#VALUE!</v>
      </c>
      <c r="FF224" t="e">
        <f>Raw!B590+"h_l!.&lt;r"</f>
        <v>#VALUE!</v>
      </c>
      <c r="FG224" t="e">
        <f>Raw!C590+"h_l!.&lt;s"</f>
        <v>#VALUE!</v>
      </c>
      <c r="FH224" t="e">
        <f>Raw!D590+"h_l!.&lt;t"</f>
        <v>#VALUE!</v>
      </c>
      <c r="FI224" t="e">
        <f>Raw!E590+"h_l!.&lt;u"</f>
        <v>#VALUE!</v>
      </c>
      <c r="FJ224" t="e">
        <f>Raw!#REF!+"h_l!.&lt;v"</f>
        <v>#REF!</v>
      </c>
      <c r="FK224" t="e">
        <f>Raw!G590+"h_l!.&lt;w"</f>
        <v>#VALUE!</v>
      </c>
      <c r="FL224" t="e">
        <f>Raw!H590+"h_l!.&lt;x"</f>
        <v>#VALUE!</v>
      </c>
      <c r="FM224" t="e">
        <f>Raw!I590+"h_l!.&lt;y"</f>
        <v>#VALUE!</v>
      </c>
      <c r="FN224" t="e">
        <f>Raw!J590+"h_l!.&lt;z"</f>
        <v>#VALUE!</v>
      </c>
      <c r="FO224" t="e">
        <f>Raw!K590+"h_l!.&lt;{"</f>
        <v>#VALUE!</v>
      </c>
      <c r="FP224" t="e">
        <f>Raw!L590+"h_l!.&lt;|"</f>
        <v>#VALUE!</v>
      </c>
      <c r="FQ224" t="e">
        <f>Raw!M590+"h_l!.&lt;}"</f>
        <v>#VALUE!</v>
      </c>
      <c r="FR224" t="e">
        <f>Raw!N590+"h_l!.&lt;~"</f>
        <v>#VALUE!</v>
      </c>
      <c r="FS224" t="e">
        <f>Raw!O590+"h_l!.=#"</f>
        <v>#VALUE!</v>
      </c>
      <c r="FT224" t="e">
        <f>Raw!P590+"h_l!.=$"</f>
        <v>#VALUE!</v>
      </c>
      <c r="FU224" t="e">
        <f>Raw!Q590+"h_l!.=%"</f>
        <v>#VALUE!</v>
      </c>
      <c r="FV224" t="e">
        <f>Raw!R590+"h_l!.=&amp;"</f>
        <v>#VALUE!</v>
      </c>
      <c r="FW224" t="e">
        <f>Raw!S590+"h_l!.='"</f>
        <v>#VALUE!</v>
      </c>
      <c r="FX224" t="e">
        <f>Raw!T590+"h_l!.=("</f>
        <v>#VALUE!</v>
      </c>
      <c r="FY224" t="e">
        <f>Raw!U590+"h_l!.=)"</f>
        <v>#VALUE!</v>
      </c>
      <c r="FZ224" t="e">
        <f>Raw!V590+"h_l!.=."</f>
        <v>#VALUE!</v>
      </c>
      <c r="GA224" t="e">
        <f>Raw!W590+"h_l!.=/"</f>
        <v>#VALUE!</v>
      </c>
      <c r="GB224" t="e">
        <f>Raw!A591+"h_l!.=0"</f>
        <v>#VALUE!</v>
      </c>
      <c r="GC224" t="e">
        <f>Raw!B591+"h_l!.=1"</f>
        <v>#VALUE!</v>
      </c>
      <c r="GD224" t="e">
        <f>Raw!C591+"h_l!.=2"</f>
        <v>#VALUE!</v>
      </c>
      <c r="GE224" t="e">
        <f>Raw!D591+"h_l!.=3"</f>
        <v>#VALUE!</v>
      </c>
      <c r="GF224" t="e">
        <f>Raw!E591+"h_l!.=4"</f>
        <v>#VALUE!</v>
      </c>
      <c r="GG224" t="e">
        <f>Raw!#REF!+"h_l!.=5"</f>
        <v>#REF!</v>
      </c>
      <c r="GH224" t="e">
        <f>Raw!G591+"h_l!.=6"</f>
        <v>#VALUE!</v>
      </c>
      <c r="GI224" t="e">
        <f>Raw!H591+"h_l!.=7"</f>
        <v>#VALUE!</v>
      </c>
      <c r="GJ224" t="e">
        <f>Raw!I591+"h_l!.=8"</f>
        <v>#VALUE!</v>
      </c>
      <c r="GK224" t="e">
        <f>Raw!J591+"h_l!.=9"</f>
        <v>#VALUE!</v>
      </c>
      <c r="GL224" t="e">
        <f>Raw!K591+"h_l!.=:"</f>
        <v>#VALUE!</v>
      </c>
      <c r="GM224" t="e">
        <f>Raw!L591+"h_l!.=;"</f>
        <v>#VALUE!</v>
      </c>
      <c r="GN224" t="e">
        <f>Raw!M591+"h_l!.=&lt;"</f>
        <v>#VALUE!</v>
      </c>
      <c r="GO224" t="e">
        <f>Raw!N591+"h_l!.=="</f>
        <v>#VALUE!</v>
      </c>
      <c r="GP224" t="e">
        <f>Raw!O591+"h_l!.=&gt;"</f>
        <v>#VALUE!</v>
      </c>
      <c r="GQ224" t="e">
        <f>Raw!P591+"h_l!.=?"</f>
        <v>#VALUE!</v>
      </c>
      <c r="GR224" t="e">
        <f>Raw!Q591+"h_l!.=@"</f>
        <v>#VALUE!</v>
      </c>
      <c r="GS224" t="e">
        <f>Raw!R591+"h_l!.=A"</f>
        <v>#VALUE!</v>
      </c>
      <c r="GT224" t="e">
        <f>Raw!S591+"h_l!.=B"</f>
        <v>#VALUE!</v>
      </c>
      <c r="GU224" t="e">
        <f>Raw!T591+"h_l!.=C"</f>
        <v>#VALUE!</v>
      </c>
      <c r="GV224" t="e">
        <f>Raw!U591+"h_l!.=D"</f>
        <v>#VALUE!</v>
      </c>
      <c r="GW224" t="e">
        <f>Raw!V591+"h_l!.=E"</f>
        <v>#VALUE!</v>
      </c>
      <c r="GX224" t="e">
        <f>Raw!W591+"h_l!.=F"</f>
        <v>#VALUE!</v>
      </c>
      <c r="GY224" t="e">
        <f>Raw!A592+"h_l!.=G"</f>
        <v>#VALUE!</v>
      </c>
      <c r="GZ224" t="e">
        <f>Raw!B592+"h_l!.=H"</f>
        <v>#VALUE!</v>
      </c>
      <c r="HA224" t="e">
        <f>Raw!C592+"h_l!.=I"</f>
        <v>#VALUE!</v>
      </c>
      <c r="HB224" t="e">
        <f>Raw!D592+"h_l!.=J"</f>
        <v>#VALUE!</v>
      </c>
      <c r="HC224" t="e">
        <f>Raw!E592+"h_l!.=K"</f>
        <v>#VALUE!</v>
      </c>
      <c r="HD224" t="e">
        <f>Raw!#REF!+"h_l!.=L"</f>
        <v>#REF!</v>
      </c>
      <c r="HE224" t="e">
        <f>Raw!G592+"h_l!.=M"</f>
        <v>#VALUE!</v>
      </c>
      <c r="HF224" t="e">
        <f>Raw!H592+"h_l!.=N"</f>
        <v>#VALUE!</v>
      </c>
      <c r="HG224" t="e">
        <f>Raw!I592+"h_l!.=O"</f>
        <v>#VALUE!</v>
      </c>
      <c r="HH224" t="e">
        <f>Raw!J592+"h_l!.=P"</f>
        <v>#VALUE!</v>
      </c>
      <c r="HI224" t="e">
        <f>Raw!K592+"h_l!.=Q"</f>
        <v>#VALUE!</v>
      </c>
      <c r="HJ224" t="e">
        <f>Raw!L592+"h_l!.=R"</f>
        <v>#VALUE!</v>
      </c>
      <c r="HK224" t="e">
        <f>Raw!M592+"h_l!.=S"</f>
        <v>#VALUE!</v>
      </c>
      <c r="HL224" t="e">
        <f>Raw!N592+"h_l!.=T"</f>
        <v>#VALUE!</v>
      </c>
      <c r="HM224" t="e">
        <f>Raw!O592+"h_l!.=U"</f>
        <v>#VALUE!</v>
      </c>
      <c r="HN224" t="e">
        <f>Raw!P592+"h_l!.=V"</f>
        <v>#VALUE!</v>
      </c>
      <c r="HO224" t="e">
        <f>Raw!Q592+"h_l!.=W"</f>
        <v>#VALUE!</v>
      </c>
      <c r="HP224" t="e">
        <f>Raw!R592+"h_l!.=X"</f>
        <v>#VALUE!</v>
      </c>
      <c r="HQ224" t="e">
        <f>Raw!S592+"h_l!.=Y"</f>
        <v>#VALUE!</v>
      </c>
      <c r="HR224" t="e">
        <f>Raw!T592+"h_l!.=Z"</f>
        <v>#VALUE!</v>
      </c>
      <c r="HS224" t="e">
        <f>Raw!U592+"h_l!.=["</f>
        <v>#VALUE!</v>
      </c>
      <c r="HT224" t="e">
        <f>Raw!V592+"h_l!.=\"</f>
        <v>#VALUE!</v>
      </c>
      <c r="HU224" t="e">
        <f>Raw!W592+"h_l!.=]"</f>
        <v>#VALUE!</v>
      </c>
      <c r="HV224" t="e">
        <f>Raw!A593+"h_l!.=^"</f>
        <v>#VALUE!</v>
      </c>
      <c r="HW224" t="e">
        <f>Raw!B593+"h_l!.=_"</f>
        <v>#VALUE!</v>
      </c>
      <c r="HX224" t="e">
        <f>Raw!C593+"h_l!.=`"</f>
        <v>#VALUE!</v>
      </c>
      <c r="HY224" t="e">
        <f>Raw!D593+"h_l!.=a"</f>
        <v>#VALUE!</v>
      </c>
      <c r="HZ224" t="e">
        <f>Raw!E593+"h_l!.=b"</f>
        <v>#VALUE!</v>
      </c>
      <c r="IA224" t="e">
        <f>Raw!#REF!+"h_l!.=c"</f>
        <v>#REF!</v>
      </c>
      <c r="IB224" t="e">
        <f>Raw!G593+"h_l!.=d"</f>
        <v>#VALUE!</v>
      </c>
      <c r="IC224" t="e">
        <f>Raw!H593+"h_l!.=e"</f>
        <v>#VALUE!</v>
      </c>
      <c r="ID224" t="e">
        <f>Raw!I593+"h_l!.=f"</f>
        <v>#VALUE!</v>
      </c>
      <c r="IE224" t="e">
        <f>Raw!J593+"h_l!.=g"</f>
        <v>#VALUE!</v>
      </c>
      <c r="IF224" t="e">
        <f>Raw!K593+"h_l!.=h"</f>
        <v>#VALUE!</v>
      </c>
      <c r="IG224" t="e">
        <f>Raw!L593+"h_l!.=i"</f>
        <v>#VALUE!</v>
      </c>
      <c r="IH224" t="e">
        <f>Raw!M593+"h_l!.=j"</f>
        <v>#VALUE!</v>
      </c>
      <c r="II224" t="e">
        <f>Raw!N593+"h_l!.=k"</f>
        <v>#VALUE!</v>
      </c>
      <c r="IJ224" t="e">
        <f>Raw!O593+"h_l!.=l"</f>
        <v>#VALUE!</v>
      </c>
      <c r="IK224" t="e">
        <f>Raw!P593+"h_l!.=m"</f>
        <v>#VALUE!</v>
      </c>
      <c r="IL224" t="e">
        <f>Raw!Q593+"h_l!.=n"</f>
        <v>#VALUE!</v>
      </c>
      <c r="IM224" t="e">
        <f>Raw!R593+"h_l!.=o"</f>
        <v>#VALUE!</v>
      </c>
      <c r="IN224" t="e">
        <f>Raw!S593+"h_l!.=p"</f>
        <v>#VALUE!</v>
      </c>
      <c r="IO224" t="e">
        <f>Raw!T593+"h_l!.=q"</f>
        <v>#VALUE!</v>
      </c>
      <c r="IP224" t="e">
        <f>Raw!U593+"h_l!.=r"</f>
        <v>#VALUE!</v>
      </c>
      <c r="IQ224" t="e">
        <f>Raw!V593+"h_l!.=s"</f>
        <v>#VALUE!</v>
      </c>
      <c r="IR224" t="e">
        <f>Raw!W593+"h_l!.=t"</f>
        <v>#VALUE!</v>
      </c>
      <c r="IS224" t="e">
        <f>Raw!A594+"h_l!.=u"</f>
        <v>#VALUE!</v>
      </c>
      <c r="IT224" t="e">
        <f>Raw!B594+"h_l!.=v"</f>
        <v>#VALUE!</v>
      </c>
      <c r="IU224" t="e">
        <f>Raw!C594+"h_l!.=w"</f>
        <v>#VALUE!</v>
      </c>
      <c r="IV224" t="e">
        <f>Raw!D594+"h_l!.=x"</f>
        <v>#VALUE!</v>
      </c>
    </row>
    <row r="225" spans="6:256" x14ac:dyDescent="0.25">
      <c r="F225" t="e">
        <f>Raw!E594+"h_l!.=y"</f>
        <v>#VALUE!</v>
      </c>
      <c r="G225" t="e">
        <f>Raw!#REF!+"h_l!.=z"</f>
        <v>#REF!</v>
      </c>
      <c r="H225" t="e">
        <f>Raw!G594+"h_l!.={"</f>
        <v>#VALUE!</v>
      </c>
      <c r="I225" t="e">
        <f>Raw!H594+"h_l!.=|"</f>
        <v>#VALUE!</v>
      </c>
      <c r="J225" t="e">
        <f>Raw!I594+"h_l!.=}"</f>
        <v>#VALUE!</v>
      </c>
      <c r="K225" t="e">
        <f>Raw!J594+"h_l!.=~"</f>
        <v>#VALUE!</v>
      </c>
      <c r="L225" t="e">
        <f>Raw!K594+"h_l!.&gt;#"</f>
        <v>#VALUE!</v>
      </c>
      <c r="M225" t="e">
        <f>Raw!L594+"h_l!.&gt;$"</f>
        <v>#VALUE!</v>
      </c>
      <c r="N225" t="e">
        <f>Raw!M594+"h_l!.&gt;%"</f>
        <v>#VALUE!</v>
      </c>
      <c r="O225" t="e">
        <f>Raw!N594+"h_l!.&gt;&amp;"</f>
        <v>#VALUE!</v>
      </c>
      <c r="P225" t="e">
        <f>Raw!O594+"h_l!.&gt;'"</f>
        <v>#VALUE!</v>
      </c>
      <c r="Q225" t="e">
        <f>Raw!P594+"h_l!.&gt;("</f>
        <v>#VALUE!</v>
      </c>
      <c r="R225" t="e">
        <f>Raw!Q594+"h_l!.&gt;)"</f>
        <v>#VALUE!</v>
      </c>
      <c r="S225" t="e">
        <f>Raw!R594+"h_l!.&gt;."</f>
        <v>#VALUE!</v>
      </c>
      <c r="T225" t="e">
        <f>Raw!S594+"h_l!.&gt;/"</f>
        <v>#VALUE!</v>
      </c>
      <c r="U225" t="e">
        <f>Raw!T594+"h_l!.&gt;0"</f>
        <v>#VALUE!</v>
      </c>
      <c r="V225" t="e">
        <f>Raw!U594+"h_l!.&gt;1"</f>
        <v>#VALUE!</v>
      </c>
      <c r="W225" t="e">
        <f>Raw!V594+"h_l!.&gt;2"</f>
        <v>#VALUE!</v>
      </c>
      <c r="X225" t="e">
        <f>Raw!W594+"h_l!.&gt;3"</f>
        <v>#VALUE!</v>
      </c>
      <c r="Y225" t="e">
        <f>Raw!A595+"h_l!.&gt;4"</f>
        <v>#VALUE!</v>
      </c>
      <c r="Z225" t="e">
        <f>Raw!B595+"h_l!.&gt;5"</f>
        <v>#VALUE!</v>
      </c>
      <c r="AA225" t="e">
        <f>Raw!C595+"h_l!.&gt;6"</f>
        <v>#VALUE!</v>
      </c>
      <c r="AB225" t="e">
        <f>Raw!D595+"h_l!.&gt;7"</f>
        <v>#VALUE!</v>
      </c>
      <c r="AC225" t="e">
        <f>Raw!E595+"h_l!.&gt;8"</f>
        <v>#VALUE!</v>
      </c>
      <c r="AD225" t="e">
        <f>Raw!#REF!+"h_l!.&gt;9"</f>
        <v>#REF!</v>
      </c>
      <c r="AE225" t="e">
        <f>Raw!G595+"h_l!.&gt;:"</f>
        <v>#VALUE!</v>
      </c>
      <c r="AF225" t="e">
        <f>Raw!H595+"h_l!.&gt;;"</f>
        <v>#VALUE!</v>
      </c>
      <c r="AG225" t="e">
        <f>Raw!I595+"h_l!.&gt;&lt;"</f>
        <v>#VALUE!</v>
      </c>
      <c r="AH225" t="e">
        <f>Raw!J595+"h_l!.&gt;="</f>
        <v>#VALUE!</v>
      </c>
      <c r="AI225" t="e">
        <f>Raw!K595+"h_l!.&gt;&gt;"</f>
        <v>#VALUE!</v>
      </c>
      <c r="AJ225" t="e">
        <f>Raw!L595+"h_l!.&gt;?"</f>
        <v>#VALUE!</v>
      </c>
      <c r="AK225" t="e">
        <f>Raw!M595+"h_l!.&gt;@"</f>
        <v>#VALUE!</v>
      </c>
      <c r="AL225" t="e">
        <f>Raw!N595+"h_l!.&gt;A"</f>
        <v>#VALUE!</v>
      </c>
      <c r="AM225" t="e">
        <f>Raw!O595+"h_l!.&gt;B"</f>
        <v>#VALUE!</v>
      </c>
      <c r="AN225" t="e">
        <f>Raw!P595+"h_l!.&gt;C"</f>
        <v>#VALUE!</v>
      </c>
      <c r="AO225" t="e">
        <f>Raw!Q595+"h_l!.&gt;D"</f>
        <v>#VALUE!</v>
      </c>
      <c r="AP225" t="e">
        <f>Raw!R595+"h_l!.&gt;E"</f>
        <v>#VALUE!</v>
      </c>
      <c r="AQ225" t="e">
        <f>Raw!S595+"h_l!.&gt;F"</f>
        <v>#VALUE!</v>
      </c>
      <c r="AR225" t="e">
        <f>Raw!T595+"h_l!.&gt;G"</f>
        <v>#VALUE!</v>
      </c>
      <c r="AS225" t="e">
        <f>Raw!U595+"h_l!.&gt;H"</f>
        <v>#VALUE!</v>
      </c>
      <c r="AT225" t="e">
        <f>Raw!V595+"h_l!.&gt;I"</f>
        <v>#VALUE!</v>
      </c>
      <c r="AU225" t="e">
        <f>Raw!W595+"h_l!.&gt;J"</f>
        <v>#VALUE!</v>
      </c>
      <c r="AV225" t="e">
        <f>Raw!A596+"h_l!.&gt;K"</f>
        <v>#VALUE!</v>
      </c>
      <c r="AW225" t="e">
        <f>Raw!B596+"h_l!.&gt;L"</f>
        <v>#VALUE!</v>
      </c>
      <c r="AX225" t="e">
        <f>Raw!C596+"h_l!.&gt;M"</f>
        <v>#VALUE!</v>
      </c>
      <c r="AY225" t="e">
        <f>Raw!D596+"h_l!.&gt;N"</f>
        <v>#VALUE!</v>
      </c>
      <c r="AZ225" t="e">
        <f>Raw!E596+"h_l!.&gt;O"</f>
        <v>#VALUE!</v>
      </c>
      <c r="BA225" t="e">
        <f>Raw!#REF!+"h_l!.&gt;P"</f>
        <v>#REF!</v>
      </c>
      <c r="BB225" t="e">
        <f>Raw!G596+"h_l!.&gt;Q"</f>
        <v>#VALUE!</v>
      </c>
      <c r="BC225" t="e">
        <f>Raw!H596+"h_l!.&gt;R"</f>
        <v>#VALUE!</v>
      </c>
      <c r="BD225" t="e">
        <f>Raw!I596+"h_l!.&gt;S"</f>
        <v>#VALUE!</v>
      </c>
      <c r="BE225" t="e">
        <f>Raw!J596+"h_l!.&gt;T"</f>
        <v>#VALUE!</v>
      </c>
      <c r="BF225" t="e">
        <f>Raw!K596+"h_l!.&gt;U"</f>
        <v>#VALUE!</v>
      </c>
      <c r="BG225" t="e">
        <f>Raw!L596+"h_l!.&gt;V"</f>
        <v>#VALUE!</v>
      </c>
      <c r="BH225" t="e">
        <f>Raw!M596+"h_l!.&gt;W"</f>
        <v>#VALUE!</v>
      </c>
      <c r="BI225" t="e">
        <f>Raw!N596+"h_l!.&gt;X"</f>
        <v>#VALUE!</v>
      </c>
      <c r="BJ225" t="e">
        <f>Raw!O596+"h_l!.&gt;Y"</f>
        <v>#VALUE!</v>
      </c>
      <c r="BK225" t="e">
        <f>Raw!P596+"h_l!.&gt;Z"</f>
        <v>#VALUE!</v>
      </c>
      <c r="BL225" t="e">
        <f>Raw!Q596+"h_l!.&gt;["</f>
        <v>#VALUE!</v>
      </c>
      <c r="BM225" t="e">
        <f>Raw!R596+"h_l!.&gt;\"</f>
        <v>#VALUE!</v>
      </c>
      <c r="BN225" t="e">
        <f>Raw!S596+"h_l!.&gt;]"</f>
        <v>#VALUE!</v>
      </c>
      <c r="BO225" t="e">
        <f>Raw!T596+"h_l!.&gt;^"</f>
        <v>#VALUE!</v>
      </c>
      <c r="BP225" t="e">
        <f>Raw!U596+"h_l!.&gt;_"</f>
        <v>#VALUE!</v>
      </c>
      <c r="BQ225" t="e">
        <f>Raw!V596+"h_l!.&gt;`"</f>
        <v>#VALUE!</v>
      </c>
      <c r="BR225" t="e">
        <f>Raw!W596+"h_l!.&gt;a"</f>
        <v>#VALUE!</v>
      </c>
      <c r="BS225" t="e">
        <f>Raw!A597+"h_l!.&gt;b"</f>
        <v>#VALUE!</v>
      </c>
      <c r="BT225" t="e">
        <f>Raw!B597+"h_l!.&gt;c"</f>
        <v>#VALUE!</v>
      </c>
      <c r="BU225" t="e">
        <f>Raw!C597+"h_l!.&gt;d"</f>
        <v>#VALUE!</v>
      </c>
      <c r="BV225" t="e">
        <f>Raw!D597+"h_l!.&gt;e"</f>
        <v>#VALUE!</v>
      </c>
      <c r="BW225" t="e">
        <f>Raw!E597+"h_l!.&gt;f"</f>
        <v>#VALUE!</v>
      </c>
      <c r="BX225" t="e">
        <f>Raw!#REF!+"h_l!.&gt;g"</f>
        <v>#REF!</v>
      </c>
      <c r="BY225" t="e">
        <f>Raw!G597+"h_l!.&gt;h"</f>
        <v>#VALUE!</v>
      </c>
      <c r="BZ225" t="e">
        <f>Raw!H597+"h_l!.&gt;i"</f>
        <v>#VALUE!</v>
      </c>
      <c r="CA225" t="e">
        <f>Raw!I597+"h_l!.&gt;j"</f>
        <v>#VALUE!</v>
      </c>
      <c r="CB225" t="e">
        <f>Raw!J597+"h_l!.&gt;k"</f>
        <v>#VALUE!</v>
      </c>
      <c r="CC225" t="e">
        <f>Raw!K597+"h_l!.&gt;l"</f>
        <v>#VALUE!</v>
      </c>
      <c r="CD225" t="e">
        <f>Raw!L597+"h_l!.&gt;m"</f>
        <v>#VALUE!</v>
      </c>
      <c r="CE225" t="e">
        <f>Raw!M597+"h_l!.&gt;n"</f>
        <v>#VALUE!</v>
      </c>
      <c r="CF225" t="e">
        <f>Raw!N597+"h_l!.&gt;o"</f>
        <v>#VALUE!</v>
      </c>
      <c r="CG225" t="e">
        <f>Raw!O597+"h_l!.&gt;p"</f>
        <v>#VALUE!</v>
      </c>
      <c r="CH225" t="e">
        <f>Raw!P597+"h_l!.&gt;q"</f>
        <v>#VALUE!</v>
      </c>
      <c r="CI225" t="e">
        <f>Raw!Q597+"h_l!.&gt;r"</f>
        <v>#VALUE!</v>
      </c>
      <c r="CJ225" t="e">
        <f>Raw!R597+"h_l!.&gt;s"</f>
        <v>#VALUE!</v>
      </c>
      <c r="CK225" t="e">
        <f>Raw!S597+"h_l!.&gt;t"</f>
        <v>#VALUE!</v>
      </c>
      <c r="CL225" t="e">
        <f>Raw!T597+"h_l!.&gt;u"</f>
        <v>#VALUE!</v>
      </c>
      <c r="CM225" t="e">
        <f>Raw!U597+"h_l!.&gt;v"</f>
        <v>#VALUE!</v>
      </c>
      <c r="CN225" t="e">
        <f>Raw!V597+"h_l!.&gt;w"</f>
        <v>#VALUE!</v>
      </c>
      <c r="CO225" t="e">
        <f>Raw!W597+"h_l!.&gt;x"</f>
        <v>#VALUE!</v>
      </c>
      <c r="CP225" t="e">
        <f>Raw!A598+"h_l!.&gt;y"</f>
        <v>#VALUE!</v>
      </c>
      <c r="CQ225" t="e">
        <f>Raw!B598+"h_l!.&gt;z"</f>
        <v>#VALUE!</v>
      </c>
      <c r="CR225" t="e">
        <f>Raw!C598+"h_l!.&gt;{"</f>
        <v>#VALUE!</v>
      </c>
      <c r="CS225" t="e">
        <f>Raw!D598+"h_l!.&gt;|"</f>
        <v>#VALUE!</v>
      </c>
      <c r="CT225" t="e">
        <f>Raw!E598+"h_l!.&gt;}"</f>
        <v>#VALUE!</v>
      </c>
      <c r="CU225" t="e">
        <f>Raw!#REF!+"h_l!.&gt;~"</f>
        <v>#REF!</v>
      </c>
      <c r="CV225" t="e">
        <f>Raw!G598+"h_l!.?#"</f>
        <v>#VALUE!</v>
      </c>
      <c r="CW225" t="e">
        <f>Raw!H598+"h_l!.?$"</f>
        <v>#VALUE!</v>
      </c>
      <c r="CX225" t="e">
        <f>Raw!I598+"h_l!.?%"</f>
        <v>#VALUE!</v>
      </c>
      <c r="CY225" t="e">
        <f>Raw!J598+"h_l!.?&amp;"</f>
        <v>#VALUE!</v>
      </c>
      <c r="CZ225" t="e">
        <f>Raw!K598+"h_l!.?'"</f>
        <v>#VALUE!</v>
      </c>
      <c r="DA225" t="e">
        <f>Raw!L598+"h_l!.?("</f>
        <v>#VALUE!</v>
      </c>
      <c r="DB225" t="e">
        <f>Raw!M598+"h_l!.?)"</f>
        <v>#VALUE!</v>
      </c>
      <c r="DC225" t="e">
        <f>Raw!N598+"h_l!.?."</f>
        <v>#VALUE!</v>
      </c>
      <c r="DD225" t="e">
        <f>Raw!O598+"h_l!.?/"</f>
        <v>#VALUE!</v>
      </c>
      <c r="DE225" t="e">
        <f>Raw!P598+"h_l!.?0"</f>
        <v>#VALUE!</v>
      </c>
      <c r="DF225" t="e">
        <f>Raw!Q598+"h_l!.?1"</f>
        <v>#VALUE!</v>
      </c>
      <c r="DG225" t="e">
        <f>Raw!R598+"h_l!.?2"</f>
        <v>#VALUE!</v>
      </c>
      <c r="DH225" t="e">
        <f>Raw!S598+"h_l!.?3"</f>
        <v>#VALUE!</v>
      </c>
      <c r="DI225" t="e">
        <f>Raw!T598+"h_l!.?4"</f>
        <v>#VALUE!</v>
      </c>
      <c r="DJ225" t="e">
        <f>Raw!U598+"h_l!.?5"</f>
        <v>#VALUE!</v>
      </c>
      <c r="DK225" t="e">
        <f>Raw!V598+"h_l!.?6"</f>
        <v>#VALUE!</v>
      </c>
      <c r="DL225" t="e">
        <f>Raw!W598+"h_l!.?7"</f>
        <v>#VALUE!</v>
      </c>
      <c r="DM225" t="e">
        <f>Raw!A599+"h_l!.?8"</f>
        <v>#VALUE!</v>
      </c>
      <c r="DN225" t="e">
        <f>Raw!B599+"h_l!.?9"</f>
        <v>#VALUE!</v>
      </c>
      <c r="DO225" t="e">
        <f>Raw!C599+"h_l!.?:"</f>
        <v>#VALUE!</v>
      </c>
      <c r="DP225" t="e">
        <f>Raw!D599+"h_l!.?;"</f>
        <v>#VALUE!</v>
      </c>
      <c r="DQ225" t="e">
        <f>Raw!E599+"h_l!.?&lt;"</f>
        <v>#VALUE!</v>
      </c>
      <c r="DR225" t="e">
        <f>Raw!#REF!+"h_l!.?="</f>
        <v>#REF!</v>
      </c>
      <c r="DS225" t="e">
        <f>Raw!G599+"h_l!.?&gt;"</f>
        <v>#VALUE!</v>
      </c>
      <c r="DT225" t="e">
        <f>Raw!H599+"h_l!.??"</f>
        <v>#VALUE!</v>
      </c>
      <c r="DU225" t="e">
        <f>Raw!I599+"h_l!.?@"</f>
        <v>#VALUE!</v>
      </c>
      <c r="DV225" t="e">
        <f>Raw!J599+"h_l!.?A"</f>
        <v>#VALUE!</v>
      </c>
      <c r="DW225" t="e">
        <f>Raw!K599+"h_l!.?B"</f>
        <v>#VALUE!</v>
      </c>
      <c r="DX225" t="e">
        <f>Raw!L599+"h_l!.?C"</f>
        <v>#VALUE!</v>
      </c>
      <c r="DY225" t="e">
        <f>Raw!M599+"h_l!.?D"</f>
        <v>#VALUE!</v>
      </c>
      <c r="DZ225" t="e">
        <f>Raw!N599+"h_l!.?E"</f>
        <v>#VALUE!</v>
      </c>
      <c r="EA225" t="e">
        <f>Raw!O599+"h_l!.?F"</f>
        <v>#VALUE!</v>
      </c>
      <c r="EB225" t="e">
        <f>Raw!P599+"h_l!.?G"</f>
        <v>#VALUE!</v>
      </c>
      <c r="EC225" t="e">
        <f>Raw!Q599+"h_l!.?H"</f>
        <v>#VALUE!</v>
      </c>
      <c r="ED225" t="e">
        <f>Raw!R599+"h_l!.?I"</f>
        <v>#VALUE!</v>
      </c>
      <c r="EE225" t="e">
        <f>Raw!S599+"h_l!.?J"</f>
        <v>#VALUE!</v>
      </c>
      <c r="EF225" t="e">
        <f>Raw!T599+"h_l!.?K"</f>
        <v>#VALUE!</v>
      </c>
      <c r="EG225" t="e">
        <f>Raw!U599+"h_l!.?L"</f>
        <v>#VALUE!</v>
      </c>
      <c r="EH225" t="e">
        <f>Raw!V599+"h_l!.?M"</f>
        <v>#VALUE!</v>
      </c>
      <c r="EI225" t="e">
        <f>Raw!W599+"h_l!.?N"</f>
        <v>#VALUE!</v>
      </c>
      <c r="EJ225" t="e">
        <f>Raw!A600+"h_l!.?O"</f>
        <v>#VALUE!</v>
      </c>
      <c r="EK225" t="e">
        <f>Raw!B600+"h_l!.?P"</f>
        <v>#VALUE!</v>
      </c>
      <c r="EL225" t="e">
        <f>Raw!C600+"h_l!.?Q"</f>
        <v>#VALUE!</v>
      </c>
      <c r="EM225" t="e">
        <f>Raw!D600+"h_l!.?R"</f>
        <v>#VALUE!</v>
      </c>
      <c r="EN225" t="e">
        <f>Raw!E600+"h_l!.?S"</f>
        <v>#VALUE!</v>
      </c>
      <c r="EO225" t="e">
        <f>Raw!#REF!+"h_l!.?T"</f>
        <v>#REF!</v>
      </c>
      <c r="EP225" t="e">
        <f>Raw!G600+"h_l!.?U"</f>
        <v>#VALUE!</v>
      </c>
      <c r="EQ225" t="e">
        <f>Raw!H600+"h_l!.?V"</f>
        <v>#VALUE!</v>
      </c>
      <c r="ER225" t="e">
        <f>Raw!I600+"h_l!.?W"</f>
        <v>#VALUE!</v>
      </c>
      <c r="ES225" t="e">
        <f>Raw!J600+"h_l!.?X"</f>
        <v>#VALUE!</v>
      </c>
      <c r="ET225" t="e">
        <f>Raw!K600+"h_l!.?Y"</f>
        <v>#VALUE!</v>
      </c>
      <c r="EU225" t="e">
        <f>Raw!L600+"h_l!.?Z"</f>
        <v>#VALUE!</v>
      </c>
      <c r="EV225" t="e">
        <f>Raw!M600+"h_l!.?["</f>
        <v>#VALUE!</v>
      </c>
      <c r="EW225" t="e">
        <f>Raw!N600+"h_l!.?\"</f>
        <v>#VALUE!</v>
      </c>
      <c r="EX225" t="e">
        <f>Raw!O600+"h_l!.?]"</f>
        <v>#VALUE!</v>
      </c>
      <c r="EY225" t="e">
        <f>Raw!P600+"h_l!.?^"</f>
        <v>#VALUE!</v>
      </c>
      <c r="EZ225" t="e">
        <f>Raw!Q600+"h_l!.?_"</f>
        <v>#VALUE!</v>
      </c>
      <c r="FA225" t="e">
        <f>Raw!R600+"h_l!.?`"</f>
        <v>#VALUE!</v>
      </c>
      <c r="FB225" t="e">
        <f>Raw!S600+"h_l!.?a"</f>
        <v>#VALUE!</v>
      </c>
      <c r="FC225" t="e">
        <f>Raw!T600+"h_l!.?b"</f>
        <v>#VALUE!</v>
      </c>
      <c r="FD225" t="e">
        <f>Raw!U600+"h_l!.?c"</f>
        <v>#VALUE!</v>
      </c>
      <c r="FE225" t="e">
        <f>Raw!V600+"h_l!.?d"</f>
        <v>#VALUE!</v>
      </c>
      <c r="FF225" t="e">
        <f>Raw!W600+"h_l!.?e"</f>
        <v>#VALUE!</v>
      </c>
      <c r="FG225" t="e">
        <f>Raw!A601+"h_l!.?f"</f>
        <v>#VALUE!</v>
      </c>
      <c r="FH225" t="e">
        <f>Raw!B601+"h_l!.?g"</f>
        <v>#VALUE!</v>
      </c>
      <c r="FI225" t="e">
        <f>Raw!C601+"h_l!.?h"</f>
        <v>#VALUE!</v>
      </c>
      <c r="FJ225" t="e">
        <f>Raw!D601+"h_l!.?i"</f>
        <v>#VALUE!</v>
      </c>
      <c r="FK225" t="e">
        <f>Raw!E601+"h_l!.?j"</f>
        <v>#VALUE!</v>
      </c>
      <c r="FL225" t="e">
        <f>Raw!#REF!+"h_l!.?k"</f>
        <v>#REF!</v>
      </c>
      <c r="FM225" t="e">
        <f>Raw!G601+"h_l!.?l"</f>
        <v>#VALUE!</v>
      </c>
      <c r="FN225" t="e">
        <f>Raw!H601+"h_l!.?m"</f>
        <v>#VALUE!</v>
      </c>
      <c r="FO225" t="e">
        <f>Raw!I601+"h_l!.?n"</f>
        <v>#VALUE!</v>
      </c>
      <c r="FP225" t="e">
        <f>Raw!J601+"h_l!.?o"</f>
        <v>#VALUE!</v>
      </c>
      <c r="FQ225" t="e">
        <f>Raw!K601+"h_l!.?p"</f>
        <v>#VALUE!</v>
      </c>
      <c r="FR225" t="e">
        <f>Raw!L601+"h_l!.?q"</f>
        <v>#VALUE!</v>
      </c>
      <c r="FS225" t="e">
        <f>Raw!M601+"h_l!.?r"</f>
        <v>#VALUE!</v>
      </c>
      <c r="FT225" t="e">
        <f>Raw!N601+"h_l!.?s"</f>
        <v>#VALUE!</v>
      </c>
      <c r="FU225" t="e">
        <f>Raw!O601+"h_l!.?t"</f>
        <v>#VALUE!</v>
      </c>
      <c r="FV225" t="e">
        <f>Raw!P601+"h_l!.?u"</f>
        <v>#VALUE!</v>
      </c>
      <c r="FW225" t="e">
        <f>Raw!Q601+"h_l!.?v"</f>
        <v>#VALUE!</v>
      </c>
      <c r="FX225" t="e">
        <f>Raw!R601+"h_l!.?w"</f>
        <v>#VALUE!</v>
      </c>
      <c r="FY225" t="e">
        <f>Raw!S601+"h_l!.?x"</f>
        <v>#VALUE!</v>
      </c>
      <c r="FZ225" t="e">
        <f>Raw!T601+"h_l!.?y"</f>
        <v>#VALUE!</v>
      </c>
      <c r="GA225" t="e">
        <f>Raw!U601+"h_l!.?z"</f>
        <v>#VALUE!</v>
      </c>
      <c r="GB225" t="e">
        <f>Raw!V601+"h_l!.?{"</f>
        <v>#VALUE!</v>
      </c>
      <c r="GC225" t="e">
        <f>Raw!W601+"h_l!.?|"</f>
        <v>#VALUE!</v>
      </c>
      <c r="GD225" t="e">
        <f>Raw!A602+"h_l!.?}"</f>
        <v>#VALUE!</v>
      </c>
      <c r="GE225" t="e">
        <f>Raw!B602+"h_l!.?~"</f>
        <v>#VALUE!</v>
      </c>
      <c r="GF225" t="e">
        <f>Raw!C602+"h_l!.@#"</f>
        <v>#VALUE!</v>
      </c>
      <c r="GG225" t="e">
        <f>Raw!D602+"h_l!.@$"</f>
        <v>#VALUE!</v>
      </c>
      <c r="GH225" t="e">
        <f>Raw!E602+"h_l!.@%"</f>
        <v>#VALUE!</v>
      </c>
      <c r="GI225" t="e">
        <f>Raw!#REF!+"h_l!.@&amp;"</f>
        <v>#REF!</v>
      </c>
      <c r="GJ225" t="e">
        <f>Raw!G602+"h_l!.@'"</f>
        <v>#VALUE!</v>
      </c>
      <c r="GK225" t="e">
        <f>Raw!H602+"h_l!.@("</f>
        <v>#VALUE!</v>
      </c>
      <c r="GL225" t="e">
        <f>Raw!I602+"h_l!.@)"</f>
        <v>#VALUE!</v>
      </c>
      <c r="GM225" t="e">
        <f>Raw!J602+"h_l!.@."</f>
        <v>#VALUE!</v>
      </c>
      <c r="GN225" t="e">
        <f>Raw!K602+"h_l!.@/"</f>
        <v>#VALUE!</v>
      </c>
      <c r="GO225" t="e">
        <f>Raw!L602+"h_l!.@0"</f>
        <v>#VALUE!</v>
      </c>
      <c r="GP225" t="e">
        <f>Raw!M602+"h_l!.@1"</f>
        <v>#VALUE!</v>
      </c>
      <c r="GQ225" t="e">
        <f>Raw!N602+"h_l!.@2"</f>
        <v>#VALUE!</v>
      </c>
      <c r="GR225" t="e">
        <f>Raw!O602+"h_l!.@3"</f>
        <v>#VALUE!</v>
      </c>
      <c r="GS225" t="e">
        <f>Raw!P602+"h_l!.@4"</f>
        <v>#VALUE!</v>
      </c>
      <c r="GT225" t="e">
        <f>Raw!Q602+"h_l!.@5"</f>
        <v>#VALUE!</v>
      </c>
      <c r="GU225" t="e">
        <f>Raw!R602+"h_l!.@6"</f>
        <v>#VALUE!</v>
      </c>
      <c r="GV225" t="e">
        <f>Raw!S602+"h_l!.@7"</f>
        <v>#VALUE!</v>
      </c>
      <c r="GW225" t="e">
        <f>Raw!T602+"h_l!.@8"</f>
        <v>#VALUE!</v>
      </c>
      <c r="GX225" t="e">
        <f>Raw!U602+"h_l!.@9"</f>
        <v>#VALUE!</v>
      </c>
      <c r="GY225" t="e">
        <f>Raw!V602+"h_l!.@:"</f>
        <v>#VALUE!</v>
      </c>
      <c r="GZ225" t="e">
        <f>Raw!W602+"h_l!.@;"</f>
        <v>#VALUE!</v>
      </c>
      <c r="HA225" t="e">
        <f>Raw!A603+"h_l!.@&lt;"</f>
        <v>#VALUE!</v>
      </c>
      <c r="HB225" t="e">
        <f>Raw!B603+"h_l!.@="</f>
        <v>#VALUE!</v>
      </c>
      <c r="HC225" t="e">
        <f>Raw!C603+"h_l!.@&gt;"</f>
        <v>#VALUE!</v>
      </c>
      <c r="HD225" t="e">
        <f>Raw!D603+"h_l!.@?"</f>
        <v>#VALUE!</v>
      </c>
      <c r="HE225" t="e">
        <f>Raw!E603+"h_l!.@@"</f>
        <v>#VALUE!</v>
      </c>
      <c r="HF225" t="e">
        <f>Raw!#REF!+"h_l!.@A"</f>
        <v>#REF!</v>
      </c>
      <c r="HG225" t="e">
        <f>Raw!G603+"h_l!.@B"</f>
        <v>#VALUE!</v>
      </c>
      <c r="HH225" t="e">
        <f>Raw!H603+"h_l!.@C"</f>
        <v>#VALUE!</v>
      </c>
      <c r="HI225" t="e">
        <f>Raw!I603+"h_l!.@D"</f>
        <v>#VALUE!</v>
      </c>
      <c r="HJ225" t="e">
        <f>Raw!J603+"h_l!.@E"</f>
        <v>#VALUE!</v>
      </c>
      <c r="HK225" t="e">
        <f>Raw!K603+"h_l!.@F"</f>
        <v>#VALUE!</v>
      </c>
      <c r="HL225" t="e">
        <f>Raw!L603+"h_l!.@G"</f>
        <v>#VALUE!</v>
      </c>
      <c r="HM225" t="e">
        <f>Raw!M603+"h_l!.@H"</f>
        <v>#VALUE!</v>
      </c>
      <c r="HN225" t="e">
        <f>Raw!N603+"h_l!.@I"</f>
        <v>#VALUE!</v>
      </c>
      <c r="HO225" t="e">
        <f>Raw!O603+"h_l!.@J"</f>
        <v>#VALUE!</v>
      </c>
      <c r="HP225" t="e">
        <f>Raw!P603+"h_l!.@K"</f>
        <v>#VALUE!</v>
      </c>
      <c r="HQ225" t="e">
        <f>Raw!Q603+"h_l!.@L"</f>
        <v>#VALUE!</v>
      </c>
      <c r="HR225" t="e">
        <f>Raw!R603+"h_l!.@M"</f>
        <v>#VALUE!</v>
      </c>
      <c r="HS225" t="e">
        <f>Raw!S603+"h_l!.@N"</f>
        <v>#VALUE!</v>
      </c>
      <c r="HT225" t="e">
        <f>Raw!T603+"h_l!.@O"</f>
        <v>#VALUE!</v>
      </c>
      <c r="HU225" t="e">
        <f>Raw!U603+"h_l!.@P"</f>
        <v>#VALUE!</v>
      </c>
      <c r="HV225" t="e">
        <f>Raw!V603+"h_l!.@Q"</f>
        <v>#VALUE!</v>
      </c>
      <c r="HW225" t="e">
        <f>Raw!W603+"h_l!.@R"</f>
        <v>#VALUE!</v>
      </c>
      <c r="HX225" t="e">
        <f>Raw!A604+"h_l!.@S"</f>
        <v>#VALUE!</v>
      </c>
      <c r="HY225" t="e">
        <f>Raw!B604+"h_l!.@T"</f>
        <v>#VALUE!</v>
      </c>
      <c r="HZ225" t="e">
        <f>Raw!C604+"h_l!.@U"</f>
        <v>#VALUE!</v>
      </c>
      <c r="IA225" t="e">
        <f>Raw!D604+"h_l!.@V"</f>
        <v>#VALUE!</v>
      </c>
      <c r="IB225" t="e">
        <f>Raw!E604+"h_l!.@W"</f>
        <v>#VALUE!</v>
      </c>
      <c r="IC225" t="e">
        <f>Raw!#REF!+"h_l!.@X"</f>
        <v>#REF!</v>
      </c>
      <c r="ID225" t="e">
        <f>Raw!G604+"h_l!.@Y"</f>
        <v>#VALUE!</v>
      </c>
      <c r="IE225" t="e">
        <f>Raw!H604+"h_l!.@Z"</f>
        <v>#VALUE!</v>
      </c>
      <c r="IF225" t="e">
        <f>Raw!I604+"h_l!.@["</f>
        <v>#VALUE!</v>
      </c>
      <c r="IG225" t="e">
        <f>Raw!J604+"h_l!.@\"</f>
        <v>#VALUE!</v>
      </c>
      <c r="IH225" t="e">
        <f>Raw!K604+"h_l!.@]"</f>
        <v>#VALUE!</v>
      </c>
      <c r="II225" t="e">
        <f>Raw!L604+"h_l!.@^"</f>
        <v>#VALUE!</v>
      </c>
      <c r="IJ225" t="e">
        <f>Raw!M604+"h_l!.@_"</f>
        <v>#VALUE!</v>
      </c>
      <c r="IK225" t="e">
        <f>Raw!N604+"h_l!.@`"</f>
        <v>#VALUE!</v>
      </c>
      <c r="IL225" t="e">
        <f>Raw!O604+"h_l!.@a"</f>
        <v>#VALUE!</v>
      </c>
      <c r="IM225" t="e">
        <f>Raw!P604+"h_l!.@b"</f>
        <v>#VALUE!</v>
      </c>
      <c r="IN225" t="e">
        <f>Raw!Q604+"h_l!.@c"</f>
        <v>#VALUE!</v>
      </c>
      <c r="IO225" t="e">
        <f>Raw!R604+"h_l!.@d"</f>
        <v>#VALUE!</v>
      </c>
      <c r="IP225" t="e">
        <f>Raw!S604+"h_l!.@e"</f>
        <v>#VALUE!</v>
      </c>
      <c r="IQ225" t="e">
        <f>Raw!T604+"h_l!.@f"</f>
        <v>#VALUE!</v>
      </c>
      <c r="IR225" t="e">
        <f>Raw!U604+"h_l!.@g"</f>
        <v>#VALUE!</v>
      </c>
      <c r="IS225" t="e">
        <f>Raw!V604+"h_l!.@h"</f>
        <v>#VALUE!</v>
      </c>
      <c r="IT225" t="e">
        <f>Raw!W604+"h_l!.@i"</f>
        <v>#VALUE!</v>
      </c>
      <c r="IU225" t="e">
        <f>Raw!A605+"h_l!.@j"</f>
        <v>#VALUE!</v>
      </c>
      <c r="IV225" t="e">
        <f>Raw!B605+"h_l!.@k"</f>
        <v>#VALUE!</v>
      </c>
    </row>
    <row r="226" spans="6:256" x14ac:dyDescent="0.25">
      <c r="F226" t="e">
        <f>Raw!C605+"h_l!.@l"</f>
        <v>#VALUE!</v>
      </c>
      <c r="G226" t="e">
        <f>Raw!D605+"h_l!.@m"</f>
        <v>#VALUE!</v>
      </c>
      <c r="H226" t="e">
        <f>Raw!E605+"h_l!.@n"</f>
        <v>#VALUE!</v>
      </c>
      <c r="I226" t="e">
        <f>Raw!#REF!+"h_l!.@o"</f>
        <v>#REF!</v>
      </c>
      <c r="J226" t="e">
        <f>Raw!G605+"h_l!.@p"</f>
        <v>#VALUE!</v>
      </c>
      <c r="K226" t="e">
        <f>Raw!H605+"h_l!.@q"</f>
        <v>#VALUE!</v>
      </c>
      <c r="L226" t="e">
        <f>Raw!I605+"h_l!.@r"</f>
        <v>#VALUE!</v>
      </c>
      <c r="M226" t="e">
        <f>Raw!J605+"h_l!.@s"</f>
        <v>#VALUE!</v>
      </c>
      <c r="N226" t="e">
        <f>Raw!K605+"h_l!.@t"</f>
        <v>#VALUE!</v>
      </c>
      <c r="O226" t="e">
        <f>Raw!L605+"h_l!.@u"</f>
        <v>#VALUE!</v>
      </c>
      <c r="P226" t="e">
        <f>Raw!M605+"h_l!.@v"</f>
        <v>#VALUE!</v>
      </c>
      <c r="Q226" t="e">
        <f>Raw!N605+"h_l!.@w"</f>
        <v>#VALUE!</v>
      </c>
      <c r="R226" t="e">
        <f>Raw!O605+"h_l!.@x"</f>
        <v>#VALUE!</v>
      </c>
      <c r="S226" t="e">
        <f>Raw!P605+"h_l!.@y"</f>
        <v>#VALUE!</v>
      </c>
      <c r="T226" t="e">
        <f>Raw!Q605+"h_l!.@z"</f>
        <v>#VALUE!</v>
      </c>
      <c r="U226" t="e">
        <f>Raw!R605+"h_l!.@{"</f>
        <v>#VALUE!</v>
      </c>
      <c r="V226" t="e">
        <f>Raw!S605+"h_l!.@|"</f>
        <v>#VALUE!</v>
      </c>
      <c r="W226" t="e">
        <f>Raw!T605+"h_l!.@}"</f>
        <v>#VALUE!</v>
      </c>
      <c r="X226" t="e">
        <f>Raw!U605+"h_l!.@~"</f>
        <v>#VALUE!</v>
      </c>
      <c r="Y226" t="e">
        <f>Raw!V605+"h_l!.A#"</f>
        <v>#VALUE!</v>
      </c>
      <c r="Z226" t="e">
        <f>Raw!W605+"h_l!.A$"</f>
        <v>#VALUE!</v>
      </c>
      <c r="AA226" t="e">
        <f>Raw!A606+"h_l!.A%"</f>
        <v>#VALUE!</v>
      </c>
      <c r="AB226" t="e">
        <f>Raw!B606+"h_l!.A&amp;"</f>
        <v>#VALUE!</v>
      </c>
      <c r="AC226" t="e">
        <f>Raw!C606+"h_l!.A'"</f>
        <v>#VALUE!</v>
      </c>
      <c r="AD226" t="e">
        <f>Raw!D606+"h_l!.A("</f>
        <v>#VALUE!</v>
      </c>
      <c r="AE226" t="e">
        <f>Raw!E606+"h_l!.A)"</f>
        <v>#VALUE!</v>
      </c>
      <c r="AF226" t="e">
        <f>Raw!#REF!+"h_l!.A."</f>
        <v>#REF!</v>
      </c>
      <c r="AG226" t="e">
        <f>Raw!G606+"h_l!.A/"</f>
        <v>#VALUE!</v>
      </c>
      <c r="AH226" t="e">
        <f>Raw!H606+"h_l!.A0"</f>
        <v>#VALUE!</v>
      </c>
      <c r="AI226" t="e">
        <f>Raw!I606+"h_l!.A1"</f>
        <v>#VALUE!</v>
      </c>
      <c r="AJ226" t="e">
        <f>Raw!J606+"h_l!.A2"</f>
        <v>#VALUE!</v>
      </c>
      <c r="AK226" t="e">
        <f>Raw!K606+"h_l!.A3"</f>
        <v>#VALUE!</v>
      </c>
      <c r="AL226" t="e">
        <f>Raw!L606+"h_l!.A4"</f>
        <v>#VALUE!</v>
      </c>
      <c r="AM226" t="e">
        <f>Raw!M606+"h_l!.A5"</f>
        <v>#VALUE!</v>
      </c>
      <c r="AN226" t="e">
        <f>Raw!N606+"h_l!.A6"</f>
        <v>#VALUE!</v>
      </c>
      <c r="AO226" t="e">
        <f>Raw!O606+"h_l!.A7"</f>
        <v>#VALUE!</v>
      </c>
      <c r="AP226" t="e">
        <f>Raw!P606+"h_l!.A8"</f>
        <v>#VALUE!</v>
      </c>
      <c r="AQ226" t="e">
        <f>Raw!Q606+"h_l!.A9"</f>
        <v>#VALUE!</v>
      </c>
      <c r="AR226" t="e">
        <f>Raw!R606+"h_l!.A:"</f>
        <v>#VALUE!</v>
      </c>
      <c r="AS226" t="e">
        <f>Raw!S606+"h_l!.A;"</f>
        <v>#VALUE!</v>
      </c>
      <c r="AT226" t="e">
        <f>Raw!T606+"h_l!.A&lt;"</f>
        <v>#VALUE!</v>
      </c>
      <c r="AU226" t="e">
        <f>Raw!U606+"h_l!.A="</f>
        <v>#VALUE!</v>
      </c>
      <c r="AV226" t="e">
        <f>Raw!V606+"h_l!.A&gt;"</f>
        <v>#VALUE!</v>
      </c>
      <c r="AW226" t="e">
        <f>Raw!W606+"h_l!.A?"</f>
        <v>#VALUE!</v>
      </c>
      <c r="AX226" t="e">
        <f>Raw!A607+"h_l!.A@"</f>
        <v>#VALUE!</v>
      </c>
      <c r="AY226" t="e">
        <f>Raw!B607+"h_l!.AA"</f>
        <v>#VALUE!</v>
      </c>
      <c r="AZ226" t="e">
        <f>Raw!C607+"h_l!.AB"</f>
        <v>#VALUE!</v>
      </c>
      <c r="BA226" t="e">
        <f>Raw!D607+"h_l!.AC"</f>
        <v>#VALUE!</v>
      </c>
      <c r="BB226" t="e">
        <f>Raw!E607+"h_l!.AD"</f>
        <v>#VALUE!</v>
      </c>
      <c r="BC226" t="e">
        <f>Raw!#REF!+"h_l!.AE"</f>
        <v>#REF!</v>
      </c>
      <c r="BD226" t="e">
        <f>Raw!G607+"h_l!.AF"</f>
        <v>#VALUE!</v>
      </c>
      <c r="BE226" t="e">
        <f>Raw!H607+"h_l!.AG"</f>
        <v>#VALUE!</v>
      </c>
      <c r="BF226" t="e">
        <f>Raw!I607+"h_l!.AH"</f>
        <v>#VALUE!</v>
      </c>
      <c r="BG226" t="e">
        <f>Raw!J607+"h_l!.AI"</f>
        <v>#VALUE!</v>
      </c>
      <c r="BH226" t="e">
        <f>Raw!K607+"h_l!.AJ"</f>
        <v>#VALUE!</v>
      </c>
      <c r="BI226" t="e">
        <f>Raw!L607+"h_l!.AK"</f>
        <v>#VALUE!</v>
      </c>
      <c r="BJ226" t="e">
        <f>Raw!M607+"h_l!.AL"</f>
        <v>#VALUE!</v>
      </c>
      <c r="BK226" t="e">
        <f>Raw!N607+"h_l!.AM"</f>
        <v>#VALUE!</v>
      </c>
      <c r="BL226" t="e">
        <f>Raw!O607+"h_l!.AN"</f>
        <v>#VALUE!</v>
      </c>
      <c r="BM226" t="e">
        <f>Raw!P607+"h_l!.AO"</f>
        <v>#VALUE!</v>
      </c>
      <c r="BN226" t="e">
        <f>Raw!Q607+"h_l!.AP"</f>
        <v>#VALUE!</v>
      </c>
      <c r="BO226" t="e">
        <f>Raw!R607+"h_l!.AQ"</f>
        <v>#VALUE!</v>
      </c>
      <c r="BP226" t="e">
        <f>Raw!S607+"h_l!.AR"</f>
        <v>#VALUE!</v>
      </c>
      <c r="BQ226" t="e">
        <f>Raw!T607+"h_l!.AS"</f>
        <v>#VALUE!</v>
      </c>
      <c r="BR226" t="e">
        <f>Raw!U607+"h_l!.AT"</f>
        <v>#VALUE!</v>
      </c>
      <c r="BS226" t="e">
        <f>Raw!V607+"h_l!.AU"</f>
        <v>#VALUE!</v>
      </c>
      <c r="BT226" t="e">
        <f>Raw!W607+"h_l!.AV"</f>
        <v>#VALUE!</v>
      </c>
      <c r="BU226" t="e">
        <f>Raw!A608+"h_l!.AW"</f>
        <v>#VALUE!</v>
      </c>
      <c r="BV226" t="e">
        <f>Raw!B608+"h_l!.AX"</f>
        <v>#VALUE!</v>
      </c>
      <c r="BW226" t="e">
        <f>Raw!C608+"h_l!.AY"</f>
        <v>#VALUE!</v>
      </c>
      <c r="BX226" t="e">
        <f>Raw!D608+"h_l!.AZ"</f>
        <v>#VALUE!</v>
      </c>
      <c r="BY226" t="e">
        <f>Raw!E608+"h_l!.A["</f>
        <v>#VALUE!</v>
      </c>
      <c r="BZ226" t="e">
        <f>Raw!#REF!+"h_l!.A\"</f>
        <v>#REF!</v>
      </c>
      <c r="CA226" t="e">
        <f>Raw!G608+"h_l!.A]"</f>
        <v>#VALUE!</v>
      </c>
      <c r="CB226" t="e">
        <f>Raw!H608+"h_l!.A^"</f>
        <v>#VALUE!</v>
      </c>
      <c r="CC226" t="e">
        <f>Raw!I608+"h_l!.A_"</f>
        <v>#VALUE!</v>
      </c>
      <c r="CD226" t="e">
        <f>Raw!J608+"h_l!.A`"</f>
        <v>#VALUE!</v>
      </c>
      <c r="CE226" t="e">
        <f>Raw!K608+"h_l!.Aa"</f>
        <v>#VALUE!</v>
      </c>
      <c r="CF226" t="e">
        <f>Raw!L608+"h_l!.Ab"</f>
        <v>#VALUE!</v>
      </c>
      <c r="CG226" t="e">
        <f>Raw!M608+"h_l!.Ac"</f>
        <v>#VALUE!</v>
      </c>
      <c r="CH226" t="e">
        <f>Raw!N608+"h_l!.Ad"</f>
        <v>#VALUE!</v>
      </c>
      <c r="CI226" t="e">
        <f>Raw!O608+"h_l!.Ae"</f>
        <v>#VALUE!</v>
      </c>
      <c r="CJ226" t="e">
        <f>Raw!P608+"h_l!.Af"</f>
        <v>#VALUE!</v>
      </c>
      <c r="CK226" t="e">
        <f>Raw!Q608+"h_l!.Ag"</f>
        <v>#VALUE!</v>
      </c>
      <c r="CL226" t="e">
        <f>Raw!R608+"h_l!.Ah"</f>
        <v>#VALUE!</v>
      </c>
      <c r="CM226" t="e">
        <f>Raw!S608+"h_l!.Ai"</f>
        <v>#VALUE!</v>
      </c>
      <c r="CN226" t="e">
        <f>Raw!T608+"h_l!.Aj"</f>
        <v>#VALUE!</v>
      </c>
      <c r="CO226" t="e">
        <f>Raw!U608+"h_l!.Ak"</f>
        <v>#VALUE!</v>
      </c>
      <c r="CP226" t="e">
        <f>Raw!V608+"h_l!.Al"</f>
        <v>#VALUE!</v>
      </c>
      <c r="CQ226" t="e">
        <f>Raw!W608+"h_l!.Am"</f>
        <v>#VALUE!</v>
      </c>
      <c r="CR226" t="e">
        <f>Raw!A609+"h_l!.An"</f>
        <v>#VALUE!</v>
      </c>
      <c r="CS226" t="e">
        <f>Raw!B609+"h_l!.Ao"</f>
        <v>#VALUE!</v>
      </c>
      <c r="CT226" t="e">
        <f>Raw!C609+"h_l!.Ap"</f>
        <v>#VALUE!</v>
      </c>
      <c r="CU226" t="e">
        <f>Raw!D609+"h_l!.Aq"</f>
        <v>#VALUE!</v>
      </c>
      <c r="CV226" t="e">
        <f>Raw!E609+"h_l!.Ar"</f>
        <v>#VALUE!</v>
      </c>
      <c r="CW226" t="e">
        <f>Raw!#REF!+"h_l!.As"</f>
        <v>#REF!</v>
      </c>
      <c r="CX226" t="e">
        <f>Raw!G609+"h_l!.At"</f>
        <v>#VALUE!</v>
      </c>
      <c r="CY226" t="e">
        <f>Raw!H609+"h_l!.Au"</f>
        <v>#VALUE!</v>
      </c>
      <c r="CZ226" t="e">
        <f>Raw!I609+"h_l!.Av"</f>
        <v>#VALUE!</v>
      </c>
      <c r="DA226" t="e">
        <f>Raw!J609+"h_l!.Aw"</f>
        <v>#VALUE!</v>
      </c>
      <c r="DB226" t="e">
        <f>Raw!K609+"h_l!.Ax"</f>
        <v>#VALUE!</v>
      </c>
      <c r="DC226" t="e">
        <f>Raw!L609+"h_l!.Ay"</f>
        <v>#VALUE!</v>
      </c>
      <c r="DD226" t="e">
        <f>Raw!M609+"h_l!.Az"</f>
        <v>#VALUE!</v>
      </c>
      <c r="DE226" t="e">
        <f>Raw!N609+"h_l!.A{"</f>
        <v>#VALUE!</v>
      </c>
      <c r="DF226" t="e">
        <f>Raw!O609+"h_l!.A|"</f>
        <v>#VALUE!</v>
      </c>
      <c r="DG226" t="e">
        <f>Raw!P609+"h_l!.A}"</f>
        <v>#VALUE!</v>
      </c>
      <c r="DH226" t="e">
        <f>Raw!Q609+"h_l!.A~"</f>
        <v>#VALUE!</v>
      </c>
      <c r="DI226" t="e">
        <f>Raw!R609+"h_l!.B#"</f>
        <v>#VALUE!</v>
      </c>
      <c r="DJ226" t="e">
        <f>Raw!S609+"h_l!.B$"</f>
        <v>#VALUE!</v>
      </c>
      <c r="DK226" t="e">
        <f>Raw!T609+"h_l!.B%"</f>
        <v>#VALUE!</v>
      </c>
      <c r="DL226" t="e">
        <f>Raw!U609+"h_l!.B&amp;"</f>
        <v>#VALUE!</v>
      </c>
      <c r="DM226" t="e">
        <f>Raw!V609+"h_l!.B'"</f>
        <v>#VALUE!</v>
      </c>
      <c r="DN226" t="e">
        <f>Raw!W609+"h_l!.B("</f>
        <v>#VALUE!</v>
      </c>
      <c r="DO226" t="e">
        <f>Raw!A610+"h_l!.B)"</f>
        <v>#VALUE!</v>
      </c>
      <c r="DP226" t="e">
        <f>Raw!B610+"h_l!.B."</f>
        <v>#VALUE!</v>
      </c>
      <c r="DQ226" t="e">
        <f>Raw!C610+"h_l!.B/"</f>
        <v>#VALUE!</v>
      </c>
      <c r="DR226" t="e">
        <f>Raw!D610+"h_l!.B0"</f>
        <v>#VALUE!</v>
      </c>
      <c r="DS226" t="e">
        <f>Raw!E610+"h_l!.B1"</f>
        <v>#VALUE!</v>
      </c>
      <c r="DT226" t="e">
        <f>Raw!#REF!+"h_l!.B2"</f>
        <v>#REF!</v>
      </c>
      <c r="DU226" t="e">
        <f>Raw!G610+"h_l!.B3"</f>
        <v>#VALUE!</v>
      </c>
      <c r="DV226" t="e">
        <f>Raw!H610+"h_l!.B4"</f>
        <v>#VALUE!</v>
      </c>
      <c r="DW226" t="e">
        <f>Raw!I610+"h_l!.B5"</f>
        <v>#VALUE!</v>
      </c>
      <c r="DX226" t="e">
        <f>Raw!J610+"h_l!.B6"</f>
        <v>#VALUE!</v>
      </c>
      <c r="DY226" t="e">
        <f>Raw!K610+"h_l!.B7"</f>
        <v>#VALUE!</v>
      </c>
      <c r="DZ226" t="e">
        <f>Raw!L610+"h_l!.B8"</f>
        <v>#VALUE!</v>
      </c>
      <c r="EA226" t="e">
        <f>Raw!M610+"h_l!.B9"</f>
        <v>#VALUE!</v>
      </c>
      <c r="EB226" t="e">
        <f>Raw!N610+"h_l!.B:"</f>
        <v>#VALUE!</v>
      </c>
      <c r="EC226" t="e">
        <f>Raw!O610+"h_l!.B;"</f>
        <v>#VALUE!</v>
      </c>
      <c r="ED226" t="e">
        <f>Raw!P610+"h_l!.B&lt;"</f>
        <v>#VALUE!</v>
      </c>
      <c r="EE226" t="e">
        <f>Raw!Q610+"h_l!.B="</f>
        <v>#VALUE!</v>
      </c>
      <c r="EF226" t="e">
        <f>Raw!R610+"h_l!.B&gt;"</f>
        <v>#VALUE!</v>
      </c>
      <c r="EG226" t="e">
        <f>Raw!S610+"h_l!.B?"</f>
        <v>#VALUE!</v>
      </c>
      <c r="EH226" t="e">
        <f>Raw!T610+"h_l!.B@"</f>
        <v>#VALUE!</v>
      </c>
      <c r="EI226" t="e">
        <f>Raw!U610+"h_l!.BA"</f>
        <v>#VALUE!</v>
      </c>
      <c r="EJ226" t="e">
        <f>Raw!V610+"h_l!.BB"</f>
        <v>#VALUE!</v>
      </c>
      <c r="EK226" t="e">
        <f>Raw!W610+"h_l!.BC"</f>
        <v>#VALUE!</v>
      </c>
      <c r="EL226" t="e">
        <f>Raw!A611+"h_l!.BD"</f>
        <v>#VALUE!</v>
      </c>
      <c r="EM226" t="e">
        <f>Raw!B611+"h_l!.BE"</f>
        <v>#VALUE!</v>
      </c>
      <c r="EN226" t="e">
        <f>Raw!C611+"h_l!.BF"</f>
        <v>#VALUE!</v>
      </c>
      <c r="EO226" t="e">
        <f>Raw!D611+"h_l!.BG"</f>
        <v>#VALUE!</v>
      </c>
      <c r="EP226" t="e">
        <f>Raw!E611+"h_l!.BH"</f>
        <v>#VALUE!</v>
      </c>
      <c r="EQ226" t="e">
        <f>Raw!#REF!+"h_l!.BI"</f>
        <v>#REF!</v>
      </c>
      <c r="ER226" t="e">
        <f>Raw!G611+"h_l!.BJ"</f>
        <v>#VALUE!</v>
      </c>
      <c r="ES226" t="e">
        <f>Raw!H611+"h_l!.BK"</f>
        <v>#VALUE!</v>
      </c>
      <c r="ET226" t="e">
        <f>Raw!I611+"h_l!.BL"</f>
        <v>#VALUE!</v>
      </c>
      <c r="EU226" t="e">
        <f>Raw!J611+"h_l!.BM"</f>
        <v>#VALUE!</v>
      </c>
      <c r="EV226" t="e">
        <f>Raw!K611+"h_l!.BN"</f>
        <v>#VALUE!</v>
      </c>
      <c r="EW226" t="e">
        <f>Raw!L611+"h_l!.BO"</f>
        <v>#VALUE!</v>
      </c>
      <c r="EX226" t="e">
        <f>Raw!M611+"h_l!.BP"</f>
        <v>#VALUE!</v>
      </c>
      <c r="EY226" t="e">
        <f>Raw!N611+"h_l!.BQ"</f>
        <v>#VALUE!</v>
      </c>
      <c r="EZ226" t="e">
        <f>Raw!O611+"h_l!.BR"</f>
        <v>#VALUE!</v>
      </c>
      <c r="FA226" t="e">
        <f>Raw!P611+"h_l!.BS"</f>
        <v>#VALUE!</v>
      </c>
      <c r="FB226" t="e">
        <f>Raw!Q611+"h_l!.BT"</f>
        <v>#VALUE!</v>
      </c>
      <c r="FC226" t="e">
        <f>Raw!R611+"h_l!.BU"</f>
        <v>#VALUE!</v>
      </c>
      <c r="FD226" t="e">
        <f>Raw!S611+"h_l!.BV"</f>
        <v>#VALUE!</v>
      </c>
      <c r="FE226" t="e">
        <f>Raw!T611+"h_l!.BW"</f>
        <v>#VALUE!</v>
      </c>
      <c r="FF226" t="e">
        <f>Raw!U611+"h_l!.BX"</f>
        <v>#VALUE!</v>
      </c>
      <c r="FG226" t="e">
        <f>Raw!V611+"h_l!.BY"</f>
        <v>#VALUE!</v>
      </c>
      <c r="FH226" t="e">
        <f>Raw!W611+"h_l!.BZ"</f>
        <v>#VALUE!</v>
      </c>
      <c r="FI226" t="e">
        <f>Raw!A612+"h_l!.B["</f>
        <v>#VALUE!</v>
      </c>
      <c r="FJ226" t="e">
        <f>Raw!B612+"h_l!.B\"</f>
        <v>#VALUE!</v>
      </c>
      <c r="FK226" t="e">
        <f>Raw!C612+"h_l!.B]"</f>
        <v>#VALUE!</v>
      </c>
      <c r="FL226" t="e">
        <f>Raw!D612+"h_l!.B^"</f>
        <v>#VALUE!</v>
      </c>
      <c r="FM226" t="e">
        <f>Raw!E612+"h_l!.B_"</f>
        <v>#VALUE!</v>
      </c>
      <c r="FN226" t="e">
        <f>Raw!#REF!+"h_l!.B`"</f>
        <v>#REF!</v>
      </c>
      <c r="FO226" t="e">
        <f>Raw!G612+"h_l!.Ba"</f>
        <v>#VALUE!</v>
      </c>
      <c r="FP226" t="e">
        <f>Raw!H612+"h_l!.Bb"</f>
        <v>#VALUE!</v>
      </c>
      <c r="FQ226" t="e">
        <f>Raw!I612+"h_l!.Bc"</f>
        <v>#VALUE!</v>
      </c>
      <c r="FR226" t="e">
        <f>Raw!J612+"h_l!.Bd"</f>
        <v>#VALUE!</v>
      </c>
      <c r="FS226" t="e">
        <f>Raw!K612+"h_l!.Be"</f>
        <v>#VALUE!</v>
      </c>
      <c r="FT226" t="e">
        <f>Raw!L612+"h_l!.Bf"</f>
        <v>#VALUE!</v>
      </c>
      <c r="FU226" t="e">
        <f>Raw!M612+"h_l!.Bg"</f>
        <v>#VALUE!</v>
      </c>
      <c r="FV226" t="e">
        <f>Raw!N612+"h_l!.Bh"</f>
        <v>#VALUE!</v>
      </c>
      <c r="FW226" t="e">
        <f>Raw!O612+"h_l!.Bi"</f>
        <v>#VALUE!</v>
      </c>
      <c r="FX226" t="e">
        <f>Raw!P612+"h_l!.Bj"</f>
        <v>#VALUE!</v>
      </c>
      <c r="FY226" t="e">
        <f>Raw!Q612+"h_l!.Bk"</f>
        <v>#VALUE!</v>
      </c>
      <c r="FZ226" t="e">
        <f>Raw!R612+"h_l!.Bl"</f>
        <v>#VALUE!</v>
      </c>
      <c r="GA226" t="e">
        <f>Raw!S612+"h_l!.Bm"</f>
        <v>#VALUE!</v>
      </c>
      <c r="GB226" t="e">
        <f>Raw!T612+"h_l!.Bn"</f>
        <v>#VALUE!</v>
      </c>
      <c r="GC226" t="e">
        <f>Raw!U612+"h_l!.Bo"</f>
        <v>#VALUE!</v>
      </c>
      <c r="GD226" t="e">
        <f>Raw!V612+"h_l!.Bp"</f>
        <v>#VALUE!</v>
      </c>
      <c r="GE226" t="e">
        <f>Raw!W612+"h_l!.Bq"</f>
        <v>#VALUE!</v>
      </c>
      <c r="GF226" t="e">
        <f>Raw!A613+"h_l!.Br"</f>
        <v>#VALUE!</v>
      </c>
      <c r="GG226" t="e">
        <f>Raw!B613+"h_l!.Bs"</f>
        <v>#VALUE!</v>
      </c>
      <c r="GH226" t="e">
        <f>Raw!C613+"h_l!.Bt"</f>
        <v>#VALUE!</v>
      </c>
      <c r="GI226" t="e">
        <f>Raw!D613+"h_l!.Bu"</f>
        <v>#VALUE!</v>
      </c>
      <c r="GJ226" t="e">
        <f>Raw!E613+"h_l!.Bv"</f>
        <v>#VALUE!</v>
      </c>
      <c r="GK226" t="e">
        <f>Raw!#REF!+"h_l!.Bw"</f>
        <v>#REF!</v>
      </c>
      <c r="GL226" t="e">
        <f>Raw!G613+"h_l!.Bx"</f>
        <v>#VALUE!</v>
      </c>
      <c r="GM226" t="e">
        <f>Raw!H613+"h_l!.By"</f>
        <v>#VALUE!</v>
      </c>
      <c r="GN226" t="e">
        <f>Raw!I613+"h_l!.Bz"</f>
        <v>#VALUE!</v>
      </c>
      <c r="GO226" t="e">
        <f>Raw!J613+"h_l!.B{"</f>
        <v>#VALUE!</v>
      </c>
      <c r="GP226" t="e">
        <f>Raw!K613+"h_l!.B|"</f>
        <v>#VALUE!</v>
      </c>
      <c r="GQ226" t="e">
        <f>Raw!L613+"h_l!.B}"</f>
        <v>#VALUE!</v>
      </c>
      <c r="GR226" t="e">
        <f>Raw!M613+"h_l!.B~"</f>
        <v>#VALUE!</v>
      </c>
      <c r="GS226" t="e">
        <f>Raw!N613+"h_l!.C#"</f>
        <v>#VALUE!</v>
      </c>
      <c r="GT226" t="e">
        <f>Raw!O613+"h_l!.C$"</f>
        <v>#VALUE!</v>
      </c>
      <c r="GU226" t="e">
        <f>Raw!P613+"h_l!.C%"</f>
        <v>#VALUE!</v>
      </c>
      <c r="GV226" t="e">
        <f>Raw!Q613+"h_l!.C&amp;"</f>
        <v>#VALUE!</v>
      </c>
      <c r="GW226" t="e">
        <f>Raw!R613+"h_l!.C'"</f>
        <v>#VALUE!</v>
      </c>
      <c r="GX226" t="e">
        <f>Raw!S613+"h_l!.C("</f>
        <v>#VALUE!</v>
      </c>
      <c r="GY226" t="e">
        <f>Raw!T613+"h_l!.C)"</f>
        <v>#VALUE!</v>
      </c>
      <c r="GZ226" t="e">
        <f>Raw!U613+"h_l!.C."</f>
        <v>#VALUE!</v>
      </c>
      <c r="HA226" t="e">
        <f>Raw!V613+"h_l!.C/"</f>
        <v>#VALUE!</v>
      </c>
      <c r="HB226" t="e">
        <f>Raw!W613+"h_l!.C0"</f>
        <v>#VALUE!</v>
      </c>
      <c r="HC226" t="e">
        <f>Raw!A614+"h_l!.C1"</f>
        <v>#VALUE!</v>
      </c>
      <c r="HD226" t="e">
        <f>Raw!B614+"h_l!.C2"</f>
        <v>#VALUE!</v>
      </c>
      <c r="HE226" t="e">
        <f>Raw!C614+"h_l!.C3"</f>
        <v>#VALUE!</v>
      </c>
      <c r="HF226" t="e">
        <f>Raw!D614+"h_l!.C4"</f>
        <v>#VALUE!</v>
      </c>
      <c r="HG226" t="e">
        <f>Raw!E614+"h_l!.C5"</f>
        <v>#VALUE!</v>
      </c>
      <c r="HH226" t="e">
        <f>Raw!#REF!+"h_l!.C6"</f>
        <v>#REF!</v>
      </c>
      <c r="HI226" t="e">
        <f>Raw!G614+"h_l!.C7"</f>
        <v>#VALUE!</v>
      </c>
      <c r="HJ226" t="e">
        <f>Raw!H614+"h_l!.C8"</f>
        <v>#VALUE!</v>
      </c>
      <c r="HK226" t="e">
        <f>Raw!I614+"h_l!.C9"</f>
        <v>#VALUE!</v>
      </c>
      <c r="HL226" t="e">
        <f>Raw!J614+"h_l!.C:"</f>
        <v>#VALUE!</v>
      </c>
      <c r="HM226" t="e">
        <f>Raw!K614+"h_l!.C;"</f>
        <v>#VALUE!</v>
      </c>
      <c r="HN226" t="e">
        <f>Raw!L614+"h_l!.C&lt;"</f>
        <v>#VALUE!</v>
      </c>
      <c r="HO226" t="e">
        <f>Raw!M614+"h_l!.C="</f>
        <v>#VALUE!</v>
      </c>
      <c r="HP226" t="e">
        <f>Raw!N614+"h_l!.C&gt;"</f>
        <v>#VALUE!</v>
      </c>
      <c r="HQ226" t="e">
        <f>Raw!O614+"h_l!.C?"</f>
        <v>#VALUE!</v>
      </c>
      <c r="HR226" t="e">
        <f>Raw!P614+"h_l!.C@"</f>
        <v>#VALUE!</v>
      </c>
      <c r="HS226" t="e">
        <f>Raw!Q614+"h_l!.CA"</f>
        <v>#VALUE!</v>
      </c>
      <c r="HT226" t="e">
        <f>Raw!R614+"h_l!.CB"</f>
        <v>#VALUE!</v>
      </c>
      <c r="HU226" t="e">
        <f>Raw!S614+"h_l!.CC"</f>
        <v>#VALUE!</v>
      </c>
      <c r="HV226" t="e">
        <f>Raw!T614+"h_l!.CD"</f>
        <v>#VALUE!</v>
      </c>
      <c r="HW226" t="e">
        <f>Raw!U614+"h_l!.CE"</f>
        <v>#VALUE!</v>
      </c>
      <c r="HX226" t="e">
        <f>Raw!V614+"h_l!.CF"</f>
        <v>#VALUE!</v>
      </c>
      <c r="HY226" t="e">
        <f>Raw!W614+"h_l!.CG"</f>
        <v>#VALUE!</v>
      </c>
      <c r="HZ226" t="e">
        <f>Raw!A615+"h_l!.CH"</f>
        <v>#VALUE!</v>
      </c>
      <c r="IA226" t="e">
        <f>Raw!B615+"h_l!.CI"</f>
        <v>#VALUE!</v>
      </c>
      <c r="IB226" t="e">
        <f>Raw!C615+"h_l!.CJ"</f>
        <v>#VALUE!</v>
      </c>
      <c r="IC226" t="e">
        <f>Raw!D615+"h_l!.CK"</f>
        <v>#VALUE!</v>
      </c>
      <c r="ID226" t="e">
        <f>Raw!E615+"h_l!.CL"</f>
        <v>#VALUE!</v>
      </c>
      <c r="IE226" t="e">
        <f>Raw!#REF!+"h_l!.CM"</f>
        <v>#REF!</v>
      </c>
      <c r="IF226" t="e">
        <f>Raw!G615+"h_l!.CN"</f>
        <v>#VALUE!</v>
      </c>
      <c r="IG226" t="e">
        <f>Raw!H615+"h_l!.CO"</f>
        <v>#VALUE!</v>
      </c>
      <c r="IH226" t="e">
        <f>Raw!I615+"h_l!.CP"</f>
        <v>#VALUE!</v>
      </c>
      <c r="II226" t="e">
        <f>Raw!J615+"h_l!.CQ"</f>
        <v>#VALUE!</v>
      </c>
      <c r="IJ226" t="e">
        <f>Raw!K615+"h_l!.CR"</f>
        <v>#VALUE!</v>
      </c>
      <c r="IK226" t="e">
        <f>Raw!L615+"h_l!.CS"</f>
        <v>#VALUE!</v>
      </c>
      <c r="IL226" t="e">
        <f>Raw!M615+"h_l!.CT"</f>
        <v>#VALUE!</v>
      </c>
      <c r="IM226" t="e">
        <f>Raw!N615+"h_l!.CU"</f>
        <v>#VALUE!</v>
      </c>
      <c r="IN226" t="e">
        <f>Raw!O615+"h_l!.CV"</f>
        <v>#VALUE!</v>
      </c>
      <c r="IO226" t="e">
        <f>Raw!P615+"h_l!.CW"</f>
        <v>#VALUE!</v>
      </c>
      <c r="IP226" t="e">
        <f>Raw!Q615+"h_l!.CX"</f>
        <v>#VALUE!</v>
      </c>
      <c r="IQ226" t="e">
        <f>Raw!R615+"h_l!.CY"</f>
        <v>#VALUE!</v>
      </c>
      <c r="IR226" t="e">
        <f>Raw!S615+"h_l!.CZ"</f>
        <v>#VALUE!</v>
      </c>
      <c r="IS226" t="e">
        <f>Raw!T615+"h_l!.C["</f>
        <v>#VALUE!</v>
      </c>
      <c r="IT226" t="e">
        <f>Raw!U615+"h_l!.C\"</f>
        <v>#VALUE!</v>
      </c>
      <c r="IU226" t="e">
        <f>Raw!V615+"h_l!.C]"</f>
        <v>#VALUE!</v>
      </c>
      <c r="IV226" t="e">
        <f>Raw!W615+"h_l!.C^"</f>
        <v>#VALUE!</v>
      </c>
    </row>
    <row r="227" spans="6:256" x14ac:dyDescent="0.25">
      <c r="F227" t="e">
        <f>Raw!A616+"h_l!.C_"</f>
        <v>#VALUE!</v>
      </c>
      <c r="G227" t="e">
        <f>Raw!B616+"h_l!.C`"</f>
        <v>#VALUE!</v>
      </c>
      <c r="H227" t="e">
        <f>Raw!C616+"h_l!.Ca"</f>
        <v>#VALUE!</v>
      </c>
      <c r="I227" t="e">
        <f>Raw!D616+"h_l!.Cb"</f>
        <v>#VALUE!</v>
      </c>
      <c r="J227" t="e">
        <f>Raw!E616+"h_l!.Cc"</f>
        <v>#VALUE!</v>
      </c>
      <c r="K227" t="e">
        <f>Raw!#REF!+"h_l!.Cd"</f>
        <v>#REF!</v>
      </c>
      <c r="L227" t="e">
        <f>Raw!G616+"h_l!.Ce"</f>
        <v>#VALUE!</v>
      </c>
      <c r="M227" t="e">
        <f>Raw!H616+"h_l!.Cf"</f>
        <v>#VALUE!</v>
      </c>
      <c r="N227" t="e">
        <f>Raw!I616+"h_l!.Cg"</f>
        <v>#VALUE!</v>
      </c>
      <c r="O227" t="e">
        <f>Raw!J616+"h_l!.Ch"</f>
        <v>#VALUE!</v>
      </c>
      <c r="P227" t="e">
        <f>Raw!K616+"h_l!.Ci"</f>
        <v>#VALUE!</v>
      </c>
      <c r="Q227" t="e">
        <f>Raw!L616+"h_l!.Cj"</f>
        <v>#VALUE!</v>
      </c>
      <c r="R227" t="e">
        <f>Raw!M616+"h_l!.Ck"</f>
        <v>#VALUE!</v>
      </c>
      <c r="S227" t="e">
        <f>Raw!N616+"h_l!.Cl"</f>
        <v>#VALUE!</v>
      </c>
      <c r="T227" t="e">
        <f>Raw!O616+"h_l!.Cm"</f>
        <v>#VALUE!</v>
      </c>
      <c r="U227" t="e">
        <f>Raw!P616+"h_l!.Cn"</f>
        <v>#VALUE!</v>
      </c>
      <c r="V227" t="e">
        <f>Raw!Q616+"h_l!.Co"</f>
        <v>#VALUE!</v>
      </c>
      <c r="W227" t="e">
        <f>Raw!R616+"h_l!.Cp"</f>
        <v>#VALUE!</v>
      </c>
      <c r="X227" t="e">
        <f>Raw!S616+"h_l!.Cq"</f>
        <v>#VALUE!</v>
      </c>
      <c r="Y227" t="e">
        <f>Raw!T616+"h_l!.Cr"</f>
        <v>#VALUE!</v>
      </c>
      <c r="Z227" t="e">
        <f>Raw!U616+"h_l!.Cs"</f>
        <v>#VALUE!</v>
      </c>
      <c r="AA227" t="e">
        <f>Raw!V616+"h_l!.Ct"</f>
        <v>#VALUE!</v>
      </c>
      <c r="AB227" t="e">
        <f>Raw!W616+"h_l!.Cu"</f>
        <v>#VALUE!</v>
      </c>
      <c r="AC227" t="e">
        <f>Raw!A617+"h_l!.Cv"</f>
        <v>#VALUE!</v>
      </c>
      <c r="AD227" t="e">
        <f>Raw!B617+"h_l!.Cw"</f>
        <v>#VALUE!</v>
      </c>
      <c r="AE227" t="e">
        <f>Raw!C617+"h_l!.Cx"</f>
        <v>#VALUE!</v>
      </c>
      <c r="AF227" t="e">
        <f>Raw!D617+"h_l!.Cy"</f>
        <v>#VALUE!</v>
      </c>
      <c r="AG227" t="e">
        <f>Raw!E617+"h_l!.Cz"</f>
        <v>#VALUE!</v>
      </c>
      <c r="AH227" t="e">
        <f>Raw!#REF!+"h_l!.C{"</f>
        <v>#REF!</v>
      </c>
      <c r="AI227" t="e">
        <f>Raw!G617+"h_l!.C|"</f>
        <v>#VALUE!</v>
      </c>
      <c r="AJ227" t="e">
        <f>Raw!H617+"h_l!.C}"</f>
        <v>#VALUE!</v>
      </c>
      <c r="AK227" t="e">
        <f>Raw!I617+"h_l!.C~"</f>
        <v>#VALUE!</v>
      </c>
      <c r="AL227" t="e">
        <f>Raw!J617+"h_l!.D#"</f>
        <v>#VALUE!</v>
      </c>
      <c r="AM227" t="e">
        <f>Raw!K617+"h_l!.D$"</f>
        <v>#VALUE!</v>
      </c>
      <c r="AN227" t="e">
        <f>Raw!L617+"h_l!.D%"</f>
        <v>#VALUE!</v>
      </c>
      <c r="AO227" t="e">
        <f>Raw!M617+"h_l!.D&amp;"</f>
        <v>#VALUE!</v>
      </c>
      <c r="AP227" t="e">
        <f>Raw!N617+"h_l!.D'"</f>
        <v>#VALUE!</v>
      </c>
      <c r="AQ227" t="e">
        <f>Raw!O617+"h_l!.D("</f>
        <v>#VALUE!</v>
      </c>
      <c r="AR227" t="e">
        <f>Raw!P617+"h_l!.D)"</f>
        <v>#VALUE!</v>
      </c>
      <c r="AS227" t="e">
        <f>Raw!Q617+"h_l!.D."</f>
        <v>#VALUE!</v>
      </c>
      <c r="AT227" t="e">
        <f>Raw!R617+"h_l!.D/"</f>
        <v>#VALUE!</v>
      </c>
      <c r="AU227" t="e">
        <f>Raw!S617+"h_l!.D0"</f>
        <v>#VALUE!</v>
      </c>
      <c r="AV227" t="e">
        <f>Raw!T617+"h_l!.D1"</f>
        <v>#VALUE!</v>
      </c>
      <c r="AW227" t="e">
        <f>Raw!U617+"h_l!.D2"</f>
        <v>#VALUE!</v>
      </c>
      <c r="AX227" t="e">
        <f>Raw!V617+"h_l!.D3"</f>
        <v>#VALUE!</v>
      </c>
      <c r="AY227" t="e">
        <f>Raw!W617+"h_l!.D4"</f>
        <v>#VALUE!</v>
      </c>
      <c r="AZ227" t="e">
        <f>Raw!A618+"h_l!.D5"</f>
        <v>#VALUE!</v>
      </c>
      <c r="BA227" t="e">
        <f>Raw!B618+"h_l!.D6"</f>
        <v>#VALUE!</v>
      </c>
      <c r="BB227" t="e">
        <f>Raw!C618+"h_l!.D7"</f>
        <v>#VALUE!</v>
      </c>
      <c r="BC227" t="e">
        <f>Raw!D618+"h_l!.D8"</f>
        <v>#VALUE!</v>
      </c>
      <c r="BD227" t="e">
        <f>Raw!E618+"h_l!.D9"</f>
        <v>#VALUE!</v>
      </c>
      <c r="BE227" t="e">
        <f>Raw!#REF!+"h_l!.D:"</f>
        <v>#REF!</v>
      </c>
      <c r="BF227" t="e">
        <f>Raw!G618+"h_l!.D;"</f>
        <v>#VALUE!</v>
      </c>
      <c r="BG227" t="e">
        <f>Raw!H618+"h_l!.D&lt;"</f>
        <v>#VALUE!</v>
      </c>
      <c r="BH227" t="e">
        <f>Raw!I618+"h_l!.D="</f>
        <v>#VALUE!</v>
      </c>
      <c r="BI227" t="e">
        <f>Raw!J618+"h_l!.D&gt;"</f>
        <v>#VALUE!</v>
      </c>
      <c r="BJ227" t="e">
        <f>Raw!K618+"h_l!.D?"</f>
        <v>#VALUE!</v>
      </c>
      <c r="BK227" t="e">
        <f>Raw!L618+"h_l!.D@"</f>
        <v>#VALUE!</v>
      </c>
      <c r="BL227" t="e">
        <f>Raw!M618+"h_l!.DA"</f>
        <v>#VALUE!</v>
      </c>
      <c r="BM227" t="e">
        <f>Raw!N618+"h_l!.DB"</f>
        <v>#VALUE!</v>
      </c>
      <c r="BN227" t="e">
        <f>Raw!O618+"h_l!.DC"</f>
        <v>#VALUE!</v>
      </c>
      <c r="BO227" t="e">
        <f>Raw!P618+"h_l!.DD"</f>
        <v>#VALUE!</v>
      </c>
      <c r="BP227" t="e">
        <f>Raw!Q618+"h_l!.DE"</f>
        <v>#VALUE!</v>
      </c>
      <c r="BQ227" t="e">
        <f>Raw!R618+"h_l!.DF"</f>
        <v>#VALUE!</v>
      </c>
      <c r="BR227" t="e">
        <f>Raw!S618+"h_l!.DG"</f>
        <v>#VALUE!</v>
      </c>
      <c r="BS227" t="e">
        <f>Raw!T618+"h_l!.DH"</f>
        <v>#VALUE!</v>
      </c>
      <c r="BT227" t="e">
        <f>Raw!U618+"h_l!.DI"</f>
        <v>#VALUE!</v>
      </c>
      <c r="BU227" t="e">
        <f>Raw!V618+"h_l!.DJ"</f>
        <v>#VALUE!</v>
      </c>
      <c r="BV227" t="e">
        <f>Raw!W618+"h_l!.DK"</f>
        <v>#VALUE!</v>
      </c>
      <c r="BW227" t="e">
        <f>Raw!A619+"h_l!.DL"</f>
        <v>#VALUE!</v>
      </c>
      <c r="BX227" t="e">
        <f>Raw!B619+"h_l!.DM"</f>
        <v>#VALUE!</v>
      </c>
      <c r="BY227" t="e">
        <f>Raw!C619+"h_l!.DN"</f>
        <v>#VALUE!</v>
      </c>
      <c r="BZ227" t="e">
        <f>Raw!D619+"h_l!.DO"</f>
        <v>#VALUE!</v>
      </c>
      <c r="CA227" t="e">
        <f>Raw!E619+"h_l!.DP"</f>
        <v>#VALUE!</v>
      </c>
      <c r="CB227" t="e">
        <f>Raw!#REF!+"h_l!.DQ"</f>
        <v>#REF!</v>
      </c>
      <c r="CC227" t="e">
        <f>Raw!G619+"h_l!.DR"</f>
        <v>#VALUE!</v>
      </c>
      <c r="CD227" t="e">
        <f>Raw!H619+"h_l!.DS"</f>
        <v>#VALUE!</v>
      </c>
      <c r="CE227" t="e">
        <f>Raw!I619+"h_l!.DT"</f>
        <v>#VALUE!</v>
      </c>
      <c r="CF227" t="e">
        <f>Raw!J619+"h_l!.DU"</f>
        <v>#VALUE!</v>
      </c>
      <c r="CG227" t="e">
        <f>Raw!K619+"h_l!.DV"</f>
        <v>#VALUE!</v>
      </c>
      <c r="CH227" t="e">
        <f>Raw!L619+"h_l!.DW"</f>
        <v>#VALUE!</v>
      </c>
      <c r="CI227" t="e">
        <f>Raw!M619+"h_l!.DX"</f>
        <v>#VALUE!</v>
      </c>
      <c r="CJ227" t="e">
        <f>Raw!N619+"h_l!.DY"</f>
        <v>#VALUE!</v>
      </c>
      <c r="CK227" t="e">
        <f>Raw!O619+"h_l!.DZ"</f>
        <v>#VALUE!</v>
      </c>
      <c r="CL227" t="e">
        <f>Raw!P619+"h_l!.D["</f>
        <v>#VALUE!</v>
      </c>
      <c r="CM227" t="e">
        <f>Raw!Q619+"h_l!.D\"</f>
        <v>#VALUE!</v>
      </c>
      <c r="CN227" t="e">
        <f>Raw!R619+"h_l!.D]"</f>
        <v>#VALUE!</v>
      </c>
      <c r="CO227" t="e">
        <f>Raw!S619+"h_l!.D^"</f>
        <v>#VALUE!</v>
      </c>
      <c r="CP227" t="e">
        <f>Raw!T619+"h_l!.D_"</f>
        <v>#VALUE!</v>
      </c>
      <c r="CQ227" t="e">
        <f>Raw!U619+"h_l!.D`"</f>
        <v>#VALUE!</v>
      </c>
      <c r="CR227" t="e">
        <f>Raw!V619+"h_l!.Da"</f>
        <v>#VALUE!</v>
      </c>
      <c r="CS227" t="e">
        <f>Raw!W619+"h_l!.Db"</f>
        <v>#VALUE!</v>
      </c>
      <c r="CT227" t="e">
        <f>Raw!A620+"h_l!.Dc"</f>
        <v>#VALUE!</v>
      </c>
      <c r="CU227" t="e">
        <f>Raw!B620+"h_l!.Dd"</f>
        <v>#VALUE!</v>
      </c>
      <c r="CV227" t="e">
        <f>Raw!C620+"h_l!.De"</f>
        <v>#VALUE!</v>
      </c>
      <c r="CW227" t="e">
        <f>Raw!D620+"h_l!.Df"</f>
        <v>#VALUE!</v>
      </c>
      <c r="CX227" t="e">
        <f>Raw!E620+"h_l!.Dg"</f>
        <v>#VALUE!</v>
      </c>
      <c r="CY227" t="e">
        <f>Raw!#REF!+"h_l!.Dh"</f>
        <v>#REF!</v>
      </c>
      <c r="CZ227" t="e">
        <f>Raw!G620+"h_l!.Di"</f>
        <v>#VALUE!</v>
      </c>
      <c r="DA227" t="e">
        <f>Raw!H620+"h_l!.Dj"</f>
        <v>#VALUE!</v>
      </c>
      <c r="DB227" t="e">
        <f>Raw!I620+"h_l!.Dk"</f>
        <v>#VALUE!</v>
      </c>
      <c r="DC227" t="e">
        <f>Raw!J620+"h_l!.Dl"</f>
        <v>#VALUE!</v>
      </c>
      <c r="DD227" t="e">
        <f>Raw!K620+"h_l!.Dm"</f>
        <v>#VALUE!</v>
      </c>
      <c r="DE227" t="e">
        <f>Raw!L620+"h_l!.Dn"</f>
        <v>#VALUE!</v>
      </c>
      <c r="DF227" t="e">
        <f>Raw!M620+"h_l!.Do"</f>
        <v>#VALUE!</v>
      </c>
      <c r="DG227" t="e">
        <f>Raw!N620+"h_l!.Dp"</f>
        <v>#VALUE!</v>
      </c>
      <c r="DH227" t="e">
        <f>Raw!O620+"h_l!.Dq"</f>
        <v>#VALUE!</v>
      </c>
      <c r="DI227" t="e">
        <f>Raw!P620+"h_l!.Dr"</f>
        <v>#VALUE!</v>
      </c>
      <c r="DJ227" t="e">
        <f>Raw!Q620+"h_l!.Ds"</f>
        <v>#VALUE!</v>
      </c>
      <c r="DK227" t="e">
        <f>Raw!R620+"h_l!.Dt"</f>
        <v>#VALUE!</v>
      </c>
      <c r="DL227" t="e">
        <f>Raw!S620+"h_l!.Du"</f>
        <v>#VALUE!</v>
      </c>
      <c r="DM227" t="e">
        <f>Raw!T620+"h_l!.Dv"</f>
        <v>#VALUE!</v>
      </c>
      <c r="DN227" t="e">
        <f>Raw!U620+"h_l!.Dw"</f>
        <v>#VALUE!</v>
      </c>
      <c r="DO227" t="e">
        <f>Raw!V620+"h_l!.Dx"</f>
        <v>#VALUE!</v>
      </c>
      <c r="DP227" t="e">
        <f>Raw!W620+"h_l!.Dy"</f>
        <v>#VALUE!</v>
      </c>
      <c r="DQ227" t="e">
        <f>Raw!A621+"h_l!.Dz"</f>
        <v>#VALUE!</v>
      </c>
      <c r="DR227" t="e">
        <f>Raw!B621+"h_l!.D{"</f>
        <v>#VALUE!</v>
      </c>
      <c r="DS227" t="e">
        <f>Raw!C621+"h_l!.D|"</f>
        <v>#VALUE!</v>
      </c>
      <c r="DT227" t="e">
        <f>Raw!D621+"h_l!.D}"</f>
        <v>#VALUE!</v>
      </c>
      <c r="DU227" t="e">
        <f>Raw!E621+"h_l!.D~"</f>
        <v>#VALUE!</v>
      </c>
      <c r="DV227" t="e">
        <f>Raw!#REF!+"h_l!.E#"</f>
        <v>#REF!</v>
      </c>
      <c r="DW227" t="e">
        <f>Raw!G621+"h_l!.E$"</f>
        <v>#VALUE!</v>
      </c>
      <c r="DX227" t="e">
        <f>Raw!H621+"h_l!.E%"</f>
        <v>#VALUE!</v>
      </c>
      <c r="DY227" t="e">
        <f>Raw!I621+"h_l!.E&amp;"</f>
        <v>#VALUE!</v>
      </c>
      <c r="DZ227" t="e">
        <f>Raw!J621+"h_l!.E'"</f>
        <v>#VALUE!</v>
      </c>
      <c r="EA227" t="e">
        <f>Raw!K621+"h_l!.E("</f>
        <v>#VALUE!</v>
      </c>
      <c r="EB227" t="e">
        <f>Raw!L621+"h_l!.E)"</f>
        <v>#VALUE!</v>
      </c>
      <c r="EC227" t="e">
        <f>Raw!M621+"h_l!.E."</f>
        <v>#VALUE!</v>
      </c>
      <c r="ED227" t="e">
        <f>Raw!N621+"h_l!.E/"</f>
        <v>#VALUE!</v>
      </c>
      <c r="EE227" t="e">
        <f>Raw!O621+"h_l!.E0"</f>
        <v>#VALUE!</v>
      </c>
      <c r="EF227" t="e">
        <f>Raw!P621+"h_l!.E1"</f>
        <v>#VALUE!</v>
      </c>
      <c r="EG227" t="e">
        <f>Raw!Q621+"h_l!.E2"</f>
        <v>#VALUE!</v>
      </c>
      <c r="EH227" t="e">
        <f>Raw!R621+"h_l!.E3"</f>
        <v>#VALUE!</v>
      </c>
      <c r="EI227" t="e">
        <f>Raw!S621+"h_l!.E4"</f>
        <v>#VALUE!</v>
      </c>
      <c r="EJ227" t="e">
        <f>Raw!T621+"h_l!.E5"</f>
        <v>#VALUE!</v>
      </c>
      <c r="EK227" t="e">
        <f>Raw!U621+"h_l!.E6"</f>
        <v>#VALUE!</v>
      </c>
      <c r="EL227" t="e">
        <f>Raw!V621+"h_l!.E7"</f>
        <v>#VALUE!</v>
      </c>
      <c r="EM227" t="e">
        <f>Raw!W621+"h_l!.E8"</f>
        <v>#VALUE!</v>
      </c>
      <c r="EN227" t="e">
        <f>Raw!A622+"h_l!.E9"</f>
        <v>#VALUE!</v>
      </c>
      <c r="EO227" t="e">
        <f>Raw!B622+"h_l!.E:"</f>
        <v>#VALUE!</v>
      </c>
      <c r="EP227" t="e">
        <f>Raw!C622+"h_l!.E;"</f>
        <v>#VALUE!</v>
      </c>
      <c r="EQ227" t="e">
        <f>Raw!D622+"h_l!.E&lt;"</f>
        <v>#VALUE!</v>
      </c>
      <c r="ER227" t="e">
        <f>Raw!E622+"h_l!.E="</f>
        <v>#VALUE!</v>
      </c>
      <c r="ES227" t="e">
        <f>Raw!#REF!+"h_l!.E&gt;"</f>
        <v>#REF!</v>
      </c>
      <c r="ET227" t="e">
        <f>Raw!G622+"h_l!.E?"</f>
        <v>#VALUE!</v>
      </c>
      <c r="EU227" t="e">
        <f>Raw!H622+"h_l!.E@"</f>
        <v>#VALUE!</v>
      </c>
      <c r="EV227" t="e">
        <f>Raw!I622+"h_l!.EA"</f>
        <v>#VALUE!</v>
      </c>
      <c r="EW227" t="e">
        <f>Raw!J622+"h_l!.EB"</f>
        <v>#VALUE!</v>
      </c>
      <c r="EX227" t="e">
        <f>Raw!K622+"h_l!.EC"</f>
        <v>#VALUE!</v>
      </c>
      <c r="EY227" t="e">
        <f>Raw!L622+"h_l!.ED"</f>
        <v>#VALUE!</v>
      </c>
      <c r="EZ227" t="e">
        <f>Raw!M622+"h_l!.EE"</f>
        <v>#VALUE!</v>
      </c>
      <c r="FA227" t="e">
        <f>Raw!N622+"h_l!.EF"</f>
        <v>#VALUE!</v>
      </c>
      <c r="FB227" t="e">
        <f>Raw!O622+"h_l!.EG"</f>
        <v>#VALUE!</v>
      </c>
      <c r="FC227" t="e">
        <f>Raw!P622+"h_l!.EH"</f>
        <v>#VALUE!</v>
      </c>
      <c r="FD227" t="e">
        <f>Raw!Q622+"h_l!.EI"</f>
        <v>#VALUE!</v>
      </c>
      <c r="FE227" t="e">
        <f>Raw!R622+"h_l!.EJ"</f>
        <v>#VALUE!</v>
      </c>
      <c r="FF227" t="e">
        <f>Raw!S622+"h_l!.EK"</f>
        <v>#VALUE!</v>
      </c>
      <c r="FG227" t="e">
        <f>Raw!T622+"h_l!.EL"</f>
        <v>#VALUE!</v>
      </c>
      <c r="FH227" t="e">
        <f>Raw!U622+"h_l!.EM"</f>
        <v>#VALUE!</v>
      </c>
      <c r="FI227" t="e">
        <f>Raw!V622+"h_l!.EN"</f>
        <v>#VALUE!</v>
      </c>
      <c r="FJ227" t="e">
        <f>Raw!W622+"h_l!.EO"</f>
        <v>#VALUE!</v>
      </c>
      <c r="FK227" t="e">
        <f>Raw!A623+"h_l!.EP"</f>
        <v>#VALUE!</v>
      </c>
      <c r="FL227" t="e">
        <f>Raw!B623+"h_l!.EQ"</f>
        <v>#VALUE!</v>
      </c>
      <c r="FM227" t="e">
        <f>Raw!C623+"h_l!.ER"</f>
        <v>#VALUE!</v>
      </c>
      <c r="FN227" t="e">
        <f>Raw!D623+"h_l!.ES"</f>
        <v>#VALUE!</v>
      </c>
      <c r="FO227" t="e">
        <f>Raw!E623+"h_l!.ET"</f>
        <v>#VALUE!</v>
      </c>
      <c r="FP227" t="e">
        <f>Raw!#REF!+"h_l!.EU"</f>
        <v>#REF!</v>
      </c>
      <c r="FQ227" t="e">
        <f>Raw!G623+"h_l!.EV"</f>
        <v>#VALUE!</v>
      </c>
      <c r="FR227" t="e">
        <f>Raw!H623+"h_l!.EW"</f>
        <v>#VALUE!</v>
      </c>
      <c r="FS227" t="e">
        <f>Raw!I623+"h_l!.EX"</f>
        <v>#VALUE!</v>
      </c>
      <c r="FT227" t="e">
        <f>Raw!J623+"h_l!.EY"</f>
        <v>#VALUE!</v>
      </c>
      <c r="FU227" t="e">
        <f>Raw!K623+"h_l!.EZ"</f>
        <v>#VALUE!</v>
      </c>
      <c r="FV227" t="e">
        <f>Raw!L623+"h_l!.E["</f>
        <v>#VALUE!</v>
      </c>
      <c r="FW227" t="e">
        <f>Raw!M623+"h_l!.E\"</f>
        <v>#VALUE!</v>
      </c>
      <c r="FX227" t="e">
        <f>Raw!N623+"h_l!.E]"</f>
        <v>#VALUE!</v>
      </c>
      <c r="FY227" t="e">
        <f>Raw!O623+"h_l!.E^"</f>
        <v>#VALUE!</v>
      </c>
      <c r="FZ227" t="e">
        <f>Raw!P623+"h_l!.E_"</f>
        <v>#VALUE!</v>
      </c>
      <c r="GA227" t="e">
        <f>Raw!Q623+"h_l!.E`"</f>
        <v>#VALUE!</v>
      </c>
      <c r="GB227" t="e">
        <f>Raw!R623+"h_l!.Ea"</f>
        <v>#VALUE!</v>
      </c>
      <c r="GC227" t="e">
        <f>Raw!S623+"h_l!.Eb"</f>
        <v>#VALUE!</v>
      </c>
      <c r="GD227" t="e">
        <f>Raw!T623+"h_l!.Ec"</f>
        <v>#VALUE!</v>
      </c>
      <c r="GE227" t="e">
        <f>Raw!U623+"h_l!.Ed"</f>
        <v>#VALUE!</v>
      </c>
      <c r="GF227" t="e">
        <f>Raw!V623+"h_l!.Ee"</f>
        <v>#VALUE!</v>
      </c>
      <c r="GG227" t="e">
        <f>Raw!W623+"h_l!.Ef"</f>
        <v>#VALUE!</v>
      </c>
      <c r="GH227" t="e">
        <f>Raw!A624+"h_l!.Eg"</f>
        <v>#VALUE!</v>
      </c>
      <c r="GI227" t="e">
        <f>Raw!B624+"h_l!.Eh"</f>
        <v>#VALUE!</v>
      </c>
      <c r="GJ227" t="e">
        <f>Raw!C624+"h_l!.Ei"</f>
        <v>#VALUE!</v>
      </c>
      <c r="GK227" t="e">
        <f>Raw!D624+"h_l!.Ej"</f>
        <v>#VALUE!</v>
      </c>
      <c r="GL227" t="e">
        <f>Raw!E624+"h_l!.Ek"</f>
        <v>#VALUE!</v>
      </c>
      <c r="GM227" t="e">
        <f>Raw!#REF!+"h_l!.El"</f>
        <v>#REF!</v>
      </c>
      <c r="GN227" t="e">
        <f>Raw!G624+"h_l!.Em"</f>
        <v>#VALUE!</v>
      </c>
      <c r="GO227" t="e">
        <f>Raw!H624+"h_l!.En"</f>
        <v>#VALUE!</v>
      </c>
      <c r="GP227" t="e">
        <f>Raw!I624+"h_l!.Eo"</f>
        <v>#VALUE!</v>
      </c>
      <c r="GQ227" t="e">
        <f>Raw!J624+"h_l!.Ep"</f>
        <v>#VALUE!</v>
      </c>
      <c r="GR227" t="e">
        <f>Raw!K624+"h_l!.Eq"</f>
        <v>#VALUE!</v>
      </c>
      <c r="GS227" t="e">
        <f>Raw!L624+"h_l!.Er"</f>
        <v>#VALUE!</v>
      </c>
      <c r="GT227" t="e">
        <f>Raw!M624+"h_l!.Es"</f>
        <v>#VALUE!</v>
      </c>
      <c r="GU227" t="e">
        <f>Raw!N624+"h_l!.Et"</f>
        <v>#VALUE!</v>
      </c>
      <c r="GV227" t="e">
        <f>Raw!O624+"h_l!.Eu"</f>
        <v>#VALUE!</v>
      </c>
      <c r="GW227" t="e">
        <f>Raw!P624+"h_l!.Ev"</f>
        <v>#VALUE!</v>
      </c>
      <c r="GX227" t="e">
        <f>Raw!Q624+"h_l!.Ew"</f>
        <v>#VALUE!</v>
      </c>
      <c r="GY227" t="e">
        <f>Raw!R624+"h_l!.Ex"</f>
        <v>#VALUE!</v>
      </c>
      <c r="GZ227" t="e">
        <f>Raw!S624+"h_l!.Ey"</f>
        <v>#VALUE!</v>
      </c>
      <c r="HA227" t="e">
        <f>Raw!T624+"h_l!.Ez"</f>
        <v>#VALUE!</v>
      </c>
      <c r="HB227" t="e">
        <f>Raw!U624+"h_l!.E{"</f>
        <v>#VALUE!</v>
      </c>
      <c r="HC227" t="e">
        <f>Raw!V624+"h_l!.E|"</f>
        <v>#VALUE!</v>
      </c>
      <c r="HD227" t="e">
        <f>Raw!W624+"h_l!.E}"</f>
        <v>#VALUE!</v>
      </c>
      <c r="HE227" t="e">
        <f>Raw!A625+"h_l!.E~"</f>
        <v>#VALUE!</v>
      </c>
      <c r="HF227" t="e">
        <f>Raw!B625+"h_l!.F#"</f>
        <v>#VALUE!</v>
      </c>
      <c r="HG227" t="e">
        <f>Raw!C625+"h_l!.F$"</f>
        <v>#VALUE!</v>
      </c>
      <c r="HH227" t="e">
        <f>Raw!D625+"h_l!.F%"</f>
        <v>#VALUE!</v>
      </c>
      <c r="HI227" t="e">
        <f>Raw!E625+"h_l!.F&amp;"</f>
        <v>#VALUE!</v>
      </c>
      <c r="HJ227" t="e">
        <f>Raw!#REF!+"h_l!.F'"</f>
        <v>#REF!</v>
      </c>
      <c r="HK227" t="e">
        <f>Raw!G625+"h_l!.F("</f>
        <v>#VALUE!</v>
      </c>
      <c r="HL227" t="e">
        <f>Raw!H625+"h_l!.F)"</f>
        <v>#VALUE!</v>
      </c>
      <c r="HM227" t="e">
        <f>Raw!I625+"h_l!.F."</f>
        <v>#VALUE!</v>
      </c>
      <c r="HN227" t="e">
        <f>Raw!J625+"h_l!.F/"</f>
        <v>#VALUE!</v>
      </c>
      <c r="HO227" t="e">
        <f>Raw!K625+"h_l!.F0"</f>
        <v>#VALUE!</v>
      </c>
      <c r="HP227" t="e">
        <f>Raw!L625+"h_l!.F1"</f>
        <v>#VALUE!</v>
      </c>
      <c r="HQ227" t="e">
        <f>Raw!M625+"h_l!.F2"</f>
        <v>#VALUE!</v>
      </c>
      <c r="HR227" t="e">
        <f>Raw!N625+"h_l!.F3"</f>
        <v>#VALUE!</v>
      </c>
      <c r="HS227" t="e">
        <f>Raw!O625+"h_l!.F4"</f>
        <v>#VALUE!</v>
      </c>
      <c r="HT227" t="e">
        <f>Raw!P625+"h_l!.F5"</f>
        <v>#VALUE!</v>
      </c>
      <c r="HU227" t="e">
        <f>Raw!Q625+"h_l!.F6"</f>
        <v>#VALUE!</v>
      </c>
      <c r="HV227" t="e">
        <f>Raw!R625+"h_l!.F7"</f>
        <v>#VALUE!</v>
      </c>
      <c r="HW227" t="e">
        <f>Raw!S625+"h_l!.F8"</f>
        <v>#VALUE!</v>
      </c>
      <c r="HX227" t="e">
        <f>Raw!T625+"h_l!.F9"</f>
        <v>#VALUE!</v>
      </c>
      <c r="HY227" t="e">
        <f>Raw!U625+"h_l!.F:"</f>
        <v>#VALUE!</v>
      </c>
      <c r="HZ227" t="e">
        <f>Raw!V625+"h_l!.F;"</f>
        <v>#VALUE!</v>
      </c>
      <c r="IA227" t="e">
        <f>Raw!W625+"h_l!.F&lt;"</f>
        <v>#VALUE!</v>
      </c>
      <c r="IB227" t="e">
        <f>Raw!A626+"h_l!.F="</f>
        <v>#VALUE!</v>
      </c>
      <c r="IC227" t="e">
        <f>Raw!B626+"h_l!.F&gt;"</f>
        <v>#VALUE!</v>
      </c>
      <c r="ID227" t="e">
        <f>Raw!C626+"h_l!.F?"</f>
        <v>#VALUE!</v>
      </c>
      <c r="IE227" t="e">
        <f>Raw!D626+"h_l!.F@"</f>
        <v>#VALUE!</v>
      </c>
      <c r="IF227" t="e">
        <f>Raw!E626+"h_l!.FA"</f>
        <v>#VALUE!</v>
      </c>
      <c r="IG227" t="e">
        <f>Raw!#REF!+"h_l!.FB"</f>
        <v>#REF!</v>
      </c>
      <c r="IH227" t="e">
        <f>Raw!G626+"h_l!.FC"</f>
        <v>#VALUE!</v>
      </c>
      <c r="II227" t="e">
        <f>Raw!H626+"h_l!.FD"</f>
        <v>#VALUE!</v>
      </c>
      <c r="IJ227" t="e">
        <f>Raw!I626+"h_l!.FE"</f>
        <v>#VALUE!</v>
      </c>
      <c r="IK227" t="e">
        <f>Raw!J626+"h_l!.FF"</f>
        <v>#VALUE!</v>
      </c>
      <c r="IL227" t="e">
        <f>Raw!K626+"h_l!.FG"</f>
        <v>#VALUE!</v>
      </c>
      <c r="IM227" t="e">
        <f>Raw!L626+"h_l!.FH"</f>
        <v>#VALUE!</v>
      </c>
      <c r="IN227" t="e">
        <f>Raw!M626+"h_l!.FI"</f>
        <v>#VALUE!</v>
      </c>
      <c r="IO227" t="e">
        <f>Raw!N626+"h_l!.FJ"</f>
        <v>#VALUE!</v>
      </c>
      <c r="IP227" t="e">
        <f>Raw!O626+"h_l!.FK"</f>
        <v>#VALUE!</v>
      </c>
      <c r="IQ227" t="e">
        <f>Raw!P626+"h_l!.FL"</f>
        <v>#VALUE!</v>
      </c>
      <c r="IR227" t="e">
        <f>Raw!Q626+"h_l!.FM"</f>
        <v>#VALUE!</v>
      </c>
      <c r="IS227" t="e">
        <f>Raw!R626+"h_l!.FN"</f>
        <v>#VALUE!</v>
      </c>
      <c r="IT227" t="e">
        <f>Raw!S626+"h_l!.FO"</f>
        <v>#VALUE!</v>
      </c>
      <c r="IU227" t="e">
        <f>Raw!T626+"h_l!.FP"</f>
        <v>#VALUE!</v>
      </c>
      <c r="IV227" t="e">
        <f>Raw!U626+"h_l!.FQ"</f>
        <v>#VALUE!</v>
      </c>
    </row>
    <row r="228" spans="6:256" x14ac:dyDescent="0.25">
      <c r="F228" t="e">
        <f>Raw!V626+"h_l!.FR"</f>
        <v>#VALUE!</v>
      </c>
      <c r="G228" t="e">
        <f>Raw!W626+"h_l!.FS"</f>
        <v>#VALUE!</v>
      </c>
      <c r="H228" t="e">
        <f>Raw!A627+"h_l!.FT"</f>
        <v>#VALUE!</v>
      </c>
      <c r="I228" t="e">
        <f>Raw!B627+"h_l!.FU"</f>
        <v>#VALUE!</v>
      </c>
      <c r="J228" t="e">
        <f>Raw!C627+"h_l!.FV"</f>
        <v>#VALUE!</v>
      </c>
      <c r="K228" t="e">
        <f>Raw!D627+"h_l!.FW"</f>
        <v>#VALUE!</v>
      </c>
      <c r="L228" t="e">
        <f>Raw!E627+"h_l!.FX"</f>
        <v>#VALUE!</v>
      </c>
      <c r="M228" t="e">
        <f>Raw!#REF!+"h_l!.FY"</f>
        <v>#REF!</v>
      </c>
      <c r="N228" t="e">
        <f>Raw!G627+"h_l!.FZ"</f>
        <v>#VALUE!</v>
      </c>
      <c r="O228" t="e">
        <f>Raw!H627+"h_l!.F["</f>
        <v>#VALUE!</v>
      </c>
      <c r="P228" t="e">
        <f>Raw!I627+"h_l!.F\"</f>
        <v>#VALUE!</v>
      </c>
      <c r="Q228" t="e">
        <f>Raw!J627+"h_l!.F]"</f>
        <v>#VALUE!</v>
      </c>
      <c r="R228" t="e">
        <f>Raw!K627+"h_l!.F^"</f>
        <v>#VALUE!</v>
      </c>
      <c r="S228" t="e">
        <f>Raw!L627+"h_l!.F_"</f>
        <v>#VALUE!</v>
      </c>
      <c r="T228" t="e">
        <f>Raw!M627+"h_l!.F`"</f>
        <v>#VALUE!</v>
      </c>
      <c r="U228" t="e">
        <f>Raw!N627+"h_l!.Fa"</f>
        <v>#VALUE!</v>
      </c>
      <c r="V228" t="e">
        <f>Raw!O627+"h_l!.Fb"</f>
        <v>#VALUE!</v>
      </c>
      <c r="W228" t="e">
        <f>Raw!P627+"h_l!.Fc"</f>
        <v>#VALUE!</v>
      </c>
      <c r="X228" t="e">
        <f>Raw!Q627+"h_l!.Fd"</f>
        <v>#VALUE!</v>
      </c>
      <c r="Y228" t="e">
        <f>Raw!R627+"h_l!.Fe"</f>
        <v>#VALUE!</v>
      </c>
      <c r="Z228" t="e">
        <f>Raw!S627+"h_l!.Ff"</f>
        <v>#VALUE!</v>
      </c>
      <c r="AA228" t="e">
        <f>Raw!T627+"h_l!.Fg"</f>
        <v>#VALUE!</v>
      </c>
      <c r="AB228" t="e">
        <f>Raw!U627+"h_l!.Fh"</f>
        <v>#VALUE!</v>
      </c>
      <c r="AC228" t="e">
        <f>Raw!V627+"h_l!.Fi"</f>
        <v>#VALUE!</v>
      </c>
      <c r="AD228" t="e">
        <f>Raw!W627+"h_l!.Fj"</f>
        <v>#VALUE!</v>
      </c>
      <c r="AE228" t="e">
        <f>Raw!A628+"h_l!.Fk"</f>
        <v>#VALUE!</v>
      </c>
      <c r="AF228" t="e">
        <f>Raw!B628+"h_l!.Fl"</f>
        <v>#VALUE!</v>
      </c>
      <c r="AG228" t="e">
        <f>Raw!C628+"h_l!.Fm"</f>
        <v>#VALUE!</v>
      </c>
      <c r="AH228" t="e">
        <f>Raw!D628+"h_l!.Fn"</f>
        <v>#VALUE!</v>
      </c>
      <c r="AI228" t="e">
        <f>Raw!E628+"h_l!.Fo"</f>
        <v>#VALUE!</v>
      </c>
      <c r="AJ228" t="e">
        <f>Raw!#REF!+"h_l!.Fp"</f>
        <v>#REF!</v>
      </c>
      <c r="AK228" t="e">
        <f>Raw!G628+"h_l!.Fq"</f>
        <v>#VALUE!</v>
      </c>
      <c r="AL228" t="e">
        <f>Raw!H628+"h_l!.Fr"</f>
        <v>#VALUE!</v>
      </c>
      <c r="AM228" t="e">
        <f>Raw!I628+"h_l!.Fs"</f>
        <v>#VALUE!</v>
      </c>
      <c r="AN228" t="e">
        <f>Raw!J628+"h_l!.Ft"</f>
        <v>#VALUE!</v>
      </c>
      <c r="AO228" t="e">
        <f>Raw!K628+"h_l!.Fu"</f>
        <v>#VALUE!</v>
      </c>
      <c r="AP228" t="e">
        <f>Raw!L628+"h_l!.Fv"</f>
        <v>#VALUE!</v>
      </c>
      <c r="AQ228" t="e">
        <f>Raw!M628+"h_l!.Fw"</f>
        <v>#VALUE!</v>
      </c>
      <c r="AR228" t="e">
        <f>Raw!N628+"h_l!.Fx"</f>
        <v>#VALUE!</v>
      </c>
      <c r="AS228" t="e">
        <f>Raw!O628+"h_l!.Fy"</f>
        <v>#VALUE!</v>
      </c>
      <c r="AT228" t="e">
        <f>Raw!P628+"h_l!.Fz"</f>
        <v>#VALUE!</v>
      </c>
      <c r="AU228" t="e">
        <f>Raw!Q628+"h_l!.F{"</f>
        <v>#VALUE!</v>
      </c>
      <c r="AV228" t="e">
        <f>Raw!R628+"h_l!.F|"</f>
        <v>#VALUE!</v>
      </c>
      <c r="AW228" t="e">
        <f>Raw!S628+"h_l!.F}"</f>
        <v>#VALUE!</v>
      </c>
      <c r="AX228" t="e">
        <f>Raw!T628+"h_l!.F~"</f>
        <v>#VALUE!</v>
      </c>
      <c r="AY228" t="e">
        <f>Raw!U628+"h_l!.G#"</f>
        <v>#VALUE!</v>
      </c>
      <c r="AZ228" t="e">
        <f>Raw!V628+"h_l!.G$"</f>
        <v>#VALUE!</v>
      </c>
      <c r="BA228" t="e">
        <f>Raw!W628+"h_l!.G%"</f>
        <v>#VALUE!</v>
      </c>
      <c r="BB228" t="e">
        <f>Raw!A629+"h_l!.G&amp;"</f>
        <v>#VALUE!</v>
      </c>
      <c r="BC228" t="e">
        <f>Raw!B629+"h_l!.G'"</f>
        <v>#VALUE!</v>
      </c>
      <c r="BD228" t="e">
        <f>Raw!C629+"h_l!.G("</f>
        <v>#VALUE!</v>
      </c>
      <c r="BE228" t="e">
        <f>Raw!D629+"h_l!.G)"</f>
        <v>#VALUE!</v>
      </c>
      <c r="BF228" t="e">
        <f>Raw!E629+"h_l!.G."</f>
        <v>#VALUE!</v>
      </c>
      <c r="BG228" t="e">
        <f>Raw!#REF!+"h_l!.G/"</f>
        <v>#REF!</v>
      </c>
      <c r="BH228" t="e">
        <f>Raw!G629+"h_l!.G0"</f>
        <v>#VALUE!</v>
      </c>
      <c r="BI228" t="e">
        <f>Raw!H629+"h_l!.G1"</f>
        <v>#VALUE!</v>
      </c>
      <c r="BJ228" t="e">
        <f>Raw!I629+"h_l!.G2"</f>
        <v>#VALUE!</v>
      </c>
      <c r="BK228" t="e">
        <f>Raw!J629+"h_l!.G3"</f>
        <v>#VALUE!</v>
      </c>
      <c r="BL228" t="e">
        <f>Raw!K629+"h_l!.G4"</f>
        <v>#VALUE!</v>
      </c>
      <c r="BM228" t="e">
        <f>Raw!L629+"h_l!.G5"</f>
        <v>#VALUE!</v>
      </c>
      <c r="BN228" t="e">
        <f>Raw!M629+"h_l!.G6"</f>
        <v>#VALUE!</v>
      </c>
      <c r="BO228" t="e">
        <f>Raw!N629+"h_l!.G7"</f>
        <v>#VALUE!</v>
      </c>
      <c r="BP228" t="e">
        <f>Raw!O629+"h_l!.G8"</f>
        <v>#VALUE!</v>
      </c>
      <c r="BQ228" t="e">
        <f>Raw!P629+"h_l!.G9"</f>
        <v>#VALUE!</v>
      </c>
      <c r="BR228" t="e">
        <f>Raw!Q629+"h_l!.G:"</f>
        <v>#VALUE!</v>
      </c>
      <c r="BS228" t="e">
        <f>Raw!R629+"h_l!.G;"</f>
        <v>#VALUE!</v>
      </c>
      <c r="BT228" t="e">
        <f>Raw!S629+"h_l!.G&lt;"</f>
        <v>#VALUE!</v>
      </c>
      <c r="BU228" t="e">
        <f>Raw!T629+"h_l!.G="</f>
        <v>#VALUE!</v>
      </c>
      <c r="BV228" t="e">
        <f>Raw!U629+"h_l!.G&gt;"</f>
        <v>#VALUE!</v>
      </c>
      <c r="BW228" t="e">
        <f>Raw!V629+"h_l!.G?"</f>
        <v>#VALUE!</v>
      </c>
      <c r="BX228" t="e">
        <f>Raw!W629+"h_l!.G@"</f>
        <v>#VALUE!</v>
      </c>
      <c r="BY228" t="e">
        <f>Raw!A630+"h_l!.GA"</f>
        <v>#VALUE!</v>
      </c>
      <c r="BZ228" t="e">
        <f>Raw!B630+"h_l!.GB"</f>
        <v>#VALUE!</v>
      </c>
      <c r="CA228" t="e">
        <f>Raw!C630+"h_l!.GC"</f>
        <v>#VALUE!</v>
      </c>
      <c r="CB228" t="e">
        <f>Raw!D630+"h_l!.GD"</f>
        <v>#VALUE!</v>
      </c>
      <c r="CC228" t="e">
        <f>Raw!E630+"h_l!.GE"</f>
        <v>#VALUE!</v>
      </c>
      <c r="CD228" t="e">
        <f>Raw!#REF!+"h_l!.GF"</f>
        <v>#REF!</v>
      </c>
      <c r="CE228" t="e">
        <f>Raw!G630+"h_l!.GG"</f>
        <v>#VALUE!</v>
      </c>
      <c r="CF228" t="e">
        <f>Raw!H630+"h_l!.GH"</f>
        <v>#VALUE!</v>
      </c>
      <c r="CG228" t="e">
        <f>Raw!I630+"h_l!.GI"</f>
        <v>#VALUE!</v>
      </c>
      <c r="CH228" t="e">
        <f>Raw!J630+"h_l!.GJ"</f>
        <v>#VALUE!</v>
      </c>
      <c r="CI228" t="e">
        <f>Raw!K630+"h_l!.GK"</f>
        <v>#VALUE!</v>
      </c>
      <c r="CJ228" t="e">
        <f>Raw!L630+"h_l!.GL"</f>
        <v>#VALUE!</v>
      </c>
      <c r="CK228" t="e">
        <f>Raw!M630+"h_l!.GM"</f>
        <v>#VALUE!</v>
      </c>
      <c r="CL228" t="e">
        <f>Raw!N630+"h_l!.GN"</f>
        <v>#VALUE!</v>
      </c>
      <c r="CM228" t="e">
        <f>Raw!O630+"h_l!.GO"</f>
        <v>#VALUE!</v>
      </c>
      <c r="CN228" t="e">
        <f>Raw!P630+"h_l!.GP"</f>
        <v>#VALUE!</v>
      </c>
      <c r="CO228" t="e">
        <f>Raw!Q630+"h_l!.GQ"</f>
        <v>#VALUE!</v>
      </c>
      <c r="CP228" t="e">
        <f>Raw!R630+"h_l!.GR"</f>
        <v>#VALUE!</v>
      </c>
      <c r="CQ228" t="e">
        <f>Raw!S630+"h_l!.GS"</f>
        <v>#VALUE!</v>
      </c>
      <c r="CR228" t="e">
        <f>Raw!T630+"h_l!.GT"</f>
        <v>#VALUE!</v>
      </c>
      <c r="CS228" t="e">
        <f>Raw!U630+"h_l!.GU"</f>
        <v>#VALUE!</v>
      </c>
      <c r="CT228" t="e">
        <f>Raw!V630+"h_l!.GV"</f>
        <v>#VALUE!</v>
      </c>
      <c r="CU228" t="e">
        <f>Raw!W630+"h_l!.GW"</f>
        <v>#VALUE!</v>
      </c>
      <c r="CV228" t="e">
        <f>Raw!A631+"h_l!.GX"</f>
        <v>#VALUE!</v>
      </c>
      <c r="CW228" t="e">
        <f>Raw!B631+"h_l!.GY"</f>
        <v>#VALUE!</v>
      </c>
      <c r="CX228" t="e">
        <f>Raw!C631+"h_l!.GZ"</f>
        <v>#VALUE!</v>
      </c>
      <c r="CY228" t="e">
        <f>Raw!D631+"h_l!.G["</f>
        <v>#VALUE!</v>
      </c>
      <c r="CZ228" t="e">
        <f>Raw!E631+"h_l!.G\"</f>
        <v>#VALUE!</v>
      </c>
      <c r="DA228" t="e">
        <f>Raw!#REF!+"h_l!.G]"</f>
        <v>#REF!</v>
      </c>
      <c r="DB228" t="e">
        <f>Raw!G631+"h_l!.G^"</f>
        <v>#VALUE!</v>
      </c>
      <c r="DC228" t="e">
        <f>Raw!H631+"h_l!.G_"</f>
        <v>#VALUE!</v>
      </c>
      <c r="DD228" t="e">
        <f>Raw!I631+"h_l!.G`"</f>
        <v>#VALUE!</v>
      </c>
      <c r="DE228" t="e">
        <f>Raw!J631+"h_l!.Ga"</f>
        <v>#VALUE!</v>
      </c>
      <c r="DF228" t="e">
        <f>Raw!K631+"h_l!.Gb"</f>
        <v>#VALUE!</v>
      </c>
      <c r="DG228" t="e">
        <f>Raw!L631+"h_l!.Gc"</f>
        <v>#VALUE!</v>
      </c>
      <c r="DH228" t="e">
        <f>Raw!M631+"h_l!.Gd"</f>
        <v>#VALUE!</v>
      </c>
      <c r="DI228" t="e">
        <f>Raw!N631+"h_l!.Ge"</f>
        <v>#VALUE!</v>
      </c>
      <c r="DJ228" t="e">
        <f>Raw!O631+"h_l!.Gf"</f>
        <v>#VALUE!</v>
      </c>
      <c r="DK228" t="e">
        <f>Raw!P631+"h_l!.Gg"</f>
        <v>#VALUE!</v>
      </c>
      <c r="DL228" t="e">
        <f>Raw!Q631+"h_l!.Gh"</f>
        <v>#VALUE!</v>
      </c>
      <c r="DM228" t="e">
        <f>Raw!R631+"h_l!.Gi"</f>
        <v>#VALUE!</v>
      </c>
      <c r="DN228" t="e">
        <f>Raw!S631+"h_l!.Gj"</f>
        <v>#VALUE!</v>
      </c>
      <c r="DO228" t="e">
        <f>Raw!T631+"h_l!.Gk"</f>
        <v>#VALUE!</v>
      </c>
      <c r="DP228" t="e">
        <f>Raw!U631+"h_l!.Gl"</f>
        <v>#VALUE!</v>
      </c>
      <c r="DQ228" t="e">
        <f>Raw!V631+"h_l!.Gm"</f>
        <v>#VALUE!</v>
      </c>
      <c r="DR228" t="e">
        <f>Raw!W631+"h_l!.Gn"</f>
        <v>#VALUE!</v>
      </c>
      <c r="DS228" t="e">
        <f>Raw!A632+"h_l!.Go"</f>
        <v>#VALUE!</v>
      </c>
      <c r="DT228" t="e">
        <f>Raw!B632+"h_l!.Gp"</f>
        <v>#VALUE!</v>
      </c>
      <c r="DU228" t="e">
        <f>Raw!C632+"h_l!.Gq"</f>
        <v>#VALUE!</v>
      </c>
      <c r="DV228" t="e">
        <f>Raw!D632+"h_l!.Gr"</f>
        <v>#VALUE!</v>
      </c>
      <c r="DW228" t="e">
        <f>Raw!E632+"h_l!.Gs"</f>
        <v>#VALUE!</v>
      </c>
      <c r="DX228" t="e">
        <f>Raw!#REF!+"h_l!.Gt"</f>
        <v>#REF!</v>
      </c>
      <c r="DY228" t="e">
        <f>Raw!G632+"h_l!.Gu"</f>
        <v>#VALUE!</v>
      </c>
      <c r="DZ228" t="e">
        <f>Raw!H632+"h_l!.Gv"</f>
        <v>#VALUE!</v>
      </c>
      <c r="EA228" t="e">
        <f>Raw!I632+"h_l!.Gw"</f>
        <v>#VALUE!</v>
      </c>
      <c r="EB228" t="e">
        <f>Raw!J632+"h_l!.Gx"</f>
        <v>#VALUE!</v>
      </c>
      <c r="EC228" t="e">
        <f>Raw!K632+"h_l!.Gy"</f>
        <v>#VALUE!</v>
      </c>
      <c r="ED228" t="e">
        <f>Raw!L632+"h_l!.Gz"</f>
        <v>#VALUE!</v>
      </c>
      <c r="EE228" t="e">
        <f>Raw!M632+"h_l!.G{"</f>
        <v>#VALUE!</v>
      </c>
      <c r="EF228" t="e">
        <f>Raw!N632+"h_l!.G|"</f>
        <v>#VALUE!</v>
      </c>
      <c r="EG228" t="e">
        <f>Raw!O632+"h_l!.G}"</f>
        <v>#VALUE!</v>
      </c>
      <c r="EH228" t="e">
        <f>Raw!P632+"h_l!.G~"</f>
        <v>#VALUE!</v>
      </c>
      <c r="EI228" t="e">
        <f>Raw!Q632+"h_l!.H#"</f>
        <v>#VALUE!</v>
      </c>
      <c r="EJ228" t="e">
        <f>Raw!R632+"h_l!.H$"</f>
        <v>#VALUE!</v>
      </c>
      <c r="EK228" t="e">
        <f>Raw!S632+"h_l!.H%"</f>
        <v>#VALUE!</v>
      </c>
      <c r="EL228" t="e">
        <f>Raw!T632+"h_l!.H&amp;"</f>
        <v>#VALUE!</v>
      </c>
      <c r="EM228" t="e">
        <f>Raw!U632+"h_l!.H'"</f>
        <v>#VALUE!</v>
      </c>
      <c r="EN228" t="e">
        <f>Raw!V632+"h_l!.H("</f>
        <v>#VALUE!</v>
      </c>
      <c r="EO228" t="e">
        <f>Raw!W632+"h_l!.H)"</f>
        <v>#VALUE!</v>
      </c>
      <c r="EP228" t="e">
        <f>Raw!A633+"h_l!.H."</f>
        <v>#VALUE!</v>
      </c>
      <c r="EQ228" t="e">
        <f>Raw!B633+"h_l!.H/"</f>
        <v>#VALUE!</v>
      </c>
      <c r="ER228" t="e">
        <f>Raw!C633+"h_l!.H0"</f>
        <v>#VALUE!</v>
      </c>
      <c r="ES228" t="e">
        <f>Raw!D633+"h_l!.H1"</f>
        <v>#VALUE!</v>
      </c>
      <c r="ET228" t="e">
        <f>Raw!E633+"h_l!.H2"</f>
        <v>#VALUE!</v>
      </c>
      <c r="EU228" t="e">
        <f>Raw!#REF!+"h_l!.H3"</f>
        <v>#REF!</v>
      </c>
      <c r="EV228" t="e">
        <f>Raw!G633+"h_l!.H4"</f>
        <v>#VALUE!</v>
      </c>
      <c r="EW228" t="e">
        <f>Raw!H633+"h_l!.H5"</f>
        <v>#VALUE!</v>
      </c>
      <c r="EX228" t="e">
        <f>Raw!I633+"h_l!.H6"</f>
        <v>#VALUE!</v>
      </c>
      <c r="EY228" t="e">
        <f>Raw!J633+"h_l!.H7"</f>
        <v>#VALUE!</v>
      </c>
      <c r="EZ228" t="e">
        <f>Raw!K633+"h_l!.H8"</f>
        <v>#VALUE!</v>
      </c>
      <c r="FA228" t="e">
        <f>Raw!L633+"h_l!.H9"</f>
        <v>#VALUE!</v>
      </c>
      <c r="FB228" t="e">
        <f>Raw!M633+"h_l!.H:"</f>
        <v>#VALUE!</v>
      </c>
      <c r="FC228" t="e">
        <f>Raw!N633+"h_l!.H;"</f>
        <v>#VALUE!</v>
      </c>
      <c r="FD228" t="e">
        <f>Raw!O633+"h_l!.H&lt;"</f>
        <v>#VALUE!</v>
      </c>
      <c r="FE228" t="e">
        <f>Raw!P633+"h_l!.H="</f>
        <v>#VALUE!</v>
      </c>
      <c r="FF228" t="e">
        <f>Raw!Q633+"h_l!.H&gt;"</f>
        <v>#VALUE!</v>
      </c>
      <c r="FG228" t="e">
        <f>Raw!R633+"h_l!.H?"</f>
        <v>#VALUE!</v>
      </c>
      <c r="FH228" t="e">
        <f>Raw!S633+"h_l!.H@"</f>
        <v>#VALUE!</v>
      </c>
      <c r="FI228" t="e">
        <f>Raw!T633+"h_l!.HA"</f>
        <v>#VALUE!</v>
      </c>
      <c r="FJ228" t="e">
        <f>Raw!U633+"h_l!.HB"</f>
        <v>#VALUE!</v>
      </c>
      <c r="FK228" t="e">
        <f>Raw!V633+"h_l!.HC"</f>
        <v>#VALUE!</v>
      </c>
      <c r="FL228" t="e">
        <f>Raw!W633+"h_l!.HD"</f>
        <v>#VALUE!</v>
      </c>
      <c r="FM228" t="e">
        <f>Raw!A634+"h_l!.HE"</f>
        <v>#VALUE!</v>
      </c>
      <c r="FN228" t="e">
        <f>Raw!B634+"h_l!.HF"</f>
        <v>#VALUE!</v>
      </c>
      <c r="FO228" t="e">
        <f>Raw!C634+"h_l!.HG"</f>
        <v>#VALUE!</v>
      </c>
      <c r="FP228" t="e">
        <f>Raw!D634+"h_l!.HH"</f>
        <v>#VALUE!</v>
      </c>
      <c r="FQ228" t="e">
        <f>Raw!E634+"h_l!.HI"</f>
        <v>#VALUE!</v>
      </c>
      <c r="FR228" t="e">
        <f>Raw!#REF!+"h_l!.HJ"</f>
        <v>#REF!</v>
      </c>
      <c r="FS228" t="e">
        <f>Raw!G634+"h_l!.HK"</f>
        <v>#VALUE!</v>
      </c>
      <c r="FT228" t="e">
        <f>Raw!H634+"h_l!.HL"</f>
        <v>#VALUE!</v>
      </c>
      <c r="FU228" t="e">
        <f>Raw!I634+"h_l!.HM"</f>
        <v>#VALUE!</v>
      </c>
      <c r="FV228" t="e">
        <f>Raw!J634+"h_l!.HN"</f>
        <v>#VALUE!</v>
      </c>
      <c r="FW228" t="e">
        <f>Raw!K634+"h_l!.HO"</f>
        <v>#VALUE!</v>
      </c>
      <c r="FX228" t="e">
        <f>Raw!L634+"h_l!.HP"</f>
        <v>#VALUE!</v>
      </c>
      <c r="FY228" t="e">
        <f>Raw!M634+"h_l!.HQ"</f>
        <v>#VALUE!</v>
      </c>
      <c r="FZ228" t="e">
        <f>Raw!N634+"h_l!.HR"</f>
        <v>#VALUE!</v>
      </c>
      <c r="GA228" t="e">
        <f>Raw!O634+"h_l!.HS"</f>
        <v>#VALUE!</v>
      </c>
      <c r="GB228" t="e">
        <f>Raw!P634+"h_l!.HT"</f>
        <v>#VALUE!</v>
      </c>
      <c r="GC228" t="e">
        <f>Raw!Q634+"h_l!.HU"</f>
        <v>#VALUE!</v>
      </c>
      <c r="GD228" t="e">
        <f>Raw!R634+"h_l!.HV"</f>
        <v>#VALUE!</v>
      </c>
      <c r="GE228" t="e">
        <f>Raw!S634+"h_l!.HW"</f>
        <v>#VALUE!</v>
      </c>
      <c r="GF228" t="e">
        <f>Raw!T634+"h_l!.HX"</f>
        <v>#VALUE!</v>
      </c>
      <c r="GG228" t="e">
        <f>Raw!U634+"h_l!.HY"</f>
        <v>#VALUE!</v>
      </c>
      <c r="GH228" t="e">
        <f>Raw!V634+"h_l!.HZ"</f>
        <v>#VALUE!</v>
      </c>
      <c r="GI228" t="e">
        <f>Raw!W634+"h_l!.H["</f>
        <v>#VALUE!</v>
      </c>
      <c r="GJ228" t="e">
        <f>Raw!A635+"h_l!.H\"</f>
        <v>#VALUE!</v>
      </c>
      <c r="GK228" t="e">
        <f>Raw!B635+"h_l!.H]"</f>
        <v>#VALUE!</v>
      </c>
      <c r="GL228" t="e">
        <f>Raw!C635+"h_l!.H^"</f>
        <v>#VALUE!</v>
      </c>
      <c r="GM228" t="e">
        <f>Raw!D635+"h_l!.H_"</f>
        <v>#VALUE!</v>
      </c>
      <c r="GN228" t="e">
        <f>Raw!E635+"h_l!.H`"</f>
        <v>#VALUE!</v>
      </c>
      <c r="GO228" t="e">
        <f>Raw!#REF!+"h_l!.Ha"</f>
        <v>#REF!</v>
      </c>
      <c r="GP228" t="e">
        <f>Raw!G635+"h_l!.Hb"</f>
        <v>#VALUE!</v>
      </c>
      <c r="GQ228" t="e">
        <f>Raw!H635+"h_l!.Hc"</f>
        <v>#VALUE!</v>
      </c>
      <c r="GR228" t="e">
        <f>Raw!I635+"h_l!.Hd"</f>
        <v>#VALUE!</v>
      </c>
      <c r="GS228" t="e">
        <f>Raw!J635+"h_l!.He"</f>
        <v>#VALUE!</v>
      </c>
      <c r="GT228" t="e">
        <f>Raw!K635+"h_l!.Hf"</f>
        <v>#VALUE!</v>
      </c>
      <c r="GU228" t="e">
        <f>Raw!L635+"h_l!.Hg"</f>
        <v>#VALUE!</v>
      </c>
      <c r="GV228" t="e">
        <f>Raw!M635+"h_l!.Hh"</f>
        <v>#VALUE!</v>
      </c>
      <c r="GW228" t="e">
        <f>Raw!N635+"h_l!.Hi"</f>
        <v>#VALUE!</v>
      </c>
      <c r="GX228" t="e">
        <f>Raw!O635+"h_l!.Hj"</f>
        <v>#VALUE!</v>
      </c>
      <c r="GY228" t="e">
        <f>Raw!P635+"h_l!.Hk"</f>
        <v>#VALUE!</v>
      </c>
      <c r="GZ228" t="e">
        <f>Raw!Q635+"h_l!.Hl"</f>
        <v>#VALUE!</v>
      </c>
      <c r="HA228" t="e">
        <f>Raw!R635+"h_l!.Hm"</f>
        <v>#VALUE!</v>
      </c>
      <c r="HB228" t="e">
        <f>Raw!S635+"h_l!.Hn"</f>
        <v>#VALUE!</v>
      </c>
      <c r="HC228" t="e">
        <f>Raw!T635+"h_l!.Ho"</f>
        <v>#VALUE!</v>
      </c>
      <c r="HD228" t="e">
        <f>Raw!U635+"h_l!.Hp"</f>
        <v>#VALUE!</v>
      </c>
      <c r="HE228" t="e">
        <f>Raw!V635+"h_l!.Hq"</f>
        <v>#VALUE!</v>
      </c>
      <c r="HF228" t="e">
        <f>Raw!W635+"h_l!.Hr"</f>
        <v>#VALUE!</v>
      </c>
      <c r="HG228" t="e">
        <f>Raw!A636+"h_l!.Hs"</f>
        <v>#VALUE!</v>
      </c>
      <c r="HH228" t="e">
        <f>Raw!B636+"h_l!.Ht"</f>
        <v>#VALUE!</v>
      </c>
      <c r="HI228" t="e">
        <f>Raw!C636+"h_l!.Hu"</f>
        <v>#VALUE!</v>
      </c>
      <c r="HJ228" t="e">
        <f>Raw!D636+"h_l!.Hv"</f>
        <v>#VALUE!</v>
      </c>
      <c r="HK228" t="e">
        <f>Raw!E636+"h_l!.Hw"</f>
        <v>#VALUE!</v>
      </c>
      <c r="HL228" t="e">
        <f>Raw!#REF!+"h_l!.Hx"</f>
        <v>#REF!</v>
      </c>
      <c r="HM228" t="e">
        <f>Raw!G636+"h_l!.Hy"</f>
        <v>#VALUE!</v>
      </c>
      <c r="HN228" t="e">
        <f>Raw!H636+"h_l!.Hz"</f>
        <v>#VALUE!</v>
      </c>
      <c r="HO228" t="e">
        <f>Raw!I636+"h_l!.H{"</f>
        <v>#VALUE!</v>
      </c>
      <c r="HP228" t="e">
        <f>Raw!J636+"h_l!.H|"</f>
        <v>#VALUE!</v>
      </c>
      <c r="HQ228" t="e">
        <f>Raw!K636+"h_l!.H}"</f>
        <v>#VALUE!</v>
      </c>
      <c r="HR228" t="e">
        <f>Raw!L636+"h_l!.H~"</f>
        <v>#VALUE!</v>
      </c>
      <c r="HS228" t="e">
        <f>Raw!M636+"h_l!.I#"</f>
        <v>#VALUE!</v>
      </c>
      <c r="HT228" t="e">
        <f>Raw!N636+"h_l!.I$"</f>
        <v>#VALUE!</v>
      </c>
      <c r="HU228" t="e">
        <f>Raw!O636+"h_l!.I%"</f>
        <v>#VALUE!</v>
      </c>
      <c r="HV228" t="e">
        <f>Raw!P636+"h_l!.I&amp;"</f>
        <v>#VALUE!</v>
      </c>
      <c r="HW228" t="e">
        <f>Raw!Q636+"h_l!.I'"</f>
        <v>#VALUE!</v>
      </c>
      <c r="HX228" t="e">
        <f>Raw!R636+"h_l!.I("</f>
        <v>#VALUE!</v>
      </c>
      <c r="HY228" t="e">
        <f>Raw!S636+"h_l!.I)"</f>
        <v>#VALUE!</v>
      </c>
      <c r="HZ228" t="e">
        <f>Raw!T636+"h_l!.I."</f>
        <v>#VALUE!</v>
      </c>
      <c r="IA228" t="e">
        <f>Raw!U636+"h_l!.I/"</f>
        <v>#VALUE!</v>
      </c>
      <c r="IB228" t="e">
        <f>Raw!V636+"h_l!.I0"</f>
        <v>#VALUE!</v>
      </c>
      <c r="IC228" t="e">
        <f>Raw!W636+"h_l!.I1"</f>
        <v>#VALUE!</v>
      </c>
      <c r="ID228" t="e">
        <f>Raw!A637+"h_l!.I2"</f>
        <v>#VALUE!</v>
      </c>
      <c r="IE228" t="e">
        <f>Raw!B637+"h_l!.I3"</f>
        <v>#VALUE!</v>
      </c>
      <c r="IF228" t="e">
        <f>Raw!C637+"h_l!.I4"</f>
        <v>#VALUE!</v>
      </c>
      <c r="IG228" t="e">
        <f>Raw!D637+"h_l!.I5"</f>
        <v>#VALUE!</v>
      </c>
      <c r="IH228" t="e">
        <f>Raw!E637+"h_l!.I6"</f>
        <v>#VALUE!</v>
      </c>
      <c r="II228" t="e">
        <f>Raw!#REF!+"h_l!.I7"</f>
        <v>#REF!</v>
      </c>
      <c r="IJ228" t="e">
        <f>Raw!G637+"h_l!.I8"</f>
        <v>#VALUE!</v>
      </c>
      <c r="IK228" t="e">
        <f>Raw!H637+"h_l!.I9"</f>
        <v>#VALUE!</v>
      </c>
      <c r="IL228" t="e">
        <f>Raw!I637+"h_l!.I:"</f>
        <v>#VALUE!</v>
      </c>
      <c r="IM228" t="e">
        <f>Raw!J637+"h_l!.I;"</f>
        <v>#VALUE!</v>
      </c>
      <c r="IN228" t="e">
        <f>Raw!K637+"h_l!.I&lt;"</f>
        <v>#VALUE!</v>
      </c>
      <c r="IO228" t="e">
        <f>Raw!L637+"h_l!.I="</f>
        <v>#VALUE!</v>
      </c>
      <c r="IP228" t="e">
        <f>Raw!M637+"h_l!.I&gt;"</f>
        <v>#VALUE!</v>
      </c>
      <c r="IQ228" t="e">
        <f>Raw!N637+"h_l!.I?"</f>
        <v>#VALUE!</v>
      </c>
      <c r="IR228" t="e">
        <f>Raw!O637+"h_l!.I@"</f>
        <v>#VALUE!</v>
      </c>
      <c r="IS228" t="e">
        <f>Raw!P637+"h_l!.IA"</f>
        <v>#VALUE!</v>
      </c>
      <c r="IT228" t="e">
        <f>Raw!Q637+"h_l!.IB"</f>
        <v>#VALUE!</v>
      </c>
      <c r="IU228" t="e">
        <f>Raw!R637+"h_l!.IC"</f>
        <v>#VALUE!</v>
      </c>
      <c r="IV228" t="e">
        <f>Raw!S637+"h_l!.ID"</f>
        <v>#VALUE!</v>
      </c>
    </row>
    <row r="229" spans="6:256" x14ac:dyDescent="0.25">
      <c r="F229" t="e">
        <f>Raw!T637+"h_l!.IE"</f>
        <v>#VALUE!</v>
      </c>
      <c r="G229" t="e">
        <f>Raw!U637+"h_l!.IF"</f>
        <v>#VALUE!</v>
      </c>
      <c r="H229" t="e">
        <f>Raw!V637+"h_l!.IG"</f>
        <v>#VALUE!</v>
      </c>
      <c r="I229" t="e">
        <f>Raw!W637+"h_l!.IH"</f>
        <v>#VALUE!</v>
      </c>
      <c r="J229" t="e">
        <f>Raw!A638+"h_l!.II"</f>
        <v>#VALUE!</v>
      </c>
      <c r="K229" t="e">
        <f>Raw!B638+"h_l!.IJ"</f>
        <v>#VALUE!</v>
      </c>
      <c r="L229" t="e">
        <f>Raw!C638+"h_l!.IK"</f>
        <v>#VALUE!</v>
      </c>
      <c r="M229" t="e">
        <f>Raw!D638+"h_l!.IL"</f>
        <v>#VALUE!</v>
      </c>
      <c r="N229" t="e">
        <f>Raw!E638+"h_l!.IM"</f>
        <v>#VALUE!</v>
      </c>
      <c r="O229" t="e">
        <f>Raw!#REF!+"h_l!.IN"</f>
        <v>#REF!</v>
      </c>
      <c r="P229" t="e">
        <f>Raw!G638+"h_l!.IO"</f>
        <v>#VALUE!</v>
      </c>
      <c r="Q229" t="e">
        <f>Raw!H638+"h_l!.IP"</f>
        <v>#VALUE!</v>
      </c>
      <c r="R229" t="e">
        <f>Raw!I638+"h_l!.IQ"</f>
        <v>#VALUE!</v>
      </c>
      <c r="S229" t="e">
        <f>Raw!J638+"h_l!.IR"</f>
        <v>#VALUE!</v>
      </c>
      <c r="T229" t="e">
        <f>Raw!K638+"h_l!.IS"</f>
        <v>#VALUE!</v>
      </c>
      <c r="U229" t="e">
        <f>Raw!L638+"h_l!.IT"</f>
        <v>#VALUE!</v>
      </c>
      <c r="V229" t="e">
        <f>Raw!M638+"h_l!.IU"</f>
        <v>#VALUE!</v>
      </c>
      <c r="W229" t="e">
        <f>Raw!N638+"h_l!.IV"</f>
        <v>#VALUE!</v>
      </c>
      <c r="X229" t="e">
        <f>Raw!O638+"h_l!.IW"</f>
        <v>#VALUE!</v>
      </c>
      <c r="Y229" t="e">
        <f>Raw!P638+"h_l!.IX"</f>
        <v>#VALUE!</v>
      </c>
      <c r="Z229" t="e">
        <f>Raw!Q638+"h_l!.IY"</f>
        <v>#VALUE!</v>
      </c>
      <c r="AA229" t="e">
        <f>Raw!R638+"h_l!.IZ"</f>
        <v>#VALUE!</v>
      </c>
      <c r="AB229" t="e">
        <f>Raw!S638+"h_l!.I["</f>
        <v>#VALUE!</v>
      </c>
      <c r="AC229" t="e">
        <f>Raw!T638+"h_l!.I\"</f>
        <v>#VALUE!</v>
      </c>
      <c r="AD229" t="e">
        <f>Raw!U638+"h_l!.I]"</f>
        <v>#VALUE!</v>
      </c>
      <c r="AE229" t="e">
        <f>Raw!V638+"h_l!.I^"</f>
        <v>#VALUE!</v>
      </c>
      <c r="AF229" t="e">
        <f>Raw!W638+"h_l!.I_"</f>
        <v>#VALUE!</v>
      </c>
      <c r="AG229" t="e">
        <f>Raw!A639+"h_l!.I`"</f>
        <v>#VALUE!</v>
      </c>
      <c r="AH229" t="e">
        <f>Raw!B639+"h_l!.Ia"</f>
        <v>#VALUE!</v>
      </c>
      <c r="AI229" t="e">
        <f>Raw!C639+"h_l!.Ib"</f>
        <v>#VALUE!</v>
      </c>
      <c r="AJ229" t="e">
        <f>Raw!D639+"h_l!.Ic"</f>
        <v>#VALUE!</v>
      </c>
      <c r="AK229" t="e">
        <f>Raw!E639+"h_l!.Id"</f>
        <v>#VALUE!</v>
      </c>
      <c r="AL229" t="e">
        <f>Raw!#REF!+"h_l!.Ie"</f>
        <v>#REF!</v>
      </c>
      <c r="AM229" t="e">
        <f>Raw!G639+"h_l!.If"</f>
        <v>#VALUE!</v>
      </c>
      <c r="AN229" t="e">
        <f>Raw!H639+"h_l!.Ig"</f>
        <v>#VALUE!</v>
      </c>
      <c r="AO229" t="e">
        <f>Raw!I639+"h_l!.Ih"</f>
        <v>#VALUE!</v>
      </c>
      <c r="AP229" t="e">
        <f>Raw!J639+"h_l!.Ii"</f>
        <v>#VALUE!</v>
      </c>
      <c r="AQ229" t="e">
        <f>Raw!K639+"h_l!.Ij"</f>
        <v>#VALUE!</v>
      </c>
      <c r="AR229" t="e">
        <f>Raw!L639+"h_l!.Ik"</f>
        <v>#VALUE!</v>
      </c>
      <c r="AS229" t="e">
        <f>Raw!M639+"h_l!.Il"</f>
        <v>#VALUE!</v>
      </c>
      <c r="AT229" t="e">
        <f>Raw!N639+"h_l!.Im"</f>
        <v>#VALUE!</v>
      </c>
      <c r="AU229" t="e">
        <f>Raw!O639+"h_l!.In"</f>
        <v>#VALUE!</v>
      </c>
      <c r="AV229" t="e">
        <f>Raw!P639+"h_l!.Io"</f>
        <v>#VALUE!</v>
      </c>
      <c r="AW229" t="e">
        <f>Raw!Q639+"h_l!.Ip"</f>
        <v>#VALUE!</v>
      </c>
      <c r="AX229" t="e">
        <f>Raw!R639+"h_l!.Iq"</f>
        <v>#VALUE!</v>
      </c>
      <c r="AY229" t="e">
        <f>Raw!S639+"h_l!.Ir"</f>
        <v>#VALUE!</v>
      </c>
      <c r="AZ229" t="e">
        <f>Raw!T639+"h_l!.Is"</f>
        <v>#VALUE!</v>
      </c>
      <c r="BA229" t="e">
        <f>Raw!U639+"h_l!.It"</f>
        <v>#VALUE!</v>
      </c>
      <c r="BB229" t="e">
        <f>Raw!V639+"h_l!.Iu"</f>
        <v>#VALUE!</v>
      </c>
      <c r="BC229" t="e">
        <f>Raw!W639+"h_l!.Iv"</f>
        <v>#VALUE!</v>
      </c>
      <c r="BD229" t="e">
        <f>Raw!A640+"h_l!.Iw"</f>
        <v>#VALUE!</v>
      </c>
      <c r="BE229" t="e">
        <f>Raw!B640+"h_l!.Ix"</f>
        <v>#VALUE!</v>
      </c>
      <c r="BF229" t="e">
        <f>Raw!C640+"h_l!.Iy"</f>
        <v>#VALUE!</v>
      </c>
      <c r="BG229" t="e">
        <f>Raw!D640+"h_l!.Iz"</f>
        <v>#VALUE!</v>
      </c>
      <c r="BH229" t="e">
        <f>Raw!E640+"h_l!.I{"</f>
        <v>#VALUE!</v>
      </c>
      <c r="BI229" t="e">
        <f>Raw!#REF!+"h_l!.I|"</f>
        <v>#REF!</v>
      </c>
      <c r="BJ229" t="e">
        <f>Raw!G640+"h_l!.I}"</f>
        <v>#VALUE!</v>
      </c>
      <c r="BK229" t="e">
        <f>Raw!H640+"h_l!.I~"</f>
        <v>#VALUE!</v>
      </c>
      <c r="BL229" t="e">
        <f>Raw!I640+"h_l!.J#"</f>
        <v>#VALUE!</v>
      </c>
      <c r="BM229" t="e">
        <f>Raw!J640+"h_l!.J$"</f>
        <v>#VALUE!</v>
      </c>
      <c r="BN229" t="e">
        <f>Raw!K640+"h_l!.J%"</f>
        <v>#VALUE!</v>
      </c>
      <c r="BO229" t="e">
        <f>Raw!L640+"h_l!.J&amp;"</f>
        <v>#VALUE!</v>
      </c>
      <c r="BP229" t="e">
        <f>Raw!M640+"h_l!.J'"</f>
        <v>#VALUE!</v>
      </c>
      <c r="BQ229" t="e">
        <f>Raw!N640+"h_l!.J("</f>
        <v>#VALUE!</v>
      </c>
      <c r="BR229" t="e">
        <f>Raw!O640+"h_l!.J)"</f>
        <v>#VALUE!</v>
      </c>
      <c r="BS229" t="e">
        <f>Raw!P640+"h_l!.J."</f>
        <v>#VALUE!</v>
      </c>
      <c r="BT229" t="e">
        <f>Raw!Q640+"h_l!.J/"</f>
        <v>#VALUE!</v>
      </c>
      <c r="BU229" t="e">
        <f>Raw!R640+"h_l!.J0"</f>
        <v>#VALUE!</v>
      </c>
      <c r="BV229" t="e">
        <f>Raw!S640+"h_l!.J1"</f>
        <v>#VALUE!</v>
      </c>
      <c r="BW229" t="e">
        <f>Raw!T640+"h_l!.J2"</f>
        <v>#VALUE!</v>
      </c>
      <c r="BX229" t="e">
        <f>Raw!U640+"h_l!.J3"</f>
        <v>#VALUE!</v>
      </c>
      <c r="BY229" t="e">
        <f>Raw!V640+"h_l!.J4"</f>
        <v>#VALUE!</v>
      </c>
      <c r="BZ229" t="e">
        <f>Raw!W640+"h_l!.J5"</f>
        <v>#VALUE!</v>
      </c>
      <c r="CA229" t="e">
        <f>Raw!A641+"h_l!.J6"</f>
        <v>#VALUE!</v>
      </c>
      <c r="CB229" t="e">
        <f>Raw!B641+"h_l!.J7"</f>
        <v>#VALUE!</v>
      </c>
      <c r="CC229" t="e">
        <f>Raw!C641+"h_l!.J8"</f>
        <v>#VALUE!</v>
      </c>
      <c r="CD229" t="e">
        <f>Raw!D641+"h_l!.J9"</f>
        <v>#VALUE!</v>
      </c>
      <c r="CE229" t="e">
        <f>Raw!E641+"h_l!.J:"</f>
        <v>#VALUE!</v>
      </c>
      <c r="CF229" t="e">
        <f>Raw!#REF!+"h_l!.J;"</f>
        <v>#REF!</v>
      </c>
      <c r="CG229" t="e">
        <f>Raw!G641+"h_l!.J&lt;"</f>
        <v>#VALUE!</v>
      </c>
      <c r="CH229" t="e">
        <f>Raw!H641+"h_l!.J="</f>
        <v>#VALUE!</v>
      </c>
      <c r="CI229" t="e">
        <f>Raw!I641+"h_l!.J&gt;"</f>
        <v>#VALUE!</v>
      </c>
      <c r="CJ229" t="e">
        <f>Raw!J641+"h_l!.J?"</f>
        <v>#VALUE!</v>
      </c>
      <c r="CK229" t="e">
        <f>Raw!K641+"h_l!.J@"</f>
        <v>#VALUE!</v>
      </c>
      <c r="CL229" t="e">
        <f>Raw!L641+"h_l!.JA"</f>
        <v>#VALUE!</v>
      </c>
      <c r="CM229" t="e">
        <f>Raw!M641+"h_l!.JB"</f>
        <v>#VALUE!</v>
      </c>
      <c r="CN229" t="e">
        <f>Raw!N641+"h_l!.JC"</f>
        <v>#VALUE!</v>
      </c>
      <c r="CO229" t="e">
        <f>Raw!O641+"h_l!.JD"</f>
        <v>#VALUE!</v>
      </c>
      <c r="CP229" t="e">
        <f>Raw!P641+"h_l!.JE"</f>
        <v>#VALUE!</v>
      </c>
      <c r="CQ229" t="e">
        <f>Raw!Q641+"h_l!.JF"</f>
        <v>#VALUE!</v>
      </c>
      <c r="CR229" t="e">
        <f>Raw!R641+"h_l!.JG"</f>
        <v>#VALUE!</v>
      </c>
      <c r="CS229" t="e">
        <f>Raw!S641+"h_l!.JH"</f>
        <v>#VALUE!</v>
      </c>
      <c r="CT229" t="e">
        <f>Raw!T641+"h_l!.JI"</f>
        <v>#VALUE!</v>
      </c>
      <c r="CU229" t="e">
        <f>Raw!U641+"h_l!.JJ"</f>
        <v>#VALUE!</v>
      </c>
      <c r="CV229" t="e">
        <f>Raw!V641+"h_l!.JK"</f>
        <v>#VALUE!</v>
      </c>
      <c r="CW229" t="e">
        <f>Raw!W641+"h_l!.JL"</f>
        <v>#VALUE!</v>
      </c>
      <c r="CX229" t="e">
        <f>Raw!A642+"h_l!.JM"</f>
        <v>#VALUE!</v>
      </c>
      <c r="CY229" t="e">
        <f>Raw!B642+"h_l!.JN"</f>
        <v>#VALUE!</v>
      </c>
      <c r="CZ229" t="e">
        <f>Raw!C642+"h_l!.JO"</f>
        <v>#VALUE!</v>
      </c>
      <c r="DA229" t="e">
        <f>Raw!D642+"h_l!.JP"</f>
        <v>#VALUE!</v>
      </c>
      <c r="DB229" t="e">
        <f>Raw!E642+"h_l!.JQ"</f>
        <v>#VALUE!</v>
      </c>
      <c r="DC229" t="e">
        <f>Raw!#REF!+"h_l!.JR"</f>
        <v>#REF!</v>
      </c>
      <c r="DD229" t="e">
        <f>Raw!G642+"h_l!.JS"</f>
        <v>#VALUE!</v>
      </c>
      <c r="DE229" t="e">
        <f>Raw!H642+"h_l!.JT"</f>
        <v>#VALUE!</v>
      </c>
      <c r="DF229" t="e">
        <f>Raw!I642+"h_l!.JU"</f>
        <v>#VALUE!</v>
      </c>
      <c r="DG229" t="e">
        <f>Raw!J642+"h_l!.JV"</f>
        <v>#VALUE!</v>
      </c>
      <c r="DH229" t="e">
        <f>Raw!K642+"h_l!.JW"</f>
        <v>#VALUE!</v>
      </c>
      <c r="DI229" t="e">
        <f>Raw!L642+"h_l!.JX"</f>
        <v>#VALUE!</v>
      </c>
      <c r="DJ229" t="e">
        <f>Raw!M642+"h_l!.JY"</f>
        <v>#VALUE!</v>
      </c>
      <c r="DK229" t="e">
        <f>Raw!N642+"h_l!.JZ"</f>
        <v>#VALUE!</v>
      </c>
      <c r="DL229" t="e">
        <f>Raw!O642+"h_l!.J["</f>
        <v>#VALUE!</v>
      </c>
      <c r="DM229" t="e">
        <f>Raw!P642+"h_l!.J\"</f>
        <v>#VALUE!</v>
      </c>
      <c r="DN229" t="e">
        <f>Raw!Q642+"h_l!.J]"</f>
        <v>#VALUE!</v>
      </c>
      <c r="DO229" t="e">
        <f>Raw!R642+"h_l!.J^"</f>
        <v>#VALUE!</v>
      </c>
      <c r="DP229" t="e">
        <f>Raw!S642+"h_l!.J_"</f>
        <v>#VALUE!</v>
      </c>
      <c r="DQ229" t="e">
        <f>Raw!T642+"h_l!.J`"</f>
        <v>#VALUE!</v>
      </c>
      <c r="DR229" t="e">
        <f>Raw!U642+"h_l!.Ja"</f>
        <v>#VALUE!</v>
      </c>
      <c r="DS229" t="e">
        <f>Raw!V642+"h_l!.Jb"</f>
        <v>#VALUE!</v>
      </c>
      <c r="DT229" t="e">
        <f>Raw!W642+"h_l!.Jc"</f>
        <v>#VALUE!</v>
      </c>
      <c r="DU229" t="e">
        <f>Raw!A643+"h_l!.Jd"</f>
        <v>#VALUE!</v>
      </c>
      <c r="DV229" t="e">
        <f>Raw!B643+"h_l!.Je"</f>
        <v>#VALUE!</v>
      </c>
      <c r="DW229" t="e">
        <f>Raw!C643+"h_l!.Jf"</f>
        <v>#VALUE!</v>
      </c>
      <c r="DX229" t="e">
        <f>Raw!D643+"h_l!.Jg"</f>
        <v>#VALUE!</v>
      </c>
      <c r="DY229" t="e">
        <f>Raw!E643+"h_l!.Jh"</f>
        <v>#VALUE!</v>
      </c>
      <c r="DZ229" t="e">
        <f>Raw!#REF!+"h_l!.Ji"</f>
        <v>#REF!</v>
      </c>
      <c r="EA229" t="e">
        <f>Raw!G643+"h_l!.Jj"</f>
        <v>#VALUE!</v>
      </c>
      <c r="EB229" t="e">
        <f>Raw!H643+"h_l!.Jk"</f>
        <v>#VALUE!</v>
      </c>
      <c r="EC229" t="e">
        <f>Raw!I643+"h_l!.Jl"</f>
        <v>#VALUE!</v>
      </c>
      <c r="ED229" t="e">
        <f>Raw!J643+"h_l!.Jm"</f>
        <v>#VALUE!</v>
      </c>
      <c r="EE229" t="e">
        <f>Raw!K643+"h_l!.Jn"</f>
        <v>#VALUE!</v>
      </c>
      <c r="EF229" t="e">
        <f>Raw!L643+"h_l!.Jo"</f>
        <v>#VALUE!</v>
      </c>
      <c r="EG229" t="e">
        <f>Raw!M643+"h_l!.Jp"</f>
        <v>#VALUE!</v>
      </c>
      <c r="EH229" t="e">
        <f>Raw!N643+"h_l!.Jq"</f>
        <v>#VALUE!</v>
      </c>
      <c r="EI229" t="e">
        <f>Raw!O643+"h_l!.Jr"</f>
        <v>#VALUE!</v>
      </c>
      <c r="EJ229" t="e">
        <f>Raw!P643+"h_l!.Js"</f>
        <v>#VALUE!</v>
      </c>
      <c r="EK229" t="e">
        <f>Raw!Q643+"h_l!.Jt"</f>
        <v>#VALUE!</v>
      </c>
      <c r="EL229" t="e">
        <f>Raw!R643+"h_l!.Ju"</f>
        <v>#VALUE!</v>
      </c>
      <c r="EM229" t="e">
        <f>Raw!S643+"h_l!.Jv"</f>
        <v>#VALUE!</v>
      </c>
      <c r="EN229" t="e">
        <f>Raw!T643+"h_l!.Jw"</f>
        <v>#VALUE!</v>
      </c>
      <c r="EO229" t="e">
        <f>Raw!U643+"h_l!.Jx"</f>
        <v>#VALUE!</v>
      </c>
      <c r="EP229" t="e">
        <f>Raw!V643+"h_l!.Jy"</f>
        <v>#VALUE!</v>
      </c>
      <c r="EQ229" t="e">
        <f>Raw!W643+"h_l!.Jz"</f>
        <v>#VALUE!</v>
      </c>
      <c r="ER229" t="e">
        <f>Raw!A644+"h_l!.J{"</f>
        <v>#VALUE!</v>
      </c>
      <c r="ES229" t="e">
        <f>Raw!B644+"h_l!.J|"</f>
        <v>#VALUE!</v>
      </c>
      <c r="ET229" t="e">
        <f>Raw!C644+"h_l!.J}"</f>
        <v>#VALUE!</v>
      </c>
      <c r="EU229" t="e">
        <f>Raw!D644+"h_l!.J~"</f>
        <v>#VALUE!</v>
      </c>
      <c r="EV229" t="e">
        <f>Raw!E644+"h_l!.K#"</f>
        <v>#VALUE!</v>
      </c>
      <c r="EW229" t="e">
        <f>Raw!#REF!+"h_l!.K$"</f>
        <v>#REF!</v>
      </c>
      <c r="EX229" t="e">
        <f>Raw!G644+"h_l!.K%"</f>
        <v>#VALUE!</v>
      </c>
      <c r="EY229" t="e">
        <f>Raw!H644+"h_l!.K&amp;"</f>
        <v>#VALUE!</v>
      </c>
      <c r="EZ229" t="e">
        <f>Raw!I644+"h_l!.K'"</f>
        <v>#VALUE!</v>
      </c>
      <c r="FA229" t="e">
        <f>Raw!J644+"h_l!.K("</f>
        <v>#VALUE!</v>
      </c>
      <c r="FB229" t="e">
        <f>Raw!K644+"h_l!.K)"</f>
        <v>#VALUE!</v>
      </c>
      <c r="FC229" t="e">
        <f>Raw!L644+"h_l!.K."</f>
        <v>#VALUE!</v>
      </c>
      <c r="FD229" t="e">
        <f>Raw!M644+"h_l!.K/"</f>
        <v>#VALUE!</v>
      </c>
      <c r="FE229" t="e">
        <f>Raw!N644+"h_l!.K0"</f>
        <v>#VALUE!</v>
      </c>
      <c r="FF229" t="e">
        <f>Raw!O644+"h_l!.K1"</f>
        <v>#VALUE!</v>
      </c>
      <c r="FG229" t="e">
        <f>Raw!P644+"h_l!.K2"</f>
        <v>#VALUE!</v>
      </c>
      <c r="FH229" t="e">
        <f>Raw!Q644+"h_l!.K3"</f>
        <v>#VALUE!</v>
      </c>
      <c r="FI229" t="e">
        <f>Raw!R644+"h_l!.K4"</f>
        <v>#VALUE!</v>
      </c>
      <c r="FJ229" t="e">
        <f>Raw!S644+"h_l!.K5"</f>
        <v>#VALUE!</v>
      </c>
      <c r="FK229" t="e">
        <f>Raw!T644+"h_l!.K6"</f>
        <v>#VALUE!</v>
      </c>
      <c r="FL229" t="e">
        <f>Raw!U644+"h_l!.K7"</f>
        <v>#VALUE!</v>
      </c>
      <c r="FM229" t="e">
        <f>Raw!V644+"h_l!.K8"</f>
        <v>#VALUE!</v>
      </c>
      <c r="FN229" t="e">
        <f>Raw!W644+"h_l!.K9"</f>
        <v>#VALUE!</v>
      </c>
      <c r="FO229" t="e">
        <f>Raw!A645+"h_l!.K:"</f>
        <v>#VALUE!</v>
      </c>
      <c r="FP229" t="e">
        <f>Raw!B645+"h_l!.K;"</f>
        <v>#VALUE!</v>
      </c>
      <c r="FQ229" t="e">
        <f>Raw!C645+"h_l!.K&lt;"</f>
        <v>#VALUE!</v>
      </c>
      <c r="FR229" t="e">
        <f>Raw!D645+"h_l!.K="</f>
        <v>#VALUE!</v>
      </c>
      <c r="FS229" t="e">
        <f>Raw!E645+"h_l!.K&gt;"</f>
        <v>#VALUE!</v>
      </c>
      <c r="FT229" t="e">
        <f>Raw!#REF!+"h_l!.K?"</f>
        <v>#REF!</v>
      </c>
      <c r="FU229" t="e">
        <f>Raw!G645+"h_l!.K@"</f>
        <v>#VALUE!</v>
      </c>
      <c r="FV229" t="e">
        <f>Raw!H645+"h_l!.KA"</f>
        <v>#VALUE!</v>
      </c>
      <c r="FW229" t="e">
        <f>Raw!I645+"h_l!.KB"</f>
        <v>#VALUE!</v>
      </c>
      <c r="FX229" t="e">
        <f>Raw!J645+"h_l!.KC"</f>
        <v>#VALUE!</v>
      </c>
      <c r="FY229" t="e">
        <f>Raw!K645+"h_l!.KD"</f>
        <v>#VALUE!</v>
      </c>
      <c r="FZ229" t="e">
        <f>Raw!L645+"h_l!.KE"</f>
        <v>#VALUE!</v>
      </c>
      <c r="GA229" t="e">
        <f>Raw!M645+"h_l!.KF"</f>
        <v>#VALUE!</v>
      </c>
      <c r="GB229" t="e">
        <f>Raw!N645+"h_l!.KG"</f>
        <v>#VALUE!</v>
      </c>
      <c r="GC229" t="e">
        <f>Raw!O645+"h_l!.KH"</f>
        <v>#VALUE!</v>
      </c>
      <c r="GD229" t="e">
        <f>Raw!P645+"h_l!.KI"</f>
        <v>#VALUE!</v>
      </c>
      <c r="GE229" t="e">
        <f>Raw!Q645+"h_l!.KJ"</f>
        <v>#VALUE!</v>
      </c>
      <c r="GF229" t="e">
        <f>Raw!R645+"h_l!.KK"</f>
        <v>#VALUE!</v>
      </c>
      <c r="GG229" t="e">
        <f>Raw!S645+"h_l!.KL"</f>
        <v>#VALUE!</v>
      </c>
      <c r="GH229" t="e">
        <f>Raw!T645+"h_l!.KM"</f>
        <v>#VALUE!</v>
      </c>
      <c r="GI229" t="e">
        <f>Raw!U645+"h_l!.KN"</f>
        <v>#VALUE!</v>
      </c>
      <c r="GJ229" t="e">
        <f>Raw!V645+"h_l!.KO"</f>
        <v>#VALUE!</v>
      </c>
      <c r="GK229" t="e">
        <f>Raw!W645+"h_l!.KP"</f>
        <v>#VALUE!</v>
      </c>
      <c r="GL229" t="e">
        <f>Raw!A646+"h_l!.KQ"</f>
        <v>#VALUE!</v>
      </c>
      <c r="GM229" t="e">
        <f>Raw!B646+"h_l!.KR"</f>
        <v>#VALUE!</v>
      </c>
      <c r="GN229" t="e">
        <f>Raw!C646+"h_l!.KS"</f>
        <v>#VALUE!</v>
      </c>
      <c r="GO229" t="e">
        <f>Raw!D646+"h_l!.KT"</f>
        <v>#VALUE!</v>
      </c>
      <c r="GP229" t="e">
        <f>Raw!E646+"h_l!.KU"</f>
        <v>#VALUE!</v>
      </c>
      <c r="GQ229" t="e">
        <f>Raw!#REF!+"h_l!.KV"</f>
        <v>#REF!</v>
      </c>
      <c r="GR229" t="e">
        <f>Raw!G646+"h_l!.KW"</f>
        <v>#VALUE!</v>
      </c>
      <c r="GS229" t="e">
        <f>Raw!H646+"h_l!.KX"</f>
        <v>#VALUE!</v>
      </c>
      <c r="GT229" t="e">
        <f>Raw!I646+"h_l!.KY"</f>
        <v>#VALUE!</v>
      </c>
      <c r="GU229" t="e">
        <f>Raw!J646+"h_l!.KZ"</f>
        <v>#VALUE!</v>
      </c>
      <c r="GV229" t="e">
        <f>Raw!K646+"h_l!.K["</f>
        <v>#VALUE!</v>
      </c>
      <c r="GW229" t="e">
        <f>Raw!L646+"h_l!.K\"</f>
        <v>#VALUE!</v>
      </c>
      <c r="GX229" t="e">
        <f>Raw!M646+"h_l!.K]"</f>
        <v>#VALUE!</v>
      </c>
      <c r="GY229" t="e">
        <f>Raw!N646+"h_l!.K^"</f>
        <v>#VALUE!</v>
      </c>
      <c r="GZ229" t="e">
        <f>Raw!O646+"h_l!.K_"</f>
        <v>#VALUE!</v>
      </c>
      <c r="HA229" t="e">
        <f>Raw!P646+"h_l!.K`"</f>
        <v>#VALUE!</v>
      </c>
      <c r="HB229" t="e">
        <f>Raw!Q646+"h_l!.Ka"</f>
        <v>#VALUE!</v>
      </c>
      <c r="HC229" t="e">
        <f>Raw!R646+"h_l!.Kb"</f>
        <v>#VALUE!</v>
      </c>
      <c r="HD229" t="e">
        <f>Raw!S646+"h_l!.Kc"</f>
        <v>#VALUE!</v>
      </c>
      <c r="HE229" t="e">
        <f>Raw!T646+"h_l!.Kd"</f>
        <v>#VALUE!</v>
      </c>
      <c r="HF229" t="e">
        <f>Raw!U646+"h_l!.Ke"</f>
        <v>#VALUE!</v>
      </c>
      <c r="HG229" t="e">
        <f>Raw!V646+"h_l!.Kf"</f>
        <v>#VALUE!</v>
      </c>
      <c r="HH229" t="e">
        <f>Raw!W646+"h_l!.Kg"</f>
        <v>#VALUE!</v>
      </c>
      <c r="HI229" t="e">
        <f>Raw!A647+"h_l!.Kh"</f>
        <v>#VALUE!</v>
      </c>
      <c r="HJ229" t="e">
        <f>Raw!B647+"h_l!.Ki"</f>
        <v>#VALUE!</v>
      </c>
      <c r="HK229" t="e">
        <f>Raw!C647+"h_l!.Kj"</f>
        <v>#VALUE!</v>
      </c>
      <c r="HL229" t="e">
        <f>Raw!D647+"h_l!.Kk"</f>
        <v>#VALUE!</v>
      </c>
      <c r="HM229" t="e">
        <f>Raw!E647+"h_l!.Kl"</f>
        <v>#VALUE!</v>
      </c>
      <c r="HN229" t="e">
        <f>Raw!#REF!+"h_l!.Km"</f>
        <v>#REF!</v>
      </c>
      <c r="HO229" t="e">
        <f>Raw!G647+"h_l!.Kn"</f>
        <v>#VALUE!</v>
      </c>
      <c r="HP229" t="e">
        <f>Raw!H647+"h_l!.Ko"</f>
        <v>#VALUE!</v>
      </c>
      <c r="HQ229" t="e">
        <f>Raw!I647+"h_l!.Kp"</f>
        <v>#VALUE!</v>
      </c>
      <c r="HR229" t="e">
        <f>Raw!J647+"h_l!.Kq"</f>
        <v>#VALUE!</v>
      </c>
      <c r="HS229" t="e">
        <f>Raw!K647+"h_l!.Kr"</f>
        <v>#VALUE!</v>
      </c>
      <c r="HT229" t="e">
        <f>Raw!L647+"h_l!.Ks"</f>
        <v>#VALUE!</v>
      </c>
      <c r="HU229" t="e">
        <f>Raw!M647+"h_l!.Kt"</f>
        <v>#VALUE!</v>
      </c>
      <c r="HV229" t="e">
        <f>Raw!N647+"h_l!.Ku"</f>
        <v>#VALUE!</v>
      </c>
      <c r="HW229" t="e">
        <f>Raw!O647+"h_l!.Kv"</f>
        <v>#VALUE!</v>
      </c>
      <c r="HX229" t="e">
        <f>Raw!P647+"h_l!.Kw"</f>
        <v>#VALUE!</v>
      </c>
      <c r="HY229" t="e">
        <f>Raw!Q647+"h_l!.Kx"</f>
        <v>#VALUE!</v>
      </c>
      <c r="HZ229" t="e">
        <f>Raw!R647+"h_l!.Ky"</f>
        <v>#VALUE!</v>
      </c>
      <c r="IA229" t="e">
        <f>Raw!S647+"h_l!.Kz"</f>
        <v>#VALUE!</v>
      </c>
      <c r="IB229" t="e">
        <f>Raw!T647+"h_l!.K{"</f>
        <v>#VALUE!</v>
      </c>
      <c r="IC229" t="e">
        <f>Raw!U647+"h_l!.K|"</f>
        <v>#VALUE!</v>
      </c>
      <c r="ID229" t="e">
        <f>Raw!V647+"h_l!.K}"</f>
        <v>#VALUE!</v>
      </c>
      <c r="IE229" t="e">
        <f>Raw!W647+"h_l!.K~"</f>
        <v>#VALUE!</v>
      </c>
      <c r="IF229" t="e">
        <f>Raw!A648+"h_l!.L#"</f>
        <v>#VALUE!</v>
      </c>
      <c r="IG229" t="e">
        <f>Raw!B648+"h_l!.L$"</f>
        <v>#VALUE!</v>
      </c>
      <c r="IH229" t="e">
        <f>Raw!C648+"h_l!.L%"</f>
        <v>#VALUE!</v>
      </c>
      <c r="II229" t="e">
        <f>Raw!D648+"h_l!.L&amp;"</f>
        <v>#VALUE!</v>
      </c>
      <c r="IJ229" t="e">
        <f>Raw!E648+"h_l!.L'"</f>
        <v>#VALUE!</v>
      </c>
      <c r="IK229" t="e">
        <f>Raw!#REF!+"h_l!.L("</f>
        <v>#REF!</v>
      </c>
      <c r="IL229" t="e">
        <f>Raw!G648+"h_l!.L)"</f>
        <v>#VALUE!</v>
      </c>
      <c r="IM229" t="e">
        <f>Raw!H648+"h_l!.L."</f>
        <v>#VALUE!</v>
      </c>
      <c r="IN229" t="e">
        <f>Raw!I648+"h_l!.L/"</f>
        <v>#VALUE!</v>
      </c>
      <c r="IO229" t="e">
        <f>Raw!J648+"h_l!.L0"</f>
        <v>#VALUE!</v>
      </c>
      <c r="IP229" t="e">
        <f>Raw!K648+"h_l!.L1"</f>
        <v>#VALUE!</v>
      </c>
      <c r="IQ229" t="e">
        <f>Raw!L648+"h_l!.L2"</f>
        <v>#VALUE!</v>
      </c>
      <c r="IR229" t="e">
        <f>Raw!M648+"h_l!.L3"</f>
        <v>#VALUE!</v>
      </c>
      <c r="IS229" t="e">
        <f>Raw!N648+"h_l!.L4"</f>
        <v>#VALUE!</v>
      </c>
      <c r="IT229" t="e">
        <f>Raw!O648+"h_l!.L5"</f>
        <v>#VALUE!</v>
      </c>
      <c r="IU229" t="e">
        <f>Raw!P648+"h_l!.L6"</f>
        <v>#VALUE!</v>
      </c>
      <c r="IV229" t="e">
        <f>Raw!Q648+"h_l!.L7"</f>
        <v>#VALUE!</v>
      </c>
    </row>
    <row r="230" spans="6:256" x14ac:dyDescent="0.25">
      <c r="F230" t="e">
        <f>Raw!R648+"h_l!.L8"</f>
        <v>#VALUE!</v>
      </c>
      <c r="G230" t="e">
        <f>Raw!S648+"h_l!.L9"</f>
        <v>#VALUE!</v>
      </c>
      <c r="H230" t="e">
        <f>Raw!T648+"h_l!.L:"</f>
        <v>#VALUE!</v>
      </c>
      <c r="I230" t="e">
        <f>Raw!U648+"h_l!.L;"</f>
        <v>#VALUE!</v>
      </c>
      <c r="J230" t="e">
        <f>Raw!V648+"h_l!.L&lt;"</f>
        <v>#VALUE!</v>
      </c>
      <c r="K230" t="e">
        <f>Raw!W648+"h_l!.L="</f>
        <v>#VALUE!</v>
      </c>
      <c r="L230" t="e">
        <f>Raw!A649+"h_l!.L&gt;"</f>
        <v>#VALUE!</v>
      </c>
      <c r="M230" t="e">
        <f>Raw!B649+"h_l!.L?"</f>
        <v>#VALUE!</v>
      </c>
      <c r="N230" t="e">
        <f>Raw!C649+"h_l!.L@"</f>
        <v>#VALUE!</v>
      </c>
      <c r="O230" t="e">
        <f>Raw!D649+"h_l!.LA"</f>
        <v>#VALUE!</v>
      </c>
      <c r="P230" t="e">
        <f>Raw!E649+"h_l!.LB"</f>
        <v>#VALUE!</v>
      </c>
      <c r="Q230" t="e">
        <f>Raw!#REF!+"h_l!.LC"</f>
        <v>#REF!</v>
      </c>
      <c r="R230" t="e">
        <f>Raw!G649+"h_l!.LD"</f>
        <v>#VALUE!</v>
      </c>
      <c r="S230" t="e">
        <f>Raw!H649+"h_l!.LE"</f>
        <v>#VALUE!</v>
      </c>
      <c r="T230" t="e">
        <f>Raw!I649+"h_l!.LF"</f>
        <v>#VALUE!</v>
      </c>
      <c r="U230" t="e">
        <f>Raw!J649+"h_l!.LG"</f>
        <v>#VALUE!</v>
      </c>
      <c r="V230" t="e">
        <f>Raw!K649+"h_l!.LH"</f>
        <v>#VALUE!</v>
      </c>
      <c r="W230" t="e">
        <f>Raw!L649+"h_l!.LI"</f>
        <v>#VALUE!</v>
      </c>
      <c r="X230" t="e">
        <f>Raw!M649+"h_l!.LJ"</f>
        <v>#VALUE!</v>
      </c>
      <c r="Y230" t="e">
        <f>Raw!N649+"h_l!.LK"</f>
        <v>#VALUE!</v>
      </c>
      <c r="Z230" t="e">
        <f>Raw!O649+"h_l!.LL"</f>
        <v>#VALUE!</v>
      </c>
      <c r="AA230" t="e">
        <f>Raw!P649+"h_l!.LM"</f>
        <v>#VALUE!</v>
      </c>
      <c r="AB230" t="e">
        <f>Raw!Q649+"h_l!.LN"</f>
        <v>#VALUE!</v>
      </c>
      <c r="AC230" t="e">
        <f>Raw!R649+"h_l!.LO"</f>
        <v>#VALUE!</v>
      </c>
      <c r="AD230" t="e">
        <f>Raw!S649+"h_l!.LP"</f>
        <v>#VALUE!</v>
      </c>
      <c r="AE230" t="e">
        <f>Raw!T649+"h_l!.LQ"</f>
        <v>#VALUE!</v>
      </c>
      <c r="AF230" t="e">
        <f>Raw!U649+"h_l!.LR"</f>
        <v>#VALUE!</v>
      </c>
      <c r="AG230" t="e">
        <f>Raw!V649+"h_l!.LS"</f>
        <v>#VALUE!</v>
      </c>
      <c r="AH230" t="e">
        <f>Raw!W649+"h_l!.LT"</f>
        <v>#VALUE!</v>
      </c>
      <c r="AI230" t="e">
        <f>Raw!A650+"h_l!.LU"</f>
        <v>#VALUE!</v>
      </c>
      <c r="AJ230" t="e">
        <f>Raw!B650+"h_l!.LV"</f>
        <v>#VALUE!</v>
      </c>
      <c r="AK230" t="e">
        <f>Raw!C650+"h_l!.LW"</f>
        <v>#VALUE!</v>
      </c>
      <c r="AL230" t="e">
        <f>Raw!D650+"h_l!.LX"</f>
        <v>#VALUE!</v>
      </c>
      <c r="AM230" t="e">
        <f>Raw!E650+"h_l!.LY"</f>
        <v>#VALUE!</v>
      </c>
      <c r="AN230" t="e">
        <f>Raw!#REF!+"h_l!.LZ"</f>
        <v>#REF!</v>
      </c>
      <c r="AO230" t="e">
        <f>Raw!G650+"h_l!.L["</f>
        <v>#VALUE!</v>
      </c>
      <c r="AP230" t="e">
        <f>Raw!H650+"h_l!.L\"</f>
        <v>#VALUE!</v>
      </c>
      <c r="AQ230" t="e">
        <f>Raw!I650+"h_l!.L]"</f>
        <v>#VALUE!</v>
      </c>
      <c r="AR230" t="e">
        <f>Raw!J650+"h_l!.L^"</f>
        <v>#VALUE!</v>
      </c>
      <c r="AS230" t="e">
        <f>Raw!K650+"h_l!.L_"</f>
        <v>#VALUE!</v>
      </c>
      <c r="AT230" t="e">
        <f>Raw!L650+"h_l!.L`"</f>
        <v>#VALUE!</v>
      </c>
      <c r="AU230" t="e">
        <f>Raw!M650+"h_l!.La"</f>
        <v>#VALUE!</v>
      </c>
      <c r="AV230" t="e">
        <f>Raw!N650+"h_l!.Lb"</f>
        <v>#VALUE!</v>
      </c>
      <c r="AW230" t="e">
        <f>Raw!O650+"h_l!.Lc"</f>
        <v>#VALUE!</v>
      </c>
      <c r="AX230" t="e">
        <f>Raw!P650+"h_l!.Ld"</f>
        <v>#VALUE!</v>
      </c>
      <c r="AY230" t="e">
        <f>Raw!Q650+"h_l!.Le"</f>
        <v>#VALUE!</v>
      </c>
      <c r="AZ230" t="e">
        <f>Raw!R650+"h_l!.Lf"</f>
        <v>#VALUE!</v>
      </c>
      <c r="BA230" t="e">
        <f>Raw!S650+"h_l!.Lg"</f>
        <v>#VALUE!</v>
      </c>
      <c r="BB230" t="e">
        <f>Raw!T650+"h_l!.Lh"</f>
        <v>#VALUE!</v>
      </c>
      <c r="BC230" t="e">
        <f>Raw!U650+"h_l!.Li"</f>
        <v>#VALUE!</v>
      </c>
      <c r="BD230" t="e">
        <f>Raw!V650+"h_l!.Lj"</f>
        <v>#VALUE!</v>
      </c>
      <c r="BE230" t="e">
        <f>Raw!W650+"h_l!.Lk"</f>
        <v>#VALUE!</v>
      </c>
      <c r="BF230" t="e">
        <f>Raw!A651+"h_l!.Ll"</f>
        <v>#VALUE!</v>
      </c>
      <c r="BG230" t="e">
        <f>Raw!B651+"h_l!.Lm"</f>
        <v>#VALUE!</v>
      </c>
      <c r="BH230" t="e">
        <f>Raw!C651+"h_l!.Ln"</f>
        <v>#VALUE!</v>
      </c>
      <c r="BI230" t="e">
        <f>Raw!D651+"h_l!.Lo"</f>
        <v>#VALUE!</v>
      </c>
      <c r="BJ230" t="e">
        <f>Raw!E651+"h_l!.Lp"</f>
        <v>#VALUE!</v>
      </c>
      <c r="BK230" t="e">
        <f>Raw!#REF!+"h_l!.Lq"</f>
        <v>#REF!</v>
      </c>
      <c r="BL230" t="e">
        <f>Raw!G651+"h_l!.Lr"</f>
        <v>#VALUE!</v>
      </c>
      <c r="BM230" t="e">
        <f>Raw!H651+"h_l!.Ls"</f>
        <v>#VALUE!</v>
      </c>
      <c r="BN230" t="e">
        <f>Raw!I651+"h_l!.Lt"</f>
        <v>#VALUE!</v>
      </c>
      <c r="BO230" t="e">
        <f>Raw!J651+"h_l!.Lu"</f>
        <v>#VALUE!</v>
      </c>
      <c r="BP230" t="e">
        <f>Raw!K651+"h_l!.Lv"</f>
        <v>#VALUE!</v>
      </c>
      <c r="BQ230" t="e">
        <f>Raw!L651+"h_l!.Lw"</f>
        <v>#VALUE!</v>
      </c>
      <c r="BR230" t="e">
        <f>Raw!M651+"h_l!.Lx"</f>
        <v>#VALUE!</v>
      </c>
      <c r="BS230" t="e">
        <f>Raw!N651+"h_l!.Ly"</f>
        <v>#VALUE!</v>
      </c>
      <c r="BT230" t="e">
        <f>Raw!O651+"h_l!.Lz"</f>
        <v>#VALUE!</v>
      </c>
      <c r="BU230" t="e">
        <f>Raw!P651+"h_l!.L{"</f>
        <v>#VALUE!</v>
      </c>
      <c r="BV230" t="e">
        <f>Raw!Q651+"h_l!.L|"</f>
        <v>#VALUE!</v>
      </c>
      <c r="BW230" t="e">
        <f>Raw!R651+"h_l!.L}"</f>
        <v>#VALUE!</v>
      </c>
      <c r="BX230" t="e">
        <f>Raw!S651+"h_l!.L~"</f>
        <v>#VALUE!</v>
      </c>
      <c r="BY230" t="e">
        <f>Raw!T651+"h_l!.M#"</f>
        <v>#VALUE!</v>
      </c>
      <c r="BZ230" t="e">
        <f>Raw!U651+"h_l!.M$"</f>
        <v>#VALUE!</v>
      </c>
      <c r="CA230" t="e">
        <f>Raw!V651+"h_l!.M%"</f>
        <v>#VALUE!</v>
      </c>
      <c r="CB230" t="e">
        <f>Raw!W651+"h_l!.M&amp;"</f>
        <v>#VALUE!</v>
      </c>
      <c r="CC230" t="e">
        <f>Raw!A652+"h_l!.M'"</f>
        <v>#VALUE!</v>
      </c>
      <c r="CD230" t="e">
        <f>Raw!B652+"h_l!.M("</f>
        <v>#VALUE!</v>
      </c>
      <c r="CE230" t="e">
        <f>Raw!C652+"h_l!.M)"</f>
        <v>#VALUE!</v>
      </c>
      <c r="CF230" t="e">
        <f>Raw!D652+"h_l!.M."</f>
        <v>#VALUE!</v>
      </c>
      <c r="CG230" t="e">
        <f>Raw!E652+"h_l!.M/"</f>
        <v>#VALUE!</v>
      </c>
      <c r="CH230" t="e">
        <f>Raw!#REF!+"h_l!.M0"</f>
        <v>#REF!</v>
      </c>
      <c r="CI230" t="e">
        <f>Raw!G652+"h_l!.M1"</f>
        <v>#VALUE!</v>
      </c>
      <c r="CJ230" t="e">
        <f>Raw!H652+"h_l!.M2"</f>
        <v>#VALUE!</v>
      </c>
      <c r="CK230" t="e">
        <f>Raw!I652+"h_l!.M3"</f>
        <v>#VALUE!</v>
      </c>
      <c r="CL230" t="e">
        <f>Raw!J652+"h_l!.M4"</f>
        <v>#VALUE!</v>
      </c>
      <c r="CM230" t="e">
        <f>Raw!K652+"h_l!.M5"</f>
        <v>#VALUE!</v>
      </c>
      <c r="CN230" t="e">
        <f>Raw!L652+"h_l!.M6"</f>
        <v>#VALUE!</v>
      </c>
      <c r="CO230" t="e">
        <f>Raw!M652+"h_l!.M7"</f>
        <v>#VALUE!</v>
      </c>
      <c r="CP230" t="e">
        <f>Raw!N652+"h_l!.M8"</f>
        <v>#VALUE!</v>
      </c>
      <c r="CQ230" t="e">
        <f>Raw!O652+"h_l!.M9"</f>
        <v>#VALUE!</v>
      </c>
      <c r="CR230" t="e">
        <f>Raw!P652+"h_l!.M:"</f>
        <v>#VALUE!</v>
      </c>
      <c r="CS230" t="e">
        <f>Raw!Q652+"h_l!.M;"</f>
        <v>#VALUE!</v>
      </c>
      <c r="CT230" t="e">
        <f>Raw!R652+"h_l!.M&lt;"</f>
        <v>#VALUE!</v>
      </c>
      <c r="CU230" t="e">
        <f>Raw!S652+"h_l!.M="</f>
        <v>#VALUE!</v>
      </c>
      <c r="CV230" t="e">
        <f>Raw!T652+"h_l!.M&gt;"</f>
        <v>#VALUE!</v>
      </c>
      <c r="CW230" t="e">
        <f>Raw!U652+"h_l!.M?"</f>
        <v>#VALUE!</v>
      </c>
      <c r="CX230" t="e">
        <f>Raw!V652+"h_l!.M@"</f>
        <v>#VALUE!</v>
      </c>
      <c r="CY230" t="e">
        <f>Raw!W652+"h_l!.MA"</f>
        <v>#VALUE!</v>
      </c>
      <c r="CZ230" t="e">
        <f>Raw!A653+"h_l!.MB"</f>
        <v>#VALUE!</v>
      </c>
      <c r="DA230" t="e">
        <f>Raw!B653+"h_l!.MC"</f>
        <v>#VALUE!</v>
      </c>
      <c r="DB230" t="e">
        <f>Raw!C653+"h_l!.MD"</f>
        <v>#VALUE!</v>
      </c>
      <c r="DC230" t="e">
        <f>Raw!D653+"h_l!.ME"</f>
        <v>#VALUE!</v>
      </c>
      <c r="DD230" t="e">
        <f>Raw!E653+"h_l!.MF"</f>
        <v>#VALUE!</v>
      </c>
      <c r="DE230" t="e">
        <f>Raw!#REF!+"h_l!.MG"</f>
        <v>#REF!</v>
      </c>
      <c r="DF230" t="e">
        <f>Raw!G653+"h_l!.MH"</f>
        <v>#VALUE!</v>
      </c>
      <c r="DG230" t="e">
        <f>Raw!H653+"h_l!.MI"</f>
        <v>#VALUE!</v>
      </c>
      <c r="DH230" t="e">
        <f>Raw!I653+"h_l!.MJ"</f>
        <v>#VALUE!</v>
      </c>
      <c r="DI230" t="e">
        <f>Raw!J653+"h_l!.MK"</f>
        <v>#VALUE!</v>
      </c>
      <c r="DJ230" t="e">
        <f>Raw!K653+"h_l!.ML"</f>
        <v>#VALUE!</v>
      </c>
      <c r="DK230" t="e">
        <f>Raw!L653+"h_l!.MM"</f>
        <v>#VALUE!</v>
      </c>
      <c r="DL230" t="e">
        <f>Raw!M653+"h_l!.MN"</f>
        <v>#VALUE!</v>
      </c>
      <c r="DM230" t="e">
        <f>Raw!N653+"h_l!.MO"</f>
        <v>#VALUE!</v>
      </c>
      <c r="DN230" t="e">
        <f>Raw!O653+"h_l!.MP"</f>
        <v>#VALUE!</v>
      </c>
      <c r="DO230" t="e">
        <f>Raw!P653+"h_l!.MQ"</f>
        <v>#VALUE!</v>
      </c>
      <c r="DP230" t="e">
        <f>Raw!Q653+"h_l!.MR"</f>
        <v>#VALUE!</v>
      </c>
      <c r="DQ230" t="e">
        <f>Raw!R653+"h_l!.MS"</f>
        <v>#VALUE!</v>
      </c>
      <c r="DR230" t="e">
        <f>Raw!S653+"h_l!.MT"</f>
        <v>#VALUE!</v>
      </c>
      <c r="DS230" t="e">
        <f>Raw!T653+"h_l!.MU"</f>
        <v>#VALUE!</v>
      </c>
      <c r="DT230" t="e">
        <f>Raw!U653+"h_l!.MV"</f>
        <v>#VALUE!</v>
      </c>
      <c r="DU230" t="e">
        <f>Raw!V653+"h_l!.MW"</f>
        <v>#VALUE!</v>
      </c>
      <c r="DV230" t="e">
        <f>Raw!W653+"h_l!.MX"</f>
        <v>#VALUE!</v>
      </c>
      <c r="DW230" t="e">
        <f>Raw!A654+"h_l!.MY"</f>
        <v>#VALUE!</v>
      </c>
      <c r="DX230" t="e">
        <f>Raw!B654+"h_l!.MZ"</f>
        <v>#VALUE!</v>
      </c>
      <c r="DY230" t="e">
        <f>Raw!C654+"h_l!.M["</f>
        <v>#VALUE!</v>
      </c>
      <c r="DZ230" t="e">
        <f>Raw!D654+"h_l!.M\"</f>
        <v>#VALUE!</v>
      </c>
      <c r="EA230" t="e">
        <f>Raw!E654+"h_l!.M]"</f>
        <v>#VALUE!</v>
      </c>
      <c r="EB230" t="e">
        <f>Raw!#REF!+"h_l!.M^"</f>
        <v>#REF!</v>
      </c>
      <c r="EC230" t="e">
        <f>Raw!G654+"h_l!.M_"</f>
        <v>#VALUE!</v>
      </c>
      <c r="ED230" t="e">
        <f>Raw!H654+"h_l!.M`"</f>
        <v>#VALUE!</v>
      </c>
      <c r="EE230" t="e">
        <f>Raw!I654+"h_l!.Ma"</f>
        <v>#VALUE!</v>
      </c>
      <c r="EF230" t="e">
        <f>Raw!J654+"h_l!.Mb"</f>
        <v>#VALUE!</v>
      </c>
      <c r="EG230" t="e">
        <f>Raw!K654+"h_l!.Mc"</f>
        <v>#VALUE!</v>
      </c>
      <c r="EH230" t="e">
        <f>Raw!L654+"h_l!.Md"</f>
        <v>#VALUE!</v>
      </c>
      <c r="EI230" t="e">
        <f>Raw!M654+"h_l!.Me"</f>
        <v>#VALUE!</v>
      </c>
      <c r="EJ230" t="e">
        <f>Raw!N654+"h_l!.Mf"</f>
        <v>#VALUE!</v>
      </c>
      <c r="EK230" t="e">
        <f>Raw!O654+"h_l!.Mg"</f>
        <v>#VALUE!</v>
      </c>
      <c r="EL230" t="e">
        <f>Raw!P654+"h_l!.Mh"</f>
        <v>#VALUE!</v>
      </c>
      <c r="EM230" t="e">
        <f>Raw!Q654+"h_l!.Mi"</f>
        <v>#VALUE!</v>
      </c>
      <c r="EN230" t="e">
        <f>Raw!R654+"h_l!.Mj"</f>
        <v>#VALUE!</v>
      </c>
      <c r="EO230" t="e">
        <f>Raw!S654+"h_l!.Mk"</f>
        <v>#VALUE!</v>
      </c>
      <c r="EP230" t="e">
        <f>Raw!T654+"h_l!.Ml"</f>
        <v>#VALUE!</v>
      </c>
      <c r="EQ230" t="e">
        <f>Raw!U654+"h_l!.Mm"</f>
        <v>#VALUE!</v>
      </c>
      <c r="ER230" t="e">
        <f>Raw!V654+"h_l!.Mn"</f>
        <v>#VALUE!</v>
      </c>
      <c r="ES230" t="e">
        <f>Raw!W654+"h_l!.Mo"</f>
        <v>#VALUE!</v>
      </c>
      <c r="ET230" t="e">
        <f>Raw!A655+"h_l!.Mp"</f>
        <v>#VALUE!</v>
      </c>
      <c r="EU230" t="e">
        <f>Raw!B655+"h_l!.Mq"</f>
        <v>#VALUE!</v>
      </c>
      <c r="EV230" t="e">
        <f>Raw!C655+"h_l!.Mr"</f>
        <v>#VALUE!</v>
      </c>
      <c r="EW230" t="e">
        <f>Raw!D655+"h_l!.Ms"</f>
        <v>#VALUE!</v>
      </c>
      <c r="EX230" t="e">
        <f>Raw!E655+"h_l!.Mt"</f>
        <v>#VALUE!</v>
      </c>
      <c r="EY230" t="e">
        <f>Raw!#REF!+"h_l!.Mu"</f>
        <v>#REF!</v>
      </c>
      <c r="EZ230" t="e">
        <f>Raw!G655+"h_l!.Mv"</f>
        <v>#VALUE!</v>
      </c>
      <c r="FA230" t="e">
        <f>Raw!H655+"h_l!.Mw"</f>
        <v>#VALUE!</v>
      </c>
      <c r="FB230" t="e">
        <f>Raw!I655+"h_l!.Mx"</f>
        <v>#VALUE!</v>
      </c>
      <c r="FC230" t="e">
        <f>Raw!J655+"h_l!.My"</f>
        <v>#VALUE!</v>
      </c>
      <c r="FD230" t="e">
        <f>Raw!K655+"h_l!.Mz"</f>
        <v>#VALUE!</v>
      </c>
      <c r="FE230" t="e">
        <f>Raw!L655+"h_l!.M{"</f>
        <v>#VALUE!</v>
      </c>
      <c r="FF230" t="e">
        <f>Raw!M655+"h_l!.M|"</f>
        <v>#VALUE!</v>
      </c>
      <c r="FG230" t="e">
        <f>Raw!N655+"h_l!.M}"</f>
        <v>#VALUE!</v>
      </c>
      <c r="FH230" t="e">
        <f>Raw!O655+"h_l!.M~"</f>
        <v>#VALUE!</v>
      </c>
      <c r="FI230" t="e">
        <f>Raw!P655+"h_l!.N#"</f>
        <v>#VALUE!</v>
      </c>
      <c r="FJ230" t="e">
        <f>Raw!Q655+"h_l!.N$"</f>
        <v>#VALUE!</v>
      </c>
      <c r="FK230" t="e">
        <f>Raw!R655+"h_l!.N%"</f>
        <v>#VALUE!</v>
      </c>
      <c r="FL230" t="e">
        <f>Raw!S655+"h_l!.N&amp;"</f>
        <v>#VALUE!</v>
      </c>
      <c r="FM230" t="e">
        <f>Raw!T655+"h_l!.N'"</f>
        <v>#VALUE!</v>
      </c>
      <c r="FN230" t="e">
        <f>Raw!U655+"h_l!.N("</f>
        <v>#VALUE!</v>
      </c>
      <c r="FO230" t="e">
        <f>Raw!V655+"h_l!.N)"</f>
        <v>#VALUE!</v>
      </c>
      <c r="FP230" t="e">
        <f>Raw!W655+"h_l!.N."</f>
        <v>#VALUE!</v>
      </c>
      <c r="FQ230" t="e">
        <f>Raw!A656+"h_l!.N/"</f>
        <v>#VALUE!</v>
      </c>
      <c r="FR230" t="e">
        <f>Raw!B656+"h_l!.N0"</f>
        <v>#VALUE!</v>
      </c>
      <c r="FS230" t="e">
        <f>Raw!C656+"h_l!.N1"</f>
        <v>#VALUE!</v>
      </c>
      <c r="FT230" t="e">
        <f>Raw!D656+"h_l!.N2"</f>
        <v>#VALUE!</v>
      </c>
      <c r="FU230" t="e">
        <f>Raw!E656+"h_l!.N3"</f>
        <v>#VALUE!</v>
      </c>
      <c r="FV230" t="e">
        <f>Raw!#REF!+"h_l!.N4"</f>
        <v>#REF!</v>
      </c>
      <c r="FW230" t="e">
        <f>Raw!G656+"h_l!.N5"</f>
        <v>#VALUE!</v>
      </c>
      <c r="FX230" t="e">
        <f>Raw!H656+"h_l!.N6"</f>
        <v>#VALUE!</v>
      </c>
      <c r="FY230" t="e">
        <f>Raw!I656+"h_l!.N7"</f>
        <v>#VALUE!</v>
      </c>
      <c r="FZ230" t="e">
        <f>Raw!J656+"h_l!.N8"</f>
        <v>#VALUE!</v>
      </c>
      <c r="GA230" t="e">
        <f>Raw!K656+"h_l!.N9"</f>
        <v>#VALUE!</v>
      </c>
      <c r="GB230" t="e">
        <f>Raw!L656+"h_l!.N:"</f>
        <v>#VALUE!</v>
      </c>
      <c r="GC230" t="e">
        <f>Raw!M656+"h_l!.N;"</f>
        <v>#VALUE!</v>
      </c>
      <c r="GD230" t="e">
        <f>Raw!N656+"h_l!.N&lt;"</f>
        <v>#VALUE!</v>
      </c>
      <c r="GE230" t="e">
        <f>Raw!O656+"h_l!.N="</f>
        <v>#VALUE!</v>
      </c>
      <c r="GF230" t="e">
        <f>Raw!P656+"h_l!.N&gt;"</f>
        <v>#VALUE!</v>
      </c>
      <c r="GG230" t="e">
        <f>Raw!Q656+"h_l!.N?"</f>
        <v>#VALUE!</v>
      </c>
      <c r="GH230" t="e">
        <f>Raw!R656+"h_l!.N@"</f>
        <v>#VALUE!</v>
      </c>
      <c r="GI230" t="e">
        <f>Raw!S656+"h_l!.NA"</f>
        <v>#VALUE!</v>
      </c>
      <c r="GJ230" t="e">
        <f>Raw!T656+"h_l!.NB"</f>
        <v>#VALUE!</v>
      </c>
      <c r="GK230" t="e">
        <f>Raw!U656+"h_l!.NC"</f>
        <v>#VALUE!</v>
      </c>
      <c r="GL230" t="e">
        <f>Raw!V656+"h_l!.ND"</f>
        <v>#VALUE!</v>
      </c>
      <c r="GM230" t="e">
        <f>Raw!W656+"h_l!.NE"</f>
        <v>#VALUE!</v>
      </c>
      <c r="GN230" t="e">
        <f>Raw!A657+"h_l!.NF"</f>
        <v>#VALUE!</v>
      </c>
      <c r="GO230" t="e">
        <f>Raw!B657+"h_l!.NG"</f>
        <v>#VALUE!</v>
      </c>
      <c r="GP230" t="e">
        <f>Raw!C657+"h_l!.NH"</f>
        <v>#VALUE!</v>
      </c>
      <c r="GQ230" t="e">
        <f>Raw!D657+"h_l!.NI"</f>
        <v>#VALUE!</v>
      </c>
      <c r="GR230" t="e">
        <f>Raw!E657+"h_l!.NJ"</f>
        <v>#VALUE!</v>
      </c>
      <c r="GS230" t="e">
        <f>Raw!#REF!+"h_l!.NK"</f>
        <v>#REF!</v>
      </c>
      <c r="GT230" t="e">
        <f>Raw!G657+"h_l!.NL"</f>
        <v>#VALUE!</v>
      </c>
      <c r="GU230" t="e">
        <f>Raw!H657+"h_l!.NM"</f>
        <v>#VALUE!</v>
      </c>
      <c r="GV230" t="e">
        <f>Raw!I657+"h_l!.NN"</f>
        <v>#VALUE!</v>
      </c>
      <c r="GW230" t="e">
        <f>Raw!J657+"h_l!.NO"</f>
        <v>#VALUE!</v>
      </c>
      <c r="GX230" t="e">
        <f>Raw!K657+"h_l!.NP"</f>
        <v>#VALUE!</v>
      </c>
      <c r="GY230" t="e">
        <f>Raw!L657+"h_l!.NQ"</f>
        <v>#VALUE!</v>
      </c>
      <c r="GZ230" t="e">
        <f>Raw!M657+"h_l!.NR"</f>
        <v>#VALUE!</v>
      </c>
      <c r="HA230" t="e">
        <f>Raw!N657+"h_l!.NS"</f>
        <v>#VALUE!</v>
      </c>
      <c r="HB230" t="e">
        <f>Raw!O657+"h_l!.NT"</f>
        <v>#VALUE!</v>
      </c>
      <c r="HC230" t="e">
        <f>Raw!P657+"h_l!.NU"</f>
        <v>#VALUE!</v>
      </c>
      <c r="HD230" t="e">
        <f>Raw!Q657+"h_l!.NV"</f>
        <v>#VALUE!</v>
      </c>
      <c r="HE230" t="e">
        <f>Raw!R657+"h_l!.NW"</f>
        <v>#VALUE!</v>
      </c>
      <c r="HF230" t="e">
        <f>Raw!S657+"h_l!.NX"</f>
        <v>#VALUE!</v>
      </c>
      <c r="HG230" t="e">
        <f>Raw!T657+"h_l!.NY"</f>
        <v>#VALUE!</v>
      </c>
      <c r="HH230" t="e">
        <f>Raw!U657+"h_l!.NZ"</f>
        <v>#VALUE!</v>
      </c>
      <c r="HI230" t="e">
        <f>Raw!V657+"h_l!.N["</f>
        <v>#VALUE!</v>
      </c>
      <c r="HJ230" t="e">
        <f>Raw!W657+"h_l!.N\"</f>
        <v>#VALUE!</v>
      </c>
      <c r="HK230" t="e">
        <f>Raw!A658+"h_l!.N]"</f>
        <v>#VALUE!</v>
      </c>
      <c r="HL230" t="e">
        <f>Raw!B658+"h_l!.N^"</f>
        <v>#VALUE!</v>
      </c>
      <c r="HM230" t="e">
        <f>Raw!C658+"h_l!.N_"</f>
        <v>#VALUE!</v>
      </c>
      <c r="HN230" t="e">
        <f>Raw!D658+"h_l!.N`"</f>
        <v>#VALUE!</v>
      </c>
      <c r="HO230" t="e">
        <f>Raw!E658+"h_l!.Na"</f>
        <v>#VALUE!</v>
      </c>
      <c r="HP230" t="e">
        <f>Raw!#REF!+"h_l!.Nb"</f>
        <v>#REF!</v>
      </c>
      <c r="HQ230" t="e">
        <f>Raw!G658+"h_l!.Nc"</f>
        <v>#VALUE!</v>
      </c>
      <c r="HR230" t="e">
        <f>Raw!H658+"h_l!.Nd"</f>
        <v>#VALUE!</v>
      </c>
      <c r="HS230" t="e">
        <f>Raw!I658+"h_l!.Ne"</f>
        <v>#VALUE!</v>
      </c>
      <c r="HT230" t="e">
        <f>Raw!J658+"h_l!.Nf"</f>
        <v>#VALUE!</v>
      </c>
      <c r="HU230" t="e">
        <f>Raw!K658+"h_l!.Ng"</f>
        <v>#VALUE!</v>
      </c>
      <c r="HV230" t="e">
        <f>Raw!L658+"h_l!.Nh"</f>
        <v>#VALUE!</v>
      </c>
      <c r="HW230" t="e">
        <f>Raw!M658+"h_l!.Ni"</f>
        <v>#VALUE!</v>
      </c>
      <c r="HX230" t="e">
        <f>Raw!N658+"h_l!.Nj"</f>
        <v>#VALUE!</v>
      </c>
      <c r="HY230" t="e">
        <f>Raw!O658+"h_l!.Nk"</f>
        <v>#VALUE!</v>
      </c>
      <c r="HZ230" t="e">
        <f>Raw!P658+"h_l!.Nl"</f>
        <v>#VALUE!</v>
      </c>
      <c r="IA230" t="e">
        <f>Raw!Q658+"h_l!.Nm"</f>
        <v>#VALUE!</v>
      </c>
      <c r="IB230" t="e">
        <f>Raw!R658+"h_l!.Nn"</f>
        <v>#VALUE!</v>
      </c>
      <c r="IC230" t="e">
        <f>Raw!S658+"h_l!.No"</f>
        <v>#VALUE!</v>
      </c>
      <c r="ID230" t="e">
        <f>Raw!T658+"h_l!.Np"</f>
        <v>#VALUE!</v>
      </c>
      <c r="IE230" t="e">
        <f>Raw!U658+"h_l!.Nq"</f>
        <v>#VALUE!</v>
      </c>
      <c r="IF230" t="e">
        <f>Raw!V658+"h_l!.Nr"</f>
        <v>#VALUE!</v>
      </c>
      <c r="IG230" t="e">
        <f>Raw!W658+"h_l!.Ns"</f>
        <v>#VALUE!</v>
      </c>
      <c r="IH230" t="e">
        <f>Raw!A659+"h_l!.Nt"</f>
        <v>#VALUE!</v>
      </c>
      <c r="II230" t="e">
        <f>Raw!B659+"h_l!.Nu"</f>
        <v>#VALUE!</v>
      </c>
      <c r="IJ230" t="e">
        <f>Raw!C659+"h_l!.Nv"</f>
        <v>#VALUE!</v>
      </c>
      <c r="IK230" t="e">
        <f>Raw!D659+"h_l!.Nw"</f>
        <v>#VALUE!</v>
      </c>
      <c r="IL230" t="e">
        <f>Raw!E659+"h_l!.Nx"</f>
        <v>#VALUE!</v>
      </c>
      <c r="IM230" t="e">
        <f>Raw!#REF!+"h_l!.Ny"</f>
        <v>#REF!</v>
      </c>
      <c r="IN230" t="e">
        <f>Raw!G659+"h_l!.Nz"</f>
        <v>#VALUE!</v>
      </c>
      <c r="IO230" t="e">
        <f>Raw!H659+"h_l!.N{"</f>
        <v>#VALUE!</v>
      </c>
      <c r="IP230" t="e">
        <f>Raw!I659+"h_l!.N|"</f>
        <v>#VALUE!</v>
      </c>
      <c r="IQ230" t="e">
        <f>Raw!J659+"h_l!.N}"</f>
        <v>#VALUE!</v>
      </c>
      <c r="IR230" t="e">
        <f>Raw!K659+"h_l!.N~"</f>
        <v>#VALUE!</v>
      </c>
      <c r="IS230" t="e">
        <f>Raw!L659+"h_l!.O#"</f>
        <v>#VALUE!</v>
      </c>
      <c r="IT230" t="e">
        <f>Raw!M659+"h_l!.O$"</f>
        <v>#VALUE!</v>
      </c>
      <c r="IU230" t="e">
        <f>Raw!N659+"h_l!.O%"</f>
        <v>#VALUE!</v>
      </c>
      <c r="IV230" t="e">
        <f>Raw!O659+"h_l!.O&amp;"</f>
        <v>#VALUE!</v>
      </c>
    </row>
    <row r="231" spans="6:256" x14ac:dyDescent="0.25">
      <c r="F231" t="e">
        <f>Raw!P659+"h_l!.O'"</f>
        <v>#VALUE!</v>
      </c>
      <c r="G231" t="e">
        <f>Raw!Q659+"h_l!.O("</f>
        <v>#VALUE!</v>
      </c>
      <c r="H231" t="e">
        <f>Raw!R659+"h_l!.O)"</f>
        <v>#VALUE!</v>
      </c>
      <c r="I231" t="e">
        <f>Raw!S659+"h_l!.O."</f>
        <v>#VALUE!</v>
      </c>
      <c r="J231" t="e">
        <f>Raw!T659+"h_l!.O/"</f>
        <v>#VALUE!</v>
      </c>
      <c r="K231" t="e">
        <f>Raw!U659+"h_l!.O0"</f>
        <v>#VALUE!</v>
      </c>
      <c r="L231" t="e">
        <f>Raw!V659+"h_l!.O1"</f>
        <v>#VALUE!</v>
      </c>
      <c r="M231" t="e">
        <f>Raw!W659+"h_l!.O2"</f>
        <v>#VALUE!</v>
      </c>
      <c r="N231" t="e">
        <f>Raw!A660+"h_l!.O3"</f>
        <v>#VALUE!</v>
      </c>
      <c r="O231" t="e">
        <f>Raw!B660+"h_l!.O4"</f>
        <v>#VALUE!</v>
      </c>
      <c r="P231" t="e">
        <f>Raw!C660+"h_l!.O5"</f>
        <v>#VALUE!</v>
      </c>
      <c r="Q231" t="e">
        <f>Raw!D660+"h_l!.O6"</f>
        <v>#VALUE!</v>
      </c>
      <c r="R231" t="e">
        <f>Raw!E660+"h_l!.O7"</f>
        <v>#VALUE!</v>
      </c>
      <c r="S231" t="e">
        <f>Raw!#REF!+"h_l!.O8"</f>
        <v>#REF!</v>
      </c>
      <c r="T231" t="e">
        <f>Raw!G660+"h_l!.O9"</f>
        <v>#VALUE!</v>
      </c>
      <c r="U231" t="e">
        <f>Raw!H660+"h_l!.O:"</f>
        <v>#VALUE!</v>
      </c>
      <c r="V231" t="e">
        <f>Raw!I660+"h_l!.O;"</f>
        <v>#VALUE!</v>
      </c>
      <c r="W231" t="e">
        <f>Raw!J660+"h_l!.O&lt;"</f>
        <v>#VALUE!</v>
      </c>
      <c r="X231" t="e">
        <f>Raw!K660+"h_l!.O="</f>
        <v>#VALUE!</v>
      </c>
      <c r="Y231" t="e">
        <f>Raw!L660+"h_l!.O&gt;"</f>
        <v>#VALUE!</v>
      </c>
      <c r="Z231" t="e">
        <f>Raw!M660+"h_l!.O?"</f>
        <v>#VALUE!</v>
      </c>
      <c r="AA231" t="e">
        <f>Raw!N660+"h_l!.O@"</f>
        <v>#VALUE!</v>
      </c>
      <c r="AB231" t="e">
        <f>Raw!O660+"h_l!.OA"</f>
        <v>#VALUE!</v>
      </c>
      <c r="AC231" t="e">
        <f>Raw!P660+"h_l!.OB"</f>
        <v>#VALUE!</v>
      </c>
      <c r="AD231" t="e">
        <f>Raw!Q660+"h_l!.OC"</f>
        <v>#VALUE!</v>
      </c>
      <c r="AE231" t="e">
        <f>Raw!R660+"h_l!.OD"</f>
        <v>#VALUE!</v>
      </c>
      <c r="AF231" t="e">
        <f>Raw!S660+"h_l!.OE"</f>
        <v>#VALUE!</v>
      </c>
      <c r="AG231" t="e">
        <f>Raw!T660+"h_l!.OF"</f>
        <v>#VALUE!</v>
      </c>
      <c r="AH231" t="e">
        <f>Raw!U660+"h_l!.OG"</f>
        <v>#VALUE!</v>
      </c>
      <c r="AI231" t="e">
        <f>Raw!V660+"h_l!.OH"</f>
        <v>#VALUE!</v>
      </c>
      <c r="AJ231" t="e">
        <f>Raw!W660+"h_l!.OI"</f>
        <v>#VALUE!</v>
      </c>
      <c r="AK231" t="e">
        <f>Raw!A661+"h_l!.OJ"</f>
        <v>#VALUE!</v>
      </c>
      <c r="AL231" t="e">
        <f>Raw!B661+"h_l!.OK"</f>
        <v>#VALUE!</v>
      </c>
      <c r="AM231" t="e">
        <f>Raw!C661+"h_l!.OL"</f>
        <v>#VALUE!</v>
      </c>
      <c r="AN231" t="e">
        <f>Raw!D661+"h_l!.OM"</f>
        <v>#VALUE!</v>
      </c>
      <c r="AO231" t="e">
        <f>Raw!E661+"h_l!.ON"</f>
        <v>#VALUE!</v>
      </c>
      <c r="AP231" t="e">
        <f>Raw!#REF!+"h_l!.OO"</f>
        <v>#REF!</v>
      </c>
      <c r="AQ231" t="e">
        <f>Raw!G661+"h_l!.OP"</f>
        <v>#VALUE!</v>
      </c>
      <c r="AR231" t="e">
        <f>Raw!H661+"h_l!.OQ"</f>
        <v>#VALUE!</v>
      </c>
      <c r="AS231" t="e">
        <f>Raw!I661+"h_l!.OR"</f>
        <v>#VALUE!</v>
      </c>
      <c r="AT231" t="e">
        <f>Raw!J661+"h_l!.OS"</f>
        <v>#VALUE!</v>
      </c>
      <c r="AU231" t="e">
        <f>Raw!K661+"h_l!.OT"</f>
        <v>#VALUE!</v>
      </c>
      <c r="AV231" t="e">
        <f>Raw!L661+"h_l!.OU"</f>
        <v>#VALUE!</v>
      </c>
      <c r="AW231" t="e">
        <f>Raw!M661+"h_l!.OV"</f>
        <v>#VALUE!</v>
      </c>
      <c r="AX231" t="e">
        <f>Raw!N661+"h_l!.OW"</f>
        <v>#VALUE!</v>
      </c>
      <c r="AY231" t="e">
        <f>Raw!O661+"h_l!.OX"</f>
        <v>#VALUE!</v>
      </c>
      <c r="AZ231" t="e">
        <f>Raw!P661+"h_l!.OY"</f>
        <v>#VALUE!</v>
      </c>
      <c r="BA231" t="e">
        <f>Raw!Q661+"h_l!.OZ"</f>
        <v>#VALUE!</v>
      </c>
      <c r="BB231" t="e">
        <f>Raw!R661+"h_l!.O["</f>
        <v>#VALUE!</v>
      </c>
      <c r="BC231" t="e">
        <f>Raw!S661+"h_l!.O\"</f>
        <v>#VALUE!</v>
      </c>
      <c r="BD231" t="e">
        <f>Raw!T661+"h_l!.O]"</f>
        <v>#VALUE!</v>
      </c>
      <c r="BE231" t="e">
        <f>Raw!U661+"h_l!.O^"</f>
        <v>#VALUE!</v>
      </c>
      <c r="BF231" t="e">
        <f>Raw!V661+"h_l!.O_"</f>
        <v>#VALUE!</v>
      </c>
      <c r="BG231" t="e">
        <f>Raw!W661+"h_l!.O`"</f>
        <v>#VALUE!</v>
      </c>
      <c r="BH231" t="e">
        <f>Raw!A662+"h_l!.Oa"</f>
        <v>#VALUE!</v>
      </c>
      <c r="BI231" t="e">
        <f>Raw!B662+"h_l!.Ob"</f>
        <v>#VALUE!</v>
      </c>
      <c r="BJ231" t="e">
        <f>Raw!C662+"h_l!.Oc"</f>
        <v>#VALUE!</v>
      </c>
      <c r="BK231" t="e">
        <f>Raw!D662+"h_l!.Od"</f>
        <v>#VALUE!</v>
      </c>
      <c r="BL231" t="e">
        <f>Raw!E662+"h_l!.Oe"</f>
        <v>#VALUE!</v>
      </c>
      <c r="BM231" t="e">
        <f>Raw!#REF!+"h_l!.Of"</f>
        <v>#REF!</v>
      </c>
      <c r="BN231" t="e">
        <f>Raw!G662+"h_l!.Og"</f>
        <v>#VALUE!</v>
      </c>
      <c r="BO231" t="e">
        <f>Raw!H662+"h_l!.Oh"</f>
        <v>#VALUE!</v>
      </c>
      <c r="BP231" t="e">
        <f>Raw!I662+"h_l!.Oi"</f>
        <v>#VALUE!</v>
      </c>
      <c r="BQ231" t="e">
        <f>Raw!J662+"h_l!.Oj"</f>
        <v>#VALUE!</v>
      </c>
      <c r="BR231" t="e">
        <f>Raw!K662+"h_l!.Ok"</f>
        <v>#VALUE!</v>
      </c>
      <c r="BS231" t="e">
        <f>Raw!L662+"h_l!.Ol"</f>
        <v>#VALUE!</v>
      </c>
      <c r="BT231" t="e">
        <f>Raw!M662+"h_l!.Om"</f>
        <v>#VALUE!</v>
      </c>
      <c r="BU231" t="e">
        <f>Raw!N662+"h_l!.On"</f>
        <v>#VALUE!</v>
      </c>
      <c r="BV231" t="e">
        <f>Raw!O662+"h_l!.Oo"</f>
        <v>#VALUE!</v>
      </c>
      <c r="BW231" t="e">
        <f>Raw!P662+"h_l!.Op"</f>
        <v>#VALUE!</v>
      </c>
      <c r="BX231" t="e">
        <f>Raw!Q662+"h_l!.Oq"</f>
        <v>#VALUE!</v>
      </c>
      <c r="BY231" t="e">
        <f>Raw!R662+"h_l!.Or"</f>
        <v>#VALUE!</v>
      </c>
      <c r="BZ231" t="e">
        <f>Raw!S662+"h_l!.Os"</f>
        <v>#VALUE!</v>
      </c>
      <c r="CA231" t="e">
        <f>Raw!T662+"h_l!.Ot"</f>
        <v>#VALUE!</v>
      </c>
      <c r="CB231" t="e">
        <f>Raw!U662+"h_l!.Ou"</f>
        <v>#VALUE!</v>
      </c>
      <c r="CC231" t="e">
        <f>Raw!V662+"h_l!.Ov"</f>
        <v>#VALUE!</v>
      </c>
      <c r="CD231" t="e">
        <f>Raw!W662+"h_l!.Ow"</f>
        <v>#VALUE!</v>
      </c>
      <c r="CE231" t="e">
        <f>Raw!A663+"h_l!.Ox"</f>
        <v>#VALUE!</v>
      </c>
      <c r="CF231" t="e">
        <f>Raw!B663+"h_l!.Oy"</f>
        <v>#VALUE!</v>
      </c>
      <c r="CG231" t="e">
        <f>Raw!C663+"h_l!.Oz"</f>
        <v>#VALUE!</v>
      </c>
      <c r="CH231" t="e">
        <f>Raw!D663+"h_l!.O{"</f>
        <v>#VALUE!</v>
      </c>
      <c r="CI231" t="e">
        <f>Raw!E663+"h_l!.O|"</f>
        <v>#VALUE!</v>
      </c>
      <c r="CJ231" t="e">
        <f>Raw!#REF!+"h_l!.O}"</f>
        <v>#REF!</v>
      </c>
      <c r="CK231" t="e">
        <f>Raw!G663+"h_l!.O~"</f>
        <v>#VALUE!</v>
      </c>
      <c r="CL231" t="e">
        <f>Raw!H663+"h_l!.P#"</f>
        <v>#VALUE!</v>
      </c>
      <c r="CM231" t="e">
        <f>Raw!I663+"h_l!.P$"</f>
        <v>#VALUE!</v>
      </c>
      <c r="CN231" t="e">
        <f>Raw!J663+"h_l!.P%"</f>
        <v>#VALUE!</v>
      </c>
      <c r="CO231" t="e">
        <f>Raw!K663+"h_l!.P&amp;"</f>
        <v>#VALUE!</v>
      </c>
      <c r="CP231" t="e">
        <f>Raw!L663+"h_l!.P'"</f>
        <v>#VALUE!</v>
      </c>
      <c r="CQ231" t="e">
        <f>Raw!M663+"h_l!.P("</f>
        <v>#VALUE!</v>
      </c>
      <c r="CR231" t="e">
        <f>Raw!N663+"h_l!.P)"</f>
        <v>#VALUE!</v>
      </c>
      <c r="CS231" t="e">
        <f>Raw!O663+"h_l!.P."</f>
        <v>#VALUE!</v>
      </c>
      <c r="CT231" t="e">
        <f>Raw!P663+"h_l!.P/"</f>
        <v>#VALUE!</v>
      </c>
      <c r="CU231" t="e">
        <f>Raw!Q663+"h_l!.P0"</f>
        <v>#VALUE!</v>
      </c>
      <c r="CV231" t="e">
        <f>Raw!R663+"h_l!.P1"</f>
        <v>#VALUE!</v>
      </c>
      <c r="CW231" t="e">
        <f>Raw!S663+"h_l!.P2"</f>
        <v>#VALUE!</v>
      </c>
      <c r="CX231" t="e">
        <f>Raw!T663+"h_l!.P3"</f>
        <v>#VALUE!</v>
      </c>
      <c r="CY231" t="e">
        <f>Raw!U663+"h_l!.P4"</f>
        <v>#VALUE!</v>
      </c>
      <c r="CZ231" t="e">
        <f>Raw!V663+"h_l!.P5"</f>
        <v>#VALUE!</v>
      </c>
      <c r="DA231" t="e">
        <f>Raw!W663+"h_l!.P6"</f>
        <v>#VALUE!</v>
      </c>
      <c r="DB231" t="e">
        <f>Raw!A664+"h_l!.P7"</f>
        <v>#VALUE!</v>
      </c>
      <c r="DC231" t="e">
        <f>Raw!B664+"h_l!.P8"</f>
        <v>#VALUE!</v>
      </c>
      <c r="DD231" t="e">
        <f>Raw!C664+"h_l!.P9"</f>
        <v>#VALUE!</v>
      </c>
      <c r="DE231" t="e">
        <f>Raw!D664+"h_l!.P:"</f>
        <v>#VALUE!</v>
      </c>
      <c r="DF231" t="e">
        <f>Raw!E664+"h_l!.P;"</f>
        <v>#VALUE!</v>
      </c>
      <c r="DG231" t="e">
        <f>Raw!#REF!+"h_l!.P&lt;"</f>
        <v>#REF!</v>
      </c>
      <c r="DH231" t="e">
        <f>Raw!G664+"h_l!.P="</f>
        <v>#VALUE!</v>
      </c>
      <c r="DI231" t="e">
        <f>Raw!H664+"h_l!.P&gt;"</f>
        <v>#VALUE!</v>
      </c>
      <c r="DJ231" t="e">
        <f>Raw!I664+"h_l!.P?"</f>
        <v>#VALUE!</v>
      </c>
      <c r="DK231" t="e">
        <f>Raw!J664+"h_l!.P@"</f>
        <v>#VALUE!</v>
      </c>
      <c r="DL231" t="e">
        <f>Raw!K664+"h_l!.PA"</f>
        <v>#VALUE!</v>
      </c>
      <c r="DM231" t="e">
        <f>Raw!L664+"h_l!.PB"</f>
        <v>#VALUE!</v>
      </c>
      <c r="DN231" t="e">
        <f>Raw!M664+"h_l!.PC"</f>
        <v>#VALUE!</v>
      </c>
      <c r="DO231" t="e">
        <f>Raw!N664+"h_l!.PD"</f>
        <v>#VALUE!</v>
      </c>
      <c r="DP231" t="e">
        <f>Raw!O664+"h_l!.PE"</f>
        <v>#VALUE!</v>
      </c>
      <c r="DQ231" t="e">
        <f>Raw!P664+"h_l!.PF"</f>
        <v>#VALUE!</v>
      </c>
      <c r="DR231" t="e">
        <f>Raw!Q664+"h_l!.PG"</f>
        <v>#VALUE!</v>
      </c>
      <c r="DS231" t="e">
        <f>Raw!R664+"h_l!.PH"</f>
        <v>#VALUE!</v>
      </c>
      <c r="DT231" t="e">
        <f>Raw!S664+"h_l!.PI"</f>
        <v>#VALUE!</v>
      </c>
      <c r="DU231" t="e">
        <f>Raw!T664+"h_l!.PJ"</f>
        <v>#VALUE!</v>
      </c>
      <c r="DV231" t="e">
        <f>Raw!U664+"h_l!.PK"</f>
        <v>#VALUE!</v>
      </c>
      <c r="DW231" t="e">
        <f>Raw!V664+"h_l!.PL"</f>
        <v>#VALUE!</v>
      </c>
      <c r="DX231" t="e">
        <f>Raw!W664+"h_l!.PM"</f>
        <v>#VALUE!</v>
      </c>
      <c r="DY231" t="e">
        <f>Raw!A665+"h_l!.PN"</f>
        <v>#VALUE!</v>
      </c>
      <c r="DZ231" t="e">
        <f>Raw!B665+"h_l!.PO"</f>
        <v>#VALUE!</v>
      </c>
      <c r="EA231" t="e">
        <f>Raw!C665+"h_l!.PP"</f>
        <v>#VALUE!</v>
      </c>
      <c r="EB231" t="e">
        <f>Raw!D665+"h_l!.PQ"</f>
        <v>#VALUE!</v>
      </c>
      <c r="EC231" t="e">
        <f>Raw!E665+"h_l!.PR"</f>
        <v>#VALUE!</v>
      </c>
      <c r="ED231" t="e">
        <f>Raw!#REF!+"h_l!.PS"</f>
        <v>#REF!</v>
      </c>
      <c r="EE231" t="e">
        <f>Raw!G665+"h_l!.PT"</f>
        <v>#VALUE!</v>
      </c>
      <c r="EF231" t="e">
        <f>Raw!H665+"h_l!.PU"</f>
        <v>#VALUE!</v>
      </c>
      <c r="EG231" t="e">
        <f>Raw!I665+"h_l!.PV"</f>
        <v>#VALUE!</v>
      </c>
      <c r="EH231" t="e">
        <f>Raw!J665+"h_l!.PW"</f>
        <v>#VALUE!</v>
      </c>
      <c r="EI231" t="e">
        <f>Raw!K665+"h_l!.PX"</f>
        <v>#VALUE!</v>
      </c>
      <c r="EJ231" t="e">
        <f>Raw!L665+"h_l!.PY"</f>
        <v>#VALUE!</v>
      </c>
      <c r="EK231" t="e">
        <f>Raw!M665+"h_l!.PZ"</f>
        <v>#VALUE!</v>
      </c>
      <c r="EL231" t="e">
        <f>Raw!N665+"h_l!.P["</f>
        <v>#VALUE!</v>
      </c>
      <c r="EM231" t="e">
        <f>Raw!O665+"h_l!.P\"</f>
        <v>#VALUE!</v>
      </c>
      <c r="EN231" t="e">
        <f>Raw!P665+"h_l!.P]"</f>
        <v>#VALUE!</v>
      </c>
      <c r="EO231" t="e">
        <f>Raw!Q665+"h_l!.P^"</f>
        <v>#VALUE!</v>
      </c>
      <c r="EP231" t="e">
        <f>Raw!R665+"h_l!.P_"</f>
        <v>#VALUE!</v>
      </c>
      <c r="EQ231" t="e">
        <f>Raw!S665+"h_l!.P`"</f>
        <v>#VALUE!</v>
      </c>
      <c r="ER231" t="e">
        <f>Raw!T665+"h_l!.Pa"</f>
        <v>#VALUE!</v>
      </c>
      <c r="ES231" t="e">
        <f>Raw!U665+"h_l!.Pb"</f>
        <v>#VALUE!</v>
      </c>
      <c r="ET231" t="e">
        <f>Raw!V665+"h_l!.Pc"</f>
        <v>#VALUE!</v>
      </c>
      <c r="EU231" t="e">
        <f>Raw!W665+"h_l!.Pd"</f>
        <v>#VALUE!</v>
      </c>
      <c r="EV231" t="e">
        <f>Raw!A666+"h_l!.Pe"</f>
        <v>#VALUE!</v>
      </c>
      <c r="EW231" t="e">
        <f>Raw!B666+"h_l!.Pf"</f>
        <v>#VALUE!</v>
      </c>
      <c r="EX231" t="e">
        <f>Raw!C666+"h_l!.Pg"</f>
        <v>#VALUE!</v>
      </c>
      <c r="EY231" t="e">
        <f>Raw!D666+"h_l!.Ph"</f>
        <v>#VALUE!</v>
      </c>
      <c r="EZ231" t="e">
        <f>Raw!E666+"h_l!.Pi"</f>
        <v>#VALUE!</v>
      </c>
      <c r="FA231" t="e">
        <f>Raw!#REF!+"h_l!.Pj"</f>
        <v>#REF!</v>
      </c>
      <c r="FB231" t="e">
        <f>Raw!G666+"h_l!.Pk"</f>
        <v>#VALUE!</v>
      </c>
      <c r="FC231" t="e">
        <f>Raw!H666+"h_l!.Pl"</f>
        <v>#VALUE!</v>
      </c>
      <c r="FD231" t="e">
        <f>Raw!I666+"h_l!.Pm"</f>
        <v>#VALUE!</v>
      </c>
      <c r="FE231" t="e">
        <f>Raw!J666+"h_l!.Pn"</f>
        <v>#VALUE!</v>
      </c>
      <c r="FF231" t="e">
        <f>Raw!K666+"h_l!.Po"</f>
        <v>#VALUE!</v>
      </c>
      <c r="FG231" t="e">
        <f>Raw!L666+"h_l!.Pp"</f>
        <v>#VALUE!</v>
      </c>
      <c r="FH231" t="e">
        <f>Raw!M666+"h_l!.Pq"</f>
        <v>#VALUE!</v>
      </c>
      <c r="FI231" t="e">
        <f>Raw!N666+"h_l!.Pr"</f>
        <v>#VALUE!</v>
      </c>
      <c r="FJ231" t="e">
        <f>Raw!O666+"h_l!.Ps"</f>
        <v>#VALUE!</v>
      </c>
      <c r="FK231" t="e">
        <f>Raw!P666+"h_l!.Pt"</f>
        <v>#VALUE!</v>
      </c>
      <c r="FL231" t="e">
        <f>Raw!Q666+"h_l!.Pu"</f>
        <v>#VALUE!</v>
      </c>
      <c r="FM231" t="e">
        <f>Raw!R666+"h_l!.Pv"</f>
        <v>#VALUE!</v>
      </c>
      <c r="FN231" t="e">
        <f>Raw!S666+"h_l!.Pw"</f>
        <v>#VALUE!</v>
      </c>
      <c r="FO231" t="e">
        <f>Raw!T666+"h_l!.Px"</f>
        <v>#VALUE!</v>
      </c>
      <c r="FP231" t="e">
        <f>Raw!U666+"h_l!.Py"</f>
        <v>#VALUE!</v>
      </c>
      <c r="FQ231" t="e">
        <f>Raw!V666+"h_l!.Pz"</f>
        <v>#VALUE!</v>
      </c>
      <c r="FR231" t="e">
        <f>Raw!W666+"h_l!.P{"</f>
        <v>#VALUE!</v>
      </c>
      <c r="FS231" t="e">
        <f>Raw!A667+"h_l!.P|"</f>
        <v>#VALUE!</v>
      </c>
      <c r="FT231" t="e">
        <f>Raw!B667+"h_l!.P}"</f>
        <v>#VALUE!</v>
      </c>
      <c r="FU231" t="e">
        <f>Raw!C667+"h_l!.P~"</f>
        <v>#VALUE!</v>
      </c>
      <c r="FV231" t="e">
        <f>Raw!D667+"h_l!.Q#"</f>
        <v>#VALUE!</v>
      </c>
      <c r="FW231" t="e">
        <f>Raw!E667+"h_l!.Q$"</f>
        <v>#VALUE!</v>
      </c>
      <c r="FX231" t="e">
        <f>Raw!#REF!+"h_l!.Q%"</f>
        <v>#REF!</v>
      </c>
      <c r="FY231" t="e">
        <f>Raw!G667+"h_l!.Q&amp;"</f>
        <v>#VALUE!</v>
      </c>
      <c r="FZ231" t="e">
        <f>Raw!H667+"h_l!.Q'"</f>
        <v>#VALUE!</v>
      </c>
      <c r="GA231" t="e">
        <f>Raw!I667+"h_l!.Q("</f>
        <v>#VALUE!</v>
      </c>
      <c r="GB231" t="e">
        <f>Raw!J667+"h_l!.Q)"</f>
        <v>#VALUE!</v>
      </c>
      <c r="GC231" t="e">
        <f>Raw!K667+"h_l!.Q."</f>
        <v>#VALUE!</v>
      </c>
      <c r="GD231" t="e">
        <f>Raw!L667+"h_l!.Q/"</f>
        <v>#VALUE!</v>
      </c>
      <c r="GE231" t="e">
        <f>Raw!M667+"h_l!.Q0"</f>
        <v>#VALUE!</v>
      </c>
      <c r="GF231" t="e">
        <f>Raw!N667+"h_l!.Q1"</f>
        <v>#VALUE!</v>
      </c>
      <c r="GG231" t="e">
        <f>Raw!O667+"h_l!.Q2"</f>
        <v>#VALUE!</v>
      </c>
      <c r="GH231" t="e">
        <f>Raw!P667+"h_l!.Q3"</f>
        <v>#VALUE!</v>
      </c>
      <c r="GI231" t="e">
        <f>Raw!Q667+"h_l!.Q4"</f>
        <v>#VALUE!</v>
      </c>
      <c r="GJ231" t="e">
        <f>Raw!R667+"h_l!.Q5"</f>
        <v>#VALUE!</v>
      </c>
      <c r="GK231" t="e">
        <f>Raw!S667+"h_l!.Q6"</f>
        <v>#VALUE!</v>
      </c>
      <c r="GL231" t="e">
        <f>Raw!T667+"h_l!.Q7"</f>
        <v>#VALUE!</v>
      </c>
      <c r="GM231" t="e">
        <f>Raw!U667+"h_l!.Q8"</f>
        <v>#VALUE!</v>
      </c>
      <c r="GN231" t="e">
        <f>Raw!V667+"h_l!.Q9"</f>
        <v>#VALUE!</v>
      </c>
      <c r="GO231" t="e">
        <f>Raw!W667+"h_l!.Q:"</f>
        <v>#VALUE!</v>
      </c>
      <c r="GP231" t="e">
        <f>Raw!A668+"h_l!.Q;"</f>
        <v>#VALUE!</v>
      </c>
      <c r="GQ231" t="e">
        <f>Raw!B668+"h_l!.Q&lt;"</f>
        <v>#VALUE!</v>
      </c>
      <c r="GR231" t="e">
        <f>Raw!C668+"h_l!.Q="</f>
        <v>#VALUE!</v>
      </c>
      <c r="GS231" t="e">
        <f>Raw!D668+"h_l!.Q&gt;"</f>
        <v>#VALUE!</v>
      </c>
      <c r="GT231" t="e">
        <f>Raw!E668+"h_l!.Q?"</f>
        <v>#VALUE!</v>
      </c>
      <c r="GU231" t="e">
        <f>Raw!#REF!+"h_l!.Q@"</f>
        <v>#REF!</v>
      </c>
      <c r="GV231" t="e">
        <f>Raw!G668+"h_l!.QA"</f>
        <v>#VALUE!</v>
      </c>
      <c r="GW231" t="e">
        <f>Raw!H668+"h_l!.QB"</f>
        <v>#VALUE!</v>
      </c>
      <c r="GX231" t="e">
        <f>Raw!I668+"h_l!.QC"</f>
        <v>#VALUE!</v>
      </c>
      <c r="GY231" t="e">
        <f>Raw!J668+"h_l!.QD"</f>
        <v>#VALUE!</v>
      </c>
      <c r="GZ231" t="e">
        <f>Raw!K668+"h_l!.QE"</f>
        <v>#VALUE!</v>
      </c>
      <c r="HA231" t="e">
        <f>Raw!L668+"h_l!.QF"</f>
        <v>#VALUE!</v>
      </c>
      <c r="HB231" t="e">
        <f>Raw!M668+"h_l!.QG"</f>
        <v>#VALUE!</v>
      </c>
      <c r="HC231" t="e">
        <f>Raw!N668+"h_l!.QH"</f>
        <v>#VALUE!</v>
      </c>
      <c r="HD231" t="e">
        <f>Raw!O668+"h_l!.QI"</f>
        <v>#VALUE!</v>
      </c>
      <c r="HE231" t="e">
        <f>Raw!P668+"h_l!.QJ"</f>
        <v>#VALUE!</v>
      </c>
      <c r="HF231" t="e">
        <f>Raw!Q668+"h_l!.QK"</f>
        <v>#VALUE!</v>
      </c>
      <c r="HG231" t="e">
        <f>Raw!R668+"h_l!.QL"</f>
        <v>#VALUE!</v>
      </c>
      <c r="HH231" t="e">
        <f>Raw!S668+"h_l!.QM"</f>
        <v>#VALUE!</v>
      </c>
      <c r="HI231" t="e">
        <f>Raw!T668+"h_l!.QN"</f>
        <v>#VALUE!</v>
      </c>
      <c r="HJ231" t="e">
        <f>Raw!U668+"h_l!.QO"</f>
        <v>#VALUE!</v>
      </c>
      <c r="HK231" t="e">
        <f>Raw!V668+"h_l!.QP"</f>
        <v>#VALUE!</v>
      </c>
      <c r="HL231" t="e">
        <f>Raw!W668+"h_l!.QQ"</f>
        <v>#VALUE!</v>
      </c>
      <c r="HM231" t="e">
        <f>Raw!A669+"h_l!.QR"</f>
        <v>#VALUE!</v>
      </c>
      <c r="HN231" t="e">
        <f>Raw!B669+"h_l!.QS"</f>
        <v>#VALUE!</v>
      </c>
      <c r="HO231" t="e">
        <f>Raw!C669+"h_l!.QT"</f>
        <v>#VALUE!</v>
      </c>
      <c r="HP231" t="e">
        <f>Raw!D669+"h_l!.QU"</f>
        <v>#VALUE!</v>
      </c>
      <c r="HQ231" t="e">
        <f>Raw!E669+"h_l!.QV"</f>
        <v>#VALUE!</v>
      </c>
      <c r="HR231" t="e">
        <f>Raw!#REF!+"h_l!.QW"</f>
        <v>#REF!</v>
      </c>
      <c r="HS231" t="e">
        <f>Raw!G669+"h_l!.QX"</f>
        <v>#VALUE!</v>
      </c>
      <c r="HT231" t="e">
        <f>Raw!H669+"h_l!.QY"</f>
        <v>#VALUE!</v>
      </c>
      <c r="HU231" t="e">
        <f>Raw!I669+"h_l!.QZ"</f>
        <v>#VALUE!</v>
      </c>
      <c r="HV231" t="e">
        <f>Raw!J669+"h_l!.Q["</f>
        <v>#VALUE!</v>
      </c>
      <c r="HW231" t="e">
        <f>Raw!K669+"h_l!.Q\"</f>
        <v>#VALUE!</v>
      </c>
      <c r="HX231" t="e">
        <f>Raw!L669+"h_l!.Q]"</f>
        <v>#VALUE!</v>
      </c>
      <c r="HY231" t="e">
        <f>Raw!M669+"h_l!.Q^"</f>
        <v>#VALUE!</v>
      </c>
      <c r="HZ231" t="e">
        <f>Raw!N669+"h_l!.Q_"</f>
        <v>#VALUE!</v>
      </c>
      <c r="IA231" t="e">
        <f>Raw!O669+"h_l!.Q`"</f>
        <v>#VALUE!</v>
      </c>
      <c r="IB231" t="e">
        <f>Raw!P669+"h_l!.Qa"</f>
        <v>#VALUE!</v>
      </c>
      <c r="IC231" t="e">
        <f>Raw!Q669+"h_l!.Qb"</f>
        <v>#VALUE!</v>
      </c>
      <c r="ID231" t="e">
        <f>Raw!R669+"h_l!.Qc"</f>
        <v>#VALUE!</v>
      </c>
      <c r="IE231" t="e">
        <f>Raw!S669+"h_l!.Qd"</f>
        <v>#VALUE!</v>
      </c>
      <c r="IF231" t="e">
        <f>Raw!T669+"h_l!.Qe"</f>
        <v>#VALUE!</v>
      </c>
      <c r="IG231" t="e">
        <f>Raw!U669+"h_l!.Qf"</f>
        <v>#VALUE!</v>
      </c>
      <c r="IH231" t="e">
        <f>Raw!V669+"h_l!.Qg"</f>
        <v>#VALUE!</v>
      </c>
      <c r="II231" t="e">
        <f>Raw!W669+"h_l!.Qh"</f>
        <v>#VALUE!</v>
      </c>
      <c r="IJ231" t="e">
        <f>Raw!A670+"h_l!.Qi"</f>
        <v>#VALUE!</v>
      </c>
      <c r="IK231" t="e">
        <f>Raw!B670+"h_l!.Qj"</f>
        <v>#VALUE!</v>
      </c>
      <c r="IL231" t="e">
        <f>Raw!C670+"h_l!.Qk"</f>
        <v>#VALUE!</v>
      </c>
      <c r="IM231" t="e">
        <f>Raw!D670+"h_l!.Ql"</f>
        <v>#VALUE!</v>
      </c>
      <c r="IN231" t="e">
        <f>Raw!E670+"h_l!.Qm"</f>
        <v>#VALUE!</v>
      </c>
      <c r="IO231" t="e">
        <f>Raw!#REF!+"h_l!.Qn"</f>
        <v>#REF!</v>
      </c>
      <c r="IP231" t="e">
        <f>Raw!G670+"h_l!.Qo"</f>
        <v>#VALUE!</v>
      </c>
      <c r="IQ231" t="e">
        <f>Raw!H670+"h_l!.Qp"</f>
        <v>#VALUE!</v>
      </c>
      <c r="IR231" t="e">
        <f>Raw!I670+"h_l!.Qq"</f>
        <v>#VALUE!</v>
      </c>
      <c r="IS231" t="e">
        <f>Raw!J670+"h_l!.Qr"</f>
        <v>#VALUE!</v>
      </c>
      <c r="IT231" t="e">
        <f>Raw!K670+"h_l!.Qs"</f>
        <v>#VALUE!</v>
      </c>
      <c r="IU231" t="e">
        <f>Raw!L670+"h_l!.Qt"</f>
        <v>#VALUE!</v>
      </c>
      <c r="IV231" t="e">
        <f>Raw!M670+"h_l!.Qu"</f>
        <v>#VALUE!</v>
      </c>
    </row>
    <row r="232" spans="6:256" x14ac:dyDescent="0.25">
      <c r="F232" t="e">
        <f>Raw!N670+"h_l!.Qv"</f>
        <v>#VALUE!</v>
      </c>
      <c r="G232" t="e">
        <f>Raw!O670+"h_l!.Qw"</f>
        <v>#VALUE!</v>
      </c>
      <c r="H232" t="e">
        <f>Raw!P670+"h_l!.Qx"</f>
        <v>#VALUE!</v>
      </c>
      <c r="I232" t="e">
        <f>Raw!Q670+"h_l!.Qy"</f>
        <v>#VALUE!</v>
      </c>
      <c r="J232" t="e">
        <f>Raw!R670+"h_l!.Qz"</f>
        <v>#VALUE!</v>
      </c>
      <c r="K232" t="e">
        <f>Raw!S670+"h_l!.Q{"</f>
        <v>#VALUE!</v>
      </c>
      <c r="L232" t="e">
        <f>Raw!T670+"h_l!.Q|"</f>
        <v>#VALUE!</v>
      </c>
      <c r="M232" t="e">
        <f>Raw!U670+"h_l!.Q}"</f>
        <v>#VALUE!</v>
      </c>
      <c r="N232" t="e">
        <f>Raw!V670+"h_l!.Q~"</f>
        <v>#VALUE!</v>
      </c>
      <c r="O232" t="e">
        <f>Raw!W670+"h_l!.R#"</f>
        <v>#VALUE!</v>
      </c>
      <c r="P232" t="e">
        <f>Raw!A671+"h_l!.R$"</f>
        <v>#VALUE!</v>
      </c>
      <c r="Q232" t="e">
        <f>Raw!B671+"h_l!.R%"</f>
        <v>#VALUE!</v>
      </c>
      <c r="R232" t="e">
        <f>Raw!C671+"h_l!.R&amp;"</f>
        <v>#VALUE!</v>
      </c>
      <c r="S232" t="e">
        <f>Raw!D671+"h_l!.R'"</f>
        <v>#VALUE!</v>
      </c>
      <c r="T232" t="e">
        <f>Raw!E671+"h_l!.R("</f>
        <v>#VALUE!</v>
      </c>
      <c r="U232" t="e">
        <f>Raw!#REF!+"h_l!.R)"</f>
        <v>#REF!</v>
      </c>
      <c r="V232" t="e">
        <f>Raw!G671+"h_l!.R."</f>
        <v>#VALUE!</v>
      </c>
      <c r="W232" t="e">
        <f>Raw!H671+"h_l!.R/"</f>
        <v>#VALUE!</v>
      </c>
      <c r="X232" t="e">
        <f>Raw!I671+"h_l!.R0"</f>
        <v>#VALUE!</v>
      </c>
      <c r="Y232" t="e">
        <f>Raw!J671+"h_l!.R1"</f>
        <v>#VALUE!</v>
      </c>
      <c r="Z232" t="e">
        <f>Raw!K671+"h_l!.R2"</f>
        <v>#VALUE!</v>
      </c>
      <c r="AA232" t="e">
        <f>Raw!L671+"h_l!.R3"</f>
        <v>#VALUE!</v>
      </c>
      <c r="AB232" t="e">
        <f>Raw!M671+"h_l!.R4"</f>
        <v>#VALUE!</v>
      </c>
      <c r="AC232" t="e">
        <f>Raw!N671+"h_l!.R5"</f>
        <v>#VALUE!</v>
      </c>
      <c r="AD232" t="e">
        <f>Raw!O671+"h_l!.R6"</f>
        <v>#VALUE!</v>
      </c>
      <c r="AE232" t="e">
        <f>Raw!P671+"h_l!.R7"</f>
        <v>#VALUE!</v>
      </c>
      <c r="AF232" t="e">
        <f>Raw!Q671+"h_l!.R8"</f>
        <v>#VALUE!</v>
      </c>
      <c r="AG232" t="e">
        <f>Raw!R671+"h_l!.R9"</f>
        <v>#VALUE!</v>
      </c>
      <c r="AH232" t="e">
        <f>Raw!S671+"h_l!.R:"</f>
        <v>#VALUE!</v>
      </c>
      <c r="AI232" t="e">
        <f>Raw!T671+"h_l!.R;"</f>
        <v>#VALUE!</v>
      </c>
      <c r="AJ232" t="e">
        <f>Raw!U671+"h_l!.R&lt;"</f>
        <v>#VALUE!</v>
      </c>
      <c r="AK232" t="e">
        <f>Raw!V671+"h_l!.R="</f>
        <v>#VALUE!</v>
      </c>
      <c r="AL232" t="e">
        <f>Raw!W671+"h_l!.R&gt;"</f>
        <v>#VALUE!</v>
      </c>
      <c r="AM232" t="e">
        <f>Raw!A672+"h_l!.R?"</f>
        <v>#VALUE!</v>
      </c>
      <c r="AN232" t="e">
        <f>Raw!B672+"h_l!.R@"</f>
        <v>#VALUE!</v>
      </c>
      <c r="AO232" t="e">
        <f>Raw!C672+"h_l!.RA"</f>
        <v>#VALUE!</v>
      </c>
      <c r="AP232" t="e">
        <f>Raw!D672+"h_l!.RB"</f>
        <v>#VALUE!</v>
      </c>
      <c r="AQ232" t="e">
        <f>Raw!E672+"h_l!.RC"</f>
        <v>#VALUE!</v>
      </c>
      <c r="AR232" t="e">
        <f>Raw!#REF!+"h_l!.RD"</f>
        <v>#REF!</v>
      </c>
      <c r="AS232" t="e">
        <f>Raw!G672+"h_l!.RE"</f>
        <v>#VALUE!</v>
      </c>
      <c r="AT232" t="e">
        <f>Raw!H672+"h_l!.RF"</f>
        <v>#VALUE!</v>
      </c>
      <c r="AU232" t="e">
        <f>Raw!I672+"h_l!.RG"</f>
        <v>#VALUE!</v>
      </c>
      <c r="AV232" t="e">
        <f>Raw!J672+"h_l!.RH"</f>
        <v>#VALUE!</v>
      </c>
      <c r="AW232" t="e">
        <f>Raw!K672+"h_l!.RI"</f>
        <v>#VALUE!</v>
      </c>
      <c r="AX232" t="e">
        <f>Raw!L672+"h_l!.RJ"</f>
        <v>#VALUE!</v>
      </c>
      <c r="AY232" t="e">
        <f>Raw!M672+"h_l!.RK"</f>
        <v>#VALUE!</v>
      </c>
      <c r="AZ232" t="e">
        <f>Raw!N672+"h_l!.RL"</f>
        <v>#VALUE!</v>
      </c>
      <c r="BA232" t="e">
        <f>Raw!O672+"h_l!.RM"</f>
        <v>#VALUE!</v>
      </c>
      <c r="BB232" t="e">
        <f>Raw!P672+"h_l!.RN"</f>
        <v>#VALUE!</v>
      </c>
      <c r="BC232" t="e">
        <f>Raw!Q672+"h_l!.RO"</f>
        <v>#VALUE!</v>
      </c>
      <c r="BD232" t="e">
        <f>Raw!R672+"h_l!.RP"</f>
        <v>#VALUE!</v>
      </c>
      <c r="BE232" t="e">
        <f>Raw!S672+"h_l!.RQ"</f>
        <v>#VALUE!</v>
      </c>
      <c r="BF232" t="e">
        <f>Raw!T672+"h_l!.RR"</f>
        <v>#VALUE!</v>
      </c>
      <c r="BG232" t="e">
        <f>Raw!U672+"h_l!.RS"</f>
        <v>#VALUE!</v>
      </c>
      <c r="BH232" t="e">
        <f>Raw!V672+"h_l!.RT"</f>
        <v>#VALUE!</v>
      </c>
      <c r="BI232" t="e">
        <f>Raw!W672+"h_l!.RU"</f>
        <v>#VALUE!</v>
      </c>
      <c r="BJ232" t="e">
        <f>Raw!A673+"h_l!.RV"</f>
        <v>#VALUE!</v>
      </c>
      <c r="BK232" t="e">
        <f>Raw!B673+"h_l!.RW"</f>
        <v>#VALUE!</v>
      </c>
      <c r="BL232" t="e">
        <f>Raw!C673+"h_l!.RX"</f>
        <v>#VALUE!</v>
      </c>
      <c r="BM232" t="e">
        <f>Raw!D673+"h_l!.RY"</f>
        <v>#VALUE!</v>
      </c>
      <c r="BN232" t="e">
        <f>Raw!E673+"h_l!.RZ"</f>
        <v>#VALUE!</v>
      </c>
      <c r="BO232" t="e">
        <f>Raw!#REF!+"h_l!.R["</f>
        <v>#REF!</v>
      </c>
      <c r="BP232" t="e">
        <f>Raw!G673+"h_l!.R\"</f>
        <v>#VALUE!</v>
      </c>
      <c r="BQ232" t="e">
        <f>Raw!H673+"h_l!.R]"</f>
        <v>#VALUE!</v>
      </c>
      <c r="BR232" t="e">
        <f>Raw!I673+"h_l!.R^"</f>
        <v>#VALUE!</v>
      </c>
      <c r="BS232" t="e">
        <f>Raw!J673+"h_l!.R_"</f>
        <v>#VALUE!</v>
      </c>
      <c r="BT232" t="e">
        <f>Raw!K673+"h_l!.R`"</f>
        <v>#VALUE!</v>
      </c>
      <c r="BU232" t="e">
        <f>Raw!L673+"h_l!.Ra"</f>
        <v>#VALUE!</v>
      </c>
      <c r="BV232" t="e">
        <f>Raw!M673+"h_l!.Rb"</f>
        <v>#VALUE!</v>
      </c>
      <c r="BW232" t="e">
        <f>Raw!N673+"h_l!.Rc"</f>
        <v>#VALUE!</v>
      </c>
      <c r="BX232" t="e">
        <f>Raw!O673+"h_l!.Rd"</f>
        <v>#VALUE!</v>
      </c>
      <c r="BY232" t="e">
        <f>Raw!P673+"h_l!.Re"</f>
        <v>#VALUE!</v>
      </c>
      <c r="BZ232" t="e">
        <f>Raw!Q673+"h_l!.Rf"</f>
        <v>#VALUE!</v>
      </c>
      <c r="CA232" t="e">
        <f>Raw!R673+"h_l!.Rg"</f>
        <v>#VALUE!</v>
      </c>
      <c r="CB232" t="e">
        <f>Raw!S673+"h_l!.Rh"</f>
        <v>#VALUE!</v>
      </c>
      <c r="CC232" t="e">
        <f>Raw!T673+"h_l!.Ri"</f>
        <v>#VALUE!</v>
      </c>
      <c r="CD232" t="e">
        <f>Raw!U673+"h_l!.Rj"</f>
        <v>#VALUE!</v>
      </c>
      <c r="CE232" t="e">
        <f>Raw!V673+"h_l!.Rk"</f>
        <v>#VALUE!</v>
      </c>
      <c r="CF232" t="e">
        <f>Raw!W673+"h_l!.Rl"</f>
        <v>#VALUE!</v>
      </c>
      <c r="CG232" t="e">
        <f>Raw!A674+"h_l!.Rm"</f>
        <v>#VALUE!</v>
      </c>
      <c r="CH232" t="e">
        <f>Raw!B674+"h_l!.Rn"</f>
        <v>#VALUE!</v>
      </c>
      <c r="CI232" t="e">
        <f>Raw!C674+"h_l!.Ro"</f>
        <v>#VALUE!</v>
      </c>
      <c r="CJ232" t="e">
        <f>Raw!D674+"h_l!.Rp"</f>
        <v>#VALUE!</v>
      </c>
      <c r="CK232" t="e">
        <f>Raw!E674+"h_l!.Rq"</f>
        <v>#VALUE!</v>
      </c>
      <c r="CL232" t="e">
        <f>Raw!#REF!+"h_l!.Rr"</f>
        <v>#REF!</v>
      </c>
      <c r="CM232" t="e">
        <f>Raw!G674+"h_l!.Rs"</f>
        <v>#VALUE!</v>
      </c>
      <c r="CN232" t="e">
        <f>Raw!H674+"h_l!.Rt"</f>
        <v>#VALUE!</v>
      </c>
      <c r="CO232" t="e">
        <f>Raw!I674+"h_l!.Ru"</f>
        <v>#VALUE!</v>
      </c>
      <c r="CP232" t="e">
        <f>Raw!J674+"h_l!.Rv"</f>
        <v>#VALUE!</v>
      </c>
      <c r="CQ232" t="e">
        <f>Raw!K674+"h_l!.Rw"</f>
        <v>#VALUE!</v>
      </c>
      <c r="CR232" t="e">
        <f>Raw!L674+"h_l!.Rx"</f>
        <v>#VALUE!</v>
      </c>
      <c r="CS232" t="e">
        <f>Raw!M674+"h_l!.Ry"</f>
        <v>#VALUE!</v>
      </c>
      <c r="CT232" t="e">
        <f>Raw!N674+"h_l!.Rz"</f>
        <v>#VALUE!</v>
      </c>
      <c r="CU232" t="e">
        <f>Raw!O674+"h_l!.R{"</f>
        <v>#VALUE!</v>
      </c>
      <c r="CV232" t="e">
        <f>Raw!P674+"h_l!.R|"</f>
        <v>#VALUE!</v>
      </c>
      <c r="CW232" t="e">
        <f>Raw!Q674+"h_l!.R}"</f>
        <v>#VALUE!</v>
      </c>
      <c r="CX232" t="e">
        <f>Raw!R674+"h_l!.R~"</f>
        <v>#VALUE!</v>
      </c>
      <c r="CY232" t="e">
        <f>Raw!S674+"h_l!.S#"</f>
        <v>#VALUE!</v>
      </c>
      <c r="CZ232" t="e">
        <f>Raw!T674+"h_l!.S$"</f>
        <v>#VALUE!</v>
      </c>
      <c r="DA232" t="e">
        <f>Raw!U674+"h_l!.S%"</f>
        <v>#VALUE!</v>
      </c>
      <c r="DB232" t="e">
        <f>Raw!V674+"h_l!.S&amp;"</f>
        <v>#VALUE!</v>
      </c>
      <c r="DC232" t="e">
        <f>Raw!W674+"h_l!.S'"</f>
        <v>#VALUE!</v>
      </c>
      <c r="DD232" t="e">
        <f>Raw!A675+"h_l!.S("</f>
        <v>#VALUE!</v>
      </c>
      <c r="DE232" t="e">
        <f>Raw!B675+"h_l!.S)"</f>
        <v>#VALUE!</v>
      </c>
      <c r="DF232" t="e">
        <f>Raw!C675+"h_l!.S."</f>
        <v>#VALUE!</v>
      </c>
      <c r="DG232" t="e">
        <f>Raw!D675+"h_l!.S/"</f>
        <v>#VALUE!</v>
      </c>
      <c r="DH232" t="e">
        <f>Raw!E675+"h_l!.S0"</f>
        <v>#VALUE!</v>
      </c>
      <c r="DI232" t="e">
        <f>Raw!#REF!+"h_l!.S1"</f>
        <v>#REF!</v>
      </c>
      <c r="DJ232" t="e">
        <f>Raw!G675+"h_l!.S2"</f>
        <v>#VALUE!</v>
      </c>
      <c r="DK232" t="e">
        <f>Raw!H675+"h_l!.S3"</f>
        <v>#VALUE!</v>
      </c>
      <c r="DL232" t="e">
        <f>Raw!I675+"h_l!.S4"</f>
        <v>#VALUE!</v>
      </c>
      <c r="DM232" t="e">
        <f>Raw!J675+"h_l!.S5"</f>
        <v>#VALUE!</v>
      </c>
      <c r="DN232" t="e">
        <f>Raw!K675+"h_l!.S6"</f>
        <v>#VALUE!</v>
      </c>
      <c r="DO232" t="e">
        <f>Raw!L675+"h_l!.S7"</f>
        <v>#VALUE!</v>
      </c>
      <c r="DP232" t="e">
        <f>Raw!M675+"h_l!.S8"</f>
        <v>#VALUE!</v>
      </c>
      <c r="DQ232" t="e">
        <f>Raw!N675+"h_l!.S9"</f>
        <v>#VALUE!</v>
      </c>
      <c r="DR232" t="e">
        <f>Raw!O675+"h_l!.S:"</f>
        <v>#VALUE!</v>
      </c>
      <c r="DS232" t="e">
        <f>Raw!P675+"h_l!.S;"</f>
        <v>#VALUE!</v>
      </c>
      <c r="DT232" t="e">
        <f>Raw!Q675+"h_l!.S&lt;"</f>
        <v>#VALUE!</v>
      </c>
      <c r="DU232" t="e">
        <f>Raw!R675+"h_l!.S="</f>
        <v>#VALUE!</v>
      </c>
      <c r="DV232" t="e">
        <f>Raw!S675+"h_l!.S&gt;"</f>
        <v>#VALUE!</v>
      </c>
      <c r="DW232" t="e">
        <f>Raw!T675+"h_l!.S?"</f>
        <v>#VALUE!</v>
      </c>
      <c r="DX232" t="e">
        <f>Raw!U675+"h_l!.S@"</f>
        <v>#VALUE!</v>
      </c>
      <c r="DY232" t="e">
        <f>Raw!V675+"h_l!.SA"</f>
        <v>#VALUE!</v>
      </c>
      <c r="DZ232" t="e">
        <f>Raw!W675+"h_l!.SB"</f>
        <v>#VALUE!</v>
      </c>
      <c r="EA232" t="e">
        <f>Raw!A676+"h_l!.SC"</f>
        <v>#VALUE!</v>
      </c>
      <c r="EB232" t="e">
        <f>Raw!B676+"h_l!.SD"</f>
        <v>#VALUE!</v>
      </c>
      <c r="EC232" t="e">
        <f>Raw!C676+"h_l!.SE"</f>
        <v>#VALUE!</v>
      </c>
      <c r="ED232" t="e">
        <f>Raw!D676+"h_l!.SF"</f>
        <v>#VALUE!</v>
      </c>
      <c r="EE232" t="e">
        <f>Raw!E676+"h_l!.SG"</f>
        <v>#VALUE!</v>
      </c>
      <c r="EF232" t="e">
        <f>Raw!#REF!+"h_l!.SH"</f>
        <v>#REF!</v>
      </c>
      <c r="EG232" t="e">
        <f>Raw!G676+"h_l!.SI"</f>
        <v>#VALUE!</v>
      </c>
      <c r="EH232" t="e">
        <f>Raw!H676+"h_l!.SJ"</f>
        <v>#VALUE!</v>
      </c>
      <c r="EI232" t="e">
        <f>Raw!I676+"h_l!.SK"</f>
        <v>#VALUE!</v>
      </c>
      <c r="EJ232" t="e">
        <f>Raw!J676+"h_l!.SL"</f>
        <v>#VALUE!</v>
      </c>
      <c r="EK232" t="e">
        <f>Raw!K676+"h_l!.SM"</f>
        <v>#VALUE!</v>
      </c>
      <c r="EL232" t="e">
        <f>Raw!L676+"h_l!.SN"</f>
        <v>#VALUE!</v>
      </c>
      <c r="EM232" t="e">
        <f>Raw!M676+"h_l!.SO"</f>
        <v>#VALUE!</v>
      </c>
      <c r="EN232" t="e">
        <f>Raw!N676+"h_l!.SP"</f>
        <v>#VALUE!</v>
      </c>
      <c r="EO232" t="e">
        <f>Raw!O676+"h_l!.SQ"</f>
        <v>#VALUE!</v>
      </c>
      <c r="EP232" t="e">
        <f>Raw!P676+"h_l!.SR"</f>
        <v>#VALUE!</v>
      </c>
      <c r="EQ232" t="e">
        <f>Raw!Q676+"h_l!.SS"</f>
        <v>#VALUE!</v>
      </c>
      <c r="ER232" t="e">
        <f>Raw!R676+"h_l!.ST"</f>
        <v>#VALUE!</v>
      </c>
      <c r="ES232" t="e">
        <f>Raw!S676+"h_l!.SU"</f>
        <v>#VALUE!</v>
      </c>
      <c r="ET232" t="e">
        <f>Raw!T676+"h_l!.SV"</f>
        <v>#VALUE!</v>
      </c>
      <c r="EU232" t="e">
        <f>Raw!U676+"h_l!.SW"</f>
        <v>#VALUE!</v>
      </c>
      <c r="EV232" t="e">
        <f>Raw!V676+"h_l!.SX"</f>
        <v>#VALUE!</v>
      </c>
      <c r="EW232" t="e">
        <f>Raw!W676+"h_l!.SY"</f>
        <v>#VALUE!</v>
      </c>
      <c r="EX232" t="e">
        <f>Raw!A677+"h_l!.SZ"</f>
        <v>#VALUE!</v>
      </c>
      <c r="EY232" t="e">
        <f>Raw!B677+"h_l!.S["</f>
        <v>#VALUE!</v>
      </c>
      <c r="EZ232" t="e">
        <f>Raw!C677+"h_l!.S\"</f>
        <v>#VALUE!</v>
      </c>
      <c r="FA232" t="e">
        <f>Raw!D677+"h_l!.S]"</f>
        <v>#VALUE!</v>
      </c>
      <c r="FB232" t="e">
        <f>Raw!E677+"h_l!.S^"</f>
        <v>#VALUE!</v>
      </c>
      <c r="FC232" t="e">
        <f>Raw!#REF!+"h_l!.S_"</f>
        <v>#REF!</v>
      </c>
      <c r="FD232" t="e">
        <f>Raw!G677+"h_l!.S`"</f>
        <v>#VALUE!</v>
      </c>
      <c r="FE232" t="e">
        <f>Raw!H677+"h_l!.Sa"</f>
        <v>#VALUE!</v>
      </c>
      <c r="FF232" t="e">
        <f>Raw!I677+"h_l!.Sb"</f>
        <v>#VALUE!</v>
      </c>
      <c r="FG232" t="e">
        <f>Raw!J677+"h_l!.Sc"</f>
        <v>#VALUE!</v>
      </c>
      <c r="FH232" t="e">
        <f>Raw!K677+"h_l!.Sd"</f>
        <v>#VALUE!</v>
      </c>
      <c r="FI232" t="e">
        <f>Raw!L677+"h_l!.Se"</f>
        <v>#VALUE!</v>
      </c>
      <c r="FJ232" t="e">
        <f>Raw!M677+"h_l!.Sf"</f>
        <v>#VALUE!</v>
      </c>
      <c r="FK232" t="e">
        <f>Raw!N677+"h_l!.Sg"</f>
        <v>#VALUE!</v>
      </c>
      <c r="FL232" t="e">
        <f>Raw!O677+"h_l!.Sh"</f>
        <v>#VALUE!</v>
      </c>
      <c r="FM232" t="e">
        <f>Raw!P677+"h_l!.Si"</f>
        <v>#VALUE!</v>
      </c>
      <c r="FN232" t="e">
        <f>Raw!Q677+"h_l!.Sj"</f>
        <v>#VALUE!</v>
      </c>
      <c r="FO232" t="e">
        <f>Raw!R677+"h_l!.Sk"</f>
        <v>#VALUE!</v>
      </c>
      <c r="FP232" t="e">
        <f>Raw!S677+"h_l!.Sl"</f>
        <v>#VALUE!</v>
      </c>
      <c r="FQ232" t="e">
        <f>Raw!T677+"h_l!.Sm"</f>
        <v>#VALUE!</v>
      </c>
      <c r="FR232" t="e">
        <f>Raw!U677+"h_l!.Sn"</f>
        <v>#VALUE!</v>
      </c>
      <c r="FS232" t="e">
        <f>Raw!V677+"h_l!.So"</f>
        <v>#VALUE!</v>
      </c>
      <c r="FT232" t="e">
        <f>Raw!W677+"h_l!.Sp"</f>
        <v>#VALUE!</v>
      </c>
      <c r="FU232" t="e">
        <f>Raw!A678+"h_l!.Sq"</f>
        <v>#VALUE!</v>
      </c>
      <c r="FV232" t="e">
        <f>Raw!B678+"h_l!.Sr"</f>
        <v>#VALUE!</v>
      </c>
      <c r="FW232" t="e">
        <f>Raw!C678+"h_l!.Ss"</f>
        <v>#VALUE!</v>
      </c>
      <c r="FX232" t="e">
        <f>Raw!D678+"h_l!.St"</f>
        <v>#VALUE!</v>
      </c>
      <c r="FY232" t="e">
        <f>Raw!E678+"h_l!.Su"</f>
        <v>#VALUE!</v>
      </c>
      <c r="FZ232" t="e">
        <f>Raw!#REF!+"h_l!.Sv"</f>
        <v>#REF!</v>
      </c>
      <c r="GA232" t="e">
        <f>Raw!G678+"h_l!.Sw"</f>
        <v>#VALUE!</v>
      </c>
      <c r="GB232" t="e">
        <f>Raw!H678+"h_l!.Sx"</f>
        <v>#VALUE!</v>
      </c>
      <c r="GC232" t="e">
        <f>Raw!I678+"h_l!.Sy"</f>
        <v>#VALUE!</v>
      </c>
      <c r="GD232" t="e">
        <f>Raw!J678+"h_l!.Sz"</f>
        <v>#VALUE!</v>
      </c>
      <c r="GE232" t="e">
        <f>Raw!K678+"h_l!.S{"</f>
        <v>#VALUE!</v>
      </c>
      <c r="GF232" t="e">
        <f>Raw!L678+"h_l!.S|"</f>
        <v>#VALUE!</v>
      </c>
      <c r="GG232" t="e">
        <f>Raw!M678+"h_l!.S}"</f>
        <v>#VALUE!</v>
      </c>
      <c r="GH232" t="e">
        <f>Raw!N678+"h_l!.S~"</f>
        <v>#VALUE!</v>
      </c>
      <c r="GI232" t="e">
        <f>Raw!O678+"h_l!.T#"</f>
        <v>#VALUE!</v>
      </c>
      <c r="GJ232" t="e">
        <f>Raw!P678+"h_l!.T$"</f>
        <v>#VALUE!</v>
      </c>
      <c r="GK232" t="e">
        <f>Raw!Q678+"h_l!.T%"</f>
        <v>#VALUE!</v>
      </c>
      <c r="GL232" t="e">
        <f>Raw!R678+"h_l!.T&amp;"</f>
        <v>#VALUE!</v>
      </c>
      <c r="GM232" t="e">
        <f>Raw!S678+"h_l!.T'"</f>
        <v>#VALUE!</v>
      </c>
      <c r="GN232" t="e">
        <f>Raw!T678+"h_l!.T("</f>
        <v>#VALUE!</v>
      </c>
      <c r="GO232" t="e">
        <f>Raw!U678+"h_l!.T)"</f>
        <v>#VALUE!</v>
      </c>
      <c r="GP232" t="e">
        <f>Raw!V678+"h_l!.T."</f>
        <v>#VALUE!</v>
      </c>
      <c r="GQ232" t="e">
        <f>Raw!W678+"h_l!.T/"</f>
        <v>#VALUE!</v>
      </c>
      <c r="GR232" t="e">
        <f>Raw!A679+"h_l!.T0"</f>
        <v>#VALUE!</v>
      </c>
      <c r="GS232" t="e">
        <f>Raw!B679+"h_l!.T1"</f>
        <v>#VALUE!</v>
      </c>
      <c r="GT232" t="e">
        <f>Raw!C679+"h_l!.T2"</f>
        <v>#VALUE!</v>
      </c>
      <c r="GU232" t="e">
        <f>Raw!D679+"h_l!.T3"</f>
        <v>#VALUE!</v>
      </c>
      <c r="GV232" t="e">
        <f>Raw!E679+"h_l!.T4"</f>
        <v>#VALUE!</v>
      </c>
      <c r="GW232" t="e">
        <f>Raw!#REF!+"h_l!.T5"</f>
        <v>#REF!</v>
      </c>
      <c r="GX232" t="e">
        <f>Raw!G679+"h_l!.T6"</f>
        <v>#VALUE!</v>
      </c>
      <c r="GY232" t="e">
        <f>Raw!H679+"h_l!.T7"</f>
        <v>#VALUE!</v>
      </c>
      <c r="GZ232" t="e">
        <f>Raw!I679+"h_l!.T8"</f>
        <v>#VALUE!</v>
      </c>
      <c r="HA232" t="e">
        <f>Raw!J679+"h_l!.T9"</f>
        <v>#VALUE!</v>
      </c>
      <c r="HB232" t="e">
        <f>Raw!K679+"h_l!.T:"</f>
        <v>#VALUE!</v>
      </c>
      <c r="HC232" t="e">
        <f>Raw!L679+"h_l!.T;"</f>
        <v>#VALUE!</v>
      </c>
      <c r="HD232" t="e">
        <f>Raw!M679+"h_l!.T&lt;"</f>
        <v>#VALUE!</v>
      </c>
      <c r="HE232" t="e">
        <f>Raw!N679+"h_l!.T="</f>
        <v>#VALUE!</v>
      </c>
      <c r="HF232" t="e">
        <f>Raw!O679+"h_l!.T&gt;"</f>
        <v>#VALUE!</v>
      </c>
      <c r="HG232" t="e">
        <f>Raw!P679+"h_l!.T?"</f>
        <v>#VALUE!</v>
      </c>
      <c r="HH232" t="e">
        <f>Raw!Q679+"h_l!.T@"</f>
        <v>#VALUE!</v>
      </c>
      <c r="HI232" t="e">
        <f>Raw!R679+"h_l!.TA"</f>
        <v>#VALUE!</v>
      </c>
      <c r="HJ232" t="e">
        <f>Raw!S679+"h_l!.TB"</f>
        <v>#VALUE!</v>
      </c>
      <c r="HK232" t="e">
        <f>Raw!T679+"h_l!.TC"</f>
        <v>#VALUE!</v>
      </c>
      <c r="HL232" t="e">
        <f>Raw!U679+"h_l!.TD"</f>
        <v>#VALUE!</v>
      </c>
      <c r="HM232" t="e">
        <f>Raw!V679+"h_l!.TE"</f>
        <v>#VALUE!</v>
      </c>
      <c r="HN232" t="e">
        <f>Raw!W679+"h_l!.TF"</f>
        <v>#VALUE!</v>
      </c>
      <c r="HO232" t="e">
        <f>Raw!A680+"h_l!.TG"</f>
        <v>#VALUE!</v>
      </c>
      <c r="HP232" t="e">
        <f>Raw!B680+"h_l!.TH"</f>
        <v>#VALUE!</v>
      </c>
      <c r="HQ232" t="e">
        <f>Raw!C680+"h_l!.TI"</f>
        <v>#VALUE!</v>
      </c>
      <c r="HR232" t="e">
        <f>Raw!D680+"h_l!.TJ"</f>
        <v>#VALUE!</v>
      </c>
      <c r="HS232" t="e">
        <f>Raw!E680+"h_l!.TK"</f>
        <v>#VALUE!</v>
      </c>
      <c r="HT232" t="e">
        <f>Raw!#REF!+"h_l!.TL"</f>
        <v>#REF!</v>
      </c>
      <c r="HU232" t="e">
        <f>Raw!G680+"h_l!.TM"</f>
        <v>#VALUE!</v>
      </c>
      <c r="HV232" t="e">
        <f>Raw!H680+"h_l!.TN"</f>
        <v>#VALUE!</v>
      </c>
      <c r="HW232" t="e">
        <f>Raw!I680+"h_l!.TO"</f>
        <v>#VALUE!</v>
      </c>
      <c r="HX232" t="e">
        <f>Raw!J680+"h_l!.TP"</f>
        <v>#VALUE!</v>
      </c>
      <c r="HY232" t="e">
        <f>Raw!K680+"h_l!.TQ"</f>
        <v>#VALUE!</v>
      </c>
      <c r="HZ232" t="e">
        <f>Raw!L680+"h_l!.TR"</f>
        <v>#VALUE!</v>
      </c>
      <c r="IA232" t="e">
        <f>Raw!M680+"h_l!.TS"</f>
        <v>#VALUE!</v>
      </c>
      <c r="IB232" t="e">
        <f>Raw!N680+"h_l!.TT"</f>
        <v>#VALUE!</v>
      </c>
      <c r="IC232" t="e">
        <f>Raw!O680+"h_l!.TU"</f>
        <v>#VALUE!</v>
      </c>
      <c r="ID232" t="e">
        <f>Raw!P680+"h_l!.TV"</f>
        <v>#VALUE!</v>
      </c>
      <c r="IE232" t="e">
        <f>Raw!Q680+"h_l!.TW"</f>
        <v>#VALUE!</v>
      </c>
      <c r="IF232" t="e">
        <f>Raw!R680+"h_l!.TX"</f>
        <v>#VALUE!</v>
      </c>
      <c r="IG232" t="e">
        <f>Raw!S680+"h_l!.TY"</f>
        <v>#VALUE!</v>
      </c>
      <c r="IH232" t="e">
        <f>Raw!T680+"h_l!.TZ"</f>
        <v>#VALUE!</v>
      </c>
      <c r="II232" t="e">
        <f>Raw!U680+"h_l!.T["</f>
        <v>#VALUE!</v>
      </c>
      <c r="IJ232" t="e">
        <f>Raw!V680+"h_l!.T\"</f>
        <v>#VALUE!</v>
      </c>
      <c r="IK232" t="e">
        <f>Raw!W680+"h_l!.T]"</f>
        <v>#VALUE!</v>
      </c>
      <c r="IL232" t="e">
        <f>Raw!A681+"h_l!.T^"</f>
        <v>#VALUE!</v>
      </c>
      <c r="IM232" t="e">
        <f>Raw!B681+"h_l!.T_"</f>
        <v>#VALUE!</v>
      </c>
      <c r="IN232" t="e">
        <f>Raw!C681+"h_l!.T`"</f>
        <v>#VALUE!</v>
      </c>
      <c r="IO232" t="e">
        <f>Raw!D681+"h_l!.Ta"</f>
        <v>#VALUE!</v>
      </c>
      <c r="IP232" t="e">
        <f>Raw!E681+"h_l!.Tb"</f>
        <v>#VALUE!</v>
      </c>
      <c r="IQ232" t="e">
        <f>Raw!#REF!+"h_l!.Tc"</f>
        <v>#REF!</v>
      </c>
      <c r="IR232" t="e">
        <f>Raw!G681+"h_l!.Td"</f>
        <v>#VALUE!</v>
      </c>
      <c r="IS232" t="e">
        <f>Raw!H681+"h_l!.Te"</f>
        <v>#VALUE!</v>
      </c>
      <c r="IT232" t="e">
        <f>Raw!I681+"h_l!.Tf"</f>
        <v>#VALUE!</v>
      </c>
      <c r="IU232" t="e">
        <f>Raw!J681+"h_l!.Tg"</f>
        <v>#VALUE!</v>
      </c>
      <c r="IV232" t="e">
        <f>Raw!K681+"h_l!.Th"</f>
        <v>#VALUE!</v>
      </c>
    </row>
    <row r="233" spans="6:256" x14ac:dyDescent="0.25">
      <c r="F233" t="e">
        <f>Raw!L681+"h_l!.Ti"</f>
        <v>#VALUE!</v>
      </c>
      <c r="G233" t="e">
        <f>Raw!M681+"h_l!.Tj"</f>
        <v>#VALUE!</v>
      </c>
      <c r="H233" t="e">
        <f>Raw!N681+"h_l!.Tk"</f>
        <v>#VALUE!</v>
      </c>
      <c r="I233" t="e">
        <f>Raw!O681+"h_l!.Tl"</f>
        <v>#VALUE!</v>
      </c>
      <c r="J233" t="e">
        <f>Raw!P681+"h_l!.Tm"</f>
        <v>#VALUE!</v>
      </c>
      <c r="K233" t="e">
        <f>Raw!Q681+"h_l!.Tn"</f>
        <v>#VALUE!</v>
      </c>
      <c r="L233" t="e">
        <f>Raw!R681+"h_l!.To"</f>
        <v>#VALUE!</v>
      </c>
      <c r="M233" t="e">
        <f>Raw!S681+"h_l!.Tp"</f>
        <v>#VALUE!</v>
      </c>
      <c r="N233" t="e">
        <f>Raw!T681+"h_l!.Tq"</f>
        <v>#VALUE!</v>
      </c>
      <c r="O233" t="e">
        <f>Raw!U681+"h_l!.Tr"</f>
        <v>#VALUE!</v>
      </c>
      <c r="P233" t="e">
        <f>Raw!V681+"h_l!.Ts"</f>
        <v>#VALUE!</v>
      </c>
      <c r="Q233" t="e">
        <f>Raw!W681+"h_l!.Tt"</f>
        <v>#VALUE!</v>
      </c>
      <c r="R233" t="e">
        <f>Raw!A682+"h_l!.Tu"</f>
        <v>#VALUE!</v>
      </c>
      <c r="S233" t="e">
        <f>Raw!B682+"h_l!.Tv"</f>
        <v>#VALUE!</v>
      </c>
      <c r="T233" t="e">
        <f>Raw!C682+"h_l!.Tw"</f>
        <v>#VALUE!</v>
      </c>
      <c r="U233" t="e">
        <f>Raw!D682+"h_l!.Tx"</f>
        <v>#VALUE!</v>
      </c>
      <c r="V233" t="e">
        <f>Raw!E682+"h_l!.Ty"</f>
        <v>#VALUE!</v>
      </c>
      <c r="W233" t="e">
        <f>Raw!#REF!+"h_l!.Tz"</f>
        <v>#REF!</v>
      </c>
      <c r="X233" t="e">
        <f>Raw!G682+"h_l!.T{"</f>
        <v>#VALUE!</v>
      </c>
      <c r="Y233" t="e">
        <f>Raw!H682+"h_l!.T|"</f>
        <v>#VALUE!</v>
      </c>
      <c r="Z233" t="e">
        <f>Raw!I682+"h_l!.T}"</f>
        <v>#VALUE!</v>
      </c>
      <c r="AA233" t="e">
        <f>Raw!J682+"h_l!.T~"</f>
        <v>#VALUE!</v>
      </c>
      <c r="AB233" t="e">
        <f>Raw!K682+"h_l!.U#"</f>
        <v>#VALUE!</v>
      </c>
      <c r="AC233" t="e">
        <f>Raw!L682+"h_l!.U$"</f>
        <v>#VALUE!</v>
      </c>
      <c r="AD233" t="e">
        <f>Raw!M682+"h_l!.U%"</f>
        <v>#VALUE!</v>
      </c>
      <c r="AE233" t="e">
        <f>Raw!N682+"h_l!.U&amp;"</f>
        <v>#VALUE!</v>
      </c>
      <c r="AF233" t="e">
        <f>Raw!O682+"h_l!.U'"</f>
        <v>#VALUE!</v>
      </c>
      <c r="AG233" t="e">
        <f>Raw!P682+"h_l!.U("</f>
        <v>#VALUE!</v>
      </c>
      <c r="AH233" t="e">
        <f>Raw!Q682+"h_l!.U)"</f>
        <v>#VALUE!</v>
      </c>
      <c r="AI233" t="e">
        <f>Raw!R682+"h_l!.U."</f>
        <v>#VALUE!</v>
      </c>
      <c r="AJ233" t="e">
        <f>Raw!S682+"h_l!.U/"</f>
        <v>#VALUE!</v>
      </c>
      <c r="AK233" t="e">
        <f>Raw!T682+"h_l!.U0"</f>
        <v>#VALUE!</v>
      </c>
      <c r="AL233" t="e">
        <f>Raw!U682+"h_l!.U1"</f>
        <v>#VALUE!</v>
      </c>
      <c r="AM233" t="e">
        <f>Raw!V682+"h_l!.U2"</f>
        <v>#VALUE!</v>
      </c>
      <c r="AN233" t="e">
        <f>Raw!W682+"h_l!.U3"</f>
        <v>#VALUE!</v>
      </c>
      <c r="AO233" t="e">
        <f>Raw!A683+"h_l!.U4"</f>
        <v>#VALUE!</v>
      </c>
      <c r="AP233" t="e">
        <f>Raw!B683+"h_l!.U5"</f>
        <v>#VALUE!</v>
      </c>
      <c r="AQ233" t="e">
        <f>Raw!C683+"h_l!.U6"</f>
        <v>#VALUE!</v>
      </c>
      <c r="AR233" t="e">
        <f>Raw!D683+"h_l!.U7"</f>
        <v>#VALUE!</v>
      </c>
      <c r="AS233" t="e">
        <f>Raw!E683+"h_l!.U8"</f>
        <v>#VALUE!</v>
      </c>
      <c r="AT233" t="e">
        <f>Raw!#REF!+"h_l!.U9"</f>
        <v>#REF!</v>
      </c>
      <c r="AU233" t="e">
        <f>Raw!G683+"h_l!.U:"</f>
        <v>#VALUE!</v>
      </c>
      <c r="AV233" t="e">
        <f>Raw!H683+"h_l!.U;"</f>
        <v>#VALUE!</v>
      </c>
      <c r="AW233" t="e">
        <f>Raw!I683+"h_l!.U&lt;"</f>
        <v>#VALUE!</v>
      </c>
      <c r="AX233" t="e">
        <f>Raw!J683+"h_l!.U="</f>
        <v>#VALUE!</v>
      </c>
      <c r="AY233" t="e">
        <f>Raw!K683+"h_l!.U&gt;"</f>
        <v>#VALUE!</v>
      </c>
      <c r="AZ233" t="e">
        <f>Raw!L683+"h_l!.U?"</f>
        <v>#VALUE!</v>
      </c>
      <c r="BA233" t="e">
        <f>Raw!M683+"h_l!.U@"</f>
        <v>#VALUE!</v>
      </c>
      <c r="BB233" t="e">
        <f>Raw!N683+"h_l!.UA"</f>
        <v>#VALUE!</v>
      </c>
      <c r="BC233" t="e">
        <f>Raw!O683+"h_l!.UB"</f>
        <v>#VALUE!</v>
      </c>
      <c r="BD233" t="e">
        <f>Raw!P683+"h_l!.UC"</f>
        <v>#VALUE!</v>
      </c>
      <c r="BE233" t="e">
        <f>Raw!Q683+"h_l!.UD"</f>
        <v>#VALUE!</v>
      </c>
      <c r="BF233" t="e">
        <f>Raw!R683+"h_l!.UE"</f>
        <v>#VALUE!</v>
      </c>
      <c r="BG233" t="e">
        <f>Raw!S683+"h_l!.UF"</f>
        <v>#VALUE!</v>
      </c>
      <c r="BH233" t="e">
        <f>Raw!T683+"h_l!.UG"</f>
        <v>#VALUE!</v>
      </c>
      <c r="BI233" t="e">
        <f>Raw!U683+"h_l!.UH"</f>
        <v>#VALUE!</v>
      </c>
      <c r="BJ233" t="e">
        <f>Raw!V683+"h_l!.UI"</f>
        <v>#VALUE!</v>
      </c>
      <c r="BK233" t="e">
        <f>Raw!W683+"h_l!.UJ"</f>
        <v>#VALUE!</v>
      </c>
      <c r="BL233" t="e">
        <f>Raw!A684+"h_l!.UK"</f>
        <v>#VALUE!</v>
      </c>
      <c r="BM233" t="e">
        <f>Raw!B684+"h_l!.UL"</f>
        <v>#VALUE!</v>
      </c>
      <c r="BN233" t="e">
        <f>Raw!C684+"h_l!.UM"</f>
        <v>#VALUE!</v>
      </c>
      <c r="BO233" t="e">
        <f>Raw!D684+"h_l!.UN"</f>
        <v>#VALUE!</v>
      </c>
      <c r="BP233" t="e">
        <f>Raw!E684+"h_l!.UO"</f>
        <v>#VALUE!</v>
      </c>
      <c r="BQ233" t="e">
        <f>Raw!#REF!+"h_l!.UP"</f>
        <v>#REF!</v>
      </c>
      <c r="BR233" t="e">
        <f>Raw!G684+"h_l!.UQ"</f>
        <v>#VALUE!</v>
      </c>
      <c r="BS233" t="e">
        <f>Raw!H684+"h_l!.UR"</f>
        <v>#VALUE!</v>
      </c>
      <c r="BT233" t="e">
        <f>Raw!I684+"h_l!.US"</f>
        <v>#VALUE!</v>
      </c>
      <c r="BU233" t="e">
        <f>Raw!J684+"h_l!.UT"</f>
        <v>#VALUE!</v>
      </c>
      <c r="BV233" t="e">
        <f>Raw!K684+"h_l!.UU"</f>
        <v>#VALUE!</v>
      </c>
      <c r="BW233" t="e">
        <f>Raw!L684+"h_l!.UV"</f>
        <v>#VALUE!</v>
      </c>
      <c r="BX233" t="e">
        <f>Raw!M684+"h_l!.UW"</f>
        <v>#VALUE!</v>
      </c>
      <c r="BY233" t="e">
        <f>Raw!N684+"h_l!.UX"</f>
        <v>#VALUE!</v>
      </c>
      <c r="BZ233" t="e">
        <f>Raw!O684+"h_l!.UY"</f>
        <v>#VALUE!</v>
      </c>
      <c r="CA233" t="e">
        <f>Raw!P684+"h_l!.UZ"</f>
        <v>#VALUE!</v>
      </c>
      <c r="CB233" t="e">
        <f>Raw!Q684+"h_l!.U["</f>
        <v>#VALUE!</v>
      </c>
      <c r="CC233" t="e">
        <f>Raw!R684+"h_l!.U\"</f>
        <v>#VALUE!</v>
      </c>
      <c r="CD233" t="e">
        <f>Raw!S684+"h_l!.U]"</f>
        <v>#VALUE!</v>
      </c>
      <c r="CE233" t="e">
        <f>Raw!T684+"h_l!.U^"</f>
        <v>#VALUE!</v>
      </c>
      <c r="CF233" t="e">
        <f>Raw!U684+"h_l!.U_"</f>
        <v>#VALUE!</v>
      </c>
      <c r="CG233" t="e">
        <f>Raw!V684+"h_l!.U`"</f>
        <v>#VALUE!</v>
      </c>
      <c r="CH233" t="e">
        <f>Raw!W684+"h_l!.Ua"</f>
        <v>#VALUE!</v>
      </c>
      <c r="CI233" t="e">
        <f>Raw!A685+"h_l!.Ub"</f>
        <v>#VALUE!</v>
      </c>
      <c r="CJ233" t="e">
        <f>Raw!B685+"h_l!.Uc"</f>
        <v>#VALUE!</v>
      </c>
      <c r="CK233" t="e">
        <f>Raw!C685+"h_l!.Ud"</f>
        <v>#VALUE!</v>
      </c>
      <c r="CL233" t="e">
        <f>Raw!D685+"h_l!.Ue"</f>
        <v>#VALUE!</v>
      </c>
      <c r="CM233" t="e">
        <f>Raw!E685+"h_l!.Uf"</f>
        <v>#VALUE!</v>
      </c>
      <c r="CN233" t="e">
        <f>Raw!#REF!+"h_l!.Ug"</f>
        <v>#REF!</v>
      </c>
      <c r="CO233" t="e">
        <f>Raw!G685+"h_l!.Uh"</f>
        <v>#VALUE!</v>
      </c>
      <c r="CP233" t="e">
        <f>Raw!H685+"h_l!.Ui"</f>
        <v>#VALUE!</v>
      </c>
      <c r="CQ233" t="e">
        <f>Raw!I685+"h_l!.Uj"</f>
        <v>#VALUE!</v>
      </c>
      <c r="CR233" t="e">
        <f>Raw!J685+"h_l!.Uk"</f>
        <v>#VALUE!</v>
      </c>
      <c r="CS233" t="e">
        <f>Raw!K685+"h_l!.Ul"</f>
        <v>#VALUE!</v>
      </c>
      <c r="CT233" t="e">
        <f>Raw!L685+"h_l!.Um"</f>
        <v>#VALUE!</v>
      </c>
      <c r="CU233" t="e">
        <f>Raw!M685+"h_l!.Un"</f>
        <v>#VALUE!</v>
      </c>
      <c r="CV233" t="e">
        <f>Raw!N685+"h_l!.Uo"</f>
        <v>#VALUE!</v>
      </c>
      <c r="CW233" t="e">
        <f>Raw!O685+"h_l!.Up"</f>
        <v>#VALUE!</v>
      </c>
      <c r="CX233" t="e">
        <f>Raw!P685+"h_l!.Uq"</f>
        <v>#VALUE!</v>
      </c>
      <c r="CY233" t="e">
        <f>Raw!Q685+"h_l!.Ur"</f>
        <v>#VALUE!</v>
      </c>
      <c r="CZ233" t="e">
        <f>Raw!R685+"h_l!.Us"</f>
        <v>#VALUE!</v>
      </c>
      <c r="DA233" t="e">
        <f>Raw!S685+"h_l!.Ut"</f>
        <v>#VALUE!</v>
      </c>
      <c r="DB233" t="e">
        <f>Raw!T685+"h_l!.Uu"</f>
        <v>#VALUE!</v>
      </c>
      <c r="DC233" t="e">
        <f>Raw!U685+"h_l!.Uv"</f>
        <v>#VALUE!</v>
      </c>
      <c r="DD233" t="e">
        <f>Raw!V685+"h_l!.Uw"</f>
        <v>#VALUE!</v>
      </c>
      <c r="DE233" t="e">
        <f>Raw!W685+"h_l!.Ux"</f>
        <v>#VALUE!</v>
      </c>
      <c r="DF233" t="e">
        <f>Raw!A686+"h_l!.Uy"</f>
        <v>#VALUE!</v>
      </c>
      <c r="DG233" t="e">
        <f>Raw!B686+"h_l!.Uz"</f>
        <v>#VALUE!</v>
      </c>
      <c r="DH233" t="e">
        <f>Raw!C686+"h_l!.U{"</f>
        <v>#VALUE!</v>
      </c>
      <c r="DI233" t="e">
        <f>Raw!D686+"h_l!.U|"</f>
        <v>#VALUE!</v>
      </c>
      <c r="DJ233" t="e">
        <f>Raw!E686+"h_l!.U}"</f>
        <v>#VALUE!</v>
      </c>
      <c r="DK233" t="e">
        <f>Raw!#REF!+"h_l!.U~"</f>
        <v>#REF!</v>
      </c>
      <c r="DL233" t="e">
        <f>Raw!G686+"h_l!.V#"</f>
        <v>#VALUE!</v>
      </c>
      <c r="DM233" t="e">
        <f>Raw!H686+"h_l!.V$"</f>
        <v>#VALUE!</v>
      </c>
      <c r="DN233" t="e">
        <f>Raw!I686+"h_l!.V%"</f>
        <v>#VALUE!</v>
      </c>
      <c r="DO233" t="e">
        <f>Raw!J686+"h_l!.V&amp;"</f>
        <v>#VALUE!</v>
      </c>
      <c r="DP233" t="e">
        <f>Raw!K686+"h_l!.V'"</f>
        <v>#VALUE!</v>
      </c>
      <c r="DQ233" t="e">
        <f>Raw!L686+"h_l!.V("</f>
        <v>#VALUE!</v>
      </c>
      <c r="DR233" t="e">
        <f>Raw!M686+"h_l!.V)"</f>
        <v>#VALUE!</v>
      </c>
      <c r="DS233" t="e">
        <f>Raw!N686+"h_l!.V."</f>
        <v>#VALUE!</v>
      </c>
      <c r="DT233" t="e">
        <f>Raw!O686+"h_l!.V/"</f>
        <v>#VALUE!</v>
      </c>
      <c r="DU233" t="e">
        <f>Raw!P686+"h_l!.V0"</f>
        <v>#VALUE!</v>
      </c>
      <c r="DV233" t="e">
        <f>Raw!Q686+"h_l!.V1"</f>
        <v>#VALUE!</v>
      </c>
      <c r="DW233" t="e">
        <f>Raw!R686+"h_l!.V2"</f>
        <v>#VALUE!</v>
      </c>
      <c r="DX233" t="e">
        <f>Raw!S686+"h_l!.V3"</f>
        <v>#VALUE!</v>
      </c>
      <c r="DY233" t="e">
        <f>Raw!T686+"h_l!.V4"</f>
        <v>#VALUE!</v>
      </c>
      <c r="DZ233" t="e">
        <f>Raw!U686+"h_l!.V5"</f>
        <v>#VALUE!</v>
      </c>
      <c r="EA233" t="e">
        <f>Raw!V686+"h_l!.V6"</f>
        <v>#VALUE!</v>
      </c>
      <c r="EB233" t="e">
        <f>Raw!W686+"h_l!.V7"</f>
        <v>#VALUE!</v>
      </c>
      <c r="EC233" t="e">
        <f>Raw!A687+"h_l!.V8"</f>
        <v>#VALUE!</v>
      </c>
      <c r="ED233" t="e">
        <f>Raw!B687+"h_l!.V9"</f>
        <v>#VALUE!</v>
      </c>
      <c r="EE233" t="e">
        <f>Raw!C687+"h_l!.V:"</f>
        <v>#VALUE!</v>
      </c>
      <c r="EF233" t="e">
        <f>Raw!D687+"h_l!.V;"</f>
        <v>#VALUE!</v>
      </c>
      <c r="EG233" t="e">
        <f>Raw!E687+"h_l!.V&lt;"</f>
        <v>#VALUE!</v>
      </c>
      <c r="EH233" t="e">
        <f>Raw!#REF!+"h_l!.V="</f>
        <v>#REF!</v>
      </c>
      <c r="EI233" t="e">
        <f>Raw!G687+"h_l!.V&gt;"</f>
        <v>#VALUE!</v>
      </c>
      <c r="EJ233" t="e">
        <f>Raw!H687+"h_l!.V?"</f>
        <v>#VALUE!</v>
      </c>
      <c r="EK233" t="e">
        <f>Raw!I687+"h_l!.V@"</f>
        <v>#VALUE!</v>
      </c>
      <c r="EL233" t="e">
        <f>Raw!J687+"h_l!.VA"</f>
        <v>#VALUE!</v>
      </c>
      <c r="EM233" t="e">
        <f>Raw!K687+"h_l!.VB"</f>
        <v>#VALUE!</v>
      </c>
      <c r="EN233" t="e">
        <f>Raw!L687+"h_l!.VC"</f>
        <v>#VALUE!</v>
      </c>
      <c r="EO233" t="e">
        <f>Raw!M687+"h_l!.VD"</f>
        <v>#VALUE!</v>
      </c>
      <c r="EP233" t="e">
        <f>Raw!N687+"h_l!.VE"</f>
        <v>#VALUE!</v>
      </c>
      <c r="EQ233" t="e">
        <f>Raw!O687+"h_l!.VF"</f>
        <v>#VALUE!</v>
      </c>
      <c r="ER233" t="e">
        <f>Raw!P687+"h_l!.VG"</f>
        <v>#VALUE!</v>
      </c>
      <c r="ES233" t="e">
        <f>Raw!Q687+"h_l!.VH"</f>
        <v>#VALUE!</v>
      </c>
      <c r="ET233" t="e">
        <f>Raw!R687+"h_l!.VI"</f>
        <v>#VALUE!</v>
      </c>
      <c r="EU233" t="e">
        <f>Raw!S687+"h_l!.VJ"</f>
        <v>#VALUE!</v>
      </c>
      <c r="EV233" t="e">
        <f>Raw!T687+"h_l!.VK"</f>
        <v>#VALUE!</v>
      </c>
      <c r="EW233" t="e">
        <f>Raw!U687+"h_l!.VL"</f>
        <v>#VALUE!</v>
      </c>
      <c r="EX233" t="e">
        <f>Raw!V687+"h_l!.VM"</f>
        <v>#VALUE!</v>
      </c>
      <c r="EY233" t="e">
        <f>Raw!W687+"h_l!.VN"</f>
        <v>#VALUE!</v>
      </c>
      <c r="EZ233" t="e">
        <f>Raw!A688+"h_l!.VO"</f>
        <v>#VALUE!</v>
      </c>
      <c r="FA233" t="e">
        <f>Raw!B688+"h_l!.VP"</f>
        <v>#VALUE!</v>
      </c>
      <c r="FB233" t="e">
        <f>Raw!C688+"h_l!.VQ"</f>
        <v>#VALUE!</v>
      </c>
      <c r="FC233" t="e">
        <f>Raw!D688+"h_l!.VR"</f>
        <v>#VALUE!</v>
      </c>
      <c r="FD233" t="e">
        <f>Raw!E688+"h_l!.VS"</f>
        <v>#VALUE!</v>
      </c>
      <c r="FE233" t="e">
        <f>Raw!#REF!+"h_l!.VT"</f>
        <v>#REF!</v>
      </c>
      <c r="FF233" t="e">
        <f>Raw!G688+"h_l!.VU"</f>
        <v>#VALUE!</v>
      </c>
      <c r="FG233" t="e">
        <f>Raw!H688+"h_l!.VV"</f>
        <v>#VALUE!</v>
      </c>
      <c r="FH233" t="e">
        <f>Raw!I688+"h_l!.VW"</f>
        <v>#VALUE!</v>
      </c>
      <c r="FI233" t="e">
        <f>Raw!J688+"h_l!.VX"</f>
        <v>#VALUE!</v>
      </c>
      <c r="FJ233" t="e">
        <f>Raw!K688+"h_l!.VY"</f>
        <v>#VALUE!</v>
      </c>
      <c r="FK233" t="e">
        <f>Raw!L688+"h_l!.VZ"</f>
        <v>#VALUE!</v>
      </c>
      <c r="FL233" t="e">
        <f>Raw!M688+"h_l!.V["</f>
        <v>#VALUE!</v>
      </c>
      <c r="FM233" t="e">
        <f>Raw!N688+"h_l!.V\"</f>
        <v>#VALUE!</v>
      </c>
      <c r="FN233" t="e">
        <f>Raw!O688+"h_l!.V]"</f>
        <v>#VALUE!</v>
      </c>
      <c r="FO233" t="e">
        <f>Raw!P688+"h_l!.V^"</f>
        <v>#VALUE!</v>
      </c>
      <c r="FP233" t="e">
        <f>Raw!Q688+"h_l!.V_"</f>
        <v>#VALUE!</v>
      </c>
      <c r="FQ233" t="e">
        <f>Raw!R688+"h_l!.V`"</f>
        <v>#VALUE!</v>
      </c>
      <c r="FR233" t="e">
        <f>Raw!S688+"h_l!.Va"</f>
        <v>#VALUE!</v>
      </c>
      <c r="FS233" t="e">
        <f>Raw!T688+"h_l!.Vb"</f>
        <v>#VALUE!</v>
      </c>
      <c r="FT233" t="e">
        <f>Raw!U688+"h_l!.Vc"</f>
        <v>#VALUE!</v>
      </c>
      <c r="FU233" t="e">
        <f>Raw!V688+"h_l!.Vd"</f>
        <v>#VALUE!</v>
      </c>
      <c r="FV233" t="e">
        <f>Raw!W688+"h_l!.Ve"</f>
        <v>#VALUE!</v>
      </c>
      <c r="FW233" t="e">
        <f>Raw!A689+"h_l!.Vf"</f>
        <v>#VALUE!</v>
      </c>
      <c r="FX233" t="e">
        <f>Raw!B689+"h_l!.Vg"</f>
        <v>#VALUE!</v>
      </c>
      <c r="FY233" t="e">
        <f>Raw!C689+"h_l!.Vh"</f>
        <v>#VALUE!</v>
      </c>
      <c r="FZ233" t="e">
        <f>Raw!D689+"h_l!.Vi"</f>
        <v>#VALUE!</v>
      </c>
      <c r="GA233" t="e">
        <f>Raw!E689+"h_l!.Vj"</f>
        <v>#VALUE!</v>
      </c>
      <c r="GB233" t="e">
        <f>Raw!#REF!+"h_l!.Vk"</f>
        <v>#REF!</v>
      </c>
      <c r="GC233" t="e">
        <f>Raw!G689+"h_l!.Vl"</f>
        <v>#VALUE!</v>
      </c>
      <c r="GD233" t="e">
        <f>Raw!H689+"h_l!.Vm"</f>
        <v>#VALUE!</v>
      </c>
      <c r="GE233" t="e">
        <f>Raw!I689+"h_l!.Vn"</f>
        <v>#VALUE!</v>
      </c>
      <c r="GF233" t="e">
        <f>Raw!J689+"h_l!.Vo"</f>
        <v>#VALUE!</v>
      </c>
      <c r="GG233" t="e">
        <f>Raw!K689+"h_l!.Vp"</f>
        <v>#VALUE!</v>
      </c>
      <c r="GH233" t="e">
        <f>Raw!L689+"h_l!.Vq"</f>
        <v>#VALUE!</v>
      </c>
      <c r="GI233" t="e">
        <f>Raw!M689+"h_l!.Vr"</f>
        <v>#VALUE!</v>
      </c>
      <c r="GJ233" t="e">
        <f>Raw!N689+"h_l!.Vs"</f>
        <v>#VALUE!</v>
      </c>
      <c r="GK233" t="e">
        <f>Raw!O689+"h_l!.Vt"</f>
        <v>#VALUE!</v>
      </c>
      <c r="GL233" t="e">
        <f>Raw!P689+"h_l!.Vu"</f>
        <v>#VALUE!</v>
      </c>
      <c r="GM233" t="e">
        <f>Raw!Q689+"h_l!.Vv"</f>
        <v>#VALUE!</v>
      </c>
      <c r="GN233" t="e">
        <f>Raw!R689+"h_l!.Vw"</f>
        <v>#VALUE!</v>
      </c>
      <c r="GO233" t="e">
        <f>Raw!S689+"h_l!.Vx"</f>
        <v>#VALUE!</v>
      </c>
      <c r="GP233" t="e">
        <f>Raw!T689+"h_l!.Vy"</f>
        <v>#VALUE!</v>
      </c>
      <c r="GQ233" t="e">
        <f>Raw!U689+"h_l!.Vz"</f>
        <v>#VALUE!</v>
      </c>
      <c r="GR233" t="e">
        <f>Raw!V689+"h_l!.V{"</f>
        <v>#VALUE!</v>
      </c>
      <c r="GS233" t="e">
        <f>Raw!W689+"h_l!.V|"</f>
        <v>#VALUE!</v>
      </c>
      <c r="GT233" t="e">
        <f>Raw!A690+"h_l!.V}"</f>
        <v>#VALUE!</v>
      </c>
      <c r="GU233" t="e">
        <f>Raw!B690+"h_l!.V~"</f>
        <v>#VALUE!</v>
      </c>
      <c r="GV233" t="e">
        <f>Raw!C690+"h_l!.W#"</f>
        <v>#VALUE!</v>
      </c>
      <c r="GW233" t="e">
        <f>Raw!D690+"h_l!.W$"</f>
        <v>#VALUE!</v>
      </c>
      <c r="GX233" t="e">
        <f>Raw!E690+"h_l!.W%"</f>
        <v>#VALUE!</v>
      </c>
      <c r="GY233" t="e">
        <f>Raw!#REF!+"h_l!.W&amp;"</f>
        <v>#REF!</v>
      </c>
      <c r="GZ233" t="e">
        <f>Raw!G690+"h_l!.W'"</f>
        <v>#VALUE!</v>
      </c>
      <c r="HA233" t="e">
        <f>Raw!H690+"h_l!.W("</f>
        <v>#VALUE!</v>
      </c>
      <c r="HB233" t="e">
        <f>Raw!I690+"h_l!.W)"</f>
        <v>#VALUE!</v>
      </c>
      <c r="HC233" t="e">
        <f>Raw!J690+"h_l!.W."</f>
        <v>#VALUE!</v>
      </c>
      <c r="HD233" t="e">
        <f>Raw!K690+"h_l!.W/"</f>
        <v>#VALUE!</v>
      </c>
      <c r="HE233" t="e">
        <f>Raw!L690+"h_l!.W0"</f>
        <v>#VALUE!</v>
      </c>
      <c r="HF233" t="e">
        <f>Raw!M690+"h_l!.W1"</f>
        <v>#VALUE!</v>
      </c>
      <c r="HG233" t="e">
        <f>Raw!N690+"h_l!.W2"</f>
        <v>#VALUE!</v>
      </c>
      <c r="HH233" t="e">
        <f>Raw!O690+"h_l!.W3"</f>
        <v>#VALUE!</v>
      </c>
      <c r="HI233" t="e">
        <f>Raw!P690+"h_l!.W4"</f>
        <v>#VALUE!</v>
      </c>
      <c r="HJ233" t="e">
        <f>Raw!Q690+"h_l!.W5"</f>
        <v>#VALUE!</v>
      </c>
      <c r="HK233" t="e">
        <f>Raw!R690+"h_l!.W6"</f>
        <v>#VALUE!</v>
      </c>
      <c r="HL233" t="e">
        <f>Raw!S690+"h_l!.W7"</f>
        <v>#VALUE!</v>
      </c>
      <c r="HM233" t="e">
        <f>Raw!T690+"h_l!.W8"</f>
        <v>#VALUE!</v>
      </c>
      <c r="HN233" t="e">
        <f>Raw!U690+"h_l!.W9"</f>
        <v>#VALUE!</v>
      </c>
      <c r="HO233" t="e">
        <f>Raw!V690+"h_l!.W:"</f>
        <v>#VALUE!</v>
      </c>
      <c r="HP233" t="e">
        <f>Raw!W690+"h_l!.W;"</f>
        <v>#VALUE!</v>
      </c>
      <c r="HQ233" t="e">
        <f>Raw!A691+"h_l!.W&lt;"</f>
        <v>#VALUE!</v>
      </c>
      <c r="HR233" t="e">
        <f>Raw!B691+"h_l!.W="</f>
        <v>#VALUE!</v>
      </c>
      <c r="HS233" t="e">
        <f>Raw!C691+"h_l!.W&gt;"</f>
        <v>#VALUE!</v>
      </c>
      <c r="HT233" t="e">
        <f>Raw!D691+"h_l!.W?"</f>
        <v>#VALUE!</v>
      </c>
      <c r="HU233" t="e">
        <f>Raw!E691+"h_l!.W@"</f>
        <v>#VALUE!</v>
      </c>
      <c r="HV233" t="e">
        <f>Raw!#REF!+"h_l!.WA"</f>
        <v>#REF!</v>
      </c>
      <c r="HW233" t="e">
        <f>Raw!G691+"h_l!.WB"</f>
        <v>#VALUE!</v>
      </c>
      <c r="HX233" t="e">
        <f>Raw!H691+"h_l!.WC"</f>
        <v>#VALUE!</v>
      </c>
      <c r="HY233" t="e">
        <f>Raw!I691+"h_l!.WD"</f>
        <v>#VALUE!</v>
      </c>
      <c r="HZ233" t="e">
        <f>Raw!J691+"h_l!.WE"</f>
        <v>#VALUE!</v>
      </c>
      <c r="IA233" t="e">
        <f>Raw!K691+"h_l!.WF"</f>
        <v>#VALUE!</v>
      </c>
      <c r="IB233" t="e">
        <f>Raw!L691+"h_l!.WG"</f>
        <v>#VALUE!</v>
      </c>
      <c r="IC233" t="e">
        <f>Raw!M691+"h_l!.WH"</f>
        <v>#VALUE!</v>
      </c>
      <c r="ID233" t="e">
        <f>Raw!N691+"h_l!.WI"</f>
        <v>#VALUE!</v>
      </c>
      <c r="IE233" t="e">
        <f>Raw!O691+"h_l!.WJ"</f>
        <v>#VALUE!</v>
      </c>
      <c r="IF233" t="e">
        <f>Raw!P691+"h_l!.WK"</f>
        <v>#VALUE!</v>
      </c>
      <c r="IG233" t="e">
        <f>Raw!Q691+"h_l!.WL"</f>
        <v>#VALUE!</v>
      </c>
      <c r="IH233" t="e">
        <f>Raw!R691+"h_l!.WM"</f>
        <v>#VALUE!</v>
      </c>
      <c r="II233" t="e">
        <f>Raw!S691+"h_l!.WN"</f>
        <v>#VALUE!</v>
      </c>
      <c r="IJ233" t="e">
        <f>Raw!T691+"h_l!.WO"</f>
        <v>#VALUE!</v>
      </c>
      <c r="IK233" t="e">
        <f>Raw!U691+"h_l!.WP"</f>
        <v>#VALUE!</v>
      </c>
      <c r="IL233" t="e">
        <f>Raw!V691+"h_l!.WQ"</f>
        <v>#VALUE!</v>
      </c>
      <c r="IM233" t="e">
        <f>Raw!W691+"h_l!.WR"</f>
        <v>#VALUE!</v>
      </c>
      <c r="IN233" t="e">
        <f>Raw!A692+"h_l!.WS"</f>
        <v>#VALUE!</v>
      </c>
      <c r="IO233" t="e">
        <f>Raw!B692+"h_l!.WT"</f>
        <v>#VALUE!</v>
      </c>
      <c r="IP233" t="e">
        <f>Raw!C692+"h_l!.WU"</f>
        <v>#VALUE!</v>
      </c>
      <c r="IQ233" t="e">
        <f>Raw!D692+"h_l!.WV"</f>
        <v>#VALUE!</v>
      </c>
      <c r="IR233" t="e">
        <f>Raw!E692+"h_l!.WW"</f>
        <v>#VALUE!</v>
      </c>
      <c r="IS233" t="e">
        <f>Raw!#REF!+"h_l!.WX"</f>
        <v>#REF!</v>
      </c>
      <c r="IT233" t="e">
        <f>Raw!G692+"h_l!.WY"</f>
        <v>#VALUE!</v>
      </c>
      <c r="IU233" t="e">
        <f>Raw!H692+"h_l!.WZ"</f>
        <v>#VALUE!</v>
      </c>
      <c r="IV233" t="e">
        <f>Raw!I692+"h_l!.W["</f>
        <v>#VALUE!</v>
      </c>
    </row>
    <row r="234" spans="6:256" x14ac:dyDescent="0.25">
      <c r="F234" t="e">
        <f>Raw!J692+"h_l!.W\"</f>
        <v>#VALUE!</v>
      </c>
      <c r="G234" t="e">
        <f>Raw!K692+"h_l!.W]"</f>
        <v>#VALUE!</v>
      </c>
      <c r="H234" t="e">
        <f>Raw!L692+"h_l!.W^"</f>
        <v>#VALUE!</v>
      </c>
      <c r="I234" t="e">
        <f>Raw!M692+"h_l!.W_"</f>
        <v>#VALUE!</v>
      </c>
      <c r="J234" t="e">
        <f>Raw!N692+"h_l!.W`"</f>
        <v>#VALUE!</v>
      </c>
      <c r="K234" t="e">
        <f>Raw!O692+"h_l!.Wa"</f>
        <v>#VALUE!</v>
      </c>
      <c r="L234" t="e">
        <f>Raw!P692+"h_l!.Wb"</f>
        <v>#VALUE!</v>
      </c>
      <c r="M234" t="e">
        <f>Raw!Q692+"h_l!.Wc"</f>
        <v>#VALUE!</v>
      </c>
      <c r="N234" t="e">
        <f>Raw!R692+"h_l!.Wd"</f>
        <v>#VALUE!</v>
      </c>
      <c r="O234" t="e">
        <f>Raw!S692+"h_l!.We"</f>
        <v>#VALUE!</v>
      </c>
      <c r="P234" t="e">
        <f>Raw!T692+"h_l!.Wf"</f>
        <v>#VALUE!</v>
      </c>
      <c r="Q234" t="e">
        <f>Raw!U692+"h_l!.Wg"</f>
        <v>#VALUE!</v>
      </c>
      <c r="R234" t="e">
        <f>Raw!V692+"h_l!.Wh"</f>
        <v>#VALUE!</v>
      </c>
      <c r="S234" t="e">
        <f>Raw!W692+"h_l!.Wi"</f>
        <v>#VALUE!</v>
      </c>
      <c r="T234" t="e">
        <f>Raw!A693+"h_l!.Wj"</f>
        <v>#VALUE!</v>
      </c>
      <c r="U234" t="e">
        <f>Raw!B693+"h_l!.Wk"</f>
        <v>#VALUE!</v>
      </c>
      <c r="V234" t="e">
        <f>Raw!C693+"h_l!.Wl"</f>
        <v>#VALUE!</v>
      </c>
      <c r="W234" t="e">
        <f>Raw!D693+"h_l!.Wm"</f>
        <v>#VALUE!</v>
      </c>
      <c r="X234" t="e">
        <f>Raw!E693+"h_l!.Wn"</f>
        <v>#VALUE!</v>
      </c>
      <c r="Y234" t="e">
        <f>Raw!#REF!+"h_l!.Wo"</f>
        <v>#REF!</v>
      </c>
      <c r="Z234" t="e">
        <f>Raw!G693+"h_l!.Wp"</f>
        <v>#VALUE!</v>
      </c>
      <c r="AA234" t="e">
        <f>Raw!H693+"h_l!.Wq"</f>
        <v>#VALUE!</v>
      </c>
      <c r="AB234" t="e">
        <f>Raw!I693+"h_l!.Wr"</f>
        <v>#VALUE!</v>
      </c>
      <c r="AC234" t="e">
        <f>Raw!J693+"h_l!.Ws"</f>
        <v>#VALUE!</v>
      </c>
      <c r="AD234" t="e">
        <f>Raw!K693+"h_l!.Wt"</f>
        <v>#VALUE!</v>
      </c>
      <c r="AE234" t="e">
        <f>Raw!L693+"h_l!.Wu"</f>
        <v>#VALUE!</v>
      </c>
      <c r="AF234" t="e">
        <f>Raw!M693+"h_l!.Wv"</f>
        <v>#VALUE!</v>
      </c>
      <c r="AG234" t="e">
        <f>Raw!N693+"h_l!.Ww"</f>
        <v>#VALUE!</v>
      </c>
      <c r="AH234" t="e">
        <f>Raw!O693+"h_l!.Wx"</f>
        <v>#VALUE!</v>
      </c>
      <c r="AI234" t="e">
        <f>Raw!P693+"h_l!.Wy"</f>
        <v>#VALUE!</v>
      </c>
      <c r="AJ234" t="e">
        <f>Raw!Q693+"h_l!.Wz"</f>
        <v>#VALUE!</v>
      </c>
      <c r="AK234" t="e">
        <f>Raw!R693+"h_l!.W{"</f>
        <v>#VALUE!</v>
      </c>
      <c r="AL234" t="e">
        <f>Raw!S693+"h_l!.W|"</f>
        <v>#VALUE!</v>
      </c>
      <c r="AM234" t="e">
        <f>Raw!T693+"h_l!.W}"</f>
        <v>#VALUE!</v>
      </c>
      <c r="AN234" t="e">
        <f>Raw!U693+"h_l!.W~"</f>
        <v>#VALUE!</v>
      </c>
      <c r="AO234" t="e">
        <f>Raw!V693+"h_l!.X#"</f>
        <v>#VALUE!</v>
      </c>
      <c r="AP234" t="e">
        <f>Raw!W693+"h_l!.X$"</f>
        <v>#VALUE!</v>
      </c>
      <c r="AQ234" t="e">
        <f>Raw!A694+"h_l!.X%"</f>
        <v>#VALUE!</v>
      </c>
      <c r="AR234" t="e">
        <f>Raw!B694+"h_l!.X&amp;"</f>
        <v>#VALUE!</v>
      </c>
      <c r="AS234" t="e">
        <f>Raw!C694+"h_l!.X'"</f>
        <v>#VALUE!</v>
      </c>
      <c r="AT234" t="e">
        <f>Raw!D694+"h_l!.X("</f>
        <v>#VALUE!</v>
      </c>
      <c r="AU234" t="e">
        <f>Raw!E694+"h_l!.X)"</f>
        <v>#VALUE!</v>
      </c>
      <c r="AV234" t="e">
        <f>Raw!#REF!+"h_l!.X."</f>
        <v>#REF!</v>
      </c>
      <c r="AW234" t="e">
        <f>Raw!G694+"h_l!.X/"</f>
        <v>#VALUE!</v>
      </c>
      <c r="AX234" t="e">
        <f>Raw!H694+"h_l!.X0"</f>
        <v>#VALUE!</v>
      </c>
      <c r="AY234" t="e">
        <f>Raw!I694+"h_l!.X1"</f>
        <v>#VALUE!</v>
      </c>
      <c r="AZ234" t="e">
        <f>Raw!J694+"h_l!.X2"</f>
        <v>#VALUE!</v>
      </c>
      <c r="BA234" t="e">
        <f>Raw!K694+"h_l!.X3"</f>
        <v>#VALUE!</v>
      </c>
      <c r="BB234" t="e">
        <f>Raw!L694+"h_l!.X4"</f>
        <v>#VALUE!</v>
      </c>
      <c r="BC234" t="e">
        <f>Raw!M694+"h_l!.X5"</f>
        <v>#VALUE!</v>
      </c>
      <c r="BD234" t="e">
        <f>Raw!N694+"h_l!.X6"</f>
        <v>#VALUE!</v>
      </c>
      <c r="BE234" t="e">
        <f>Raw!O694+"h_l!.X7"</f>
        <v>#VALUE!</v>
      </c>
      <c r="BF234" t="e">
        <f>Raw!P694+"h_l!.X8"</f>
        <v>#VALUE!</v>
      </c>
      <c r="BG234" t="e">
        <f>Raw!Q694+"h_l!.X9"</f>
        <v>#VALUE!</v>
      </c>
      <c r="BH234" t="e">
        <f>Raw!R694+"h_l!.X:"</f>
        <v>#VALUE!</v>
      </c>
      <c r="BI234" t="e">
        <f>Raw!S694+"h_l!.X;"</f>
        <v>#VALUE!</v>
      </c>
      <c r="BJ234" t="e">
        <f>Raw!T694+"h_l!.X&lt;"</f>
        <v>#VALUE!</v>
      </c>
      <c r="BK234" t="e">
        <f>Raw!U694+"h_l!.X="</f>
        <v>#VALUE!</v>
      </c>
      <c r="BL234" t="e">
        <f>Raw!V694+"h_l!.X&gt;"</f>
        <v>#VALUE!</v>
      </c>
      <c r="BM234" t="e">
        <f>Raw!W694+"h_l!.X?"</f>
        <v>#VALUE!</v>
      </c>
      <c r="BN234" t="e">
        <f>Raw!A695+"h_l!.X@"</f>
        <v>#VALUE!</v>
      </c>
      <c r="BO234" t="e">
        <f>Raw!B695+"h_l!.XA"</f>
        <v>#VALUE!</v>
      </c>
      <c r="BP234" t="e">
        <f>Raw!C695+"h_l!.XB"</f>
        <v>#VALUE!</v>
      </c>
      <c r="BQ234" t="e">
        <f>Raw!D695+"h_l!.XC"</f>
        <v>#VALUE!</v>
      </c>
      <c r="BR234" t="e">
        <f>Raw!E695+"h_l!.XD"</f>
        <v>#VALUE!</v>
      </c>
      <c r="BS234" t="e">
        <f>Raw!#REF!+"h_l!.XE"</f>
        <v>#REF!</v>
      </c>
      <c r="BT234" t="e">
        <f>Raw!G695+"h_l!.XF"</f>
        <v>#VALUE!</v>
      </c>
      <c r="BU234" t="e">
        <f>Raw!H695+"h_l!.XG"</f>
        <v>#VALUE!</v>
      </c>
      <c r="BV234" t="e">
        <f>Raw!I695+"h_l!.XH"</f>
        <v>#VALUE!</v>
      </c>
      <c r="BW234" t="e">
        <f>Raw!J695+"h_l!.XI"</f>
        <v>#VALUE!</v>
      </c>
      <c r="BX234" t="e">
        <f>Raw!K695+"h_l!.XJ"</f>
        <v>#VALUE!</v>
      </c>
      <c r="BY234" t="e">
        <f>Raw!L695+"h_l!.XK"</f>
        <v>#VALUE!</v>
      </c>
      <c r="BZ234" t="e">
        <f>Raw!M695+"h_l!.XL"</f>
        <v>#VALUE!</v>
      </c>
      <c r="CA234" t="e">
        <f>Raw!N695+"h_l!.XM"</f>
        <v>#VALUE!</v>
      </c>
      <c r="CB234" t="e">
        <f>Raw!O695+"h_l!.XN"</f>
        <v>#VALUE!</v>
      </c>
      <c r="CC234" t="e">
        <f>Raw!P695+"h_l!.XO"</f>
        <v>#VALUE!</v>
      </c>
      <c r="CD234" t="e">
        <f>Raw!Q695+"h_l!.XP"</f>
        <v>#VALUE!</v>
      </c>
      <c r="CE234" t="e">
        <f>Raw!R695+"h_l!.XQ"</f>
        <v>#VALUE!</v>
      </c>
      <c r="CF234" t="e">
        <f>Raw!S695+"h_l!.XR"</f>
        <v>#VALUE!</v>
      </c>
      <c r="CG234" t="e">
        <f>Raw!T695+"h_l!.XS"</f>
        <v>#VALUE!</v>
      </c>
      <c r="CH234" t="e">
        <f>Raw!U695+"h_l!.XT"</f>
        <v>#VALUE!</v>
      </c>
      <c r="CI234" t="e">
        <f>Raw!V695+"h_l!.XU"</f>
        <v>#VALUE!</v>
      </c>
      <c r="CJ234" t="e">
        <f>Raw!W695+"h_l!.XV"</f>
        <v>#VALUE!</v>
      </c>
      <c r="CK234" t="e">
        <f>Raw!A696+"h_l!.XW"</f>
        <v>#VALUE!</v>
      </c>
      <c r="CL234" t="e">
        <f>Raw!B696+"h_l!.XX"</f>
        <v>#VALUE!</v>
      </c>
      <c r="CM234" t="e">
        <f>Raw!C696+"h_l!.XY"</f>
        <v>#VALUE!</v>
      </c>
      <c r="CN234" t="e">
        <f>Raw!D696+"h_l!.XZ"</f>
        <v>#VALUE!</v>
      </c>
      <c r="CO234" t="e">
        <f>Raw!E696+"h_l!.X["</f>
        <v>#VALUE!</v>
      </c>
      <c r="CP234" t="e">
        <f>Raw!#REF!+"h_l!.X\"</f>
        <v>#REF!</v>
      </c>
      <c r="CQ234" t="e">
        <f>Raw!G696+"h_l!.X]"</f>
        <v>#VALUE!</v>
      </c>
      <c r="CR234" t="e">
        <f>Raw!H696+"h_l!.X^"</f>
        <v>#VALUE!</v>
      </c>
      <c r="CS234" t="e">
        <f>Raw!I696+"h_l!.X_"</f>
        <v>#VALUE!</v>
      </c>
      <c r="CT234" t="e">
        <f>Raw!J696+"h_l!.X`"</f>
        <v>#VALUE!</v>
      </c>
      <c r="CU234" t="e">
        <f>Raw!K696+"h_l!.Xa"</f>
        <v>#VALUE!</v>
      </c>
      <c r="CV234" t="e">
        <f>Raw!L696+"h_l!.Xb"</f>
        <v>#VALUE!</v>
      </c>
      <c r="CW234" t="e">
        <f>Raw!M696+"h_l!.Xc"</f>
        <v>#VALUE!</v>
      </c>
      <c r="CX234" t="e">
        <f>Raw!N696+"h_l!.Xd"</f>
        <v>#VALUE!</v>
      </c>
      <c r="CY234" t="e">
        <f>Raw!O696+"h_l!.Xe"</f>
        <v>#VALUE!</v>
      </c>
      <c r="CZ234" t="e">
        <f>Raw!P696+"h_l!.Xf"</f>
        <v>#VALUE!</v>
      </c>
      <c r="DA234" t="e">
        <f>Raw!Q696+"h_l!.Xg"</f>
        <v>#VALUE!</v>
      </c>
      <c r="DB234" t="e">
        <f>Raw!R696+"h_l!.Xh"</f>
        <v>#VALUE!</v>
      </c>
      <c r="DC234" t="e">
        <f>Raw!S696+"h_l!.Xi"</f>
        <v>#VALUE!</v>
      </c>
      <c r="DD234" t="e">
        <f>Raw!T696+"h_l!.Xj"</f>
        <v>#VALUE!</v>
      </c>
      <c r="DE234" t="e">
        <f>Raw!U696+"h_l!.Xk"</f>
        <v>#VALUE!</v>
      </c>
      <c r="DF234" t="e">
        <f>Raw!V696+"h_l!.Xl"</f>
        <v>#VALUE!</v>
      </c>
      <c r="DG234" t="e">
        <f>Raw!W696+"h_l!.Xm"</f>
        <v>#VALUE!</v>
      </c>
      <c r="DH234" t="e">
        <f>Raw!A697+"h_l!.Xn"</f>
        <v>#VALUE!</v>
      </c>
      <c r="DI234" t="e">
        <f>Raw!B697+"h_l!.Xo"</f>
        <v>#VALUE!</v>
      </c>
      <c r="DJ234" t="e">
        <f>Raw!C697+"h_l!.Xp"</f>
        <v>#VALUE!</v>
      </c>
      <c r="DK234" t="e">
        <f>Raw!D697+"h_l!.Xq"</f>
        <v>#VALUE!</v>
      </c>
      <c r="DL234" t="e">
        <f>Raw!E697+"h_l!.Xr"</f>
        <v>#VALUE!</v>
      </c>
      <c r="DM234" t="e">
        <f>Raw!#REF!+"h_l!.Xs"</f>
        <v>#REF!</v>
      </c>
      <c r="DN234" t="e">
        <f>Raw!G697+"h_l!.Xt"</f>
        <v>#VALUE!</v>
      </c>
      <c r="DO234" t="e">
        <f>Raw!H697+"h_l!.Xu"</f>
        <v>#VALUE!</v>
      </c>
      <c r="DP234" t="e">
        <f>Raw!I697+"h_l!.Xv"</f>
        <v>#VALUE!</v>
      </c>
      <c r="DQ234" t="e">
        <f>Raw!J697+"h_l!.Xw"</f>
        <v>#VALUE!</v>
      </c>
      <c r="DR234" t="e">
        <f>Raw!K697+"h_l!.Xx"</f>
        <v>#VALUE!</v>
      </c>
      <c r="DS234" t="e">
        <f>Raw!L697+"h_l!.Xy"</f>
        <v>#VALUE!</v>
      </c>
      <c r="DT234" t="e">
        <f>Raw!M697+"h_l!.Xz"</f>
        <v>#VALUE!</v>
      </c>
      <c r="DU234" t="e">
        <f>Raw!N697+"h_l!.X{"</f>
        <v>#VALUE!</v>
      </c>
      <c r="DV234" t="e">
        <f>Raw!O697+"h_l!.X|"</f>
        <v>#VALUE!</v>
      </c>
      <c r="DW234" t="e">
        <f>Raw!P697+"h_l!.X}"</f>
        <v>#VALUE!</v>
      </c>
      <c r="DX234" t="e">
        <f>Raw!Q697+"h_l!.X~"</f>
        <v>#VALUE!</v>
      </c>
      <c r="DY234" t="e">
        <f>Raw!R697+"h_l!.Y#"</f>
        <v>#VALUE!</v>
      </c>
      <c r="DZ234" t="e">
        <f>Raw!S697+"h_l!.Y$"</f>
        <v>#VALUE!</v>
      </c>
      <c r="EA234" t="e">
        <f>Raw!T697+"h_l!.Y%"</f>
        <v>#VALUE!</v>
      </c>
      <c r="EB234" t="e">
        <f>Raw!U697+"h_l!.Y&amp;"</f>
        <v>#VALUE!</v>
      </c>
      <c r="EC234" t="e">
        <f>Raw!V697+"h_l!.Y'"</f>
        <v>#VALUE!</v>
      </c>
      <c r="ED234" t="e">
        <f>Raw!W697+"h_l!.Y("</f>
        <v>#VALUE!</v>
      </c>
      <c r="EE234" t="e">
        <f>Raw!A698+"h_l!.Y)"</f>
        <v>#VALUE!</v>
      </c>
      <c r="EF234" t="e">
        <f>Raw!B698+"h_l!.Y."</f>
        <v>#VALUE!</v>
      </c>
      <c r="EG234" t="e">
        <f>Raw!C698+"h_l!.Y/"</f>
        <v>#VALUE!</v>
      </c>
      <c r="EH234" t="e">
        <f>Raw!D698+"h_l!.Y0"</f>
        <v>#VALUE!</v>
      </c>
      <c r="EI234" t="e">
        <f>Raw!E698+"h_l!.Y1"</f>
        <v>#VALUE!</v>
      </c>
      <c r="EJ234" t="e">
        <f>Raw!#REF!+"h_l!.Y2"</f>
        <v>#REF!</v>
      </c>
      <c r="EK234" t="e">
        <f>Raw!G698+"h_l!.Y3"</f>
        <v>#VALUE!</v>
      </c>
      <c r="EL234" t="e">
        <f>Raw!H698+"h_l!.Y4"</f>
        <v>#VALUE!</v>
      </c>
      <c r="EM234" t="e">
        <f>Raw!I698+"h_l!.Y5"</f>
        <v>#VALUE!</v>
      </c>
      <c r="EN234" t="e">
        <f>Raw!J698+"h_l!.Y6"</f>
        <v>#VALUE!</v>
      </c>
      <c r="EO234" t="e">
        <f>Raw!K698+"h_l!.Y7"</f>
        <v>#VALUE!</v>
      </c>
      <c r="EP234" t="e">
        <f>Raw!L698+"h_l!.Y8"</f>
        <v>#VALUE!</v>
      </c>
      <c r="EQ234" t="e">
        <f>Raw!M698+"h_l!.Y9"</f>
        <v>#VALUE!</v>
      </c>
      <c r="ER234" t="e">
        <f>Raw!N698+"h_l!.Y:"</f>
        <v>#VALUE!</v>
      </c>
      <c r="ES234" t="e">
        <f>Raw!O698+"h_l!.Y;"</f>
        <v>#VALUE!</v>
      </c>
      <c r="ET234" t="e">
        <f>Raw!P698+"h_l!.Y&lt;"</f>
        <v>#VALUE!</v>
      </c>
      <c r="EU234" t="e">
        <f>Raw!Q698+"h_l!.Y="</f>
        <v>#VALUE!</v>
      </c>
      <c r="EV234" t="e">
        <f>Raw!R698+"h_l!.Y&gt;"</f>
        <v>#VALUE!</v>
      </c>
      <c r="EW234" t="e">
        <f>Raw!S698+"h_l!.Y?"</f>
        <v>#VALUE!</v>
      </c>
      <c r="EX234" t="e">
        <f>Raw!T698+"h_l!.Y@"</f>
        <v>#VALUE!</v>
      </c>
      <c r="EY234" t="e">
        <f>Raw!U698+"h_l!.YA"</f>
        <v>#VALUE!</v>
      </c>
      <c r="EZ234" t="e">
        <f>Raw!V698+"h_l!.YB"</f>
        <v>#VALUE!</v>
      </c>
      <c r="FA234" t="e">
        <f>Raw!W698+"h_l!.YC"</f>
        <v>#VALUE!</v>
      </c>
      <c r="FB234" t="e">
        <f>Raw!A699+"h_l!.YD"</f>
        <v>#VALUE!</v>
      </c>
      <c r="FC234" t="e">
        <f>Raw!B699+"h_l!.YE"</f>
        <v>#VALUE!</v>
      </c>
      <c r="FD234" t="e">
        <f>Raw!C699+"h_l!.YF"</f>
        <v>#VALUE!</v>
      </c>
      <c r="FE234" t="e">
        <f>Raw!D699+"h_l!.YG"</f>
        <v>#VALUE!</v>
      </c>
      <c r="FF234" t="e">
        <f>Raw!E699+"h_l!.YH"</f>
        <v>#VALUE!</v>
      </c>
      <c r="FG234" t="e">
        <f>Raw!#REF!+"h_l!.YI"</f>
        <v>#REF!</v>
      </c>
      <c r="FH234" t="e">
        <f>Raw!G699+"h_l!.YJ"</f>
        <v>#VALUE!</v>
      </c>
      <c r="FI234" t="e">
        <f>Raw!H699+"h_l!.YK"</f>
        <v>#VALUE!</v>
      </c>
      <c r="FJ234" t="e">
        <f>Raw!I699+"h_l!.YL"</f>
        <v>#VALUE!</v>
      </c>
      <c r="FK234" t="e">
        <f>Raw!J699+"h_l!.YM"</f>
        <v>#VALUE!</v>
      </c>
      <c r="FL234" t="e">
        <f>Raw!K699+"h_l!.YN"</f>
        <v>#VALUE!</v>
      </c>
      <c r="FM234" t="e">
        <f>Raw!L699+"h_l!.YO"</f>
        <v>#VALUE!</v>
      </c>
      <c r="FN234" t="e">
        <f>Raw!M699+"h_l!.YP"</f>
        <v>#VALUE!</v>
      </c>
      <c r="FO234" t="e">
        <f>Raw!N699+"h_l!.YQ"</f>
        <v>#VALUE!</v>
      </c>
      <c r="FP234" t="e">
        <f>Raw!O699+"h_l!.YR"</f>
        <v>#VALUE!</v>
      </c>
      <c r="FQ234" t="e">
        <f>Raw!P699+"h_l!.YS"</f>
        <v>#VALUE!</v>
      </c>
      <c r="FR234" t="e">
        <f>Raw!Q699+"h_l!.YT"</f>
        <v>#VALUE!</v>
      </c>
      <c r="FS234" t="e">
        <f>Raw!R699+"h_l!.YU"</f>
        <v>#VALUE!</v>
      </c>
      <c r="FT234" t="e">
        <f>Raw!S699+"h_l!.YV"</f>
        <v>#VALUE!</v>
      </c>
      <c r="FU234" t="e">
        <f>Raw!T699+"h_l!.YW"</f>
        <v>#VALUE!</v>
      </c>
      <c r="FV234" t="e">
        <f>Raw!U699+"h_l!.YX"</f>
        <v>#VALUE!</v>
      </c>
      <c r="FW234" t="e">
        <f>Raw!V699+"h_l!.YY"</f>
        <v>#VALUE!</v>
      </c>
      <c r="FX234" t="e">
        <f>Raw!W699+"h_l!.YZ"</f>
        <v>#VALUE!</v>
      </c>
      <c r="FY234" t="e">
        <f>Raw!A700+"h_l!.Y["</f>
        <v>#VALUE!</v>
      </c>
      <c r="FZ234" t="e">
        <f>Raw!B700+"h_l!.Y\"</f>
        <v>#VALUE!</v>
      </c>
      <c r="GA234" t="e">
        <f>Raw!C700+"h_l!.Y]"</f>
        <v>#VALUE!</v>
      </c>
      <c r="GB234" t="e">
        <f>Raw!D700+"h_l!.Y^"</f>
        <v>#VALUE!</v>
      </c>
      <c r="GC234" t="e">
        <f>Raw!E700+"h_l!.Y_"</f>
        <v>#VALUE!</v>
      </c>
      <c r="GD234" t="e">
        <f>Raw!#REF!+"h_l!.Y`"</f>
        <v>#REF!</v>
      </c>
      <c r="GE234" t="e">
        <f>Raw!G700+"h_l!.Ya"</f>
        <v>#VALUE!</v>
      </c>
      <c r="GF234" t="e">
        <f>Raw!H700+"h_l!.Yb"</f>
        <v>#VALUE!</v>
      </c>
      <c r="GG234" t="e">
        <f>Raw!I700+"h_l!.Yc"</f>
        <v>#VALUE!</v>
      </c>
      <c r="GH234" t="e">
        <f>Raw!J700+"h_l!.Yd"</f>
        <v>#VALUE!</v>
      </c>
      <c r="GI234" t="e">
        <f>Raw!K700+"h_l!.Ye"</f>
        <v>#VALUE!</v>
      </c>
      <c r="GJ234" t="e">
        <f>Raw!L700+"h_l!.Yf"</f>
        <v>#VALUE!</v>
      </c>
      <c r="GK234" t="e">
        <f>Raw!M700+"h_l!.Yg"</f>
        <v>#VALUE!</v>
      </c>
      <c r="GL234" t="e">
        <f>Raw!N700+"h_l!.Yh"</f>
        <v>#VALUE!</v>
      </c>
      <c r="GM234" t="e">
        <f>Raw!O700+"h_l!.Yi"</f>
        <v>#VALUE!</v>
      </c>
      <c r="GN234" t="e">
        <f>Raw!P700+"h_l!.Yj"</f>
        <v>#VALUE!</v>
      </c>
      <c r="GO234" t="e">
        <f>Raw!Q700+"h_l!.Yk"</f>
        <v>#VALUE!</v>
      </c>
      <c r="GP234" t="e">
        <f>Raw!R700+"h_l!.Yl"</f>
        <v>#VALUE!</v>
      </c>
      <c r="GQ234" t="e">
        <f>Raw!S700+"h_l!.Ym"</f>
        <v>#VALUE!</v>
      </c>
      <c r="GR234" t="e">
        <f>Raw!T700+"h_l!.Yn"</f>
        <v>#VALUE!</v>
      </c>
      <c r="GS234" t="e">
        <f>Raw!U700+"h_l!.Yo"</f>
        <v>#VALUE!</v>
      </c>
      <c r="GT234" t="e">
        <f>Raw!V700+"h_l!.Yp"</f>
        <v>#VALUE!</v>
      </c>
      <c r="GU234" t="e">
        <f>Raw!W700+"h_l!.Yq"</f>
        <v>#VALUE!</v>
      </c>
      <c r="GV234" t="e">
        <f>Raw!A701+"h_l!.Yr"</f>
        <v>#VALUE!</v>
      </c>
      <c r="GW234" t="e">
        <f>Raw!B701+"h_l!.Ys"</f>
        <v>#VALUE!</v>
      </c>
      <c r="GX234" t="e">
        <f>Raw!C701+"h_l!.Yt"</f>
        <v>#VALUE!</v>
      </c>
      <c r="GY234" t="e">
        <f>Raw!D701+"h_l!.Yu"</f>
        <v>#VALUE!</v>
      </c>
      <c r="GZ234" t="e">
        <f>Raw!E701+"h_l!.Yv"</f>
        <v>#VALUE!</v>
      </c>
      <c r="HA234" t="e">
        <f>Raw!#REF!+"h_l!.Yw"</f>
        <v>#REF!</v>
      </c>
      <c r="HB234" t="e">
        <f>Raw!G701+"h_l!.Yx"</f>
        <v>#VALUE!</v>
      </c>
      <c r="HC234" t="e">
        <f>Raw!H701+"h_l!.Yy"</f>
        <v>#VALUE!</v>
      </c>
      <c r="HD234" t="e">
        <f>Raw!I701+"h_l!.Yz"</f>
        <v>#VALUE!</v>
      </c>
      <c r="HE234" t="e">
        <f>Raw!J701+"h_l!.Y{"</f>
        <v>#VALUE!</v>
      </c>
      <c r="HF234" t="e">
        <f>Raw!K701+"h_l!.Y|"</f>
        <v>#VALUE!</v>
      </c>
      <c r="HG234" t="e">
        <f>Raw!L701+"h_l!.Y}"</f>
        <v>#VALUE!</v>
      </c>
      <c r="HH234" t="e">
        <f>Raw!M701+"h_l!.Y~"</f>
        <v>#VALUE!</v>
      </c>
      <c r="HI234" t="e">
        <f>Raw!N701+"h_l!.Z#"</f>
        <v>#VALUE!</v>
      </c>
      <c r="HJ234" t="e">
        <f>Raw!O701+"h_l!.Z$"</f>
        <v>#VALUE!</v>
      </c>
      <c r="HK234" t="e">
        <f>Raw!P701+"h_l!.Z%"</f>
        <v>#VALUE!</v>
      </c>
      <c r="HL234" t="e">
        <f>Raw!Q701+"h_l!.Z&amp;"</f>
        <v>#VALUE!</v>
      </c>
      <c r="HM234" t="e">
        <f>Raw!R701+"h_l!.Z'"</f>
        <v>#VALUE!</v>
      </c>
      <c r="HN234" t="e">
        <f>Raw!S701+"h_l!.Z("</f>
        <v>#VALUE!</v>
      </c>
      <c r="HO234" t="e">
        <f>Raw!T701+"h_l!.Z)"</f>
        <v>#VALUE!</v>
      </c>
      <c r="HP234" t="e">
        <f>Raw!U701+"h_l!.Z."</f>
        <v>#VALUE!</v>
      </c>
      <c r="HQ234" t="e">
        <f>Raw!V701+"h_l!.Z/"</f>
        <v>#VALUE!</v>
      </c>
      <c r="HR234" t="e">
        <f>Raw!W701+"h_l!.Z0"</f>
        <v>#VALUE!</v>
      </c>
      <c r="HS234" t="e">
        <f>Raw!A702+"h_l!.Z1"</f>
        <v>#VALUE!</v>
      </c>
      <c r="HT234" t="e">
        <f>Raw!B702+"h_l!.Z2"</f>
        <v>#VALUE!</v>
      </c>
      <c r="HU234" t="e">
        <f>Raw!C702+"h_l!.Z3"</f>
        <v>#VALUE!</v>
      </c>
      <c r="HV234" t="e">
        <f>Raw!D702+"h_l!.Z4"</f>
        <v>#VALUE!</v>
      </c>
      <c r="HW234" t="e">
        <f>Raw!E702+"h_l!.Z5"</f>
        <v>#VALUE!</v>
      </c>
      <c r="HX234" t="e">
        <f>Raw!#REF!+"h_l!.Z6"</f>
        <v>#REF!</v>
      </c>
      <c r="HY234" t="e">
        <f>Raw!G702+"h_l!.Z7"</f>
        <v>#VALUE!</v>
      </c>
      <c r="HZ234" t="e">
        <f>Raw!H702+"h_l!.Z8"</f>
        <v>#VALUE!</v>
      </c>
      <c r="IA234" t="e">
        <f>Raw!I702+"h_l!.Z9"</f>
        <v>#VALUE!</v>
      </c>
      <c r="IB234" t="e">
        <f>Raw!J702+"h_l!.Z:"</f>
        <v>#VALUE!</v>
      </c>
      <c r="IC234" t="e">
        <f>Raw!K702+"h_l!.Z;"</f>
        <v>#VALUE!</v>
      </c>
      <c r="ID234" t="e">
        <f>Raw!L702+"h_l!.Z&lt;"</f>
        <v>#VALUE!</v>
      </c>
      <c r="IE234" t="e">
        <f>Raw!M702+"h_l!.Z="</f>
        <v>#VALUE!</v>
      </c>
      <c r="IF234" t="e">
        <f>Raw!N702+"h_l!.Z&gt;"</f>
        <v>#VALUE!</v>
      </c>
      <c r="IG234" t="e">
        <f>Raw!O702+"h_l!.Z?"</f>
        <v>#VALUE!</v>
      </c>
      <c r="IH234" t="e">
        <f>Raw!P702+"h_l!.Z@"</f>
        <v>#VALUE!</v>
      </c>
      <c r="II234" t="e">
        <f>Raw!Q702+"h_l!.ZA"</f>
        <v>#VALUE!</v>
      </c>
      <c r="IJ234" t="e">
        <f>Raw!R702+"h_l!.ZB"</f>
        <v>#VALUE!</v>
      </c>
      <c r="IK234" t="e">
        <f>Raw!S702+"h_l!.ZC"</f>
        <v>#VALUE!</v>
      </c>
      <c r="IL234" t="e">
        <f>Raw!T702+"h_l!.ZD"</f>
        <v>#VALUE!</v>
      </c>
      <c r="IM234" t="e">
        <f>Raw!U702+"h_l!.ZE"</f>
        <v>#VALUE!</v>
      </c>
      <c r="IN234" t="e">
        <f>Raw!V702+"h_l!.ZF"</f>
        <v>#VALUE!</v>
      </c>
      <c r="IO234" t="e">
        <f>Raw!W702+"h_l!.ZG"</f>
        <v>#VALUE!</v>
      </c>
      <c r="IP234" t="e">
        <f>AUC!A:A*"h_l!.ZH"</f>
        <v>#VALUE!</v>
      </c>
      <c r="IQ234" t="e">
        <f>AUC!B:B*"h_l!.ZI"</f>
        <v>#VALUE!</v>
      </c>
      <c r="IR234" t="e">
        <f>AUC!C:C*"h_l!.ZJ"</f>
        <v>#VALUE!</v>
      </c>
      <c r="IS234" t="e">
        <f>AUC!D:D*"h_l!.ZK"</f>
        <v>#VALUE!</v>
      </c>
      <c r="IT234" t="e">
        <f>AUC!E:E*"h_l!.ZL"</f>
        <v>#VALUE!</v>
      </c>
      <c r="IU234" t="e">
        <f>AUC!F:F*"h_l!.ZM"</f>
        <v>#VALUE!</v>
      </c>
      <c r="IV234" t="e">
        <f>AUC!G:G*"h_l!.ZN"</f>
        <v>#VALUE!</v>
      </c>
    </row>
    <row r="235" spans="6:256" x14ac:dyDescent="0.25">
      <c r="F235" t="e">
        <f>AUC!H:H*"h_l!.ZO"</f>
        <v>#VALUE!</v>
      </c>
      <c r="G235" t="e">
        <f>AUC!I:I*"h_l!.ZP"</f>
        <v>#VALUE!</v>
      </c>
      <c r="H235" t="e">
        <f>AUC!J:J*"h_l!.ZQ"</f>
        <v>#VALUE!</v>
      </c>
      <c r="I235" t="e">
        <f>AUC!K:K*"h_l!.ZR"</f>
        <v>#VALUE!</v>
      </c>
      <c r="J235" t="e">
        <f>AUC!L:L*"h_l!.ZS"</f>
        <v>#VALUE!</v>
      </c>
      <c r="K235" t="e">
        <f>AUC!M:M*"h_l!.ZT"</f>
        <v>#VALUE!</v>
      </c>
      <c r="L235" t="e">
        <f>AUC!N:N*"h_l!.ZU"</f>
        <v>#VALUE!</v>
      </c>
      <c r="M235" t="e">
        <f>AUC!O:O*"h_l!.ZV"</f>
        <v>#VALUE!</v>
      </c>
      <c r="N235" t="e">
        <f>AUC!P:P*"h_l!.ZW"</f>
        <v>#VALUE!</v>
      </c>
      <c r="O235" t="e">
        <f>AUC!Q:Q*"h_l!.ZX"</f>
        <v>#VALUE!</v>
      </c>
      <c r="P235" t="e">
        <f>AUC!R:R*"h_l!.ZY"</f>
        <v>#VALUE!</v>
      </c>
      <c r="Q235" t="e">
        <f>AUC!S:S*"h_l!.ZZ"</f>
        <v>#VALUE!</v>
      </c>
      <c r="R235" t="e">
        <f>AUC!T:T*"h_l!.Z["</f>
        <v>#VALUE!</v>
      </c>
      <c r="S235" t="e">
        <f>AUC!U:U*"h_l!.Z\"</f>
        <v>#VALUE!</v>
      </c>
      <c r="T235" t="e">
        <f>AUC!V:V*"h_l!.Z]"</f>
        <v>#VALUE!</v>
      </c>
      <c r="U235" t="e">
        <f>AUC!W:W*"h_l!.Z^"</f>
        <v>#VALUE!</v>
      </c>
      <c r="V235" t="e">
        <f>AUC!X:X*"h_l!.Z_"</f>
        <v>#VALUE!</v>
      </c>
      <c r="W235" t="e">
        <f>AUC!Y:Y*"h_l!.Z`"</f>
        <v>#VALUE!</v>
      </c>
      <c r="X235" t="e">
        <f>AUC!Z:Z*"h_l!.Za"</f>
        <v>#VALUE!</v>
      </c>
      <c r="Y235" t="e">
        <f>AUC!AA:AA*"h_l!.Zb"</f>
        <v>#VALUE!</v>
      </c>
      <c r="Z235" t="e">
        <f>AUC!AB:AB*"h_l!.Zc"</f>
        <v>#VALUE!</v>
      </c>
      <c r="AA235" t="e">
        <f>AUC!AC:AC*"h_l!.Zd"</f>
        <v>#VALUE!</v>
      </c>
      <c r="AB235" t="e">
        <f>AUC!AD:AD*"h_l!.Ze"</f>
        <v>#VALUE!</v>
      </c>
      <c r="AC235" t="e">
        <f>AUC!AE:AE*"h_l!.Zf"</f>
        <v>#VALUE!</v>
      </c>
      <c r="AD235" t="e">
        <f>AUC!AF:AF*"h_l!.Zg"</f>
        <v>#VALUE!</v>
      </c>
      <c r="AE235" t="e">
        <f>AUC!AG:AG*"h_l!.Zh"</f>
        <v>#VALUE!</v>
      </c>
      <c r="AF235" t="e">
        <f>AUC!AH:AH*"h_l!.Zi"</f>
        <v>#VALUE!</v>
      </c>
      <c r="AG235" t="e">
        <f>AUC!AI:AI*"h_l!.Zj"</f>
        <v>#VALUE!</v>
      </c>
      <c r="AH235" t="e">
        <f>AUC!AJ:AJ*"h_l!.Zk"</f>
        <v>#VALUE!</v>
      </c>
      <c r="AI235" t="e">
        <f>AUC!AK:AK*"h_l!.Zl"</f>
        <v>#VALUE!</v>
      </c>
      <c r="AJ235" t="e">
        <f>AUC!AL:AL*"h_l!.Zm"</f>
        <v>#VALUE!</v>
      </c>
      <c r="AK235" t="e">
        <f>AUC!AM:AM*"h_l!.Zn"</f>
        <v>#VALUE!</v>
      </c>
      <c r="AL235" t="e">
        <f>AUC!AN:AN*"h_l!.Zo"</f>
        <v>#VALUE!</v>
      </c>
      <c r="AM235" t="e">
        <f>AUC!AO:AO*"h_l!.Zp"</f>
        <v>#VALUE!</v>
      </c>
      <c r="AN235" t="e">
        <f>AUC!AP:AP*"h_l!.Zq"</f>
        <v>#VALUE!</v>
      </c>
      <c r="AO235" t="e">
        <f>AUC!AQ:AQ*"h_l!.Zr"</f>
        <v>#VALUE!</v>
      </c>
      <c r="AP235" t="e">
        <f>AUC!AR:AR*"h_l!.Zs"</f>
        <v>#VALUE!</v>
      </c>
      <c r="AQ235" t="e">
        <f>AUC!AS:AS*"h_l!.Zt"</f>
        <v>#VALUE!</v>
      </c>
      <c r="AR235" t="e">
        <f>AUC!AT:AT*"h_l!.Zu"</f>
        <v>#VALUE!</v>
      </c>
      <c r="AS235" t="e">
        <f>AUC!AU:AU*"h_l!.Zv"</f>
        <v>#VALUE!</v>
      </c>
      <c r="AT235" t="e">
        <f>AUC!AV:AV*"h_l!.Zw"</f>
        <v>#VALUE!</v>
      </c>
      <c r="AU235" t="e">
        <f>AUC!AW:AW*"h_l!.Zx"</f>
        <v>#VALUE!</v>
      </c>
      <c r="AV235" t="e">
        <f>AUC!AX:AX*"h_l!.Zy"</f>
        <v>#VALUE!</v>
      </c>
      <c r="AW235" t="e">
        <f>AUC!AY:AY*"h_l!.Zz"</f>
        <v>#VALUE!</v>
      </c>
      <c r="AX235" t="e">
        <f>AUC!AZ:AZ*"h_l!.Z{"</f>
        <v>#VALUE!</v>
      </c>
      <c r="AY235" t="e">
        <f>AUC!BA:BA*"h_l!.Z|"</f>
        <v>#VALUE!</v>
      </c>
      <c r="AZ235" t="e">
        <f>AUC!BB:BB*"h_l!.Z}"</f>
        <v>#VALUE!</v>
      </c>
      <c r="BA235" t="e">
        <f>AUC!BC:BC*"h_l!.Z~"</f>
        <v>#VALUE!</v>
      </c>
      <c r="BB235" t="e">
        <f>AUC!BD:BD*"h_l!.[#"</f>
        <v>#VALUE!</v>
      </c>
      <c r="BC235" t="e">
        <f>AUC!BE:BE*"h_l!.[$"</f>
        <v>#VALUE!</v>
      </c>
      <c r="BD235" t="e">
        <f>AUC!1:1-"h_l!.[%"</f>
        <v>#VALUE!</v>
      </c>
      <c r="BE235" t="e">
        <f>AUC!2:2-"h_l!.[&amp;"</f>
        <v>#VALUE!</v>
      </c>
      <c r="BF235" t="e">
        <f>AUC!3:3-"h_l!.['"</f>
        <v>#VALUE!</v>
      </c>
      <c r="BG235" t="e">
        <f>AUC!4:4-"h_l!.[("</f>
        <v>#VALUE!</v>
      </c>
      <c r="BH235" t="e">
        <f>AUC!5:5-"h_l!.[)"</f>
        <v>#VALUE!</v>
      </c>
      <c r="BI235" t="e">
        <f>AUC!6:6-"h_l!.[."</f>
        <v>#VALUE!</v>
      </c>
      <c r="BJ235" t="e">
        <f>AUC!7:7-"h_l!.[/"</f>
        <v>#VALUE!</v>
      </c>
      <c r="BK235" t="e">
        <f>AUC!8:8-"h_l!.[0"</f>
        <v>#VALUE!</v>
      </c>
      <c r="BL235" t="e">
        <f>AUC!9:9-"h_l!.[1"</f>
        <v>#VALUE!</v>
      </c>
      <c r="BM235" t="e">
        <f>AUC!10:10-"h_l!.[2"</f>
        <v>#VALUE!</v>
      </c>
      <c r="BN235" t="e">
        <f>AUC!11:11-"h_l!.[3"</f>
        <v>#VALUE!</v>
      </c>
      <c r="BO235" t="e">
        <f>AUC!12:12-"h_l!.[4"</f>
        <v>#VALUE!</v>
      </c>
      <c r="BP235" t="e">
        <f>AUC!13:13-"h_l!.[5"</f>
        <v>#VALUE!</v>
      </c>
      <c r="BQ235" t="e">
        <f>AUC!14:14-"h_l!.[6"</f>
        <v>#VALUE!</v>
      </c>
      <c r="BR235" t="e">
        <f>AUC!15:15-"h_l!.[7"</f>
        <v>#VALUE!</v>
      </c>
      <c r="BS235" t="e">
        <f>AUC!16:16-"h_l!.[8"</f>
        <v>#VALUE!</v>
      </c>
      <c r="BT235" t="e">
        <f>AUC!17:17-"h_l!.[9"</f>
        <v>#VALUE!</v>
      </c>
      <c r="BU235" t="e">
        <f>AUC!18:18-"h_l!.[:"</f>
        <v>#VALUE!</v>
      </c>
      <c r="BV235" t="e">
        <f>AUC!19:19-"h_l!.[;"</f>
        <v>#VALUE!</v>
      </c>
      <c r="BW235" t="e">
        <f>AUC!20:20-"h_l!.[&lt;"</f>
        <v>#VALUE!</v>
      </c>
      <c r="BX235" t="e">
        <f>AUC!21:21-"h_l!.[="</f>
        <v>#VALUE!</v>
      </c>
      <c r="BY235" t="e">
        <f>AUC!22:22-"h_l!.[&gt;"</f>
        <v>#VALUE!</v>
      </c>
      <c r="BZ235" t="e">
        <f>AUC!23:23-"h_l!.[?"</f>
        <v>#VALUE!</v>
      </c>
      <c r="CA235" t="e">
        <f>AUC!24:24-"h_l!.[@"</f>
        <v>#VALUE!</v>
      </c>
      <c r="CB235" t="e">
        <f>AUC!25:25-"h_l!.[A"</f>
        <v>#VALUE!</v>
      </c>
      <c r="CC235" t="e">
        <f>AUC!26:26-"h_l!.[B"</f>
        <v>#VALUE!</v>
      </c>
      <c r="CD235" t="e">
        <f>AUC!27:27-"h_l!.[C"</f>
        <v>#VALUE!</v>
      </c>
      <c r="CE235" t="e">
        <f>AUC!28:28-"h_l!.[D"</f>
        <v>#VALUE!</v>
      </c>
      <c r="CF235" t="e">
        <f>AUC!29:29-"h_l!.[E"</f>
        <v>#VALUE!</v>
      </c>
      <c r="CG235" t="e">
        <f>AUC!30:30-"h_l!.[F"</f>
        <v>#VALUE!</v>
      </c>
      <c r="CH235" t="e">
        <f>AUC!31:31-"h_l!.[G"</f>
        <v>#VALUE!</v>
      </c>
      <c r="CI235" t="e">
        <f>AUC!32:32-"h_l!.[H"</f>
        <v>#VALUE!</v>
      </c>
      <c r="CJ235" t="e">
        <f>AUC!33:33-"h_l!.[I"</f>
        <v>#VALUE!</v>
      </c>
      <c r="CK235" t="e">
        <f>AUC!34:34-"h_l!.[J"</f>
        <v>#VALUE!</v>
      </c>
      <c r="CL235" t="e">
        <f>AUC!35:35-"h_l!.[K"</f>
        <v>#VALUE!</v>
      </c>
      <c r="CM235" t="e">
        <f>AUC!36:36-"h_l!.[L"</f>
        <v>#VALUE!</v>
      </c>
      <c r="CN235" t="e">
        <f>AUC!37:37-"h_l!.[M"</f>
        <v>#VALUE!</v>
      </c>
      <c r="CO235" t="e">
        <f>AUC!38:38-"h_l!.[N"</f>
        <v>#VALUE!</v>
      </c>
      <c r="CP235" t="e">
        <f>AUC!39:39-"h_l!.[O"</f>
        <v>#VALUE!</v>
      </c>
      <c r="CQ235" t="e">
        <f>AUC!40:40-"h_l!.[P"</f>
        <v>#VALUE!</v>
      </c>
      <c r="CR235" t="e">
        <f>AUC!41:41-"h_l!.[Q"</f>
        <v>#VALUE!</v>
      </c>
      <c r="CS235" t="e">
        <f>AUC!42:42-"h_l!.[R"</f>
        <v>#VALUE!</v>
      </c>
      <c r="CT235" t="e">
        <f>AUC!43:43-"h_l!.[S"</f>
        <v>#VALUE!</v>
      </c>
      <c r="CU235" t="e">
        <f>AUC!44:44-"h_l!.[T"</f>
        <v>#VALUE!</v>
      </c>
      <c r="CV235" t="e">
        <f>AUC!45:45-"h_l!.[U"</f>
        <v>#VALUE!</v>
      </c>
      <c r="CW235" t="e">
        <f>AUC!46:46-"h_l!.[V"</f>
        <v>#VALUE!</v>
      </c>
      <c r="CX235" t="e">
        <f>AUC!47:47-"h_l!.[W"</f>
        <v>#VALUE!</v>
      </c>
      <c r="CY235" t="e">
        <f>AUC!48:48-"h_l!.[X"</f>
        <v>#VALUE!</v>
      </c>
      <c r="CZ235" t="e">
        <f>AUC!49:49-"h_l!.[Y"</f>
        <v>#VALUE!</v>
      </c>
      <c r="DA235" t="e">
        <f>AUC!50:50-"h_l!.[Z"</f>
        <v>#VALUE!</v>
      </c>
      <c r="DB235" t="e">
        <f>AUC!51:51-"h_l!.[["</f>
        <v>#VALUE!</v>
      </c>
      <c r="DC235" t="e">
        <f>AUC!52:52-"h_l!.[\"</f>
        <v>#VALUE!</v>
      </c>
      <c r="DD235" t="e">
        <f>AUC!53:53-"h_l!.[]"</f>
        <v>#VALUE!</v>
      </c>
      <c r="DE235" t="e">
        <f>AUC!54:54-"h_l!.[^"</f>
        <v>#VALUE!</v>
      </c>
      <c r="DF235" t="e">
        <f>AUC!55:55-"h_l!.[_"</f>
        <v>#VALUE!</v>
      </c>
      <c r="DG235" t="e">
        <f>AUC!56:56-"h_l!.[`"</f>
        <v>#VALUE!</v>
      </c>
      <c r="DH235" t="e">
        <f>AUC!57:57-"h_l!.[a"</f>
        <v>#VALUE!</v>
      </c>
      <c r="DI235" t="e">
        <f>AUC!58:58-"h_l!.[b"</f>
        <v>#VALUE!</v>
      </c>
      <c r="DJ235" t="e">
        <f>AUC!59:59-"h_l!.[c"</f>
        <v>#VALUE!</v>
      </c>
      <c r="DK235" t="e">
        <f>AUC!60:60-"h_l!.[d"</f>
        <v>#VALUE!</v>
      </c>
      <c r="DL235" t="e">
        <f>AUC!61:61-"h_l!.[e"</f>
        <v>#VALUE!</v>
      </c>
      <c r="DM235" t="e">
        <f>AUC!62:62-"h_l!.[f"</f>
        <v>#VALUE!</v>
      </c>
      <c r="DN235" t="e">
        <f>AUC!63:63-"h_l!.[g"</f>
        <v>#VALUE!</v>
      </c>
      <c r="DO235" t="e">
        <f>AUC!64:64-"h_l!.[h"</f>
        <v>#VALUE!</v>
      </c>
      <c r="DP235" t="e">
        <f>AUC!65:65-"h_l!.[i"</f>
        <v>#VALUE!</v>
      </c>
      <c r="DQ235" t="e">
        <f>AUC!66:66-"h_l!.[j"</f>
        <v>#VALUE!</v>
      </c>
      <c r="DR235" t="e">
        <f>AUC!67:67-"h_l!.[k"</f>
        <v>#VALUE!</v>
      </c>
      <c r="DS235" t="e">
        <f>AUC!68:68-"h_l!.[l"</f>
        <v>#VALUE!</v>
      </c>
      <c r="DT235" t="e">
        <f>AUC!69:69-"h_l!.[m"</f>
        <v>#VALUE!</v>
      </c>
      <c r="DU235" t="e">
        <f>AUC!70:70-"h_l!.[n"</f>
        <v>#VALUE!</v>
      </c>
      <c r="DV235" t="e">
        <f>AUC!71:71-"h_l!.[o"</f>
        <v>#VALUE!</v>
      </c>
      <c r="DW235" t="e">
        <f>AUC!72:72-"h_l!.[p"</f>
        <v>#VALUE!</v>
      </c>
      <c r="DX235" t="e">
        <f>AUC!73:73-"h_l!.[q"</f>
        <v>#VALUE!</v>
      </c>
      <c r="DY235" t="e">
        <f>AUC!74:74-"h_l!.[r"</f>
        <v>#VALUE!</v>
      </c>
      <c r="DZ235" t="e">
        <f>AUC!75:75-"h_l!.[s"</f>
        <v>#VALUE!</v>
      </c>
      <c r="EA235" t="e">
        <f>AUC!76:76-"h_l!.[t"</f>
        <v>#VALUE!</v>
      </c>
      <c r="EB235" t="e">
        <f>AUC!77:77-"h_l!.[u"</f>
        <v>#VALUE!</v>
      </c>
      <c r="EC235" t="e">
        <f>AUC!78:78-"h_l!.[v"</f>
        <v>#VALUE!</v>
      </c>
      <c r="ED235" t="e">
        <f>AUC!79:79-"h_l!.[w"</f>
        <v>#VALUE!</v>
      </c>
      <c r="EE235" t="e">
        <f>AUC!80:80-"h_l!.[x"</f>
        <v>#VALUE!</v>
      </c>
      <c r="EF235" t="e">
        <f>AUC!81:81-"h_l!.[y"</f>
        <v>#VALUE!</v>
      </c>
      <c r="EG235" t="e">
        <f>AUC!82:82-"h_l!.[z"</f>
        <v>#VALUE!</v>
      </c>
      <c r="EH235" t="e">
        <f>AUC!83:83-"h_l!.[{"</f>
        <v>#VALUE!</v>
      </c>
      <c r="EI235" t="e">
        <f>AUC!84:84-"h_l!.[|"</f>
        <v>#VALUE!</v>
      </c>
      <c r="EJ235" t="e">
        <f>AUC!85:85-"h_l!.[}"</f>
        <v>#VALUE!</v>
      </c>
      <c r="EK235" t="e">
        <f>AUC!86:86-"h_l!.[~"</f>
        <v>#VALUE!</v>
      </c>
      <c r="EL235" t="e">
        <f>AUC!87:87-"h_l!.\#"</f>
        <v>#VALUE!</v>
      </c>
      <c r="EM235" t="e">
        <f>AUC!88:88-"h_l!.\$"</f>
        <v>#VALUE!</v>
      </c>
      <c r="EN235" t="e">
        <f>AUC!89:89-"h_l!.\%"</f>
        <v>#VALUE!</v>
      </c>
      <c r="EO235" t="e">
        <f>AUC!90:90-"h_l!.\&amp;"</f>
        <v>#VALUE!</v>
      </c>
      <c r="EP235" t="e">
        <f>AUC!91:91-"h_l!.\'"</f>
        <v>#VALUE!</v>
      </c>
      <c r="EQ235" t="e">
        <f>AUC!92:92-"h_l!.\("</f>
        <v>#VALUE!</v>
      </c>
      <c r="ER235" t="e">
        <f>AUC!93:93-"h_l!.\)"</f>
        <v>#VALUE!</v>
      </c>
      <c r="ES235" t="e">
        <f>AUC!94:94-"h_l!.\."</f>
        <v>#VALUE!</v>
      </c>
      <c r="ET235" t="e">
        <f>AUC!95:95-"h_l!.\/"</f>
        <v>#VALUE!</v>
      </c>
      <c r="EU235" t="e">
        <f>AUC!96:96-"h_l!.\0"</f>
        <v>#VALUE!</v>
      </c>
      <c r="EV235" t="e">
        <f>AUC!97:97-"h_l!.\1"</f>
        <v>#VALUE!</v>
      </c>
      <c r="EW235" t="e">
        <f>AUC!98:98-"h_l!.\2"</f>
        <v>#VALUE!</v>
      </c>
      <c r="EX235" t="e">
        <f>AUC!99:99-"h_l!.\3"</f>
        <v>#VALUE!</v>
      </c>
      <c r="EY235" t="e">
        <f>AUC!100:100-"h_l!.\4"</f>
        <v>#VALUE!</v>
      </c>
      <c r="EZ235" t="e">
        <f>AUC!101:101-"h_l!.\5"</f>
        <v>#VALUE!</v>
      </c>
      <c r="FA235" t="e">
        <f>AUC!102:102-"h_l!.\6"</f>
        <v>#VALUE!</v>
      </c>
      <c r="FB235" t="e">
        <f>AUC!103:103-"h_l!.\7"</f>
        <v>#VALUE!</v>
      </c>
      <c r="FC235" t="e">
        <f>AUC!104:104-"h_l!.\8"</f>
        <v>#VALUE!</v>
      </c>
      <c r="FD235" t="e">
        <f>AUC!105:105-"h_l!.\9"</f>
        <v>#VALUE!</v>
      </c>
      <c r="FE235" t="e">
        <f>AUC!106:106-"h_l!.\:"</f>
        <v>#VALUE!</v>
      </c>
      <c r="FF235" t="e">
        <f>AUC!107:107-"h_l!.\;"</f>
        <v>#VALUE!</v>
      </c>
      <c r="FG235" t="e">
        <f>AUC!108:108-"h_l!.\&lt;"</f>
        <v>#VALUE!</v>
      </c>
      <c r="FH235" t="e">
        <f>AUC!109:109-"h_l!.\="</f>
        <v>#VALUE!</v>
      </c>
      <c r="FI235" t="e">
        <f>AUC!110:110-"h_l!.\&gt;"</f>
        <v>#VALUE!</v>
      </c>
      <c r="FJ235" t="e">
        <f>AUC!111:111-"h_l!.\?"</f>
        <v>#VALUE!</v>
      </c>
      <c r="FK235" t="e">
        <f>AUC!112:112-"h_l!.\@"</f>
        <v>#VALUE!</v>
      </c>
      <c r="FL235" t="e">
        <f>AUC!113:113-"h_l!.\A"</f>
        <v>#VALUE!</v>
      </c>
      <c r="FM235" t="e">
        <f>AUC!114:114-"h_l!.\B"</f>
        <v>#VALUE!</v>
      </c>
      <c r="FN235" t="e">
        <f>AUC!115:115-"h_l!.\C"</f>
        <v>#VALUE!</v>
      </c>
      <c r="FO235" t="e">
        <f>AUC!116:116-"h_l!.\D"</f>
        <v>#VALUE!</v>
      </c>
      <c r="FP235" t="e">
        <f>AUC!117:117-"h_l!.\E"</f>
        <v>#VALUE!</v>
      </c>
      <c r="FQ235" t="e">
        <f>AUC!118:118-"h_l!.\F"</f>
        <v>#VALUE!</v>
      </c>
      <c r="FR235" t="e">
        <f>AUC!119:119-"h_l!.\G"</f>
        <v>#VALUE!</v>
      </c>
      <c r="FS235" t="e">
        <f>AUC!120:120-"h_l!.\H"</f>
        <v>#VALUE!</v>
      </c>
      <c r="FT235" t="e">
        <f>AUC!121:121-"h_l!.\I"</f>
        <v>#VALUE!</v>
      </c>
      <c r="FU235" t="e">
        <f>AUC!122:122-"h_l!.\J"</f>
        <v>#VALUE!</v>
      </c>
      <c r="FV235" t="e">
        <f>AUC!123:123-"h_l!.\K"</f>
        <v>#VALUE!</v>
      </c>
      <c r="FW235" t="e">
        <f>AUC!124:124-"h_l!.\L"</f>
        <v>#VALUE!</v>
      </c>
      <c r="FX235" t="e">
        <f>AUC!125:125-"h_l!.\M"</f>
        <v>#VALUE!</v>
      </c>
      <c r="FY235" t="e">
        <f>AUC!126:126-"h_l!.\N"</f>
        <v>#VALUE!</v>
      </c>
      <c r="FZ235" t="e">
        <f>AUC!127:127-"h_l!.\O"</f>
        <v>#VALUE!</v>
      </c>
      <c r="GA235" t="e">
        <f>AUC!128:128-"h_l!.\P"</f>
        <v>#VALUE!</v>
      </c>
      <c r="GB235" t="e">
        <f>AUC!129:129-"h_l!.\Q"</f>
        <v>#VALUE!</v>
      </c>
      <c r="GC235" t="e">
        <f>AUC!130:130-"h_l!.\R"</f>
        <v>#VALUE!</v>
      </c>
      <c r="GD235" t="e">
        <f>AUC!131:131-"h_l!.\S"</f>
        <v>#VALUE!</v>
      </c>
      <c r="GE235" t="e">
        <f>AUC!132:132-"h_l!.\T"</f>
        <v>#VALUE!</v>
      </c>
      <c r="GF235" t="e">
        <f>AUC!133:133-"h_l!.\U"</f>
        <v>#VALUE!</v>
      </c>
      <c r="GG235" t="e">
        <f>AUC!134:134-"h_l!.\V"</f>
        <v>#VALUE!</v>
      </c>
      <c r="GH235" t="e">
        <f>AUC!135:135-"h_l!.\W"</f>
        <v>#VALUE!</v>
      </c>
      <c r="GI235" t="e">
        <f>AUC!136:136-"h_l!.\X"</f>
        <v>#VALUE!</v>
      </c>
      <c r="GJ235" t="e">
        <f>AUC!137:137-"h_l!.\Y"</f>
        <v>#VALUE!</v>
      </c>
      <c r="GK235" t="e">
        <f>AUC!138:138-"h_l!.\Z"</f>
        <v>#VALUE!</v>
      </c>
      <c r="GL235" t="e">
        <f>AUC!139:139-"h_l!.\["</f>
        <v>#VALUE!</v>
      </c>
      <c r="GM235" t="e">
        <f>AUC!140:140-"h_l!.\\"</f>
        <v>#VALUE!</v>
      </c>
      <c r="GN235" t="e">
        <f>AUC!141:141-"h_l!.\]"</f>
        <v>#VALUE!</v>
      </c>
      <c r="GO235" t="e">
        <f>AUC!142:142-"h_l!.\^"</f>
        <v>#VALUE!</v>
      </c>
      <c r="GP235" t="e">
        <f>AUC!143:143-"h_l!.\_"</f>
        <v>#VALUE!</v>
      </c>
      <c r="GQ235" t="e">
        <f>AUC!144:144-"h_l!.\`"</f>
        <v>#VALUE!</v>
      </c>
      <c r="GR235" t="e">
        <f>AUC!145:145-"h_l!.\a"</f>
        <v>#VALUE!</v>
      </c>
      <c r="GS235" t="e">
        <f>AUC!146:146-"h_l!.\b"</f>
        <v>#VALUE!</v>
      </c>
      <c r="GT235" t="e">
        <f>AUC!147:147-"h_l!.\c"</f>
        <v>#VALUE!</v>
      </c>
      <c r="GU235" t="e">
        <f>AUC!148:148-"h_l!.\d"</f>
        <v>#VALUE!</v>
      </c>
      <c r="GV235" t="e">
        <f>AUC!149:149-"h_l!.\e"</f>
        <v>#VALUE!</v>
      </c>
      <c r="GW235" t="e">
        <f>AUC!150:150-"h_l!.\f"</f>
        <v>#VALUE!</v>
      </c>
      <c r="GX235" t="e">
        <f>AUC!151:151-"h_l!.\g"</f>
        <v>#VALUE!</v>
      </c>
      <c r="GY235" t="e">
        <f>AUC!152:152-"h_l!.\h"</f>
        <v>#VALUE!</v>
      </c>
      <c r="GZ235" t="e">
        <f>AUC!153:153-"h_l!.\i"</f>
        <v>#VALUE!</v>
      </c>
      <c r="HA235" t="e">
        <f>AUC!154:154-"h_l!.\j"</f>
        <v>#VALUE!</v>
      </c>
      <c r="HB235" t="e">
        <f>AUC!155:155-"h_l!.\k"</f>
        <v>#VALUE!</v>
      </c>
      <c r="HC235" t="e">
        <f>AUC!156:156-"h_l!.\l"</f>
        <v>#VALUE!</v>
      </c>
      <c r="HD235" t="e">
        <f>AUC!157:157-"h_l!.\m"</f>
        <v>#VALUE!</v>
      </c>
      <c r="HE235" t="e">
        <f>AUC!158:158-"h_l!.\n"</f>
        <v>#VALUE!</v>
      </c>
      <c r="HF235" t="e">
        <f>AUC!159:159-"h_l!.\o"</f>
        <v>#VALUE!</v>
      </c>
      <c r="HG235" t="e">
        <f>AUC!160:160-"h_l!.\p"</f>
        <v>#VALUE!</v>
      </c>
      <c r="HH235" t="e">
        <f>AUC!161:161-"h_l!.\q"</f>
        <v>#VALUE!</v>
      </c>
      <c r="HI235" t="e">
        <f>AUC!162:162-"h_l!.\r"</f>
        <v>#VALUE!</v>
      </c>
      <c r="HJ235" t="e">
        <f>AUC!163:163-"h_l!.\s"</f>
        <v>#VALUE!</v>
      </c>
      <c r="HK235" t="e">
        <f>AUC!164:164-"h_l!.\t"</f>
        <v>#VALUE!</v>
      </c>
      <c r="HL235" t="e">
        <f>AUC!165:165-"h_l!.\u"</f>
        <v>#VALUE!</v>
      </c>
      <c r="HM235" t="e">
        <f>AUC!166:166-"h_l!.\v"</f>
        <v>#VALUE!</v>
      </c>
      <c r="HN235" t="e">
        <f>AUC!167:167-"h_l!.\w"</f>
        <v>#VALUE!</v>
      </c>
      <c r="HO235" t="e">
        <f>AUC!168:168-"h_l!.\x"</f>
        <v>#VALUE!</v>
      </c>
      <c r="HP235" t="e">
        <f>AUC!169:169-"h_l!.\y"</f>
        <v>#VALUE!</v>
      </c>
      <c r="HQ235" t="e">
        <f>AUC!170:170-"h_l!.\z"</f>
        <v>#VALUE!</v>
      </c>
      <c r="HR235" t="e">
        <f>AUC!171:171-"h_l!.\{"</f>
        <v>#VALUE!</v>
      </c>
      <c r="HS235" t="e">
        <f>AUC!172:172-"h_l!.\|"</f>
        <v>#VALUE!</v>
      </c>
      <c r="HT235" t="e">
        <f>AUC!173:173-"h_l!.\}"</f>
        <v>#VALUE!</v>
      </c>
      <c r="HU235" t="e">
        <f>AUC!174:174-"h_l!.\~"</f>
        <v>#VALUE!</v>
      </c>
      <c r="HV235" t="e">
        <f>AUC!175:175-"h_l!.]#"</f>
        <v>#VALUE!</v>
      </c>
      <c r="HW235" t="e">
        <f>AUC!176:176-"h_l!.]$"</f>
        <v>#VALUE!</v>
      </c>
      <c r="HX235" t="e">
        <f>AUC!177:177-"h_l!.]%"</f>
        <v>#VALUE!</v>
      </c>
      <c r="HY235" t="e">
        <f>AUC!178:178-"h_l!.]&amp;"</f>
        <v>#VALUE!</v>
      </c>
      <c r="HZ235" t="e">
        <f>AUC!179:179-"h_l!.]'"</f>
        <v>#VALUE!</v>
      </c>
      <c r="IA235" t="e">
        <f>AUC!180:180-"h_l!.]("</f>
        <v>#VALUE!</v>
      </c>
      <c r="IB235" t="e">
        <f>AUC!181:181-"h_l!.])"</f>
        <v>#VALUE!</v>
      </c>
      <c r="IC235" t="e">
        <f>AUC!182:182-"h_l!.]."</f>
        <v>#VALUE!</v>
      </c>
      <c r="ID235" t="e">
        <f>AUC!183:183-"h_l!.]/"</f>
        <v>#VALUE!</v>
      </c>
      <c r="IE235" t="e">
        <f>AUC!184:184-"h_l!.]0"</f>
        <v>#VALUE!</v>
      </c>
      <c r="IF235" t="e">
        <f>AUC!185:185-"h_l!.]1"</f>
        <v>#VALUE!</v>
      </c>
      <c r="IG235" t="e">
        <f>AUC!186:186-"h_l!.]2"</f>
        <v>#VALUE!</v>
      </c>
      <c r="IH235" t="e">
        <f>AUC!187:187-"h_l!.]3"</f>
        <v>#VALUE!</v>
      </c>
      <c r="II235" t="e">
        <f>AUC!188:188-"h_l!.]4"</f>
        <v>#VALUE!</v>
      </c>
      <c r="IJ235" t="e">
        <f>AUC!189:189-"h_l!.]5"</f>
        <v>#VALUE!</v>
      </c>
      <c r="IK235" t="e">
        <f>AUC!190:190-"h_l!.]6"</f>
        <v>#VALUE!</v>
      </c>
      <c r="IL235" t="e">
        <f>AUC!191:191-"h_l!.]7"</f>
        <v>#VALUE!</v>
      </c>
      <c r="IM235" t="e">
        <f>AUC!192:192-"h_l!.]8"</f>
        <v>#VALUE!</v>
      </c>
      <c r="IN235" t="e">
        <f>AUC!193:193-"h_l!.]9"</f>
        <v>#VALUE!</v>
      </c>
      <c r="IO235" t="e">
        <f>AUC!194:194-"h_l!.]:"</f>
        <v>#VALUE!</v>
      </c>
      <c r="IP235" t="e">
        <f>AUC!195:195-"h_l!.];"</f>
        <v>#VALUE!</v>
      </c>
      <c r="IQ235" t="e">
        <f>AUC!196:196-"h_l!.]&lt;"</f>
        <v>#VALUE!</v>
      </c>
      <c r="IR235" t="e">
        <f>AUC!197:197-"h_l!.]="</f>
        <v>#VALUE!</v>
      </c>
      <c r="IS235" t="e">
        <f>AUC!198:198-"h_l!.]&gt;"</f>
        <v>#VALUE!</v>
      </c>
      <c r="IT235" t="e">
        <f>AUC!199:199-"h_l!.]?"</f>
        <v>#VALUE!</v>
      </c>
      <c r="IU235" t="e">
        <f>AUC!200:200-"h_l!.]@"</f>
        <v>#VALUE!</v>
      </c>
      <c r="IV235" t="e">
        <f>AUC!201:201-"h_l!.]A"</f>
        <v>#VALUE!</v>
      </c>
    </row>
    <row r="236" spans="6:256" x14ac:dyDescent="0.25">
      <c r="F236" t="e">
        <f>AUC!202:202-"h_l!.]B"</f>
        <v>#VALUE!</v>
      </c>
      <c r="G236" t="e">
        <f>AUC!203:203-"h_l!.]C"</f>
        <v>#VALUE!</v>
      </c>
      <c r="H236" t="e">
        <f>AUC!204:204-"h_l!.]D"</f>
        <v>#VALUE!</v>
      </c>
      <c r="I236" t="e">
        <f>AUC!205:205-"h_l!.]E"</f>
        <v>#VALUE!</v>
      </c>
      <c r="J236" t="e">
        <f>AUC!206:206-"h_l!.]F"</f>
        <v>#VALUE!</v>
      </c>
      <c r="K236" t="e">
        <f>AUC!207:207-"h_l!.]G"</f>
        <v>#VALUE!</v>
      </c>
      <c r="L236" t="e">
        <f>AUC!208:208-"h_l!.]H"</f>
        <v>#VALUE!</v>
      </c>
      <c r="M236" t="e">
        <f>AUC!209:209-"h_l!.]I"</f>
        <v>#VALUE!</v>
      </c>
      <c r="N236" t="e">
        <f>AUC!210:210-"h_l!.]J"</f>
        <v>#VALUE!</v>
      </c>
      <c r="O236" t="e">
        <f>AUC!211:211-"h_l!.]K"</f>
        <v>#VALUE!</v>
      </c>
      <c r="P236" t="e">
        <f>AUC!212:212-"h_l!.]L"</f>
        <v>#VALUE!</v>
      </c>
      <c r="Q236" t="e">
        <f>AUC!213:213-"h_l!.]M"</f>
        <v>#VALUE!</v>
      </c>
      <c r="R236" t="e">
        <f>AUC!214:214-"h_l!.]N"</f>
        <v>#VALUE!</v>
      </c>
      <c r="S236" t="e">
        <f>AUC!215:215-"h_l!.]O"</f>
        <v>#VALUE!</v>
      </c>
      <c r="T236" t="e">
        <f>AUC!216:216-"h_l!.]P"</f>
        <v>#VALUE!</v>
      </c>
      <c r="U236" t="e">
        <f>AUC!217:217-"h_l!.]Q"</f>
        <v>#VALUE!</v>
      </c>
      <c r="V236" t="e">
        <f>AUC!218:218-"h_l!.]R"</f>
        <v>#VALUE!</v>
      </c>
      <c r="W236" t="e">
        <f>AUC!219:219-"h_l!.]S"</f>
        <v>#VALUE!</v>
      </c>
      <c r="X236" t="e">
        <f>AUC!A1+"h_l!.]T"</f>
        <v>#VALUE!</v>
      </c>
      <c r="Y236" t="e">
        <f>AUC!B1+"h_l!.]U"</f>
        <v>#VALUE!</v>
      </c>
      <c r="Z236" t="e">
        <f>AUC!C1+"h_l!.]V"</f>
        <v>#VALUE!</v>
      </c>
      <c r="AA236" t="e">
        <f>AUC!D1+"h_l!.]W"</f>
        <v>#VALUE!</v>
      </c>
      <c r="AB236" t="e">
        <f>AUC!E1+"h_l!.]X"</f>
        <v>#VALUE!</v>
      </c>
      <c r="AC236" t="e">
        <f>AUC!F1+"h_l!.]Y"</f>
        <v>#VALUE!</v>
      </c>
      <c r="AD236" t="e">
        <f>AUC!G1+"h_l!.]Z"</f>
        <v>#VALUE!</v>
      </c>
      <c r="AE236" t="e">
        <f>AUC!A2+"h_l!.]["</f>
        <v>#VALUE!</v>
      </c>
      <c r="AF236" t="e">
        <f>AUC!B2+"h_l!.]\"</f>
        <v>#VALUE!</v>
      </c>
      <c r="AG236" t="e">
        <f>AUC!D2+"h_l!.]]"</f>
        <v>#VALUE!</v>
      </c>
      <c r="AH236" t="e">
        <f>AUC!E2+"h_l!.]^"</f>
        <v>#VALUE!</v>
      </c>
      <c r="AI236" t="e">
        <f>AUC!F2+"h_l!.]_"</f>
        <v>#VALUE!</v>
      </c>
      <c r="AJ236" t="e">
        <f>AUC!G2+"h_l!.]`"</f>
        <v>#VALUE!</v>
      </c>
      <c r="AK236" t="e">
        <f>AUC!A3+"h_l!.]a"</f>
        <v>#VALUE!</v>
      </c>
      <c r="AL236" t="e">
        <f>AUC!B3+"h_l!.]b"</f>
        <v>#VALUE!</v>
      </c>
      <c r="AM236" t="e">
        <f>AUC!C3+"h_l!.]c"</f>
        <v>#VALUE!</v>
      </c>
      <c r="AN236" t="e">
        <f>AUC!D3+"h_l!.]d"</f>
        <v>#VALUE!</v>
      </c>
      <c r="AO236" t="e">
        <f>AUC!E3+"h_l!.]e"</f>
        <v>#VALUE!</v>
      </c>
      <c r="AP236" t="e">
        <f>AUC!F3+"h_l!.]f"</f>
        <v>#VALUE!</v>
      </c>
      <c r="AQ236" t="e">
        <f>AUC!G3+"h_l!.]g"</f>
        <v>#VALUE!</v>
      </c>
      <c r="AR236" t="e">
        <f>AUC!A4+"h_l!.]h"</f>
        <v>#VALUE!</v>
      </c>
      <c r="AS236" t="e">
        <f>AUC!B4+"h_l!.]i"</f>
        <v>#VALUE!</v>
      </c>
      <c r="AT236" t="e">
        <f>AUC!C4+"h_l!.]j"</f>
        <v>#VALUE!</v>
      </c>
      <c r="AU236" t="e">
        <f>AUC!D4+"h_l!.]k"</f>
        <v>#VALUE!</v>
      </c>
      <c r="AV236" t="e">
        <f>AUC!E4+"h_l!.]l"</f>
        <v>#VALUE!</v>
      </c>
      <c r="AW236" t="e">
        <f>AUC!F4+"h_l!.]m"</f>
        <v>#VALUE!</v>
      </c>
      <c r="AX236" t="e">
        <f>AUC!G4+"h_l!.]n"</f>
        <v>#VALUE!</v>
      </c>
      <c r="AY236" t="e">
        <f>AUC!A5+"h_l!.]o"</f>
        <v>#VALUE!</v>
      </c>
      <c r="AZ236" t="e">
        <f>AUC!B5+"h_l!.]p"</f>
        <v>#VALUE!</v>
      </c>
      <c r="BA236" t="e">
        <f>AUC!C5+"h_l!.]q"</f>
        <v>#VALUE!</v>
      </c>
      <c r="BB236" t="e">
        <f>AUC!D5+"h_l!.]r"</f>
        <v>#VALUE!</v>
      </c>
      <c r="BC236" t="e">
        <f>AUC!E5+"h_l!.]s"</f>
        <v>#VALUE!</v>
      </c>
      <c r="BD236" t="e">
        <f>AUC!F5+"h_l!.]t"</f>
        <v>#VALUE!</v>
      </c>
      <c r="BE236" t="e">
        <f>AUC!G5+"h_l!.]u"</f>
        <v>#VALUE!</v>
      </c>
      <c r="BF236" t="e">
        <f>AUC!A6+"h_l!.]v"</f>
        <v>#VALUE!</v>
      </c>
      <c r="BG236" t="e">
        <f>AUC!B6+"h_l!.]w"</f>
        <v>#VALUE!</v>
      </c>
      <c r="BH236" t="e">
        <f>AUC!C6+"h_l!.]x"</f>
        <v>#VALUE!</v>
      </c>
      <c r="BI236" t="e">
        <f>AUC!D6+"h_l!.]y"</f>
        <v>#VALUE!</v>
      </c>
      <c r="BJ236" t="e">
        <f>AUC!E6+"h_l!.]z"</f>
        <v>#VALUE!</v>
      </c>
      <c r="BK236" t="e">
        <f>AUC!F6+"h_l!.]{"</f>
        <v>#VALUE!</v>
      </c>
      <c r="BL236" t="e">
        <f>AUC!G6+"h_l!.]|"</f>
        <v>#VALUE!</v>
      </c>
      <c r="BM236" t="e">
        <f>AUC!A7+"h_l!.]}"</f>
        <v>#VALUE!</v>
      </c>
      <c r="BN236" t="e">
        <f>AUC!B7+"h_l!.]~"</f>
        <v>#VALUE!</v>
      </c>
      <c r="BO236" t="e">
        <f>AUC!C7+"h_l!.^#"</f>
        <v>#VALUE!</v>
      </c>
      <c r="BP236" t="e">
        <f>AUC!D7+"h_l!.^$"</f>
        <v>#VALUE!</v>
      </c>
      <c r="BQ236" t="e">
        <f>AUC!E7+"h_l!.^%"</f>
        <v>#VALUE!</v>
      </c>
      <c r="BR236" t="e">
        <f>AUC!F7+"h_l!.^&amp;"</f>
        <v>#VALUE!</v>
      </c>
      <c r="BS236" t="e">
        <f>AUC!G7+"h_l!.^'"</f>
        <v>#VALUE!</v>
      </c>
      <c r="BT236" t="e">
        <f>AUC!A8+"h_l!.^("</f>
        <v>#VALUE!</v>
      </c>
      <c r="BU236" t="e">
        <f>AUC!B8+"h_l!.^)"</f>
        <v>#VALUE!</v>
      </c>
      <c r="BV236" t="e">
        <f>AUC!C8+"h_l!.^."</f>
        <v>#VALUE!</v>
      </c>
      <c r="BW236" t="e">
        <f>AUC!D8+"h_l!.^/"</f>
        <v>#VALUE!</v>
      </c>
      <c r="BX236" t="e">
        <f>AUC!E8+"h_l!.^0"</f>
        <v>#VALUE!</v>
      </c>
      <c r="BY236" t="e">
        <f>AUC!F8+"h_l!.^1"</f>
        <v>#VALUE!</v>
      </c>
      <c r="BZ236" t="e">
        <f>AUC!G8+"h_l!.^2"</f>
        <v>#VALUE!</v>
      </c>
      <c r="CA236" t="e">
        <f>AUC!A9+"h_l!.^3"</f>
        <v>#VALUE!</v>
      </c>
      <c r="CB236" t="e">
        <f>AUC!B9+"h_l!.^4"</f>
        <v>#VALUE!</v>
      </c>
      <c r="CC236" t="e">
        <f>AUC!C9+"h_l!.^5"</f>
        <v>#VALUE!</v>
      </c>
      <c r="CD236" t="e">
        <f>AUC!D9+"h_l!.^6"</f>
        <v>#VALUE!</v>
      </c>
      <c r="CE236" t="e">
        <f>AUC!E9+"h_l!.^7"</f>
        <v>#VALUE!</v>
      </c>
      <c r="CF236" t="e">
        <f>AUC!F9+"h_l!.^8"</f>
        <v>#VALUE!</v>
      </c>
      <c r="CG236" t="e">
        <f>AUC!G9+"h_l!.^9"</f>
        <v>#VALUE!</v>
      </c>
      <c r="CH236" t="e">
        <f>AUC!A10+"h_l!.^:"</f>
        <v>#VALUE!</v>
      </c>
      <c r="CI236" t="e">
        <f>AUC!B10+"h_l!.^;"</f>
        <v>#VALUE!</v>
      </c>
      <c r="CJ236" t="e">
        <f>AUC!C10+"h_l!.^&lt;"</f>
        <v>#VALUE!</v>
      </c>
      <c r="CK236" t="e">
        <f>AUC!D10+"h_l!.^="</f>
        <v>#VALUE!</v>
      </c>
      <c r="CL236" t="e">
        <f>AUC!E10+"h_l!.^&gt;"</f>
        <v>#VALUE!</v>
      </c>
      <c r="CM236" t="e">
        <f>AUC!F10+"h_l!.^?"</f>
        <v>#VALUE!</v>
      </c>
      <c r="CN236" t="e">
        <f>AUC!G10+"h_l!.^@"</f>
        <v>#VALUE!</v>
      </c>
      <c r="CO236" t="e">
        <f>AUC!A11+"h_l!.^A"</f>
        <v>#VALUE!</v>
      </c>
      <c r="CP236" t="e">
        <f>AUC!B11+"h_l!.^B"</f>
        <v>#VALUE!</v>
      </c>
      <c r="CQ236" t="e">
        <f>AUC!C11+"h_l!.^C"</f>
        <v>#VALUE!</v>
      </c>
      <c r="CR236" t="e">
        <f>AUC!D11+"h_l!.^D"</f>
        <v>#VALUE!</v>
      </c>
      <c r="CS236" t="e">
        <f>AUC!E11+"h_l!.^E"</f>
        <v>#VALUE!</v>
      </c>
      <c r="CT236" t="e">
        <f>AUC!F11+"h_l!.^F"</f>
        <v>#VALUE!</v>
      </c>
      <c r="CU236" t="e">
        <f>AUC!G11+"h_l!.^G"</f>
        <v>#VALUE!</v>
      </c>
      <c r="CV236" t="e">
        <f>AUC!A12+"h_l!.^H"</f>
        <v>#VALUE!</v>
      </c>
      <c r="CW236" t="e">
        <f>AUC!B12+"h_l!.^I"</f>
        <v>#VALUE!</v>
      </c>
      <c r="CX236" t="e">
        <f>AUC!C12+"h_l!.^J"</f>
        <v>#VALUE!</v>
      </c>
      <c r="CY236" t="e">
        <f>AUC!D12+"h_l!.^K"</f>
        <v>#VALUE!</v>
      </c>
      <c r="CZ236" t="e">
        <f>AUC!E12+"h_l!.^L"</f>
        <v>#VALUE!</v>
      </c>
      <c r="DA236" t="e">
        <f>AUC!F12+"h_l!.^M"</f>
        <v>#VALUE!</v>
      </c>
      <c r="DB236" t="e">
        <f>AUC!G12+"h_l!.^N"</f>
        <v>#VALUE!</v>
      </c>
      <c r="DC236" t="e">
        <f>AUC!A13+"h_l!.^O"</f>
        <v>#VALUE!</v>
      </c>
      <c r="DD236" t="e">
        <f>AUC!B13+"h_l!.^P"</f>
        <v>#VALUE!</v>
      </c>
      <c r="DE236" t="e">
        <f>AUC!C13+"h_l!.^Q"</f>
        <v>#VALUE!</v>
      </c>
      <c r="DF236" t="e">
        <f>AUC!D13+"h_l!.^R"</f>
        <v>#VALUE!</v>
      </c>
      <c r="DG236" t="e">
        <f>AUC!E13+"h_l!.^S"</f>
        <v>#VALUE!</v>
      </c>
      <c r="DH236" t="e">
        <f>AUC!F13+"h_l!.^T"</f>
        <v>#VALUE!</v>
      </c>
      <c r="DI236" t="e">
        <f>AUC!G13+"h_l!.^U"</f>
        <v>#VALUE!</v>
      </c>
      <c r="DJ236" t="e">
        <f>AUC!A14+"h_l!.^V"</f>
        <v>#VALUE!</v>
      </c>
      <c r="DK236" t="e">
        <f>AUC!B14+"h_l!.^W"</f>
        <v>#VALUE!</v>
      </c>
      <c r="DL236" t="e">
        <f>AUC!C14+"h_l!.^X"</f>
        <v>#VALUE!</v>
      </c>
      <c r="DM236" t="e">
        <f>AUC!D14+"h_l!.^Y"</f>
        <v>#VALUE!</v>
      </c>
      <c r="DN236" t="e">
        <f>AUC!E14+"h_l!.^Z"</f>
        <v>#VALUE!</v>
      </c>
      <c r="DO236" t="e">
        <f>AUC!F14+"h_l!.^["</f>
        <v>#VALUE!</v>
      </c>
      <c r="DP236" t="e">
        <f>AUC!G14+"h_l!.^\"</f>
        <v>#VALUE!</v>
      </c>
      <c r="DQ236" t="e">
        <f>AUC!A15+"h_l!.^]"</f>
        <v>#VALUE!</v>
      </c>
      <c r="DR236" t="e">
        <f>AUC!B15+"h_l!.^^"</f>
        <v>#VALUE!</v>
      </c>
      <c r="DS236" t="e">
        <f>AUC!C15+"h_l!.^_"</f>
        <v>#VALUE!</v>
      </c>
      <c r="DT236" t="e">
        <f>AUC!D15+"h_l!.^`"</f>
        <v>#VALUE!</v>
      </c>
      <c r="DU236" t="e">
        <f>AUC!E15+"h_l!.^a"</f>
        <v>#VALUE!</v>
      </c>
      <c r="DV236" t="e">
        <f>AUC!F15+"h_l!.^b"</f>
        <v>#VALUE!</v>
      </c>
      <c r="DW236" t="e">
        <f>AUC!G15+"h_l!.^c"</f>
        <v>#VALUE!</v>
      </c>
      <c r="DX236" t="e">
        <f>AUC!A16+"h_l!.^d"</f>
        <v>#VALUE!</v>
      </c>
      <c r="DY236" t="e">
        <f>AUC!B16+"h_l!.^e"</f>
        <v>#VALUE!</v>
      </c>
      <c r="DZ236" t="e">
        <f>AUC!C16+"h_l!.^f"</f>
        <v>#VALUE!</v>
      </c>
      <c r="EA236" t="e">
        <f>AUC!D16+"h_l!.^g"</f>
        <v>#VALUE!</v>
      </c>
      <c r="EB236" t="e">
        <f>AUC!E16+"h_l!.^h"</f>
        <v>#VALUE!</v>
      </c>
      <c r="EC236" t="e">
        <f>AUC!F16+"h_l!.^i"</f>
        <v>#VALUE!</v>
      </c>
      <c r="ED236" t="e">
        <f>AUC!G16+"h_l!.^j"</f>
        <v>#VALUE!</v>
      </c>
      <c r="EE236" t="e">
        <f>AUC!A17+"h_l!.^k"</f>
        <v>#VALUE!</v>
      </c>
      <c r="EF236" t="e">
        <f>AUC!B17+"h_l!.^l"</f>
        <v>#VALUE!</v>
      </c>
      <c r="EG236" t="e">
        <f>AUC!C17+"h_l!.^m"</f>
        <v>#VALUE!</v>
      </c>
      <c r="EH236" t="e">
        <f>AUC!D17+"h_l!.^n"</f>
        <v>#VALUE!</v>
      </c>
      <c r="EI236" t="e">
        <f>AUC!E17+"h_l!.^o"</f>
        <v>#VALUE!</v>
      </c>
      <c r="EJ236" t="e">
        <f>AUC!F17+"h_l!.^p"</f>
        <v>#VALUE!</v>
      </c>
      <c r="EK236" t="e">
        <f>AUC!G17+"h_l!.^q"</f>
        <v>#VALUE!</v>
      </c>
      <c r="EL236" t="e">
        <f>AUC!A18+"h_l!.^r"</f>
        <v>#VALUE!</v>
      </c>
      <c r="EM236" t="e">
        <f>AUC!B18+"h_l!.^s"</f>
        <v>#VALUE!</v>
      </c>
      <c r="EN236" t="e">
        <f>AUC!C18+"h_l!.^t"</f>
        <v>#VALUE!</v>
      </c>
      <c r="EO236" t="e">
        <f>AUC!D18+"h_l!.^u"</f>
        <v>#VALUE!</v>
      </c>
      <c r="EP236" t="e">
        <f>AUC!E18+"h_l!.^v"</f>
        <v>#VALUE!</v>
      </c>
      <c r="EQ236" t="e">
        <f>AUC!F18+"h_l!.^w"</f>
        <v>#VALUE!</v>
      </c>
      <c r="ER236" t="e">
        <f>AUC!G18+"h_l!.^x"</f>
        <v>#VALUE!</v>
      </c>
      <c r="ES236" t="e">
        <f>AUC!A19+"h_l!.^y"</f>
        <v>#VALUE!</v>
      </c>
      <c r="ET236" t="e">
        <f>AUC!B19+"h_l!.^z"</f>
        <v>#VALUE!</v>
      </c>
      <c r="EU236" t="e">
        <f>AUC!C19+"h_l!.^{"</f>
        <v>#VALUE!</v>
      </c>
      <c r="EV236" t="e">
        <f>AUC!D19+"h_l!.^|"</f>
        <v>#VALUE!</v>
      </c>
      <c r="EW236" t="e">
        <f>AUC!E19+"h_l!.^}"</f>
        <v>#VALUE!</v>
      </c>
      <c r="EX236" t="e">
        <f>AUC!F19+"h_l!.^~"</f>
        <v>#VALUE!</v>
      </c>
      <c r="EY236" t="e">
        <f>AUC!G19+"h_l!._#"</f>
        <v>#VALUE!</v>
      </c>
      <c r="EZ236" t="e">
        <f>AUC!220:220-"h_l!._$"</f>
        <v>#VALUE!</v>
      </c>
      <c r="FA236" t="e">
        <f>AUC!221:221-"h_l!._%"</f>
        <v>#VALUE!</v>
      </c>
      <c r="FB236" t="e">
        <f>AUC!C21+"h_l!._&amp;"</f>
        <v>#VALUE!</v>
      </c>
      <c r="FC236" t="e">
        <f>AUC!D21+"h_l!._'"</f>
        <v>#VALUE!</v>
      </c>
      <c r="FD236" t="e">
        <f>AUC!E21+"h_l!._("</f>
        <v>#VALUE!</v>
      </c>
      <c r="FE236" t="e">
        <f>AUC!F21+"h_l!._)"</f>
        <v>#VALUE!</v>
      </c>
      <c r="FF236" t="e">
        <f>AUC!G21+"h_l!._."</f>
        <v>#VALUE!</v>
      </c>
      <c r="FG236" t="e">
        <f>'Compiled Agents'!D:D*"h_l!._/"</f>
        <v>#VALUE!</v>
      </c>
      <c r="FH236" t="e">
        <f>'Compiled Agents'!1640:1640-"h_l!._0"</f>
        <v>#VALUE!</v>
      </c>
      <c r="FI236" t="e">
        <f>'Compiled Agents'!1641:1641-"h_l!._1"</f>
        <v>#VALUE!</v>
      </c>
      <c r="FJ236" t="e">
        <f>'Compiled Agents'!1642:1642-"h_l!._2"</f>
        <v>#VALUE!</v>
      </c>
      <c r="FK236" t="e">
        <f>'Compiled Agents'!1643:1643-"h_l!._3"</f>
        <v>#VALUE!</v>
      </c>
      <c r="FL236" t="e">
        <f>'Compiled Agents'!1644:1644-"h_l!._4"</f>
        <v>#VALUE!</v>
      </c>
      <c r="FM236" t="e">
        <f>'Compiled Agents'!1645:1645-"h_l!._5"</f>
        <v>#VALUE!</v>
      </c>
      <c r="FN236" t="e">
        <f>'Compiled Agents'!1646:1646-"h_l!._6"</f>
        <v>#VALUE!</v>
      </c>
      <c r="FO236" t="e">
        <f>'Compiled Agents'!1647:1647-"h_l!._7"</f>
        <v>#VALUE!</v>
      </c>
      <c r="FP236" t="e">
        <f>'Compiled Agents'!1648:1648-"h_l!._8"</f>
        <v>#VALUE!</v>
      </c>
      <c r="FQ236" t="e">
        <f>'Compiled Agents'!1649:1649-"h_l!._9"</f>
        <v>#VALUE!</v>
      </c>
      <c r="FR236" t="e">
        <f>'Compiled Agents'!1650:1650-"h_l!._:"</f>
        <v>#VALUE!</v>
      </c>
      <c r="FS236" t="e">
        <f>'Compiled Agents'!1651:1651-"h_l!._;"</f>
        <v>#VALUE!</v>
      </c>
      <c r="FT236" t="e">
        <f>'Compiled Agents'!1652:1652-"h_l!._&lt;"</f>
        <v>#VALUE!</v>
      </c>
      <c r="FU236" t="e">
        <f>'Compiled Agents'!1653:1653-"h_l!._="</f>
        <v>#VALUE!</v>
      </c>
      <c r="FV236" t="e">
        <f>'Compiled Agents'!1654:1654-"h_l!._&gt;"</f>
        <v>#VALUE!</v>
      </c>
      <c r="FW236" t="e">
        <f>'Compiled Agents'!1655:1655-"h_l!._?"</f>
        <v>#VALUE!</v>
      </c>
      <c r="FX236" t="e">
        <f>'Compiled Agents'!1656:1656-"h_l!._@"</f>
        <v>#VALUE!</v>
      </c>
      <c r="FY236" t="e">
        <f>'Compiled Agents'!1657:1657-"h_l!._A"</f>
        <v>#VALUE!</v>
      </c>
      <c r="FZ236" t="e">
        <f>'Compiled Agents'!1658:1658-"h_l!._B"</f>
        <v>#VALUE!</v>
      </c>
      <c r="GA236" t="e">
        <f>'Compiled Agents'!1659:1659-"h_l!._C"</f>
        <v>#VALUE!</v>
      </c>
      <c r="GB236" t="e">
        <f>'Compiled Agents'!1660:1660-"h_l!._D"</f>
        <v>#VALUE!</v>
      </c>
      <c r="GC236" t="e">
        <f>'Compiled Agents'!1661:1661-"h_l!._E"</f>
        <v>#VALUE!</v>
      </c>
      <c r="GD236" t="e">
        <f>'Compiled Agents'!1662:1662-"h_l!._F"</f>
        <v>#VALUE!</v>
      </c>
      <c r="GE236" t="e">
        <f>'Compiled Agents'!1663:1663-"h_l!._G"</f>
        <v>#VALUE!</v>
      </c>
      <c r="GF236" t="e">
        <f>'Compiled Agents'!1664:1664-"h_l!._H"</f>
        <v>#VALUE!</v>
      </c>
      <c r="GG236" t="e">
        <f>'Compiled Agents'!1665:1665-"h_l!._I"</f>
        <v>#VALUE!</v>
      </c>
      <c r="GH236" t="e">
        <f>'Compiled Agents'!1666:1666-"h_l!._J"</f>
        <v>#VALUE!</v>
      </c>
      <c r="GI236" t="e">
        <f>'Compiled Agents'!1667:1667-"h_l!._K"</f>
        <v>#VALUE!</v>
      </c>
      <c r="GJ236" t="e">
        <f>'Compiled Agents'!1668:1668-"h_l!._L"</f>
        <v>#VALUE!</v>
      </c>
      <c r="GK236" t="e">
        <f>'Compiled Agents'!1669:1669-"h_l!._M"</f>
        <v>#VALUE!</v>
      </c>
      <c r="GL236" t="e">
        <f>'Compiled Agents'!1670:1670-"h_l!._N"</f>
        <v>#VALUE!</v>
      </c>
      <c r="GM236" t="e">
        <f>'Compiled Agents'!1671:1671-"h_l!._O"</f>
        <v>#VALUE!</v>
      </c>
      <c r="GN236" t="e">
        <f>'Compiled Agents'!D1+"h_l!._P"</f>
        <v>#VALUE!</v>
      </c>
      <c r="GO236" t="e">
        <f>'Compiled Agents'!D2+"h_l!._Q"</f>
        <v>#VALUE!</v>
      </c>
      <c r="GP236" t="e">
        <f>'Compiled Agents'!D3+"h_l!._R"</f>
        <v>#VALUE!</v>
      </c>
      <c r="GQ236" t="e">
        <f>'Compiled Agents'!D4+"h_l!._S"</f>
        <v>#VALUE!</v>
      </c>
      <c r="GR236" t="e">
        <f>'Compiled Agents'!D5+"h_l!._T"</f>
        <v>#VALUE!</v>
      </c>
      <c r="GS236" t="e">
        <f>'Compiled Agents'!D6+"h_l!._U"</f>
        <v>#VALUE!</v>
      </c>
      <c r="GT236" t="e">
        <f>'Compiled Agents'!D7+"h_l!._V"</f>
        <v>#VALUE!</v>
      </c>
      <c r="GU236" t="e">
        <f>'Compiled Agents'!D8+"h_l!._W"</f>
        <v>#VALUE!</v>
      </c>
      <c r="GV236" t="e">
        <f>'Compiled Agents'!D9+"h_l!._X"</f>
        <v>#VALUE!</v>
      </c>
      <c r="GW236" t="e">
        <f>'Compiled Agents'!D10+"h_l!._Y"</f>
        <v>#VALUE!</v>
      </c>
      <c r="GX236" t="e">
        <f>'Compiled Agents'!D11+"h_l!._Z"</f>
        <v>#VALUE!</v>
      </c>
      <c r="GY236" t="e">
        <f>'Compiled Agents'!D12+"h_l!._["</f>
        <v>#VALUE!</v>
      </c>
      <c r="GZ236" t="e">
        <f>'Compiled Agents'!D13+"h_l!._\"</f>
        <v>#VALUE!</v>
      </c>
      <c r="HA236" t="e">
        <f>'Compiled Agents'!D14+"h_l!._]"</f>
        <v>#VALUE!</v>
      </c>
      <c r="HB236" t="e">
        <f>'Compiled Agents'!D15+"h_l!._^"</f>
        <v>#VALUE!</v>
      </c>
      <c r="HC236" t="e">
        <f>'Compiled Agents'!D16+"h_l!.__"</f>
        <v>#VALUE!</v>
      </c>
      <c r="HD236" t="e">
        <f>'Compiled Agents'!D17+"h_l!._`"</f>
        <v>#VALUE!</v>
      </c>
      <c r="HE236" t="e">
        <f>'Compiled Agents'!D18+"h_l!._a"</f>
        <v>#VALUE!</v>
      </c>
      <c r="HF236" t="e">
        <f>'Compiled Agents'!D19+"h_l!._b"</f>
        <v>#VALUE!</v>
      </c>
      <c r="HG236" t="e">
        <f>'Compiled Agents'!D20+"h_l!._c"</f>
        <v>#VALUE!</v>
      </c>
      <c r="HH236" t="e">
        <f>'Compiled Agents'!D21+"h_l!._d"</f>
        <v>#VALUE!</v>
      </c>
      <c r="HI236" t="e">
        <f>'Compiled Agents'!D22+"h_l!._e"</f>
        <v>#VALUE!</v>
      </c>
      <c r="HJ236" t="e">
        <f>'Compiled Agents'!D23+"h_l!._f"</f>
        <v>#VALUE!</v>
      </c>
      <c r="HK236" t="e">
        <f>'Compiled Agents'!D24+"h_l!._g"</f>
        <v>#VALUE!</v>
      </c>
      <c r="HL236" t="e">
        <f>'Compiled Agents'!D25+"h_l!._h"</f>
        <v>#VALUE!</v>
      </c>
      <c r="HM236" t="e">
        <f>'Compiled Agents'!D26+"h_l!._i"</f>
        <v>#VALUE!</v>
      </c>
      <c r="HN236" t="e">
        <f>'Compiled Agents'!D27+"h_l!._j"</f>
        <v>#VALUE!</v>
      </c>
      <c r="HO236" t="e">
        <f>'Compiled Agents'!D28+"h_l!._k"</f>
        <v>#VALUE!</v>
      </c>
      <c r="HP236" t="e">
        <f>'Compiled Agents'!D29+"h_l!._l"</f>
        <v>#VALUE!</v>
      </c>
      <c r="HQ236" t="e">
        <f>'Compiled Agents'!D30+"h_l!._m"</f>
        <v>#VALUE!</v>
      </c>
      <c r="HR236" t="e">
        <f>'Compiled Agents'!D31+"h_l!._n"</f>
        <v>#VALUE!</v>
      </c>
      <c r="HS236" t="e">
        <f>'Compiled Agents'!D32+"h_l!._o"</f>
        <v>#VALUE!</v>
      </c>
      <c r="HT236" t="e">
        <f>'Compiled Agents'!D33+"h_l!._p"</f>
        <v>#VALUE!</v>
      </c>
      <c r="HU236" t="e">
        <f>'Compiled Agents'!D34+"h_l!._q"</f>
        <v>#VALUE!</v>
      </c>
      <c r="HV236" t="e">
        <f>'Compiled Agents'!D35+"h_l!._r"</f>
        <v>#VALUE!</v>
      </c>
      <c r="HW236" t="e">
        <f>'Compiled Agents'!D36+"h_l!._s"</f>
        <v>#VALUE!</v>
      </c>
      <c r="HX236" t="e">
        <f>'Compiled Agents'!D37+"h_l!._t"</f>
        <v>#VALUE!</v>
      </c>
      <c r="HY236" t="e">
        <f>'Compiled Agents'!D38+"h_l!._u"</f>
        <v>#VALUE!</v>
      </c>
      <c r="HZ236" t="e">
        <f>'Compiled Agents'!D39+"h_l!._v"</f>
        <v>#VALUE!</v>
      </c>
      <c r="IA236" t="e">
        <f>'Compiled Agents'!D40+"h_l!._w"</f>
        <v>#VALUE!</v>
      </c>
      <c r="IB236" t="e">
        <f>'Compiled Agents'!D41+"h_l!._x"</f>
        <v>#VALUE!</v>
      </c>
      <c r="IC236" t="e">
        <f>'Compiled Agents'!D42+"h_l!._y"</f>
        <v>#VALUE!</v>
      </c>
      <c r="ID236" t="e">
        <f>'Compiled Agents'!D43+"h_l!._z"</f>
        <v>#VALUE!</v>
      </c>
      <c r="IE236" t="e">
        <f>'Compiled Agents'!D44+"h_l!._{"</f>
        <v>#VALUE!</v>
      </c>
      <c r="IF236" t="e">
        <f>'Compiled Agents'!D45+"h_l!._|"</f>
        <v>#VALUE!</v>
      </c>
      <c r="IG236" t="e">
        <f>'Compiled Agents'!D46+"h_l!._}"</f>
        <v>#VALUE!</v>
      </c>
      <c r="IH236" t="e">
        <f>'Compiled Agents'!D47+"h_l!._~"</f>
        <v>#VALUE!</v>
      </c>
      <c r="II236" t="e">
        <f>'Compiled Agents'!D48+"h_l!.`#"</f>
        <v>#VALUE!</v>
      </c>
      <c r="IJ236" t="e">
        <f>'Compiled Agents'!D49+"h_l!.`$"</f>
        <v>#VALUE!</v>
      </c>
      <c r="IK236" t="e">
        <f>'Compiled Agents'!D50+"h_l!.`%"</f>
        <v>#VALUE!</v>
      </c>
      <c r="IL236" t="e">
        <f>'Compiled Agents'!D51+"h_l!.`&amp;"</f>
        <v>#VALUE!</v>
      </c>
      <c r="IM236" t="e">
        <f>'Compiled Agents'!D52+"h_l!.`'"</f>
        <v>#VALUE!</v>
      </c>
      <c r="IN236" t="e">
        <f>'Compiled Agents'!D53+"h_l!.`("</f>
        <v>#VALUE!</v>
      </c>
      <c r="IO236" t="e">
        <f>'Compiled Agents'!D54+"h_l!.`)"</f>
        <v>#VALUE!</v>
      </c>
      <c r="IP236" t="e">
        <f>'Compiled Agents'!D55+"h_l!.`."</f>
        <v>#VALUE!</v>
      </c>
      <c r="IQ236" t="e">
        <f>'Compiled Agents'!D56+"h_l!.`/"</f>
        <v>#VALUE!</v>
      </c>
      <c r="IR236" t="e">
        <f>'Compiled Agents'!D57+"h_l!.`0"</f>
        <v>#VALUE!</v>
      </c>
      <c r="IS236" t="e">
        <f>'Compiled Agents'!D58+"h_l!.`1"</f>
        <v>#VALUE!</v>
      </c>
      <c r="IT236" t="e">
        <f>'Compiled Agents'!D59+"h_l!.`2"</f>
        <v>#VALUE!</v>
      </c>
      <c r="IU236" t="e">
        <f>'Compiled Agents'!D60+"h_l!.`3"</f>
        <v>#VALUE!</v>
      </c>
      <c r="IV236" t="e">
        <f>'Compiled Agents'!D61+"h_l!.`4"</f>
        <v>#VALUE!</v>
      </c>
    </row>
    <row r="237" spans="6:256" x14ac:dyDescent="0.25">
      <c r="F237" t="e">
        <f>'Compiled Agents'!D62+"h_l!.`5"</f>
        <v>#VALUE!</v>
      </c>
      <c r="G237" t="e">
        <f>'Compiled Agents'!D63+"h_l!.`6"</f>
        <v>#VALUE!</v>
      </c>
      <c r="H237" t="e">
        <f>'Compiled Agents'!D64+"h_l!.`7"</f>
        <v>#VALUE!</v>
      </c>
      <c r="I237" t="e">
        <f>'Compiled Agents'!D65+"h_l!.`8"</f>
        <v>#VALUE!</v>
      </c>
      <c r="J237" t="e">
        <f>'Compiled Agents'!D66+"h_l!.`9"</f>
        <v>#VALUE!</v>
      </c>
      <c r="K237" t="e">
        <f>'Compiled Agents'!D67+"h_l!.`:"</f>
        <v>#VALUE!</v>
      </c>
      <c r="L237" t="e">
        <f>'Compiled Agents'!D68+"h_l!.`;"</f>
        <v>#VALUE!</v>
      </c>
      <c r="M237" t="e">
        <f>'Compiled Agents'!D69+"h_l!.`&lt;"</f>
        <v>#VALUE!</v>
      </c>
      <c r="N237" t="e">
        <f>'Compiled Agents'!D70+"h_l!.`="</f>
        <v>#VALUE!</v>
      </c>
      <c r="O237" t="e">
        <f>'Compiled Agents'!D71+"h_l!.`&gt;"</f>
        <v>#VALUE!</v>
      </c>
      <c r="P237" t="e">
        <f>'Compiled Agents'!D72+"h_l!.`?"</f>
        <v>#VALUE!</v>
      </c>
      <c r="Q237" t="e">
        <f>'Compiled Agents'!D73+"h_l!.`@"</f>
        <v>#VALUE!</v>
      </c>
      <c r="R237" t="e">
        <f>'Compiled Agents'!D74+"h_l!.`A"</f>
        <v>#VALUE!</v>
      </c>
      <c r="S237" t="e">
        <f>'Compiled Agents'!D75+"h_l!.`B"</f>
        <v>#VALUE!</v>
      </c>
      <c r="T237" t="e">
        <f>'Compiled Agents'!D76+"h_l!.`C"</f>
        <v>#VALUE!</v>
      </c>
      <c r="U237" t="e">
        <f>'Compiled Agents'!D77+"h_l!.`D"</f>
        <v>#VALUE!</v>
      </c>
      <c r="V237" t="e">
        <f>'Compiled Agents'!D78+"h_l!.`E"</f>
        <v>#VALUE!</v>
      </c>
      <c r="W237" t="e">
        <f>'Compiled Agents'!D79+"h_l!.`F"</f>
        <v>#VALUE!</v>
      </c>
      <c r="X237" t="e">
        <f>'Compiled Agents'!D80+"h_l!.`G"</f>
        <v>#VALUE!</v>
      </c>
      <c r="Y237" t="e">
        <f>'Compiled Agents'!D81+"h_l!.`H"</f>
        <v>#VALUE!</v>
      </c>
      <c r="Z237" t="e">
        <f>'Compiled Agents'!D82+"h_l!.`I"</f>
        <v>#VALUE!</v>
      </c>
      <c r="AA237" t="e">
        <f>'Compiled Agents'!D83+"h_l!.`J"</f>
        <v>#VALUE!</v>
      </c>
      <c r="AB237" t="e">
        <f>'Compiled Agents'!D84+"h_l!.`K"</f>
        <v>#VALUE!</v>
      </c>
      <c r="AC237" t="e">
        <f>'Compiled Agents'!D85+"h_l!.`L"</f>
        <v>#VALUE!</v>
      </c>
      <c r="AD237" t="e">
        <f>'Compiled Agents'!D86+"h_l!.`M"</f>
        <v>#VALUE!</v>
      </c>
      <c r="AE237" t="e">
        <f>'Compiled Agents'!D87+"h_l!.`N"</f>
        <v>#VALUE!</v>
      </c>
      <c r="AF237" t="e">
        <f>'Compiled Agents'!D88+"h_l!.`O"</f>
        <v>#VALUE!</v>
      </c>
      <c r="AG237" t="e">
        <f>'Compiled Agents'!D89+"h_l!.`P"</f>
        <v>#VALUE!</v>
      </c>
      <c r="AH237" t="e">
        <f>'Compiled Agents'!D90+"h_l!.`Q"</f>
        <v>#VALUE!</v>
      </c>
      <c r="AI237" t="e">
        <f>'Compiled Agents'!D91+"h_l!.`R"</f>
        <v>#VALUE!</v>
      </c>
      <c r="AJ237" t="e">
        <f>'Compiled Agents'!D92+"h_l!.`S"</f>
        <v>#VALUE!</v>
      </c>
      <c r="AK237" t="e">
        <f>'Compiled Agents'!D93+"h_l!.`T"</f>
        <v>#VALUE!</v>
      </c>
      <c r="AL237" t="e">
        <f>'Compiled Agents'!D94+"h_l!.`U"</f>
        <v>#VALUE!</v>
      </c>
      <c r="AM237" t="e">
        <f>'Compiled Agents'!D95+"h_l!.`V"</f>
        <v>#VALUE!</v>
      </c>
      <c r="AN237" t="e">
        <f>'Compiled Agents'!D96+"h_l!.`W"</f>
        <v>#VALUE!</v>
      </c>
      <c r="AO237" t="e">
        <f>'Compiled Agents'!D97+"h_l!.`X"</f>
        <v>#VALUE!</v>
      </c>
      <c r="AP237" t="e">
        <f>'Compiled Agents'!D98+"h_l!.`Y"</f>
        <v>#VALUE!</v>
      </c>
      <c r="AQ237" t="e">
        <f>'Compiled Agents'!D99+"h_l!.`Z"</f>
        <v>#VALUE!</v>
      </c>
      <c r="AR237" t="e">
        <f>'Compiled Agents'!D100+"h_l!.`["</f>
        <v>#VALUE!</v>
      </c>
      <c r="AS237" t="e">
        <f>'Compiled Agents'!D101+"h_l!.`\"</f>
        <v>#VALUE!</v>
      </c>
      <c r="AT237" t="e">
        <f>'Compiled Agents'!D102+"h_l!.`]"</f>
        <v>#VALUE!</v>
      </c>
      <c r="AU237" t="e">
        <f>'Compiled Agents'!D103+"h_l!.`^"</f>
        <v>#VALUE!</v>
      </c>
      <c r="AV237" t="e">
        <f>'Compiled Agents'!D104+"h_l!.`_"</f>
        <v>#VALUE!</v>
      </c>
      <c r="AW237" t="e">
        <f>'Compiled Agents'!D105+"h_l!.``"</f>
        <v>#VALUE!</v>
      </c>
      <c r="AX237" t="e">
        <f>'Compiled Agents'!D106+"h_l!.`a"</f>
        <v>#VALUE!</v>
      </c>
      <c r="AY237" t="e">
        <f>'Compiled Agents'!D107+"h_l!.`b"</f>
        <v>#VALUE!</v>
      </c>
      <c r="AZ237" t="e">
        <f>'Compiled Agents'!D108+"h_l!.`c"</f>
        <v>#VALUE!</v>
      </c>
      <c r="BA237" t="e">
        <f>'Compiled Agents'!D109+"h_l!.`d"</f>
        <v>#VALUE!</v>
      </c>
      <c r="BB237" t="e">
        <f>'Compiled Agents'!D110+"h_l!.`e"</f>
        <v>#VALUE!</v>
      </c>
      <c r="BC237" t="e">
        <f>'Compiled Agents'!D111+"h_l!.`f"</f>
        <v>#VALUE!</v>
      </c>
      <c r="BD237" t="e">
        <f>'Compiled Agents'!D112+"h_l!.`g"</f>
        <v>#VALUE!</v>
      </c>
      <c r="BE237" t="e">
        <f>'Compiled Agents'!D113+"h_l!.`h"</f>
        <v>#VALUE!</v>
      </c>
      <c r="BF237" t="e">
        <f>'Compiled Agents'!D114+"h_l!.`i"</f>
        <v>#VALUE!</v>
      </c>
      <c r="BG237" t="e">
        <f>'Compiled Agents'!D115+"h_l!.`j"</f>
        <v>#VALUE!</v>
      </c>
      <c r="BH237" t="e">
        <f>'Compiled Agents'!D116+"h_l!.`k"</f>
        <v>#VALUE!</v>
      </c>
      <c r="BI237" t="e">
        <f>'Compiled Agents'!D117+"h_l!.`l"</f>
        <v>#VALUE!</v>
      </c>
      <c r="BJ237" t="e">
        <f>'Compiled Agents'!D118+"h_l!.`m"</f>
        <v>#VALUE!</v>
      </c>
      <c r="BK237" t="e">
        <f>'Compiled Agents'!D119+"h_l!.`n"</f>
        <v>#VALUE!</v>
      </c>
      <c r="BL237" t="e">
        <f>'Compiled Agents'!D120+"h_l!.`o"</f>
        <v>#VALUE!</v>
      </c>
      <c r="BM237" t="e">
        <f>'Compiled Agents'!D121+"h_l!.`p"</f>
        <v>#VALUE!</v>
      </c>
      <c r="BN237" t="e">
        <f>'Compiled Agents'!D122+"h_l!.`q"</f>
        <v>#VALUE!</v>
      </c>
      <c r="BO237" t="e">
        <f>'Compiled Agents'!D123+"h_l!.`r"</f>
        <v>#VALUE!</v>
      </c>
      <c r="BP237" t="e">
        <f>'Compiled Agents'!D124+"h_l!.`s"</f>
        <v>#VALUE!</v>
      </c>
      <c r="BQ237" t="e">
        <f>'Compiled Agents'!D125+"h_l!.`t"</f>
        <v>#VALUE!</v>
      </c>
      <c r="BR237" t="e">
        <f>'Compiled Agents'!D126+"h_l!.`u"</f>
        <v>#VALUE!</v>
      </c>
      <c r="BS237" t="e">
        <f>'Compiled Agents'!D127+"h_l!.`v"</f>
        <v>#VALUE!</v>
      </c>
      <c r="BT237" t="e">
        <f>'Compiled Agents'!D128+"h_l!.`w"</f>
        <v>#VALUE!</v>
      </c>
      <c r="BU237" t="e">
        <f>'Compiled Agents'!D129+"h_l!.`x"</f>
        <v>#VALUE!</v>
      </c>
      <c r="BV237" t="e">
        <f>'Compiled Agents'!D130+"h_l!.`y"</f>
        <v>#VALUE!</v>
      </c>
      <c r="BW237" t="e">
        <f>'Compiled Agents'!D131+"h_l!.`z"</f>
        <v>#VALUE!</v>
      </c>
      <c r="BX237" t="e">
        <f>'Compiled Agents'!D132+"h_l!.`{"</f>
        <v>#VALUE!</v>
      </c>
      <c r="BY237" t="e">
        <f>'Compiled Agents'!D133+"h_l!.`|"</f>
        <v>#VALUE!</v>
      </c>
      <c r="BZ237" t="e">
        <f>'Compiled Agents'!D134+"h_l!.`}"</f>
        <v>#VALUE!</v>
      </c>
      <c r="CA237" t="e">
        <f>'Compiled Agents'!D135+"h_l!.`~"</f>
        <v>#VALUE!</v>
      </c>
      <c r="CB237" t="e">
        <f>'Compiled Agents'!D136+"h_l!.a#"</f>
        <v>#VALUE!</v>
      </c>
      <c r="CC237" t="e">
        <f>'Compiled Agents'!D137+"h_l!.a$"</f>
        <v>#VALUE!</v>
      </c>
      <c r="CD237" t="e">
        <f>'Compiled Agents'!D138+"h_l!.a%"</f>
        <v>#VALUE!</v>
      </c>
      <c r="CE237" t="e">
        <f>'Compiled Agents'!D139+"h_l!.a&amp;"</f>
        <v>#VALUE!</v>
      </c>
      <c r="CF237" t="e">
        <f>'Compiled Agents'!D140+"h_l!.a'"</f>
        <v>#VALUE!</v>
      </c>
      <c r="CG237" t="e">
        <f>'Compiled Agents'!D141+"h_l!.a("</f>
        <v>#VALUE!</v>
      </c>
      <c r="CH237" t="e">
        <f>'Compiled Agents'!D142+"h_l!.a)"</f>
        <v>#VALUE!</v>
      </c>
      <c r="CI237" t="e">
        <f>'Compiled Agents'!D143+"h_l!.a."</f>
        <v>#VALUE!</v>
      </c>
      <c r="CJ237" t="e">
        <f>'Compiled Agents'!D144+"h_l!.a/"</f>
        <v>#VALUE!</v>
      </c>
      <c r="CK237" t="e">
        <f>'Compiled Agents'!D145+"h_l!.a0"</f>
        <v>#VALUE!</v>
      </c>
      <c r="CL237" t="e">
        <f>'Compiled Agents'!D146+"h_l!.a1"</f>
        <v>#VALUE!</v>
      </c>
      <c r="CM237" t="e">
        <f>'Compiled Agents'!D147+"h_l!.a2"</f>
        <v>#VALUE!</v>
      </c>
      <c r="CN237" t="e">
        <f>'Compiled Agents'!D148+"h_l!.a3"</f>
        <v>#VALUE!</v>
      </c>
      <c r="CO237" t="e">
        <f>'Compiled Agents'!D149+"h_l!.a4"</f>
        <v>#VALUE!</v>
      </c>
      <c r="CP237" t="e">
        <f>'Compiled Agents'!D150+"h_l!.a5"</f>
        <v>#VALUE!</v>
      </c>
      <c r="CQ237" t="e">
        <f>'Compiled Agents'!D151+"h_l!.a6"</f>
        <v>#VALUE!</v>
      </c>
      <c r="CR237" t="e">
        <f>'Compiled Agents'!D152+"h_l!.a7"</f>
        <v>#VALUE!</v>
      </c>
      <c r="CS237" t="e">
        <f>'Compiled Agents'!D153+"h_l!.a8"</f>
        <v>#VALUE!</v>
      </c>
      <c r="CT237" t="e">
        <f>'Compiled Agents'!D154+"h_l!.a9"</f>
        <v>#VALUE!</v>
      </c>
      <c r="CU237" t="e">
        <f>'Compiled Agents'!D155+"h_l!.a:"</f>
        <v>#VALUE!</v>
      </c>
      <c r="CV237" t="e">
        <f>'Compiled Agents'!D156+"h_l!.a;"</f>
        <v>#VALUE!</v>
      </c>
      <c r="CW237" t="e">
        <f>'Compiled Agents'!D157+"h_l!.a&lt;"</f>
        <v>#VALUE!</v>
      </c>
      <c r="CX237" t="e">
        <f>'Compiled Agents'!D158+"h_l!.a="</f>
        <v>#VALUE!</v>
      </c>
      <c r="CY237" t="e">
        <f>'Compiled Agents'!D159+"h_l!.a&gt;"</f>
        <v>#VALUE!</v>
      </c>
      <c r="CZ237" t="e">
        <f>'Compiled Agents'!D160+"h_l!.a?"</f>
        <v>#VALUE!</v>
      </c>
      <c r="DA237" t="e">
        <f>'Compiled Agents'!D161+"h_l!.a@"</f>
        <v>#VALUE!</v>
      </c>
      <c r="DB237" t="e">
        <f>'Compiled Agents'!D162+"h_l!.aA"</f>
        <v>#VALUE!</v>
      </c>
      <c r="DC237" t="e">
        <f>'Compiled Agents'!D163+"h_l!.aB"</f>
        <v>#VALUE!</v>
      </c>
      <c r="DD237" t="e">
        <f>'Compiled Agents'!D164+"h_l!.aC"</f>
        <v>#VALUE!</v>
      </c>
      <c r="DE237" t="e">
        <f>'Compiled Agents'!D165+"h_l!.aD"</f>
        <v>#VALUE!</v>
      </c>
      <c r="DF237" t="e">
        <f>'Compiled Agents'!D166+"h_l!.aE"</f>
        <v>#VALUE!</v>
      </c>
      <c r="DG237" t="e">
        <f>'Compiled Agents'!D167+"h_l!.aF"</f>
        <v>#VALUE!</v>
      </c>
      <c r="DH237" t="e">
        <f>'Compiled Agents'!D168+"h_l!.aG"</f>
        <v>#VALUE!</v>
      </c>
      <c r="DI237" t="e">
        <f>'Compiled Agents'!D169+"h_l!.aH"</f>
        <v>#VALUE!</v>
      </c>
      <c r="DJ237" t="e">
        <f>'Compiled Agents'!D170+"h_l!.aI"</f>
        <v>#VALUE!</v>
      </c>
      <c r="DK237" t="e">
        <f>'Compiled Agents'!D171+"h_l!.aJ"</f>
        <v>#VALUE!</v>
      </c>
      <c r="DL237" t="e">
        <f>'Compiled Agents'!D172+"h_l!.aK"</f>
        <v>#VALUE!</v>
      </c>
      <c r="DM237" t="e">
        <f>'Compiled Agents'!D173+"h_l!.aL"</f>
        <v>#VALUE!</v>
      </c>
      <c r="DN237" t="e">
        <f>'Compiled Agents'!D174+"h_l!.aM"</f>
        <v>#VALUE!</v>
      </c>
      <c r="DO237" t="e">
        <f>'Compiled Agents'!D175+"h_l!.aN"</f>
        <v>#VALUE!</v>
      </c>
      <c r="DP237" t="e">
        <f>'Compiled Agents'!D176+"h_l!.aO"</f>
        <v>#VALUE!</v>
      </c>
      <c r="DQ237" t="e">
        <f>'Compiled Agents'!D177+"h_l!.aP"</f>
        <v>#VALUE!</v>
      </c>
      <c r="DR237" t="e">
        <f>'Compiled Agents'!D178+"h_l!.aQ"</f>
        <v>#VALUE!</v>
      </c>
      <c r="DS237" t="e">
        <f>'Compiled Agents'!D179+"h_l!.aR"</f>
        <v>#VALUE!</v>
      </c>
      <c r="DT237" t="e">
        <f>'Compiled Agents'!D180+"h_l!.aS"</f>
        <v>#VALUE!</v>
      </c>
      <c r="DU237" t="e">
        <f>'Compiled Agents'!D181+"h_l!.aT"</f>
        <v>#VALUE!</v>
      </c>
      <c r="DV237" t="e">
        <f>'Compiled Agents'!D182+"h_l!.aU"</f>
        <v>#VALUE!</v>
      </c>
      <c r="DW237" t="e">
        <f>'Compiled Agents'!D183+"h_l!.aV"</f>
        <v>#VALUE!</v>
      </c>
      <c r="DX237" t="e">
        <f>'Compiled Agents'!D184+"h_l!.aW"</f>
        <v>#VALUE!</v>
      </c>
      <c r="DY237" t="e">
        <f>'Compiled Agents'!D185+"h_l!.aX"</f>
        <v>#VALUE!</v>
      </c>
      <c r="DZ237" t="e">
        <f>'Compiled Agents'!D186+"h_l!.aY"</f>
        <v>#VALUE!</v>
      </c>
      <c r="EA237" t="e">
        <f>'Compiled Agents'!D187+"h_l!.aZ"</f>
        <v>#VALUE!</v>
      </c>
      <c r="EB237" t="e">
        <f>'Compiled Agents'!D188+"h_l!.a["</f>
        <v>#VALUE!</v>
      </c>
      <c r="EC237" t="e">
        <f>'Compiled Agents'!D189+"h_l!.a\"</f>
        <v>#VALUE!</v>
      </c>
      <c r="ED237" t="e">
        <f>'Compiled Agents'!D190+"h_l!.a]"</f>
        <v>#VALUE!</v>
      </c>
      <c r="EE237" t="e">
        <f>'Compiled Agents'!D191+"h_l!.a^"</f>
        <v>#VALUE!</v>
      </c>
      <c r="EF237" t="e">
        <f>'Compiled Agents'!D192+"h_l!.a_"</f>
        <v>#VALUE!</v>
      </c>
      <c r="EG237" t="e">
        <f>'Compiled Agents'!D193+"h_l!.a`"</f>
        <v>#VALUE!</v>
      </c>
      <c r="EH237" t="e">
        <f>'Compiled Agents'!D194+"h_l!.aa"</f>
        <v>#VALUE!</v>
      </c>
      <c r="EI237" t="e">
        <f>'Compiled Agents'!D195+"h_l!.ab"</f>
        <v>#VALUE!</v>
      </c>
      <c r="EJ237" t="e">
        <f>'Compiled Agents'!D196+"h_l!.ac"</f>
        <v>#VALUE!</v>
      </c>
      <c r="EK237" t="e">
        <f>'Compiled Agents'!D197+"h_l!.ad"</f>
        <v>#VALUE!</v>
      </c>
      <c r="EL237" t="e">
        <f>'Compiled Agents'!D198+"h_l!.ae"</f>
        <v>#VALUE!</v>
      </c>
      <c r="EM237" t="e">
        <f>'Compiled Agents'!D199+"h_l!.af"</f>
        <v>#VALUE!</v>
      </c>
      <c r="EN237" t="e">
        <f>'Compiled Agents'!D200+"h_l!.ag"</f>
        <v>#VALUE!</v>
      </c>
      <c r="EO237" t="e">
        <f>'Compiled Agents'!D201+"h_l!.ah"</f>
        <v>#VALUE!</v>
      </c>
      <c r="EP237" t="e">
        <f>'Compiled Agents'!D202+"h_l!.ai"</f>
        <v>#VALUE!</v>
      </c>
      <c r="EQ237" t="e">
        <f>'Compiled Agents'!D203+"h_l!.aj"</f>
        <v>#VALUE!</v>
      </c>
      <c r="ER237" t="e">
        <f>'Compiled Agents'!D204+"h_l!.ak"</f>
        <v>#VALUE!</v>
      </c>
      <c r="ES237" t="e">
        <f>'Compiled Agents'!D205+"h_l!.al"</f>
        <v>#VALUE!</v>
      </c>
      <c r="ET237" t="e">
        <f>'Compiled Agents'!D206+"h_l!.am"</f>
        <v>#VALUE!</v>
      </c>
      <c r="EU237" t="e">
        <f>'Compiled Agents'!D207+"h_l!.an"</f>
        <v>#VALUE!</v>
      </c>
      <c r="EV237" t="e">
        <f>'Compiled Agents'!D208+"h_l!.ao"</f>
        <v>#VALUE!</v>
      </c>
      <c r="EW237" t="e">
        <f>'Compiled Agents'!D209+"h_l!.ap"</f>
        <v>#VALUE!</v>
      </c>
      <c r="EX237" t="e">
        <f>'Compiled Agents'!D210+"h_l!.aq"</f>
        <v>#VALUE!</v>
      </c>
      <c r="EY237" t="e">
        <f>'Compiled Agents'!D211+"h_l!.ar"</f>
        <v>#VALUE!</v>
      </c>
      <c r="EZ237" t="e">
        <f>'Compiled Agents'!D212+"h_l!.as"</f>
        <v>#VALUE!</v>
      </c>
      <c r="FA237" t="e">
        <f>'Compiled Agents'!D213+"h_l!.at"</f>
        <v>#VALUE!</v>
      </c>
      <c r="FB237" t="e">
        <f>'Compiled Agents'!D214+"h_l!.au"</f>
        <v>#VALUE!</v>
      </c>
      <c r="FC237" t="e">
        <f>'Compiled Agents'!D215+"h_l!.av"</f>
        <v>#VALUE!</v>
      </c>
      <c r="FD237" t="e">
        <f>'Compiled Agents'!D216+"h_l!.aw"</f>
        <v>#VALUE!</v>
      </c>
      <c r="FE237" t="e">
        <f>'Compiled Agents'!D217+"h_l!.ax"</f>
        <v>#VALUE!</v>
      </c>
      <c r="FF237" t="e">
        <f>'Compiled Agents'!D218+"h_l!.ay"</f>
        <v>#VALUE!</v>
      </c>
      <c r="FG237" t="e">
        <f>'Compiled Agents'!D219+"h_l!.az"</f>
        <v>#VALUE!</v>
      </c>
      <c r="FH237" t="e">
        <f>'Compiled Agents'!D220+"h_l!.a{"</f>
        <v>#VALUE!</v>
      </c>
      <c r="FI237" t="e">
        <f>'Compiled Agents'!D221+"h_l!.a|"</f>
        <v>#VALUE!</v>
      </c>
      <c r="FJ237" t="e">
        <f>'Compiled Agents'!D222+"h_l!.a}"</f>
        <v>#VALUE!</v>
      </c>
      <c r="FK237" t="e">
        <f>'Compiled Agents'!D223+"h_l!.a~"</f>
        <v>#VALUE!</v>
      </c>
      <c r="FL237" t="e">
        <f>'Compiled Agents'!D224+"h_l!.b#"</f>
        <v>#VALUE!</v>
      </c>
      <c r="FM237" t="e">
        <f>'Compiled Agents'!D225+"h_l!.b$"</f>
        <v>#VALUE!</v>
      </c>
      <c r="FN237" t="e">
        <f>'Compiled Agents'!D226+"h_l!.b%"</f>
        <v>#VALUE!</v>
      </c>
      <c r="FO237" t="e">
        <f>'Compiled Agents'!D227+"h_l!.b&amp;"</f>
        <v>#VALUE!</v>
      </c>
      <c r="FP237" t="e">
        <f>'Compiled Agents'!D228+"h_l!.b'"</f>
        <v>#VALUE!</v>
      </c>
      <c r="FQ237" t="e">
        <f>'Compiled Agents'!D229+"h_l!.b("</f>
        <v>#VALUE!</v>
      </c>
      <c r="FR237" t="e">
        <f>'Compiled Agents'!D230+"h_l!.b)"</f>
        <v>#VALUE!</v>
      </c>
      <c r="FS237" t="e">
        <f>'Compiled Agents'!D231+"h_l!.b."</f>
        <v>#VALUE!</v>
      </c>
      <c r="FT237" t="e">
        <f>'Compiled Agents'!D232+"h_l!.b/"</f>
        <v>#VALUE!</v>
      </c>
      <c r="FU237" t="e">
        <f>'Compiled Agents'!D233+"h_l!.b0"</f>
        <v>#VALUE!</v>
      </c>
      <c r="FV237" t="e">
        <f>'Compiled Agents'!D234+"h_l!.b1"</f>
        <v>#VALUE!</v>
      </c>
      <c r="FW237" t="e">
        <f>'Compiled Agents'!D235+"h_l!.b2"</f>
        <v>#VALUE!</v>
      </c>
      <c r="FX237" t="e">
        <f>'Compiled Agents'!D236+"h_l!.b3"</f>
        <v>#VALUE!</v>
      </c>
      <c r="FY237" t="e">
        <f>'Compiled Agents'!D237+"h_l!.b4"</f>
        <v>#VALUE!</v>
      </c>
      <c r="FZ237" t="e">
        <f>'Compiled Agents'!D238+"h_l!.b5"</f>
        <v>#VALUE!</v>
      </c>
      <c r="GA237" t="e">
        <f>'Compiled Agents'!D239+"h_l!.b6"</f>
        <v>#VALUE!</v>
      </c>
      <c r="GB237" t="e">
        <f>'Compiled Agents'!D240+"h_l!.b7"</f>
        <v>#VALUE!</v>
      </c>
      <c r="GC237" t="e">
        <f>'Compiled Agents'!D241+"h_l!.b8"</f>
        <v>#VALUE!</v>
      </c>
      <c r="GD237" t="e">
        <f>'Compiled Agents'!D242+"h_l!.b9"</f>
        <v>#VALUE!</v>
      </c>
      <c r="GE237" t="e">
        <f>'Compiled Agents'!D243+"h_l!.b:"</f>
        <v>#VALUE!</v>
      </c>
      <c r="GF237" t="e">
        <f>'Compiled Agents'!D244+"h_l!.b;"</f>
        <v>#VALUE!</v>
      </c>
      <c r="GG237" t="e">
        <f>'Compiled Agents'!D245+"h_l!.b&lt;"</f>
        <v>#VALUE!</v>
      </c>
      <c r="GH237" t="e">
        <f>'Compiled Agents'!D246+"h_l!.b="</f>
        <v>#VALUE!</v>
      </c>
      <c r="GI237" t="e">
        <f>'Compiled Agents'!D247+"h_l!.b&gt;"</f>
        <v>#VALUE!</v>
      </c>
      <c r="GJ237" t="e">
        <f>'Compiled Agents'!D248+"h_l!.b?"</f>
        <v>#VALUE!</v>
      </c>
      <c r="GK237" t="e">
        <f>'Compiled Agents'!D249+"h_l!.b@"</f>
        <v>#VALUE!</v>
      </c>
      <c r="GL237" t="e">
        <f>'Compiled Agents'!D250+"h_l!.bA"</f>
        <v>#VALUE!</v>
      </c>
      <c r="GM237" t="e">
        <f>'Compiled Agents'!D251+"h_l!.bB"</f>
        <v>#VALUE!</v>
      </c>
      <c r="GN237" t="e">
        <f>'Compiled Agents'!D252+"h_l!.bC"</f>
        <v>#VALUE!</v>
      </c>
      <c r="GO237" t="e">
        <f>'Compiled Agents'!D253+"h_l!.bD"</f>
        <v>#VALUE!</v>
      </c>
      <c r="GP237" t="e">
        <f>'Compiled Agents'!D254+"h_l!.bE"</f>
        <v>#VALUE!</v>
      </c>
      <c r="GQ237" t="e">
        <f>'Compiled Agents'!D255+"h_l!.bF"</f>
        <v>#VALUE!</v>
      </c>
      <c r="GR237" t="e">
        <f>'Compiled Agents'!D256+"h_l!.bG"</f>
        <v>#VALUE!</v>
      </c>
      <c r="GS237" t="e">
        <f>'Compiled Agents'!D257+"h_l!.bH"</f>
        <v>#VALUE!</v>
      </c>
      <c r="GT237" t="e">
        <f>'Compiled Agents'!D258+"h_l!.bI"</f>
        <v>#VALUE!</v>
      </c>
      <c r="GU237" t="e">
        <f>'Compiled Agents'!D259+"h_l!.bJ"</f>
        <v>#VALUE!</v>
      </c>
      <c r="GV237" t="e">
        <f>'Compiled Agents'!D260+"h_l!.bK"</f>
        <v>#VALUE!</v>
      </c>
      <c r="GW237" t="e">
        <f>'Compiled Agents'!D261+"h_l!.bL"</f>
        <v>#VALUE!</v>
      </c>
      <c r="GX237" t="e">
        <f>'Compiled Agents'!D262+"h_l!.bM"</f>
        <v>#VALUE!</v>
      </c>
      <c r="GY237" t="e">
        <f>'Compiled Agents'!D263+"h_l!.bN"</f>
        <v>#VALUE!</v>
      </c>
      <c r="GZ237" t="e">
        <f>'Compiled Agents'!D264+"h_l!.bO"</f>
        <v>#VALUE!</v>
      </c>
      <c r="HA237" t="e">
        <f>'Compiled Agents'!D265+"h_l!.bP"</f>
        <v>#VALUE!</v>
      </c>
      <c r="HB237" t="e">
        <f>'Compiled Agents'!D266+"h_l!.bQ"</f>
        <v>#VALUE!</v>
      </c>
      <c r="HC237" t="e">
        <f>'Compiled Agents'!D267+"h_l!.bR"</f>
        <v>#VALUE!</v>
      </c>
      <c r="HD237" t="e">
        <f>'Compiled Agents'!D268+"h_l!.bS"</f>
        <v>#VALUE!</v>
      </c>
      <c r="HE237" t="e">
        <f>'Compiled Agents'!D269+"h_l!.bT"</f>
        <v>#VALUE!</v>
      </c>
      <c r="HF237" t="e">
        <f>'Compiled Agents'!D270+"h_l!.bU"</f>
        <v>#VALUE!</v>
      </c>
      <c r="HG237" t="e">
        <f>'Compiled Agents'!D271+"h_l!.bV"</f>
        <v>#VALUE!</v>
      </c>
      <c r="HH237" t="e">
        <f>'Compiled Agents'!D272+"h_l!.bW"</f>
        <v>#VALUE!</v>
      </c>
      <c r="HI237" t="e">
        <f>'Compiled Agents'!D273+"h_l!.bX"</f>
        <v>#VALUE!</v>
      </c>
      <c r="HJ237" t="e">
        <f>'Compiled Agents'!D274+"h_l!.bY"</f>
        <v>#VALUE!</v>
      </c>
      <c r="HK237" t="e">
        <f>'Compiled Agents'!D275+"h_l!.bZ"</f>
        <v>#VALUE!</v>
      </c>
      <c r="HL237" t="e">
        <f>'Compiled Agents'!D276+"h_l!.b["</f>
        <v>#VALUE!</v>
      </c>
      <c r="HM237" t="e">
        <f>'Compiled Agents'!D277+"h_l!.b\"</f>
        <v>#VALUE!</v>
      </c>
      <c r="HN237" t="e">
        <f>'Compiled Agents'!D278+"h_l!.b]"</f>
        <v>#VALUE!</v>
      </c>
      <c r="HO237" t="e">
        <f>'Compiled Agents'!D279+"h_l!.b^"</f>
        <v>#VALUE!</v>
      </c>
      <c r="HP237" t="e">
        <f>'Compiled Agents'!D280+"h_l!.b_"</f>
        <v>#VALUE!</v>
      </c>
      <c r="HQ237" t="e">
        <f>'Compiled Agents'!D281+"h_l!.b`"</f>
        <v>#VALUE!</v>
      </c>
      <c r="HR237" t="e">
        <f>'Compiled Agents'!D282+"h_l!.ba"</f>
        <v>#VALUE!</v>
      </c>
      <c r="HS237" t="e">
        <f>'Compiled Agents'!D283+"h_l!.bb"</f>
        <v>#VALUE!</v>
      </c>
      <c r="HT237" t="e">
        <f>'Compiled Agents'!D284+"h_l!.bc"</f>
        <v>#VALUE!</v>
      </c>
      <c r="HU237" t="e">
        <f>'Compiled Agents'!D285+"h_l!.bd"</f>
        <v>#VALUE!</v>
      </c>
      <c r="HV237" t="e">
        <f>'Compiled Agents'!D286+"h_l!.be"</f>
        <v>#VALUE!</v>
      </c>
      <c r="HW237" t="e">
        <f>'Compiled Agents'!D287+"h_l!.bf"</f>
        <v>#VALUE!</v>
      </c>
      <c r="HX237" t="e">
        <f>'Compiled Agents'!D288+"h_l!.bg"</f>
        <v>#VALUE!</v>
      </c>
      <c r="HY237" t="e">
        <f>'Compiled Agents'!D289+"h_l!.bh"</f>
        <v>#VALUE!</v>
      </c>
      <c r="HZ237" t="e">
        <f>'Compiled Agents'!D290+"h_l!.bi"</f>
        <v>#VALUE!</v>
      </c>
      <c r="IA237" t="e">
        <f>'Compiled Agents'!D291+"h_l!.bj"</f>
        <v>#VALUE!</v>
      </c>
      <c r="IB237" t="e">
        <f>'Compiled Agents'!D292+"h_l!.bk"</f>
        <v>#VALUE!</v>
      </c>
      <c r="IC237" t="e">
        <f>'Compiled Agents'!D293+"h_l!.bl"</f>
        <v>#VALUE!</v>
      </c>
      <c r="ID237" t="e">
        <f>'Compiled Agents'!D294+"h_l!.bm"</f>
        <v>#VALUE!</v>
      </c>
      <c r="IE237" t="e">
        <f>'Compiled Agents'!D295+"h_l!.bn"</f>
        <v>#VALUE!</v>
      </c>
      <c r="IF237" t="e">
        <f>'Compiled Agents'!D296+"h_l!.bo"</f>
        <v>#VALUE!</v>
      </c>
      <c r="IG237" t="e">
        <f>'Compiled Agents'!D297+"h_l!.bp"</f>
        <v>#VALUE!</v>
      </c>
      <c r="IH237" t="e">
        <f>'Compiled Agents'!D298+"h_l!.bq"</f>
        <v>#VALUE!</v>
      </c>
      <c r="II237" t="e">
        <f>'Compiled Agents'!D299+"h_l!.br"</f>
        <v>#VALUE!</v>
      </c>
      <c r="IJ237" t="e">
        <f>'Compiled Agents'!D300+"h_l!.bs"</f>
        <v>#VALUE!</v>
      </c>
      <c r="IK237" t="e">
        <f>'Compiled Agents'!D301+"h_l!.bt"</f>
        <v>#VALUE!</v>
      </c>
      <c r="IL237" t="e">
        <f>'Compiled Agents'!D302+"h_l!.bu"</f>
        <v>#VALUE!</v>
      </c>
      <c r="IM237" t="e">
        <f>'Compiled Agents'!D303+"h_l!.bv"</f>
        <v>#VALUE!</v>
      </c>
      <c r="IN237" t="e">
        <f>'Compiled Agents'!D304+"h_l!.bw"</f>
        <v>#VALUE!</v>
      </c>
      <c r="IO237" t="e">
        <f>'Compiled Agents'!D305+"h_l!.bx"</f>
        <v>#VALUE!</v>
      </c>
      <c r="IP237" t="e">
        <f>'Compiled Agents'!D306+"h_l!.by"</f>
        <v>#VALUE!</v>
      </c>
      <c r="IQ237" t="e">
        <f>'Compiled Agents'!D307+"h_l!.bz"</f>
        <v>#VALUE!</v>
      </c>
      <c r="IR237" t="e">
        <f>'Compiled Agents'!D308+"h_l!.b{"</f>
        <v>#VALUE!</v>
      </c>
      <c r="IS237" t="e">
        <f>'Compiled Agents'!D309+"h_l!.b|"</f>
        <v>#VALUE!</v>
      </c>
      <c r="IT237" t="e">
        <f>'Compiled Agents'!D310+"h_l!.b}"</f>
        <v>#VALUE!</v>
      </c>
      <c r="IU237" t="e">
        <f>'Compiled Agents'!D311+"h_l!.b~"</f>
        <v>#VALUE!</v>
      </c>
      <c r="IV237" t="e">
        <f>'Compiled Agents'!D312+"h_l!.c#"</f>
        <v>#VALUE!</v>
      </c>
    </row>
    <row r="238" spans="6:256" x14ac:dyDescent="0.25">
      <c r="F238" t="e">
        <f>'Compiled Agents'!D313+"h_l!.c$"</f>
        <v>#VALUE!</v>
      </c>
      <c r="G238" t="e">
        <f>'Compiled Agents'!D314+"h_l!.c%"</f>
        <v>#VALUE!</v>
      </c>
      <c r="H238" t="e">
        <f>'Compiled Agents'!D315+"h_l!.c&amp;"</f>
        <v>#VALUE!</v>
      </c>
      <c r="I238" t="e">
        <f>'Compiled Agents'!D316+"h_l!.c'"</f>
        <v>#VALUE!</v>
      </c>
      <c r="J238" t="e">
        <f>'Compiled Agents'!D317+"h_l!.c("</f>
        <v>#VALUE!</v>
      </c>
      <c r="K238" t="e">
        <f>'Compiled Agents'!D318+"h_l!.c)"</f>
        <v>#VALUE!</v>
      </c>
      <c r="L238" t="e">
        <f>'Compiled Agents'!D319+"h_l!.c."</f>
        <v>#VALUE!</v>
      </c>
      <c r="M238" t="e">
        <f>'Compiled Agents'!D320+"h_l!.c/"</f>
        <v>#VALUE!</v>
      </c>
      <c r="N238" t="e">
        <f>'Compiled Agents'!D321+"h_l!.c0"</f>
        <v>#VALUE!</v>
      </c>
      <c r="O238" t="e">
        <f>'Compiled Agents'!D322+"h_l!.c1"</f>
        <v>#VALUE!</v>
      </c>
      <c r="P238" t="e">
        <f>'Compiled Agents'!D323+"h_l!.c2"</f>
        <v>#VALUE!</v>
      </c>
      <c r="Q238" t="e">
        <f>'Compiled Agents'!D324+"h_l!.c3"</f>
        <v>#VALUE!</v>
      </c>
      <c r="R238" t="e">
        <f>'Compiled Agents'!D325+"h_l!.c4"</f>
        <v>#VALUE!</v>
      </c>
      <c r="S238" t="e">
        <f>'Compiled Agents'!D326+"h_l!.c5"</f>
        <v>#VALUE!</v>
      </c>
      <c r="T238" t="e">
        <f>'Compiled Agents'!D327+"h_l!.c6"</f>
        <v>#VALUE!</v>
      </c>
      <c r="U238" t="e">
        <f>'Compiled Agents'!D328+"h_l!.c7"</f>
        <v>#VALUE!</v>
      </c>
      <c r="V238" t="e">
        <f>'Compiled Agents'!D329+"h_l!.c8"</f>
        <v>#VALUE!</v>
      </c>
      <c r="W238" t="e">
        <f>'Compiled Agents'!D330+"h_l!.c9"</f>
        <v>#VALUE!</v>
      </c>
      <c r="X238" t="e">
        <f>'Compiled Agents'!D331+"h_l!.c:"</f>
        <v>#VALUE!</v>
      </c>
      <c r="Y238" t="e">
        <f>'Compiled Agents'!D332+"h_l!.c;"</f>
        <v>#VALUE!</v>
      </c>
      <c r="Z238" t="e">
        <f>'Compiled Agents'!D333+"h_l!.c&lt;"</f>
        <v>#VALUE!</v>
      </c>
      <c r="AA238" t="e">
        <f>'Compiled Agents'!D334+"h_l!.c="</f>
        <v>#VALUE!</v>
      </c>
      <c r="AB238" t="e">
        <f>'Compiled Agents'!D335+"h_l!.c&gt;"</f>
        <v>#VALUE!</v>
      </c>
      <c r="AC238" t="e">
        <f>'Compiled Agents'!D336+"h_l!.c?"</f>
        <v>#VALUE!</v>
      </c>
      <c r="AD238" t="e">
        <f>'Compiled Agents'!D337+"h_l!.c@"</f>
        <v>#VALUE!</v>
      </c>
      <c r="AE238" t="e">
        <f>'Compiled Agents'!D338+"h_l!.cA"</f>
        <v>#VALUE!</v>
      </c>
      <c r="AF238" t="e">
        <f>'Compiled Agents'!D339+"h_l!.cB"</f>
        <v>#VALUE!</v>
      </c>
      <c r="AG238" t="e">
        <f>'Compiled Agents'!D340+"h_l!.cC"</f>
        <v>#VALUE!</v>
      </c>
      <c r="AH238" t="e">
        <f>'Compiled Agents'!D341+"h_l!.cD"</f>
        <v>#VALUE!</v>
      </c>
      <c r="AI238" t="e">
        <f>'Compiled Agents'!D342+"h_l!.cE"</f>
        <v>#VALUE!</v>
      </c>
      <c r="AJ238" t="e">
        <f>'Compiled Agents'!D343+"h_l!.cF"</f>
        <v>#VALUE!</v>
      </c>
      <c r="AK238" t="e">
        <f>'Compiled Agents'!D344+"h_l!.cG"</f>
        <v>#VALUE!</v>
      </c>
      <c r="AL238" t="e">
        <f>'Compiled Agents'!D345+"h_l!.cH"</f>
        <v>#VALUE!</v>
      </c>
      <c r="AM238" t="e">
        <f>'Compiled Agents'!D346+"h_l!.cI"</f>
        <v>#VALUE!</v>
      </c>
      <c r="AN238" t="e">
        <f>'Compiled Agents'!D347+"h_l!.cJ"</f>
        <v>#VALUE!</v>
      </c>
      <c r="AO238" t="e">
        <f>'Compiled Agents'!D348+"h_l!.cK"</f>
        <v>#VALUE!</v>
      </c>
      <c r="AP238" t="e">
        <f>'Compiled Agents'!D349+"h_l!.cL"</f>
        <v>#VALUE!</v>
      </c>
      <c r="AQ238" t="e">
        <f>'Compiled Agents'!D350+"h_l!.cM"</f>
        <v>#VALUE!</v>
      </c>
      <c r="AR238" t="e">
        <f>'Compiled Agents'!D351+"h_l!.cN"</f>
        <v>#VALUE!</v>
      </c>
      <c r="AS238" t="e">
        <f>'Compiled Agents'!D352+"h_l!.cO"</f>
        <v>#VALUE!</v>
      </c>
      <c r="AT238" t="e">
        <f>'Compiled Agents'!D353+"h_l!.cP"</f>
        <v>#VALUE!</v>
      </c>
      <c r="AU238" t="e">
        <f>'Compiled Agents'!D354+"h_l!.cQ"</f>
        <v>#VALUE!</v>
      </c>
      <c r="AV238" t="e">
        <f>'Compiled Agents'!D355+"h_l!.cR"</f>
        <v>#VALUE!</v>
      </c>
      <c r="AW238" t="e">
        <f>'Compiled Agents'!D356+"h_l!.cS"</f>
        <v>#VALUE!</v>
      </c>
      <c r="AX238" t="e">
        <f>'Compiled Agents'!D357+"h_l!.cT"</f>
        <v>#VALUE!</v>
      </c>
      <c r="AY238" t="e">
        <f>'Compiled Agents'!D358+"h_l!.cU"</f>
        <v>#VALUE!</v>
      </c>
      <c r="AZ238" t="e">
        <f>'Compiled Agents'!D359+"h_l!.cV"</f>
        <v>#VALUE!</v>
      </c>
      <c r="BA238" t="e">
        <f>'Compiled Agents'!D360+"h_l!.cW"</f>
        <v>#VALUE!</v>
      </c>
      <c r="BB238" t="e">
        <f>'Compiled Agents'!D361+"h_l!.cX"</f>
        <v>#VALUE!</v>
      </c>
      <c r="BC238" t="e">
        <f>'Compiled Agents'!D362+"h_l!.cY"</f>
        <v>#VALUE!</v>
      </c>
      <c r="BD238" t="e">
        <f>'Compiled Agents'!D363+"h_l!.cZ"</f>
        <v>#VALUE!</v>
      </c>
      <c r="BE238" t="e">
        <f>'Compiled Agents'!D364+"h_l!.c["</f>
        <v>#VALUE!</v>
      </c>
      <c r="BF238" t="e">
        <f>'Compiled Agents'!D365+"h_l!.c\"</f>
        <v>#VALUE!</v>
      </c>
      <c r="BG238" t="e">
        <f>'Compiled Agents'!D366+"h_l!.c]"</f>
        <v>#VALUE!</v>
      </c>
      <c r="BH238" t="e">
        <f>'Compiled Agents'!D367+"h_l!.c^"</f>
        <v>#VALUE!</v>
      </c>
      <c r="BI238" t="e">
        <f>'Compiled Agents'!D368+"h_l!.c_"</f>
        <v>#VALUE!</v>
      </c>
      <c r="BJ238" t="e">
        <f>'Compiled Agents'!D369+"h_l!.c`"</f>
        <v>#VALUE!</v>
      </c>
      <c r="BK238" t="e">
        <f>'Compiled Agents'!D370+"h_l!.ca"</f>
        <v>#VALUE!</v>
      </c>
      <c r="BL238" t="e">
        <f>'Compiled Agents'!D371+"h_l!.cb"</f>
        <v>#VALUE!</v>
      </c>
      <c r="BM238" t="e">
        <f>'Compiled Agents'!D372+"h_l!.cc"</f>
        <v>#VALUE!</v>
      </c>
      <c r="BN238" t="e">
        <f>'Compiled Agents'!D373+"h_l!.cd"</f>
        <v>#VALUE!</v>
      </c>
      <c r="BO238" t="e">
        <f>'Compiled Agents'!D374+"h_l!.ce"</f>
        <v>#VALUE!</v>
      </c>
      <c r="BP238" t="e">
        <f>'Compiled Agents'!D375+"h_l!.cf"</f>
        <v>#VALUE!</v>
      </c>
      <c r="BQ238" t="e">
        <f>'Compiled Agents'!D376+"h_l!.cg"</f>
        <v>#VALUE!</v>
      </c>
      <c r="BR238" t="e">
        <f>'Compiled Agents'!D377+"h_l!.ch"</f>
        <v>#VALUE!</v>
      </c>
      <c r="BS238" t="e">
        <f>'Compiled Agents'!D378+"h_l!.ci"</f>
        <v>#VALUE!</v>
      </c>
      <c r="BT238" t="e">
        <f>'Compiled Agents'!D379+"h_l!.cj"</f>
        <v>#VALUE!</v>
      </c>
      <c r="BU238" t="e">
        <f>'Compiled Agents'!D380+"h_l!.ck"</f>
        <v>#VALUE!</v>
      </c>
      <c r="BV238" t="e">
        <f>'Compiled Agents'!D381+"h_l!.cl"</f>
        <v>#VALUE!</v>
      </c>
      <c r="BW238" t="e">
        <f>'Compiled Agents'!D382+"h_l!.cm"</f>
        <v>#VALUE!</v>
      </c>
      <c r="BX238" t="e">
        <f>'Compiled Agents'!D383+"h_l!.cn"</f>
        <v>#VALUE!</v>
      </c>
      <c r="BY238" t="e">
        <f>'Compiled Agents'!D384+"h_l!.co"</f>
        <v>#VALUE!</v>
      </c>
      <c r="BZ238" t="e">
        <f>'Compiled Agents'!D385+"h_l!.cp"</f>
        <v>#VALUE!</v>
      </c>
      <c r="CA238" t="e">
        <f>'Compiled Agents'!D386+"h_l!.cq"</f>
        <v>#VALUE!</v>
      </c>
      <c r="CB238" t="e">
        <f>'Compiled Agents'!D387+"h_l!.cr"</f>
        <v>#VALUE!</v>
      </c>
      <c r="CC238" t="e">
        <f>'Compiled Agents'!D388+"h_l!.cs"</f>
        <v>#VALUE!</v>
      </c>
      <c r="CD238" t="e">
        <f>'Compiled Agents'!D389+"h_l!.ct"</f>
        <v>#VALUE!</v>
      </c>
      <c r="CE238" t="e">
        <f>'Compiled Agents'!D390+"h_l!.cu"</f>
        <v>#VALUE!</v>
      </c>
      <c r="CF238" t="e">
        <f>'Compiled Agents'!D391+"h_l!.cv"</f>
        <v>#VALUE!</v>
      </c>
      <c r="CG238" t="e">
        <f>'Compiled Agents'!D392+"h_l!.cw"</f>
        <v>#VALUE!</v>
      </c>
      <c r="CH238" t="e">
        <f>'Compiled Agents'!D393+"h_l!.cx"</f>
        <v>#VALUE!</v>
      </c>
      <c r="CI238" t="e">
        <f>'Compiled Agents'!D394+"h_l!.cy"</f>
        <v>#VALUE!</v>
      </c>
      <c r="CJ238" t="e">
        <f>'Compiled Agents'!D395+"h_l!.cz"</f>
        <v>#VALUE!</v>
      </c>
      <c r="CK238" t="e">
        <f>'Compiled Agents'!D396+"h_l!.c{"</f>
        <v>#VALUE!</v>
      </c>
      <c r="CL238" t="e">
        <f>'Compiled Agents'!D397+"h_l!.c|"</f>
        <v>#VALUE!</v>
      </c>
      <c r="CM238" t="e">
        <f>'Compiled Agents'!D398+"h_l!.c}"</f>
        <v>#VALUE!</v>
      </c>
      <c r="CN238" t="e">
        <f>'Compiled Agents'!D399+"h_l!.c~"</f>
        <v>#VALUE!</v>
      </c>
      <c r="CO238" t="e">
        <f>'Compiled Agents'!D400+"h_l!.d#"</f>
        <v>#VALUE!</v>
      </c>
      <c r="CP238" t="e">
        <f>'Compiled Agents'!D401+"h_l!.d$"</f>
        <v>#VALUE!</v>
      </c>
      <c r="CQ238" t="e">
        <f>'Compiled Agents'!D402+"h_l!.d%"</f>
        <v>#VALUE!</v>
      </c>
      <c r="CR238" t="e">
        <f>'Compiled Agents'!D403+"h_l!.d&amp;"</f>
        <v>#VALUE!</v>
      </c>
      <c r="CS238" t="e">
        <f>'Compiled Agents'!D404+"h_l!.d'"</f>
        <v>#VALUE!</v>
      </c>
      <c r="CT238" t="e">
        <f>'Compiled Agents'!D405+"h_l!.d("</f>
        <v>#VALUE!</v>
      </c>
      <c r="CU238" t="e">
        <f>'Compiled Agents'!D406+"h_l!.d)"</f>
        <v>#VALUE!</v>
      </c>
      <c r="CV238" t="e">
        <f>'Compiled Agents'!D407+"h_l!.d."</f>
        <v>#VALUE!</v>
      </c>
      <c r="CW238" t="e">
        <f>'Compiled Agents'!D408+"h_l!.d/"</f>
        <v>#VALUE!</v>
      </c>
      <c r="CX238" t="e">
        <f>'Compiled Agents'!D409+"h_l!.d0"</f>
        <v>#VALUE!</v>
      </c>
      <c r="CY238" t="e">
        <f>'Compiled Agents'!D410+"h_l!.d1"</f>
        <v>#VALUE!</v>
      </c>
      <c r="CZ238" t="e">
        <f>'Compiled Agents'!D411+"h_l!.d2"</f>
        <v>#VALUE!</v>
      </c>
      <c r="DA238" t="e">
        <f>'Compiled Agents'!D412+"h_l!.d3"</f>
        <v>#VALUE!</v>
      </c>
      <c r="DB238" t="e">
        <f>'Compiled Agents'!D413+"h_l!.d4"</f>
        <v>#VALUE!</v>
      </c>
      <c r="DC238" t="e">
        <f>'Compiled Agents'!D414+"h_l!.d5"</f>
        <v>#VALUE!</v>
      </c>
      <c r="DD238" t="e">
        <f>'Compiled Agents'!D415+"h_l!.d6"</f>
        <v>#VALUE!</v>
      </c>
      <c r="DE238" t="e">
        <f>'Compiled Agents'!D416+"h_l!.d7"</f>
        <v>#VALUE!</v>
      </c>
      <c r="DF238" t="e">
        <f>'Compiled Agents'!D417+"h_l!.d8"</f>
        <v>#VALUE!</v>
      </c>
      <c r="DG238" t="e">
        <f>'Compiled Agents'!D418+"h_l!.d9"</f>
        <v>#VALUE!</v>
      </c>
      <c r="DH238" t="e">
        <f>'Compiled Agents'!D419+"h_l!.d:"</f>
        <v>#VALUE!</v>
      </c>
      <c r="DI238" t="e">
        <f>'Compiled Agents'!D420+"h_l!.d;"</f>
        <v>#VALUE!</v>
      </c>
      <c r="DJ238" t="e">
        <f>'Compiled Agents'!D421+"h_l!.d&lt;"</f>
        <v>#VALUE!</v>
      </c>
      <c r="DK238" t="e">
        <f>'Compiled Agents'!D422+"h_l!.d="</f>
        <v>#VALUE!</v>
      </c>
      <c r="DL238" t="e">
        <f>'Compiled Agents'!D423+"h_l!.d&gt;"</f>
        <v>#VALUE!</v>
      </c>
      <c r="DM238" t="e">
        <f>'Compiled Agents'!D424+"h_l!.d?"</f>
        <v>#VALUE!</v>
      </c>
      <c r="DN238" t="e">
        <f>'Compiled Agents'!D425+"h_l!.d@"</f>
        <v>#VALUE!</v>
      </c>
      <c r="DO238" t="e">
        <f>'Compiled Agents'!D426+"h_l!.dA"</f>
        <v>#VALUE!</v>
      </c>
      <c r="DP238" t="e">
        <f>'Compiled Agents'!D427+"h_l!.dB"</f>
        <v>#VALUE!</v>
      </c>
      <c r="DQ238" t="e">
        <f>'Compiled Agents'!D428+"h_l!.dC"</f>
        <v>#VALUE!</v>
      </c>
      <c r="DR238" t="e">
        <f>'Compiled Agents'!D429+"h_l!.dD"</f>
        <v>#VALUE!</v>
      </c>
      <c r="DS238" t="e">
        <f>'Compiled Agents'!D430+"h_l!.dE"</f>
        <v>#VALUE!</v>
      </c>
      <c r="DT238" t="e">
        <f>'Compiled Agents'!D431+"h_l!.dF"</f>
        <v>#VALUE!</v>
      </c>
      <c r="DU238" t="e">
        <f>'Compiled Agents'!D432+"h_l!.dG"</f>
        <v>#VALUE!</v>
      </c>
      <c r="DV238" t="e">
        <f>'Compiled Agents'!D433+"h_l!.dH"</f>
        <v>#VALUE!</v>
      </c>
      <c r="DW238" t="e">
        <f>'Compiled Agents'!D434+"h_l!.dI"</f>
        <v>#VALUE!</v>
      </c>
      <c r="DX238" t="e">
        <f>'Compiled Agents'!D435+"h_l!.dJ"</f>
        <v>#VALUE!</v>
      </c>
      <c r="DY238" t="e">
        <f>'Compiled Agents'!D436+"h_l!.dK"</f>
        <v>#VALUE!</v>
      </c>
      <c r="DZ238" t="e">
        <f>'Compiled Agents'!D437+"h_l!.dL"</f>
        <v>#VALUE!</v>
      </c>
      <c r="EA238" t="e">
        <f>'Compiled Agents'!D438+"h_l!.dM"</f>
        <v>#VALUE!</v>
      </c>
      <c r="EB238" t="e">
        <f>'Compiled Agents'!D439+"h_l!.dN"</f>
        <v>#VALUE!</v>
      </c>
      <c r="EC238" t="e">
        <f>'Compiled Agents'!D440+"h_l!.dO"</f>
        <v>#VALUE!</v>
      </c>
      <c r="ED238" t="e">
        <f>'Compiled Agents'!D441+"h_l!.dP"</f>
        <v>#VALUE!</v>
      </c>
      <c r="EE238" t="e">
        <f>'Compiled Agents'!D442+"h_l!.dQ"</f>
        <v>#VALUE!</v>
      </c>
      <c r="EF238" t="e">
        <f>'Compiled Agents'!D443+"h_l!.dR"</f>
        <v>#VALUE!</v>
      </c>
      <c r="EG238" t="e">
        <f>'Compiled Agents'!D444+"h_l!.dS"</f>
        <v>#VALUE!</v>
      </c>
      <c r="EH238" t="e">
        <f>'Compiled Agents'!D445+"h_l!.dT"</f>
        <v>#VALUE!</v>
      </c>
      <c r="EI238" t="e">
        <f>'Compiled Agents'!D446+"h_l!.dU"</f>
        <v>#VALUE!</v>
      </c>
      <c r="EJ238" t="e">
        <f>'Compiled Agents'!D447+"h_l!.dV"</f>
        <v>#VALUE!</v>
      </c>
      <c r="EK238" t="e">
        <f>'Compiled Agents'!D448+"h_l!.dW"</f>
        <v>#VALUE!</v>
      </c>
      <c r="EL238" t="e">
        <f>'Compiled Agents'!D449+"h_l!.dX"</f>
        <v>#VALUE!</v>
      </c>
      <c r="EM238" t="e">
        <f>'Compiled Agents'!D450+"h_l!.dY"</f>
        <v>#VALUE!</v>
      </c>
      <c r="EN238" t="e">
        <f>'Compiled Agents'!D451+"h_l!.dZ"</f>
        <v>#VALUE!</v>
      </c>
      <c r="EO238" t="e">
        <f>'Compiled Agents'!D452+"h_l!.d["</f>
        <v>#VALUE!</v>
      </c>
      <c r="EP238" t="e">
        <f>'Compiled Agents'!D453+"h_l!.d\"</f>
        <v>#VALUE!</v>
      </c>
      <c r="EQ238" t="e">
        <f>'Compiled Agents'!D454+"h_l!.d]"</f>
        <v>#VALUE!</v>
      </c>
      <c r="ER238" t="e">
        <f>'Compiled Agents'!D455+"h_l!.d^"</f>
        <v>#VALUE!</v>
      </c>
      <c r="ES238" t="e">
        <f>'Compiled Agents'!D456+"h_l!.d_"</f>
        <v>#VALUE!</v>
      </c>
      <c r="ET238" t="e">
        <f>'Compiled Agents'!D457+"h_l!.d`"</f>
        <v>#VALUE!</v>
      </c>
      <c r="EU238" t="e">
        <f>'Compiled Agents'!D458+"h_l!.da"</f>
        <v>#VALUE!</v>
      </c>
      <c r="EV238" t="e">
        <f>'Compiled Agents'!D459+"h_l!.db"</f>
        <v>#VALUE!</v>
      </c>
      <c r="EW238" t="e">
        <f>'Compiled Agents'!D460+"h_l!.dc"</f>
        <v>#VALUE!</v>
      </c>
      <c r="EX238" t="e">
        <f>'Compiled Agents'!D461+"h_l!.dd"</f>
        <v>#VALUE!</v>
      </c>
      <c r="EY238" t="e">
        <f>'Compiled Agents'!D462+"h_l!.de"</f>
        <v>#VALUE!</v>
      </c>
      <c r="EZ238" t="e">
        <f>'Compiled Agents'!D463+"h_l!.df"</f>
        <v>#VALUE!</v>
      </c>
      <c r="FA238" t="e">
        <f>'Compiled Agents'!D464+"h_l!.dg"</f>
        <v>#VALUE!</v>
      </c>
      <c r="FB238" t="e">
        <f>'Compiled Agents'!D465+"h_l!.dh"</f>
        <v>#VALUE!</v>
      </c>
      <c r="FC238" t="e">
        <f>'Compiled Agents'!D466+"h_l!.di"</f>
        <v>#VALUE!</v>
      </c>
      <c r="FD238" t="e">
        <f>'Compiled Agents'!D467+"h_l!.dj"</f>
        <v>#VALUE!</v>
      </c>
      <c r="FE238" t="e">
        <f>'Compiled Agents'!D468+"h_l!.dk"</f>
        <v>#VALUE!</v>
      </c>
      <c r="FF238" t="e">
        <f>'Compiled Agents'!D469+"h_l!.dl"</f>
        <v>#VALUE!</v>
      </c>
      <c r="FG238" t="e">
        <f>'Compiled Agents'!D470+"h_l!.dm"</f>
        <v>#VALUE!</v>
      </c>
      <c r="FH238" t="e">
        <f>'Compiled Agents'!D471+"h_l!.dn"</f>
        <v>#VALUE!</v>
      </c>
      <c r="FI238" t="e">
        <f>'Compiled Agents'!D472+"h_l!.do"</f>
        <v>#VALUE!</v>
      </c>
      <c r="FJ238" t="e">
        <f>'Compiled Agents'!D473+"h_l!.dp"</f>
        <v>#VALUE!</v>
      </c>
      <c r="FK238" t="e">
        <f>'Compiled Agents'!D474+"h_l!.dq"</f>
        <v>#VALUE!</v>
      </c>
      <c r="FL238" t="e">
        <f>'Compiled Agents'!D475+"h_l!.dr"</f>
        <v>#VALUE!</v>
      </c>
      <c r="FM238" t="e">
        <f>'Compiled Agents'!D476+"h_l!.ds"</f>
        <v>#VALUE!</v>
      </c>
      <c r="FN238" t="e">
        <f>'Compiled Agents'!D477+"h_l!.dt"</f>
        <v>#VALUE!</v>
      </c>
      <c r="FO238" t="e">
        <f>'Compiled Agents'!D478+"h_l!.du"</f>
        <v>#VALUE!</v>
      </c>
      <c r="FP238" t="e">
        <f>'Compiled Agents'!D479+"h_l!.dv"</f>
        <v>#VALUE!</v>
      </c>
      <c r="FQ238" t="e">
        <f>'Compiled Agents'!D480+"h_l!.dw"</f>
        <v>#VALUE!</v>
      </c>
      <c r="FR238" t="e">
        <f>'Compiled Agents'!D481+"h_l!.dx"</f>
        <v>#VALUE!</v>
      </c>
      <c r="FS238" t="e">
        <f>'Compiled Agents'!D482+"h_l!.dy"</f>
        <v>#VALUE!</v>
      </c>
      <c r="FT238" t="e">
        <f>'Compiled Agents'!D483+"h_l!.dz"</f>
        <v>#VALUE!</v>
      </c>
      <c r="FU238" t="e">
        <f>'Compiled Agents'!D484+"h_l!.d{"</f>
        <v>#VALUE!</v>
      </c>
      <c r="FV238" t="e">
        <f>'Compiled Agents'!D485+"h_l!.d|"</f>
        <v>#VALUE!</v>
      </c>
      <c r="FW238" t="e">
        <f>'Compiled Agents'!D486+"h_l!.d}"</f>
        <v>#VALUE!</v>
      </c>
      <c r="FX238" t="e">
        <f>'Compiled Agents'!D487+"h_l!.d~"</f>
        <v>#VALUE!</v>
      </c>
      <c r="FY238" t="e">
        <f>'Compiled Agents'!D488+"h_l!.e#"</f>
        <v>#VALUE!</v>
      </c>
      <c r="FZ238" t="e">
        <f>'Compiled Agents'!D489+"h_l!.e$"</f>
        <v>#VALUE!</v>
      </c>
      <c r="GA238" t="e">
        <f>'Compiled Agents'!D490+"h_l!.e%"</f>
        <v>#VALUE!</v>
      </c>
      <c r="GB238" t="e">
        <f>'Compiled Agents'!D491+"h_l!.e&amp;"</f>
        <v>#VALUE!</v>
      </c>
      <c r="GC238" t="e">
        <f>'Compiled Agents'!D492+"h_l!.e'"</f>
        <v>#VALUE!</v>
      </c>
      <c r="GD238" t="e">
        <f>'Compiled Agents'!D493+"h_l!.e("</f>
        <v>#VALUE!</v>
      </c>
      <c r="GE238" t="e">
        <f>'Compiled Agents'!D494+"h_l!.e)"</f>
        <v>#VALUE!</v>
      </c>
      <c r="GF238" t="e">
        <f>'Compiled Agents'!D495+"h_l!.e."</f>
        <v>#VALUE!</v>
      </c>
      <c r="GG238" t="e">
        <f>'Compiled Agents'!D496+"h_l!.e/"</f>
        <v>#VALUE!</v>
      </c>
      <c r="GH238" t="e">
        <f>'Compiled Agents'!D497+"h_l!.e0"</f>
        <v>#VALUE!</v>
      </c>
      <c r="GI238" t="e">
        <f>'Compiled Agents'!D498+"h_l!.e1"</f>
        <v>#VALUE!</v>
      </c>
      <c r="GJ238" t="e">
        <f>'Compiled Agents'!D499+"h_l!.e2"</f>
        <v>#VALUE!</v>
      </c>
      <c r="GK238" t="e">
        <f>'Compiled Agents'!D500+"h_l!.e3"</f>
        <v>#VALUE!</v>
      </c>
      <c r="GL238" t="e">
        <f>'Compiled Agents'!D501+"h_l!.e4"</f>
        <v>#VALUE!</v>
      </c>
      <c r="GM238" t="e">
        <f>'Compiled Agents'!D502+"h_l!.e5"</f>
        <v>#VALUE!</v>
      </c>
      <c r="GN238" t="e">
        <f>'Compiled Agents'!D503+"h_l!.e6"</f>
        <v>#VALUE!</v>
      </c>
      <c r="GO238" t="e">
        <f>'Compiled Agents'!D504+"h_l!.e7"</f>
        <v>#VALUE!</v>
      </c>
      <c r="GP238" t="e">
        <f>'Compiled Agents'!D505+"h_l!.e8"</f>
        <v>#VALUE!</v>
      </c>
      <c r="GQ238" t="e">
        <f>'Compiled Agents'!D506+"h_l!.e9"</f>
        <v>#VALUE!</v>
      </c>
      <c r="GR238" t="e">
        <f>'Compiled Agents'!D507+"h_l!.e:"</f>
        <v>#VALUE!</v>
      </c>
      <c r="GS238" t="e">
        <f>'Compiled Agents'!D508+"h_l!.e;"</f>
        <v>#VALUE!</v>
      </c>
      <c r="GT238" t="e">
        <f>'Compiled Agents'!D509+"h_l!.e&lt;"</f>
        <v>#VALUE!</v>
      </c>
      <c r="GU238" t="e">
        <f>'Compiled Agents'!D510+"h_l!.e="</f>
        <v>#VALUE!</v>
      </c>
      <c r="GV238" t="e">
        <f>'Compiled Agents'!D511+"h_l!.e&gt;"</f>
        <v>#VALUE!</v>
      </c>
      <c r="GW238" t="e">
        <f>'Compiled Agents'!D512+"h_l!.e?"</f>
        <v>#VALUE!</v>
      </c>
      <c r="GX238" t="e">
        <f>'Compiled Agents'!D513+"h_l!.e@"</f>
        <v>#VALUE!</v>
      </c>
      <c r="GY238" t="e">
        <f>'Compiled Agents'!D514+"h_l!.eA"</f>
        <v>#VALUE!</v>
      </c>
      <c r="GZ238" t="e">
        <f>'Compiled Agents'!D515+"h_l!.eB"</f>
        <v>#VALUE!</v>
      </c>
      <c r="HA238" t="e">
        <f>'Compiled Agents'!D516+"h_l!.eC"</f>
        <v>#VALUE!</v>
      </c>
      <c r="HB238" t="e">
        <f>'Compiled Agents'!D517+"h_l!.eD"</f>
        <v>#VALUE!</v>
      </c>
      <c r="HC238" t="e">
        <f>'Compiled Agents'!D518+"h_l!.eE"</f>
        <v>#VALUE!</v>
      </c>
      <c r="HD238" t="e">
        <f>'Compiled Agents'!D519+"h_l!.eF"</f>
        <v>#VALUE!</v>
      </c>
      <c r="HE238" t="e">
        <f>'Compiled Agents'!D520+"h_l!.eG"</f>
        <v>#VALUE!</v>
      </c>
      <c r="HF238" t="e">
        <f>'Compiled Agents'!D521+"h_l!.eH"</f>
        <v>#VALUE!</v>
      </c>
      <c r="HG238" t="e">
        <f>'Compiled Agents'!D522+"h_l!.eI"</f>
        <v>#VALUE!</v>
      </c>
      <c r="HH238" t="e">
        <f>'Compiled Agents'!D523+"h_l!.eJ"</f>
        <v>#VALUE!</v>
      </c>
      <c r="HI238" t="e">
        <f>'Compiled Agents'!D524+"h_l!.eK"</f>
        <v>#VALUE!</v>
      </c>
      <c r="HJ238" t="e">
        <f>'Compiled Agents'!D525+"h_l!.eL"</f>
        <v>#VALUE!</v>
      </c>
      <c r="HK238" t="e">
        <f>'Compiled Agents'!D526+"h_l!.eM"</f>
        <v>#VALUE!</v>
      </c>
      <c r="HL238" t="e">
        <f>'Compiled Agents'!D527+"h_l!.eN"</f>
        <v>#VALUE!</v>
      </c>
      <c r="HM238" t="e">
        <f>'Compiled Agents'!D528+"h_l!.eO"</f>
        <v>#VALUE!</v>
      </c>
      <c r="HN238" t="e">
        <f>'Compiled Agents'!D529+"h_l!.eP"</f>
        <v>#VALUE!</v>
      </c>
      <c r="HO238" t="e">
        <f>'Compiled Agents'!D530+"h_l!.eQ"</f>
        <v>#VALUE!</v>
      </c>
      <c r="HP238" t="e">
        <f>'Compiled Agents'!D531+"h_l!.eR"</f>
        <v>#VALUE!</v>
      </c>
      <c r="HQ238" t="e">
        <f>'Compiled Agents'!D532+"h_l!.eS"</f>
        <v>#VALUE!</v>
      </c>
      <c r="HR238" t="e">
        <f>'Compiled Agents'!D533+"h_l!.eT"</f>
        <v>#VALUE!</v>
      </c>
      <c r="HS238" t="e">
        <f>'Compiled Agents'!D534+"h_l!.eU"</f>
        <v>#VALUE!</v>
      </c>
      <c r="HT238" t="e">
        <f>'Compiled Agents'!D535+"h_l!.eV"</f>
        <v>#VALUE!</v>
      </c>
      <c r="HU238" t="e">
        <f>'Compiled Agents'!D536+"h_l!.eW"</f>
        <v>#VALUE!</v>
      </c>
      <c r="HV238" t="e">
        <f>'Compiled Agents'!D537+"h_l!.eX"</f>
        <v>#VALUE!</v>
      </c>
      <c r="HW238" t="e">
        <f>'Compiled Agents'!D538+"h_l!.eY"</f>
        <v>#VALUE!</v>
      </c>
      <c r="HX238" t="e">
        <f>'Compiled Agents'!D539+"h_l!.eZ"</f>
        <v>#VALUE!</v>
      </c>
      <c r="HY238" t="e">
        <f>'Compiled Agents'!D540+"h_l!.e["</f>
        <v>#VALUE!</v>
      </c>
      <c r="HZ238" t="e">
        <f>'Compiled Agents'!D541+"h_l!.e\"</f>
        <v>#VALUE!</v>
      </c>
      <c r="IA238" t="e">
        <f>'Compiled Agents'!D542+"h_l!.e]"</f>
        <v>#VALUE!</v>
      </c>
      <c r="IB238" t="e">
        <f>'Compiled Agents'!D543+"h_l!.e^"</f>
        <v>#VALUE!</v>
      </c>
      <c r="IC238" t="e">
        <f>'Compiled Agents'!D544+"h_l!.e_"</f>
        <v>#VALUE!</v>
      </c>
      <c r="ID238" t="e">
        <f>'Compiled Agents'!D545+"h_l!.e`"</f>
        <v>#VALUE!</v>
      </c>
      <c r="IE238" t="e">
        <f>'Compiled Agents'!D546+"h_l!.ea"</f>
        <v>#VALUE!</v>
      </c>
      <c r="IF238" t="e">
        <f>'Compiled Agents'!D547+"h_l!.eb"</f>
        <v>#VALUE!</v>
      </c>
      <c r="IG238" t="e">
        <f>'Compiled Agents'!D548+"h_l!.ec"</f>
        <v>#VALUE!</v>
      </c>
      <c r="IH238" t="e">
        <f>'Compiled Agents'!D549+"h_l!.ed"</f>
        <v>#VALUE!</v>
      </c>
      <c r="II238" t="e">
        <f>'Compiled Agents'!D550+"h_l!.ee"</f>
        <v>#VALUE!</v>
      </c>
      <c r="IJ238" t="e">
        <f>'Compiled Agents'!D551+"h_l!.ef"</f>
        <v>#VALUE!</v>
      </c>
      <c r="IK238" t="e">
        <f>'Compiled Agents'!D552+"h_l!.eg"</f>
        <v>#VALUE!</v>
      </c>
      <c r="IL238" t="e">
        <f>'Compiled Agents'!D553+"h_l!.eh"</f>
        <v>#VALUE!</v>
      </c>
      <c r="IM238" t="e">
        <f>'Compiled Agents'!D554+"h_l!.ei"</f>
        <v>#VALUE!</v>
      </c>
      <c r="IN238" t="e">
        <f>'Compiled Agents'!D555+"h_l!.ej"</f>
        <v>#VALUE!</v>
      </c>
      <c r="IO238" t="e">
        <f>'Compiled Agents'!D556+"h_l!.ek"</f>
        <v>#VALUE!</v>
      </c>
      <c r="IP238" t="e">
        <f>'Compiled Agents'!D557+"h_l!.el"</f>
        <v>#VALUE!</v>
      </c>
      <c r="IQ238" t="e">
        <f>'Compiled Agents'!D558+"h_l!.em"</f>
        <v>#VALUE!</v>
      </c>
      <c r="IR238" t="e">
        <f>'Compiled Agents'!D559+"h_l!.en"</f>
        <v>#VALUE!</v>
      </c>
      <c r="IS238" t="e">
        <f>'Compiled Agents'!D560+"h_l!.eo"</f>
        <v>#VALUE!</v>
      </c>
      <c r="IT238" t="e">
        <f>'Compiled Agents'!D561+"h_l!.ep"</f>
        <v>#VALUE!</v>
      </c>
      <c r="IU238" t="e">
        <f>'Compiled Agents'!D562+"h_l!.eq"</f>
        <v>#VALUE!</v>
      </c>
      <c r="IV238" t="e">
        <f>'Compiled Agents'!D563+"h_l!.er"</f>
        <v>#VALUE!</v>
      </c>
    </row>
    <row r="239" spans="6:256" x14ac:dyDescent="0.25">
      <c r="F239" t="e">
        <f>'Compiled Agents'!D564+"h_l!.es"</f>
        <v>#VALUE!</v>
      </c>
      <c r="G239" t="e">
        <f>'Compiled Agents'!D565+"h_l!.et"</f>
        <v>#VALUE!</v>
      </c>
      <c r="H239" t="e">
        <f>'Compiled Agents'!D566+"h_l!.eu"</f>
        <v>#VALUE!</v>
      </c>
      <c r="I239" t="e">
        <f>'Compiled Agents'!D567+"h_l!.ev"</f>
        <v>#VALUE!</v>
      </c>
      <c r="J239" t="e">
        <f>'Compiled Agents'!D568+"h_l!.ew"</f>
        <v>#VALUE!</v>
      </c>
      <c r="K239" t="e">
        <f>'Compiled Agents'!D569+"h_l!.ex"</f>
        <v>#VALUE!</v>
      </c>
      <c r="L239" t="e">
        <f>'Compiled Agents'!D570+"h_l!.ey"</f>
        <v>#VALUE!</v>
      </c>
      <c r="M239" t="e">
        <f>'Compiled Agents'!D571+"h_l!.ez"</f>
        <v>#VALUE!</v>
      </c>
      <c r="N239" t="e">
        <f>'Compiled Agents'!D572+"h_l!.e{"</f>
        <v>#VALUE!</v>
      </c>
      <c r="O239" t="e">
        <f>'Compiled Agents'!D573+"h_l!.e|"</f>
        <v>#VALUE!</v>
      </c>
      <c r="P239" t="e">
        <f>'Compiled Agents'!D574+"h_l!.e}"</f>
        <v>#VALUE!</v>
      </c>
      <c r="Q239" t="e">
        <f>'Compiled Agents'!D575+"h_l!.e~"</f>
        <v>#VALUE!</v>
      </c>
      <c r="R239" t="e">
        <f>'Compiled Agents'!D576+"h_l!.f#"</f>
        <v>#VALUE!</v>
      </c>
      <c r="S239" t="e">
        <f>'Compiled Agents'!D577+"h_l!.f$"</f>
        <v>#VALUE!</v>
      </c>
      <c r="T239" t="e">
        <f>'Compiled Agents'!D578+"h_l!.f%"</f>
        <v>#VALUE!</v>
      </c>
      <c r="U239" t="e">
        <f>'Compiled Agents'!D579+"h_l!.f&amp;"</f>
        <v>#VALUE!</v>
      </c>
      <c r="V239" t="e">
        <f>'Compiled Agents'!D580+"h_l!.f'"</f>
        <v>#VALUE!</v>
      </c>
      <c r="W239" t="e">
        <f>'Compiled Agents'!D581+"h_l!.f("</f>
        <v>#VALUE!</v>
      </c>
      <c r="X239" t="e">
        <f>'Compiled Agents'!D582+"h_l!.f)"</f>
        <v>#VALUE!</v>
      </c>
      <c r="Y239" t="e">
        <f>'Compiled Agents'!D583+"h_l!.f."</f>
        <v>#VALUE!</v>
      </c>
      <c r="Z239" t="e">
        <f>'Compiled Agents'!D584+"h_l!.f/"</f>
        <v>#VALUE!</v>
      </c>
      <c r="AA239" t="e">
        <f>'Compiled Agents'!D585+"h_l!.f0"</f>
        <v>#VALUE!</v>
      </c>
      <c r="AB239" t="e">
        <f>'Compiled Agents'!D586+"h_l!.f1"</f>
        <v>#VALUE!</v>
      </c>
      <c r="AC239" t="e">
        <f>'Compiled Agents'!D587+"h_l!.f2"</f>
        <v>#VALUE!</v>
      </c>
      <c r="AD239" t="e">
        <f>'Compiled Agents'!D588+"h_l!.f3"</f>
        <v>#VALUE!</v>
      </c>
      <c r="AE239" t="e">
        <f>'Compiled Agents'!D589+"h_l!.f4"</f>
        <v>#VALUE!</v>
      </c>
      <c r="AF239" t="e">
        <f>'Compiled Agents'!D590+"h_l!.f5"</f>
        <v>#VALUE!</v>
      </c>
      <c r="AG239" t="e">
        <f>'Compiled Agents'!D591+"h_l!.f6"</f>
        <v>#VALUE!</v>
      </c>
      <c r="AH239" t="e">
        <f>'Compiled Agents'!D592+"h_l!.f7"</f>
        <v>#VALUE!</v>
      </c>
      <c r="AI239" t="e">
        <f>'Compiled Agents'!D593+"h_l!.f8"</f>
        <v>#VALUE!</v>
      </c>
      <c r="AJ239" t="e">
        <f>'Compiled Agents'!D594+"h_l!.f9"</f>
        <v>#VALUE!</v>
      </c>
      <c r="AK239" t="e">
        <f>'Compiled Agents'!D595+"h_l!.f:"</f>
        <v>#VALUE!</v>
      </c>
      <c r="AL239" t="e">
        <f>'Compiled Agents'!D596+"h_l!.f;"</f>
        <v>#VALUE!</v>
      </c>
      <c r="AM239" t="e">
        <f>'Compiled Agents'!D597+"h_l!.f&lt;"</f>
        <v>#VALUE!</v>
      </c>
      <c r="AN239" t="e">
        <f>'Compiled Agents'!D598+"h_l!.f="</f>
        <v>#VALUE!</v>
      </c>
      <c r="AO239" t="e">
        <f>'Compiled Agents'!D599+"h_l!.f&gt;"</f>
        <v>#VALUE!</v>
      </c>
      <c r="AP239" t="e">
        <f>'Compiled Agents'!D600+"h_l!.f?"</f>
        <v>#VALUE!</v>
      </c>
      <c r="AQ239" t="e">
        <f>'Compiled Agents'!D601+"h_l!.f@"</f>
        <v>#VALUE!</v>
      </c>
      <c r="AR239" t="e">
        <f>'Compiled Agents'!D602+"h_l!.fA"</f>
        <v>#VALUE!</v>
      </c>
      <c r="AS239" t="e">
        <f>'Compiled Agents'!D603+"h_l!.fB"</f>
        <v>#VALUE!</v>
      </c>
      <c r="AT239" t="e">
        <f>'Compiled Agents'!D604+"h_l!.fC"</f>
        <v>#VALUE!</v>
      </c>
      <c r="AU239" t="e">
        <f>'Compiled Agents'!D605+"h_l!.fD"</f>
        <v>#VALUE!</v>
      </c>
      <c r="AV239" t="e">
        <f>'Compiled Agents'!D606+"h_l!.fE"</f>
        <v>#VALUE!</v>
      </c>
      <c r="AW239" t="e">
        <f>'Compiled Agents'!D607+"h_l!.fF"</f>
        <v>#VALUE!</v>
      </c>
      <c r="AX239" t="e">
        <f>'Compiled Agents'!D608+"h_l!.fG"</f>
        <v>#VALUE!</v>
      </c>
      <c r="AY239" t="e">
        <f>'Compiled Agents'!D609+"h_l!.fH"</f>
        <v>#VALUE!</v>
      </c>
      <c r="AZ239" t="e">
        <f>'Compiled Agents'!D610+"h_l!.fI"</f>
        <v>#VALUE!</v>
      </c>
      <c r="BA239" t="e">
        <f>'Compiled Agents'!D611+"h_l!.fJ"</f>
        <v>#VALUE!</v>
      </c>
      <c r="BB239" t="e">
        <f>'Compiled Agents'!D612+"h_l!.fK"</f>
        <v>#VALUE!</v>
      </c>
      <c r="BC239" t="e">
        <f>'Compiled Agents'!D613+"h_l!.fL"</f>
        <v>#VALUE!</v>
      </c>
      <c r="BD239" t="e">
        <f>'Compiled Agents'!D614+"h_l!.fM"</f>
        <v>#VALUE!</v>
      </c>
      <c r="BE239" t="e">
        <f>'Compiled Agents'!D615+"h_l!.fN"</f>
        <v>#VALUE!</v>
      </c>
      <c r="BF239" t="e">
        <f>'Compiled Agents'!D616+"h_l!.fO"</f>
        <v>#VALUE!</v>
      </c>
      <c r="BG239" t="e">
        <f>'Compiled Agents'!D617+"h_l!.fP"</f>
        <v>#VALUE!</v>
      </c>
      <c r="BH239" t="e">
        <f>'Compiled Agents'!D618+"h_l!.fQ"</f>
        <v>#VALUE!</v>
      </c>
      <c r="BI239" t="e">
        <f>'Compiled Agents'!D619+"h_l!.fR"</f>
        <v>#VALUE!</v>
      </c>
      <c r="BJ239" t="e">
        <f>'Compiled Agents'!D620+"h_l!.fS"</f>
        <v>#VALUE!</v>
      </c>
      <c r="BK239" t="e">
        <f>'Compiled Agents'!D621+"h_l!.fT"</f>
        <v>#VALUE!</v>
      </c>
      <c r="BL239" t="e">
        <f>'Compiled Agents'!D622+"h_l!.fU"</f>
        <v>#VALUE!</v>
      </c>
      <c r="BM239" t="e">
        <f>'Compiled Agents'!D623+"h_l!.fV"</f>
        <v>#VALUE!</v>
      </c>
      <c r="BN239" t="e">
        <f>'Compiled Agents'!D624+"h_l!.fW"</f>
        <v>#VALUE!</v>
      </c>
      <c r="BO239" t="e">
        <f>'Compiled Agents'!D625+"h_l!.fX"</f>
        <v>#VALUE!</v>
      </c>
      <c r="BP239" t="e">
        <f>'Compiled Agents'!D626+"h_l!.fY"</f>
        <v>#VALUE!</v>
      </c>
      <c r="BQ239" t="e">
        <f>'Compiled Agents'!D627+"h_l!.fZ"</f>
        <v>#VALUE!</v>
      </c>
      <c r="BR239" t="e">
        <f>'Compiled Agents'!D628+"h_l!.f["</f>
        <v>#VALUE!</v>
      </c>
      <c r="BS239" t="e">
        <f>'Compiled Agents'!D629+"h_l!.f\"</f>
        <v>#VALUE!</v>
      </c>
      <c r="BT239" t="e">
        <f>'Compiled Agents'!D630+"h_l!.f]"</f>
        <v>#VALUE!</v>
      </c>
      <c r="BU239" t="e">
        <f>'Compiled Agents'!D631+"h_l!.f^"</f>
        <v>#VALUE!</v>
      </c>
      <c r="BV239" t="e">
        <f>'Compiled Agents'!D632+"h_l!.f_"</f>
        <v>#VALUE!</v>
      </c>
      <c r="BW239" t="e">
        <f>'Compiled Agents'!D633+"h_l!.f`"</f>
        <v>#VALUE!</v>
      </c>
      <c r="BX239" t="e">
        <f>'Compiled Agents'!D634+"h_l!.fa"</f>
        <v>#VALUE!</v>
      </c>
      <c r="BY239" t="e">
        <f>'Compiled Agents'!D635+"h_l!.fb"</f>
        <v>#VALUE!</v>
      </c>
      <c r="BZ239" t="e">
        <f>'Compiled Agents'!D636+"h_l!.fc"</f>
        <v>#VALUE!</v>
      </c>
      <c r="CA239" t="e">
        <f>'Compiled Agents'!D637+"h_l!.fd"</f>
        <v>#VALUE!</v>
      </c>
      <c r="CB239" t="e">
        <f>'Compiled Agents'!D638+"h_l!.fe"</f>
        <v>#VALUE!</v>
      </c>
      <c r="CC239" t="e">
        <f>'Compiled Agents'!D639+"h_l!.ff"</f>
        <v>#VALUE!</v>
      </c>
      <c r="CD239" t="e">
        <f>'Compiled Agents'!D640+"h_l!.fg"</f>
        <v>#VALUE!</v>
      </c>
      <c r="CE239" t="e">
        <f>'Compiled Agents'!D641+"h_l!.fh"</f>
        <v>#VALUE!</v>
      </c>
      <c r="CF239" t="e">
        <f>'Compiled Agents'!D642+"h_l!.fi"</f>
        <v>#VALUE!</v>
      </c>
      <c r="CG239" t="e">
        <f>'Compiled Agents'!D643+"h_l!.fj"</f>
        <v>#VALUE!</v>
      </c>
      <c r="CH239" t="e">
        <f>'Compiled Agents'!D644+"h_l!.fk"</f>
        <v>#VALUE!</v>
      </c>
      <c r="CI239" t="e">
        <f>'Compiled Agents'!D645+"h_l!.fl"</f>
        <v>#VALUE!</v>
      </c>
      <c r="CJ239" t="e">
        <f>'Compiled Agents'!D646+"h_l!.fm"</f>
        <v>#VALUE!</v>
      </c>
      <c r="CK239" t="e">
        <f>'Compiled Agents'!D647+"h_l!.fn"</f>
        <v>#VALUE!</v>
      </c>
      <c r="CL239" t="e">
        <f>'Compiled Agents'!D648+"h_l!.fo"</f>
        <v>#VALUE!</v>
      </c>
      <c r="CM239" t="e">
        <f>'Compiled Agents'!D649+"h_l!.fp"</f>
        <v>#VALUE!</v>
      </c>
      <c r="CN239" t="e">
        <f>'Compiled Agents'!D650+"h_l!.fq"</f>
        <v>#VALUE!</v>
      </c>
      <c r="CO239" t="e">
        <f>'Compiled Agents'!D651+"h_l!.fr"</f>
        <v>#VALUE!</v>
      </c>
      <c r="CP239" t="e">
        <f>'Compiled Agents'!D652+"h_l!.fs"</f>
        <v>#VALUE!</v>
      </c>
      <c r="CQ239" t="e">
        <f>'Compiled Agents'!D653+"h_l!.ft"</f>
        <v>#VALUE!</v>
      </c>
      <c r="CR239" t="e">
        <f>'Compiled Agents'!D654+"h_l!.fu"</f>
        <v>#VALUE!</v>
      </c>
      <c r="CS239" t="e">
        <f>'Compiled Agents'!D655+"h_l!.fv"</f>
        <v>#VALUE!</v>
      </c>
      <c r="CT239" t="e">
        <f>'Compiled Agents'!D656+"h_l!.fw"</f>
        <v>#VALUE!</v>
      </c>
      <c r="CU239" t="e">
        <f>'Compiled Agents'!D657+"h_l!.fx"</f>
        <v>#VALUE!</v>
      </c>
      <c r="CV239" t="e">
        <f>'Compiled Agents'!D658+"h_l!.fy"</f>
        <v>#VALUE!</v>
      </c>
      <c r="CW239" t="e">
        <f>'Compiled Agents'!D659+"h_l!.fz"</f>
        <v>#VALUE!</v>
      </c>
      <c r="CX239" t="e">
        <f>'Compiled Agents'!D660+"h_l!.f{"</f>
        <v>#VALUE!</v>
      </c>
      <c r="CY239" t="e">
        <f>'Compiled Agents'!D661+"h_l!.f|"</f>
        <v>#VALUE!</v>
      </c>
      <c r="CZ239" t="e">
        <f>'Compiled Agents'!D662+"h_l!.f}"</f>
        <v>#VALUE!</v>
      </c>
      <c r="DA239" t="e">
        <f>'Compiled Agents'!D663+"h_l!.f~"</f>
        <v>#VALUE!</v>
      </c>
      <c r="DB239" t="e">
        <f>'Compiled Agents'!D664+"h_l!.g#"</f>
        <v>#VALUE!</v>
      </c>
      <c r="DC239" t="e">
        <f>'Compiled Agents'!D665+"h_l!.g$"</f>
        <v>#VALUE!</v>
      </c>
      <c r="DD239" t="e">
        <f>'Compiled Agents'!D666+"h_l!.g%"</f>
        <v>#VALUE!</v>
      </c>
      <c r="DE239" t="e">
        <f>'Compiled Agents'!D667+"h_l!.g&amp;"</f>
        <v>#VALUE!</v>
      </c>
      <c r="DF239" t="e">
        <f>'Compiled Agents'!D668+"h_l!.g'"</f>
        <v>#VALUE!</v>
      </c>
      <c r="DG239" t="e">
        <f>'Compiled Agents'!D669+"h_l!.g("</f>
        <v>#VALUE!</v>
      </c>
      <c r="DH239" t="e">
        <f>'Compiled Agents'!D670+"h_l!.g)"</f>
        <v>#VALUE!</v>
      </c>
      <c r="DI239" t="e">
        <f>'Compiled Agents'!D671+"h_l!.g."</f>
        <v>#VALUE!</v>
      </c>
      <c r="DJ239" t="e">
        <f>'Compiled Agents'!D672+"h_l!.g/"</f>
        <v>#VALUE!</v>
      </c>
      <c r="DK239" t="e">
        <f>'Compiled Agents'!D673+"h_l!.g0"</f>
        <v>#VALUE!</v>
      </c>
      <c r="DL239" t="e">
        <f>'Compiled Agents'!D674+"h_l!.g1"</f>
        <v>#VALUE!</v>
      </c>
      <c r="DM239" t="e">
        <f>'Compiled Agents'!D675+"h_l!.g2"</f>
        <v>#VALUE!</v>
      </c>
      <c r="DN239" t="e">
        <f>'Compiled Agents'!D676+"h_l!.g3"</f>
        <v>#VALUE!</v>
      </c>
      <c r="DO239" t="e">
        <f>'Compiled Agents'!D677+"h_l!.g4"</f>
        <v>#VALUE!</v>
      </c>
      <c r="DP239" t="e">
        <f>'Compiled Agents'!D678+"h_l!.g5"</f>
        <v>#VALUE!</v>
      </c>
      <c r="DQ239" t="e">
        <f>'Compiled Agents'!D679+"h_l!.g6"</f>
        <v>#VALUE!</v>
      </c>
      <c r="DR239" t="e">
        <f>'Compiled Agents'!D680+"h_l!.g7"</f>
        <v>#VALUE!</v>
      </c>
      <c r="DS239" t="e">
        <f>'Compiled Agents'!D681+"h_l!.g8"</f>
        <v>#VALUE!</v>
      </c>
      <c r="DT239" t="e">
        <f>'Compiled Agents'!D682+"h_l!.g9"</f>
        <v>#VALUE!</v>
      </c>
      <c r="DU239" t="e">
        <f>'Compiled Agents'!D683+"h_l!.g:"</f>
        <v>#VALUE!</v>
      </c>
      <c r="DV239" t="e">
        <f>'Compiled Agents'!D684+"h_l!.g;"</f>
        <v>#VALUE!</v>
      </c>
      <c r="DW239" t="e">
        <f>'Compiled Agents'!D685+"h_l!.g&lt;"</f>
        <v>#VALUE!</v>
      </c>
      <c r="DX239" t="e">
        <f>'Compiled Agents'!D686+"h_l!.g="</f>
        <v>#VALUE!</v>
      </c>
      <c r="DY239" t="e">
        <f>'Compiled Agents'!D687+"h_l!.g&gt;"</f>
        <v>#VALUE!</v>
      </c>
      <c r="DZ239" t="e">
        <f>'Compiled Agents'!D688+"h_l!.g?"</f>
        <v>#VALUE!</v>
      </c>
      <c r="EA239" t="e">
        <f>'Compiled Agents'!D689+"h_l!.g@"</f>
        <v>#VALUE!</v>
      </c>
      <c r="EB239" t="e">
        <f>'Compiled Agents'!D690+"h_l!.gA"</f>
        <v>#VALUE!</v>
      </c>
      <c r="EC239" t="e">
        <f>'Compiled Agents'!D691+"h_l!.gB"</f>
        <v>#VALUE!</v>
      </c>
      <c r="ED239" t="e">
        <f>'Compiled Agents'!D692+"h_l!.gC"</f>
        <v>#VALUE!</v>
      </c>
      <c r="EE239" t="e">
        <f>'Compiled Agents'!D693+"h_l!.gD"</f>
        <v>#VALUE!</v>
      </c>
      <c r="EF239" t="e">
        <f>'Compiled Agents'!D694+"h_l!.gE"</f>
        <v>#VALUE!</v>
      </c>
      <c r="EG239" t="e">
        <f>'Compiled Agents'!D695+"h_l!.gF"</f>
        <v>#VALUE!</v>
      </c>
      <c r="EH239" t="e">
        <f>'Compiled Agents'!D696+"h_l!.gG"</f>
        <v>#VALUE!</v>
      </c>
      <c r="EI239" t="e">
        <f>'Compiled Agents'!D697+"h_l!.gH"</f>
        <v>#VALUE!</v>
      </c>
      <c r="EJ239" t="e">
        <f>'Compiled Agents'!D698+"h_l!.gI"</f>
        <v>#VALUE!</v>
      </c>
      <c r="EK239" t="e">
        <f>'Compiled Agents'!D699+"h_l!.gJ"</f>
        <v>#VALUE!</v>
      </c>
      <c r="EL239" t="e">
        <f>'Compiled Agents'!D700+"h_l!.gK"</f>
        <v>#VALUE!</v>
      </c>
      <c r="EM239" t="e">
        <f>'Compiled Agents'!D701+"h_l!.gL"</f>
        <v>#VALUE!</v>
      </c>
      <c r="EN239" t="e">
        <f>'Compiled Agents'!D702+"h_l!.gM"</f>
        <v>#VALUE!</v>
      </c>
      <c r="EO239" t="e">
        <f>'Compiled Agents'!D703+"h_l!.gN"</f>
        <v>#VALUE!</v>
      </c>
      <c r="EP239" t="e">
        <f>'Compiled Agents'!D704+"h_l!.gO"</f>
        <v>#VALUE!</v>
      </c>
      <c r="EQ239" t="e">
        <f>'Compiled Agents'!D705+"h_l!.gP"</f>
        <v>#VALUE!</v>
      </c>
      <c r="ER239" t="e">
        <f>'Compiled Agents'!D706+"h_l!.gQ"</f>
        <v>#VALUE!</v>
      </c>
      <c r="ES239" t="e">
        <f>'Compiled Agents'!D707+"h_l!.gR"</f>
        <v>#VALUE!</v>
      </c>
      <c r="ET239" t="e">
        <f>'Compiled Agents'!D708+"h_l!.gS"</f>
        <v>#VALUE!</v>
      </c>
      <c r="EU239" t="e">
        <f>'Compiled Agents'!D709+"h_l!.gT"</f>
        <v>#VALUE!</v>
      </c>
      <c r="EV239" t="e">
        <f>'Compiled Agents'!D710+"h_l!.gU"</f>
        <v>#VALUE!</v>
      </c>
      <c r="EW239" t="e">
        <f>'Compiled Agents'!D711+"h_l!.gV"</f>
        <v>#VALUE!</v>
      </c>
      <c r="EX239" t="e">
        <f>'Compiled Agents'!D712+"h_l!.gW"</f>
        <v>#VALUE!</v>
      </c>
      <c r="EY239" t="e">
        <f>'Compiled Agents'!D713+"h_l!.gX"</f>
        <v>#VALUE!</v>
      </c>
      <c r="EZ239" t="e">
        <f>'Compiled Agents'!D714+"h_l!.gY"</f>
        <v>#VALUE!</v>
      </c>
      <c r="FA239" t="e">
        <f>'Compiled Agents'!D715+"h_l!.gZ"</f>
        <v>#VALUE!</v>
      </c>
      <c r="FB239" t="e">
        <f>'Compiled Agents'!D716+"h_l!.g["</f>
        <v>#VALUE!</v>
      </c>
      <c r="FC239" t="e">
        <f>'Compiled Agents'!D717+"h_l!.g\"</f>
        <v>#VALUE!</v>
      </c>
      <c r="FD239" t="e">
        <f>'Compiled Agents'!D718+"h_l!.g]"</f>
        <v>#VALUE!</v>
      </c>
      <c r="FE239" t="e">
        <f>'Compiled Agents'!D719+"h_l!.g^"</f>
        <v>#VALUE!</v>
      </c>
      <c r="FF239" t="e">
        <f>'Compiled Agents'!D720+"h_l!.g_"</f>
        <v>#VALUE!</v>
      </c>
      <c r="FG239" t="e">
        <f>'Compiled Agents'!D721+"h_l!.g`"</f>
        <v>#VALUE!</v>
      </c>
      <c r="FH239" t="e">
        <f>'Compiled Agents'!D722+"h_l!.ga"</f>
        <v>#VALUE!</v>
      </c>
      <c r="FI239" t="e">
        <f>'Compiled Agents'!D723+"h_l!.gb"</f>
        <v>#VALUE!</v>
      </c>
      <c r="FJ239" t="e">
        <f>'Compiled Agents'!D724+"h_l!.gc"</f>
        <v>#VALUE!</v>
      </c>
      <c r="FK239" t="e">
        <f>'Compiled Agents'!D725+"h_l!.gd"</f>
        <v>#VALUE!</v>
      </c>
      <c r="FL239" t="e">
        <f>'Compiled Agents'!D726+"h_l!.ge"</f>
        <v>#VALUE!</v>
      </c>
      <c r="FM239" t="e">
        <f>'Compiled Agents'!D727+"h_l!.gf"</f>
        <v>#VALUE!</v>
      </c>
      <c r="FN239" t="e">
        <f>'Compiled Agents'!D728+"h_l!.gg"</f>
        <v>#VALUE!</v>
      </c>
      <c r="FO239" t="e">
        <f>'Compiled Agents'!D729+"h_l!.gh"</f>
        <v>#VALUE!</v>
      </c>
      <c r="FP239" t="e">
        <f>'Compiled Agents'!D730+"h_l!.gi"</f>
        <v>#VALUE!</v>
      </c>
      <c r="FQ239" t="e">
        <f>'Compiled Agents'!D731+"h_l!.gj"</f>
        <v>#VALUE!</v>
      </c>
      <c r="FR239" t="e">
        <f>'Compiled Agents'!D732+"h_l!.gk"</f>
        <v>#VALUE!</v>
      </c>
      <c r="FS239" t="e">
        <f>'Compiled Agents'!D733+"h_l!.gl"</f>
        <v>#VALUE!</v>
      </c>
      <c r="FT239" t="e">
        <f>'Compiled Agents'!D734+"h_l!.gm"</f>
        <v>#VALUE!</v>
      </c>
      <c r="FU239" t="e">
        <f>'Compiled Agents'!D735+"h_l!.gn"</f>
        <v>#VALUE!</v>
      </c>
      <c r="FV239" t="e">
        <f>'Compiled Agents'!D736+"h_l!.go"</f>
        <v>#VALUE!</v>
      </c>
      <c r="FW239" t="e">
        <f>'Compiled Agents'!D737+"h_l!.gp"</f>
        <v>#VALUE!</v>
      </c>
      <c r="FX239" t="e">
        <f>'Compiled Agents'!D738+"h_l!.gq"</f>
        <v>#VALUE!</v>
      </c>
      <c r="FY239" t="e">
        <f>'Compiled Agents'!D739+"h_l!.gr"</f>
        <v>#VALUE!</v>
      </c>
      <c r="FZ239" t="e">
        <f>'Compiled Agents'!D740+"h_l!.gs"</f>
        <v>#VALUE!</v>
      </c>
      <c r="GA239" t="e">
        <f>'Compiled Agents'!D741+"h_l!.gt"</f>
        <v>#VALUE!</v>
      </c>
      <c r="GB239" t="e">
        <f>'Compiled Agents'!D742+"h_l!.gu"</f>
        <v>#VALUE!</v>
      </c>
      <c r="GC239" t="e">
        <f>'Compiled Agents'!D743+"h_l!.gv"</f>
        <v>#VALUE!</v>
      </c>
      <c r="GD239" t="e">
        <f>'Compiled Agents'!D744+"h_l!.gw"</f>
        <v>#VALUE!</v>
      </c>
      <c r="GE239" t="e">
        <f>'Compiled Agents'!D745+"h_l!.gx"</f>
        <v>#VALUE!</v>
      </c>
      <c r="GF239" t="e">
        <f>'Compiled Agents'!D746+"h_l!.gy"</f>
        <v>#VALUE!</v>
      </c>
      <c r="GG239" t="e">
        <f>'Compiled Agents'!D747+"h_l!.gz"</f>
        <v>#VALUE!</v>
      </c>
      <c r="GH239" t="e">
        <f>'Compiled Agents'!D748+"h_l!.g{"</f>
        <v>#VALUE!</v>
      </c>
      <c r="GI239" t="e">
        <f>'Compiled Agents'!D749+"h_l!.g|"</f>
        <v>#VALUE!</v>
      </c>
      <c r="GJ239" t="e">
        <f>'Compiled Agents'!D750+"h_l!.g}"</f>
        <v>#VALUE!</v>
      </c>
      <c r="GK239" t="e">
        <f>'Compiled Agents'!D751+"h_l!.g~"</f>
        <v>#VALUE!</v>
      </c>
      <c r="GL239" t="e">
        <f>'Compiled Agents'!D752+"h_l!.h#"</f>
        <v>#VALUE!</v>
      </c>
      <c r="GM239" t="e">
        <f>'Compiled Agents'!D753+"h_l!.h$"</f>
        <v>#VALUE!</v>
      </c>
      <c r="GN239" t="e">
        <f>'Compiled Agents'!D754+"h_l!.h%"</f>
        <v>#VALUE!</v>
      </c>
      <c r="GO239" t="e">
        <f>'Compiled Agents'!D755+"h_l!.h&amp;"</f>
        <v>#VALUE!</v>
      </c>
      <c r="GP239" t="e">
        <f>'Compiled Agents'!D756+"h_l!.h'"</f>
        <v>#VALUE!</v>
      </c>
      <c r="GQ239" t="e">
        <f>'Compiled Agents'!D757+"h_l!.h("</f>
        <v>#VALUE!</v>
      </c>
      <c r="GR239" t="e">
        <f>'Compiled Agents'!D758+"h_l!.h)"</f>
        <v>#VALUE!</v>
      </c>
      <c r="GS239" t="e">
        <f>'Compiled Agents'!D759+"h_l!.h."</f>
        <v>#VALUE!</v>
      </c>
      <c r="GT239" t="e">
        <f>'Compiled Agents'!D760+"h_l!.h/"</f>
        <v>#VALUE!</v>
      </c>
      <c r="GU239" t="e">
        <f>'Compiled Agents'!D761+"h_l!.h0"</f>
        <v>#VALUE!</v>
      </c>
      <c r="GV239" t="e">
        <f>'Compiled Agents'!D762+"h_l!.h1"</f>
        <v>#VALUE!</v>
      </c>
      <c r="GW239" t="e">
        <f>'Compiled Agents'!D763+"h_l!.h2"</f>
        <v>#VALUE!</v>
      </c>
      <c r="GX239" t="e">
        <f>'Compiled Agents'!D764+"h_l!.h3"</f>
        <v>#VALUE!</v>
      </c>
      <c r="GY239" t="e">
        <f>'Compiled Agents'!D765+"h_l!.h4"</f>
        <v>#VALUE!</v>
      </c>
      <c r="GZ239" t="e">
        <f>'Compiled Agents'!D766+"h_l!.h5"</f>
        <v>#VALUE!</v>
      </c>
      <c r="HA239" t="e">
        <f>'Compiled Agents'!D767+"h_l!.h6"</f>
        <v>#VALUE!</v>
      </c>
      <c r="HB239" t="e">
        <f>'Compiled Agents'!D768+"h_l!.h7"</f>
        <v>#VALUE!</v>
      </c>
      <c r="HC239" t="e">
        <f>'Compiled Agents'!D769+"h_l!.h8"</f>
        <v>#VALUE!</v>
      </c>
      <c r="HD239" t="e">
        <f>'Compiled Agents'!D770+"h_l!.h9"</f>
        <v>#VALUE!</v>
      </c>
      <c r="HE239" t="e">
        <f>'Compiled Agents'!D771+"h_l!.h:"</f>
        <v>#VALUE!</v>
      </c>
      <c r="HF239" t="e">
        <f>'Compiled Agents'!D772+"h_l!.h;"</f>
        <v>#VALUE!</v>
      </c>
      <c r="HG239" t="e">
        <f>'Compiled Agents'!D773+"h_l!.h&lt;"</f>
        <v>#VALUE!</v>
      </c>
      <c r="HH239" t="e">
        <f>'Compiled Agents'!D774+"h_l!.h="</f>
        <v>#VALUE!</v>
      </c>
      <c r="HI239" t="e">
        <f>'Compiled Agents'!D775+"h_l!.h&gt;"</f>
        <v>#VALUE!</v>
      </c>
      <c r="HJ239" t="e">
        <f>'Compiled Agents'!D776+"h_l!.h?"</f>
        <v>#VALUE!</v>
      </c>
      <c r="HK239" t="e">
        <f>'Compiled Agents'!D777+"h_l!.h@"</f>
        <v>#VALUE!</v>
      </c>
      <c r="HL239" t="e">
        <f>'Compiled Agents'!D778+"h_l!.hA"</f>
        <v>#VALUE!</v>
      </c>
      <c r="HM239" t="e">
        <f>'Compiled Agents'!D779+"h_l!.hB"</f>
        <v>#VALUE!</v>
      </c>
      <c r="HN239" t="e">
        <f>'Compiled Agents'!D780+"h_l!.hC"</f>
        <v>#VALUE!</v>
      </c>
      <c r="HO239" t="e">
        <f>'Compiled Agents'!D781+"h_l!.hD"</f>
        <v>#VALUE!</v>
      </c>
      <c r="HP239" t="e">
        <f>'Compiled Agents'!D782+"h_l!.hE"</f>
        <v>#VALUE!</v>
      </c>
      <c r="HQ239" t="e">
        <f>'Compiled Agents'!D783+"h_l!.hF"</f>
        <v>#VALUE!</v>
      </c>
      <c r="HR239" t="e">
        <f>'Compiled Agents'!D784+"h_l!.hG"</f>
        <v>#VALUE!</v>
      </c>
      <c r="HS239" t="e">
        <f>'Compiled Agents'!D785+"h_l!.hH"</f>
        <v>#VALUE!</v>
      </c>
      <c r="HT239" t="e">
        <f>'Compiled Agents'!D786+"h_l!.hI"</f>
        <v>#VALUE!</v>
      </c>
      <c r="HU239" t="e">
        <f>'Compiled Agents'!D787+"h_l!.hJ"</f>
        <v>#VALUE!</v>
      </c>
      <c r="HV239" t="e">
        <f>'Compiled Agents'!D788+"h_l!.hK"</f>
        <v>#VALUE!</v>
      </c>
      <c r="HW239" t="e">
        <f>'Compiled Agents'!D789+"h_l!.hL"</f>
        <v>#VALUE!</v>
      </c>
      <c r="HX239" t="e">
        <f>'Compiled Agents'!D790+"h_l!.hM"</f>
        <v>#VALUE!</v>
      </c>
      <c r="HY239" t="e">
        <f>'Compiled Agents'!D791+"h_l!.hN"</f>
        <v>#VALUE!</v>
      </c>
      <c r="HZ239" t="e">
        <f>'Compiled Agents'!D792+"h_l!.hO"</f>
        <v>#VALUE!</v>
      </c>
      <c r="IA239" t="e">
        <f>'Compiled Agents'!D793+"h_l!.hP"</f>
        <v>#VALUE!</v>
      </c>
      <c r="IB239" t="e">
        <f>'Compiled Agents'!D794+"h_l!.hQ"</f>
        <v>#VALUE!</v>
      </c>
      <c r="IC239" t="e">
        <f>'Compiled Agents'!D795+"h_l!.hR"</f>
        <v>#VALUE!</v>
      </c>
      <c r="ID239" t="e">
        <f>'Compiled Agents'!D796+"h_l!.hS"</f>
        <v>#VALUE!</v>
      </c>
      <c r="IE239" t="e">
        <f>'Compiled Agents'!D797+"h_l!.hT"</f>
        <v>#VALUE!</v>
      </c>
      <c r="IF239" t="e">
        <f>'Compiled Agents'!D798+"h_l!.hU"</f>
        <v>#VALUE!</v>
      </c>
      <c r="IG239" t="e">
        <f>'Compiled Agents'!D799+"h_l!.hV"</f>
        <v>#VALUE!</v>
      </c>
      <c r="IH239" t="e">
        <f>'Compiled Agents'!D800+"h_l!.hW"</f>
        <v>#VALUE!</v>
      </c>
      <c r="II239" t="e">
        <f>'Compiled Agents'!D801+"h_l!.hX"</f>
        <v>#VALUE!</v>
      </c>
      <c r="IJ239" t="e">
        <f>'Compiled Agents'!D802+"h_l!.hY"</f>
        <v>#VALUE!</v>
      </c>
      <c r="IK239" t="e">
        <f>'Compiled Agents'!D803+"h_l!.hZ"</f>
        <v>#VALUE!</v>
      </c>
      <c r="IL239" t="e">
        <f>'Compiled Agents'!D804+"h_l!.h["</f>
        <v>#VALUE!</v>
      </c>
      <c r="IM239" t="e">
        <f>'Compiled Agents'!D805+"h_l!.h\"</f>
        <v>#VALUE!</v>
      </c>
      <c r="IN239" t="e">
        <f>'Compiled Agents'!D806+"h_l!.h]"</f>
        <v>#VALUE!</v>
      </c>
      <c r="IO239" t="e">
        <f>'Compiled Agents'!D807+"h_l!.h^"</f>
        <v>#VALUE!</v>
      </c>
      <c r="IP239" t="e">
        <f>'Compiled Agents'!D808+"h_l!.h_"</f>
        <v>#VALUE!</v>
      </c>
      <c r="IQ239" t="e">
        <f>'Compiled Agents'!D809+"h_l!.h`"</f>
        <v>#VALUE!</v>
      </c>
      <c r="IR239" t="e">
        <f>'Compiled Agents'!D810+"h_l!.ha"</f>
        <v>#VALUE!</v>
      </c>
      <c r="IS239" t="e">
        <f>'Compiled Agents'!D811+"h_l!.hb"</f>
        <v>#VALUE!</v>
      </c>
      <c r="IT239" t="e">
        <f>'Compiled Agents'!D812+"h_l!.hc"</f>
        <v>#VALUE!</v>
      </c>
      <c r="IU239" t="e">
        <f>'Compiled Agents'!D813+"h_l!.hd"</f>
        <v>#VALUE!</v>
      </c>
      <c r="IV239" t="e">
        <f>'Compiled Agents'!D814+"h_l!.he"</f>
        <v>#VALUE!</v>
      </c>
    </row>
    <row r="240" spans="6:256" x14ac:dyDescent="0.25">
      <c r="F240" t="e">
        <f>'Compiled Agents'!D815+"h_l!.hf"</f>
        <v>#VALUE!</v>
      </c>
      <c r="G240" t="e">
        <f>'Compiled Agents'!D816+"h_l!.hg"</f>
        <v>#VALUE!</v>
      </c>
      <c r="H240" t="e">
        <f>'Compiled Agents'!D817+"h_l!.hh"</f>
        <v>#VALUE!</v>
      </c>
      <c r="I240" t="e">
        <f>'Compiled Agents'!D818+"h_l!.hi"</f>
        <v>#VALUE!</v>
      </c>
      <c r="J240" t="e">
        <f>'Compiled Agents'!D819+"h_l!.hj"</f>
        <v>#VALUE!</v>
      </c>
      <c r="K240" t="e">
        <f>'Compiled Agents'!D820+"h_l!.hk"</f>
        <v>#VALUE!</v>
      </c>
      <c r="L240" t="e">
        <f>'Compiled Agents'!D821+"h_l!.hl"</f>
        <v>#VALUE!</v>
      </c>
      <c r="M240" t="e">
        <f>'Compiled Agents'!D822+"h_l!.hm"</f>
        <v>#VALUE!</v>
      </c>
      <c r="N240" t="e">
        <f>'Compiled Agents'!D823+"h_l!.hn"</f>
        <v>#VALUE!</v>
      </c>
      <c r="O240" t="e">
        <f>'Compiled Agents'!D824+"h_l!.ho"</f>
        <v>#VALUE!</v>
      </c>
      <c r="P240" t="e">
        <f>'Compiled Agents'!D825+"h_l!.hp"</f>
        <v>#VALUE!</v>
      </c>
      <c r="Q240" t="e">
        <f>'Compiled Agents'!D826+"h_l!.hq"</f>
        <v>#VALUE!</v>
      </c>
      <c r="R240" t="e">
        <f>'Compiled Agents'!D827+"h_l!.hr"</f>
        <v>#VALUE!</v>
      </c>
      <c r="S240" t="e">
        <f>'Compiled Agents'!D828+"h_l!.hs"</f>
        <v>#VALUE!</v>
      </c>
      <c r="T240" t="e">
        <f>'Compiled Agents'!D829+"h_l!.ht"</f>
        <v>#VALUE!</v>
      </c>
      <c r="U240" t="e">
        <f>'Compiled Agents'!D830+"h_l!.hu"</f>
        <v>#VALUE!</v>
      </c>
      <c r="V240" t="e">
        <f>'Compiled Agents'!D831+"h_l!.hv"</f>
        <v>#VALUE!</v>
      </c>
      <c r="W240" t="e">
        <f>'Compiled Agents'!D832+"h_l!.hw"</f>
        <v>#VALUE!</v>
      </c>
      <c r="X240" t="e">
        <f>'Compiled Agents'!D833+"h_l!.hx"</f>
        <v>#VALUE!</v>
      </c>
      <c r="Y240" t="e">
        <f>'Compiled Agents'!D834+"h_l!.hy"</f>
        <v>#VALUE!</v>
      </c>
      <c r="Z240" t="e">
        <f>'Compiled Agents'!D835+"h_l!.hz"</f>
        <v>#VALUE!</v>
      </c>
      <c r="AA240" t="e">
        <f>'Compiled Agents'!D836+"h_l!.h{"</f>
        <v>#VALUE!</v>
      </c>
      <c r="AB240" t="e">
        <f>'Compiled Agents'!D837+"h_l!.h|"</f>
        <v>#VALUE!</v>
      </c>
      <c r="AC240" t="e">
        <f>'Compiled Agents'!D838+"h_l!.h}"</f>
        <v>#VALUE!</v>
      </c>
      <c r="AD240" t="e">
        <f>'Compiled Agents'!D839+"h_l!.h~"</f>
        <v>#VALUE!</v>
      </c>
      <c r="AE240" t="e">
        <f>'Compiled Agents'!D840+"h_l!.i#"</f>
        <v>#VALUE!</v>
      </c>
      <c r="AF240" t="e">
        <f>'Compiled Agents'!D841+"h_l!.i$"</f>
        <v>#VALUE!</v>
      </c>
      <c r="AG240" t="e">
        <f>'Compiled Agents'!D842+"h_l!.i%"</f>
        <v>#VALUE!</v>
      </c>
      <c r="AH240" t="e">
        <f>'Compiled Agents'!D843+"h_l!.i&amp;"</f>
        <v>#VALUE!</v>
      </c>
      <c r="AI240" t="e">
        <f>'Compiled Agents'!D844+"h_l!.i'"</f>
        <v>#VALUE!</v>
      </c>
      <c r="AJ240" t="e">
        <f>'Compiled Agents'!D845+"h_l!.i("</f>
        <v>#VALUE!</v>
      </c>
      <c r="AK240" t="e">
        <f>'Compiled Agents'!D846+"h_l!.i)"</f>
        <v>#VALUE!</v>
      </c>
      <c r="AL240" t="e">
        <f>'Compiled Agents'!D847+"h_l!.i."</f>
        <v>#VALUE!</v>
      </c>
      <c r="AM240" t="e">
        <f>'Compiled Agents'!D848+"h_l!.i/"</f>
        <v>#VALUE!</v>
      </c>
      <c r="AN240" t="e">
        <f>'Compiled Agents'!D849+"h_l!.i0"</f>
        <v>#VALUE!</v>
      </c>
      <c r="AO240" t="e">
        <f>'Compiled Agents'!D850+"h_l!.i1"</f>
        <v>#VALUE!</v>
      </c>
      <c r="AP240" t="e">
        <f>'Compiled Agents'!D851+"h_l!.i2"</f>
        <v>#VALUE!</v>
      </c>
      <c r="AQ240" t="e">
        <f>'Compiled Agents'!D852+"h_l!.i3"</f>
        <v>#VALUE!</v>
      </c>
      <c r="AR240" t="e">
        <f>'Compiled Agents'!D853+"h_l!.i4"</f>
        <v>#VALUE!</v>
      </c>
      <c r="AS240" t="e">
        <f>'Compiled Agents'!D854+"h_l!.i5"</f>
        <v>#VALUE!</v>
      </c>
      <c r="AT240" t="e">
        <f>'Compiled Agents'!D855+"h_l!.i6"</f>
        <v>#VALUE!</v>
      </c>
      <c r="AU240" t="e">
        <f>'Compiled Agents'!D856+"h_l!.i7"</f>
        <v>#VALUE!</v>
      </c>
      <c r="AV240" t="e">
        <f>'Compiled Agents'!D857+"h_l!.i8"</f>
        <v>#VALUE!</v>
      </c>
      <c r="AW240" t="e">
        <f>'Compiled Agents'!D858+"h_l!.i9"</f>
        <v>#VALUE!</v>
      </c>
      <c r="AX240" t="e">
        <f>'Compiled Agents'!D859+"h_l!.i:"</f>
        <v>#VALUE!</v>
      </c>
      <c r="AY240" t="e">
        <f>'Compiled Agents'!D860+"h_l!.i;"</f>
        <v>#VALUE!</v>
      </c>
      <c r="AZ240" t="e">
        <f>'Compiled Agents'!D861+"h_l!.i&lt;"</f>
        <v>#VALUE!</v>
      </c>
      <c r="BA240" t="e">
        <f>'Compiled Agents'!D862+"h_l!.i="</f>
        <v>#VALUE!</v>
      </c>
      <c r="BB240" t="e">
        <f>'Compiled Agents'!D863+"h_l!.i&gt;"</f>
        <v>#VALUE!</v>
      </c>
      <c r="BC240" t="e">
        <f>'Compiled Agents'!D864+"h_l!.i?"</f>
        <v>#VALUE!</v>
      </c>
      <c r="BD240" t="e">
        <f>'Compiled Agents'!D865+"h_l!.i@"</f>
        <v>#VALUE!</v>
      </c>
      <c r="BE240" t="e">
        <f>'Compiled Agents'!D866+"h_l!.iA"</f>
        <v>#VALUE!</v>
      </c>
      <c r="BF240" t="e">
        <f>'Compiled Agents'!D867+"h_l!.iB"</f>
        <v>#VALUE!</v>
      </c>
      <c r="BG240" t="e">
        <f>'Compiled Agents'!D868+"h_l!.iC"</f>
        <v>#VALUE!</v>
      </c>
      <c r="BH240" t="e">
        <f>'Compiled Agents'!D869+"h_l!.iD"</f>
        <v>#VALUE!</v>
      </c>
      <c r="BI240" t="e">
        <f>'Compiled Agents'!D870+"h_l!.iE"</f>
        <v>#VALUE!</v>
      </c>
      <c r="BJ240" t="e">
        <f>'Compiled Agents'!D871+"h_l!.iF"</f>
        <v>#VALUE!</v>
      </c>
      <c r="BK240" t="e">
        <f>'Compiled Agents'!D872+"h_l!.iG"</f>
        <v>#VALUE!</v>
      </c>
      <c r="BL240" t="e">
        <f>'Compiled Agents'!D873+"h_l!.iH"</f>
        <v>#VALUE!</v>
      </c>
      <c r="BM240" t="e">
        <f>'Compiled Agents'!D874+"h_l!.iI"</f>
        <v>#VALUE!</v>
      </c>
      <c r="BN240" t="e">
        <f>'Compiled Agents'!D875+"h_l!.iJ"</f>
        <v>#VALUE!</v>
      </c>
      <c r="BO240" t="e">
        <f>'Compiled Agents'!D876+"h_l!.iK"</f>
        <v>#VALUE!</v>
      </c>
      <c r="BP240" t="e">
        <f>'Compiled Agents'!D877+"h_l!.iL"</f>
        <v>#VALUE!</v>
      </c>
      <c r="BQ240" t="e">
        <f>'Compiled Agents'!D878+"h_l!.iM"</f>
        <v>#VALUE!</v>
      </c>
      <c r="BR240" t="e">
        <f>'Compiled Agents'!D879+"h_l!.iN"</f>
        <v>#VALUE!</v>
      </c>
      <c r="BS240" t="e">
        <f>'Compiled Agents'!D880+"h_l!.iO"</f>
        <v>#VALUE!</v>
      </c>
      <c r="BT240" t="e">
        <f>'Compiled Agents'!D881+"h_l!.iP"</f>
        <v>#VALUE!</v>
      </c>
      <c r="BU240" t="e">
        <f>'Compiled Agents'!D882+"h_l!.iQ"</f>
        <v>#VALUE!</v>
      </c>
      <c r="BV240" t="e">
        <f>'Compiled Agents'!D883+"h_l!.iR"</f>
        <v>#VALUE!</v>
      </c>
      <c r="BW240" t="e">
        <f>'Compiled Agents'!D884+"h_l!.iS"</f>
        <v>#VALUE!</v>
      </c>
      <c r="BX240" t="e">
        <f>'Compiled Agents'!D885+"h_l!.iT"</f>
        <v>#VALUE!</v>
      </c>
      <c r="BY240" t="e">
        <f>'Compiled Agents'!D886+"h_l!.iU"</f>
        <v>#VALUE!</v>
      </c>
      <c r="BZ240" t="e">
        <f>'Compiled Agents'!D887+"h_l!.iV"</f>
        <v>#VALUE!</v>
      </c>
      <c r="CA240" t="e">
        <f>'Compiled Agents'!D888+"h_l!.iW"</f>
        <v>#VALUE!</v>
      </c>
      <c r="CB240" t="e">
        <f>'Compiled Agents'!D889+"h_l!.iX"</f>
        <v>#VALUE!</v>
      </c>
      <c r="CC240" t="e">
        <f>'Compiled Agents'!D890+"h_l!.iY"</f>
        <v>#VALUE!</v>
      </c>
      <c r="CD240" t="e">
        <f>'Compiled Agents'!D891+"h_l!.iZ"</f>
        <v>#VALUE!</v>
      </c>
      <c r="CE240" t="e">
        <f>'Compiled Agents'!D892+"h_l!.i["</f>
        <v>#VALUE!</v>
      </c>
      <c r="CF240" t="e">
        <f>'Compiled Agents'!D893+"h_l!.i\"</f>
        <v>#VALUE!</v>
      </c>
      <c r="CG240" t="e">
        <f>'Compiled Agents'!D894+"h_l!.i]"</f>
        <v>#VALUE!</v>
      </c>
      <c r="CH240" t="e">
        <f>'Compiled Agents'!D895+"h_l!.i^"</f>
        <v>#VALUE!</v>
      </c>
      <c r="CI240" t="e">
        <f>'Compiled Agents'!D896+"h_l!.i_"</f>
        <v>#VALUE!</v>
      </c>
      <c r="CJ240" t="e">
        <f>'Compiled Agents'!D897+"h_l!.i`"</f>
        <v>#VALUE!</v>
      </c>
      <c r="CK240" t="e">
        <f>'Compiled Agents'!D898+"h_l!.ia"</f>
        <v>#VALUE!</v>
      </c>
      <c r="CL240" t="e">
        <f>'Compiled Agents'!D899+"h_l!.ib"</f>
        <v>#VALUE!</v>
      </c>
      <c r="CM240" t="e">
        <f>'Compiled Agents'!D900+"h_l!.ic"</f>
        <v>#VALUE!</v>
      </c>
      <c r="CN240" t="e">
        <f>'Compiled Agents'!D901+"h_l!.id"</f>
        <v>#VALUE!</v>
      </c>
      <c r="CO240" t="e">
        <f>'Compiled Agents'!D902+"h_l!.ie"</f>
        <v>#VALUE!</v>
      </c>
      <c r="CP240" t="e">
        <f>'Compiled Agents'!D903+"h_l!.if"</f>
        <v>#VALUE!</v>
      </c>
      <c r="CQ240" t="e">
        <f>'Compiled Agents'!D904+"h_l!.ig"</f>
        <v>#VALUE!</v>
      </c>
      <c r="CR240" t="e">
        <f>'Compiled Agents'!D905+"h_l!.ih"</f>
        <v>#VALUE!</v>
      </c>
      <c r="CS240" t="e">
        <f>'Compiled Agents'!D906+"h_l!.ii"</f>
        <v>#VALUE!</v>
      </c>
      <c r="CT240" t="e">
        <f>'Compiled Agents'!D907+"h_l!.ij"</f>
        <v>#VALUE!</v>
      </c>
      <c r="CU240" t="e">
        <f>'Compiled Agents'!D908+"h_l!.ik"</f>
        <v>#VALUE!</v>
      </c>
      <c r="CV240" t="e">
        <f>'Compiled Agents'!D909+"h_l!.il"</f>
        <v>#VALUE!</v>
      </c>
      <c r="CW240" t="e">
        <f>'Compiled Agents'!D910+"h_l!.im"</f>
        <v>#VALUE!</v>
      </c>
      <c r="CX240" t="e">
        <f>'Compiled Agents'!D911+"h_l!.in"</f>
        <v>#VALUE!</v>
      </c>
      <c r="CY240" t="e">
        <f>'Compiled Agents'!D912+"h_l!.io"</f>
        <v>#VALUE!</v>
      </c>
      <c r="CZ240" t="e">
        <f>'Compiled Agents'!D913+"h_l!.ip"</f>
        <v>#VALUE!</v>
      </c>
      <c r="DA240" t="e">
        <f>'Compiled Agents'!D914+"h_l!.iq"</f>
        <v>#VALUE!</v>
      </c>
      <c r="DB240" t="e">
        <f>'Compiled Agents'!D915+"h_l!.ir"</f>
        <v>#VALUE!</v>
      </c>
      <c r="DC240" t="e">
        <f>'Compiled Agents'!D916+"h_l!.is"</f>
        <v>#VALUE!</v>
      </c>
      <c r="DD240" t="e">
        <f>'Compiled Agents'!D917+"h_l!.it"</f>
        <v>#VALUE!</v>
      </c>
      <c r="DE240" t="e">
        <f>'Compiled Agents'!D918+"h_l!.iu"</f>
        <v>#VALUE!</v>
      </c>
      <c r="DF240" t="e">
        <f>'Compiled Agents'!D919+"h_l!.iv"</f>
        <v>#VALUE!</v>
      </c>
      <c r="DG240" t="e">
        <f>'Compiled Agents'!D920+"h_l!.iw"</f>
        <v>#VALUE!</v>
      </c>
      <c r="DH240" t="e">
        <f>'Compiled Agents'!D921+"h_l!.ix"</f>
        <v>#VALUE!</v>
      </c>
      <c r="DI240" t="e">
        <f>'Compiled Agents'!D922+"h_l!.iy"</f>
        <v>#VALUE!</v>
      </c>
      <c r="DJ240" t="e">
        <f>'Compiled Agents'!D923+"h_l!.iz"</f>
        <v>#VALUE!</v>
      </c>
      <c r="DK240" t="e">
        <f>'Compiled Agents'!D924+"h_l!.i{"</f>
        <v>#VALUE!</v>
      </c>
      <c r="DL240" t="e">
        <f>'Compiled Agents'!D925+"h_l!.i|"</f>
        <v>#VALUE!</v>
      </c>
      <c r="DM240" t="e">
        <f>'Compiled Agents'!D926+"h_l!.i}"</f>
        <v>#VALUE!</v>
      </c>
      <c r="DN240" t="e">
        <f>'Compiled Agents'!D927+"h_l!.i~"</f>
        <v>#VALUE!</v>
      </c>
      <c r="DO240" t="e">
        <f>'Compiled Agents'!D928+"h_l!.j#"</f>
        <v>#VALUE!</v>
      </c>
      <c r="DP240" t="e">
        <f>'Compiled Agents'!D929+"h_l!.j$"</f>
        <v>#VALUE!</v>
      </c>
      <c r="DQ240" t="e">
        <f>'Compiled Agents'!D930+"h_l!.j%"</f>
        <v>#VALUE!</v>
      </c>
      <c r="DR240" t="e">
        <f>'Compiled Agents'!D931+"h_l!.j&amp;"</f>
        <v>#VALUE!</v>
      </c>
      <c r="DS240" t="e">
        <f>'Compiled Agents'!D932+"h_l!.j'"</f>
        <v>#VALUE!</v>
      </c>
      <c r="DT240" t="e">
        <f>'Compiled Agents'!D933+"h_l!.j("</f>
        <v>#VALUE!</v>
      </c>
      <c r="DU240" t="e">
        <f>'Compiled Agents'!D934+"h_l!.j)"</f>
        <v>#VALUE!</v>
      </c>
      <c r="DV240" t="e">
        <f>'Compiled Agents'!D935+"h_l!.j."</f>
        <v>#VALUE!</v>
      </c>
      <c r="DW240" t="e">
        <f>'Compiled Agents'!D936+"h_l!.j/"</f>
        <v>#VALUE!</v>
      </c>
      <c r="DX240" t="e">
        <f>'Compiled Agents'!D937+"h_l!.j0"</f>
        <v>#VALUE!</v>
      </c>
      <c r="DY240" t="e">
        <f>'Compiled Agents'!D938+"h_l!.j1"</f>
        <v>#VALUE!</v>
      </c>
      <c r="DZ240" t="e">
        <f>'Compiled Agents'!D939+"h_l!.j2"</f>
        <v>#VALUE!</v>
      </c>
      <c r="EA240" t="e">
        <f>'Compiled Agents'!D940+"h_l!.j3"</f>
        <v>#VALUE!</v>
      </c>
      <c r="EB240" t="e">
        <f>'Compiled Agents'!D941+"h_l!.j4"</f>
        <v>#VALUE!</v>
      </c>
      <c r="EC240" t="e">
        <f>'Compiled Agents'!D942+"h_l!.j5"</f>
        <v>#VALUE!</v>
      </c>
      <c r="ED240" t="e">
        <f>'Compiled Agents'!D943+"h_l!.j6"</f>
        <v>#VALUE!</v>
      </c>
      <c r="EE240" t="e">
        <f>'Compiled Agents'!D944+"h_l!.j7"</f>
        <v>#VALUE!</v>
      </c>
      <c r="EF240" t="e">
        <f>'Compiled Agents'!D945+"h_l!.j8"</f>
        <v>#VALUE!</v>
      </c>
      <c r="EG240" t="e">
        <f>'Compiled Agents'!D946+"h_l!.j9"</f>
        <v>#VALUE!</v>
      </c>
      <c r="EH240" t="e">
        <f>'Compiled Agents'!D947+"h_l!.j:"</f>
        <v>#VALUE!</v>
      </c>
      <c r="EI240" t="e">
        <f>'Compiled Agents'!D948+"h_l!.j;"</f>
        <v>#VALUE!</v>
      </c>
      <c r="EJ240" t="e">
        <f>'Compiled Agents'!D949+"h_l!.j&lt;"</f>
        <v>#VALUE!</v>
      </c>
      <c r="EK240" t="e">
        <f>'Compiled Agents'!D950+"h_l!.j="</f>
        <v>#VALUE!</v>
      </c>
      <c r="EL240" t="e">
        <f>'Compiled Agents'!D951+"h_l!.j&gt;"</f>
        <v>#VALUE!</v>
      </c>
      <c r="EM240" t="e">
        <f>'Compiled Agents'!D952+"h_l!.j?"</f>
        <v>#VALUE!</v>
      </c>
      <c r="EN240" t="e">
        <f>'Compiled Agents'!D953+"h_l!.j@"</f>
        <v>#VALUE!</v>
      </c>
      <c r="EO240" t="e">
        <f>'Compiled Agents'!D954+"h_l!.jA"</f>
        <v>#VALUE!</v>
      </c>
      <c r="EP240" t="e">
        <f>'Compiled Agents'!D955+"h_l!.jB"</f>
        <v>#VALUE!</v>
      </c>
      <c r="EQ240" t="e">
        <f>'Compiled Agents'!D956+"h_l!.jC"</f>
        <v>#VALUE!</v>
      </c>
      <c r="ER240" t="e">
        <f>'Compiled Agents'!D957+"h_l!.jD"</f>
        <v>#VALUE!</v>
      </c>
      <c r="ES240" t="e">
        <f>'Compiled Agents'!D958+"h_l!.jE"</f>
        <v>#VALUE!</v>
      </c>
      <c r="ET240" t="e">
        <f>'Compiled Agents'!D959+"h_l!.jF"</f>
        <v>#VALUE!</v>
      </c>
      <c r="EU240" t="e">
        <f>'Compiled Agents'!D960+"h_l!.jG"</f>
        <v>#VALUE!</v>
      </c>
      <c r="EV240" t="e">
        <f>'Compiled Agents'!D961+"h_l!.jH"</f>
        <v>#VALUE!</v>
      </c>
      <c r="EW240" t="e">
        <f>'Compiled Agents'!D962+"h_l!.jI"</f>
        <v>#VALUE!</v>
      </c>
      <c r="EX240" t="e">
        <f>'Compiled Agents'!D963+"h_l!.jJ"</f>
        <v>#VALUE!</v>
      </c>
      <c r="EY240" t="e">
        <f>'Compiled Agents'!D964+"h_l!.jK"</f>
        <v>#VALUE!</v>
      </c>
      <c r="EZ240" t="e">
        <f>'Compiled Agents'!D965+"h_l!.jL"</f>
        <v>#VALUE!</v>
      </c>
      <c r="FA240" t="e">
        <f>'Compiled Agents'!D966+"h_l!.jM"</f>
        <v>#VALUE!</v>
      </c>
      <c r="FB240" t="e">
        <f>'Compiled Agents'!D967+"h_l!.jN"</f>
        <v>#VALUE!</v>
      </c>
      <c r="FC240" t="e">
        <f>'Compiled Agents'!D968+"h_l!.jO"</f>
        <v>#VALUE!</v>
      </c>
      <c r="FD240" t="e">
        <f>'Compiled Agents'!D969+"h_l!.jP"</f>
        <v>#VALUE!</v>
      </c>
      <c r="FE240" t="e">
        <f>'Compiled Agents'!D970+"h_l!.jQ"</f>
        <v>#VALUE!</v>
      </c>
      <c r="FF240" t="e">
        <f>'Compiled Agents'!D971+"h_l!.jR"</f>
        <v>#VALUE!</v>
      </c>
      <c r="FG240" t="e">
        <f>'Compiled Agents'!D972+"h_l!.jS"</f>
        <v>#VALUE!</v>
      </c>
      <c r="FH240" t="e">
        <f>'Compiled Agents'!D973+"h_l!.jT"</f>
        <v>#VALUE!</v>
      </c>
      <c r="FI240" t="e">
        <f>'Compiled Agents'!D974+"h_l!.jU"</f>
        <v>#VALUE!</v>
      </c>
      <c r="FJ240" t="e">
        <f>'Compiled Agents'!D975+"h_l!.jV"</f>
        <v>#VALUE!</v>
      </c>
      <c r="FK240" t="e">
        <f>'Compiled Agents'!D976+"h_l!.jW"</f>
        <v>#VALUE!</v>
      </c>
      <c r="FL240" t="e">
        <f>'Compiled Agents'!D977+"h_l!.jX"</f>
        <v>#VALUE!</v>
      </c>
      <c r="FM240" t="e">
        <f>'Compiled Agents'!D978+"h_l!.jY"</f>
        <v>#VALUE!</v>
      </c>
      <c r="FN240" t="e">
        <f>'Compiled Agents'!D979+"h_l!.jZ"</f>
        <v>#VALUE!</v>
      </c>
      <c r="FO240" t="e">
        <f>'Compiled Agents'!D980+"h_l!.j["</f>
        <v>#VALUE!</v>
      </c>
      <c r="FP240" t="e">
        <f>'Compiled Agents'!D981+"h_l!.j\"</f>
        <v>#VALUE!</v>
      </c>
      <c r="FQ240" t="e">
        <f>'Compiled Agents'!D982+"h_l!.j]"</f>
        <v>#VALUE!</v>
      </c>
      <c r="FR240" t="e">
        <f>'Compiled Agents'!D983+"h_l!.j^"</f>
        <v>#VALUE!</v>
      </c>
      <c r="FS240" t="e">
        <f>'Compiled Agents'!D984+"h_l!.j_"</f>
        <v>#VALUE!</v>
      </c>
      <c r="FT240" t="e">
        <f>'Compiled Agents'!D985+"h_l!.j`"</f>
        <v>#VALUE!</v>
      </c>
      <c r="FU240" t="e">
        <f>'Compiled Agents'!D986+"h_l!.ja"</f>
        <v>#VALUE!</v>
      </c>
      <c r="FV240" t="e">
        <f>'Compiled Agents'!D987+"h_l!.jb"</f>
        <v>#VALUE!</v>
      </c>
      <c r="FW240" t="e">
        <f>'Compiled Agents'!D988+"h_l!.jc"</f>
        <v>#VALUE!</v>
      </c>
      <c r="FX240" t="e">
        <f>'Compiled Agents'!D989+"h_l!.jd"</f>
        <v>#VALUE!</v>
      </c>
      <c r="FY240" t="e">
        <f>'Compiled Agents'!D990+"h_l!.je"</f>
        <v>#VALUE!</v>
      </c>
      <c r="FZ240" t="e">
        <f>'Compiled Agents'!D991+"h_l!.jf"</f>
        <v>#VALUE!</v>
      </c>
      <c r="GA240" t="e">
        <f>'Compiled Agents'!D992+"h_l!.jg"</f>
        <v>#VALUE!</v>
      </c>
      <c r="GB240" t="e">
        <f>'Compiled Agents'!D993+"h_l!.jh"</f>
        <v>#VALUE!</v>
      </c>
      <c r="GC240" t="e">
        <f>'Compiled Agents'!D994+"h_l!.ji"</f>
        <v>#VALUE!</v>
      </c>
      <c r="GD240" t="e">
        <f>'Compiled Agents'!D995+"h_l!.jj"</f>
        <v>#VALUE!</v>
      </c>
      <c r="GE240" t="e">
        <f>'Compiled Agents'!D996+"h_l!.jk"</f>
        <v>#VALUE!</v>
      </c>
      <c r="GF240" t="e">
        <f>'Compiled Agents'!D997+"h_l!.jl"</f>
        <v>#VALUE!</v>
      </c>
      <c r="GG240" t="e">
        <f>'Compiled Agents'!D998+"h_l!.jm"</f>
        <v>#VALUE!</v>
      </c>
      <c r="GH240" t="e">
        <f>'Compiled Agents'!D999+"h_l!.jn"</f>
        <v>#VALUE!</v>
      </c>
      <c r="GI240" t="e">
        <f>'Compiled Agents'!D1000+"h_l!.jo"</f>
        <v>#VALUE!</v>
      </c>
      <c r="GJ240" t="e">
        <f>'Compiled Agents'!D1001+"h_l!.jp"</f>
        <v>#VALUE!</v>
      </c>
      <c r="GK240" t="e">
        <f>'Compiled Agents'!D1002+"h_l!.jq"</f>
        <v>#VALUE!</v>
      </c>
      <c r="GL240" t="e">
        <f>'Compiled Agents'!D1003+"h_l!.jr"</f>
        <v>#VALUE!</v>
      </c>
      <c r="GM240" t="e">
        <f>'Compiled Agents'!D1004+"h_l!.js"</f>
        <v>#VALUE!</v>
      </c>
      <c r="GN240" t="e">
        <f>'Compiled Agents'!D1005+"h_l!.jt"</f>
        <v>#VALUE!</v>
      </c>
      <c r="GO240" t="e">
        <f>'Compiled Agents'!D1006+"h_l!.ju"</f>
        <v>#VALUE!</v>
      </c>
      <c r="GP240" t="e">
        <f>'Compiled Agents'!D1007+"h_l!.jv"</f>
        <v>#VALUE!</v>
      </c>
      <c r="GQ240" t="e">
        <f>'Compiled Agents'!D1008+"h_l!.jw"</f>
        <v>#VALUE!</v>
      </c>
      <c r="GR240" t="e">
        <f>'Compiled Agents'!D1009+"h_l!.jx"</f>
        <v>#VALUE!</v>
      </c>
      <c r="GS240" t="e">
        <f>'Compiled Agents'!D1010+"h_l!.jy"</f>
        <v>#VALUE!</v>
      </c>
      <c r="GT240" t="e">
        <f>'Compiled Agents'!D1011+"h_l!.jz"</f>
        <v>#VALUE!</v>
      </c>
      <c r="GU240" t="e">
        <f>'Compiled Agents'!D1012+"h_l!.j{"</f>
        <v>#VALUE!</v>
      </c>
      <c r="GV240" t="e">
        <f>'Compiled Agents'!D1013+"h_l!.j|"</f>
        <v>#VALUE!</v>
      </c>
      <c r="GW240" t="e">
        <f>'Compiled Agents'!D1014+"h_l!.j}"</f>
        <v>#VALUE!</v>
      </c>
      <c r="GX240" t="e">
        <f>'Compiled Agents'!D1015+"h_l!.j~"</f>
        <v>#VALUE!</v>
      </c>
      <c r="GY240" t="e">
        <f>'Compiled Agents'!D1016+"h_l!.k#"</f>
        <v>#VALUE!</v>
      </c>
      <c r="GZ240" t="e">
        <f>'Compiled Agents'!D1017+"h_l!.k$"</f>
        <v>#VALUE!</v>
      </c>
      <c r="HA240" t="e">
        <f>'Compiled Agents'!D1018+"h_l!.k%"</f>
        <v>#VALUE!</v>
      </c>
      <c r="HB240" t="e">
        <f>'Compiled Agents'!D1019+"h_l!.k&amp;"</f>
        <v>#VALUE!</v>
      </c>
      <c r="HC240" t="e">
        <f>'Compiled Agents'!D1020+"h_l!.k'"</f>
        <v>#VALUE!</v>
      </c>
      <c r="HD240" t="e">
        <f>'Compiled Agents'!D1021+"h_l!.k("</f>
        <v>#VALUE!</v>
      </c>
      <c r="HE240" t="e">
        <f>'Compiled Agents'!D1022+"h_l!.k)"</f>
        <v>#VALUE!</v>
      </c>
      <c r="HF240" t="e">
        <f>'Compiled Agents'!D1023+"h_l!.k."</f>
        <v>#VALUE!</v>
      </c>
      <c r="HG240" t="e">
        <f>'Compiled Agents'!D1024+"h_l!.k/"</f>
        <v>#VALUE!</v>
      </c>
      <c r="HH240" t="e">
        <f>'Compiled Agents'!D1025+"h_l!.k0"</f>
        <v>#VALUE!</v>
      </c>
      <c r="HI240" t="e">
        <f>'Compiled Agents'!D1026+"h_l!.k1"</f>
        <v>#VALUE!</v>
      </c>
      <c r="HJ240" t="e">
        <f>'Compiled Agents'!D1027+"h_l!.k2"</f>
        <v>#VALUE!</v>
      </c>
      <c r="HK240" t="e">
        <f>'Compiled Agents'!D1028+"h_l!.k3"</f>
        <v>#VALUE!</v>
      </c>
      <c r="HL240" t="e">
        <f>'Compiled Agents'!D1029+"h_l!.k4"</f>
        <v>#VALUE!</v>
      </c>
      <c r="HM240" t="e">
        <f>'Compiled Agents'!D1030+"h_l!.k5"</f>
        <v>#VALUE!</v>
      </c>
      <c r="HN240" t="e">
        <f>'Compiled Agents'!D1031+"h_l!.k6"</f>
        <v>#VALUE!</v>
      </c>
      <c r="HO240" t="e">
        <f>'Compiled Agents'!D1032+"h_l!.k7"</f>
        <v>#VALUE!</v>
      </c>
      <c r="HP240" t="e">
        <f>'Compiled Agents'!D1033+"h_l!.k8"</f>
        <v>#VALUE!</v>
      </c>
      <c r="HQ240" t="e">
        <f>'Compiled Agents'!D1034+"h_l!.k9"</f>
        <v>#VALUE!</v>
      </c>
      <c r="HR240" t="e">
        <f>'Compiled Agents'!D1035+"h_l!.k:"</f>
        <v>#VALUE!</v>
      </c>
      <c r="HS240" t="e">
        <f>'Compiled Agents'!D1036+"h_l!.k;"</f>
        <v>#VALUE!</v>
      </c>
      <c r="HT240" t="e">
        <f>'Compiled Agents'!D1037+"h_l!.k&lt;"</f>
        <v>#VALUE!</v>
      </c>
      <c r="HU240" t="e">
        <f>'Compiled Agents'!D1038+"h_l!.k="</f>
        <v>#VALUE!</v>
      </c>
      <c r="HV240" t="e">
        <f>'Compiled Agents'!D1039+"h_l!.k&gt;"</f>
        <v>#VALUE!</v>
      </c>
      <c r="HW240" t="e">
        <f>'Compiled Agents'!D1040+"h_l!.k?"</f>
        <v>#VALUE!</v>
      </c>
      <c r="HX240" t="e">
        <f>'Compiled Agents'!D1041+"h_l!.k@"</f>
        <v>#VALUE!</v>
      </c>
      <c r="HY240" t="e">
        <f>'Compiled Agents'!D1042+"h_l!.kA"</f>
        <v>#VALUE!</v>
      </c>
      <c r="HZ240" t="e">
        <f>'Compiled Agents'!D1043+"h_l!.kB"</f>
        <v>#VALUE!</v>
      </c>
      <c r="IA240" t="e">
        <f>'Compiled Agents'!D1044+"h_l!.kC"</f>
        <v>#VALUE!</v>
      </c>
      <c r="IB240" t="e">
        <f>'Compiled Agents'!D1045+"h_l!.kD"</f>
        <v>#VALUE!</v>
      </c>
      <c r="IC240" t="e">
        <f>'Compiled Agents'!D1046+"h_l!.kE"</f>
        <v>#VALUE!</v>
      </c>
      <c r="ID240" t="e">
        <f>'Compiled Agents'!D1047+"h_l!.kF"</f>
        <v>#VALUE!</v>
      </c>
      <c r="IE240" t="e">
        <f>'Compiled Agents'!D1048+"h_l!.kG"</f>
        <v>#VALUE!</v>
      </c>
      <c r="IF240" t="e">
        <f>'Compiled Agents'!D1049+"h_l!.kH"</f>
        <v>#VALUE!</v>
      </c>
      <c r="IG240" t="e">
        <f>'Compiled Agents'!D1050+"h_l!.kI"</f>
        <v>#VALUE!</v>
      </c>
      <c r="IH240" t="e">
        <f>'Compiled Agents'!D1051+"h_l!.kJ"</f>
        <v>#VALUE!</v>
      </c>
      <c r="II240" t="e">
        <f>'Compiled Agents'!D1052+"h_l!.kK"</f>
        <v>#VALUE!</v>
      </c>
      <c r="IJ240" t="e">
        <f>'Compiled Agents'!D1053+"h_l!.kL"</f>
        <v>#VALUE!</v>
      </c>
      <c r="IK240" t="e">
        <f>'Compiled Agents'!D1054+"h_l!.kM"</f>
        <v>#VALUE!</v>
      </c>
      <c r="IL240" t="e">
        <f>'Compiled Agents'!D1055+"h_l!.kN"</f>
        <v>#VALUE!</v>
      </c>
      <c r="IM240" t="e">
        <f>'Compiled Agents'!D1056+"h_l!.kO"</f>
        <v>#VALUE!</v>
      </c>
      <c r="IN240" t="e">
        <f>'Compiled Agents'!D1057+"h_l!.kP"</f>
        <v>#VALUE!</v>
      </c>
      <c r="IO240" t="e">
        <f>'Compiled Agents'!D1058+"h_l!.kQ"</f>
        <v>#VALUE!</v>
      </c>
      <c r="IP240" t="e">
        <f>'Compiled Agents'!D1059+"h_l!.kR"</f>
        <v>#VALUE!</v>
      </c>
      <c r="IQ240" t="e">
        <f>'Compiled Agents'!D1060+"h_l!.kS"</f>
        <v>#VALUE!</v>
      </c>
      <c r="IR240" t="e">
        <f>'Compiled Agents'!D1061+"h_l!.kT"</f>
        <v>#VALUE!</v>
      </c>
      <c r="IS240" t="e">
        <f>'Compiled Agents'!D1062+"h_l!.kU"</f>
        <v>#VALUE!</v>
      </c>
      <c r="IT240" t="e">
        <f>'Compiled Agents'!D1063+"h_l!.kV"</f>
        <v>#VALUE!</v>
      </c>
      <c r="IU240" t="e">
        <f>'Compiled Agents'!D1064+"h_l!.kW"</f>
        <v>#VALUE!</v>
      </c>
      <c r="IV240" t="e">
        <f>'Compiled Agents'!D1065+"h_l!.kX"</f>
        <v>#VALUE!</v>
      </c>
    </row>
    <row r="241" spans="6:256" x14ac:dyDescent="0.25">
      <c r="F241" t="e">
        <f>'Compiled Agents'!D1066+"h_l!.kY"</f>
        <v>#VALUE!</v>
      </c>
      <c r="G241" t="e">
        <f>'Compiled Agents'!D1067+"h_l!.kZ"</f>
        <v>#VALUE!</v>
      </c>
      <c r="H241" t="e">
        <f>'Compiled Agents'!D1068+"h_l!.k["</f>
        <v>#VALUE!</v>
      </c>
      <c r="I241" t="e">
        <f>'Compiled Agents'!D1069+"h_l!.k\"</f>
        <v>#VALUE!</v>
      </c>
      <c r="J241" t="e">
        <f>'Compiled Agents'!D1070+"h_l!.k]"</f>
        <v>#VALUE!</v>
      </c>
      <c r="K241" t="e">
        <f>'Compiled Agents'!D1071+"h_l!.k^"</f>
        <v>#VALUE!</v>
      </c>
      <c r="L241" t="e">
        <f>'Compiled Agents'!D1072+"h_l!.k_"</f>
        <v>#VALUE!</v>
      </c>
      <c r="M241" t="e">
        <f>'Compiled Agents'!D1073+"h_l!.k`"</f>
        <v>#VALUE!</v>
      </c>
      <c r="N241" t="e">
        <f>'Compiled Agents'!D1074+"h_l!.ka"</f>
        <v>#VALUE!</v>
      </c>
      <c r="O241" t="e">
        <f>'Compiled Agents'!D1075+"h_l!.kb"</f>
        <v>#VALUE!</v>
      </c>
      <c r="P241" t="e">
        <f>'Compiled Agents'!D1076+"h_l!.kc"</f>
        <v>#VALUE!</v>
      </c>
      <c r="Q241" t="e">
        <f>'Compiled Agents'!D1077+"h_l!.kd"</f>
        <v>#VALUE!</v>
      </c>
      <c r="R241" t="e">
        <f>'Compiled Agents'!D1078+"h_l!.ke"</f>
        <v>#VALUE!</v>
      </c>
      <c r="S241" t="e">
        <f>'Compiled Agents'!D1079+"h_l!.kf"</f>
        <v>#VALUE!</v>
      </c>
      <c r="T241" t="e">
        <f>'Compiled Agents'!D1080+"h_l!.kg"</f>
        <v>#VALUE!</v>
      </c>
      <c r="U241" t="e">
        <f>'Compiled Agents'!D1081+"h_l!.kh"</f>
        <v>#VALUE!</v>
      </c>
      <c r="V241" t="e">
        <f>'Compiled Agents'!D1082+"h_l!.ki"</f>
        <v>#VALUE!</v>
      </c>
      <c r="W241" t="e">
        <f>'Compiled Agents'!D1083+"h_l!.kj"</f>
        <v>#VALUE!</v>
      </c>
      <c r="X241" t="e">
        <f>'Compiled Agents'!D1084+"h_l!.kk"</f>
        <v>#VALUE!</v>
      </c>
      <c r="Y241" t="e">
        <f>'Compiled Agents'!D1085+"h_l!.kl"</f>
        <v>#VALUE!</v>
      </c>
      <c r="Z241" t="e">
        <f>'Compiled Agents'!D1086+"h_l!.km"</f>
        <v>#VALUE!</v>
      </c>
      <c r="AA241" t="e">
        <f>'Compiled Agents'!D1087+"h_l!.kn"</f>
        <v>#VALUE!</v>
      </c>
      <c r="AB241" t="e">
        <f>'Compiled Agents'!D1088+"h_l!.ko"</f>
        <v>#VALUE!</v>
      </c>
      <c r="AC241" t="e">
        <f>'Compiled Agents'!D1089+"h_l!.kp"</f>
        <v>#VALUE!</v>
      </c>
      <c r="AD241" t="e">
        <f>'Compiled Agents'!D1090+"h_l!.kq"</f>
        <v>#VALUE!</v>
      </c>
      <c r="AE241" t="e">
        <f>'Compiled Agents'!D1091+"h_l!.kr"</f>
        <v>#VALUE!</v>
      </c>
      <c r="AF241" t="e">
        <f>'Compiled Agents'!D1092+"h_l!.ks"</f>
        <v>#VALUE!</v>
      </c>
      <c r="AG241" t="e">
        <f>'Compiled Agents'!D1093+"h_l!.kt"</f>
        <v>#VALUE!</v>
      </c>
      <c r="AH241" t="e">
        <f>'Compiled Agents'!D1094+"h_l!.ku"</f>
        <v>#VALUE!</v>
      </c>
      <c r="AI241" t="e">
        <f>'Compiled Agents'!D1095+"h_l!.kv"</f>
        <v>#VALUE!</v>
      </c>
      <c r="AJ241" t="e">
        <f>'Compiled Agents'!D1096+"h_l!.kw"</f>
        <v>#VALUE!</v>
      </c>
      <c r="AK241" t="e">
        <f>'Compiled Agents'!D1097+"h_l!.kx"</f>
        <v>#VALUE!</v>
      </c>
      <c r="AL241" t="e">
        <f>'Compiled Agents'!D1098+"h_l!.ky"</f>
        <v>#VALUE!</v>
      </c>
      <c r="AM241" t="e">
        <f>'Compiled Agents'!D1099+"h_l!.kz"</f>
        <v>#VALUE!</v>
      </c>
      <c r="AN241" t="e">
        <f>'Compiled Agents'!D1100+"h_l!.k{"</f>
        <v>#VALUE!</v>
      </c>
      <c r="AO241" t="e">
        <f>'Compiled Agents'!D1101+"h_l!.k|"</f>
        <v>#VALUE!</v>
      </c>
      <c r="AP241" t="e">
        <f>'Compiled Agents'!D1102+"h_l!.k}"</f>
        <v>#VALUE!</v>
      </c>
      <c r="AQ241" t="e">
        <f>'Compiled Agents'!D1103+"h_l!.k~"</f>
        <v>#VALUE!</v>
      </c>
      <c r="AR241" t="e">
        <f>'Compiled Agents'!D1104+"h_l!.l#"</f>
        <v>#VALUE!</v>
      </c>
      <c r="AS241" t="e">
        <f>'Compiled Agents'!D1105+"h_l!.l$"</f>
        <v>#VALUE!</v>
      </c>
      <c r="AT241" t="e">
        <f>'Compiled Agents'!D1106+"h_l!.l%"</f>
        <v>#VALUE!</v>
      </c>
      <c r="AU241" t="e">
        <f>'Compiled Agents'!D1107+"h_l!.l&amp;"</f>
        <v>#VALUE!</v>
      </c>
      <c r="AV241" t="e">
        <f>'Compiled Agents'!D1108+"h_l!.l'"</f>
        <v>#VALUE!</v>
      </c>
      <c r="AW241" t="e">
        <f>'Compiled Agents'!D1109+"h_l!.l("</f>
        <v>#VALUE!</v>
      </c>
      <c r="AX241" t="e">
        <f>'Compiled Agents'!D1110+"h_l!.l)"</f>
        <v>#VALUE!</v>
      </c>
      <c r="AY241" t="e">
        <f>'Compiled Agents'!D1111+"h_l!.l."</f>
        <v>#VALUE!</v>
      </c>
      <c r="AZ241" t="e">
        <f>'Compiled Agents'!D1112+"h_l!.l/"</f>
        <v>#VALUE!</v>
      </c>
      <c r="BA241" t="e">
        <f>'Compiled Agents'!D1113+"h_l!.l0"</f>
        <v>#VALUE!</v>
      </c>
      <c r="BB241" t="e">
        <f>'Compiled Agents'!D1114+"h_l!.l1"</f>
        <v>#VALUE!</v>
      </c>
      <c r="BC241" t="e">
        <f>'Compiled Agents'!D1115+"h_l!.l2"</f>
        <v>#VALUE!</v>
      </c>
      <c r="BD241" t="e">
        <f>'Compiled Agents'!D1116+"h_l!.l3"</f>
        <v>#VALUE!</v>
      </c>
      <c r="BE241" t="e">
        <f>'Compiled Agents'!D1117+"h_l!.l4"</f>
        <v>#VALUE!</v>
      </c>
      <c r="BF241" t="e">
        <f>'Compiled Agents'!D1118+"h_l!.l5"</f>
        <v>#VALUE!</v>
      </c>
      <c r="BG241" t="e">
        <f>'Compiled Agents'!D1119+"h_l!.l6"</f>
        <v>#VALUE!</v>
      </c>
      <c r="BH241" t="e">
        <f>'Compiled Agents'!D1120+"h_l!.l7"</f>
        <v>#VALUE!</v>
      </c>
      <c r="BI241" t="e">
        <f>'Compiled Agents'!D1121+"h_l!.l8"</f>
        <v>#VALUE!</v>
      </c>
      <c r="BJ241" t="e">
        <f>'Compiled Agents'!D1122+"h_l!.l9"</f>
        <v>#VALUE!</v>
      </c>
      <c r="BK241" t="e">
        <f>'Compiled Agents'!D1123+"h_l!.l:"</f>
        <v>#VALUE!</v>
      </c>
      <c r="BL241" t="e">
        <f>'Compiled Agents'!D1124+"h_l!.l;"</f>
        <v>#VALUE!</v>
      </c>
      <c r="BM241" t="e">
        <f>'Compiled Agents'!D1125+"h_l!.l&lt;"</f>
        <v>#VALUE!</v>
      </c>
      <c r="BN241" t="e">
        <f>'Compiled Agents'!D1126+"h_l!.l="</f>
        <v>#VALUE!</v>
      </c>
      <c r="BO241" t="e">
        <f>'Compiled Agents'!D1127+"h_l!.l&gt;"</f>
        <v>#VALUE!</v>
      </c>
      <c r="BP241" t="e">
        <f>'Compiled Agents'!D1128+"h_l!.l?"</f>
        <v>#VALUE!</v>
      </c>
      <c r="BQ241" t="e">
        <f>'Compiled Agents'!D1129+"h_l!.l@"</f>
        <v>#VALUE!</v>
      </c>
      <c r="BR241" t="e">
        <f>'Compiled Agents'!D1130+"h_l!.lA"</f>
        <v>#VALUE!</v>
      </c>
      <c r="BS241" t="e">
        <f>'Compiled Agents'!D1131+"h_l!.lB"</f>
        <v>#VALUE!</v>
      </c>
      <c r="BT241" t="e">
        <f>'Compiled Agents'!D1132+"h_l!.lC"</f>
        <v>#VALUE!</v>
      </c>
      <c r="BU241" t="e">
        <f>'Compiled Agents'!D1133+"h_l!.lD"</f>
        <v>#VALUE!</v>
      </c>
      <c r="BV241" t="e">
        <f>'Compiled Agents'!D1134+"h_l!.lE"</f>
        <v>#VALUE!</v>
      </c>
      <c r="BW241" t="e">
        <f>'Compiled Agents'!D1135+"h_l!.lF"</f>
        <v>#VALUE!</v>
      </c>
      <c r="BX241" t="e">
        <f>'Compiled Agents'!D1136+"h_l!.lG"</f>
        <v>#VALUE!</v>
      </c>
      <c r="BY241" t="e">
        <f>'Compiled Agents'!D1137+"h_l!.lH"</f>
        <v>#VALUE!</v>
      </c>
      <c r="BZ241" t="e">
        <f>'Compiled Agents'!D1138+"h_l!.lI"</f>
        <v>#VALUE!</v>
      </c>
      <c r="CA241" t="e">
        <f>'Compiled Agents'!D1139+"h_l!.lJ"</f>
        <v>#VALUE!</v>
      </c>
      <c r="CB241" t="e">
        <f>'Compiled Agents'!D1140+"h_l!.lK"</f>
        <v>#VALUE!</v>
      </c>
      <c r="CC241" t="e">
        <f>'Compiled Agents'!D1141+"h_l!.lL"</f>
        <v>#VALUE!</v>
      </c>
      <c r="CD241" t="e">
        <f>'Compiled Agents'!D1142+"h_l!.lM"</f>
        <v>#VALUE!</v>
      </c>
      <c r="CE241" t="e">
        <f>'Compiled Agents'!D1143+"h_l!.lN"</f>
        <v>#VALUE!</v>
      </c>
      <c r="CF241" t="e">
        <f>'Compiled Agents'!D1144+"h_l!.lO"</f>
        <v>#VALUE!</v>
      </c>
      <c r="CG241" t="e">
        <f>'Compiled Agents'!D1145+"h_l!.lP"</f>
        <v>#VALUE!</v>
      </c>
      <c r="CH241" t="e">
        <f>'Compiled Agents'!D1146+"h_l!.lQ"</f>
        <v>#VALUE!</v>
      </c>
      <c r="CI241" t="e">
        <f>'Compiled Agents'!D1147+"h_l!.lR"</f>
        <v>#VALUE!</v>
      </c>
      <c r="CJ241" t="e">
        <f>'Compiled Agents'!D1148+"h_l!.lS"</f>
        <v>#VALUE!</v>
      </c>
      <c r="CK241" t="e">
        <f>'Compiled Agents'!D1149+"h_l!.lT"</f>
        <v>#VALUE!</v>
      </c>
      <c r="CL241" t="e">
        <f>'Compiled Agents'!D1150+"h_l!.lU"</f>
        <v>#VALUE!</v>
      </c>
      <c r="CM241" t="e">
        <f>'Compiled Agents'!D1151+"h_l!.lV"</f>
        <v>#VALUE!</v>
      </c>
      <c r="CN241" t="e">
        <f>'Compiled Agents'!D1152+"h_l!.lW"</f>
        <v>#VALUE!</v>
      </c>
      <c r="CO241" t="e">
        <f>'Compiled Agents'!D1153+"h_l!.lX"</f>
        <v>#VALUE!</v>
      </c>
      <c r="CP241" t="e">
        <f>'Compiled Agents'!D1154+"h_l!.lY"</f>
        <v>#VALUE!</v>
      </c>
      <c r="CQ241" t="e">
        <f>'Compiled Agents'!D1155+"h_l!.lZ"</f>
        <v>#VALUE!</v>
      </c>
      <c r="CR241" t="e">
        <f>'Compiled Agents'!D1156+"h_l!.l["</f>
        <v>#VALUE!</v>
      </c>
      <c r="CS241" t="e">
        <f>'Compiled Agents'!D1157+"h_l!.l\"</f>
        <v>#VALUE!</v>
      </c>
      <c r="CT241" t="e">
        <f>'Compiled Agents'!D1158+"h_l!.l]"</f>
        <v>#VALUE!</v>
      </c>
      <c r="CU241" t="e">
        <f>'Compiled Agents'!D1159+"h_l!.l^"</f>
        <v>#VALUE!</v>
      </c>
      <c r="CV241" t="e">
        <f>'Compiled Agents'!D1160+"h_l!.l_"</f>
        <v>#VALUE!</v>
      </c>
      <c r="CW241" t="e">
        <f>'Compiled Agents'!D1161+"h_l!.l`"</f>
        <v>#VALUE!</v>
      </c>
      <c r="CX241" t="e">
        <f>'Compiled Agents'!D1162+"h_l!.la"</f>
        <v>#VALUE!</v>
      </c>
      <c r="CY241" t="e">
        <f>'Compiled Agents'!D1163+"h_l!.lb"</f>
        <v>#VALUE!</v>
      </c>
      <c r="CZ241" t="e">
        <f>'Compiled Agents'!D1164+"h_l!.lc"</f>
        <v>#VALUE!</v>
      </c>
      <c r="DA241" t="e">
        <f>'Compiled Agents'!D1165+"h_l!.ld"</f>
        <v>#VALUE!</v>
      </c>
      <c r="DB241" t="e">
        <f>'Compiled Agents'!D1166+"h_l!.le"</f>
        <v>#VALUE!</v>
      </c>
      <c r="DC241" t="e">
        <f>'Compiled Agents'!D1167+"h_l!.lf"</f>
        <v>#VALUE!</v>
      </c>
      <c r="DD241" t="e">
        <f>'Compiled Agents'!D1168+"h_l!.lg"</f>
        <v>#VALUE!</v>
      </c>
      <c r="DE241" t="e">
        <f>'Compiled Agents'!D1169+"h_l!.lh"</f>
        <v>#VALUE!</v>
      </c>
      <c r="DF241" t="e">
        <f>'Compiled Agents'!D1170+"h_l!.li"</f>
        <v>#VALUE!</v>
      </c>
      <c r="DG241" t="e">
        <f>'Compiled Agents'!D1171+"h_l!.lj"</f>
        <v>#VALUE!</v>
      </c>
      <c r="DH241" t="e">
        <f>'Compiled Agents'!D1172+"h_l!.lk"</f>
        <v>#VALUE!</v>
      </c>
      <c r="DI241" t="e">
        <f>'Compiled Agents'!D1173+"h_l!.ll"</f>
        <v>#VALUE!</v>
      </c>
      <c r="DJ241" t="e">
        <f>'Compiled Agents'!D1174+"h_l!.lm"</f>
        <v>#VALUE!</v>
      </c>
      <c r="DK241" t="e">
        <f>'Compiled Agents'!D1175+"h_l!.ln"</f>
        <v>#VALUE!</v>
      </c>
      <c r="DL241" t="e">
        <f>'Compiled Agents'!D1176+"h_l!.lo"</f>
        <v>#VALUE!</v>
      </c>
      <c r="DM241" t="e">
        <f>'Compiled Agents'!D1177+"h_l!.lp"</f>
        <v>#VALUE!</v>
      </c>
      <c r="DN241" t="e">
        <f>'Compiled Agents'!D1178+"h_l!.lq"</f>
        <v>#VALUE!</v>
      </c>
      <c r="DO241" t="e">
        <f>'Compiled Agents'!D1179+"h_l!.lr"</f>
        <v>#VALUE!</v>
      </c>
      <c r="DP241" t="e">
        <f>'Compiled Agents'!D1180+"h_l!.ls"</f>
        <v>#VALUE!</v>
      </c>
      <c r="DQ241" t="e">
        <f>'Compiled Agents'!D1181+"h_l!.lt"</f>
        <v>#VALUE!</v>
      </c>
      <c r="DR241" t="e">
        <f>'Compiled Agents'!D1182+"h_l!.lu"</f>
        <v>#VALUE!</v>
      </c>
      <c r="DS241" t="e">
        <f>'Compiled Agents'!D1183+"h_l!.lv"</f>
        <v>#VALUE!</v>
      </c>
      <c r="DT241" t="e">
        <f>'Compiled Agents'!D1184+"h_l!.lw"</f>
        <v>#VALUE!</v>
      </c>
      <c r="DU241" t="e">
        <f>'Compiled Agents'!D1185+"h_l!.lx"</f>
        <v>#VALUE!</v>
      </c>
      <c r="DV241" t="e">
        <f>'Compiled Agents'!D1186+"h_l!.ly"</f>
        <v>#VALUE!</v>
      </c>
      <c r="DW241" t="e">
        <f>'Compiled Agents'!D1187+"h_l!.lz"</f>
        <v>#VALUE!</v>
      </c>
      <c r="DX241" t="e">
        <f>'Compiled Agents'!D1188+"h_l!.l{"</f>
        <v>#VALUE!</v>
      </c>
      <c r="DY241" t="e">
        <f>'Compiled Agents'!D1189+"h_l!.l|"</f>
        <v>#VALUE!</v>
      </c>
      <c r="DZ241" t="e">
        <f>'Compiled Agents'!D1190+"h_l!.l}"</f>
        <v>#VALUE!</v>
      </c>
      <c r="EA241" t="e">
        <f>'Compiled Agents'!D1191+"h_l!.l~"</f>
        <v>#VALUE!</v>
      </c>
      <c r="EB241" t="e">
        <f>'Compiled Agents'!D1192+"h_l!.m#"</f>
        <v>#VALUE!</v>
      </c>
      <c r="EC241" t="e">
        <f>'Compiled Agents'!D1193+"h_l!.m$"</f>
        <v>#VALUE!</v>
      </c>
      <c r="ED241" t="e">
        <f>'Compiled Agents'!D1194+"h_l!.m%"</f>
        <v>#VALUE!</v>
      </c>
      <c r="EE241" t="e">
        <f>'Compiled Agents'!D1195+"h_l!.m&amp;"</f>
        <v>#VALUE!</v>
      </c>
      <c r="EF241" t="e">
        <f>'Compiled Agents'!D1196+"h_l!.m'"</f>
        <v>#VALUE!</v>
      </c>
      <c r="EG241" t="e">
        <f>'Compiled Agents'!D1197+"h_l!.m("</f>
        <v>#VALUE!</v>
      </c>
      <c r="EH241" t="e">
        <f>'Compiled Agents'!D1198+"h_l!.m)"</f>
        <v>#VALUE!</v>
      </c>
      <c r="EI241" t="e">
        <f>'Compiled Agents'!D1199+"h_l!.m."</f>
        <v>#VALUE!</v>
      </c>
      <c r="EJ241" t="e">
        <f>'Compiled Agents'!D1200+"h_l!.m/"</f>
        <v>#VALUE!</v>
      </c>
      <c r="EK241" t="e">
        <f>'Compiled Agents'!D1201+"h_l!.m0"</f>
        <v>#VALUE!</v>
      </c>
      <c r="EL241" t="e">
        <f>'Compiled Agents'!D1202+"h_l!.m1"</f>
        <v>#VALUE!</v>
      </c>
      <c r="EM241" t="e">
        <f>'Compiled Agents'!D1203+"h_l!.m2"</f>
        <v>#VALUE!</v>
      </c>
      <c r="EN241" t="e">
        <f>'Compiled Agents'!D1204+"h_l!.m3"</f>
        <v>#VALUE!</v>
      </c>
      <c r="EO241" t="e">
        <f>'Compiled Agents'!D1205+"h_l!.m4"</f>
        <v>#VALUE!</v>
      </c>
      <c r="EP241" t="e">
        <f>'Compiled Agents'!D1206+"h_l!.m5"</f>
        <v>#VALUE!</v>
      </c>
      <c r="EQ241" t="e">
        <f>'Compiled Agents'!D1207+"h_l!.m6"</f>
        <v>#VALUE!</v>
      </c>
      <c r="ER241" t="e">
        <f>'Compiled Agents'!D1208+"h_l!.m7"</f>
        <v>#VALUE!</v>
      </c>
      <c r="ES241" t="e">
        <f>'Compiled Agents'!D1209+"h_l!.m8"</f>
        <v>#VALUE!</v>
      </c>
      <c r="ET241" t="e">
        <f>'Compiled Agents'!D1210+"h_l!.m9"</f>
        <v>#VALUE!</v>
      </c>
      <c r="EU241" t="e">
        <f>'Compiled Agents'!D1211+"h_l!.m:"</f>
        <v>#VALUE!</v>
      </c>
      <c r="EV241" t="e">
        <f>'Compiled Agents'!D1212+"h_l!.m;"</f>
        <v>#VALUE!</v>
      </c>
      <c r="EW241" t="e">
        <f>'Compiled Agents'!D1213+"h_l!.m&lt;"</f>
        <v>#VALUE!</v>
      </c>
      <c r="EX241" t="e">
        <f>'Compiled Agents'!D1214+"h_l!.m="</f>
        <v>#VALUE!</v>
      </c>
      <c r="EY241" t="e">
        <f>'Compiled Agents'!D1215+"h_l!.m&gt;"</f>
        <v>#VALUE!</v>
      </c>
      <c r="EZ241" t="e">
        <f>'Compiled Agents'!D1216+"h_l!.m?"</f>
        <v>#VALUE!</v>
      </c>
      <c r="FA241" t="e">
        <f>'Compiled Agents'!D1217+"h_l!.m@"</f>
        <v>#VALUE!</v>
      </c>
      <c r="FB241" t="e">
        <f>'Compiled Agents'!D1218+"h_l!.mA"</f>
        <v>#VALUE!</v>
      </c>
      <c r="FC241" t="e">
        <f>'Compiled Agents'!D1219+"h_l!.mB"</f>
        <v>#VALUE!</v>
      </c>
      <c r="FD241" t="e">
        <f>'Compiled Agents'!D1220+"h_l!.mC"</f>
        <v>#VALUE!</v>
      </c>
      <c r="FE241" t="e">
        <f>'Compiled Agents'!D1221+"h_l!.mD"</f>
        <v>#VALUE!</v>
      </c>
      <c r="FF241" t="e">
        <f>'Compiled Agents'!D1222+"h_l!.mE"</f>
        <v>#VALUE!</v>
      </c>
      <c r="FG241" t="e">
        <f>'Compiled Agents'!D1223+"h_l!.mF"</f>
        <v>#VALUE!</v>
      </c>
      <c r="FH241" t="e">
        <f>'Compiled Agents'!D1224+"h_l!.mG"</f>
        <v>#VALUE!</v>
      </c>
      <c r="FI241" t="e">
        <f>'Compiled Agents'!D1225+"h_l!.mH"</f>
        <v>#VALUE!</v>
      </c>
      <c r="FJ241" t="e">
        <f>'Compiled Agents'!D1226+"h_l!.mI"</f>
        <v>#VALUE!</v>
      </c>
      <c r="FK241" t="e">
        <f>'Compiled Agents'!D1227+"h_l!.mJ"</f>
        <v>#VALUE!</v>
      </c>
      <c r="FL241" t="e">
        <f>'Compiled Agents'!D1228+"h_l!.mK"</f>
        <v>#VALUE!</v>
      </c>
      <c r="FM241" t="e">
        <f>'Compiled Agents'!D1229+"h_l!.mL"</f>
        <v>#VALUE!</v>
      </c>
      <c r="FN241" t="e">
        <f>'Compiled Agents'!D1230+"h_l!.mM"</f>
        <v>#VALUE!</v>
      </c>
      <c r="FO241" t="e">
        <f>'Compiled Agents'!D1231+"h_l!.mN"</f>
        <v>#VALUE!</v>
      </c>
      <c r="FP241" t="e">
        <f>'Compiled Agents'!D1232+"h_l!.mO"</f>
        <v>#VALUE!</v>
      </c>
      <c r="FQ241" t="e">
        <f>'Compiled Agents'!D1233+"h_l!.mP"</f>
        <v>#VALUE!</v>
      </c>
      <c r="FR241" t="e">
        <f>'Compiled Agents'!D1234+"h_l!.mQ"</f>
        <v>#VALUE!</v>
      </c>
      <c r="FS241" t="e">
        <f>'Compiled Agents'!D1235+"h_l!.mR"</f>
        <v>#VALUE!</v>
      </c>
      <c r="FT241" t="e">
        <f>'Compiled Agents'!D1236+"h_l!.mS"</f>
        <v>#VALUE!</v>
      </c>
      <c r="FU241" t="e">
        <f>'Compiled Agents'!D1237+"h_l!.mT"</f>
        <v>#VALUE!</v>
      </c>
      <c r="FV241" t="e">
        <f>'Compiled Agents'!D1238+"h_l!.mU"</f>
        <v>#VALUE!</v>
      </c>
      <c r="FW241" t="e">
        <f>'Compiled Agents'!D1239+"h_l!.mV"</f>
        <v>#VALUE!</v>
      </c>
      <c r="FX241" t="e">
        <f>'Compiled Agents'!D1240+"h_l!.mW"</f>
        <v>#VALUE!</v>
      </c>
      <c r="FY241" t="e">
        <f>'Compiled Agents'!D1241+"h_l!.mX"</f>
        <v>#VALUE!</v>
      </c>
      <c r="FZ241" t="e">
        <f>'Compiled Agents'!D1242+"h_l!.mY"</f>
        <v>#VALUE!</v>
      </c>
      <c r="GA241" t="e">
        <f>'Compiled Agents'!D1243+"h_l!.mZ"</f>
        <v>#VALUE!</v>
      </c>
      <c r="GB241" t="e">
        <f>'Compiled Agents'!D1244+"h_l!.m["</f>
        <v>#VALUE!</v>
      </c>
      <c r="GC241" t="e">
        <f>'Compiled Agents'!D1245+"h_l!.m\"</f>
        <v>#VALUE!</v>
      </c>
      <c r="GD241" t="e">
        <f>'Compiled Agents'!D1246+"h_l!.m]"</f>
        <v>#VALUE!</v>
      </c>
      <c r="GE241" t="e">
        <f>'Compiled Agents'!D1247+"h_l!.m^"</f>
        <v>#VALUE!</v>
      </c>
      <c r="GF241" t="e">
        <f>'Compiled Agents'!D1248+"h_l!.m_"</f>
        <v>#VALUE!</v>
      </c>
      <c r="GG241" t="e">
        <f>'Compiled Agents'!D1249+"h_l!.m`"</f>
        <v>#VALUE!</v>
      </c>
      <c r="GH241" t="e">
        <f>'Compiled Agents'!D1250+"h_l!.ma"</f>
        <v>#VALUE!</v>
      </c>
      <c r="GI241" t="e">
        <f>'Compiled Agents'!D1251+"h_l!.mb"</f>
        <v>#VALUE!</v>
      </c>
      <c r="GJ241" t="e">
        <f>'Compiled Agents'!D1252+"h_l!.mc"</f>
        <v>#VALUE!</v>
      </c>
      <c r="GK241" t="e">
        <f>'Compiled Agents'!D1253+"h_l!.md"</f>
        <v>#VALUE!</v>
      </c>
      <c r="GL241" t="e">
        <f>'Compiled Agents'!D1254+"h_l!.me"</f>
        <v>#VALUE!</v>
      </c>
      <c r="GM241" t="e">
        <f>'Compiled Agents'!D1255+"h_l!.mf"</f>
        <v>#VALUE!</v>
      </c>
      <c r="GN241" t="e">
        <f>'Compiled Agents'!D1256+"h_l!.mg"</f>
        <v>#VALUE!</v>
      </c>
      <c r="GO241" t="e">
        <f>'Compiled Agents'!D1257+"h_l!.mh"</f>
        <v>#VALUE!</v>
      </c>
      <c r="GP241" t="e">
        <f>'Compiled Agents'!D1258+"h_l!.mi"</f>
        <v>#VALUE!</v>
      </c>
      <c r="GQ241" t="e">
        <f>'Compiled Agents'!D1259+"h_l!.mj"</f>
        <v>#VALUE!</v>
      </c>
      <c r="GR241" t="e">
        <f>'Compiled Agents'!D1260+"h_l!.mk"</f>
        <v>#VALUE!</v>
      </c>
      <c r="GS241" t="e">
        <f>'Compiled Agents'!D1261+"h_l!.ml"</f>
        <v>#VALUE!</v>
      </c>
      <c r="GT241" t="e">
        <f>'Compiled Agents'!D1262+"h_l!.mm"</f>
        <v>#VALUE!</v>
      </c>
      <c r="GU241" t="e">
        <f>'Compiled Agents'!D1263+"h_l!.mn"</f>
        <v>#VALUE!</v>
      </c>
      <c r="GV241" t="e">
        <f>'Compiled Agents'!D1264+"h_l!.mo"</f>
        <v>#VALUE!</v>
      </c>
      <c r="GW241" t="e">
        <f>'Compiled Agents'!D1265+"h_l!.mp"</f>
        <v>#VALUE!</v>
      </c>
      <c r="GX241" t="e">
        <f>'Compiled Agents'!D1266+"h_l!.mq"</f>
        <v>#VALUE!</v>
      </c>
      <c r="GY241" t="e">
        <f>'Compiled Agents'!D1267+"h_l!.mr"</f>
        <v>#VALUE!</v>
      </c>
      <c r="GZ241" t="e">
        <f>'Compiled Agents'!D1268+"h_l!.ms"</f>
        <v>#VALUE!</v>
      </c>
      <c r="HA241" t="e">
        <f>'Compiled Agents'!D1269+"h_l!.mt"</f>
        <v>#VALUE!</v>
      </c>
      <c r="HB241" t="e">
        <f>'Compiled Agents'!D1270+"h_l!.mu"</f>
        <v>#VALUE!</v>
      </c>
      <c r="HC241" t="e">
        <f>'Compiled Agents'!D1271+"h_l!.mv"</f>
        <v>#VALUE!</v>
      </c>
      <c r="HD241" t="e">
        <f>'Compiled Agents'!D1272+"h_l!.mw"</f>
        <v>#VALUE!</v>
      </c>
      <c r="HE241" t="e">
        <f>'Compiled Agents'!D1273+"h_l!.mx"</f>
        <v>#VALUE!</v>
      </c>
      <c r="HF241" t="e">
        <f>'Compiled Agents'!D1274+"h_l!.my"</f>
        <v>#VALUE!</v>
      </c>
      <c r="HG241" t="e">
        <f>'Compiled Agents'!D1275+"h_l!.mz"</f>
        <v>#VALUE!</v>
      </c>
      <c r="HH241" t="e">
        <f>'Compiled Agents'!D1276+"h_l!.m{"</f>
        <v>#VALUE!</v>
      </c>
      <c r="HI241" t="e">
        <f>'Compiled Agents'!D1277+"h_l!.m|"</f>
        <v>#VALUE!</v>
      </c>
      <c r="HJ241" t="e">
        <f>'Compiled Agents'!D1278+"h_l!.m}"</f>
        <v>#VALUE!</v>
      </c>
      <c r="HK241" t="e">
        <f>'Compiled Agents'!D1279+"h_l!.m~"</f>
        <v>#VALUE!</v>
      </c>
      <c r="HL241" t="e">
        <f>'Compiled Agents'!D1280+"h_l!.n#"</f>
        <v>#VALUE!</v>
      </c>
      <c r="HM241" t="e">
        <f>'Compiled Agents'!D1281+"h_l!.n$"</f>
        <v>#VALUE!</v>
      </c>
      <c r="HN241" t="e">
        <f>'Compiled Agents'!D1282+"h_l!.n%"</f>
        <v>#VALUE!</v>
      </c>
      <c r="HO241" t="e">
        <f>'Compiled Agents'!D1283+"h_l!.n&amp;"</f>
        <v>#VALUE!</v>
      </c>
      <c r="HP241" t="e">
        <f>'Compiled Agents'!D1284+"h_l!.n'"</f>
        <v>#VALUE!</v>
      </c>
      <c r="HQ241" t="e">
        <f>'Compiled Agents'!D1285+"h_l!.n("</f>
        <v>#VALUE!</v>
      </c>
      <c r="HR241" t="e">
        <f>'Compiled Agents'!D1286+"h_l!.n)"</f>
        <v>#VALUE!</v>
      </c>
      <c r="HS241" t="e">
        <f>'Compiled Agents'!D1287+"h_l!.n."</f>
        <v>#VALUE!</v>
      </c>
      <c r="HT241" t="e">
        <f>'Compiled Agents'!D1288+"h_l!.n/"</f>
        <v>#VALUE!</v>
      </c>
      <c r="HU241" t="e">
        <f>'Compiled Agents'!D1289+"h_l!.n0"</f>
        <v>#VALUE!</v>
      </c>
      <c r="HV241" t="e">
        <f>'Compiled Agents'!D1290+"h_l!.n1"</f>
        <v>#VALUE!</v>
      </c>
      <c r="HW241" t="e">
        <f>'Compiled Agents'!D1291+"h_l!.n2"</f>
        <v>#VALUE!</v>
      </c>
      <c r="HX241" t="e">
        <f>'Compiled Agents'!D1292+"h_l!.n3"</f>
        <v>#VALUE!</v>
      </c>
      <c r="HY241" t="e">
        <f>'Compiled Agents'!D1293+"h_l!.n4"</f>
        <v>#VALUE!</v>
      </c>
      <c r="HZ241" t="e">
        <f>'Compiled Agents'!D1294+"h_l!.n5"</f>
        <v>#VALUE!</v>
      </c>
      <c r="IA241" t="e">
        <f>'Compiled Agents'!D1295+"h_l!.n6"</f>
        <v>#VALUE!</v>
      </c>
      <c r="IB241" t="e">
        <f>'Compiled Agents'!D1296+"h_l!.n7"</f>
        <v>#VALUE!</v>
      </c>
      <c r="IC241" t="e">
        <f>'Compiled Agents'!D1297+"h_l!.n8"</f>
        <v>#VALUE!</v>
      </c>
      <c r="ID241" t="e">
        <f>'Compiled Agents'!D1298+"h_l!.n9"</f>
        <v>#VALUE!</v>
      </c>
      <c r="IE241" t="e">
        <f>'Compiled Agents'!D1299+"h_l!.n:"</f>
        <v>#VALUE!</v>
      </c>
      <c r="IF241" t="e">
        <f>'Compiled Agents'!D1300+"h_l!.n;"</f>
        <v>#VALUE!</v>
      </c>
      <c r="IG241" t="e">
        <f>'Compiled Agents'!D1301+"h_l!.n&lt;"</f>
        <v>#VALUE!</v>
      </c>
      <c r="IH241" t="e">
        <f>'Compiled Agents'!D1302+"h_l!.n="</f>
        <v>#VALUE!</v>
      </c>
      <c r="II241" t="e">
        <f>'Compiled Agents'!D1303+"h_l!.n&gt;"</f>
        <v>#VALUE!</v>
      </c>
      <c r="IJ241" t="e">
        <f>'Compiled Agents'!D1304+"h_l!.n?"</f>
        <v>#VALUE!</v>
      </c>
      <c r="IK241" t="e">
        <f>'Compiled Agents'!D1305+"h_l!.n@"</f>
        <v>#VALUE!</v>
      </c>
      <c r="IL241" t="e">
        <f>'Compiled Agents'!D1306+"h_l!.nA"</f>
        <v>#VALUE!</v>
      </c>
      <c r="IM241" t="e">
        <f>'Compiled Agents'!D1307+"h_l!.nB"</f>
        <v>#VALUE!</v>
      </c>
      <c r="IN241" t="e">
        <f>'Compiled Agents'!D1308+"h_l!.nC"</f>
        <v>#VALUE!</v>
      </c>
      <c r="IO241" t="e">
        <f>'Compiled Agents'!D1309+"h_l!.nD"</f>
        <v>#VALUE!</v>
      </c>
      <c r="IP241" t="e">
        <f>'Compiled Agents'!D1310+"h_l!.nE"</f>
        <v>#VALUE!</v>
      </c>
      <c r="IQ241" t="e">
        <f>'Compiled Agents'!D1311+"h_l!.nF"</f>
        <v>#VALUE!</v>
      </c>
      <c r="IR241" t="e">
        <f>'Compiled Agents'!D1312+"h_l!.nG"</f>
        <v>#VALUE!</v>
      </c>
      <c r="IS241" t="e">
        <f>'Compiled Agents'!D1313+"h_l!.nH"</f>
        <v>#VALUE!</v>
      </c>
      <c r="IT241" t="e">
        <f>'Compiled Agents'!D1314+"h_l!.nI"</f>
        <v>#VALUE!</v>
      </c>
      <c r="IU241" t="e">
        <f>'Compiled Agents'!D1315+"h_l!.nJ"</f>
        <v>#VALUE!</v>
      </c>
      <c r="IV241" t="e">
        <f>'Compiled Agents'!D1316+"h_l!.nK"</f>
        <v>#VALUE!</v>
      </c>
    </row>
    <row r="242" spans="6:256" x14ac:dyDescent="0.25">
      <c r="F242" t="e">
        <f>'Compiled Agents'!D1317+"h_l!.nL"</f>
        <v>#VALUE!</v>
      </c>
      <c r="G242" t="e">
        <f>'Compiled Agents'!D1318+"h_l!.nM"</f>
        <v>#VALUE!</v>
      </c>
      <c r="H242" t="e">
        <f>'Compiled Agents'!D1319+"h_l!.nN"</f>
        <v>#VALUE!</v>
      </c>
      <c r="I242" t="e">
        <f>'Compiled Agents'!D1320+"h_l!.nO"</f>
        <v>#VALUE!</v>
      </c>
      <c r="J242" t="e">
        <f>'Compiled Agents'!D1321+"h_l!.nP"</f>
        <v>#VALUE!</v>
      </c>
      <c r="K242" t="e">
        <f>'Compiled Agents'!D1322+"h_l!.nQ"</f>
        <v>#VALUE!</v>
      </c>
      <c r="L242" t="e">
        <f>'Compiled Agents'!D1323+"h_l!.nR"</f>
        <v>#VALUE!</v>
      </c>
      <c r="M242" t="e">
        <f>'Compiled Agents'!D1324+"h_l!.nS"</f>
        <v>#VALUE!</v>
      </c>
      <c r="N242" t="e">
        <f>'Compiled Agents'!D1325+"h_l!.nT"</f>
        <v>#VALUE!</v>
      </c>
      <c r="O242" t="e">
        <f>'Compiled Agents'!D1326+"h_l!.nU"</f>
        <v>#VALUE!</v>
      </c>
      <c r="P242" t="e">
        <f>'Compiled Agents'!D1327+"h_l!.nV"</f>
        <v>#VALUE!</v>
      </c>
      <c r="Q242" t="e">
        <f>'Compiled Agents'!D1328+"h_l!.nW"</f>
        <v>#VALUE!</v>
      </c>
      <c r="R242" t="e">
        <f>'Compiled Agents'!D1329+"h_l!.nX"</f>
        <v>#VALUE!</v>
      </c>
      <c r="S242" t="e">
        <f>'Compiled Agents'!D1330+"h_l!.nY"</f>
        <v>#VALUE!</v>
      </c>
      <c r="T242" t="e">
        <f>'Compiled Agents'!D1331+"h_l!.nZ"</f>
        <v>#VALUE!</v>
      </c>
      <c r="U242" t="e">
        <f>'Compiled Agents'!D1332+"h_l!.n["</f>
        <v>#VALUE!</v>
      </c>
      <c r="V242" t="e">
        <f>'Compiled Agents'!D1333+"h_l!.n\"</f>
        <v>#VALUE!</v>
      </c>
      <c r="W242" t="e">
        <f>'Compiled Agents'!D1334+"h_l!.n]"</f>
        <v>#VALUE!</v>
      </c>
      <c r="X242" t="e">
        <f>'Compiled Agents'!D1335+"h_l!.n^"</f>
        <v>#VALUE!</v>
      </c>
      <c r="Y242" t="e">
        <f>'Compiled Agents'!D1336+"h_l!.n_"</f>
        <v>#VALUE!</v>
      </c>
      <c r="Z242" t="e">
        <f>'Compiled Agents'!D1337+"h_l!.n`"</f>
        <v>#VALUE!</v>
      </c>
      <c r="AA242" t="e">
        <f>'Compiled Agents'!D1338+"h_l!.na"</f>
        <v>#VALUE!</v>
      </c>
      <c r="AB242" t="e">
        <f>'Compiled Agents'!D1339+"h_l!.nb"</f>
        <v>#VALUE!</v>
      </c>
      <c r="AC242" t="e">
        <f>'Compiled Agents'!D1340+"h_l!.nc"</f>
        <v>#VALUE!</v>
      </c>
      <c r="AD242" t="e">
        <f>'Compiled Agents'!D1341+"h_l!.nd"</f>
        <v>#VALUE!</v>
      </c>
      <c r="AE242" t="e">
        <f>'Compiled Agents'!D1342+"h_l!.ne"</f>
        <v>#VALUE!</v>
      </c>
      <c r="AF242" t="e">
        <f>'Compiled Agents'!D1343+"h_l!.nf"</f>
        <v>#VALUE!</v>
      </c>
      <c r="AG242" t="e">
        <f>'Compiled Agents'!D1344+"h_l!.ng"</f>
        <v>#VALUE!</v>
      </c>
      <c r="AH242" t="e">
        <f>'Compiled Agents'!D1345+"h_l!.nh"</f>
        <v>#VALUE!</v>
      </c>
      <c r="AI242" t="e">
        <f>'Compiled Agents'!D1346+"h_l!.ni"</f>
        <v>#VALUE!</v>
      </c>
      <c r="AJ242" t="e">
        <f>'Compiled Agents'!D1347+"h_l!.nj"</f>
        <v>#VALUE!</v>
      </c>
      <c r="AK242" t="e">
        <f>'Compiled Agents'!D1348+"h_l!.nk"</f>
        <v>#VALUE!</v>
      </c>
      <c r="AL242" t="e">
        <f>'Compiled Agents'!D1349+"h_l!.nl"</f>
        <v>#VALUE!</v>
      </c>
      <c r="AM242" t="e">
        <f>'Compiled Agents'!D1350+"h_l!.nm"</f>
        <v>#VALUE!</v>
      </c>
      <c r="AN242" t="e">
        <f>'Compiled Agents'!D1351+"h_l!.nn"</f>
        <v>#VALUE!</v>
      </c>
      <c r="AO242" t="e">
        <f>'Compiled Agents'!D1352+"h_l!.no"</f>
        <v>#VALUE!</v>
      </c>
      <c r="AP242" t="e">
        <f>'Compiled Agents'!D1353+"h_l!.np"</f>
        <v>#VALUE!</v>
      </c>
      <c r="AQ242" t="e">
        <f>'Compiled Agents'!D1354+"h_l!.nq"</f>
        <v>#VALUE!</v>
      </c>
      <c r="AR242" t="e">
        <f>'Compiled Agents'!D1355+"h_l!.nr"</f>
        <v>#VALUE!</v>
      </c>
      <c r="AS242" t="e">
        <f>'Compiled Agents'!D1356+"h_l!.ns"</f>
        <v>#VALUE!</v>
      </c>
      <c r="AT242" t="e">
        <f>'Compiled Agents'!D1357+"h_l!.nt"</f>
        <v>#VALUE!</v>
      </c>
      <c r="AU242" t="e">
        <f>'Compiled Agents'!D1358+"h_l!.nu"</f>
        <v>#VALUE!</v>
      </c>
      <c r="AV242" t="e">
        <f>'Compiled Agents'!D1359+"h_l!.nv"</f>
        <v>#VALUE!</v>
      </c>
      <c r="AW242" t="e">
        <f>'Compiled Agents'!D1360+"h_l!.nw"</f>
        <v>#VALUE!</v>
      </c>
      <c r="AX242" t="e">
        <f>'Compiled Agents'!D1361+"h_l!.nx"</f>
        <v>#VALUE!</v>
      </c>
      <c r="AY242" t="e">
        <f>'Compiled Agents'!D1362+"h_l!.ny"</f>
        <v>#VALUE!</v>
      </c>
      <c r="AZ242" t="e">
        <f>'Compiled Agents'!D1363+"h_l!.nz"</f>
        <v>#VALUE!</v>
      </c>
      <c r="BA242" t="e">
        <f>'Compiled Agents'!D1364+"h_l!.n{"</f>
        <v>#VALUE!</v>
      </c>
      <c r="BB242" t="e">
        <f>'Compiled Agents'!D1365+"h_l!.n|"</f>
        <v>#VALUE!</v>
      </c>
      <c r="BC242" t="e">
        <f>'Compiled Agents'!D1366+"h_l!.n}"</f>
        <v>#VALUE!</v>
      </c>
      <c r="BD242" t="e">
        <f>'Compiled Agents'!D1367+"h_l!.n~"</f>
        <v>#VALUE!</v>
      </c>
      <c r="BE242" t="e">
        <f>'Compiled Agents'!D1368+"h_l!.o#"</f>
        <v>#VALUE!</v>
      </c>
      <c r="BF242" t="e">
        <f>'Compiled Agents'!D1369+"h_l!.o$"</f>
        <v>#VALUE!</v>
      </c>
      <c r="BG242" t="e">
        <f>'Compiled Agents'!D1370+"h_l!.o%"</f>
        <v>#VALUE!</v>
      </c>
      <c r="BH242" t="e">
        <f>'Compiled Agents'!D1371+"h_l!.o&amp;"</f>
        <v>#VALUE!</v>
      </c>
      <c r="BI242" t="e">
        <f>'Compiled Agents'!D1372+"h_l!.o'"</f>
        <v>#VALUE!</v>
      </c>
      <c r="BJ242" t="e">
        <f>'Compiled Agents'!D1373+"h_l!.o("</f>
        <v>#VALUE!</v>
      </c>
      <c r="BK242" t="e">
        <f>'Compiled Agents'!D1374+"h_l!.o)"</f>
        <v>#VALUE!</v>
      </c>
      <c r="BL242" t="e">
        <f>'Compiled Agents'!D1375+"h_l!.o."</f>
        <v>#VALUE!</v>
      </c>
      <c r="BM242" t="e">
        <f>'Compiled Agents'!D1376+"h_l!.o/"</f>
        <v>#VALUE!</v>
      </c>
      <c r="BN242" t="e">
        <f>'Compiled Agents'!D1377+"h_l!.o0"</f>
        <v>#VALUE!</v>
      </c>
      <c r="BO242" t="e">
        <f>'Compiled Agents'!D1378+"h_l!.o1"</f>
        <v>#VALUE!</v>
      </c>
      <c r="BP242" t="e">
        <f>'Compiled Agents'!D1379+"h_l!.o2"</f>
        <v>#VALUE!</v>
      </c>
      <c r="BQ242" t="e">
        <f>'Compiled Agents'!D1380+"h_l!.o3"</f>
        <v>#VALUE!</v>
      </c>
      <c r="BR242" t="e">
        <f>'Compiled Agents'!D1381+"h_l!.o4"</f>
        <v>#VALUE!</v>
      </c>
      <c r="BS242" t="e">
        <f>'Compiled Agents'!D1382+"h_l!.o5"</f>
        <v>#VALUE!</v>
      </c>
      <c r="BT242" t="e">
        <f>'Compiled Agents'!D1383+"h_l!.o6"</f>
        <v>#VALUE!</v>
      </c>
      <c r="BU242" t="e">
        <f>'Compiled Agents'!D1384+"h_l!.o7"</f>
        <v>#VALUE!</v>
      </c>
      <c r="BV242" t="e">
        <f>'Compiled Agents'!D1385+"h_l!.o8"</f>
        <v>#VALUE!</v>
      </c>
      <c r="BW242" t="e">
        <f>'Compiled Agents'!D1386+"h_l!.o9"</f>
        <v>#VALUE!</v>
      </c>
      <c r="BX242" t="e">
        <f>'Compiled Agents'!D1387+"h_l!.o:"</f>
        <v>#VALUE!</v>
      </c>
      <c r="BY242" t="e">
        <f>'Compiled Agents'!D1388+"h_l!.o;"</f>
        <v>#VALUE!</v>
      </c>
      <c r="BZ242" t="e">
        <f>'Compiled Agents'!D1389+"h_l!.o&lt;"</f>
        <v>#VALUE!</v>
      </c>
      <c r="CA242" t="e">
        <f>'Compiled Agents'!D1390+"h_l!.o="</f>
        <v>#VALUE!</v>
      </c>
      <c r="CB242" t="e">
        <f>'Compiled Agents'!D1391+"h_l!.o&gt;"</f>
        <v>#VALUE!</v>
      </c>
      <c r="CC242" t="e">
        <f>'Compiled Agents'!D1392+"h_l!.o?"</f>
        <v>#VALUE!</v>
      </c>
      <c r="CD242" t="e">
        <f>'Compiled Agents'!D1393+"h_l!.o@"</f>
        <v>#VALUE!</v>
      </c>
      <c r="CE242" t="e">
        <f>'Compiled Agents'!D1394+"h_l!.oA"</f>
        <v>#VALUE!</v>
      </c>
      <c r="CF242" t="e">
        <f>'Compiled Agents'!D1395+"h_l!.oB"</f>
        <v>#VALUE!</v>
      </c>
      <c r="CG242" t="e">
        <f>'Compiled Agents'!D1396+"h_l!.oC"</f>
        <v>#VALUE!</v>
      </c>
      <c r="CH242" t="e">
        <f>'Compiled Agents'!D1397+"h_l!.oD"</f>
        <v>#VALUE!</v>
      </c>
      <c r="CI242" t="e">
        <f>'Compiled Agents'!D1398+"h_l!.oE"</f>
        <v>#VALUE!</v>
      </c>
      <c r="CJ242" t="e">
        <f>'Compiled Agents'!D1399+"h_l!.oF"</f>
        <v>#VALUE!</v>
      </c>
      <c r="CK242" t="e">
        <f>'Compiled Agents'!D1400+"h_l!.oG"</f>
        <v>#VALUE!</v>
      </c>
      <c r="CL242" t="e">
        <f>'Compiled Agents'!D1401+"h_l!.oH"</f>
        <v>#VALUE!</v>
      </c>
      <c r="CM242" t="e">
        <f>'Compiled Agents'!D1402+"h_l!.oI"</f>
        <v>#VALUE!</v>
      </c>
      <c r="CN242" t="e">
        <f>'Compiled Agents'!D1403+"h_l!.oJ"</f>
        <v>#VALUE!</v>
      </c>
      <c r="CO242" t="e">
        <f>'Compiled Agents'!D1404+"h_l!.oK"</f>
        <v>#VALUE!</v>
      </c>
      <c r="CP242" t="e">
        <f>'Compiled Agents'!D1405+"h_l!.oL"</f>
        <v>#VALUE!</v>
      </c>
      <c r="CQ242" t="e">
        <f>'Compiled Agents'!D1406+"h_l!.oM"</f>
        <v>#VALUE!</v>
      </c>
      <c r="CR242" t="e">
        <f>'Compiled Agents'!D1407+"h_l!.oN"</f>
        <v>#VALUE!</v>
      </c>
      <c r="CS242" t="e">
        <f>'Compiled Agents'!D1408+"h_l!.oO"</f>
        <v>#VALUE!</v>
      </c>
      <c r="CT242" t="e">
        <f>'Compiled Agents'!D1409+"h_l!.oP"</f>
        <v>#VALUE!</v>
      </c>
      <c r="CU242" t="e">
        <f>'Compiled Agents'!D1410+"h_l!.oQ"</f>
        <v>#VALUE!</v>
      </c>
      <c r="CV242" t="e">
        <f>'Compiled Agents'!D1411+"h_l!.oR"</f>
        <v>#VALUE!</v>
      </c>
      <c r="CW242" t="e">
        <f>'Compiled Agents'!D1412+"h_l!.oS"</f>
        <v>#VALUE!</v>
      </c>
      <c r="CX242" t="e">
        <f>'Compiled Agents'!D1413+"h_l!.oT"</f>
        <v>#VALUE!</v>
      </c>
      <c r="CY242" t="e">
        <f>'Compiled Agents'!D1414+"h_l!.oU"</f>
        <v>#VALUE!</v>
      </c>
      <c r="CZ242" t="e">
        <f>'Compiled Agents'!D1415+"h_l!.oV"</f>
        <v>#VALUE!</v>
      </c>
      <c r="DA242" t="e">
        <f>'Compiled Agents'!D1416+"h_l!.oW"</f>
        <v>#VALUE!</v>
      </c>
      <c r="DB242" t="e">
        <f>'Compiled Agents'!D1417+"h_l!.oX"</f>
        <v>#VALUE!</v>
      </c>
      <c r="DC242" t="e">
        <f>'Compiled Agents'!D1418+"h_l!.oY"</f>
        <v>#VALUE!</v>
      </c>
      <c r="DD242" t="e">
        <f>'Compiled Agents'!D1419+"h_l!.oZ"</f>
        <v>#VALUE!</v>
      </c>
      <c r="DE242" t="e">
        <f>'Compiled Agents'!D1420+"h_l!.o["</f>
        <v>#VALUE!</v>
      </c>
      <c r="DF242" t="e">
        <f>'Compiled Agents'!D1421+"h_l!.o\"</f>
        <v>#VALUE!</v>
      </c>
      <c r="DG242" t="e">
        <f>'Compiled Agents'!D1422+"h_l!.o]"</f>
        <v>#VALUE!</v>
      </c>
      <c r="DH242" t="e">
        <f>'Compiled Agents'!D1423+"h_l!.o^"</f>
        <v>#VALUE!</v>
      </c>
      <c r="DI242" t="e">
        <f>'Compiled Agents'!D1424+"h_l!.o_"</f>
        <v>#VALUE!</v>
      </c>
      <c r="DJ242" t="e">
        <f>'Compiled Agents'!D1425+"h_l!.o`"</f>
        <v>#VALUE!</v>
      </c>
      <c r="DK242" t="e">
        <f>'Compiled Agents'!D1426+"h_l!.oa"</f>
        <v>#VALUE!</v>
      </c>
      <c r="DL242" t="e">
        <f>'Compiled Agents'!D1427+"h_l!.ob"</f>
        <v>#VALUE!</v>
      </c>
      <c r="DM242" t="e">
        <f>'Compiled Agents'!D1428+"h_l!.oc"</f>
        <v>#VALUE!</v>
      </c>
      <c r="DN242" t="e">
        <f>'Compiled Agents'!D1429+"h_l!.od"</f>
        <v>#VALUE!</v>
      </c>
      <c r="DO242" t="e">
        <f>'Compiled Agents'!D1430+"h_l!.oe"</f>
        <v>#VALUE!</v>
      </c>
      <c r="DP242" t="e">
        <f>'Compiled Agents'!D1431+"h_l!.of"</f>
        <v>#VALUE!</v>
      </c>
      <c r="DQ242" t="e">
        <f>'Compiled Agents'!D1432+"h_l!.og"</f>
        <v>#VALUE!</v>
      </c>
      <c r="DR242" t="e">
        <f>'Compiled Agents'!D1433+"h_l!.oh"</f>
        <v>#VALUE!</v>
      </c>
      <c r="DS242" t="e">
        <f>'Compiled Agents'!D1434+"h_l!.oi"</f>
        <v>#VALUE!</v>
      </c>
      <c r="DT242" t="e">
        <f>'Compiled Agents'!D1435+"h_l!.oj"</f>
        <v>#VALUE!</v>
      </c>
      <c r="DU242" t="e">
        <f>'Compiled Agents'!D1436+"h_l!.ok"</f>
        <v>#VALUE!</v>
      </c>
      <c r="DV242" t="e">
        <f>'Compiled Agents'!D1437+"h_l!.ol"</f>
        <v>#VALUE!</v>
      </c>
      <c r="DW242" t="e">
        <f>'Compiled Agents'!D1438+"h_l!.om"</f>
        <v>#VALUE!</v>
      </c>
      <c r="DX242" t="e">
        <f>'Compiled Agents'!D1439+"h_l!.on"</f>
        <v>#VALUE!</v>
      </c>
      <c r="DY242" t="e">
        <f>'Compiled Agents'!A1440+"h_l!.oo"</f>
        <v>#VALUE!</v>
      </c>
      <c r="DZ242" t="e">
        <f>'Compiled Agents'!B1440+"h_l!.op"</f>
        <v>#VALUE!</v>
      </c>
      <c r="EA242" t="e">
        <f>'Compiled Agents'!C1440+"h_l!.oq"</f>
        <v>#VALUE!</v>
      </c>
      <c r="EB242" t="e">
        <f>'Compiled Agents'!D1440+"h_l!.or"</f>
        <v>#VALUE!</v>
      </c>
      <c r="EC242" t="e">
        <f>'Compiled Agents'!E1440+"h_l!.os"</f>
        <v>#VALUE!</v>
      </c>
      <c r="ED242" t="e">
        <f>'Compiled Agents'!F1440+"h_l!.ot"</f>
        <v>#VALUE!</v>
      </c>
      <c r="EE242" t="e">
        <f>'Compiled Agents'!G1440+"h_l!.ou"</f>
        <v>#VALUE!</v>
      </c>
      <c r="EF242" t="e">
        <f>'Compiled Agents'!H1440+"h_l!.ov"</f>
        <v>#VALUE!</v>
      </c>
      <c r="EG242" t="e">
        <f>'Compiled Agents'!A1441+"h_l!.ow"</f>
        <v>#VALUE!</v>
      </c>
      <c r="EH242" t="e">
        <f>'Compiled Agents'!B1441+"h_l!.ox"</f>
        <v>#VALUE!</v>
      </c>
      <c r="EI242" t="e">
        <f>'Compiled Agents'!C1441+"h_l!.oy"</f>
        <v>#VALUE!</v>
      </c>
      <c r="EJ242" t="e">
        <f>'Compiled Agents'!D1441+"h_l!.oz"</f>
        <v>#VALUE!</v>
      </c>
      <c r="EK242" t="e">
        <f>'Compiled Agents'!E1441+"h_l!.o{"</f>
        <v>#VALUE!</v>
      </c>
      <c r="EL242" t="e">
        <f>'Compiled Agents'!F1441+"h_l!.o|"</f>
        <v>#VALUE!</v>
      </c>
      <c r="EM242" t="e">
        <f>'Compiled Agents'!G1441+"h_l!.o}"</f>
        <v>#VALUE!</v>
      </c>
      <c r="EN242" t="e">
        <f>'Compiled Agents'!H1441+"h_l!.o~"</f>
        <v>#VALUE!</v>
      </c>
      <c r="EO242" t="e">
        <f>'Compiled Agents'!A1442+"h_l!.p#"</f>
        <v>#VALUE!</v>
      </c>
      <c r="EP242" t="e">
        <f>'Compiled Agents'!B1442+"h_l!.p$"</f>
        <v>#VALUE!</v>
      </c>
      <c r="EQ242" t="e">
        <f>'Compiled Agents'!C1442+"h_l!.p%"</f>
        <v>#VALUE!</v>
      </c>
      <c r="ER242" t="e">
        <f>'Compiled Agents'!D1442+"h_l!.p&amp;"</f>
        <v>#VALUE!</v>
      </c>
      <c r="ES242" t="e">
        <f>'Compiled Agents'!E1442+"h_l!.p'"</f>
        <v>#VALUE!</v>
      </c>
      <c r="ET242" t="e">
        <f>'Compiled Agents'!F1442+"h_l!.p("</f>
        <v>#VALUE!</v>
      </c>
      <c r="EU242" t="e">
        <f>'Compiled Agents'!G1442+"h_l!.p)"</f>
        <v>#VALUE!</v>
      </c>
      <c r="EV242" t="e">
        <f>'Compiled Agents'!H1442+"h_l!.p."</f>
        <v>#VALUE!</v>
      </c>
      <c r="EW242" t="e">
        <f>'Compiled Agents'!A1443+"h_l!.p/"</f>
        <v>#VALUE!</v>
      </c>
      <c r="EX242" t="e">
        <f>'Compiled Agents'!B1443+"h_l!.p0"</f>
        <v>#VALUE!</v>
      </c>
      <c r="EY242" t="e">
        <f>'Compiled Agents'!C1443+"h_l!.p1"</f>
        <v>#VALUE!</v>
      </c>
      <c r="EZ242" t="e">
        <f>'Compiled Agents'!D1443+"h_l!.p2"</f>
        <v>#VALUE!</v>
      </c>
      <c r="FA242" t="e">
        <f>'Compiled Agents'!E1443+"h_l!.p3"</f>
        <v>#VALUE!</v>
      </c>
      <c r="FB242" t="e">
        <f>'Compiled Agents'!F1443+"h_l!.p4"</f>
        <v>#VALUE!</v>
      </c>
      <c r="FC242" t="e">
        <f>'Compiled Agents'!G1443+"h_l!.p5"</f>
        <v>#VALUE!</v>
      </c>
      <c r="FD242" t="e">
        <f>'Compiled Agents'!H1443+"h_l!.p6"</f>
        <v>#VALUE!</v>
      </c>
      <c r="FE242" t="e">
        <f>'Compiled Agents'!A1444+"h_l!.p7"</f>
        <v>#VALUE!</v>
      </c>
      <c r="FF242" t="e">
        <f>'Compiled Agents'!B1444+"h_l!.p8"</f>
        <v>#VALUE!</v>
      </c>
      <c r="FG242" t="e">
        <f>'Compiled Agents'!C1444+"h_l!.p9"</f>
        <v>#VALUE!</v>
      </c>
      <c r="FH242" t="e">
        <f>'Compiled Agents'!D1444+"h_l!.p:"</f>
        <v>#VALUE!</v>
      </c>
      <c r="FI242" t="e">
        <f>'Compiled Agents'!E1444+"h_l!.p;"</f>
        <v>#VALUE!</v>
      </c>
      <c r="FJ242" t="e">
        <f>'Compiled Agents'!F1444+"h_l!.p&lt;"</f>
        <v>#VALUE!</v>
      </c>
      <c r="FK242" t="e">
        <f>'Compiled Agents'!G1444+"h_l!.p="</f>
        <v>#VALUE!</v>
      </c>
      <c r="FL242" t="e">
        <f>'Compiled Agents'!H1444+"h_l!.p&gt;"</f>
        <v>#VALUE!</v>
      </c>
      <c r="FM242" t="e">
        <f>'Compiled Agents'!A1445+"h_l!.p?"</f>
        <v>#VALUE!</v>
      </c>
      <c r="FN242" t="e">
        <f>'Compiled Agents'!B1445+"h_l!.p@"</f>
        <v>#VALUE!</v>
      </c>
      <c r="FO242" t="e">
        <f>'Compiled Agents'!C1445+"h_l!.pA"</f>
        <v>#VALUE!</v>
      </c>
      <c r="FP242" t="e">
        <f>'Compiled Agents'!D1445+"h_l!.pB"</f>
        <v>#VALUE!</v>
      </c>
      <c r="FQ242" t="e">
        <f>'Compiled Agents'!E1445+"h_l!.pC"</f>
        <v>#VALUE!</v>
      </c>
      <c r="FR242" t="e">
        <f>'Compiled Agents'!F1445+"h_l!.pD"</f>
        <v>#VALUE!</v>
      </c>
      <c r="FS242" t="e">
        <f>'Compiled Agents'!G1445+"h_l!.pE"</f>
        <v>#VALUE!</v>
      </c>
      <c r="FT242" t="e">
        <f>'Compiled Agents'!H1445+"h_l!.pF"</f>
        <v>#VALUE!</v>
      </c>
      <c r="FU242" t="e">
        <f>'Compiled Agents'!A1446+"h_l!.pG"</f>
        <v>#VALUE!</v>
      </c>
      <c r="FV242" t="e">
        <f>'Compiled Agents'!B1446+"h_l!.pH"</f>
        <v>#VALUE!</v>
      </c>
      <c r="FW242" t="e">
        <f>'Compiled Agents'!C1446+"h_l!.pI"</f>
        <v>#VALUE!</v>
      </c>
      <c r="FX242" t="e">
        <f>'Compiled Agents'!D1446+"h_l!.pJ"</f>
        <v>#VALUE!</v>
      </c>
      <c r="FY242" t="e">
        <f>'Compiled Agents'!E1446+"h_l!.pK"</f>
        <v>#VALUE!</v>
      </c>
      <c r="FZ242" t="e">
        <f>'Compiled Agents'!F1446+"h_l!.pL"</f>
        <v>#VALUE!</v>
      </c>
      <c r="GA242" t="e">
        <f>'Compiled Agents'!G1446+"h_l!.pM"</f>
        <v>#VALUE!</v>
      </c>
      <c r="GB242" t="e">
        <f>'Compiled Agents'!H1446+"h_l!.pN"</f>
        <v>#VALUE!</v>
      </c>
      <c r="GC242" t="e">
        <f>'Compiled Agents'!A1447+"h_l!.pO"</f>
        <v>#VALUE!</v>
      </c>
      <c r="GD242" t="e">
        <f>'Compiled Agents'!B1447+"h_l!.pP"</f>
        <v>#VALUE!</v>
      </c>
      <c r="GE242" t="e">
        <f>'Compiled Agents'!C1447+"h_l!.pQ"</f>
        <v>#VALUE!</v>
      </c>
      <c r="GF242" t="e">
        <f>'Compiled Agents'!D1447+"h_l!.pR"</f>
        <v>#VALUE!</v>
      </c>
      <c r="GG242" t="e">
        <f>'Compiled Agents'!E1447+"h_l!.pS"</f>
        <v>#VALUE!</v>
      </c>
      <c r="GH242" t="e">
        <f>'Compiled Agents'!F1447+"h_l!.pT"</f>
        <v>#VALUE!</v>
      </c>
      <c r="GI242" t="e">
        <f>'Compiled Agents'!G1447+"h_l!.pU"</f>
        <v>#VALUE!</v>
      </c>
      <c r="GJ242" t="e">
        <f>'Compiled Agents'!H1447+"h_l!.pV"</f>
        <v>#VALUE!</v>
      </c>
      <c r="GK242" t="e">
        <f>'Compiled Agents'!A1448+"h_l!.pW"</f>
        <v>#VALUE!</v>
      </c>
      <c r="GL242" t="e">
        <f>'Compiled Agents'!B1448+"h_l!.pX"</f>
        <v>#VALUE!</v>
      </c>
      <c r="GM242" t="e">
        <f>'Compiled Agents'!C1448+"h_l!.pY"</f>
        <v>#VALUE!</v>
      </c>
      <c r="GN242" t="e">
        <f>'Compiled Agents'!D1448+"h_l!.pZ"</f>
        <v>#VALUE!</v>
      </c>
      <c r="GO242" t="e">
        <f>'Compiled Agents'!E1448+"h_l!.p["</f>
        <v>#VALUE!</v>
      </c>
      <c r="GP242" t="e">
        <f>'Compiled Agents'!F1448+"h_l!.p\"</f>
        <v>#VALUE!</v>
      </c>
      <c r="GQ242" t="e">
        <f>'Compiled Agents'!G1448+"h_l!.p]"</f>
        <v>#VALUE!</v>
      </c>
      <c r="GR242" t="e">
        <f>'Compiled Agents'!H1448+"h_l!.p^"</f>
        <v>#VALUE!</v>
      </c>
      <c r="GS242" t="e">
        <f>'Compiled Agents'!A1449+"h_l!.p_"</f>
        <v>#VALUE!</v>
      </c>
      <c r="GT242" t="e">
        <f>'Compiled Agents'!B1449+"h_l!.p`"</f>
        <v>#VALUE!</v>
      </c>
      <c r="GU242" t="e">
        <f>'Compiled Agents'!C1449+"h_l!.pa"</f>
        <v>#VALUE!</v>
      </c>
      <c r="GV242" t="e">
        <f>'Compiled Agents'!D1449+"h_l!.pb"</f>
        <v>#VALUE!</v>
      </c>
      <c r="GW242" t="e">
        <f>'Compiled Agents'!E1449+"h_l!.pc"</f>
        <v>#VALUE!</v>
      </c>
      <c r="GX242" t="e">
        <f>'Compiled Agents'!F1449+"h_l!.pd"</f>
        <v>#VALUE!</v>
      </c>
      <c r="GY242" t="e">
        <f>'Compiled Agents'!G1449+"h_l!.pe"</f>
        <v>#VALUE!</v>
      </c>
      <c r="GZ242" t="e">
        <f>'Compiled Agents'!H1449+"h_l!.pf"</f>
        <v>#VALUE!</v>
      </c>
      <c r="HA242" t="e">
        <f>'Compiled Agents'!A1450+"h_l!.pg"</f>
        <v>#VALUE!</v>
      </c>
      <c r="HB242" t="e">
        <f>'Compiled Agents'!B1450+"h_l!.ph"</f>
        <v>#VALUE!</v>
      </c>
      <c r="HC242" t="e">
        <f>'Compiled Agents'!C1450+"h_l!.pi"</f>
        <v>#VALUE!</v>
      </c>
      <c r="HD242" t="e">
        <f>'Compiled Agents'!D1450+"h_l!.pj"</f>
        <v>#VALUE!</v>
      </c>
      <c r="HE242" t="e">
        <f>'Compiled Agents'!E1450+"h_l!.pk"</f>
        <v>#VALUE!</v>
      </c>
      <c r="HF242" t="e">
        <f>'Compiled Agents'!F1450+"h_l!.pl"</f>
        <v>#VALUE!</v>
      </c>
      <c r="HG242" t="e">
        <f>'Compiled Agents'!G1450+"h_l!.pm"</f>
        <v>#VALUE!</v>
      </c>
      <c r="HH242" t="e">
        <f>'Compiled Agents'!H1450+"h_l!.pn"</f>
        <v>#VALUE!</v>
      </c>
      <c r="HI242" t="e">
        <f>'Compiled Agents'!A1451+"h_l!.po"</f>
        <v>#VALUE!</v>
      </c>
      <c r="HJ242" t="e">
        <f>'Compiled Agents'!B1451+"h_l!.pp"</f>
        <v>#VALUE!</v>
      </c>
      <c r="HK242" t="e">
        <f>'Compiled Agents'!C1451+"h_l!.pq"</f>
        <v>#VALUE!</v>
      </c>
      <c r="HL242" t="e">
        <f>'Compiled Agents'!D1451+"h_l!.pr"</f>
        <v>#VALUE!</v>
      </c>
      <c r="HM242" t="e">
        <f>'Compiled Agents'!E1451+"h_l!.ps"</f>
        <v>#VALUE!</v>
      </c>
      <c r="HN242" t="e">
        <f>'Compiled Agents'!F1451+"h_l!.pt"</f>
        <v>#VALUE!</v>
      </c>
      <c r="HO242" t="e">
        <f>'Compiled Agents'!G1451+"h_l!.pu"</f>
        <v>#VALUE!</v>
      </c>
      <c r="HP242" t="e">
        <f>'Compiled Agents'!H1451+"h_l!.pv"</f>
        <v>#VALUE!</v>
      </c>
      <c r="HQ242" t="e">
        <f>'Compiled Agents'!A1452+"h_l!.pw"</f>
        <v>#VALUE!</v>
      </c>
      <c r="HR242" t="e">
        <f>'Compiled Agents'!B1452+"h_l!.px"</f>
        <v>#VALUE!</v>
      </c>
      <c r="HS242" t="e">
        <f>'Compiled Agents'!C1452+"h_l!.py"</f>
        <v>#VALUE!</v>
      </c>
      <c r="HT242" t="e">
        <f>'Compiled Agents'!D1452+"h_l!.pz"</f>
        <v>#VALUE!</v>
      </c>
      <c r="HU242" t="e">
        <f>'Compiled Agents'!E1452+"h_l!.p{"</f>
        <v>#VALUE!</v>
      </c>
      <c r="HV242" t="e">
        <f>'Compiled Agents'!F1452+"h_l!.p|"</f>
        <v>#VALUE!</v>
      </c>
      <c r="HW242" t="e">
        <f>'Compiled Agents'!G1452+"h_l!.p}"</f>
        <v>#VALUE!</v>
      </c>
      <c r="HX242" t="e">
        <f>'Compiled Agents'!H1452+"h_l!.p~"</f>
        <v>#VALUE!</v>
      </c>
      <c r="HY242" t="e">
        <f>'Compiled Agents'!A1453+"h_l!.q#"</f>
        <v>#VALUE!</v>
      </c>
      <c r="HZ242" t="e">
        <f>'Compiled Agents'!B1453+"h_l!.q$"</f>
        <v>#VALUE!</v>
      </c>
      <c r="IA242" t="e">
        <f>'Compiled Agents'!C1453+"h_l!.q%"</f>
        <v>#VALUE!</v>
      </c>
      <c r="IB242" t="e">
        <f>'Compiled Agents'!D1453+"h_l!.q&amp;"</f>
        <v>#VALUE!</v>
      </c>
      <c r="IC242" t="e">
        <f>'Compiled Agents'!E1453+"h_l!.q'"</f>
        <v>#VALUE!</v>
      </c>
      <c r="ID242" t="e">
        <f>'Compiled Agents'!F1453+"h_l!.q("</f>
        <v>#VALUE!</v>
      </c>
      <c r="IE242" t="e">
        <f>'Compiled Agents'!G1453+"h_l!.q)"</f>
        <v>#VALUE!</v>
      </c>
      <c r="IF242" t="e">
        <f>'Compiled Agents'!H1453+"h_l!.q."</f>
        <v>#VALUE!</v>
      </c>
      <c r="IG242" t="e">
        <f>'Compiled Agents'!A1454+"h_l!.q/"</f>
        <v>#VALUE!</v>
      </c>
      <c r="IH242" t="e">
        <f>'Compiled Agents'!B1454+"h_l!.q0"</f>
        <v>#VALUE!</v>
      </c>
      <c r="II242" t="e">
        <f>'Compiled Agents'!C1454+"h_l!.q1"</f>
        <v>#VALUE!</v>
      </c>
      <c r="IJ242" t="e">
        <f>'Compiled Agents'!D1454+"h_l!.q2"</f>
        <v>#VALUE!</v>
      </c>
      <c r="IK242" t="e">
        <f>'Compiled Agents'!E1454+"h_l!.q3"</f>
        <v>#VALUE!</v>
      </c>
      <c r="IL242" t="e">
        <f>'Compiled Agents'!F1454+"h_l!.q4"</f>
        <v>#VALUE!</v>
      </c>
      <c r="IM242" t="e">
        <f>'Compiled Agents'!G1454+"h_l!.q5"</f>
        <v>#VALUE!</v>
      </c>
      <c r="IN242" t="e">
        <f>'Compiled Agents'!H1454+"h_l!.q6"</f>
        <v>#VALUE!</v>
      </c>
      <c r="IO242" t="e">
        <f>'Compiled Agents'!A1455+"h_l!.q7"</f>
        <v>#VALUE!</v>
      </c>
      <c r="IP242" t="e">
        <f>'Compiled Agents'!B1455+"h_l!.q8"</f>
        <v>#VALUE!</v>
      </c>
      <c r="IQ242" t="e">
        <f>'Compiled Agents'!C1455+"h_l!.q9"</f>
        <v>#VALUE!</v>
      </c>
      <c r="IR242" t="e">
        <f>'Compiled Agents'!D1455+"h_l!.q:"</f>
        <v>#VALUE!</v>
      </c>
      <c r="IS242" t="e">
        <f>'Compiled Agents'!E1455+"h_l!.q;"</f>
        <v>#VALUE!</v>
      </c>
      <c r="IT242" t="e">
        <f>'Compiled Agents'!F1455+"h_l!.q&lt;"</f>
        <v>#VALUE!</v>
      </c>
      <c r="IU242" t="e">
        <f>'Compiled Agents'!G1455+"h_l!.q="</f>
        <v>#VALUE!</v>
      </c>
      <c r="IV242" t="e">
        <f>'Compiled Agents'!H1455+"h_l!.q&gt;"</f>
        <v>#VALUE!</v>
      </c>
    </row>
    <row r="243" spans="6:256" x14ac:dyDescent="0.25">
      <c r="F243" t="e">
        <f>'Compiled Agents'!A1456+"h_l!.q?"</f>
        <v>#VALUE!</v>
      </c>
      <c r="G243" t="e">
        <f>'Compiled Agents'!B1456+"h_l!.q@"</f>
        <v>#VALUE!</v>
      </c>
      <c r="H243" t="e">
        <f>'Compiled Agents'!C1456+"h_l!.qA"</f>
        <v>#VALUE!</v>
      </c>
      <c r="I243" t="e">
        <f>'Compiled Agents'!D1456+"h_l!.qB"</f>
        <v>#VALUE!</v>
      </c>
      <c r="J243" t="e">
        <f>'Compiled Agents'!E1456+"h_l!.qC"</f>
        <v>#VALUE!</v>
      </c>
      <c r="K243" t="e">
        <f>'Compiled Agents'!F1456+"h_l!.qD"</f>
        <v>#VALUE!</v>
      </c>
      <c r="L243" t="e">
        <f>'Compiled Agents'!G1456+"h_l!.qE"</f>
        <v>#VALUE!</v>
      </c>
      <c r="M243" t="e">
        <f>'Compiled Agents'!H1456+"h_l!.qF"</f>
        <v>#VALUE!</v>
      </c>
      <c r="N243" t="e">
        <f>'Compiled Agents'!A1457+"h_l!.qG"</f>
        <v>#VALUE!</v>
      </c>
      <c r="O243" t="e">
        <f>'Compiled Agents'!B1457+"h_l!.qH"</f>
        <v>#VALUE!</v>
      </c>
      <c r="P243" t="e">
        <f>'Compiled Agents'!C1457+"h_l!.qI"</f>
        <v>#VALUE!</v>
      </c>
      <c r="Q243" t="e">
        <f>'Compiled Agents'!D1457+"h_l!.qJ"</f>
        <v>#VALUE!</v>
      </c>
      <c r="R243" t="e">
        <f>'Compiled Agents'!E1457+"h_l!.qK"</f>
        <v>#VALUE!</v>
      </c>
      <c r="S243" t="e">
        <f>'Compiled Agents'!F1457+"h_l!.qL"</f>
        <v>#VALUE!</v>
      </c>
      <c r="T243" t="e">
        <f>'Compiled Agents'!G1457+"h_l!.qM"</f>
        <v>#VALUE!</v>
      </c>
      <c r="U243" t="e">
        <f>'Compiled Agents'!H1457+"h_l!.qN"</f>
        <v>#VALUE!</v>
      </c>
      <c r="V243" t="e">
        <f>'Compiled Agents'!A1458+"h_l!.qO"</f>
        <v>#VALUE!</v>
      </c>
      <c r="W243" t="e">
        <f>'Compiled Agents'!B1458+"h_l!.qP"</f>
        <v>#VALUE!</v>
      </c>
      <c r="X243" t="e">
        <f>'Compiled Agents'!C1458+"h_l!.qQ"</f>
        <v>#VALUE!</v>
      </c>
      <c r="Y243" t="e">
        <f>'Compiled Agents'!D1458+"h_l!.qR"</f>
        <v>#VALUE!</v>
      </c>
      <c r="Z243" t="e">
        <f>'Compiled Agents'!E1458+"h_l!.qS"</f>
        <v>#VALUE!</v>
      </c>
      <c r="AA243" t="e">
        <f>'Compiled Agents'!F1458+"h_l!.qT"</f>
        <v>#VALUE!</v>
      </c>
      <c r="AB243" t="e">
        <f>'Compiled Agents'!G1458+"h_l!.qU"</f>
        <v>#VALUE!</v>
      </c>
      <c r="AC243" t="e">
        <f>'Compiled Agents'!H1458+"h_l!.qV"</f>
        <v>#VALUE!</v>
      </c>
      <c r="AD243" t="e">
        <f>'Compiled Agents'!A1459+"h_l!.qW"</f>
        <v>#VALUE!</v>
      </c>
      <c r="AE243" t="e">
        <f>'Compiled Agents'!B1459+"h_l!.qX"</f>
        <v>#VALUE!</v>
      </c>
      <c r="AF243" t="e">
        <f>'Compiled Agents'!C1459+"h_l!.qY"</f>
        <v>#VALUE!</v>
      </c>
      <c r="AG243" t="e">
        <f>'Compiled Agents'!D1459+"h_l!.qZ"</f>
        <v>#VALUE!</v>
      </c>
      <c r="AH243" t="e">
        <f>'Compiled Agents'!E1459+"h_l!.q["</f>
        <v>#VALUE!</v>
      </c>
      <c r="AI243" t="e">
        <f>'Compiled Agents'!F1459+"h_l!.q\"</f>
        <v>#VALUE!</v>
      </c>
      <c r="AJ243" t="e">
        <f>'Compiled Agents'!G1459+"h_l!.q]"</f>
        <v>#VALUE!</v>
      </c>
      <c r="AK243" t="e">
        <f>'Compiled Agents'!H1459+"h_l!.q^"</f>
        <v>#VALUE!</v>
      </c>
      <c r="AL243" t="e">
        <f>'Compiled Agents'!A1460+"h_l!.q_"</f>
        <v>#VALUE!</v>
      </c>
      <c r="AM243" t="e">
        <f>'Compiled Agents'!B1460+"h_l!.q`"</f>
        <v>#VALUE!</v>
      </c>
      <c r="AN243" t="e">
        <f>'Compiled Agents'!C1460+"h_l!.qa"</f>
        <v>#VALUE!</v>
      </c>
      <c r="AO243" t="e">
        <f>'Compiled Agents'!D1460+"h_l!.qb"</f>
        <v>#VALUE!</v>
      </c>
      <c r="AP243" t="e">
        <f>'Compiled Agents'!E1460+"h_l!.qc"</f>
        <v>#VALUE!</v>
      </c>
      <c r="AQ243" t="e">
        <f>'Compiled Agents'!F1460+"h_l!.qd"</f>
        <v>#VALUE!</v>
      </c>
      <c r="AR243" t="e">
        <f>'Compiled Agents'!G1460+"h_l!.qe"</f>
        <v>#VALUE!</v>
      </c>
      <c r="AS243" t="e">
        <f>'Compiled Agents'!H1460+"h_l!.qf"</f>
        <v>#VALUE!</v>
      </c>
      <c r="AT243" t="e">
        <f>'Compiled Agents'!A1461+"h_l!.qg"</f>
        <v>#VALUE!</v>
      </c>
      <c r="AU243" t="e">
        <f>'Compiled Agents'!B1461+"h_l!.qh"</f>
        <v>#VALUE!</v>
      </c>
      <c r="AV243" t="e">
        <f>'Compiled Agents'!C1461+"h_l!.qi"</f>
        <v>#VALUE!</v>
      </c>
      <c r="AW243" t="e">
        <f>'Compiled Agents'!D1461+"h_l!.qj"</f>
        <v>#VALUE!</v>
      </c>
      <c r="AX243" t="e">
        <f>'Compiled Agents'!E1461+"h_l!.qk"</f>
        <v>#VALUE!</v>
      </c>
      <c r="AY243" t="e">
        <f>'Compiled Agents'!F1461+"h_l!.ql"</f>
        <v>#VALUE!</v>
      </c>
      <c r="AZ243" t="e">
        <f>'Compiled Agents'!G1461+"h_l!.qm"</f>
        <v>#VALUE!</v>
      </c>
      <c r="BA243" t="e">
        <f>'Compiled Agents'!H1461+"h_l!.qn"</f>
        <v>#VALUE!</v>
      </c>
      <c r="BB243" t="e">
        <f>'Compiled Agents'!A1462+"h_l!.qo"</f>
        <v>#VALUE!</v>
      </c>
      <c r="BC243" t="e">
        <f>'Compiled Agents'!B1462+"h_l!.qp"</f>
        <v>#VALUE!</v>
      </c>
      <c r="BD243" t="e">
        <f>'Compiled Agents'!C1462+"h_l!.qq"</f>
        <v>#VALUE!</v>
      </c>
      <c r="BE243" t="e">
        <f>'Compiled Agents'!D1462+"h_l!.qr"</f>
        <v>#VALUE!</v>
      </c>
      <c r="BF243" t="e">
        <f>'Compiled Agents'!E1462+"h_l!.qs"</f>
        <v>#VALUE!</v>
      </c>
      <c r="BG243" t="e">
        <f>'Compiled Agents'!F1462+"h_l!.qt"</f>
        <v>#VALUE!</v>
      </c>
      <c r="BH243" t="e">
        <f>'Compiled Agents'!G1462+"h_l!.qu"</f>
        <v>#VALUE!</v>
      </c>
      <c r="BI243" t="e">
        <f>'Compiled Agents'!H1462+"h_l!.qv"</f>
        <v>#VALUE!</v>
      </c>
      <c r="BJ243" t="e">
        <f>'Compiled Agents'!A1463+"h_l!.qw"</f>
        <v>#VALUE!</v>
      </c>
      <c r="BK243" t="e">
        <f>'Compiled Agents'!B1463+"h_l!.qx"</f>
        <v>#VALUE!</v>
      </c>
      <c r="BL243" t="e">
        <f>'Compiled Agents'!C1463+"h_l!.qy"</f>
        <v>#VALUE!</v>
      </c>
      <c r="BM243" t="e">
        <f>'Compiled Agents'!D1463+"h_l!.qz"</f>
        <v>#VALUE!</v>
      </c>
      <c r="BN243" t="e">
        <f>'Compiled Agents'!E1463+"h_l!.q{"</f>
        <v>#VALUE!</v>
      </c>
      <c r="BO243" t="e">
        <f>'Compiled Agents'!F1463+"h_l!.q|"</f>
        <v>#VALUE!</v>
      </c>
      <c r="BP243" t="e">
        <f>'Compiled Agents'!G1463+"h_l!.q}"</f>
        <v>#VALUE!</v>
      </c>
      <c r="BQ243" t="e">
        <f>'Compiled Agents'!H1463+"h_l!.q~"</f>
        <v>#VALUE!</v>
      </c>
      <c r="BR243" t="e">
        <f>'Compiled Agents'!A1464+"h_l!.r#"</f>
        <v>#VALUE!</v>
      </c>
      <c r="BS243" t="e">
        <f>'Compiled Agents'!B1464+"h_l!.r$"</f>
        <v>#VALUE!</v>
      </c>
      <c r="BT243" t="e">
        <f>'Compiled Agents'!C1464+"h_l!.r%"</f>
        <v>#VALUE!</v>
      </c>
      <c r="BU243" t="e">
        <f>'Compiled Agents'!D1464+"h_l!.r&amp;"</f>
        <v>#VALUE!</v>
      </c>
      <c r="BV243" t="e">
        <f>'Compiled Agents'!E1464+"h_l!.r'"</f>
        <v>#VALUE!</v>
      </c>
      <c r="BW243" t="e">
        <f>'Compiled Agents'!F1464+"h_l!.r("</f>
        <v>#VALUE!</v>
      </c>
      <c r="BX243" t="e">
        <f>'Compiled Agents'!G1464+"h_l!.r)"</f>
        <v>#VALUE!</v>
      </c>
      <c r="BY243" t="e">
        <f>'Compiled Agents'!H1464+"h_l!.r."</f>
        <v>#VALUE!</v>
      </c>
      <c r="BZ243" t="e">
        <f>'Compiled Agents'!A1465+"h_l!.r/"</f>
        <v>#VALUE!</v>
      </c>
      <c r="CA243" t="e">
        <f>'Compiled Agents'!B1465+"h_l!.r0"</f>
        <v>#VALUE!</v>
      </c>
      <c r="CB243" t="e">
        <f>'Compiled Agents'!C1465+"h_l!.r1"</f>
        <v>#VALUE!</v>
      </c>
      <c r="CC243" t="e">
        <f>'Compiled Agents'!D1465+"h_l!.r2"</f>
        <v>#VALUE!</v>
      </c>
      <c r="CD243" t="e">
        <f>'Compiled Agents'!E1465+"h_l!.r3"</f>
        <v>#VALUE!</v>
      </c>
      <c r="CE243" t="e">
        <f>'Compiled Agents'!F1465+"h_l!.r4"</f>
        <v>#VALUE!</v>
      </c>
      <c r="CF243" t="e">
        <f>'Compiled Agents'!G1465+"h_l!.r5"</f>
        <v>#VALUE!</v>
      </c>
      <c r="CG243" t="e">
        <f>'Compiled Agents'!H1465+"h_l!.r6"</f>
        <v>#VALUE!</v>
      </c>
      <c r="CH243" t="e">
        <f>'Compiled Agents'!A1466+"h_l!.r7"</f>
        <v>#VALUE!</v>
      </c>
      <c r="CI243" t="e">
        <f>'Compiled Agents'!B1466+"h_l!.r8"</f>
        <v>#VALUE!</v>
      </c>
      <c r="CJ243" t="e">
        <f>'Compiled Agents'!C1466+"h_l!.r9"</f>
        <v>#VALUE!</v>
      </c>
      <c r="CK243" t="e">
        <f>'Compiled Agents'!D1466+"h_l!.r:"</f>
        <v>#VALUE!</v>
      </c>
      <c r="CL243" t="e">
        <f>'Compiled Agents'!E1466+"h_l!.r;"</f>
        <v>#VALUE!</v>
      </c>
      <c r="CM243" t="e">
        <f>'Compiled Agents'!F1466+"h_l!.r&lt;"</f>
        <v>#VALUE!</v>
      </c>
      <c r="CN243" t="e">
        <f>'Compiled Agents'!G1466+"h_l!.r="</f>
        <v>#VALUE!</v>
      </c>
      <c r="CO243" t="e">
        <f>'Compiled Agents'!H1466+"h_l!.r&gt;"</f>
        <v>#VALUE!</v>
      </c>
      <c r="CP243" t="e">
        <f>'Compiled Agents'!A1467+"h_l!.r?"</f>
        <v>#VALUE!</v>
      </c>
      <c r="CQ243" t="e">
        <f>'Compiled Agents'!B1467+"h_l!.r@"</f>
        <v>#VALUE!</v>
      </c>
      <c r="CR243" t="e">
        <f>'Compiled Agents'!C1467+"h_l!.rA"</f>
        <v>#VALUE!</v>
      </c>
      <c r="CS243" t="e">
        <f>'Compiled Agents'!D1467+"h_l!.rB"</f>
        <v>#VALUE!</v>
      </c>
      <c r="CT243" t="e">
        <f>'Compiled Agents'!E1467+"h_l!.rC"</f>
        <v>#VALUE!</v>
      </c>
      <c r="CU243" t="e">
        <f>'Compiled Agents'!F1467+"h_l!.rD"</f>
        <v>#VALUE!</v>
      </c>
      <c r="CV243" t="e">
        <f>'Compiled Agents'!G1467+"h_l!.rE"</f>
        <v>#VALUE!</v>
      </c>
      <c r="CW243" t="e">
        <f>'Compiled Agents'!H1467+"h_l!.rF"</f>
        <v>#VALUE!</v>
      </c>
      <c r="CX243" t="e">
        <f>'Compiled Agents'!A1468+"h_l!.rG"</f>
        <v>#VALUE!</v>
      </c>
      <c r="CY243" t="e">
        <f>'Compiled Agents'!B1468+"h_l!.rH"</f>
        <v>#VALUE!</v>
      </c>
      <c r="CZ243" t="e">
        <f>'Compiled Agents'!C1468+"h_l!.rI"</f>
        <v>#VALUE!</v>
      </c>
      <c r="DA243" t="e">
        <f>'Compiled Agents'!D1468+"h_l!.rJ"</f>
        <v>#VALUE!</v>
      </c>
      <c r="DB243" t="e">
        <f>'Compiled Agents'!E1468+"h_l!.rK"</f>
        <v>#VALUE!</v>
      </c>
      <c r="DC243" t="e">
        <f>'Compiled Agents'!F1468+"h_l!.rL"</f>
        <v>#VALUE!</v>
      </c>
      <c r="DD243" t="e">
        <f>'Compiled Agents'!G1468+"h_l!.rM"</f>
        <v>#VALUE!</v>
      </c>
      <c r="DE243" t="e">
        <f>'Compiled Agents'!H1468+"h_l!.rN"</f>
        <v>#VALUE!</v>
      </c>
      <c r="DF243" t="e">
        <f>'Compiled Agents'!A1469+"h_l!.rO"</f>
        <v>#VALUE!</v>
      </c>
      <c r="DG243" t="e">
        <f>'Compiled Agents'!B1469+"h_l!.rP"</f>
        <v>#VALUE!</v>
      </c>
      <c r="DH243" t="e">
        <f>'Compiled Agents'!C1469+"h_l!.rQ"</f>
        <v>#VALUE!</v>
      </c>
      <c r="DI243" t="e">
        <f>'Compiled Agents'!D1469+"h_l!.rR"</f>
        <v>#VALUE!</v>
      </c>
      <c r="DJ243" t="e">
        <f>'Compiled Agents'!E1469+"h_l!.rS"</f>
        <v>#VALUE!</v>
      </c>
      <c r="DK243" t="e">
        <f>'Compiled Agents'!F1469+"h_l!.rT"</f>
        <v>#VALUE!</v>
      </c>
      <c r="DL243" t="e">
        <f>'Compiled Agents'!G1469+"h_l!.rU"</f>
        <v>#VALUE!</v>
      </c>
      <c r="DM243" t="e">
        <f>'Compiled Agents'!H1469+"h_l!.rV"</f>
        <v>#VALUE!</v>
      </c>
      <c r="DN243" t="e">
        <f>'Compiled Agents'!A1470+"h_l!.rW"</f>
        <v>#VALUE!</v>
      </c>
      <c r="DO243" t="e">
        <f>'Compiled Agents'!B1470+"h_l!.rX"</f>
        <v>#VALUE!</v>
      </c>
      <c r="DP243" t="e">
        <f>'Compiled Agents'!C1470+"h_l!.rY"</f>
        <v>#VALUE!</v>
      </c>
      <c r="DQ243" t="e">
        <f>'Compiled Agents'!D1470+"h_l!.rZ"</f>
        <v>#VALUE!</v>
      </c>
      <c r="DR243" t="e">
        <f>'Compiled Agents'!E1470+"h_l!.r["</f>
        <v>#VALUE!</v>
      </c>
      <c r="DS243" t="e">
        <f>'Compiled Agents'!F1470+"h_l!.r\"</f>
        <v>#VALUE!</v>
      </c>
      <c r="DT243" t="e">
        <f>'Compiled Agents'!G1470+"h_l!.r]"</f>
        <v>#VALUE!</v>
      </c>
      <c r="DU243" t="e">
        <f>'Compiled Agents'!H1470+"h_l!.r^"</f>
        <v>#VALUE!</v>
      </c>
      <c r="DV243" t="e">
        <f>'Compiled Agents'!A1471+"h_l!.r_"</f>
        <v>#VALUE!</v>
      </c>
      <c r="DW243" t="e">
        <f>'Compiled Agents'!B1471+"h_l!.r`"</f>
        <v>#VALUE!</v>
      </c>
      <c r="DX243" t="e">
        <f>'Compiled Agents'!C1471+"h_l!.ra"</f>
        <v>#VALUE!</v>
      </c>
      <c r="DY243" t="e">
        <f>'Compiled Agents'!D1471+"h_l!.rb"</f>
        <v>#VALUE!</v>
      </c>
      <c r="DZ243" t="e">
        <f>'Compiled Agents'!E1471+"h_l!.rc"</f>
        <v>#VALUE!</v>
      </c>
      <c r="EA243" t="e">
        <f>'Compiled Agents'!F1471+"h_l!.rd"</f>
        <v>#VALUE!</v>
      </c>
      <c r="EB243" t="e">
        <f>'Compiled Agents'!G1471+"h_l!.re"</f>
        <v>#VALUE!</v>
      </c>
      <c r="EC243" t="e">
        <f>'Compiled Agents'!H1471+"h_l!.rf"</f>
        <v>#VALUE!</v>
      </c>
      <c r="ED243" t="e">
        <f>Region!A:A*"h_l!.rg"</f>
        <v>#VALUE!</v>
      </c>
      <c r="EE243" t="e">
        <f>Region!B:B*"h_l!.rh"</f>
        <v>#VALUE!</v>
      </c>
      <c r="EF243" t="e">
        <f>Region!C:C*"h_l!.ri"</f>
        <v>#VALUE!</v>
      </c>
      <c r="EG243" t="e">
        <f>Region!D:D*"h_l!.rj"</f>
        <v>#VALUE!</v>
      </c>
      <c r="EH243" t="e">
        <f>Region!E:E*"h_l!.rk"</f>
        <v>#VALUE!</v>
      </c>
      <c r="EI243" t="e">
        <f>Region!F:F*"h_l!.rl"</f>
        <v>#VALUE!</v>
      </c>
      <c r="EJ243" t="e">
        <f>Region!G:G*"h_l!.rm"</f>
        <v>#VALUE!</v>
      </c>
      <c r="EK243" t="e">
        <f>Region!H:H*"h_l!.rn"</f>
        <v>#VALUE!</v>
      </c>
      <c r="EL243" t="e">
        <f>Region!I:I*"h_l!.ro"</f>
        <v>#VALUE!</v>
      </c>
      <c r="EM243" t="e">
        <f>Region!J:J*"h_l!.rp"</f>
        <v>#VALUE!</v>
      </c>
      <c r="EN243" t="e">
        <f>Region!K:K*"h_l!.rq"</f>
        <v>#VALUE!</v>
      </c>
      <c r="EO243" t="e">
        <f>Region!L:L*"h_l!.rr"</f>
        <v>#VALUE!</v>
      </c>
      <c r="EP243" t="e">
        <f>Region!M:M*"h_l!.rs"</f>
        <v>#VALUE!</v>
      </c>
      <c r="EQ243" t="e">
        <f>Region!N:N*"h_l!.rt"</f>
        <v>#VALUE!</v>
      </c>
      <c r="ER243" t="e">
        <f>Region!O:O*"h_l!.ru"</f>
        <v>#VALUE!</v>
      </c>
      <c r="ES243" t="e">
        <f>Region!P:P*"h_l!.rv"</f>
        <v>#VALUE!</v>
      </c>
      <c r="ET243" t="e">
        <f>Region!Q:Q*"h_l!.rw"</f>
        <v>#VALUE!</v>
      </c>
      <c r="EU243" t="e">
        <f>Region!R:R*"h_l!.rx"</f>
        <v>#VALUE!</v>
      </c>
      <c r="EV243" t="e">
        <f>Region!S:S*"h_l!.ry"</f>
        <v>#VALUE!</v>
      </c>
      <c r="EW243" t="e">
        <f>Region!T:T*"h_l!.rz"</f>
        <v>#VALUE!</v>
      </c>
      <c r="EX243" t="e">
        <f>Region!U:U*"h_l!.r{"</f>
        <v>#VALUE!</v>
      </c>
      <c r="EY243" t="e">
        <f>Region!V:V*"h_l!.r|"</f>
        <v>#VALUE!</v>
      </c>
      <c r="EZ243" t="e">
        <f>Region!W:W*"h_l!.r}"</f>
        <v>#VALUE!</v>
      </c>
      <c r="FA243" t="e">
        <f>Region!X:X*"h_l!.r~"</f>
        <v>#VALUE!</v>
      </c>
      <c r="FB243" t="e">
        <f>Region!Y:Y*"h_l!.s#"</f>
        <v>#VALUE!</v>
      </c>
      <c r="FC243" t="e">
        <f>Region!Z:Z*"h_l!.s$"</f>
        <v>#VALUE!</v>
      </c>
      <c r="FD243" t="e">
        <f>Region!AA:AA*"h_l!.s%"</f>
        <v>#VALUE!</v>
      </c>
      <c r="FE243" t="e">
        <f>Region!AB:AB*"h_l!.s&amp;"</f>
        <v>#VALUE!</v>
      </c>
      <c r="FF243" t="e">
        <f>Region!AC:AC*"h_l!.s'"</f>
        <v>#VALUE!</v>
      </c>
      <c r="FG243" t="e">
        <f>Region!AD:AD*"h_l!.s("</f>
        <v>#VALUE!</v>
      </c>
      <c r="FH243" t="e">
        <f>Region!AE:AE*"h_l!.s)"</f>
        <v>#VALUE!</v>
      </c>
      <c r="FI243" t="e">
        <f>Region!AF:AF*"h_l!.s."</f>
        <v>#VALUE!</v>
      </c>
      <c r="FJ243" t="e">
        <f>Region!AG:AG*"h_l!.s/"</f>
        <v>#VALUE!</v>
      </c>
      <c r="FK243" t="e">
        <f>Region!AH:AH*"h_l!.s0"</f>
        <v>#VALUE!</v>
      </c>
      <c r="FL243" t="e">
        <f>Region!AI:AI*"h_l!.s1"</f>
        <v>#VALUE!</v>
      </c>
      <c r="FM243" t="e">
        <f>Region!AJ:AJ*"h_l!.s2"</f>
        <v>#VALUE!</v>
      </c>
      <c r="FN243" t="e">
        <f>Region!AK:AK*"h_l!.s3"</f>
        <v>#VALUE!</v>
      </c>
      <c r="FO243" t="e">
        <f>Region!AL:AL*"h_l!.s4"</f>
        <v>#VALUE!</v>
      </c>
      <c r="FP243" t="e">
        <f>Region!AM:AM*"h_l!.s5"</f>
        <v>#VALUE!</v>
      </c>
      <c r="FQ243" t="e">
        <f>Region!AN:AN*"h_l!.s6"</f>
        <v>#VALUE!</v>
      </c>
      <c r="FR243" t="e">
        <f>Region!AO:AO*"h_l!.s7"</f>
        <v>#VALUE!</v>
      </c>
      <c r="FS243" t="e">
        <f>Region!AP:AP*"h_l!.s8"</f>
        <v>#VALUE!</v>
      </c>
      <c r="FT243" t="e">
        <f>Region!AQ:AQ*"h_l!.s9"</f>
        <v>#VALUE!</v>
      </c>
      <c r="FU243" t="e">
        <f>Region!AR:AR*"h_l!.s:"</f>
        <v>#VALUE!</v>
      </c>
      <c r="FV243" t="e">
        <f>Region!AS:AS*"h_l!.s;"</f>
        <v>#VALUE!</v>
      </c>
      <c r="FW243" t="e">
        <f>Region!AT:AT*"h_l!.s&lt;"</f>
        <v>#VALUE!</v>
      </c>
      <c r="FX243" t="e">
        <f>Region!AU:AU*"h_l!.s="</f>
        <v>#VALUE!</v>
      </c>
      <c r="FY243" t="e">
        <f>Region!AV:AV*"h_l!.s&gt;"</f>
        <v>#VALUE!</v>
      </c>
      <c r="FZ243" t="e">
        <f>Region!AW:AW*"h_l!.s?"</f>
        <v>#VALUE!</v>
      </c>
      <c r="GA243" t="e">
        <f>Region!AX:AX*"h_l!.s@"</f>
        <v>#VALUE!</v>
      </c>
      <c r="GB243" t="e">
        <f>Region!AY:AY*"h_l!.sA"</f>
        <v>#VALUE!</v>
      </c>
      <c r="GC243" t="e">
        <f>Region!AZ:AZ*"h_l!.sB"</f>
        <v>#VALUE!</v>
      </c>
      <c r="GD243" t="e">
        <f>Region!1:1-"h_l!.sC"</f>
        <v>#VALUE!</v>
      </c>
      <c r="GE243" t="e">
        <f>Region!2:2-"h_l!.sD"</f>
        <v>#VALUE!</v>
      </c>
      <c r="GF243" t="e">
        <f>Region!3:3-"h_l!.sE"</f>
        <v>#VALUE!</v>
      </c>
      <c r="GG243" t="e">
        <f>Region!4:4-"h_l!.sF"</f>
        <v>#VALUE!</v>
      </c>
      <c r="GH243" t="e">
        <f>Region!5:5-"h_l!.sG"</f>
        <v>#VALUE!</v>
      </c>
      <c r="GI243" t="e">
        <f>Region!6:6-"h_l!.sH"</f>
        <v>#VALUE!</v>
      </c>
      <c r="GJ243" t="e">
        <f>Region!7:7-"h_l!.sI"</f>
        <v>#VALUE!</v>
      </c>
      <c r="GK243" t="e">
        <f>Region!8:8-"h_l!.sJ"</f>
        <v>#VALUE!</v>
      </c>
      <c r="GL243" t="e">
        <f>Region!9:9-"h_l!.sK"</f>
        <v>#VALUE!</v>
      </c>
      <c r="GM243" t="e">
        <f>Region!10:10-"h_l!.sL"</f>
        <v>#VALUE!</v>
      </c>
      <c r="GN243" t="e">
        <f>Region!11:11-"h_l!.sM"</f>
        <v>#VALUE!</v>
      </c>
      <c r="GO243" t="e">
        <f>Region!12:12-"h_l!.sN"</f>
        <v>#VALUE!</v>
      </c>
      <c r="GP243" t="e">
        <f>Region!13:13-"h_l!.sO"</f>
        <v>#VALUE!</v>
      </c>
      <c r="GQ243" t="e">
        <f>Region!14:14-"h_l!.sP"</f>
        <v>#VALUE!</v>
      </c>
      <c r="GR243" t="e">
        <f>Region!15:15-"h_l!.sQ"</f>
        <v>#VALUE!</v>
      </c>
      <c r="GS243" t="e">
        <f>Region!16:16-"h_l!.sR"</f>
        <v>#VALUE!</v>
      </c>
      <c r="GT243" t="e">
        <f>Region!17:17-"h_l!.sS"</f>
        <v>#VALUE!</v>
      </c>
      <c r="GU243" t="e">
        <f>Region!18:18-"h_l!.sT"</f>
        <v>#VALUE!</v>
      </c>
      <c r="GV243" t="e">
        <f>Region!19:19-"h_l!.sU"</f>
        <v>#VALUE!</v>
      </c>
      <c r="GW243" t="e">
        <f>Region!20:20-"h_l!.sV"</f>
        <v>#VALUE!</v>
      </c>
      <c r="GX243" t="e">
        <f>Region!21:21-"h_l!.sW"</f>
        <v>#VALUE!</v>
      </c>
      <c r="GY243" t="e">
        <f>Region!22:22-"h_l!.sX"</f>
        <v>#VALUE!</v>
      </c>
      <c r="GZ243" t="e">
        <f>Region!23:23-"h_l!.sY"</f>
        <v>#VALUE!</v>
      </c>
      <c r="HA243" t="e">
        <f>Region!24:24-"h_l!.sZ"</f>
        <v>#VALUE!</v>
      </c>
      <c r="HB243" t="e">
        <f>Region!25:25-"h_l!.s["</f>
        <v>#VALUE!</v>
      </c>
      <c r="HC243" t="e">
        <f>Region!26:26-"h_l!.s\"</f>
        <v>#VALUE!</v>
      </c>
      <c r="HD243" t="e">
        <f>Region!27:27-"h_l!.s]"</f>
        <v>#VALUE!</v>
      </c>
      <c r="HE243" t="e">
        <f>Region!28:28-"h_l!.s^"</f>
        <v>#VALUE!</v>
      </c>
      <c r="HF243" t="e">
        <f>Region!29:29-"h_l!.s_"</f>
        <v>#VALUE!</v>
      </c>
      <c r="HG243" t="e">
        <f>Region!30:30-"h_l!.s`"</f>
        <v>#VALUE!</v>
      </c>
      <c r="HH243" t="e">
        <f>Region!31:31-"h_l!.sa"</f>
        <v>#VALUE!</v>
      </c>
      <c r="HI243" t="e">
        <f>Region!32:32-"h_l!.sb"</f>
        <v>#VALUE!</v>
      </c>
      <c r="HJ243" t="e">
        <f>Region!33:33-"h_l!.sc"</f>
        <v>#VALUE!</v>
      </c>
      <c r="HK243" t="e">
        <f>Region!34:34-"h_l!.sd"</f>
        <v>#VALUE!</v>
      </c>
      <c r="HL243" t="e">
        <f>Region!35:35-"h_l!.se"</f>
        <v>#VALUE!</v>
      </c>
      <c r="HM243" t="e">
        <f>Region!36:36-"h_l!.sf"</f>
        <v>#VALUE!</v>
      </c>
      <c r="HN243" t="e">
        <f>Region!37:37-"h_l!.sg"</f>
        <v>#VALUE!</v>
      </c>
      <c r="HO243" t="e">
        <f>Region!38:38-"h_l!.sh"</f>
        <v>#VALUE!</v>
      </c>
      <c r="HP243" t="e">
        <f>Region!39:39-"h_l!.si"</f>
        <v>#VALUE!</v>
      </c>
      <c r="HQ243" t="e">
        <f>Region!40:40-"h_l!.sj"</f>
        <v>#VALUE!</v>
      </c>
      <c r="HR243" t="e">
        <f>Region!41:41-"h_l!.sk"</f>
        <v>#VALUE!</v>
      </c>
      <c r="HS243" t="e">
        <f>Region!42:42-"h_l!.sl"</f>
        <v>#VALUE!</v>
      </c>
      <c r="HT243" t="e">
        <f>Region!43:43-"h_l!.sm"</f>
        <v>#VALUE!</v>
      </c>
      <c r="HU243" t="e">
        <f>Region!44:44-"h_l!.sn"</f>
        <v>#VALUE!</v>
      </c>
      <c r="HV243" t="e">
        <f>Region!45:45-"h_l!.so"</f>
        <v>#VALUE!</v>
      </c>
      <c r="HW243" t="e">
        <f>Region!46:46-"h_l!.sp"</f>
        <v>#VALUE!</v>
      </c>
      <c r="HX243" t="e">
        <f>Region!47:47-"h_l!.sq"</f>
        <v>#VALUE!</v>
      </c>
      <c r="HY243" t="e">
        <f>Region!48:48-"h_l!.sr"</f>
        <v>#VALUE!</v>
      </c>
      <c r="HZ243" t="e">
        <f>Region!49:49-"h_l!.ss"</f>
        <v>#VALUE!</v>
      </c>
      <c r="IA243" t="e">
        <f>Region!50:50-"h_l!.st"</f>
        <v>#VALUE!</v>
      </c>
      <c r="IB243" t="e">
        <f>Region!51:51-"h_l!.su"</f>
        <v>#VALUE!</v>
      </c>
      <c r="IC243" t="e">
        <f>Region!52:52-"h_l!.sv"</f>
        <v>#VALUE!</v>
      </c>
      <c r="ID243" t="e">
        <f>Region!53:53-"h_l!.sw"</f>
        <v>#VALUE!</v>
      </c>
      <c r="IE243" t="e">
        <f>Region!54:54-"h_l!.sx"</f>
        <v>#VALUE!</v>
      </c>
      <c r="IF243" t="e">
        <f>Region!55:55-"h_l!.sy"</f>
        <v>#VALUE!</v>
      </c>
      <c r="IG243" t="e">
        <f>Region!56:56-"h_l!.sz"</f>
        <v>#VALUE!</v>
      </c>
      <c r="IH243" t="e">
        <f>Region!57:57-"h_l!.s{"</f>
        <v>#VALUE!</v>
      </c>
      <c r="II243" t="e">
        <f>Region!58:58-"h_l!.s|"</f>
        <v>#VALUE!</v>
      </c>
      <c r="IJ243" t="e">
        <f>Region!59:59-"h_l!.s}"</f>
        <v>#VALUE!</v>
      </c>
      <c r="IK243" t="e">
        <f>Region!60:60-"h_l!.s~"</f>
        <v>#VALUE!</v>
      </c>
      <c r="IL243" t="e">
        <f>Region!61:61-"h_l!.t#"</f>
        <v>#VALUE!</v>
      </c>
      <c r="IM243" t="e">
        <f>Region!62:62-"h_l!.t$"</f>
        <v>#VALUE!</v>
      </c>
      <c r="IN243" t="e">
        <f>Region!63:63-"h_l!.t%"</f>
        <v>#VALUE!</v>
      </c>
      <c r="IO243" t="e">
        <f>Region!64:64-"h_l!.t&amp;"</f>
        <v>#VALUE!</v>
      </c>
      <c r="IP243" t="e">
        <f>Region!65:65-"h_l!.t'"</f>
        <v>#VALUE!</v>
      </c>
      <c r="IQ243" t="e">
        <f>Region!66:66-"h_l!.t("</f>
        <v>#VALUE!</v>
      </c>
      <c r="IR243" t="e">
        <f>Region!67:67-"h_l!.t)"</f>
        <v>#VALUE!</v>
      </c>
      <c r="IS243" t="e">
        <f>Region!68:68-"h_l!.t."</f>
        <v>#VALUE!</v>
      </c>
      <c r="IT243" t="e">
        <f>Region!69:69-"h_l!.t/"</f>
        <v>#VALUE!</v>
      </c>
      <c r="IU243" t="e">
        <f>Region!70:70-"h_l!.t0"</f>
        <v>#VALUE!</v>
      </c>
      <c r="IV243" t="e">
        <f>Region!71:71-"h_l!.t1"</f>
        <v>#VALUE!</v>
      </c>
    </row>
    <row r="244" spans="6:256" x14ac:dyDescent="0.25">
      <c r="F244" t="e">
        <f>Region!72:72-"h_l!.t2"</f>
        <v>#VALUE!</v>
      </c>
      <c r="G244" t="e">
        <f>Region!73:73-"h_l!.t3"</f>
        <v>#VALUE!</v>
      </c>
      <c r="H244" t="e">
        <f>Region!74:74-"h_l!.t4"</f>
        <v>#VALUE!</v>
      </c>
      <c r="I244" t="e">
        <f>Region!75:75-"h_l!.t5"</f>
        <v>#VALUE!</v>
      </c>
      <c r="J244" t="e">
        <f>Region!76:76-"h_l!.t6"</f>
        <v>#VALUE!</v>
      </c>
      <c r="K244" t="e">
        <f>Region!77:77-"h_l!.t7"</f>
        <v>#VALUE!</v>
      </c>
      <c r="L244" t="e">
        <f>Region!78:78-"h_l!.t8"</f>
        <v>#VALUE!</v>
      </c>
      <c r="M244" t="e">
        <f>Region!79:79-"h_l!.t9"</f>
        <v>#VALUE!</v>
      </c>
      <c r="N244" t="e">
        <f>Region!80:80-"h_l!.t:"</f>
        <v>#VALUE!</v>
      </c>
      <c r="O244" t="e">
        <f>Region!81:81-"h_l!.t;"</f>
        <v>#VALUE!</v>
      </c>
      <c r="P244" t="e">
        <f>Region!82:82-"h_l!.t&lt;"</f>
        <v>#VALUE!</v>
      </c>
      <c r="Q244" t="e">
        <f>Region!83:83-"h_l!.t="</f>
        <v>#VALUE!</v>
      </c>
      <c r="R244" t="e">
        <f>Region!84:84-"h_l!.t&gt;"</f>
        <v>#VALUE!</v>
      </c>
      <c r="S244" t="e">
        <f>Region!85:85-"h_l!.t?"</f>
        <v>#VALUE!</v>
      </c>
      <c r="T244" t="e">
        <f>Region!86:86-"h_l!.t@"</f>
        <v>#VALUE!</v>
      </c>
      <c r="U244" t="e">
        <f>Region!87:87-"h_l!.tA"</f>
        <v>#VALUE!</v>
      </c>
      <c r="V244" t="e">
        <f>Region!88:88-"h_l!.tB"</f>
        <v>#VALUE!</v>
      </c>
      <c r="W244" t="e">
        <f>Region!89:89-"h_l!.tC"</f>
        <v>#VALUE!</v>
      </c>
      <c r="X244" t="e">
        <f>Region!90:90-"h_l!.tD"</f>
        <v>#VALUE!</v>
      </c>
      <c r="Y244" t="e">
        <f>Region!91:91-"h_l!.tE"</f>
        <v>#VALUE!</v>
      </c>
      <c r="Z244" t="e">
        <f>Region!92:92-"h_l!.tF"</f>
        <v>#VALUE!</v>
      </c>
      <c r="AA244" t="e">
        <f>Region!93:93-"h_l!.tG"</f>
        <v>#VALUE!</v>
      </c>
      <c r="AB244" t="e">
        <f>Region!94:94-"h_l!.tH"</f>
        <v>#VALUE!</v>
      </c>
      <c r="AC244" t="e">
        <f>Region!95:95-"h_l!.tI"</f>
        <v>#VALUE!</v>
      </c>
      <c r="AD244" t="e">
        <f>Region!96:96-"h_l!.tJ"</f>
        <v>#VALUE!</v>
      </c>
      <c r="AE244" t="e">
        <f>Region!97:97-"h_l!.tK"</f>
        <v>#VALUE!</v>
      </c>
      <c r="AF244" t="e">
        <f>Region!98:98-"h_l!.tL"</f>
        <v>#VALUE!</v>
      </c>
      <c r="AG244" t="e">
        <f>Region!99:99-"h_l!.tM"</f>
        <v>#VALUE!</v>
      </c>
      <c r="AH244" t="e">
        <f>Region!100:100-"h_l!.tN"</f>
        <v>#VALUE!</v>
      </c>
      <c r="AI244" t="e">
        <f>Region!101:101-"h_l!.tO"</f>
        <v>#VALUE!</v>
      </c>
      <c r="AJ244" t="e">
        <f>Region!102:102-"h_l!.tP"</f>
        <v>#VALUE!</v>
      </c>
      <c r="AK244" t="e">
        <f>Region!103:103-"h_l!.tQ"</f>
        <v>#VALUE!</v>
      </c>
      <c r="AL244" t="e">
        <f>Region!104:104-"h_l!.tR"</f>
        <v>#VALUE!</v>
      </c>
      <c r="AM244" t="e">
        <f>Region!105:105-"h_l!.tS"</f>
        <v>#VALUE!</v>
      </c>
      <c r="AN244" t="e">
        <f>Region!106:106-"h_l!.tT"</f>
        <v>#VALUE!</v>
      </c>
      <c r="AO244" t="e">
        <f>Region!107:107-"h_l!.tU"</f>
        <v>#VALUE!</v>
      </c>
      <c r="AP244" t="e">
        <f>Region!108:108-"h_l!.tV"</f>
        <v>#VALUE!</v>
      </c>
      <c r="AQ244" t="e">
        <f>Region!109:109-"h_l!.tW"</f>
        <v>#VALUE!</v>
      </c>
      <c r="AR244" t="e">
        <f>Region!110:110-"h_l!.tX"</f>
        <v>#VALUE!</v>
      </c>
      <c r="AS244" t="e">
        <f>Region!111:111-"h_l!.tY"</f>
        <v>#VALUE!</v>
      </c>
      <c r="AT244" t="e">
        <f>Region!112:112-"h_l!.tZ"</f>
        <v>#VALUE!</v>
      </c>
      <c r="AU244" t="e">
        <f>Region!113:113-"h_l!.t["</f>
        <v>#VALUE!</v>
      </c>
      <c r="AV244" t="e">
        <f>Region!114:114-"h_l!.t\"</f>
        <v>#VALUE!</v>
      </c>
      <c r="AW244" t="e">
        <f>Region!115:115-"h_l!.t]"</f>
        <v>#VALUE!</v>
      </c>
      <c r="AX244" t="e">
        <f>Region!116:116-"h_l!.t^"</f>
        <v>#VALUE!</v>
      </c>
      <c r="AY244" t="e">
        <f>Region!117:117-"h_l!.t_"</f>
        <v>#VALUE!</v>
      </c>
      <c r="AZ244" t="e">
        <f>Region!118:118-"h_l!.t`"</f>
        <v>#VALUE!</v>
      </c>
      <c r="BA244" t="e">
        <f>Region!119:119-"h_l!.ta"</f>
        <v>#VALUE!</v>
      </c>
      <c r="BB244" t="e">
        <f>Region!120:120-"h_l!.tb"</f>
        <v>#VALUE!</v>
      </c>
      <c r="BC244" t="e">
        <f>Region!121:121-"h_l!.tc"</f>
        <v>#VALUE!</v>
      </c>
      <c r="BD244" t="e">
        <f>Region!122:122-"h_l!.td"</f>
        <v>#VALUE!</v>
      </c>
      <c r="BE244" t="e">
        <f>Region!123:123-"h_l!.te"</f>
        <v>#VALUE!</v>
      </c>
      <c r="BF244" t="e">
        <f>Region!124:124-"h_l!.tf"</f>
        <v>#VALUE!</v>
      </c>
      <c r="BG244" t="e">
        <f>Region!125:125-"h_l!.tg"</f>
        <v>#VALUE!</v>
      </c>
      <c r="BH244" t="e">
        <f>Region!126:126-"h_l!.th"</f>
        <v>#VALUE!</v>
      </c>
      <c r="BI244" t="e">
        <f>Region!127:127-"h_l!.ti"</f>
        <v>#VALUE!</v>
      </c>
      <c r="BJ244" t="e">
        <f>Region!128:128-"h_l!.tj"</f>
        <v>#VALUE!</v>
      </c>
      <c r="BK244" t="e">
        <f>Region!129:129-"h_l!.tk"</f>
        <v>#VALUE!</v>
      </c>
      <c r="BL244" t="e">
        <f>Region!130:130-"h_l!.tl"</f>
        <v>#VALUE!</v>
      </c>
      <c r="BM244" t="e">
        <f>Region!131:131-"h_l!.tm"</f>
        <v>#VALUE!</v>
      </c>
      <c r="BN244" t="e">
        <f>Region!132:132-"h_l!.tn"</f>
        <v>#VALUE!</v>
      </c>
      <c r="BO244" t="e">
        <f>Region!133:133-"h_l!.to"</f>
        <v>#VALUE!</v>
      </c>
      <c r="BP244" t="e">
        <f>Region!134:134-"h_l!.tp"</f>
        <v>#VALUE!</v>
      </c>
      <c r="BQ244" t="e">
        <f>Region!135:135-"h_l!.tq"</f>
        <v>#VALUE!</v>
      </c>
      <c r="BR244" t="e">
        <f>Region!136:136-"h_l!.tr"</f>
        <v>#VALUE!</v>
      </c>
      <c r="BS244" t="e">
        <f>Region!137:137-"h_l!.ts"</f>
        <v>#VALUE!</v>
      </c>
      <c r="BT244" t="e">
        <f>Region!138:138-"h_l!.tt"</f>
        <v>#VALUE!</v>
      </c>
      <c r="BU244" t="e">
        <f>Region!139:139-"h_l!.tu"</f>
        <v>#VALUE!</v>
      </c>
      <c r="BV244" t="e">
        <f>Region!140:140-"h_l!.tv"</f>
        <v>#VALUE!</v>
      </c>
      <c r="BW244" t="e">
        <f>Region!141:141-"h_l!.tw"</f>
        <v>#VALUE!</v>
      </c>
      <c r="BX244" t="e">
        <f>Region!142:142-"h_l!.tx"</f>
        <v>#VALUE!</v>
      </c>
      <c r="BY244" t="e">
        <f>Region!143:143-"h_l!.ty"</f>
        <v>#VALUE!</v>
      </c>
      <c r="BZ244" t="e">
        <f>Region!144:144-"h_l!.tz"</f>
        <v>#VALUE!</v>
      </c>
      <c r="CA244" t="e">
        <f>Region!145:145-"h_l!.t{"</f>
        <v>#VALUE!</v>
      </c>
      <c r="CB244" t="e">
        <f>Region!146:146-"h_l!.t|"</f>
        <v>#VALUE!</v>
      </c>
      <c r="CC244" t="e">
        <f>Region!147:147-"h_l!.t}"</f>
        <v>#VALUE!</v>
      </c>
      <c r="CD244" t="e">
        <f>Region!148:148-"h_l!.t~"</f>
        <v>#VALUE!</v>
      </c>
      <c r="CE244" t="e">
        <f>Region!149:149-"h_l!.u#"</f>
        <v>#VALUE!</v>
      </c>
      <c r="CF244" t="e">
        <f>Region!150:150-"h_l!.u$"</f>
        <v>#VALUE!</v>
      </c>
      <c r="CG244" t="e">
        <f>Region!151:151-"h_l!.u%"</f>
        <v>#VALUE!</v>
      </c>
      <c r="CH244" t="e">
        <f>Region!152:152-"h_l!.u&amp;"</f>
        <v>#VALUE!</v>
      </c>
      <c r="CI244" t="e">
        <f>Region!153:153-"h_l!.u'"</f>
        <v>#VALUE!</v>
      </c>
      <c r="CJ244" t="e">
        <f>Region!154:154-"h_l!.u("</f>
        <v>#VALUE!</v>
      </c>
      <c r="CK244" t="e">
        <f>Region!155:155-"h_l!.u)"</f>
        <v>#VALUE!</v>
      </c>
      <c r="CL244" t="e">
        <f>Region!156:156-"h_l!.u."</f>
        <v>#VALUE!</v>
      </c>
      <c r="CM244" t="e">
        <f>Region!157:157-"h_l!.u/"</f>
        <v>#VALUE!</v>
      </c>
      <c r="CN244" t="e">
        <f>Region!158:158-"h_l!.u0"</f>
        <v>#VALUE!</v>
      </c>
      <c r="CO244" t="e">
        <f>Region!159:159-"h_l!.u1"</f>
        <v>#VALUE!</v>
      </c>
      <c r="CP244" t="e">
        <f>Region!160:160-"h_l!.u2"</f>
        <v>#VALUE!</v>
      </c>
      <c r="CQ244" t="e">
        <f>Region!161:161-"h_l!.u3"</f>
        <v>#VALUE!</v>
      </c>
      <c r="CR244" t="e">
        <f>Region!162:162-"h_l!.u4"</f>
        <v>#VALUE!</v>
      </c>
      <c r="CS244" t="e">
        <f>Region!163:163-"h_l!.u5"</f>
        <v>#VALUE!</v>
      </c>
      <c r="CT244" t="e">
        <f>Region!164:164-"h_l!.u6"</f>
        <v>#VALUE!</v>
      </c>
      <c r="CU244" t="e">
        <f>Region!165:165-"h_l!.u7"</f>
        <v>#VALUE!</v>
      </c>
      <c r="CV244" t="e">
        <f>Region!166:166-"h_l!.u8"</f>
        <v>#VALUE!</v>
      </c>
      <c r="CW244" t="e">
        <f>Region!167:167-"h_l!.u9"</f>
        <v>#VALUE!</v>
      </c>
      <c r="CX244" t="e">
        <f>Region!168:168-"h_l!.u:"</f>
        <v>#VALUE!</v>
      </c>
      <c r="CY244" t="e">
        <f>Region!169:169-"h_l!.u;"</f>
        <v>#VALUE!</v>
      </c>
      <c r="CZ244" t="e">
        <f>Region!170:170-"h_l!.u&lt;"</f>
        <v>#VALUE!</v>
      </c>
      <c r="DA244" t="e">
        <f>Region!171:171-"h_l!.u="</f>
        <v>#VALUE!</v>
      </c>
      <c r="DB244" t="e">
        <f>Region!172:172-"h_l!.u&gt;"</f>
        <v>#VALUE!</v>
      </c>
      <c r="DC244" t="e">
        <f>Region!173:173-"h_l!.u?"</f>
        <v>#VALUE!</v>
      </c>
      <c r="DD244" t="e">
        <f>Region!174:174-"h_l!.u@"</f>
        <v>#VALUE!</v>
      </c>
      <c r="DE244" t="e">
        <f>Region!175:175-"h_l!.uA"</f>
        <v>#VALUE!</v>
      </c>
      <c r="DF244" t="e">
        <f>Region!176:176-"h_l!.uB"</f>
        <v>#VALUE!</v>
      </c>
      <c r="DG244" t="e">
        <f>Region!177:177-"h_l!.uC"</f>
        <v>#VALUE!</v>
      </c>
      <c r="DH244" t="e">
        <f>Region!178:178-"h_l!.uD"</f>
        <v>#VALUE!</v>
      </c>
      <c r="DI244" t="e">
        <f>Region!179:179-"h_l!.uE"</f>
        <v>#VALUE!</v>
      </c>
      <c r="DJ244" t="e">
        <f>Region!180:180-"h_l!.uF"</f>
        <v>#VALUE!</v>
      </c>
      <c r="DK244" t="e">
        <f>Region!181:181-"h_l!.uG"</f>
        <v>#VALUE!</v>
      </c>
      <c r="DL244" t="e">
        <f>Region!182:182-"h_l!.uH"</f>
        <v>#VALUE!</v>
      </c>
      <c r="DM244" t="e">
        <f>Region!183:183-"h_l!.uI"</f>
        <v>#VALUE!</v>
      </c>
      <c r="DN244" t="e">
        <f>Region!184:184-"h_l!.uJ"</f>
        <v>#VALUE!</v>
      </c>
      <c r="DO244" t="e">
        <f>Region!185:185-"h_l!.uK"</f>
        <v>#VALUE!</v>
      </c>
      <c r="DP244" t="e">
        <f>Region!186:186-"h_l!.uL"</f>
        <v>#VALUE!</v>
      </c>
      <c r="DQ244" t="e">
        <f>Region!187:187-"h_l!.uM"</f>
        <v>#VALUE!</v>
      </c>
      <c r="DR244" t="e">
        <f>Region!188:188-"h_l!.uN"</f>
        <v>#VALUE!</v>
      </c>
      <c r="DS244" t="e">
        <f>Region!189:189-"h_l!.uO"</f>
        <v>#VALUE!</v>
      </c>
      <c r="DT244" t="e">
        <f>Region!190:190-"h_l!.uP"</f>
        <v>#VALUE!</v>
      </c>
      <c r="DU244" t="e">
        <f>Region!191:191-"h_l!.uQ"</f>
        <v>#VALUE!</v>
      </c>
      <c r="DV244" t="e">
        <f>Region!192:192-"h_l!.uR"</f>
        <v>#VALUE!</v>
      </c>
      <c r="DW244" t="e">
        <f>Region!193:193-"h_l!.uS"</f>
        <v>#VALUE!</v>
      </c>
      <c r="DX244" t="e">
        <f>Region!194:194-"h_l!.uT"</f>
        <v>#VALUE!</v>
      </c>
      <c r="DY244" t="e">
        <f>Region!195:195-"h_l!.uU"</f>
        <v>#VALUE!</v>
      </c>
      <c r="DZ244" t="e">
        <f>Region!196:196-"h_l!.uV"</f>
        <v>#VALUE!</v>
      </c>
      <c r="EA244" t="e">
        <f>Region!197:197-"h_l!.uW"</f>
        <v>#VALUE!</v>
      </c>
      <c r="EB244" t="e">
        <f>Region!198:198-"h_l!.uX"</f>
        <v>#VALUE!</v>
      </c>
      <c r="EC244" t="e">
        <f>Region!199:199-"h_l!.uY"</f>
        <v>#VALUE!</v>
      </c>
      <c r="ED244" t="e">
        <f>Region!200:200-"h_l!.uZ"</f>
        <v>#VALUE!</v>
      </c>
      <c r="EE244" t="e">
        <f>Region!201:201-"h_l!.u["</f>
        <v>#VALUE!</v>
      </c>
      <c r="EF244" t="e">
        <f>Region!202:202-"h_l!.u\"</f>
        <v>#VALUE!</v>
      </c>
      <c r="EG244" t="e">
        <f>Region!203:203-"h_l!.u]"</f>
        <v>#VALUE!</v>
      </c>
      <c r="EH244" t="e">
        <f>Region!204:204-"h_l!.u^"</f>
        <v>#VALUE!</v>
      </c>
      <c r="EI244" t="e">
        <f>Region!205:205-"h_l!.u_"</f>
        <v>#VALUE!</v>
      </c>
      <c r="EJ244" t="e">
        <f>Region!206:206-"h_l!.u`"</f>
        <v>#VALUE!</v>
      </c>
      <c r="EK244" t="e">
        <f>Region!207:207-"h_l!.ua"</f>
        <v>#VALUE!</v>
      </c>
      <c r="EL244" t="e">
        <f>Region!208:208-"h_l!.ub"</f>
        <v>#VALUE!</v>
      </c>
      <c r="EM244" t="e">
        <f>Region!209:209-"h_l!.uc"</f>
        <v>#VALUE!</v>
      </c>
      <c r="EN244" t="e">
        <f>Region!A1+"h_l!.ud"</f>
        <v>#VALUE!</v>
      </c>
      <c r="EO244" t="e">
        <f>Region!B1+"h_l!.ue"</f>
        <v>#VALUE!</v>
      </c>
      <c r="EP244" t="e">
        <f>Region!A2+"h_l!.uf"</f>
        <v>#VALUE!</v>
      </c>
      <c r="EQ244" t="e">
        <f>Region!B2+"h_l!.ug"</f>
        <v>#VALUE!</v>
      </c>
      <c r="ER244" t="e">
        <f>Region!A3+"h_l!.uh"</f>
        <v>#VALUE!</v>
      </c>
      <c r="ES244" t="e">
        <f>Region!B3+"h_l!.ui"</f>
        <v>#VALUE!</v>
      </c>
      <c r="ET244" t="e">
        <f>Region!A4+"h_l!.uj"</f>
        <v>#VALUE!</v>
      </c>
      <c r="EU244" t="e">
        <f>Region!B4+"h_l!.uk"</f>
        <v>#VALUE!</v>
      </c>
      <c r="EV244" t="e">
        <f>Region!A5+"h_l!.ul"</f>
        <v>#VALUE!</v>
      </c>
      <c r="EW244" t="e">
        <f>Region!B5+"h_l!.um"</f>
        <v>#VALUE!</v>
      </c>
      <c r="EX244" t="e">
        <f>Region!A6+"h_l!.un"</f>
        <v>#VALUE!</v>
      </c>
      <c r="EY244" t="e">
        <f>Region!B6+"h_l!.uo"</f>
        <v>#VALUE!</v>
      </c>
      <c r="EZ244" t="e">
        <f>Region!A7+"h_l!.up"</f>
        <v>#VALUE!</v>
      </c>
      <c r="FA244" t="e">
        <f>Region!B7+"h_l!.uq"</f>
        <v>#VALUE!</v>
      </c>
      <c r="FB244" t="e">
        <f>Region!A8+"h_l!.ur"</f>
        <v>#VALUE!</v>
      </c>
      <c r="FC244" t="e">
        <f>Region!B8+"h_l!.us"</f>
        <v>#VALUE!</v>
      </c>
      <c r="FD244" t="e">
        <f>Region!A9+"h_l!.ut"</f>
        <v>#VALUE!</v>
      </c>
      <c r="FE244" t="e">
        <f>Region!B9+"h_l!.uu"</f>
        <v>#VALUE!</v>
      </c>
      <c r="FF244" t="e">
        <f>Raw!F:F*"h_l!.uv"</f>
        <v>#VALUE!</v>
      </c>
      <c r="FG244" t="e">
        <f>Raw!F1+"h_l!.uw"</f>
        <v>#VALUE!</v>
      </c>
      <c r="FH244" t="e">
        <f>Raw!F2+"h_l!.ux"</f>
        <v>#VALUE!</v>
      </c>
      <c r="FI244" t="e">
        <f>Raw!F3+"h_l!.uy"</f>
        <v>#VALUE!</v>
      </c>
      <c r="FJ244" t="e">
        <f>Raw!F4+"h_l!.uz"</f>
        <v>#VALUE!</v>
      </c>
      <c r="FK244" t="e">
        <f>Raw!F5+"h_l!.u{"</f>
        <v>#VALUE!</v>
      </c>
      <c r="FL244" t="e">
        <f>Raw!F6+"h_l!.u|"</f>
        <v>#VALUE!</v>
      </c>
      <c r="FM244" t="e">
        <f>Raw!F7+"h_l!.u}"</f>
        <v>#VALUE!</v>
      </c>
      <c r="FN244" t="e">
        <f>Raw!F8+"h_l!.u~"</f>
        <v>#VALUE!</v>
      </c>
      <c r="FO244" t="e">
        <f>Raw!F9+"h_l!.v#"</f>
        <v>#VALUE!</v>
      </c>
      <c r="FP244" t="e">
        <f>Raw!F10+"h_l!.v$"</f>
        <v>#VALUE!</v>
      </c>
      <c r="FQ244" t="e">
        <f>Raw!F11+"h_l!.v%"</f>
        <v>#VALUE!</v>
      </c>
      <c r="FR244" t="e">
        <f>Raw!F12+"h_l!.v&amp;"</f>
        <v>#VALUE!</v>
      </c>
      <c r="FS244" t="e">
        <f>Raw!F13+"h_l!.v'"</f>
        <v>#VALUE!</v>
      </c>
      <c r="FT244" t="e">
        <f>Raw!F14+"h_l!.v("</f>
        <v>#VALUE!</v>
      </c>
      <c r="FU244" t="e">
        <f>Raw!F15+"h_l!.v)"</f>
        <v>#VALUE!</v>
      </c>
      <c r="FV244" t="e">
        <f>Raw!F16+"h_l!.v."</f>
        <v>#VALUE!</v>
      </c>
      <c r="FW244" t="e">
        <f>Raw!F17+"h_l!.v/"</f>
        <v>#VALUE!</v>
      </c>
      <c r="FX244" t="e">
        <f>Raw!F18+"h_l!.v0"</f>
        <v>#VALUE!</v>
      </c>
      <c r="FY244" t="e">
        <f>Raw!F19+"h_l!.v1"</f>
        <v>#VALUE!</v>
      </c>
      <c r="FZ244" t="e">
        <f>Raw!F20+"h_l!.v2"</f>
        <v>#VALUE!</v>
      </c>
      <c r="GA244" t="e">
        <f>Raw!F21+"h_l!.v3"</f>
        <v>#VALUE!</v>
      </c>
      <c r="GB244" t="e">
        <f>Raw!F22+"h_l!.v4"</f>
        <v>#VALUE!</v>
      </c>
      <c r="GC244" t="e">
        <f>Raw!F23+"h_l!.v5"</f>
        <v>#VALUE!</v>
      </c>
      <c r="GD244" t="e">
        <f>Raw!F24+"h_l!.v6"</f>
        <v>#VALUE!</v>
      </c>
      <c r="GE244" t="e">
        <f>Raw!F25+"h_l!.v7"</f>
        <v>#VALUE!</v>
      </c>
      <c r="GF244" t="e">
        <f>Raw!F26+"h_l!.v8"</f>
        <v>#VALUE!</v>
      </c>
      <c r="GG244" t="e">
        <f>Raw!F27+"h_l!.v9"</f>
        <v>#VALUE!</v>
      </c>
      <c r="GH244" t="e">
        <f>Raw!F28+"h_l!.v:"</f>
        <v>#VALUE!</v>
      </c>
      <c r="GI244" t="e">
        <f>Raw!F29+"h_l!.v;"</f>
        <v>#VALUE!</v>
      </c>
      <c r="GJ244" t="e">
        <f>Raw!F30+"h_l!.v&lt;"</f>
        <v>#VALUE!</v>
      </c>
      <c r="GK244" t="e">
        <f>Raw!F31+"h_l!.v="</f>
        <v>#VALUE!</v>
      </c>
      <c r="GL244" t="e">
        <f>Raw!F32+"h_l!.v&gt;"</f>
        <v>#VALUE!</v>
      </c>
      <c r="GM244" t="e">
        <f>Raw!F33+"h_l!.v?"</f>
        <v>#VALUE!</v>
      </c>
      <c r="GN244" t="e">
        <f>Raw!F34+"h_l!.v@"</f>
        <v>#VALUE!</v>
      </c>
      <c r="GO244" t="e">
        <f>Raw!F35+"h_l!.vA"</f>
        <v>#VALUE!</v>
      </c>
      <c r="GP244" t="e">
        <f>Raw!F36+"h_l!.vB"</f>
        <v>#VALUE!</v>
      </c>
      <c r="GQ244" t="e">
        <f>Raw!F37+"h_l!.vC"</f>
        <v>#VALUE!</v>
      </c>
      <c r="GR244" t="e">
        <f>Raw!F38+"h_l!.vD"</f>
        <v>#VALUE!</v>
      </c>
      <c r="GS244" t="e">
        <f>Raw!F39+"h_l!.vE"</f>
        <v>#VALUE!</v>
      </c>
      <c r="GT244" t="e">
        <f>Raw!F40+"h_l!.vF"</f>
        <v>#VALUE!</v>
      </c>
      <c r="GU244" t="e">
        <f>Raw!F41+"h_l!.vG"</f>
        <v>#VALUE!</v>
      </c>
      <c r="GV244" t="e">
        <f>Raw!F42+"h_l!.vH"</f>
        <v>#VALUE!</v>
      </c>
      <c r="GW244" t="e">
        <f>Raw!F43+"h_l!.vI"</f>
        <v>#VALUE!</v>
      </c>
      <c r="GX244" t="e">
        <f>Raw!F44+"h_l!.vJ"</f>
        <v>#VALUE!</v>
      </c>
      <c r="GY244" t="e">
        <f>Raw!F45+"h_l!.vK"</f>
        <v>#VALUE!</v>
      </c>
      <c r="GZ244" t="e">
        <f>Raw!F46+"h_l!.vL"</f>
        <v>#VALUE!</v>
      </c>
      <c r="HA244" t="e">
        <f>Raw!F47+"h_l!.vM"</f>
        <v>#VALUE!</v>
      </c>
      <c r="HB244" t="e">
        <f>Raw!F48+"h_l!.vN"</f>
        <v>#VALUE!</v>
      </c>
      <c r="HC244" t="e">
        <f>Raw!F49+"h_l!.vO"</f>
        <v>#VALUE!</v>
      </c>
      <c r="HD244" t="e">
        <f>Raw!F50+"h_l!.vP"</f>
        <v>#VALUE!</v>
      </c>
      <c r="HE244" t="e">
        <f>Raw!F51+"h_l!.vQ"</f>
        <v>#VALUE!</v>
      </c>
      <c r="HF244" t="e">
        <f>Raw!F52+"h_l!.vR"</f>
        <v>#VALUE!</v>
      </c>
      <c r="HG244" t="e">
        <f>Raw!F53+"h_l!.vS"</f>
        <v>#VALUE!</v>
      </c>
      <c r="HH244" t="e">
        <f>Raw!F54+"h_l!.vT"</f>
        <v>#VALUE!</v>
      </c>
      <c r="HI244" t="e">
        <f>Raw!F55+"h_l!.vU"</f>
        <v>#VALUE!</v>
      </c>
      <c r="HJ244" t="e">
        <f>Raw!F56+"h_l!.vV"</f>
        <v>#VALUE!</v>
      </c>
      <c r="HK244" t="e">
        <f>Raw!F57+"h_l!.vW"</f>
        <v>#VALUE!</v>
      </c>
      <c r="HL244" t="e">
        <f>Raw!F58+"h_l!.vX"</f>
        <v>#VALUE!</v>
      </c>
      <c r="HM244" t="e">
        <f>Raw!F59+"h_l!.vY"</f>
        <v>#VALUE!</v>
      </c>
      <c r="HN244" t="e">
        <f>Raw!F60+"h_l!.vZ"</f>
        <v>#VALUE!</v>
      </c>
      <c r="HO244" t="e">
        <f>Raw!F61+"h_l!.v["</f>
        <v>#VALUE!</v>
      </c>
      <c r="HP244" t="e">
        <f>Raw!F62+"h_l!.v\"</f>
        <v>#VALUE!</v>
      </c>
      <c r="HQ244" t="e">
        <f>Raw!F63+"h_l!.v]"</f>
        <v>#VALUE!</v>
      </c>
      <c r="HR244" t="e">
        <f>Raw!F64+"h_l!.v^"</f>
        <v>#VALUE!</v>
      </c>
      <c r="HS244" t="e">
        <f>Raw!F65+"h_l!.v_"</f>
        <v>#VALUE!</v>
      </c>
      <c r="HT244" t="e">
        <f>Raw!F66+"h_l!.v`"</f>
        <v>#VALUE!</v>
      </c>
      <c r="HU244" t="e">
        <f>Raw!F67+"h_l!.va"</f>
        <v>#VALUE!</v>
      </c>
      <c r="HV244" t="e">
        <f>Raw!F68+"h_l!.vb"</f>
        <v>#VALUE!</v>
      </c>
      <c r="HW244" t="e">
        <f>Raw!F69+"h_l!.vc"</f>
        <v>#VALUE!</v>
      </c>
      <c r="HX244" t="e">
        <f>Raw!F70+"h_l!.vd"</f>
        <v>#VALUE!</v>
      </c>
      <c r="HY244" t="e">
        <f>Raw!F71+"h_l!.ve"</f>
        <v>#VALUE!</v>
      </c>
      <c r="HZ244" t="e">
        <f>Raw!F72+"h_l!.vf"</f>
        <v>#VALUE!</v>
      </c>
      <c r="IA244" t="e">
        <f>Raw!F73+"h_l!.vg"</f>
        <v>#VALUE!</v>
      </c>
      <c r="IB244" t="e">
        <f>Raw!F74+"h_l!.vh"</f>
        <v>#VALUE!</v>
      </c>
      <c r="IC244" t="e">
        <f>Raw!F75+"h_l!.vi"</f>
        <v>#VALUE!</v>
      </c>
      <c r="ID244" t="e">
        <f>Raw!F76+"h_l!.vj"</f>
        <v>#VALUE!</v>
      </c>
      <c r="IE244" t="e">
        <f>Raw!F77+"h_l!.vk"</f>
        <v>#VALUE!</v>
      </c>
      <c r="IF244" t="e">
        <f>Raw!F78+"h_l!.vl"</f>
        <v>#VALUE!</v>
      </c>
      <c r="IG244" t="e">
        <f>Raw!F79+"h_l!.vm"</f>
        <v>#VALUE!</v>
      </c>
      <c r="IH244" t="e">
        <f>Raw!F80+"h_l!.vn"</f>
        <v>#VALUE!</v>
      </c>
      <c r="II244" t="e">
        <f>Raw!F81+"h_l!.vo"</f>
        <v>#VALUE!</v>
      </c>
      <c r="IJ244" t="e">
        <f>Raw!F82+"h_l!.vp"</f>
        <v>#VALUE!</v>
      </c>
      <c r="IK244" t="e">
        <f>Raw!F83+"h_l!.vq"</f>
        <v>#VALUE!</v>
      </c>
      <c r="IL244" t="e">
        <f>Raw!F84+"h_l!.vr"</f>
        <v>#VALUE!</v>
      </c>
      <c r="IM244" t="e">
        <f>Raw!F85+"h_l!.vs"</f>
        <v>#VALUE!</v>
      </c>
      <c r="IN244" t="e">
        <f>Raw!F86+"h_l!.vt"</f>
        <v>#VALUE!</v>
      </c>
      <c r="IO244" t="e">
        <f>Raw!F87+"h_l!.vu"</f>
        <v>#VALUE!</v>
      </c>
      <c r="IP244" t="e">
        <f>Raw!F88+"h_l!.vv"</f>
        <v>#VALUE!</v>
      </c>
      <c r="IQ244" t="e">
        <f>Raw!F89+"h_l!.vw"</f>
        <v>#VALUE!</v>
      </c>
      <c r="IR244" t="e">
        <f>Raw!F90+"h_l!.vx"</f>
        <v>#VALUE!</v>
      </c>
      <c r="IS244" t="e">
        <f>Raw!F91+"h_l!.vy"</f>
        <v>#VALUE!</v>
      </c>
      <c r="IT244" t="e">
        <f>Raw!F92+"h_l!.vz"</f>
        <v>#VALUE!</v>
      </c>
      <c r="IU244" t="e">
        <f>Raw!F93+"h_l!.v{"</f>
        <v>#VALUE!</v>
      </c>
      <c r="IV244" t="e">
        <f>Raw!F94+"h_l!.v|"</f>
        <v>#VALUE!</v>
      </c>
    </row>
    <row r="245" spans="6:256" x14ac:dyDescent="0.25">
      <c r="F245" t="e">
        <f>Raw!F95+"h_l!.v}"</f>
        <v>#VALUE!</v>
      </c>
      <c r="G245" t="e">
        <f>Raw!F96+"h_l!.v~"</f>
        <v>#VALUE!</v>
      </c>
      <c r="H245" t="e">
        <f>Raw!F97+"h_l!.w#"</f>
        <v>#VALUE!</v>
      </c>
      <c r="I245" t="e">
        <f>Raw!F98+"h_l!.w$"</f>
        <v>#VALUE!</v>
      </c>
      <c r="J245" t="e">
        <f>Raw!F99+"h_l!.w%"</f>
        <v>#VALUE!</v>
      </c>
      <c r="K245" t="e">
        <f>Raw!F100+"h_l!.w&amp;"</f>
        <v>#VALUE!</v>
      </c>
      <c r="L245" t="e">
        <f>Raw!F101+"h_l!.w'"</f>
        <v>#VALUE!</v>
      </c>
      <c r="M245" t="e">
        <f>Raw!F102+"h_l!.w("</f>
        <v>#VALUE!</v>
      </c>
      <c r="N245" t="e">
        <f>Raw!F103+"h_l!.w)"</f>
        <v>#VALUE!</v>
      </c>
      <c r="O245" t="e">
        <f>Raw!F104+"h_l!.w."</f>
        <v>#VALUE!</v>
      </c>
      <c r="P245" t="e">
        <f>Raw!F105+"h_l!.w/"</f>
        <v>#VALUE!</v>
      </c>
      <c r="Q245" t="e">
        <f>Raw!F106+"h_l!.w0"</f>
        <v>#VALUE!</v>
      </c>
      <c r="R245" t="e">
        <f>Raw!F107+"h_l!.w1"</f>
        <v>#VALUE!</v>
      </c>
      <c r="S245" t="e">
        <f>Raw!F108+"h_l!.w2"</f>
        <v>#VALUE!</v>
      </c>
      <c r="T245" t="e">
        <f>Raw!F109+"h_l!.w3"</f>
        <v>#VALUE!</v>
      </c>
      <c r="U245" t="e">
        <f>Raw!F110+"h_l!.w4"</f>
        <v>#VALUE!</v>
      </c>
      <c r="V245" t="e">
        <f>Raw!F111+"h_l!.w5"</f>
        <v>#VALUE!</v>
      </c>
      <c r="W245" t="e">
        <f>Raw!F112+"h_l!.w6"</f>
        <v>#VALUE!</v>
      </c>
      <c r="X245" t="e">
        <f>Raw!F113+"h_l!.w7"</f>
        <v>#VALUE!</v>
      </c>
      <c r="Y245" t="e">
        <f>Raw!F114+"h_l!.w8"</f>
        <v>#VALUE!</v>
      </c>
      <c r="Z245" t="e">
        <f>Raw!F115+"h_l!.w9"</f>
        <v>#VALUE!</v>
      </c>
      <c r="AA245" t="e">
        <f>Raw!F116+"h_l!.w:"</f>
        <v>#VALUE!</v>
      </c>
      <c r="AB245" t="e">
        <f>Raw!F117+"h_l!.w;"</f>
        <v>#VALUE!</v>
      </c>
      <c r="AC245" t="e">
        <f>Raw!F118+"h_l!.w&lt;"</f>
        <v>#VALUE!</v>
      </c>
      <c r="AD245" t="e">
        <f>Raw!F119+"h_l!.w="</f>
        <v>#VALUE!</v>
      </c>
      <c r="AE245" t="e">
        <f>Raw!F120+"h_l!.w&gt;"</f>
        <v>#VALUE!</v>
      </c>
      <c r="AF245" t="e">
        <f>Raw!F121+"h_l!.w?"</f>
        <v>#VALUE!</v>
      </c>
      <c r="AG245" t="e">
        <f>Raw!F122+"h_l!.w@"</f>
        <v>#VALUE!</v>
      </c>
      <c r="AH245" t="e">
        <f>Raw!F123+"h_l!.wA"</f>
        <v>#VALUE!</v>
      </c>
      <c r="AI245" t="e">
        <f>Raw!F124+"h_l!.wB"</f>
        <v>#VALUE!</v>
      </c>
      <c r="AJ245" t="e">
        <f>Raw!F125+"h_l!.wC"</f>
        <v>#VALUE!</v>
      </c>
      <c r="AK245" t="e">
        <f>Raw!F126+"h_l!.wD"</f>
        <v>#VALUE!</v>
      </c>
      <c r="AL245" t="e">
        <f>Raw!F127+"h_l!.wE"</f>
        <v>#VALUE!</v>
      </c>
      <c r="AM245" t="e">
        <f>Raw!F128+"h_l!.wF"</f>
        <v>#VALUE!</v>
      </c>
      <c r="AN245" t="e">
        <f>Raw!F129+"h_l!.wG"</f>
        <v>#VALUE!</v>
      </c>
      <c r="AO245" t="e">
        <f>Raw!F130+"h_l!.wH"</f>
        <v>#VALUE!</v>
      </c>
      <c r="AP245" t="e">
        <f>Raw!F131+"h_l!.wI"</f>
        <v>#VALUE!</v>
      </c>
      <c r="AQ245" t="e">
        <f>Raw!F132+"h_l!.wJ"</f>
        <v>#VALUE!</v>
      </c>
      <c r="AR245" t="e">
        <f>Raw!F133+"h_l!.wK"</f>
        <v>#VALUE!</v>
      </c>
      <c r="AS245" t="e">
        <f>Raw!F134+"h_l!.wL"</f>
        <v>#VALUE!</v>
      </c>
      <c r="AT245" t="e">
        <f>Raw!F135+"h_l!.wM"</f>
        <v>#VALUE!</v>
      </c>
      <c r="AU245" t="e">
        <f>Raw!F136+"h_l!.wN"</f>
        <v>#VALUE!</v>
      </c>
      <c r="AV245" t="e">
        <f>Raw!F137+"h_l!.wO"</f>
        <v>#VALUE!</v>
      </c>
      <c r="AW245" t="e">
        <f>Raw!F138+"h_l!.wP"</f>
        <v>#VALUE!</v>
      </c>
      <c r="AX245" t="e">
        <f>Raw!F139+"h_l!.wQ"</f>
        <v>#VALUE!</v>
      </c>
      <c r="AY245" t="e">
        <f>Raw!F140+"h_l!.wR"</f>
        <v>#VALUE!</v>
      </c>
      <c r="AZ245" t="e">
        <f>Raw!F141+"h_l!.wS"</f>
        <v>#VALUE!</v>
      </c>
      <c r="BA245" t="e">
        <f>Raw!F142+"h_l!.wT"</f>
        <v>#VALUE!</v>
      </c>
      <c r="BB245" t="e">
        <f>Raw!F143+"h_l!.wU"</f>
        <v>#VALUE!</v>
      </c>
      <c r="BC245" t="e">
        <f>Raw!F144+"h_l!.wV"</f>
        <v>#VALUE!</v>
      </c>
      <c r="BD245" t="e">
        <f>Raw!F145+"h_l!.wW"</f>
        <v>#VALUE!</v>
      </c>
      <c r="BE245" t="e">
        <f>Raw!F146+"h_l!.wX"</f>
        <v>#VALUE!</v>
      </c>
      <c r="BF245" t="e">
        <f>Raw!F147+"h_l!.wY"</f>
        <v>#VALUE!</v>
      </c>
      <c r="BG245" t="e">
        <f>Raw!F148+"h_l!.wZ"</f>
        <v>#VALUE!</v>
      </c>
      <c r="BH245" t="e">
        <f>Raw!F149+"h_l!.w["</f>
        <v>#VALUE!</v>
      </c>
      <c r="BI245" t="e">
        <f>Raw!F150+"h_l!.w\"</f>
        <v>#VALUE!</v>
      </c>
      <c r="BJ245" t="e">
        <f>Raw!F151+"h_l!.w]"</f>
        <v>#VALUE!</v>
      </c>
      <c r="BK245" t="e">
        <f>Raw!F152+"h_l!.w^"</f>
        <v>#VALUE!</v>
      </c>
      <c r="BL245" t="e">
        <f>Raw!F153+"h_l!.w_"</f>
        <v>#VALUE!</v>
      </c>
      <c r="BM245" t="e">
        <f>Raw!F154+"h_l!.w`"</f>
        <v>#VALUE!</v>
      </c>
      <c r="BN245" t="e">
        <f>Raw!F155+"h_l!.wa"</f>
        <v>#VALUE!</v>
      </c>
      <c r="BO245" t="e">
        <f>Raw!F156+"h_l!.wb"</f>
        <v>#VALUE!</v>
      </c>
      <c r="BP245" t="e">
        <f>Raw!F157+"h_l!.wc"</f>
        <v>#VALUE!</v>
      </c>
      <c r="BQ245" t="e">
        <f>Raw!F158+"h_l!.wd"</f>
        <v>#VALUE!</v>
      </c>
      <c r="BR245" t="e">
        <f>Raw!F159+"h_l!.we"</f>
        <v>#VALUE!</v>
      </c>
      <c r="BS245" t="e">
        <f>Raw!F160+"h_l!.wf"</f>
        <v>#VALUE!</v>
      </c>
      <c r="BT245" t="e">
        <f>Raw!F161+"h_l!.wg"</f>
        <v>#VALUE!</v>
      </c>
      <c r="BU245" t="e">
        <f>Raw!F162+"h_l!.wh"</f>
        <v>#VALUE!</v>
      </c>
      <c r="BV245" t="e">
        <f>Raw!F163+"h_l!.wi"</f>
        <v>#VALUE!</v>
      </c>
      <c r="BW245" t="e">
        <f>Raw!F164+"h_l!.wj"</f>
        <v>#VALUE!</v>
      </c>
      <c r="BX245" t="e">
        <f>Raw!F165+"h_l!.wk"</f>
        <v>#VALUE!</v>
      </c>
      <c r="BY245" t="e">
        <f>Raw!F166+"h_l!.wl"</f>
        <v>#VALUE!</v>
      </c>
      <c r="BZ245" t="e">
        <f>Raw!F167+"h_l!.wm"</f>
        <v>#VALUE!</v>
      </c>
      <c r="CA245" t="e">
        <f>Raw!F168+"h_l!.wn"</f>
        <v>#VALUE!</v>
      </c>
      <c r="CB245" t="e">
        <f>Raw!F169+"h_l!.wo"</f>
        <v>#VALUE!</v>
      </c>
      <c r="CC245" t="e">
        <f>Raw!F170+"h_l!.wp"</f>
        <v>#VALUE!</v>
      </c>
      <c r="CD245" t="e">
        <f>Raw!F171+"h_l!.wq"</f>
        <v>#VALUE!</v>
      </c>
      <c r="CE245" t="e">
        <f>Raw!F172+"h_l!.wr"</f>
        <v>#VALUE!</v>
      </c>
      <c r="CF245" t="e">
        <f>Raw!F173+"h_l!.ws"</f>
        <v>#VALUE!</v>
      </c>
      <c r="CG245" t="e">
        <f>Raw!F174+"h_l!.wt"</f>
        <v>#VALUE!</v>
      </c>
      <c r="CH245" t="e">
        <f>Raw!F175+"h_l!.wu"</f>
        <v>#VALUE!</v>
      </c>
      <c r="CI245" t="e">
        <f>Raw!F176+"h_l!.wv"</f>
        <v>#VALUE!</v>
      </c>
      <c r="CJ245" t="e">
        <f>Raw!F177+"h_l!.ww"</f>
        <v>#VALUE!</v>
      </c>
      <c r="CK245" t="e">
        <f>Raw!F178+"h_l!.wx"</f>
        <v>#VALUE!</v>
      </c>
      <c r="CL245" t="e">
        <f>Raw!F179+"h_l!.wy"</f>
        <v>#VALUE!</v>
      </c>
      <c r="CM245" t="e">
        <f>Raw!F180+"h_l!.wz"</f>
        <v>#VALUE!</v>
      </c>
      <c r="CN245" t="e">
        <f>Raw!F181+"h_l!.w{"</f>
        <v>#VALUE!</v>
      </c>
      <c r="CO245" t="e">
        <f>Raw!F182+"h_l!.w|"</f>
        <v>#VALUE!</v>
      </c>
      <c r="CP245" t="e">
        <f>Raw!F183+"h_l!.w}"</f>
        <v>#VALUE!</v>
      </c>
      <c r="CQ245" t="e">
        <f>Raw!F184+"h_l!.w~"</f>
        <v>#VALUE!</v>
      </c>
      <c r="CR245" t="e">
        <f>Raw!F185+"h_l!.x#"</f>
        <v>#VALUE!</v>
      </c>
      <c r="CS245" t="e">
        <f>Raw!F186+"h_l!.x$"</f>
        <v>#VALUE!</v>
      </c>
      <c r="CT245" t="e">
        <f>Raw!F187+"h_l!.x%"</f>
        <v>#VALUE!</v>
      </c>
      <c r="CU245" t="e">
        <f>Raw!F188+"h_l!.x&amp;"</f>
        <v>#VALUE!</v>
      </c>
      <c r="CV245" t="e">
        <f>Raw!F189+"h_l!.x'"</f>
        <v>#VALUE!</v>
      </c>
      <c r="CW245" t="e">
        <f>Raw!F190+"h_l!.x("</f>
        <v>#VALUE!</v>
      </c>
      <c r="CX245" t="e">
        <f>Raw!F191+"h_l!.x)"</f>
        <v>#VALUE!</v>
      </c>
      <c r="CY245" t="e">
        <f>Raw!F192+"h_l!.x."</f>
        <v>#VALUE!</v>
      </c>
      <c r="CZ245" t="e">
        <f>Raw!F193+"h_l!.x/"</f>
        <v>#VALUE!</v>
      </c>
      <c r="DA245" t="e">
        <f>Raw!F194+"h_l!.x0"</f>
        <v>#VALUE!</v>
      </c>
      <c r="DB245" t="e">
        <f>Raw!F195+"h_l!.x1"</f>
        <v>#VALUE!</v>
      </c>
      <c r="DC245" t="e">
        <f>Raw!F196+"h_l!.x2"</f>
        <v>#VALUE!</v>
      </c>
      <c r="DD245" t="e">
        <f>Raw!F197+"h_l!.x3"</f>
        <v>#VALUE!</v>
      </c>
      <c r="DE245" t="e">
        <f>Raw!F198+"h_l!.x4"</f>
        <v>#VALUE!</v>
      </c>
      <c r="DF245" t="e">
        <f>Raw!F199+"h_l!.x5"</f>
        <v>#VALUE!</v>
      </c>
      <c r="DG245" t="e">
        <f>Raw!F200+"h_l!.x6"</f>
        <v>#VALUE!</v>
      </c>
      <c r="DH245" t="e">
        <f>Raw!F201+"h_l!.x7"</f>
        <v>#VALUE!</v>
      </c>
      <c r="DI245" t="e">
        <f>Raw!F202+"h_l!.x8"</f>
        <v>#VALUE!</v>
      </c>
      <c r="DJ245" t="e">
        <f>Raw!F203+"h_l!.x9"</f>
        <v>#VALUE!</v>
      </c>
      <c r="DK245" t="e">
        <f>Raw!F204+"h_l!.x:"</f>
        <v>#VALUE!</v>
      </c>
      <c r="DL245" t="e">
        <f>Raw!F205+"h_l!.x;"</f>
        <v>#VALUE!</v>
      </c>
      <c r="DM245" t="e">
        <f>Raw!F206+"h_l!.x&lt;"</f>
        <v>#VALUE!</v>
      </c>
      <c r="DN245" t="e">
        <f>Raw!F207+"h_l!.x="</f>
        <v>#VALUE!</v>
      </c>
      <c r="DO245" t="e">
        <f>Raw!F208+"h_l!.x&gt;"</f>
        <v>#VALUE!</v>
      </c>
      <c r="DP245" t="e">
        <f>Raw!F209+"h_l!.x?"</f>
        <v>#VALUE!</v>
      </c>
      <c r="DQ245" t="e">
        <f>Raw!F210+"h_l!.x@"</f>
        <v>#VALUE!</v>
      </c>
      <c r="DR245" t="e">
        <f>Raw!F211+"h_l!.xA"</f>
        <v>#VALUE!</v>
      </c>
      <c r="DS245" t="e">
        <f>Raw!F212+"h_l!.xB"</f>
        <v>#VALUE!</v>
      </c>
      <c r="DT245" t="e">
        <f>Raw!F213+"h_l!.xC"</f>
        <v>#VALUE!</v>
      </c>
      <c r="DU245" t="e">
        <f>Raw!F214+"h_l!.xD"</f>
        <v>#VALUE!</v>
      </c>
      <c r="DV245" t="e">
        <f>Raw!F215+"h_l!.xE"</f>
        <v>#VALUE!</v>
      </c>
      <c r="DW245" t="e">
        <f>Raw!F216+"h_l!.xF"</f>
        <v>#VALUE!</v>
      </c>
      <c r="DX245" t="e">
        <f>Raw!F217+"h_l!.xG"</f>
        <v>#VALUE!</v>
      </c>
      <c r="DY245" t="e">
        <f>Raw!F218+"h_l!.xH"</f>
        <v>#VALUE!</v>
      </c>
      <c r="DZ245" t="e">
        <f>Raw!F219+"h_l!.xI"</f>
        <v>#VALUE!</v>
      </c>
      <c r="EA245" t="e">
        <f>Raw!F220+"h_l!.xJ"</f>
        <v>#VALUE!</v>
      </c>
      <c r="EB245" t="e">
        <f>Raw!F221+"h_l!.xK"</f>
        <v>#VALUE!</v>
      </c>
      <c r="EC245" t="e">
        <f>Raw!F222+"h_l!.xL"</f>
        <v>#VALUE!</v>
      </c>
      <c r="ED245" t="e">
        <f>Raw!F223+"h_l!.xM"</f>
        <v>#VALUE!</v>
      </c>
      <c r="EE245" t="e">
        <f>Raw!F224+"h_l!.xN"</f>
        <v>#VALUE!</v>
      </c>
      <c r="EF245" t="e">
        <f>Raw!F225+"h_l!.xO"</f>
        <v>#VALUE!</v>
      </c>
      <c r="EG245" t="e">
        <f>Raw!F226+"h_l!.xP"</f>
        <v>#VALUE!</v>
      </c>
      <c r="EH245" t="e">
        <f>Raw!F227+"h_l!.xQ"</f>
        <v>#VALUE!</v>
      </c>
      <c r="EI245" t="e">
        <f>Raw!F228+"h_l!.xR"</f>
        <v>#VALUE!</v>
      </c>
      <c r="EJ245" t="e">
        <f>Raw!F229+"h_l!.xS"</f>
        <v>#VALUE!</v>
      </c>
      <c r="EK245" t="e">
        <f>Raw!F230+"h_l!.xT"</f>
        <v>#VALUE!</v>
      </c>
      <c r="EL245" t="e">
        <f>Raw!F231+"h_l!.xU"</f>
        <v>#VALUE!</v>
      </c>
      <c r="EM245" t="e">
        <f>Raw!F232+"h_l!.xV"</f>
        <v>#VALUE!</v>
      </c>
      <c r="EN245" t="e">
        <f>Raw!F233+"h_l!.xW"</f>
        <v>#VALUE!</v>
      </c>
      <c r="EO245" t="e">
        <f>Raw!F234+"h_l!.xX"</f>
        <v>#VALUE!</v>
      </c>
      <c r="EP245" t="e">
        <f>Raw!F235+"h_l!.xY"</f>
        <v>#VALUE!</v>
      </c>
      <c r="EQ245" t="e">
        <f>Raw!F236+"h_l!.xZ"</f>
        <v>#VALUE!</v>
      </c>
      <c r="ER245" t="e">
        <f>Raw!F237+"h_l!.x["</f>
        <v>#VALUE!</v>
      </c>
      <c r="ES245" t="e">
        <f>Raw!F238+"h_l!.x\"</f>
        <v>#VALUE!</v>
      </c>
      <c r="ET245" t="e">
        <f>Raw!F239+"h_l!.x]"</f>
        <v>#VALUE!</v>
      </c>
      <c r="EU245" t="e">
        <f>Raw!F240+"h_l!.x^"</f>
        <v>#VALUE!</v>
      </c>
      <c r="EV245" t="e">
        <f>Raw!F241+"h_l!.x_"</f>
        <v>#VALUE!</v>
      </c>
      <c r="EW245" t="e">
        <f>Raw!F242+"h_l!.x`"</f>
        <v>#VALUE!</v>
      </c>
      <c r="EX245" t="e">
        <f>Raw!F243+"h_l!.xa"</f>
        <v>#VALUE!</v>
      </c>
      <c r="EY245" t="e">
        <f>Raw!F244+"h_l!.xb"</f>
        <v>#VALUE!</v>
      </c>
      <c r="EZ245" t="e">
        <f>Raw!F245+"h_l!.xc"</f>
        <v>#VALUE!</v>
      </c>
      <c r="FA245" t="e">
        <f>Raw!F246+"h_l!.xd"</f>
        <v>#VALUE!</v>
      </c>
      <c r="FB245" t="e">
        <f>Raw!F247+"h_l!.xe"</f>
        <v>#VALUE!</v>
      </c>
      <c r="FC245" t="e">
        <f>Raw!F248+"h_l!.xf"</f>
        <v>#VALUE!</v>
      </c>
      <c r="FD245" t="e">
        <f>Raw!F249+"h_l!.xg"</f>
        <v>#VALUE!</v>
      </c>
      <c r="FE245" t="e">
        <f>Raw!F250+"h_l!.xh"</f>
        <v>#VALUE!</v>
      </c>
      <c r="FF245" t="e">
        <f>Raw!F251+"h_l!.xi"</f>
        <v>#VALUE!</v>
      </c>
      <c r="FG245" t="e">
        <f>Raw!F252+"h_l!.xj"</f>
        <v>#VALUE!</v>
      </c>
      <c r="FH245" t="e">
        <f>Raw!F253+"h_l!.xk"</f>
        <v>#VALUE!</v>
      </c>
      <c r="FI245" t="e">
        <f>Raw!F254+"h_l!.xl"</f>
        <v>#VALUE!</v>
      </c>
      <c r="FJ245" t="e">
        <f>Raw!F255+"h_l!.xm"</f>
        <v>#VALUE!</v>
      </c>
      <c r="FK245" t="e">
        <f>Raw!F256+"h_l!.xn"</f>
        <v>#VALUE!</v>
      </c>
      <c r="FL245" t="e">
        <f>Raw!F257+"h_l!.xo"</f>
        <v>#VALUE!</v>
      </c>
      <c r="FM245" t="e">
        <f>Raw!F258+"h_l!.xp"</f>
        <v>#VALUE!</v>
      </c>
      <c r="FN245" t="e">
        <f>Raw!F259+"h_l!.xq"</f>
        <v>#VALUE!</v>
      </c>
      <c r="FO245" t="e">
        <f>Raw!F260+"h_l!.xr"</f>
        <v>#VALUE!</v>
      </c>
      <c r="FP245" t="e">
        <f>Raw!F261+"h_l!.xs"</f>
        <v>#VALUE!</v>
      </c>
      <c r="FQ245" t="e">
        <f>Raw!F262+"h_l!.xt"</f>
        <v>#VALUE!</v>
      </c>
      <c r="FR245" t="e">
        <f>Raw!F263+"h_l!.xu"</f>
        <v>#VALUE!</v>
      </c>
      <c r="FS245" t="e">
        <f>Raw!F264+"h_l!.xv"</f>
        <v>#VALUE!</v>
      </c>
      <c r="FT245" t="e">
        <f>Raw!F265+"h_l!.xw"</f>
        <v>#VALUE!</v>
      </c>
      <c r="FU245" t="e">
        <f>Raw!F266+"h_l!.xx"</f>
        <v>#VALUE!</v>
      </c>
      <c r="FV245" t="e">
        <f>Raw!F267+"h_l!.xy"</f>
        <v>#VALUE!</v>
      </c>
      <c r="FW245" t="e">
        <f>Raw!F268+"h_l!.xz"</f>
        <v>#VALUE!</v>
      </c>
      <c r="FX245" t="e">
        <f>Raw!F269+"h_l!.x{"</f>
        <v>#VALUE!</v>
      </c>
      <c r="FY245" t="e">
        <f>Raw!F270+"h_l!.x|"</f>
        <v>#VALUE!</v>
      </c>
      <c r="FZ245" t="e">
        <f>Raw!F271+"h_l!.x}"</f>
        <v>#VALUE!</v>
      </c>
      <c r="GA245" t="e">
        <f>Raw!F272+"h_l!.x~"</f>
        <v>#VALUE!</v>
      </c>
      <c r="GB245" t="e">
        <f>Raw!F273+"h_l!.y#"</f>
        <v>#VALUE!</v>
      </c>
      <c r="GC245" t="e">
        <f>Raw!F274+"h_l!.y$"</f>
        <v>#VALUE!</v>
      </c>
      <c r="GD245" t="e">
        <f>Raw!F275+"h_l!.y%"</f>
        <v>#VALUE!</v>
      </c>
      <c r="GE245" t="e">
        <f>Raw!F276+"h_l!.y&amp;"</f>
        <v>#VALUE!</v>
      </c>
      <c r="GF245" t="e">
        <f>Raw!F277+"h_l!.y'"</f>
        <v>#VALUE!</v>
      </c>
      <c r="GG245" t="e">
        <f>Raw!F278+"h_l!.y("</f>
        <v>#VALUE!</v>
      </c>
      <c r="GH245" t="e">
        <f>Raw!F279+"h_l!.y)"</f>
        <v>#VALUE!</v>
      </c>
      <c r="GI245" t="e">
        <f>Raw!F280+"h_l!.y."</f>
        <v>#VALUE!</v>
      </c>
      <c r="GJ245" t="e">
        <f>Raw!F281+"h_l!.y/"</f>
        <v>#VALUE!</v>
      </c>
      <c r="GK245" t="e">
        <f>Raw!F282+"h_l!.y0"</f>
        <v>#VALUE!</v>
      </c>
      <c r="GL245" t="e">
        <f>Raw!F283+"h_l!.y1"</f>
        <v>#VALUE!</v>
      </c>
      <c r="GM245" t="e">
        <f>Raw!F284+"h_l!.y2"</f>
        <v>#VALUE!</v>
      </c>
      <c r="GN245" t="e">
        <f>Raw!F285+"h_l!.y3"</f>
        <v>#VALUE!</v>
      </c>
      <c r="GO245" t="e">
        <f>Raw!F286+"h_l!.y4"</f>
        <v>#VALUE!</v>
      </c>
      <c r="GP245" t="e">
        <f>Raw!F287+"h_l!.y5"</f>
        <v>#VALUE!</v>
      </c>
      <c r="GQ245" t="e">
        <f>Raw!F288+"h_l!.y6"</f>
        <v>#VALUE!</v>
      </c>
      <c r="GR245" t="e">
        <f>Raw!F289+"h_l!.y7"</f>
        <v>#VALUE!</v>
      </c>
      <c r="GS245" t="e">
        <f>Raw!F290+"h_l!.y8"</f>
        <v>#VALUE!</v>
      </c>
      <c r="GT245" t="e">
        <f>Raw!F291+"h_l!.y9"</f>
        <v>#VALUE!</v>
      </c>
      <c r="GU245" t="e">
        <f>Raw!F292+"h_l!.y:"</f>
        <v>#VALUE!</v>
      </c>
      <c r="GV245" t="e">
        <f>Raw!F293+"h_l!.y;"</f>
        <v>#VALUE!</v>
      </c>
      <c r="GW245" t="e">
        <f>Raw!F294+"h_l!.y&lt;"</f>
        <v>#VALUE!</v>
      </c>
      <c r="GX245" t="e">
        <f>Raw!F295+"h_l!.y="</f>
        <v>#VALUE!</v>
      </c>
      <c r="GY245" t="e">
        <f>Raw!F296+"h_l!.y&gt;"</f>
        <v>#VALUE!</v>
      </c>
      <c r="GZ245" t="e">
        <f>Raw!F297+"h_l!.y?"</f>
        <v>#VALUE!</v>
      </c>
      <c r="HA245" t="e">
        <f>Raw!F298+"h_l!.y@"</f>
        <v>#VALUE!</v>
      </c>
      <c r="HB245" t="e">
        <f>Raw!F299+"h_l!.yA"</f>
        <v>#VALUE!</v>
      </c>
      <c r="HC245" t="e">
        <f>Raw!F300+"h_l!.yB"</f>
        <v>#VALUE!</v>
      </c>
      <c r="HD245" t="e">
        <f>Raw!F301+"h_l!.yC"</f>
        <v>#VALUE!</v>
      </c>
      <c r="HE245" t="e">
        <f>Raw!F302+"h_l!.yD"</f>
        <v>#VALUE!</v>
      </c>
      <c r="HF245" t="e">
        <f>Raw!F303+"h_l!.yE"</f>
        <v>#VALUE!</v>
      </c>
      <c r="HG245" t="e">
        <f>Raw!F304+"h_l!.yF"</f>
        <v>#VALUE!</v>
      </c>
      <c r="HH245" t="e">
        <f>Raw!F305+"h_l!.yG"</f>
        <v>#VALUE!</v>
      </c>
      <c r="HI245" t="e">
        <f>Raw!F306+"h_l!.yH"</f>
        <v>#VALUE!</v>
      </c>
      <c r="HJ245" t="e">
        <f>Raw!F307+"h_l!.yI"</f>
        <v>#VALUE!</v>
      </c>
      <c r="HK245" t="e">
        <f>Raw!F308+"h_l!.yJ"</f>
        <v>#VALUE!</v>
      </c>
      <c r="HL245" t="e">
        <f>Raw!F309+"h_l!.yK"</f>
        <v>#VALUE!</v>
      </c>
      <c r="HM245" t="e">
        <f>Raw!F310+"h_l!.yL"</f>
        <v>#VALUE!</v>
      </c>
      <c r="HN245" t="e">
        <f>Raw!F311+"h_l!.yM"</f>
        <v>#VALUE!</v>
      </c>
      <c r="HO245" t="e">
        <f>Raw!F312+"h_l!.yN"</f>
        <v>#VALUE!</v>
      </c>
      <c r="HP245" t="e">
        <f>Raw!F313+"h_l!.yO"</f>
        <v>#VALUE!</v>
      </c>
      <c r="HQ245" t="e">
        <f>Raw!F314+"h_l!.yP"</f>
        <v>#VALUE!</v>
      </c>
      <c r="HR245" t="e">
        <f>Raw!F315+"h_l!.yQ"</f>
        <v>#VALUE!</v>
      </c>
      <c r="HS245" t="e">
        <f>Raw!F316+"h_l!.yR"</f>
        <v>#VALUE!</v>
      </c>
      <c r="HT245" t="e">
        <f>Raw!F317+"h_l!.yS"</f>
        <v>#VALUE!</v>
      </c>
      <c r="HU245" t="e">
        <f>Raw!F318+"h_l!.yT"</f>
        <v>#VALUE!</v>
      </c>
      <c r="HV245" t="e">
        <f>Raw!F319+"h_l!.yU"</f>
        <v>#VALUE!</v>
      </c>
      <c r="HW245" t="e">
        <f>Raw!F320+"h_l!.yV"</f>
        <v>#VALUE!</v>
      </c>
      <c r="HX245" t="e">
        <f>Raw!F321+"h_l!.yW"</f>
        <v>#VALUE!</v>
      </c>
      <c r="HY245" t="e">
        <f>Raw!F322+"h_l!.yX"</f>
        <v>#VALUE!</v>
      </c>
      <c r="HZ245" t="e">
        <f>Raw!F323+"h_l!.yY"</f>
        <v>#VALUE!</v>
      </c>
      <c r="IA245" t="e">
        <f>Raw!F324+"h_l!.yZ"</f>
        <v>#VALUE!</v>
      </c>
      <c r="IB245" t="e">
        <f>Raw!F325+"h_l!.y["</f>
        <v>#VALUE!</v>
      </c>
      <c r="IC245" t="e">
        <f>Raw!F326+"h_l!.y\"</f>
        <v>#VALUE!</v>
      </c>
      <c r="ID245" t="e">
        <f>Raw!F327+"h_l!.y]"</f>
        <v>#VALUE!</v>
      </c>
      <c r="IE245" t="e">
        <f>Raw!F328+"h_l!.y^"</f>
        <v>#VALUE!</v>
      </c>
      <c r="IF245" t="e">
        <f>Raw!F329+"h_l!.y_"</f>
        <v>#VALUE!</v>
      </c>
      <c r="IG245" t="e">
        <f>Raw!F330+"h_l!.y`"</f>
        <v>#VALUE!</v>
      </c>
      <c r="IH245" t="e">
        <f>Raw!F331+"h_l!.ya"</f>
        <v>#VALUE!</v>
      </c>
      <c r="II245" t="e">
        <f>Raw!F332+"h_l!.yb"</f>
        <v>#VALUE!</v>
      </c>
      <c r="IJ245" t="e">
        <f>Raw!F333+"h_l!.yc"</f>
        <v>#VALUE!</v>
      </c>
      <c r="IK245" t="e">
        <f>Raw!F334+"h_l!.yd"</f>
        <v>#VALUE!</v>
      </c>
      <c r="IL245" t="e">
        <f>Raw!F335+"h_l!.ye"</f>
        <v>#VALUE!</v>
      </c>
      <c r="IM245" t="e">
        <f>Raw!F336+"h_l!.yf"</f>
        <v>#VALUE!</v>
      </c>
      <c r="IN245" t="e">
        <f>Raw!F337+"h_l!.yg"</f>
        <v>#VALUE!</v>
      </c>
      <c r="IO245" t="e">
        <f>Raw!F338+"h_l!.yh"</f>
        <v>#VALUE!</v>
      </c>
      <c r="IP245" t="e">
        <f>Raw!F339+"h_l!.yi"</f>
        <v>#VALUE!</v>
      </c>
      <c r="IQ245" t="e">
        <f>Raw!F340+"h_l!.yj"</f>
        <v>#VALUE!</v>
      </c>
      <c r="IR245" t="e">
        <f>Raw!F341+"h_l!.yk"</f>
        <v>#VALUE!</v>
      </c>
      <c r="IS245" t="e">
        <f>Raw!F342+"h_l!.yl"</f>
        <v>#VALUE!</v>
      </c>
      <c r="IT245" t="e">
        <f>Raw!F343+"h_l!.ym"</f>
        <v>#VALUE!</v>
      </c>
      <c r="IU245" t="e">
        <f>Raw!F344+"h_l!.yn"</f>
        <v>#VALUE!</v>
      </c>
      <c r="IV245" t="e">
        <f>Raw!F345+"h_l!.yo"</f>
        <v>#VALUE!</v>
      </c>
    </row>
    <row r="246" spans="6:256" x14ac:dyDescent="0.25">
      <c r="F246" t="e">
        <f>Raw!F346+"h_l!.yp"</f>
        <v>#VALUE!</v>
      </c>
      <c r="G246" t="e">
        <f>Raw!F347+"h_l!.yq"</f>
        <v>#VALUE!</v>
      </c>
      <c r="H246" t="e">
        <f>Raw!F348+"h_l!.yr"</f>
        <v>#VALUE!</v>
      </c>
      <c r="I246" t="e">
        <f>Raw!F349+"h_l!.ys"</f>
        <v>#VALUE!</v>
      </c>
      <c r="J246" t="e">
        <f>Raw!F350+"h_l!.yt"</f>
        <v>#VALUE!</v>
      </c>
      <c r="K246" t="e">
        <f>Raw!F351+"h_l!.yu"</f>
        <v>#VALUE!</v>
      </c>
      <c r="L246" t="e">
        <f>Raw!F352+"h_l!.yv"</f>
        <v>#VALUE!</v>
      </c>
      <c r="M246" t="e">
        <f>Raw!F353+"h_l!.yw"</f>
        <v>#VALUE!</v>
      </c>
      <c r="N246" t="e">
        <f>Raw!F354+"h_l!.yx"</f>
        <v>#VALUE!</v>
      </c>
      <c r="O246" t="e">
        <f>Raw!F355+"h_l!.yy"</f>
        <v>#VALUE!</v>
      </c>
      <c r="P246" t="e">
        <f>Raw!F356+"h_l!.yz"</f>
        <v>#VALUE!</v>
      </c>
      <c r="Q246" t="e">
        <f>Raw!F357+"h_l!.y{"</f>
        <v>#VALUE!</v>
      </c>
      <c r="R246" t="e">
        <f>Raw!F358+"h_l!.y|"</f>
        <v>#VALUE!</v>
      </c>
      <c r="S246" t="e">
        <f>Raw!F359+"h_l!.y}"</f>
        <v>#VALUE!</v>
      </c>
      <c r="T246" t="e">
        <f>Raw!F360+"h_l!.y~"</f>
        <v>#VALUE!</v>
      </c>
      <c r="U246" t="e">
        <f>Raw!F361+"h_l!.z#"</f>
        <v>#VALUE!</v>
      </c>
      <c r="V246" t="e">
        <f>Raw!F362+"h_l!.z$"</f>
        <v>#VALUE!</v>
      </c>
      <c r="W246" t="e">
        <f>Raw!F363+"h_l!.z%"</f>
        <v>#VALUE!</v>
      </c>
      <c r="X246" t="e">
        <f>Raw!F364+"h_l!.z&amp;"</f>
        <v>#VALUE!</v>
      </c>
      <c r="Y246" t="e">
        <f>Raw!F365+"h_l!.z'"</f>
        <v>#VALUE!</v>
      </c>
      <c r="Z246" t="e">
        <f>Raw!F366+"h_l!.z("</f>
        <v>#VALUE!</v>
      </c>
      <c r="AA246" t="e">
        <f>Raw!F367+"h_l!.z)"</f>
        <v>#VALUE!</v>
      </c>
      <c r="AB246" t="e">
        <f>Raw!F368+"h_l!.z."</f>
        <v>#VALUE!</v>
      </c>
      <c r="AC246" t="e">
        <f>Raw!F369+"h_l!.z/"</f>
        <v>#VALUE!</v>
      </c>
      <c r="AD246" t="e">
        <f>Raw!F370+"h_l!.z0"</f>
        <v>#VALUE!</v>
      </c>
      <c r="AE246" t="e">
        <f>Raw!F371+"h_l!.z1"</f>
        <v>#VALUE!</v>
      </c>
      <c r="AF246" t="e">
        <f>Raw!F372+"h_l!.z2"</f>
        <v>#VALUE!</v>
      </c>
      <c r="AG246" t="e">
        <f>Raw!F373+"h_l!.z3"</f>
        <v>#VALUE!</v>
      </c>
      <c r="AH246" t="e">
        <f>Raw!F374+"h_l!.z4"</f>
        <v>#VALUE!</v>
      </c>
      <c r="AI246" t="e">
        <f>Raw!F375+"h_l!.z5"</f>
        <v>#VALUE!</v>
      </c>
      <c r="AJ246" t="e">
        <f>Raw!F376+"h_l!.z6"</f>
        <v>#VALUE!</v>
      </c>
      <c r="AK246" t="e">
        <f>Raw!F377+"h_l!.z7"</f>
        <v>#VALUE!</v>
      </c>
      <c r="AL246" t="e">
        <f>Raw!F378+"h_l!.z8"</f>
        <v>#VALUE!</v>
      </c>
      <c r="AM246" t="e">
        <f>Raw!F379+"h_l!.z9"</f>
        <v>#VALUE!</v>
      </c>
      <c r="AN246" t="e">
        <f>Raw!F380+"h_l!.z:"</f>
        <v>#VALUE!</v>
      </c>
      <c r="AO246" t="e">
        <f>Raw!F381+"h_l!.z;"</f>
        <v>#VALUE!</v>
      </c>
      <c r="AP246" t="e">
        <f>Raw!F382+"h_l!.z&lt;"</f>
        <v>#VALUE!</v>
      </c>
      <c r="AQ246" t="e">
        <f>Raw!F383+"h_l!.z="</f>
        <v>#VALUE!</v>
      </c>
      <c r="AR246" t="e">
        <f>Raw!F384+"h_l!.z&gt;"</f>
        <v>#VALUE!</v>
      </c>
      <c r="AS246" t="e">
        <f>Raw!F385+"h_l!.z?"</f>
        <v>#VALUE!</v>
      </c>
      <c r="AT246" t="e">
        <f>Raw!F386+"h_l!.z@"</f>
        <v>#VALUE!</v>
      </c>
      <c r="AU246" t="e">
        <f>Raw!F387+"h_l!.zA"</f>
        <v>#VALUE!</v>
      </c>
      <c r="AV246" t="e">
        <f>Raw!F388+"h_l!.zB"</f>
        <v>#VALUE!</v>
      </c>
      <c r="AW246" t="e">
        <f>Raw!F389+"h_l!.zC"</f>
        <v>#VALUE!</v>
      </c>
      <c r="AX246" t="e">
        <f>Raw!F390+"h_l!.zD"</f>
        <v>#VALUE!</v>
      </c>
      <c r="AY246" t="e">
        <f>Raw!F391+"h_l!.zE"</f>
        <v>#VALUE!</v>
      </c>
      <c r="AZ246" t="e">
        <f>Raw!F392+"h_l!.zF"</f>
        <v>#VALUE!</v>
      </c>
      <c r="BA246" t="e">
        <f>Raw!F393+"h_l!.zG"</f>
        <v>#VALUE!</v>
      </c>
      <c r="BB246" t="e">
        <f>Raw!F394+"h_l!.zH"</f>
        <v>#VALUE!</v>
      </c>
      <c r="BC246" t="e">
        <f>Raw!F395+"h_l!.zI"</f>
        <v>#VALUE!</v>
      </c>
      <c r="BD246" t="e">
        <f>Raw!F396+"h_l!.zJ"</f>
        <v>#VALUE!</v>
      </c>
      <c r="BE246" t="e">
        <f>Raw!F397+"h_l!.zK"</f>
        <v>#VALUE!</v>
      </c>
      <c r="BF246" t="e">
        <f>Raw!F398+"h_l!.zL"</f>
        <v>#VALUE!</v>
      </c>
      <c r="BG246" t="e">
        <f>Raw!F399+"h_l!.zM"</f>
        <v>#VALUE!</v>
      </c>
      <c r="BH246" t="e">
        <f>Raw!F400+"h_l!.zN"</f>
        <v>#VALUE!</v>
      </c>
      <c r="BI246" t="e">
        <f>Raw!F401+"h_l!.zO"</f>
        <v>#VALUE!</v>
      </c>
      <c r="BJ246" t="e">
        <f>Raw!F402+"h_l!.zP"</f>
        <v>#VALUE!</v>
      </c>
      <c r="BK246" t="e">
        <f>Raw!F403+"h_l!.zQ"</f>
        <v>#VALUE!</v>
      </c>
      <c r="BL246" t="e">
        <f>Raw!F404+"h_l!.zR"</f>
        <v>#VALUE!</v>
      </c>
      <c r="BM246" t="e">
        <f>Raw!F405+"h_l!.zS"</f>
        <v>#VALUE!</v>
      </c>
      <c r="BN246" t="e">
        <f>Raw!F406+"h_l!.zT"</f>
        <v>#VALUE!</v>
      </c>
      <c r="BO246" t="e">
        <f>Raw!F407+"h_l!.zU"</f>
        <v>#VALUE!</v>
      </c>
      <c r="BP246" t="e">
        <f>Raw!F408+"h_l!.zV"</f>
        <v>#VALUE!</v>
      </c>
      <c r="BQ246" t="e">
        <f>Raw!F409+"h_l!.zW"</f>
        <v>#VALUE!</v>
      </c>
      <c r="BR246" t="e">
        <f>Raw!F410+"h_l!.zX"</f>
        <v>#VALUE!</v>
      </c>
      <c r="BS246" t="e">
        <f>Raw!F411+"h_l!.zY"</f>
        <v>#VALUE!</v>
      </c>
      <c r="BT246" t="e">
        <f>Raw!F412+"h_l!.zZ"</f>
        <v>#VALUE!</v>
      </c>
      <c r="BU246" t="e">
        <f>Raw!F413+"h_l!.z["</f>
        <v>#VALUE!</v>
      </c>
      <c r="BV246" t="e">
        <f>Raw!F414+"h_l!.z\"</f>
        <v>#VALUE!</v>
      </c>
      <c r="BW246" t="e">
        <f>Raw!F415+"h_l!.z]"</f>
        <v>#VALUE!</v>
      </c>
      <c r="BX246" t="e">
        <f>Raw!F416+"h_l!.z^"</f>
        <v>#VALUE!</v>
      </c>
      <c r="BY246" t="e">
        <f>Raw!F417+"h_l!.z_"</f>
        <v>#VALUE!</v>
      </c>
      <c r="BZ246" t="e">
        <f>Raw!F418+"h_l!.z`"</f>
        <v>#VALUE!</v>
      </c>
      <c r="CA246" t="e">
        <f>Raw!F419+"h_l!.za"</f>
        <v>#VALUE!</v>
      </c>
      <c r="CB246" t="e">
        <f>Raw!F420+"h_l!.zb"</f>
        <v>#VALUE!</v>
      </c>
      <c r="CC246" t="e">
        <f>Raw!F421+"h_l!.zc"</f>
        <v>#VALUE!</v>
      </c>
      <c r="CD246" t="e">
        <f>Raw!F422+"h_l!.zd"</f>
        <v>#VALUE!</v>
      </c>
      <c r="CE246" t="e">
        <f>Raw!F423+"h_l!.ze"</f>
        <v>#VALUE!</v>
      </c>
      <c r="CF246" t="e">
        <f>Raw!F424+"h_l!.zf"</f>
        <v>#VALUE!</v>
      </c>
      <c r="CG246" t="e">
        <f>Raw!F425+"h_l!.zg"</f>
        <v>#VALUE!</v>
      </c>
      <c r="CH246" t="e">
        <f>Raw!F426+"h_l!.zh"</f>
        <v>#VALUE!</v>
      </c>
      <c r="CI246" t="e">
        <f>Raw!F427+"h_l!.zi"</f>
        <v>#VALUE!</v>
      </c>
      <c r="CJ246" t="e">
        <f>Raw!F428+"h_l!.zj"</f>
        <v>#VALUE!</v>
      </c>
      <c r="CK246" t="e">
        <f>Raw!F429+"h_l!.zk"</f>
        <v>#VALUE!</v>
      </c>
      <c r="CL246" t="e">
        <f>Raw!F430+"h_l!.zl"</f>
        <v>#VALUE!</v>
      </c>
      <c r="CM246" t="e">
        <f>Raw!F431+"h_l!.zm"</f>
        <v>#VALUE!</v>
      </c>
      <c r="CN246" t="e">
        <f>Raw!F432+"h_l!.zn"</f>
        <v>#VALUE!</v>
      </c>
      <c r="CO246" t="e">
        <f>Raw!F433+"h_l!.zo"</f>
        <v>#VALUE!</v>
      </c>
      <c r="CP246" t="e">
        <f>Raw!F434+"h_l!.zp"</f>
        <v>#VALUE!</v>
      </c>
      <c r="CQ246" t="e">
        <f>Raw!F435+"h_l!.zq"</f>
        <v>#VALUE!</v>
      </c>
      <c r="CR246" t="e">
        <f>Raw!F436+"h_l!.zr"</f>
        <v>#VALUE!</v>
      </c>
      <c r="CS246" t="e">
        <f>Raw!F437+"h_l!.zs"</f>
        <v>#VALUE!</v>
      </c>
      <c r="CT246" t="e">
        <f>Raw!F438+"h_l!.zt"</f>
        <v>#VALUE!</v>
      </c>
      <c r="CU246" t="e">
        <f>Raw!F439+"h_l!.zu"</f>
        <v>#VALUE!</v>
      </c>
      <c r="CV246" t="e">
        <f>Raw!F440+"h_l!.zv"</f>
        <v>#VALUE!</v>
      </c>
      <c r="CW246" t="e">
        <f>Raw!F441+"h_l!.zw"</f>
        <v>#VALUE!</v>
      </c>
      <c r="CX246" t="e">
        <f>Raw!F442+"h_l!.zx"</f>
        <v>#VALUE!</v>
      </c>
      <c r="CY246" t="e">
        <f>Raw!F443+"h_l!.zy"</f>
        <v>#VALUE!</v>
      </c>
      <c r="CZ246" t="e">
        <f>Raw!F444+"h_l!.zz"</f>
        <v>#VALUE!</v>
      </c>
      <c r="DA246" t="e">
        <f>Raw!F445+"h_l!.z{"</f>
        <v>#VALUE!</v>
      </c>
      <c r="DB246" t="e">
        <f>Raw!F446+"h_l!.z|"</f>
        <v>#VALUE!</v>
      </c>
      <c r="DC246" t="e">
        <f>Raw!F447+"h_l!.z}"</f>
        <v>#VALUE!</v>
      </c>
      <c r="DD246" t="e">
        <f>Raw!F448+"h_l!.z~"</f>
        <v>#VALUE!</v>
      </c>
      <c r="DE246" t="e">
        <f>Raw!F449+"h_l!.{#"</f>
        <v>#VALUE!</v>
      </c>
      <c r="DF246" t="e">
        <f>Raw!F450+"h_l!.{$"</f>
        <v>#VALUE!</v>
      </c>
      <c r="DG246" t="e">
        <f>Raw!F451+"h_l!.{%"</f>
        <v>#VALUE!</v>
      </c>
      <c r="DH246" t="e">
        <f>Raw!F452+"h_l!.{&amp;"</f>
        <v>#VALUE!</v>
      </c>
      <c r="DI246" t="e">
        <f>Raw!F453+"h_l!.{'"</f>
        <v>#VALUE!</v>
      </c>
      <c r="DJ246" t="e">
        <f>Raw!F454+"h_l!.{("</f>
        <v>#VALUE!</v>
      </c>
      <c r="DK246" t="e">
        <f>Raw!F455+"h_l!.{)"</f>
        <v>#VALUE!</v>
      </c>
      <c r="DL246" t="e">
        <f>Raw!F456+"h_l!.{."</f>
        <v>#VALUE!</v>
      </c>
      <c r="DM246" t="e">
        <f>Raw!F457+"h_l!.{/"</f>
        <v>#VALUE!</v>
      </c>
      <c r="DN246" t="e">
        <f>Raw!F458+"h_l!.{0"</f>
        <v>#VALUE!</v>
      </c>
      <c r="DO246" t="e">
        <f>Raw!F459+"h_l!.{1"</f>
        <v>#VALUE!</v>
      </c>
      <c r="DP246" t="e">
        <f>Raw!F460+"h_l!.{2"</f>
        <v>#VALUE!</v>
      </c>
      <c r="DQ246" t="e">
        <f>Raw!F461+"h_l!.{3"</f>
        <v>#VALUE!</v>
      </c>
      <c r="DR246" t="e">
        <f>Raw!F462+"h_l!.{4"</f>
        <v>#VALUE!</v>
      </c>
      <c r="DS246" t="e">
        <f>Raw!F463+"h_l!.{5"</f>
        <v>#VALUE!</v>
      </c>
      <c r="DT246" t="e">
        <f>Raw!F464+"h_l!.{6"</f>
        <v>#VALUE!</v>
      </c>
      <c r="DU246" t="e">
        <f>Raw!F465+"h_l!.{7"</f>
        <v>#VALUE!</v>
      </c>
      <c r="DV246" t="e">
        <f>Raw!F466+"h_l!.{8"</f>
        <v>#VALUE!</v>
      </c>
      <c r="DW246" t="e">
        <f>Raw!F467+"h_l!.{9"</f>
        <v>#VALUE!</v>
      </c>
      <c r="DX246" t="e">
        <f>Raw!F468+"h_l!.{:"</f>
        <v>#VALUE!</v>
      </c>
      <c r="DY246" t="e">
        <f>Raw!F469+"h_l!.{;"</f>
        <v>#VALUE!</v>
      </c>
      <c r="DZ246" t="e">
        <f>Raw!F470+"h_l!.{&lt;"</f>
        <v>#VALUE!</v>
      </c>
      <c r="EA246" t="e">
        <f>Raw!F471+"h_l!.{="</f>
        <v>#VALUE!</v>
      </c>
      <c r="EB246" t="e">
        <f>Raw!F472+"h_l!.{&gt;"</f>
        <v>#VALUE!</v>
      </c>
      <c r="EC246" t="e">
        <f>Raw!F473+"h_l!.{?"</f>
        <v>#VALUE!</v>
      </c>
      <c r="ED246" t="e">
        <f>Raw!F474+"h_l!.{@"</f>
        <v>#VALUE!</v>
      </c>
      <c r="EE246" t="e">
        <f>Raw!F475+"h_l!.{A"</f>
        <v>#VALUE!</v>
      </c>
      <c r="EF246" t="e">
        <f>Raw!F476+"h_l!.{B"</f>
        <v>#VALUE!</v>
      </c>
      <c r="EG246" t="e">
        <f>Raw!F477+"h_l!.{C"</f>
        <v>#VALUE!</v>
      </c>
      <c r="EH246" t="e">
        <f>Raw!F478+"h_l!.{D"</f>
        <v>#VALUE!</v>
      </c>
      <c r="EI246" t="e">
        <f>Raw!F479+"h_l!.{E"</f>
        <v>#VALUE!</v>
      </c>
      <c r="EJ246" t="e">
        <f>Raw!F480+"h_l!.{F"</f>
        <v>#VALUE!</v>
      </c>
      <c r="EK246" t="e">
        <f>Raw!F481+"h_l!.{G"</f>
        <v>#VALUE!</v>
      </c>
      <c r="EL246" t="e">
        <f>Raw!F482+"h_l!.{H"</f>
        <v>#VALUE!</v>
      </c>
      <c r="EM246" t="e">
        <f>Raw!F483+"h_l!.{I"</f>
        <v>#VALUE!</v>
      </c>
      <c r="EN246" t="e">
        <f>Raw!F484+"h_l!.{J"</f>
        <v>#VALUE!</v>
      </c>
      <c r="EO246" t="e">
        <f>Raw!F485+"h_l!.{K"</f>
        <v>#VALUE!</v>
      </c>
      <c r="EP246" t="e">
        <f>Raw!F486+"h_l!.{L"</f>
        <v>#VALUE!</v>
      </c>
      <c r="EQ246" t="e">
        <f>Raw!F487+"h_l!.{M"</f>
        <v>#VALUE!</v>
      </c>
      <c r="ER246" t="e">
        <f>Raw!F488+"h_l!.{N"</f>
        <v>#VALUE!</v>
      </c>
      <c r="ES246" t="e">
        <f>Raw!F489+"h_l!.{O"</f>
        <v>#VALUE!</v>
      </c>
      <c r="ET246" t="e">
        <f>Raw!F490+"h_l!.{P"</f>
        <v>#VALUE!</v>
      </c>
      <c r="EU246" t="e">
        <f>Raw!F491+"h_l!.{Q"</f>
        <v>#VALUE!</v>
      </c>
      <c r="EV246" t="e">
        <f>Raw!F492+"h_l!.{R"</f>
        <v>#VALUE!</v>
      </c>
      <c r="EW246" t="e">
        <f>Raw!F493+"h_l!.{S"</f>
        <v>#VALUE!</v>
      </c>
      <c r="EX246" t="e">
        <f>Raw!F494+"h_l!.{T"</f>
        <v>#VALUE!</v>
      </c>
      <c r="EY246" t="e">
        <f>Raw!F495+"h_l!.{U"</f>
        <v>#VALUE!</v>
      </c>
      <c r="EZ246" t="e">
        <f>Raw!F496+"h_l!.{V"</f>
        <v>#VALUE!</v>
      </c>
      <c r="FA246" t="e">
        <f>Raw!F497+"h_l!.{W"</f>
        <v>#VALUE!</v>
      </c>
      <c r="FB246" t="e">
        <f>Raw!F498+"h_l!.{X"</f>
        <v>#VALUE!</v>
      </c>
      <c r="FC246" t="e">
        <f>Raw!F499+"h_l!.{Y"</f>
        <v>#VALUE!</v>
      </c>
      <c r="FD246" t="e">
        <f>Raw!F500+"h_l!.{Z"</f>
        <v>#VALUE!</v>
      </c>
      <c r="FE246" t="e">
        <f>Raw!F501+"h_l!.{["</f>
        <v>#VALUE!</v>
      </c>
      <c r="FF246" t="e">
        <f>Raw!F502+"h_l!.{\"</f>
        <v>#VALUE!</v>
      </c>
      <c r="FG246" t="e">
        <f>Raw!F503+"h_l!.{]"</f>
        <v>#VALUE!</v>
      </c>
      <c r="FH246" t="e">
        <f>Raw!F504+"h_l!.{^"</f>
        <v>#VALUE!</v>
      </c>
      <c r="FI246" t="e">
        <f>Raw!F505+"h_l!.{_"</f>
        <v>#VALUE!</v>
      </c>
      <c r="FJ246" t="e">
        <f>Raw!F506+"h_l!.{`"</f>
        <v>#VALUE!</v>
      </c>
      <c r="FK246" t="e">
        <f>Raw!F507+"h_l!.{a"</f>
        <v>#VALUE!</v>
      </c>
      <c r="FL246" t="e">
        <f>Raw!F508+"h_l!.{b"</f>
        <v>#VALUE!</v>
      </c>
      <c r="FM246" t="e">
        <f>Raw!F509+"h_l!.{c"</f>
        <v>#VALUE!</v>
      </c>
      <c r="FN246" t="e">
        <f>Raw!F510+"h_l!.{d"</f>
        <v>#VALUE!</v>
      </c>
      <c r="FO246" t="e">
        <f>Raw!F511+"h_l!.{e"</f>
        <v>#VALUE!</v>
      </c>
      <c r="FP246" t="e">
        <f>Raw!F512+"h_l!.{f"</f>
        <v>#VALUE!</v>
      </c>
      <c r="FQ246" t="e">
        <f>Raw!F513+"h_l!.{g"</f>
        <v>#VALUE!</v>
      </c>
      <c r="FR246" t="e">
        <f>Raw!F514+"h_l!.{h"</f>
        <v>#VALUE!</v>
      </c>
      <c r="FS246" t="e">
        <f>Raw!F515+"h_l!.{i"</f>
        <v>#VALUE!</v>
      </c>
      <c r="FT246" t="e">
        <f>Raw!F516+"h_l!.{j"</f>
        <v>#VALUE!</v>
      </c>
      <c r="FU246" t="e">
        <f>Raw!F517+"h_l!.{k"</f>
        <v>#VALUE!</v>
      </c>
      <c r="FV246" t="e">
        <f>Raw!F518+"h_l!.{l"</f>
        <v>#VALUE!</v>
      </c>
      <c r="FW246" t="e">
        <f>Raw!F519+"h_l!.{m"</f>
        <v>#VALUE!</v>
      </c>
      <c r="FX246" t="e">
        <f>Raw!F520+"h_l!.{n"</f>
        <v>#VALUE!</v>
      </c>
      <c r="FY246" t="e">
        <f>Raw!F521+"h_l!.{o"</f>
        <v>#VALUE!</v>
      </c>
      <c r="FZ246" t="e">
        <f>Raw!F522+"h_l!.{p"</f>
        <v>#VALUE!</v>
      </c>
      <c r="GA246" t="e">
        <f>Raw!F523+"h_l!.{q"</f>
        <v>#VALUE!</v>
      </c>
      <c r="GB246" t="e">
        <f>Raw!F524+"h_l!.{r"</f>
        <v>#VALUE!</v>
      </c>
      <c r="GC246" t="e">
        <f>Raw!F525+"h_l!.{s"</f>
        <v>#VALUE!</v>
      </c>
      <c r="GD246" t="e">
        <f>Raw!F526+"h_l!.{t"</f>
        <v>#VALUE!</v>
      </c>
      <c r="GE246" t="e">
        <f>Raw!F527+"h_l!.{u"</f>
        <v>#VALUE!</v>
      </c>
      <c r="GF246" t="e">
        <f>Raw!F528+"h_l!.{v"</f>
        <v>#VALUE!</v>
      </c>
      <c r="GG246" t="e">
        <f>Raw!F529+"h_l!.{w"</f>
        <v>#VALUE!</v>
      </c>
      <c r="GH246" t="e">
        <f>Raw!F530+"h_l!.{x"</f>
        <v>#VALUE!</v>
      </c>
      <c r="GI246" t="e">
        <f>Raw!F531+"h_l!.{y"</f>
        <v>#VALUE!</v>
      </c>
      <c r="GJ246" t="e">
        <f>Raw!F532+"h_l!.{z"</f>
        <v>#VALUE!</v>
      </c>
      <c r="GK246" t="e">
        <f>Raw!F533+"h_l!.{{"</f>
        <v>#VALUE!</v>
      </c>
      <c r="GL246" t="e">
        <f>Raw!F534+"h_l!.{|"</f>
        <v>#VALUE!</v>
      </c>
      <c r="GM246" t="e">
        <f>Raw!F535+"h_l!.{}"</f>
        <v>#VALUE!</v>
      </c>
      <c r="GN246" t="e">
        <f>Raw!F536+"h_l!.{~"</f>
        <v>#VALUE!</v>
      </c>
      <c r="GO246" t="e">
        <f>Raw!F537+"h_l!.|#"</f>
        <v>#VALUE!</v>
      </c>
      <c r="GP246" t="e">
        <f>Raw!F538+"h_l!.|$"</f>
        <v>#VALUE!</v>
      </c>
      <c r="GQ246" t="e">
        <f>Raw!F539+"h_l!.|%"</f>
        <v>#VALUE!</v>
      </c>
      <c r="GR246" t="e">
        <f>Raw!F540+"h_l!.|&amp;"</f>
        <v>#VALUE!</v>
      </c>
      <c r="GS246" t="e">
        <f>Raw!F541+"h_l!.|'"</f>
        <v>#VALUE!</v>
      </c>
      <c r="GT246" t="e">
        <f>Raw!F542+"h_l!.|("</f>
        <v>#VALUE!</v>
      </c>
      <c r="GU246" t="e">
        <f>Raw!F543+"h_l!.|)"</f>
        <v>#VALUE!</v>
      </c>
      <c r="GV246" t="e">
        <f>Raw!F544+"h_l!.|."</f>
        <v>#VALUE!</v>
      </c>
      <c r="GW246" t="e">
        <f>Raw!F545+"h_l!.|/"</f>
        <v>#VALUE!</v>
      </c>
      <c r="GX246" t="e">
        <f>Raw!F546+"h_l!.|0"</f>
        <v>#VALUE!</v>
      </c>
      <c r="GY246" t="e">
        <f>Raw!F547+"h_l!.|1"</f>
        <v>#VALUE!</v>
      </c>
      <c r="GZ246" t="e">
        <f>Raw!F548+"h_l!.|2"</f>
        <v>#VALUE!</v>
      </c>
      <c r="HA246" t="e">
        <f>Raw!F549+"h_l!.|3"</f>
        <v>#VALUE!</v>
      </c>
      <c r="HB246" t="e">
        <f>Raw!F550+"h_l!.|4"</f>
        <v>#VALUE!</v>
      </c>
      <c r="HC246" t="e">
        <f>Raw!F551+"h_l!.|5"</f>
        <v>#VALUE!</v>
      </c>
      <c r="HD246" t="e">
        <f>Raw!F552+"h_l!.|6"</f>
        <v>#VALUE!</v>
      </c>
      <c r="HE246" t="e">
        <f>Raw!F553+"h_l!.|7"</f>
        <v>#VALUE!</v>
      </c>
      <c r="HF246" t="e">
        <f>Raw!F554+"h_l!.|8"</f>
        <v>#VALUE!</v>
      </c>
      <c r="HG246" t="e">
        <f>Raw!F555+"h_l!.|9"</f>
        <v>#VALUE!</v>
      </c>
      <c r="HH246" t="e">
        <f>Raw!F556+"h_l!.|:"</f>
        <v>#VALUE!</v>
      </c>
      <c r="HI246" t="e">
        <f>Raw!F557+"h_l!.|;"</f>
        <v>#VALUE!</v>
      </c>
      <c r="HJ246" t="e">
        <f>Raw!F558+"h_l!.|&lt;"</f>
        <v>#VALUE!</v>
      </c>
      <c r="HK246" t="e">
        <f>Raw!F559+"h_l!.|="</f>
        <v>#VALUE!</v>
      </c>
      <c r="HL246" t="e">
        <f>Raw!F560+"h_l!.|&gt;"</f>
        <v>#VALUE!</v>
      </c>
      <c r="HM246" t="e">
        <f>Raw!F561+"h_l!.|?"</f>
        <v>#VALUE!</v>
      </c>
      <c r="HN246" t="e">
        <f>Raw!F562+"h_l!.|@"</f>
        <v>#VALUE!</v>
      </c>
      <c r="HO246" t="e">
        <f>Raw!F563+"h_l!.|A"</f>
        <v>#VALUE!</v>
      </c>
      <c r="HP246" t="e">
        <f>Raw!F564+"h_l!.|B"</f>
        <v>#VALUE!</v>
      </c>
      <c r="HQ246" t="e">
        <f>Raw!F565+"h_l!.|C"</f>
        <v>#VALUE!</v>
      </c>
      <c r="HR246" t="e">
        <f>Raw!F566+"h_l!.|D"</f>
        <v>#VALUE!</v>
      </c>
      <c r="HS246" t="e">
        <f>Raw!F567+"h_l!.|E"</f>
        <v>#VALUE!</v>
      </c>
      <c r="HT246" t="e">
        <f>Raw!F568+"h_l!.|F"</f>
        <v>#VALUE!</v>
      </c>
      <c r="HU246" t="e">
        <f>Raw!F569+"h_l!.|G"</f>
        <v>#VALUE!</v>
      </c>
      <c r="HV246" t="e">
        <f>Raw!F570+"h_l!.|H"</f>
        <v>#VALUE!</v>
      </c>
      <c r="HW246" t="e">
        <f>Raw!F571+"h_l!.|I"</f>
        <v>#VALUE!</v>
      </c>
      <c r="HX246" t="e">
        <f>Raw!F572+"h_l!.|J"</f>
        <v>#VALUE!</v>
      </c>
      <c r="HY246" t="e">
        <f>Raw!F573+"h_l!.|K"</f>
        <v>#VALUE!</v>
      </c>
      <c r="HZ246" t="e">
        <f>Raw!F574+"h_l!.|L"</f>
        <v>#VALUE!</v>
      </c>
      <c r="IA246" t="e">
        <f>Raw!F575+"h_l!.|M"</f>
        <v>#VALUE!</v>
      </c>
      <c r="IB246" t="e">
        <f>Raw!F576+"h_l!.|N"</f>
        <v>#VALUE!</v>
      </c>
      <c r="IC246" t="e">
        <f>Raw!F577+"h_l!.|O"</f>
        <v>#VALUE!</v>
      </c>
      <c r="ID246" t="e">
        <f>Raw!F578+"h_l!.|P"</f>
        <v>#VALUE!</v>
      </c>
      <c r="IE246" t="e">
        <f>Raw!F579+"h_l!.|Q"</f>
        <v>#VALUE!</v>
      </c>
      <c r="IF246" t="e">
        <f>Raw!F580+"h_l!.|R"</f>
        <v>#VALUE!</v>
      </c>
      <c r="IG246" t="e">
        <f>Raw!F581+"h_l!.|S"</f>
        <v>#VALUE!</v>
      </c>
      <c r="IH246" t="e">
        <f>Raw!F582+"h_l!.|T"</f>
        <v>#VALUE!</v>
      </c>
      <c r="II246" t="e">
        <f>Raw!F583+"h_l!.|U"</f>
        <v>#VALUE!</v>
      </c>
      <c r="IJ246" t="e">
        <f>Raw!F584+"h_l!.|V"</f>
        <v>#VALUE!</v>
      </c>
      <c r="IK246" t="e">
        <f>Raw!F585+"h_l!.|W"</f>
        <v>#VALUE!</v>
      </c>
      <c r="IL246" t="e">
        <f>Raw!F586+"h_l!.|X"</f>
        <v>#VALUE!</v>
      </c>
      <c r="IM246" t="e">
        <f>Raw!F587+"h_l!.|Y"</f>
        <v>#VALUE!</v>
      </c>
      <c r="IN246" t="e">
        <f>Raw!F588+"h_l!.|Z"</f>
        <v>#VALUE!</v>
      </c>
      <c r="IO246" t="e">
        <f>Raw!F589+"h_l!.|["</f>
        <v>#VALUE!</v>
      </c>
      <c r="IP246" t="e">
        <f>Raw!F590+"h_l!.|\"</f>
        <v>#VALUE!</v>
      </c>
      <c r="IQ246" t="e">
        <f>Raw!F591+"h_l!.|]"</f>
        <v>#VALUE!</v>
      </c>
      <c r="IR246" t="e">
        <f>Raw!F592+"h_l!.|^"</f>
        <v>#VALUE!</v>
      </c>
      <c r="IS246" t="e">
        <f>Raw!F593+"h_l!.|_"</f>
        <v>#VALUE!</v>
      </c>
      <c r="IT246" t="e">
        <f>Raw!F594+"h_l!.|`"</f>
        <v>#VALUE!</v>
      </c>
      <c r="IU246" t="e">
        <f>Raw!F595+"h_l!.|a"</f>
        <v>#VALUE!</v>
      </c>
      <c r="IV246" t="e">
        <f>Raw!F596+"h_l!.|b"</f>
        <v>#VALUE!</v>
      </c>
    </row>
    <row r="247" spans="6:256" x14ac:dyDescent="0.25">
      <c r="F247" t="e">
        <f>Raw!F597+"h_l!.|c"</f>
        <v>#VALUE!</v>
      </c>
      <c r="G247" t="e">
        <f>Raw!F598+"h_l!.|d"</f>
        <v>#VALUE!</v>
      </c>
      <c r="H247" t="e">
        <f>Raw!F599+"h_l!.|e"</f>
        <v>#VALUE!</v>
      </c>
      <c r="I247" t="e">
        <f>Raw!F600+"h_l!.|f"</f>
        <v>#VALUE!</v>
      </c>
      <c r="J247" t="e">
        <f>Raw!F601+"h_l!.|g"</f>
        <v>#VALUE!</v>
      </c>
      <c r="K247" t="e">
        <f>Raw!F602+"h_l!.|h"</f>
        <v>#VALUE!</v>
      </c>
      <c r="L247" t="e">
        <f>Raw!F603+"h_l!.|i"</f>
        <v>#VALUE!</v>
      </c>
      <c r="M247" t="e">
        <f>Raw!F604+"h_l!.|j"</f>
        <v>#VALUE!</v>
      </c>
      <c r="N247" t="e">
        <f>Raw!F605+"h_l!.|k"</f>
        <v>#VALUE!</v>
      </c>
      <c r="O247" t="e">
        <f>Raw!F606+"h_l!.|l"</f>
        <v>#VALUE!</v>
      </c>
      <c r="P247" t="e">
        <f>Raw!F607+"h_l!.|m"</f>
        <v>#VALUE!</v>
      </c>
      <c r="Q247" t="e">
        <f>Raw!F608+"h_l!.|n"</f>
        <v>#VALUE!</v>
      </c>
      <c r="R247" t="e">
        <f>Raw!F609+"h_l!.|o"</f>
        <v>#VALUE!</v>
      </c>
      <c r="S247" t="e">
        <f>Raw!F610+"h_l!.|p"</f>
        <v>#VALUE!</v>
      </c>
      <c r="T247" t="e">
        <f>Raw!F611+"h_l!.|q"</f>
        <v>#VALUE!</v>
      </c>
      <c r="U247" t="e">
        <f>Raw!F612+"h_l!.|r"</f>
        <v>#VALUE!</v>
      </c>
      <c r="V247" t="e">
        <f>Raw!F613+"h_l!.|s"</f>
        <v>#VALUE!</v>
      </c>
      <c r="W247" t="e">
        <f>Raw!F614+"h_l!.|t"</f>
        <v>#VALUE!</v>
      </c>
      <c r="X247" t="e">
        <f>Raw!F615+"h_l!.|u"</f>
        <v>#VALUE!</v>
      </c>
      <c r="Y247" t="e">
        <f>Raw!F616+"h_l!.|v"</f>
        <v>#VALUE!</v>
      </c>
      <c r="Z247" t="e">
        <f>Raw!F617+"h_l!.|w"</f>
        <v>#VALUE!</v>
      </c>
      <c r="AA247" t="e">
        <f>Raw!F618+"h_l!.|x"</f>
        <v>#VALUE!</v>
      </c>
      <c r="AB247" t="e">
        <f>Raw!F619+"h_l!.|y"</f>
        <v>#VALUE!</v>
      </c>
      <c r="AC247" t="e">
        <f>Raw!F620+"h_l!.|z"</f>
        <v>#VALUE!</v>
      </c>
      <c r="AD247" t="e">
        <f>Raw!F621+"h_l!.|{"</f>
        <v>#VALUE!</v>
      </c>
      <c r="AE247" t="e">
        <f>Raw!F622+"h_l!.||"</f>
        <v>#VALUE!</v>
      </c>
      <c r="AF247" t="e">
        <f>Raw!F623+"h_l!.|}"</f>
        <v>#VALUE!</v>
      </c>
      <c r="AG247" t="e">
        <f>Raw!F624+"h_l!.|~"</f>
        <v>#VALUE!</v>
      </c>
      <c r="AH247" t="e">
        <f>Raw!F625+"h_l!.}#"</f>
        <v>#VALUE!</v>
      </c>
      <c r="AI247" t="e">
        <f>Raw!F626+"h_l!.}$"</f>
        <v>#VALUE!</v>
      </c>
      <c r="AJ247" t="e">
        <f>Raw!F627+"h_l!.}%"</f>
        <v>#VALUE!</v>
      </c>
      <c r="AK247" t="e">
        <f>Raw!F628+"h_l!.}&amp;"</f>
        <v>#VALUE!</v>
      </c>
      <c r="AL247" t="e">
        <f>Raw!F629+"h_l!.}'"</f>
        <v>#VALUE!</v>
      </c>
      <c r="AM247" t="e">
        <f>Raw!F630+"h_l!.}("</f>
        <v>#VALUE!</v>
      </c>
      <c r="AN247" t="e">
        <f>Raw!F631+"h_l!.})"</f>
        <v>#VALUE!</v>
      </c>
      <c r="AO247" t="e">
        <f>Raw!F632+"h_l!.}."</f>
        <v>#VALUE!</v>
      </c>
      <c r="AP247" t="e">
        <f>Raw!F633+"h_l!.}/"</f>
        <v>#VALUE!</v>
      </c>
      <c r="AQ247" t="e">
        <f>Raw!F634+"h_l!.}0"</f>
        <v>#VALUE!</v>
      </c>
      <c r="AR247" t="e">
        <f>Raw!F635+"h_l!.}1"</f>
        <v>#VALUE!</v>
      </c>
      <c r="AS247" t="e">
        <f>Raw!F636+"h_l!.}2"</f>
        <v>#VALUE!</v>
      </c>
      <c r="AT247" t="e">
        <f>Raw!F637+"h_l!.}3"</f>
        <v>#VALUE!</v>
      </c>
      <c r="AU247" t="e">
        <f>Raw!F638+"h_l!.}4"</f>
        <v>#VALUE!</v>
      </c>
      <c r="AV247" t="e">
        <f>Raw!F639+"h_l!.}5"</f>
        <v>#VALUE!</v>
      </c>
      <c r="AW247" t="e">
        <f>Raw!F640+"h_l!.}6"</f>
        <v>#VALUE!</v>
      </c>
      <c r="AX247" t="e">
        <f>Raw!F641+"h_l!.}7"</f>
        <v>#VALUE!</v>
      </c>
      <c r="AY247" t="e">
        <f>Raw!F642+"h_l!.}8"</f>
        <v>#VALUE!</v>
      </c>
      <c r="AZ247" t="e">
        <f>Raw!F643+"h_l!.}9"</f>
        <v>#VALUE!</v>
      </c>
      <c r="BA247" t="e">
        <f>Raw!F644+"h_l!.}:"</f>
        <v>#VALUE!</v>
      </c>
      <c r="BB247" t="e">
        <f>Raw!F645+"h_l!.};"</f>
        <v>#VALUE!</v>
      </c>
      <c r="BC247" t="e">
        <f>Raw!F646+"h_l!.}&lt;"</f>
        <v>#VALUE!</v>
      </c>
      <c r="BD247" t="e">
        <f>Raw!F647+"h_l!.}="</f>
        <v>#VALUE!</v>
      </c>
      <c r="BE247" t="e">
        <f>Raw!F648+"h_l!.}&gt;"</f>
        <v>#VALUE!</v>
      </c>
      <c r="BF247" t="e">
        <f>Raw!F649+"h_l!.}?"</f>
        <v>#VALUE!</v>
      </c>
      <c r="BG247" t="e">
        <f>Raw!F650+"h_l!.}@"</f>
        <v>#VALUE!</v>
      </c>
      <c r="BH247" t="e">
        <f>Raw!F651+"h_l!.}A"</f>
        <v>#VALUE!</v>
      </c>
      <c r="BI247" t="e">
        <f>Raw!F652+"h_l!.}B"</f>
        <v>#VALUE!</v>
      </c>
      <c r="BJ247" t="e">
        <f>Raw!F653+"h_l!.}C"</f>
        <v>#VALUE!</v>
      </c>
      <c r="BK247" t="e">
        <f>Raw!F654+"h_l!.}D"</f>
        <v>#VALUE!</v>
      </c>
      <c r="BL247" t="e">
        <f>Raw!F655+"h_l!.}E"</f>
        <v>#VALUE!</v>
      </c>
      <c r="BM247" t="e">
        <f>Raw!F656+"h_l!.}F"</f>
        <v>#VALUE!</v>
      </c>
      <c r="BN247" t="e">
        <f>Raw!F657+"h_l!.}G"</f>
        <v>#VALUE!</v>
      </c>
      <c r="BO247" t="e">
        <f>Raw!F658+"h_l!.}H"</f>
        <v>#VALUE!</v>
      </c>
      <c r="BP247" t="e">
        <f>Raw!F659+"h_l!.}I"</f>
        <v>#VALUE!</v>
      </c>
      <c r="BQ247" t="e">
        <f>Raw!F660+"h_l!.}J"</f>
        <v>#VALUE!</v>
      </c>
      <c r="BR247" t="e">
        <f>Raw!F661+"h_l!.}K"</f>
        <v>#VALUE!</v>
      </c>
      <c r="BS247" t="e">
        <f>Raw!F662+"h_l!.}L"</f>
        <v>#VALUE!</v>
      </c>
      <c r="BT247" t="e">
        <f>Raw!F663+"h_l!.}M"</f>
        <v>#VALUE!</v>
      </c>
      <c r="BU247" t="e">
        <f>Raw!F664+"h_l!.}N"</f>
        <v>#VALUE!</v>
      </c>
      <c r="BV247" t="e">
        <f>Raw!F665+"h_l!.}O"</f>
        <v>#VALUE!</v>
      </c>
      <c r="BW247" t="e">
        <f>Raw!F666+"h_l!.}P"</f>
        <v>#VALUE!</v>
      </c>
      <c r="BX247" t="e">
        <f>Raw!F667+"h_l!.}Q"</f>
        <v>#VALUE!</v>
      </c>
      <c r="BY247" t="e">
        <f>Raw!F668+"h_l!.}R"</f>
        <v>#VALUE!</v>
      </c>
      <c r="BZ247" t="e">
        <f>Raw!F669+"h_l!.}S"</f>
        <v>#VALUE!</v>
      </c>
      <c r="CA247" t="e">
        <f>Raw!F670+"h_l!.}T"</f>
        <v>#VALUE!</v>
      </c>
      <c r="CB247" t="e">
        <f>Raw!F671+"h_l!.}U"</f>
        <v>#VALUE!</v>
      </c>
      <c r="CC247" t="e">
        <f>Raw!F672+"h_l!.}V"</f>
        <v>#VALUE!</v>
      </c>
      <c r="CD247" t="e">
        <f>Raw!F673+"h_l!.}W"</f>
        <v>#VALUE!</v>
      </c>
      <c r="CE247" t="e">
        <f>Raw!F674+"h_l!.}X"</f>
        <v>#VALUE!</v>
      </c>
      <c r="CF247" t="e">
        <f>Raw!F675+"h_l!.}Y"</f>
        <v>#VALUE!</v>
      </c>
      <c r="CG247" t="e">
        <f>Raw!F676+"h_l!.}Z"</f>
        <v>#VALUE!</v>
      </c>
      <c r="CH247" t="e">
        <f>Raw!F677+"h_l!.}["</f>
        <v>#VALUE!</v>
      </c>
      <c r="CI247" t="e">
        <f>Raw!F678+"h_l!.}\"</f>
        <v>#VALUE!</v>
      </c>
      <c r="CJ247" t="e">
        <f>Raw!F679+"h_l!.}]"</f>
        <v>#VALUE!</v>
      </c>
      <c r="CK247" t="e">
        <f>Raw!F680+"h_l!.}^"</f>
        <v>#VALUE!</v>
      </c>
      <c r="CL247" t="e">
        <f>Raw!F681+"h_l!.}_"</f>
        <v>#VALUE!</v>
      </c>
      <c r="CM247" t="e">
        <f>Raw!F682+"h_l!.}`"</f>
        <v>#VALUE!</v>
      </c>
      <c r="CN247" t="e">
        <f>Raw!F683+"h_l!.}a"</f>
        <v>#VALUE!</v>
      </c>
      <c r="CO247" t="e">
        <f>Raw!F684+"h_l!.}b"</f>
        <v>#VALUE!</v>
      </c>
      <c r="CP247" t="e">
        <f>Raw!F685+"h_l!.}c"</f>
        <v>#VALUE!</v>
      </c>
      <c r="CQ247" t="e">
        <f>Raw!F686+"h_l!.}d"</f>
        <v>#VALUE!</v>
      </c>
      <c r="CR247" t="e">
        <f>Raw!F687+"h_l!.}e"</f>
        <v>#VALUE!</v>
      </c>
      <c r="CS247" t="e">
        <f>Raw!F688+"h_l!.}f"</f>
        <v>#VALUE!</v>
      </c>
      <c r="CT247" t="e">
        <f>Raw!F689+"h_l!.}g"</f>
        <v>#VALUE!</v>
      </c>
      <c r="CU247" t="e">
        <f>Raw!F690+"h_l!.}h"</f>
        <v>#VALUE!</v>
      </c>
      <c r="CV247" t="e">
        <f>Raw!F691+"h_l!.}i"</f>
        <v>#VALUE!</v>
      </c>
      <c r="CW247" t="e">
        <f>Raw!F692+"h_l!.}j"</f>
        <v>#VALUE!</v>
      </c>
      <c r="CX247" t="e">
        <f>Raw!F693+"h_l!.}k"</f>
        <v>#VALUE!</v>
      </c>
      <c r="CY247" t="e">
        <f>Raw!F694+"h_l!.}l"</f>
        <v>#VALUE!</v>
      </c>
      <c r="CZ247" t="e">
        <f>Raw!F695+"h_l!.}m"</f>
        <v>#VALUE!</v>
      </c>
      <c r="DA247" t="e">
        <f>Raw!F696+"h_l!.}n"</f>
        <v>#VALUE!</v>
      </c>
      <c r="DB247" t="e">
        <f>Raw!F697+"h_l!.}o"</f>
        <v>#VALUE!</v>
      </c>
      <c r="DC247" t="e">
        <f>Raw!F698+"h_l!.}p"</f>
        <v>#VALUE!</v>
      </c>
      <c r="DD247" t="e">
        <f>Raw!F699+"h_l!.}q"</f>
        <v>#VALUE!</v>
      </c>
      <c r="DE247" t="e">
        <f>Raw!F700+"h_l!.}r"</f>
        <v>#VALUE!</v>
      </c>
      <c r="DF247" t="e">
        <f>Raw!F701+"h_l!.}s"</f>
        <v>#VALUE!</v>
      </c>
      <c r="DG247" t="e">
        <f>Raw!F702+"h_l!.}t"</f>
        <v>#VALUE!</v>
      </c>
      <c r="DH247" t="e">
        <f>Accuracy!A:A*"h_l!.}u"</f>
        <v>#VALUE!</v>
      </c>
      <c r="DI247" t="e">
        <f>Accuracy!B:B*"h_l!.}v"</f>
        <v>#VALUE!</v>
      </c>
      <c r="DJ247" t="e">
        <f>Accuracy!C:C*"h_l!.}w"</f>
        <v>#VALUE!</v>
      </c>
      <c r="DK247" t="e">
        <f>Accuracy!D:D*"h_l!.}x"</f>
        <v>#VALUE!</v>
      </c>
      <c r="DL247" t="e">
        <f>Accuracy!E:E*"h_l!.}y"</f>
        <v>#VALUE!</v>
      </c>
      <c r="DM247" t="e">
        <f>Accuracy!F:F*"h_l!.}z"</f>
        <v>#VALUE!</v>
      </c>
      <c r="DN247" t="e">
        <f>Accuracy!G:G*"h_l!.}{"</f>
        <v>#VALUE!</v>
      </c>
      <c r="DO247" t="e">
        <f>Accuracy!H:H*"h_l!.}|"</f>
        <v>#VALUE!</v>
      </c>
      <c r="DP247" t="e">
        <f>Accuracy!I:I*"h_l!.}}"</f>
        <v>#VALUE!</v>
      </c>
      <c r="DQ247" t="e">
        <f>Accuracy!J:J*"h_l!.}~"</f>
        <v>#VALUE!</v>
      </c>
      <c r="DR247" t="e">
        <f>Accuracy!K:K*"h_l!.~#"</f>
        <v>#VALUE!</v>
      </c>
      <c r="DS247" t="e">
        <f>Accuracy!L:L*"h_l!.~$"</f>
        <v>#VALUE!</v>
      </c>
      <c r="DT247" t="e">
        <f>Accuracy!M:M*"h_l!.~%"</f>
        <v>#VALUE!</v>
      </c>
      <c r="DU247" t="e">
        <f>Accuracy!N:N*"h_l!.~&amp;"</f>
        <v>#VALUE!</v>
      </c>
      <c r="DV247" t="e">
        <f>Accuracy!O:O*"h_l!.~'"</f>
        <v>#VALUE!</v>
      </c>
      <c r="DW247" t="e">
        <f>Accuracy!P:P*"h_l!.~("</f>
        <v>#VALUE!</v>
      </c>
      <c r="DX247" t="e">
        <f>Accuracy!Q:Q*"h_l!.~)"</f>
        <v>#VALUE!</v>
      </c>
      <c r="DY247" t="e">
        <f>Accuracy!R:R*"h_l!.~."</f>
        <v>#VALUE!</v>
      </c>
      <c r="DZ247" t="e">
        <f>Accuracy!S:S*"h_l!.~/"</f>
        <v>#VALUE!</v>
      </c>
      <c r="EA247" t="e">
        <f>Accuracy!T:T*"h_l!.~0"</f>
        <v>#VALUE!</v>
      </c>
      <c r="EB247" t="e">
        <f>Accuracy!U:U*"h_l!.~1"</f>
        <v>#VALUE!</v>
      </c>
      <c r="EC247" t="e">
        <f>Accuracy!V:V*"h_l!.~2"</f>
        <v>#VALUE!</v>
      </c>
      <c r="ED247" t="e">
        <f>Accuracy!W:W*"h_l!.~3"</f>
        <v>#VALUE!</v>
      </c>
      <c r="EE247" t="e">
        <f>Accuracy!X:X*"h_l!.~4"</f>
        <v>#VALUE!</v>
      </c>
      <c r="EF247" t="e">
        <f>Accuracy!Y:Y*"h_l!.~5"</f>
        <v>#VALUE!</v>
      </c>
      <c r="EG247" t="e">
        <f>Accuracy!Z:Z*"h_l!.~6"</f>
        <v>#VALUE!</v>
      </c>
      <c r="EH247" t="e">
        <f>Accuracy!AA:AA*"h_l!.~7"</f>
        <v>#VALUE!</v>
      </c>
      <c r="EI247" t="e">
        <f>Accuracy!AB:AB*"h_l!.~8"</f>
        <v>#VALUE!</v>
      </c>
      <c r="EJ247" t="e">
        <f>Accuracy!AC:AC*"h_l!.~9"</f>
        <v>#VALUE!</v>
      </c>
      <c r="EK247" t="e">
        <f>Accuracy!AD:AD*"h_l!.~:"</f>
        <v>#VALUE!</v>
      </c>
      <c r="EL247" t="e">
        <f>Accuracy!AE:AE*"h_l!.~;"</f>
        <v>#VALUE!</v>
      </c>
      <c r="EM247" t="e">
        <f>Accuracy!AF:AF*"h_l!.~&lt;"</f>
        <v>#VALUE!</v>
      </c>
      <c r="EN247" t="e">
        <f>Accuracy!AG:AG*"h_l!.~="</f>
        <v>#VALUE!</v>
      </c>
      <c r="EO247" t="e">
        <f>Accuracy!AH:AH*"h_l!.~&gt;"</f>
        <v>#VALUE!</v>
      </c>
      <c r="EP247" t="e">
        <f>Accuracy!AI:AI*"h_l!.~?"</f>
        <v>#VALUE!</v>
      </c>
      <c r="EQ247" t="e">
        <f>Accuracy!AJ:AJ*"h_l!.~@"</f>
        <v>#VALUE!</v>
      </c>
      <c r="ER247" t="e">
        <f>Accuracy!AK:AK*"h_l!.~A"</f>
        <v>#VALUE!</v>
      </c>
      <c r="ES247" t="e">
        <f>Accuracy!AL:AL*"h_l!.~B"</f>
        <v>#VALUE!</v>
      </c>
      <c r="ET247" t="e">
        <f>Accuracy!AM:AM*"h_l!.~C"</f>
        <v>#VALUE!</v>
      </c>
      <c r="EU247" t="e">
        <f>Accuracy!AN:AN*"h_l!.~D"</f>
        <v>#VALUE!</v>
      </c>
      <c r="EV247" t="e">
        <f>Accuracy!AO:AO*"h_l!.~E"</f>
        <v>#VALUE!</v>
      </c>
      <c r="EW247" t="e">
        <f>Accuracy!AP:AP*"h_l!.~F"</f>
        <v>#VALUE!</v>
      </c>
      <c r="EX247" t="e">
        <f>Accuracy!AQ:AQ*"h_l!.~G"</f>
        <v>#VALUE!</v>
      </c>
      <c r="EY247" t="e">
        <f>Accuracy!AR:AR*"h_l!.~H"</f>
        <v>#VALUE!</v>
      </c>
      <c r="EZ247" t="e">
        <f>Accuracy!AS:AS*"h_l!.~I"</f>
        <v>#VALUE!</v>
      </c>
      <c r="FA247" t="e">
        <f>Accuracy!AT:AT*"h_l!.~J"</f>
        <v>#VALUE!</v>
      </c>
      <c r="FB247" t="e">
        <f>Accuracy!AU:AU*"h_l!.~K"</f>
        <v>#VALUE!</v>
      </c>
      <c r="FC247" t="e">
        <f>Accuracy!AV:AV*"h_l!.~L"</f>
        <v>#VALUE!</v>
      </c>
      <c r="FD247" t="e">
        <f>Accuracy!AW:AW*"h_l!.~M"</f>
        <v>#VALUE!</v>
      </c>
      <c r="FE247" t="e">
        <f>Accuracy!AX:AX*"h_l!.~N"</f>
        <v>#VALUE!</v>
      </c>
      <c r="FF247" t="e">
        <f>Accuracy!AY:AY*"h_l!.~O"</f>
        <v>#VALUE!</v>
      </c>
      <c r="FG247" t="e">
        <f>Accuracy!AZ:AZ*"h_l!.~P"</f>
        <v>#VALUE!</v>
      </c>
      <c r="FH247" t="e">
        <f>Accuracy!BA:BA*"h_l!.~Q"</f>
        <v>#VALUE!</v>
      </c>
      <c r="FI247" t="e">
        <f>Accuracy!BB:BB*"h_l!.~R"</f>
        <v>#VALUE!</v>
      </c>
      <c r="FJ247" t="e">
        <f>Accuracy!BC:BC*"h_l!.~S"</f>
        <v>#VALUE!</v>
      </c>
      <c r="FK247" t="e">
        <f>Accuracy!BD:BD*"h_l!.~T"</f>
        <v>#VALUE!</v>
      </c>
      <c r="FL247" t="e">
        <f>Accuracy!BE:BE*"h_l!.~U"</f>
        <v>#VALUE!</v>
      </c>
      <c r="FM247" t="e">
        <f>Accuracy!BF:BF*"h_l!.~V"</f>
        <v>#VALUE!</v>
      </c>
      <c r="FN247" t="e">
        <f>Accuracy!1:1-"h_l!.~W"</f>
        <v>#VALUE!</v>
      </c>
      <c r="FO247" t="e">
        <f>Accuracy!2:2-"h_l!.~X"</f>
        <v>#VALUE!</v>
      </c>
      <c r="FP247" t="e">
        <f>Accuracy!3:3-"h_l!.~Y"</f>
        <v>#VALUE!</v>
      </c>
      <c r="FQ247" t="e">
        <f>Accuracy!4:4-"h_l!.~Z"</f>
        <v>#VALUE!</v>
      </c>
      <c r="FR247" t="e">
        <f>Accuracy!5:5-"h_l!.~["</f>
        <v>#VALUE!</v>
      </c>
      <c r="FS247" t="e">
        <f>Accuracy!6:6-"h_l!.~\"</f>
        <v>#VALUE!</v>
      </c>
      <c r="FT247" t="e">
        <f>Accuracy!7:7-"h_l!.~]"</f>
        <v>#VALUE!</v>
      </c>
      <c r="FU247" t="e">
        <f>Accuracy!8:8-"h_l!.~^"</f>
        <v>#VALUE!</v>
      </c>
      <c r="FV247" t="e">
        <f>Accuracy!9:9-"h_l!.~_"</f>
        <v>#VALUE!</v>
      </c>
      <c r="FW247" t="e">
        <f>Accuracy!10:10-"h_l!.~`"</f>
        <v>#VALUE!</v>
      </c>
      <c r="FX247" t="e">
        <f>Accuracy!11:11-"h_l!.~a"</f>
        <v>#VALUE!</v>
      </c>
      <c r="FY247" t="e">
        <f>Accuracy!12:12-"h_l!.~b"</f>
        <v>#VALUE!</v>
      </c>
      <c r="FZ247" t="e">
        <f>Accuracy!13:13-"h_l!.~c"</f>
        <v>#VALUE!</v>
      </c>
      <c r="GA247" t="e">
        <f>Accuracy!14:14-"h_l!.~d"</f>
        <v>#VALUE!</v>
      </c>
      <c r="GB247" t="e">
        <f>Accuracy!15:15-"h_l!.~e"</f>
        <v>#VALUE!</v>
      </c>
      <c r="GC247" t="e">
        <f>Accuracy!16:16-"h_l!.~f"</f>
        <v>#VALUE!</v>
      </c>
      <c r="GD247" t="e">
        <f>Accuracy!17:17-"h_l!.~g"</f>
        <v>#VALUE!</v>
      </c>
      <c r="GE247" t="e">
        <f>Accuracy!18:18-"h_l!.~h"</f>
        <v>#VALUE!</v>
      </c>
      <c r="GF247" t="e">
        <f>Accuracy!19:19-"h_l!.~i"</f>
        <v>#VALUE!</v>
      </c>
      <c r="GG247" t="e">
        <f>Accuracy!20:20-"h_l!.~j"</f>
        <v>#VALUE!</v>
      </c>
      <c r="GH247" t="e">
        <f>Accuracy!21:21-"h_l!.~k"</f>
        <v>#VALUE!</v>
      </c>
      <c r="GI247" t="e">
        <f>Accuracy!22:22-"h_l!.~l"</f>
        <v>#VALUE!</v>
      </c>
      <c r="GJ247" t="e">
        <f>Accuracy!23:23-"h_l!.~m"</f>
        <v>#VALUE!</v>
      </c>
      <c r="GK247" t="e">
        <f>Accuracy!24:24-"h_l!.~n"</f>
        <v>#VALUE!</v>
      </c>
      <c r="GL247" t="e">
        <f>Accuracy!25:25-"h_l!.~o"</f>
        <v>#VALUE!</v>
      </c>
      <c r="GM247" t="e">
        <f>Accuracy!26:26-"h_l!.~p"</f>
        <v>#VALUE!</v>
      </c>
      <c r="GN247" t="e">
        <f>Accuracy!27:27-"h_l!.~q"</f>
        <v>#VALUE!</v>
      </c>
      <c r="GO247" t="e">
        <f>Accuracy!28:28-"h_l!.~r"</f>
        <v>#VALUE!</v>
      </c>
      <c r="GP247" t="e">
        <f>Accuracy!29:29-"h_l!.~s"</f>
        <v>#VALUE!</v>
      </c>
      <c r="GQ247" t="e">
        <f>Accuracy!30:30-"h_l!.~t"</f>
        <v>#VALUE!</v>
      </c>
      <c r="GR247" t="e">
        <f>Accuracy!31:31-"h_l!.~u"</f>
        <v>#VALUE!</v>
      </c>
      <c r="GS247" t="e">
        <f>Accuracy!32:32-"h_l!.~v"</f>
        <v>#VALUE!</v>
      </c>
      <c r="GT247" t="e">
        <f>Accuracy!33:33-"h_l!.~w"</f>
        <v>#VALUE!</v>
      </c>
      <c r="GU247" t="e">
        <f>Accuracy!34:34-"h_l!.~x"</f>
        <v>#VALUE!</v>
      </c>
      <c r="GV247" t="e">
        <f>Accuracy!35:35-"h_l!.~y"</f>
        <v>#VALUE!</v>
      </c>
      <c r="GW247" t="e">
        <f>Accuracy!36:36-"h_l!.~z"</f>
        <v>#VALUE!</v>
      </c>
      <c r="GX247" t="e">
        <f>Accuracy!37:37-"h_l!.~{"</f>
        <v>#VALUE!</v>
      </c>
      <c r="GY247" t="e">
        <f>Accuracy!38:38-"h_l!.~|"</f>
        <v>#VALUE!</v>
      </c>
      <c r="GZ247" t="e">
        <f>Accuracy!39:39-"h_l!.~}"</f>
        <v>#VALUE!</v>
      </c>
      <c r="HA247" t="e">
        <f>Accuracy!40:40-"h_l!.~~"</f>
        <v>#VALUE!</v>
      </c>
      <c r="HB247" t="e">
        <f>Accuracy!41:41-"h_l!/##"</f>
        <v>#VALUE!</v>
      </c>
      <c r="HC247" t="e">
        <f>Accuracy!42:42-"h_l!/#$"</f>
        <v>#VALUE!</v>
      </c>
      <c r="HD247" t="e">
        <f>Accuracy!43:43-"h_l!/#%"</f>
        <v>#VALUE!</v>
      </c>
      <c r="HE247" t="e">
        <f>Accuracy!44:44-"h_l!/#&amp;"</f>
        <v>#VALUE!</v>
      </c>
      <c r="HF247" t="e">
        <f>Accuracy!45:45-"h_l!/#'"</f>
        <v>#VALUE!</v>
      </c>
      <c r="HG247" t="e">
        <f>Accuracy!46:46-"h_l!/#("</f>
        <v>#VALUE!</v>
      </c>
      <c r="HH247" t="e">
        <f>Accuracy!47:47-"h_l!/#)"</f>
        <v>#VALUE!</v>
      </c>
      <c r="HI247" t="e">
        <f>Accuracy!48:48-"h_l!/#."</f>
        <v>#VALUE!</v>
      </c>
      <c r="HJ247" t="e">
        <f>Accuracy!49:49-"h_l!/#/"</f>
        <v>#VALUE!</v>
      </c>
      <c r="HK247" t="e">
        <f>Accuracy!50:50-"h_l!/#0"</f>
        <v>#VALUE!</v>
      </c>
      <c r="HL247" t="e">
        <f>Accuracy!51:51-"h_l!/#1"</f>
        <v>#VALUE!</v>
      </c>
      <c r="HM247" t="e">
        <f>Accuracy!52:52-"h_l!/#2"</f>
        <v>#VALUE!</v>
      </c>
      <c r="HN247" t="e">
        <f>Accuracy!53:53-"h_l!/#3"</f>
        <v>#VALUE!</v>
      </c>
      <c r="HO247" t="e">
        <f>Accuracy!54:54-"h_l!/#4"</f>
        <v>#VALUE!</v>
      </c>
      <c r="HP247" t="e">
        <f>Accuracy!55:55-"h_l!/#5"</f>
        <v>#VALUE!</v>
      </c>
      <c r="HQ247" t="e">
        <f>Accuracy!56:56-"h_l!/#6"</f>
        <v>#VALUE!</v>
      </c>
      <c r="HR247" t="e">
        <f>Accuracy!57:57-"h_l!/#7"</f>
        <v>#VALUE!</v>
      </c>
      <c r="HS247" t="e">
        <f>Accuracy!58:58-"h_l!/#8"</f>
        <v>#VALUE!</v>
      </c>
      <c r="HT247" t="e">
        <f>Accuracy!59:59-"h_l!/#9"</f>
        <v>#VALUE!</v>
      </c>
      <c r="HU247" t="e">
        <f>Accuracy!60:60-"h_l!/#:"</f>
        <v>#VALUE!</v>
      </c>
      <c r="HV247" t="e">
        <f>Accuracy!61:61-"h_l!/#;"</f>
        <v>#VALUE!</v>
      </c>
      <c r="HW247" t="e">
        <f>Accuracy!62:62-"h_l!/#&lt;"</f>
        <v>#VALUE!</v>
      </c>
      <c r="HX247" t="e">
        <f>Accuracy!63:63-"h_l!/#="</f>
        <v>#VALUE!</v>
      </c>
      <c r="HY247" t="e">
        <f>Accuracy!64:64-"h_l!/#&gt;"</f>
        <v>#VALUE!</v>
      </c>
      <c r="HZ247" t="e">
        <f>Accuracy!65:65-"h_l!/#?"</f>
        <v>#VALUE!</v>
      </c>
      <c r="IA247" t="e">
        <f>Accuracy!66:66-"h_l!/#@"</f>
        <v>#VALUE!</v>
      </c>
      <c r="IB247" t="e">
        <f>Accuracy!67:67-"h_l!/#A"</f>
        <v>#VALUE!</v>
      </c>
      <c r="IC247" t="e">
        <f>Accuracy!68:68-"h_l!/#B"</f>
        <v>#VALUE!</v>
      </c>
      <c r="ID247" t="e">
        <f>Accuracy!69:69-"h_l!/#C"</f>
        <v>#VALUE!</v>
      </c>
      <c r="IE247" t="e">
        <f>Accuracy!70:70-"h_l!/#D"</f>
        <v>#VALUE!</v>
      </c>
      <c r="IF247" t="e">
        <f>Accuracy!71:71-"h_l!/#E"</f>
        <v>#VALUE!</v>
      </c>
      <c r="IG247" t="e">
        <f>Accuracy!72:72-"h_l!/#F"</f>
        <v>#VALUE!</v>
      </c>
      <c r="IH247" t="e">
        <f>Accuracy!73:73-"h_l!/#G"</f>
        <v>#VALUE!</v>
      </c>
      <c r="II247" t="e">
        <f>Accuracy!74:74-"h_l!/#H"</f>
        <v>#VALUE!</v>
      </c>
      <c r="IJ247" t="e">
        <f>Accuracy!75:75-"h_l!/#I"</f>
        <v>#VALUE!</v>
      </c>
      <c r="IK247" t="e">
        <f>Accuracy!76:76-"h_l!/#J"</f>
        <v>#VALUE!</v>
      </c>
      <c r="IL247" t="e">
        <f>Accuracy!77:77-"h_l!/#K"</f>
        <v>#VALUE!</v>
      </c>
      <c r="IM247" t="e">
        <f>Accuracy!78:78-"h_l!/#L"</f>
        <v>#VALUE!</v>
      </c>
      <c r="IN247" t="e">
        <f>Accuracy!79:79-"h_l!/#M"</f>
        <v>#VALUE!</v>
      </c>
      <c r="IO247" t="e">
        <f>Accuracy!80:80-"h_l!/#N"</f>
        <v>#VALUE!</v>
      </c>
      <c r="IP247" t="e">
        <f>Accuracy!81:81-"h_l!/#O"</f>
        <v>#VALUE!</v>
      </c>
      <c r="IQ247" t="e">
        <f>Accuracy!82:82-"h_l!/#P"</f>
        <v>#VALUE!</v>
      </c>
      <c r="IR247" t="e">
        <f>Accuracy!83:83-"h_l!/#Q"</f>
        <v>#VALUE!</v>
      </c>
      <c r="IS247" t="e">
        <f>Accuracy!84:84-"h_l!/#R"</f>
        <v>#VALUE!</v>
      </c>
      <c r="IT247" t="e">
        <f>Accuracy!85:85-"h_l!/#S"</f>
        <v>#VALUE!</v>
      </c>
      <c r="IU247" t="e">
        <f>Accuracy!86:86-"h_l!/#T"</f>
        <v>#VALUE!</v>
      </c>
      <c r="IV247" t="e">
        <f>Accuracy!87:87-"h_l!/#U"</f>
        <v>#VALUE!</v>
      </c>
    </row>
    <row r="248" spans="6:256" x14ac:dyDescent="0.25">
      <c r="F248" t="e">
        <f>Accuracy!88:88-"h_l!/#V"</f>
        <v>#VALUE!</v>
      </c>
      <c r="G248" t="e">
        <f>Accuracy!89:89-"h_l!/#W"</f>
        <v>#VALUE!</v>
      </c>
      <c r="H248" t="e">
        <f>Accuracy!90:90-"h_l!/#X"</f>
        <v>#VALUE!</v>
      </c>
      <c r="I248" t="e">
        <f>Accuracy!91:91-"h_l!/#Y"</f>
        <v>#VALUE!</v>
      </c>
      <c r="J248" t="e">
        <f>Accuracy!92:92-"h_l!/#Z"</f>
        <v>#VALUE!</v>
      </c>
      <c r="K248" t="e">
        <f>Accuracy!93:93-"h_l!/#["</f>
        <v>#VALUE!</v>
      </c>
      <c r="L248" t="e">
        <f>Accuracy!94:94-"h_l!/#\"</f>
        <v>#VALUE!</v>
      </c>
      <c r="M248" t="e">
        <f>Accuracy!95:95-"h_l!/#]"</f>
        <v>#VALUE!</v>
      </c>
      <c r="N248" t="e">
        <f>Accuracy!96:96-"h_l!/#^"</f>
        <v>#VALUE!</v>
      </c>
      <c r="O248" t="e">
        <f>Accuracy!97:97-"h_l!/#_"</f>
        <v>#VALUE!</v>
      </c>
      <c r="P248" t="e">
        <f>Accuracy!98:98-"h_l!/#`"</f>
        <v>#VALUE!</v>
      </c>
      <c r="Q248" t="e">
        <f>Accuracy!99:99-"h_l!/#a"</f>
        <v>#VALUE!</v>
      </c>
      <c r="R248" t="e">
        <f>Accuracy!100:100-"h_l!/#b"</f>
        <v>#VALUE!</v>
      </c>
      <c r="S248" t="e">
        <f>Accuracy!101:101-"h_l!/#c"</f>
        <v>#VALUE!</v>
      </c>
      <c r="T248" t="e">
        <f>Accuracy!102:102-"h_l!/#d"</f>
        <v>#VALUE!</v>
      </c>
      <c r="U248" t="e">
        <f>Accuracy!103:103-"h_l!/#e"</f>
        <v>#VALUE!</v>
      </c>
      <c r="V248" t="e">
        <f>Accuracy!104:104-"h_l!/#f"</f>
        <v>#VALUE!</v>
      </c>
      <c r="W248" t="e">
        <f>Accuracy!105:105-"h_l!/#g"</f>
        <v>#VALUE!</v>
      </c>
      <c r="X248" t="e">
        <f>Accuracy!106:106-"h_l!/#h"</f>
        <v>#VALUE!</v>
      </c>
      <c r="Y248" t="e">
        <f>Accuracy!107:107-"h_l!/#i"</f>
        <v>#VALUE!</v>
      </c>
      <c r="Z248" t="e">
        <f>Accuracy!108:108-"h_l!/#j"</f>
        <v>#VALUE!</v>
      </c>
      <c r="AA248" t="e">
        <f>Accuracy!109:109-"h_l!/#k"</f>
        <v>#VALUE!</v>
      </c>
      <c r="AB248" t="e">
        <f>Accuracy!110:110-"h_l!/#l"</f>
        <v>#VALUE!</v>
      </c>
      <c r="AC248" t="e">
        <f>Accuracy!111:111-"h_l!/#m"</f>
        <v>#VALUE!</v>
      </c>
      <c r="AD248" t="e">
        <f>Accuracy!112:112-"h_l!/#n"</f>
        <v>#VALUE!</v>
      </c>
      <c r="AE248" t="e">
        <f>Accuracy!113:113-"h_l!/#o"</f>
        <v>#VALUE!</v>
      </c>
      <c r="AF248" t="e">
        <f>Accuracy!114:114-"h_l!/#p"</f>
        <v>#VALUE!</v>
      </c>
      <c r="AG248" t="e">
        <f>Accuracy!115:115-"h_l!/#q"</f>
        <v>#VALUE!</v>
      </c>
      <c r="AH248" t="e">
        <f>Accuracy!116:116-"h_l!/#r"</f>
        <v>#VALUE!</v>
      </c>
      <c r="AI248" t="e">
        <f>Accuracy!117:117-"h_l!/#s"</f>
        <v>#VALUE!</v>
      </c>
      <c r="AJ248" t="e">
        <f>Accuracy!118:118-"h_l!/#t"</f>
        <v>#VALUE!</v>
      </c>
      <c r="AK248" t="e">
        <f>Accuracy!119:119-"h_l!/#u"</f>
        <v>#VALUE!</v>
      </c>
      <c r="AL248" t="e">
        <f>Accuracy!120:120-"h_l!/#v"</f>
        <v>#VALUE!</v>
      </c>
      <c r="AM248" t="e">
        <f>Accuracy!121:121-"h_l!/#w"</f>
        <v>#VALUE!</v>
      </c>
      <c r="AN248" t="e">
        <f>Accuracy!122:122-"h_l!/#x"</f>
        <v>#VALUE!</v>
      </c>
      <c r="AO248" t="e">
        <f>Accuracy!123:123-"h_l!/#y"</f>
        <v>#VALUE!</v>
      </c>
      <c r="AP248" t="e">
        <f>Accuracy!124:124-"h_l!/#z"</f>
        <v>#VALUE!</v>
      </c>
      <c r="AQ248" t="e">
        <f>Accuracy!125:125-"h_l!/#{"</f>
        <v>#VALUE!</v>
      </c>
      <c r="AR248" t="e">
        <f>Accuracy!126:126-"h_l!/#|"</f>
        <v>#VALUE!</v>
      </c>
      <c r="AS248" t="e">
        <f>Accuracy!127:127-"h_l!/#}"</f>
        <v>#VALUE!</v>
      </c>
      <c r="AT248" t="e">
        <f>Accuracy!128:128-"h_l!/#~"</f>
        <v>#VALUE!</v>
      </c>
      <c r="AU248" t="e">
        <f>Accuracy!129:129-"h_l!/$#"</f>
        <v>#VALUE!</v>
      </c>
      <c r="AV248" t="e">
        <f>Accuracy!130:130-"h_l!/$$"</f>
        <v>#VALUE!</v>
      </c>
      <c r="AW248" t="e">
        <f>Accuracy!131:131-"h_l!/$%"</f>
        <v>#VALUE!</v>
      </c>
      <c r="AX248" t="e">
        <f>Accuracy!132:132-"h_l!/$&amp;"</f>
        <v>#VALUE!</v>
      </c>
      <c r="AY248" t="e">
        <f>Accuracy!133:133-"h_l!/$'"</f>
        <v>#VALUE!</v>
      </c>
      <c r="AZ248" t="e">
        <f>Accuracy!134:134-"h_l!/$("</f>
        <v>#VALUE!</v>
      </c>
      <c r="BA248" t="e">
        <f>Accuracy!135:135-"h_l!/$)"</f>
        <v>#VALUE!</v>
      </c>
      <c r="BB248" t="e">
        <f>Accuracy!136:136-"h_l!/$."</f>
        <v>#VALUE!</v>
      </c>
      <c r="BC248" t="e">
        <f>Accuracy!137:137-"h_l!/$/"</f>
        <v>#VALUE!</v>
      </c>
      <c r="BD248" t="e">
        <f>Accuracy!138:138-"h_l!/$0"</f>
        <v>#VALUE!</v>
      </c>
      <c r="BE248" t="e">
        <f>Accuracy!139:139-"h_l!/$1"</f>
        <v>#VALUE!</v>
      </c>
      <c r="BF248" t="e">
        <f>Accuracy!140:140-"h_l!/$2"</f>
        <v>#VALUE!</v>
      </c>
      <c r="BG248" t="e">
        <f>Accuracy!141:141-"h_l!/$3"</f>
        <v>#VALUE!</v>
      </c>
      <c r="BH248" t="e">
        <f>Accuracy!142:142-"h_l!/$4"</f>
        <v>#VALUE!</v>
      </c>
      <c r="BI248" t="e">
        <f>Accuracy!143:143-"h_l!/$5"</f>
        <v>#VALUE!</v>
      </c>
      <c r="BJ248" t="e">
        <f>Accuracy!144:144-"h_l!/$6"</f>
        <v>#VALUE!</v>
      </c>
      <c r="BK248" t="e">
        <f>Accuracy!145:145-"h_l!/$7"</f>
        <v>#VALUE!</v>
      </c>
      <c r="BL248" t="e">
        <f>Accuracy!146:146-"h_l!/$8"</f>
        <v>#VALUE!</v>
      </c>
      <c r="BM248" t="e">
        <f>Accuracy!147:147-"h_l!/$9"</f>
        <v>#VALUE!</v>
      </c>
      <c r="BN248" t="e">
        <f>Accuracy!148:148-"h_l!/$:"</f>
        <v>#VALUE!</v>
      </c>
      <c r="BO248" t="e">
        <f>Accuracy!149:149-"h_l!/$;"</f>
        <v>#VALUE!</v>
      </c>
      <c r="BP248" t="e">
        <f>Accuracy!150:150-"h_l!/$&lt;"</f>
        <v>#VALUE!</v>
      </c>
      <c r="BQ248" t="e">
        <f>Accuracy!151:151-"h_l!/$="</f>
        <v>#VALUE!</v>
      </c>
      <c r="BR248" t="e">
        <f>Accuracy!152:152-"h_l!/$&gt;"</f>
        <v>#VALUE!</v>
      </c>
      <c r="BS248" t="e">
        <f>Accuracy!153:153-"h_l!/$?"</f>
        <v>#VALUE!</v>
      </c>
      <c r="BT248" t="e">
        <f>Accuracy!154:154-"h_l!/$@"</f>
        <v>#VALUE!</v>
      </c>
      <c r="BU248" t="e">
        <f>Accuracy!155:155-"h_l!/$A"</f>
        <v>#VALUE!</v>
      </c>
      <c r="BV248" t="e">
        <f>Accuracy!156:156-"h_l!/$B"</f>
        <v>#VALUE!</v>
      </c>
      <c r="BW248" t="e">
        <f>Accuracy!157:157-"h_l!/$C"</f>
        <v>#VALUE!</v>
      </c>
      <c r="BX248" t="e">
        <f>Accuracy!158:158-"h_l!/$D"</f>
        <v>#VALUE!</v>
      </c>
      <c r="BY248" t="e">
        <f>Accuracy!159:159-"h_l!/$E"</f>
        <v>#VALUE!</v>
      </c>
      <c r="BZ248" t="e">
        <f>Accuracy!160:160-"h_l!/$F"</f>
        <v>#VALUE!</v>
      </c>
      <c r="CA248" t="e">
        <f>Accuracy!161:161-"h_l!/$G"</f>
        <v>#VALUE!</v>
      </c>
      <c r="CB248" t="e">
        <f>Accuracy!162:162-"h_l!/$H"</f>
        <v>#VALUE!</v>
      </c>
      <c r="CC248" t="e">
        <f>Accuracy!163:163-"h_l!/$I"</f>
        <v>#VALUE!</v>
      </c>
      <c r="CD248" t="e">
        <f>Accuracy!164:164-"h_l!/$J"</f>
        <v>#VALUE!</v>
      </c>
      <c r="CE248" t="e">
        <f>Accuracy!165:165-"h_l!/$K"</f>
        <v>#VALUE!</v>
      </c>
      <c r="CF248" t="e">
        <f>Accuracy!166:166-"h_l!/$L"</f>
        <v>#VALUE!</v>
      </c>
      <c r="CG248" t="e">
        <f>Accuracy!167:167-"h_l!/$M"</f>
        <v>#VALUE!</v>
      </c>
      <c r="CH248" t="e">
        <f>Accuracy!168:168-"h_l!/$N"</f>
        <v>#VALUE!</v>
      </c>
      <c r="CI248" t="e">
        <f>Accuracy!169:169-"h_l!/$O"</f>
        <v>#VALUE!</v>
      </c>
      <c r="CJ248" t="e">
        <f>Accuracy!170:170-"h_l!/$P"</f>
        <v>#VALUE!</v>
      </c>
      <c r="CK248" t="e">
        <f>Accuracy!171:171-"h_l!/$Q"</f>
        <v>#VALUE!</v>
      </c>
      <c r="CL248" t="e">
        <f>Accuracy!172:172-"h_l!/$R"</f>
        <v>#VALUE!</v>
      </c>
      <c r="CM248" t="e">
        <f>Accuracy!173:173-"h_l!/$S"</f>
        <v>#VALUE!</v>
      </c>
      <c r="CN248" t="e">
        <f>Accuracy!174:174-"h_l!/$T"</f>
        <v>#VALUE!</v>
      </c>
      <c r="CO248" t="e">
        <f>Accuracy!175:175-"h_l!/$U"</f>
        <v>#VALUE!</v>
      </c>
      <c r="CP248" t="e">
        <f>Accuracy!176:176-"h_l!/$V"</f>
        <v>#VALUE!</v>
      </c>
      <c r="CQ248" t="e">
        <f>Accuracy!177:177-"h_l!/$W"</f>
        <v>#VALUE!</v>
      </c>
      <c r="CR248" t="e">
        <f>Accuracy!178:178-"h_l!/$X"</f>
        <v>#VALUE!</v>
      </c>
      <c r="CS248" t="e">
        <f>Accuracy!179:179-"h_l!/$Y"</f>
        <v>#VALUE!</v>
      </c>
      <c r="CT248" t="e">
        <f>Accuracy!180:180-"h_l!/$Z"</f>
        <v>#VALUE!</v>
      </c>
      <c r="CU248" t="e">
        <f>Accuracy!181:181-"h_l!/$["</f>
        <v>#VALUE!</v>
      </c>
      <c r="CV248" t="e">
        <f>Accuracy!182:182-"h_l!/$\"</f>
        <v>#VALUE!</v>
      </c>
      <c r="CW248" t="e">
        <f>Accuracy!183:183-"h_l!/$]"</f>
        <v>#VALUE!</v>
      </c>
      <c r="CX248" t="e">
        <f>Accuracy!184:184-"h_l!/$^"</f>
        <v>#VALUE!</v>
      </c>
      <c r="CY248" t="e">
        <f>Accuracy!185:185-"h_l!/$_"</f>
        <v>#VALUE!</v>
      </c>
      <c r="CZ248" t="e">
        <f>Accuracy!186:186-"h_l!/$`"</f>
        <v>#VALUE!</v>
      </c>
      <c r="DA248" t="e">
        <f>Accuracy!187:187-"h_l!/$a"</f>
        <v>#VALUE!</v>
      </c>
      <c r="DB248" t="e">
        <f>Accuracy!188:188-"h_l!/$b"</f>
        <v>#VALUE!</v>
      </c>
      <c r="DC248" t="e">
        <f>Accuracy!189:189-"h_l!/$c"</f>
        <v>#VALUE!</v>
      </c>
      <c r="DD248" t="e">
        <f>Accuracy!190:190-"h_l!/$d"</f>
        <v>#VALUE!</v>
      </c>
      <c r="DE248" t="e">
        <f>Accuracy!191:191-"h_l!/$e"</f>
        <v>#VALUE!</v>
      </c>
      <c r="DF248" t="e">
        <f>Accuracy!192:192-"h_l!/$f"</f>
        <v>#VALUE!</v>
      </c>
      <c r="DG248" t="e">
        <f>Accuracy!193:193-"h_l!/$g"</f>
        <v>#VALUE!</v>
      </c>
      <c r="DH248" t="e">
        <f>Accuracy!194:194-"h_l!/$h"</f>
        <v>#VALUE!</v>
      </c>
      <c r="DI248" t="e">
        <f>Accuracy!195:195-"h_l!/$i"</f>
        <v>#VALUE!</v>
      </c>
      <c r="DJ248" t="e">
        <f>Accuracy!196:196-"h_l!/$j"</f>
        <v>#VALUE!</v>
      </c>
      <c r="DK248" t="e">
        <f>Accuracy!197:197-"h_l!/$k"</f>
        <v>#VALUE!</v>
      </c>
      <c r="DL248" t="e">
        <f>Accuracy!198:198-"h_l!/$l"</f>
        <v>#VALUE!</v>
      </c>
      <c r="DM248" t="e">
        <f>Accuracy!199:199-"h_l!/$m"</f>
        <v>#VALUE!</v>
      </c>
      <c r="DN248" t="e">
        <f>Accuracy!200:200-"h_l!/$n"</f>
        <v>#VALUE!</v>
      </c>
      <c r="DO248" t="e">
        <f>Accuracy!201:201-"h_l!/$o"</f>
        <v>#VALUE!</v>
      </c>
      <c r="DP248" t="e">
        <f>Accuracy!202:202-"h_l!/$p"</f>
        <v>#VALUE!</v>
      </c>
      <c r="DQ248" t="e">
        <f>Accuracy!203:203-"h_l!/$q"</f>
        <v>#VALUE!</v>
      </c>
      <c r="DR248" t="e">
        <f>Accuracy!204:204-"h_l!/$r"</f>
        <v>#VALUE!</v>
      </c>
      <c r="DS248" t="e">
        <f>Accuracy!205:205-"h_l!/$s"</f>
        <v>#VALUE!</v>
      </c>
      <c r="DT248" t="e">
        <f>Accuracy!206:206-"h_l!/$t"</f>
        <v>#VALUE!</v>
      </c>
      <c r="DU248" t="e">
        <f>Accuracy!207:207-"h_l!/$u"</f>
        <v>#VALUE!</v>
      </c>
      <c r="DV248" t="e">
        <f>Accuracy!208:208-"h_l!/$v"</f>
        <v>#VALUE!</v>
      </c>
      <c r="DW248" t="e">
        <f>Accuracy!209:209-"h_l!/$w"</f>
        <v>#VALUE!</v>
      </c>
      <c r="DX248" t="e">
        <f>Accuracy!210:210-"h_l!/$x"</f>
        <v>#VALUE!</v>
      </c>
      <c r="DY248" t="e">
        <f>Accuracy!211:211-"h_l!/$y"</f>
        <v>#VALUE!</v>
      </c>
      <c r="DZ248" t="e">
        <f>Accuracy!212:212-"h_l!/$z"</f>
        <v>#VALUE!</v>
      </c>
      <c r="EA248" t="e">
        <f>Accuracy!213:213-"h_l!/${"</f>
        <v>#VALUE!</v>
      </c>
      <c r="EB248" t="e">
        <f>Accuracy!214:214-"h_l!/$|"</f>
        <v>#VALUE!</v>
      </c>
      <c r="EC248" t="e">
        <f>Accuracy!215:215-"h_l!/$}"</f>
        <v>#VALUE!</v>
      </c>
      <c r="ED248" t="e">
        <f>Accuracy!216:216-"h_l!/$~"</f>
        <v>#VALUE!</v>
      </c>
      <c r="EE248" t="e">
        <f>Accuracy!217:217-"h_l!/%#"</f>
        <v>#VALUE!</v>
      </c>
      <c r="EF248" t="e">
        <f>Accuracy!218:218-"h_l!/%$"</f>
        <v>#VALUE!</v>
      </c>
      <c r="EG248" t="e">
        <f>Accuracy!219:219-"h_l!/%%"</f>
        <v>#VALUE!</v>
      </c>
      <c r="EH248" t="e">
        <f>Accuracy!220:220-"h_l!/%&amp;"</f>
        <v>#VALUE!</v>
      </c>
      <c r="EI248" t="e">
        <f>Accuracy!221:221-"h_l!/%'"</f>
        <v>#VALUE!</v>
      </c>
      <c r="EJ248" t="e">
        <f>Accuracy!222:222-"h_l!/%("</f>
        <v>#VALUE!</v>
      </c>
      <c r="EK248" t="e">
        <f>Accuracy!E1+"h_l!/%)"</f>
        <v>#VALUE!</v>
      </c>
      <c r="EL248" t="e">
        <f>Accuracy!F1+"h_l!/%."</f>
        <v>#VALUE!</v>
      </c>
      <c r="EM248" t="e">
        <f>Accuracy!G1+"h_l!/%/"</f>
        <v>#VALUE!</v>
      </c>
      <c r="EN248" t="e">
        <f>Accuracy!H1+"h_l!/%0"</f>
        <v>#VALUE!</v>
      </c>
      <c r="EO248" t="e">
        <f>Accuracy!E2+"h_l!/%1"</f>
        <v>#VALUE!</v>
      </c>
      <c r="EP248" t="e">
        <f>Accuracy!F2+"h_l!/%2"</f>
        <v>#VALUE!</v>
      </c>
      <c r="EQ248" t="e">
        <f>Accuracy!G2+"h_l!/%3"</f>
        <v>#VALUE!</v>
      </c>
      <c r="ER248" t="e">
        <f>Accuracy!H2+"h_l!/%4"</f>
        <v>#VALUE!</v>
      </c>
      <c r="ES248" t="e">
        <f>Accuracy!A3+"h_l!/%5"</f>
        <v>#VALUE!</v>
      </c>
      <c r="ET248" t="e">
        <f>Accuracy!B3+"h_l!/%6"</f>
        <v>#VALUE!</v>
      </c>
      <c r="EU248" t="e">
        <f>Accuracy!C3+"h_l!/%7"</f>
        <v>#VALUE!</v>
      </c>
      <c r="EV248" t="e">
        <f>Accuracy!D3+"h_l!/%8"</f>
        <v>#VALUE!</v>
      </c>
      <c r="EW248" t="e">
        <f>Accuracy!E3+"h_l!/%9"</f>
        <v>#VALUE!</v>
      </c>
      <c r="EX248" t="e">
        <f>Accuracy!F3+"h_l!/%:"</f>
        <v>#VALUE!</v>
      </c>
      <c r="EY248" t="e">
        <f>Accuracy!G3+"h_l!/%;"</f>
        <v>#VALUE!</v>
      </c>
      <c r="EZ248" t="e">
        <f>Accuracy!H3+"h_l!/%&lt;"</f>
        <v>#VALUE!</v>
      </c>
      <c r="FA248" t="e">
        <f>Accuracy!A4+"h_l!/%="</f>
        <v>#VALUE!</v>
      </c>
      <c r="FB248" t="e">
        <f>Accuracy!B4+"h_l!/%&gt;"</f>
        <v>#VALUE!</v>
      </c>
      <c r="FC248" t="e">
        <f>Accuracy!C4+"h_l!/%?"</f>
        <v>#VALUE!</v>
      </c>
      <c r="FD248" t="e">
        <f>Accuracy!D4+"h_l!/%@"</f>
        <v>#VALUE!</v>
      </c>
      <c r="FE248" t="e">
        <f>Accuracy!E4+"h_l!/%A"</f>
        <v>#VALUE!</v>
      </c>
      <c r="FF248" t="e">
        <f>Accuracy!F4+"h_l!/%B"</f>
        <v>#VALUE!</v>
      </c>
      <c r="FG248" t="e">
        <f>Accuracy!H4+"h_l!/%C"</f>
        <v>#VALUE!</v>
      </c>
      <c r="FH248" t="e">
        <f>Accuracy!A5+"h_l!/%D"</f>
        <v>#VALUE!</v>
      </c>
      <c r="FI248" t="e">
        <f>Accuracy!B5+"h_l!/%E"</f>
        <v>#VALUE!</v>
      </c>
      <c r="FJ248" t="e">
        <f>Accuracy!C5+"h_l!/%F"</f>
        <v>#VALUE!</v>
      </c>
      <c r="FK248" t="e">
        <f>Accuracy!D5+"h_l!/%G"</f>
        <v>#VALUE!</v>
      </c>
      <c r="FL248" t="e">
        <f>Accuracy!E5+"h_l!/%H"</f>
        <v>#VALUE!</v>
      </c>
      <c r="FM248" t="e">
        <f>Accuracy!F5+"h_l!/%I"</f>
        <v>#VALUE!</v>
      </c>
      <c r="FN248" t="e">
        <f>Accuracy!H5+"h_l!/%J"</f>
        <v>#VALUE!</v>
      </c>
      <c r="FO248" t="e">
        <f>Accuracy!A6+"h_l!/%K"</f>
        <v>#VALUE!</v>
      </c>
      <c r="FP248" t="e">
        <f>Accuracy!B6+"h_l!/%L"</f>
        <v>#VALUE!</v>
      </c>
      <c r="FQ248" t="e">
        <f>Accuracy!C6+"h_l!/%M"</f>
        <v>#VALUE!</v>
      </c>
      <c r="FR248" t="e">
        <f>Accuracy!D6+"h_l!/%N"</f>
        <v>#VALUE!</v>
      </c>
      <c r="FS248" t="e">
        <f>Accuracy!E6+"h_l!/%O"</f>
        <v>#VALUE!</v>
      </c>
      <c r="FT248" t="e">
        <f>Accuracy!F6+"h_l!/%P"</f>
        <v>#VALUE!</v>
      </c>
      <c r="FU248" t="e">
        <f>Accuracy!H6+"h_l!/%Q"</f>
        <v>#VALUE!</v>
      </c>
      <c r="FV248" t="e">
        <f>Accuracy!C7+"h_l!/%R"</f>
        <v>#VALUE!</v>
      </c>
      <c r="FW248" t="e">
        <f>Accuracy!D7+"h_l!/%S"</f>
        <v>#VALUE!</v>
      </c>
      <c r="FX248" t="e">
        <f>Accuracy!E7+"h_l!/%T"</f>
        <v>#VALUE!</v>
      </c>
      <c r="FY248" t="e">
        <f>Accuracy!F7+"h_l!/%U"</f>
        <v>#VALUE!</v>
      </c>
      <c r="FZ248" t="e">
        <f>Accuracy!G7+"h_l!/%V"</f>
        <v>#VALUE!</v>
      </c>
      <c r="GA248" t="e">
        <f>Accuracy!H7+"h_l!/%W"</f>
        <v>#VALUE!</v>
      </c>
      <c r="GB248" t="e">
        <f>Accuracy!A8+"h_l!/%X"</f>
        <v>#VALUE!</v>
      </c>
      <c r="GC248" t="e">
        <f>Accuracy!B8+"h_l!/%Y"</f>
        <v>#VALUE!</v>
      </c>
      <c r="GD248" t="e">
        <f>Accuracy!C8+"h_l!/%Z"</f>
        <v>#VALUE!</v>
      </c>
      <c r="GE248" t="e">
        <f>Accuracy!D8+"h_l!/%["</f>
        <v>#VALUE!</v>
      </c>
      <c r="GF248" t="e">
        <f>Accuracy!E8+"h_l!/%\"</f>
        <v>#VALUE!</v>
      </c>
      <c r="GG248" t="e">
        <f>Accuracy!F8+"h_l!/%]"</f>
        <v>#VALUE!</v>
      </c>
      <c r="GH248" t="e">
        <f>Accuracy!G8+"h_l!/%^"</f>
        <v>#VALUE!</v>
      </c>
      <c r="GI248" t="e">
        <f>Accuracy!H8+"h_l!/%_"</f>
        <v>#VALUE!</v>
      </c>
      <c r="GJ248" t="e">
        <f>Accuracy!A9+"h_l!/%`"</f>
        <v>#VALUE!</v>
      </c>
      <c r="GK248" t="e">
        <f>Accuracy!B9+"h_l!/%a"</f>
        <v>#VALUE!</v>
      </c>
      <c r="GL248" t="e">
        <f>Accuracy!C9+"h_l!/%b"</f>
        <v>#VALUE!</v>
      </c>
      <c r="GM248" t="e">
        <f>Accuracy!D9+"h_l!/%c"</f>
        <v>#VALUE!</v>
      </c>
      <c r="GN248" t="e">
        <f>Accuracy!E9+"h_l!/%d"</f>
        <v>#VALUE!</v>
      </c>
      <c r="GO248" t="e">
        <f>Accuracy!F9+"h_l!/%e"</f>
        <v>#VALUE!</v>
      </c>
      <c r="GP248" t="e">
        <f>Accuracy!G9+"h_l!/%f"</f>
        <v>#VALUE!</v>
      </c>
      <c r="GQ248" t="e">
        <f>Accuracy!H9+"h_l!/%g"</f>
        <v>#VALUE!</v>
      </c>
      <c r="GR248" t="e">
        <f>Accuracy!A10+"h_l!/%h"</f>
        <v>#VALUE!</v>
      </c>
      <c r="GS248" t="e">
        <f>Accuracy!B10+"h_l!/%i"</f>
        <v>#VALUE!</v>
      </c>
      <c r="GT248" t="e">
        <f>Accuracy!C10+"h_l!/%j"</f>
        <v>#VALUE!</v>
      </c>
      <c r="GU248" t="e">
        <f>Accuracy!D10+"h_l!/%k"</f>
        <v>#VALUE!</v>
      </c>
      <c r="GV248" t="e">
        <f>Accuracy!E10+"h_l!/%l"</f>
        <v>#VALUE!</v>
      </c>
      <c r="GW248" t="e">
        <f>Accuracy!F10+"h_l!/%m"</f>
        <v>#VALUE!</v>
      </c>
      <c r="GX248" t="e">
        <f>Accuracy!G10+"h_l!/%n"</f>
        <v>#VALUE!</v>
      </c>
      <c r="GY248" t="e">
        <f>Accuracy!H10+"h_l!/%o"</f>
        <v>#VALUE!</v>
      </c>
      <c r="GZ248" t="e">
        <f>Accuracy!A11+"h_l!/%p"</f>
        <v>#VALUE!</v>
      </c>
      <c r="HA248" t="e">
        <f>Accuracy!B11+"h_l!/%q"</f>
        <v>#VALUE!</v>
      </c>
      <c r="HB248" t="e">
        <f>Accuracy!C11+"h_l!/%r"</f>
        <v>#VALUE!</v>
      </c>
      <c r="HC248" t="e">
        <f>Accuracy!D11+"h_l!/%s"</f>
        <v>#VALUE!</v>
      </c>
      <c r="HD248" t="e">
        <f>Accuracy!E11+"h_l!/%t"</f>
        <v>#VALUE!</v>
      </c>
      <c r="HE248" t="e">
        <f>Accuracy!F11+"h_l!/%u"</f>
        <v>#VALUE!</v>
      </c>
      <c r="HF248" t="e">
        <f>Accuracy!G11+"h_l!/%v"</f>
        <v>#VALUE!</v>
      </c>
      <c r="HG248" t="e">
        <f>Accuracy!H11+"h_l!/%w"</f>
        <v>#VALUE!</v>
      </c>
      <c r="HH248" t="e">
        <f>Accuracy!A12+"h_l!/%x"</f>
        <v>#VALUE!</v>
      </c>
      <c r="HI248" t="e">
        <f>Accuracy!B12+"h_l!/%y"</f>
        <v>#VALUE!</v>
      </c>
      <c r="HJ248" t="e">
        <f>Accuracy!C12+"h_l!/%z"</f>
        <v>#VALUE!</v>
      </c>
      <c r="HK248" t="e">
        <f>Accuracy!D12+"h_l!/%{"</f>
        <v>#VALUE!</v>
      </c>
      <c r="HL248" t="e">
        <f>Accuracy!E12+"h_l!/%|"</f>
        <v>#VALUE!</v>
      </c>
      <c r="HM248" t="e">
        <f>Accuracy!F12+"h_l!/%}"</f>
        <v>#VALUE!</v>
      </c>
      <c r="HN248" t="e">
        <f>Accuracy!G12+"h_l!/%~"</f>
        <v>#VALUE!</v>
      </c>
      <c r="HO248" t="e">
        <f>Accuracy!H12+"h_l!/&amp;#"</f>
        <v>#VALUE!</v>
      </c>
      <c r="HP248" t="e">
        <f>Accuracy!A13+"h_l!/&amp;$"</f>
        <v>#VALUE!</v>
      </c>
      <c r="HQ248" t="e">
        <f>Accuracy!B13+"h_l!/&amp;%"</f>
        <v>#VALUE!</v>
      </c>
      <c r="HR248" t="e">
        <f>Accuracy!C13+"h_l!/&amp;&amp;"</f>
        <v>#VALUE!</v>
      </c>
      <c r="HS248" t="e">
        <f>Accuracy!D13+"h_l!/&amp;'"</f>
        <v>#VALUE!</v>
      </c>
      <c r="HT248" t="e">
        <f>Accuracy!E13+"h_l!/&amp;("</f>
        <v>#VALUE!</v>
      </c>
      <c r="HU248" t="e">
        <f>Accuracy!F13+"h_l!/&amp;)"</f>
        <v>#VALUE!</v>
      </c>
      <c r="HV248" t="e">
        <f>Accuracy!G13+"h_l!/&amp;."</f>
        <v>#VALUE!</v>
      </c>
      <c r="HW248" t="e">
        <f>Accuracy!H13+"h_l!/&amp;/"</f>
        <v>#VALUE!</v>
      </c>
      <c r="HX248" t="e">
        <f>Accuracy!A14+"h_l!/&amp;0"</f>
        <v>#VALUE!</v>
      </c>
      <c r="HY248" t="e">
        <f>Accuracy!B14+"h_l!/&amp;1"</f>
        <v>#VALUE!</v>
      </c>
      <c r="HZ248" t="e">
        <f>Accuracy!C14+"h_l!/&amp;2"</f>
        <v>#VALUE!</v>
      </c>
      <c r="IA248" t="e">
        <f>Accuracy!D14+"h_l!/&amp;3"</f>
        <v>#VALUE!</v>
      </c>
      <c r="IB248" t="e">
        <f>Accuracy!E14+"h_l!/&amp;4"</f>
        <v>#VALUE!</v>
      </c>
      <c r="IC248" t="e">
        <f>Accuracy!F14+"h_l!/&amp;5"</f>
        <v>#VALUE!</v>
      </c>
      <c r="ID248" t="e">
        <f>Accuracy!G14+"h_l!/&amp;6"</f>
        <v>#VALUE!</v>
      </c>
      <c r="IE248" t="e">
        <f>Accuracy!H14+"h_l!/&amp;7"</f>
        <v>#VALUE!</v>
      </c>
      <c r="IF248" t="e">
        <f>Accuracy!A15+"h_l!/&amp;8"</f>
        <v>#VALUE!</v>
      </c>
      <c r="IG248" t="e">
        <f>Accuracy!B15+"h_l!/&amp;9"</f>
        <v>#VALUE!</v>
      </c>
      <c r="IH248" t="e">
        <f>Accuracy!C15+"h_l!/&amp;:"</f>
        <v>#VALUE!</v>
      </c>
      <c r="II248" t="e">
        <f>Accuracy!D15+"h_l!/&amp;;"</f>
        <v>#VALUE!</v>
      </c>
      <c r="IJ248" t="e">
        <f>Accuracy!E15+"h_l!/&amp;&lt;"</f>
        <v>#VALUE!</v>
      </c>
      <c r="IK248" t="e">
        <f>Accuracy!F15+"h_l!/&amp;="</f>
        <v>#VALUE!</v>
      </c>
      <c r="IL248" t="e">
        <f>Accuracy!G15+"h_l!/&amp;&gt;"</f>
        <v>#VALUE!</v>
      </c>
      <c r="IM248" t="e">
        <f>Accuracy!H15+"h_l!/&amp;?"</f>
        <v>#VALUE!</v>
      </c>
      <c r="IN248" t="e">
        <f>Accuracy!A16+"h_l!/&amp;@"</f>
        <v>#VALUE!</v>
      </c>
      <c r="IO248" t="e">
        <f>Accuracy!B16+"h_l!/&amp;A"</f>
        <v>#VALUE!</v>
      </c>
      <c r="IP248" t="e">
        <f>Accuracy!C16+"h_l!/&amp;B"</f>
        <v>#VALUE!</v>
      </c>
      <c r="IQ248" t="e">
        <f>Accuracy!D16+"h_l!/&amp;C"</f>
        <v>#VALUE!</v>
      </c>
      <c r="IR248" t="e">
        <f>Accuracy!E16+"h_l!/&amp;D"</f>
        <v>#VALUE!</v>
      </c>
      <c r="IS248" t="e">
        <f>Accuracy!F16+"h_l!/&amp;E"</f>
        <v>#VALUE!</v>
      </c>
      <c r="IT248" t="e">
        <f>Accuracy!G16+"h_l!/&amp;F"</f>
        <v>#VALUE!</v>
      </c>
      <c r="IU248" t="e">
        <f>Accuracy!H16+"h_l!/&amp;G"</f>
        <v>#VALUE!</v>
      </c>
      <c r="IV248" t="e">
        <f>Accuracy!A17+"h_l!/&amp;H"</f>
        <v>#VALUE!</v>
      </c>
    </row>
    <row r="249" spans="6:256" x14ac:dyDescent="0.25">
      <c r="F249" t="e">
        <f>Accuracy!B17+"h_l!/&amp;I"</f>
        <v>#VALUE!</v>
      </c>
      <c r="G249" t="e">
        <f>Accuracy!C17+"h_l!/&amp;J"</f>
        <v>#VALUE!</v>
      </c>
      <c r="H249" t="e">
        <f>Accuracy!D17+"h_l!/&amp;K"</f>
        <v>#VALUE!</v>
      </c>
      <c r="I249" t="e">
        <f>Accuracy!E17+"h_l!/&amp;L"</f>
        <v>#VALUE!</v>
      </c>
      <c r="J249" t="e">
        <f>Accuracy!F17+"h_l!/&amp;M"</f>
        <v>#VALUE!</v>
      </c>
      <c r="K249" t="e">
        <f>Accuracy!G17+"h_l!/&amp;N"</f>
        <v>#VALUE!</v>
      </c>
      <c r="L249" t="e">
        <f>Accuracy!H17+"h_l!/&amp;O"</f>
        <v>#VALUE!</v>
      </c>
      <c r="M249" t="e">
        <f>Accuracy!A18+"h_l!/&amp;P"</f>
        <v>#VALUE!</v>
      </c>
      <c r="N249" t="e">
        <f>Accuracy!B18+"h_l!/&amp;Q"</f>
        <v>#VALUE!</v>
      </c>
      <c r="O249" t="e">
        <f>Accuracy!C18+"h_l!/&amp;R"</f>
        <v>#VALUE!</v>
      </c>
      <c r="P249" t="e">
        <f>Accuracy!D18+"h_l!/&amp;S"</f>
        <v>#VALUE!</v>
      </c>
      <c r="Q249" t="e">
        <f>Accuracy!E18+"h_l!/&amp;T"</f>
        <v>#VALUE!</v>
      </c>
      <c r="R249" t="e">
        <f>Accuracy!F18+"h_l!/&amp;U"</f>
        <v>#VALUE!</v>
      </c>
      <c r="S249" t="e">
        <f>Accuracy!G18+"h_l!/&amp;V"</f>
        <v>#VALUE!</v>
      </c>
      <c r="T249" t="e">
        <f>Accuracy!H18+"h_l!/&amp;W"</f>
        <v>#VALUE!</v>
      </c>
      <c r="U249" t="e">
        <f>Accuracy!A19+"h_l!/&amp;X"</f>
        <v>#VALUE!</v>
      </c>
      <c r="V249" t="e">
        <f>Accuracy!B19+"h_l!/&amp;Y"</f>
        <v>#VALUE!</v>
      </c>
      <c r="W249" t="e">
        <f>Accuracy!C19+"h_l!/&amp;Z"</f>
        <v>#VALUE!</v>
      </c>
      <c r="X249" t="e">
        <f>Accuracy!D19+"h_l!/&amp;["</f>
        <v>#VALUE!</v>
      </c>
      <c r="Y249" t="e">
        <f>Accuracy!E19+"h_l!/&amp;\"</f>
        <v>#VALUE!</v>
      </c>
      <c r="Z249" t="e">
        <f>Accuracy!F19+"h_l!/&amp;]"</f>
        <v>#VALUE!</v>
      </c>
      <c r="AA249" t="e">
        <f>Accuracy!G19+"h_l!/&amp;^"</f>
        <v>#VALUE!</v>
      </c>
      <c r="AB249" t="e">
        <f>Accuracy!H19+"h_l!/&amp;_"</f>
        <v>#VALUE!</v>
      </c>
      <c r="AC249" t="e">
        <f>Accuracy!A20+"h_l!/&amp;`"</f>
        <v>#VALUE!</v>
      </c>
      <c r="AD249" t="e">
        <f>Accuracy!B20+"h_l!/&amp;a"</f>
        <v>#VALUE!</v>
      </c>
      <c r="AE249" t="e">
        <f>Accuracy!C20+"h_l!/&amp;b"</f>
        <v>#VALUE!</v>
      </c>
      <c r="AF249" t="e">
        <f>Accuracy!D20+"h_l!/&amp;c"</f>
        <v>#VALUE!</v>
      </c>
      <c r="AG249" t="e">
        <f>Accuracy!E20+"h_l!/&amp;d"</f>
        <v>#VALUE!</v>
      </c>
      <c r="AH249" t="e">
        <f>Accuracy!F20+"h_l!/&amp;e"</f>
        <v>#VALUE!</v>
      </c>
      <c r="AI249" t="e">
        <f>Accuracy!G20+"h_l!/&amp;f"</f>
        <v>#VALUE!</v>
      </c>
      <c r="AJ249" t="e">
        <f>Accuracy!H20+"h_l!/&amp;g"</f>
        <v>#VALUE!</v>
      </c>
      <c r="AK249" t="e">
        <f>Accuracy!A21+"h_l!/&amp;h"</f>
        <v>#VALUE!</v>
      </c>
      <c r="AL249" t="e">
        <f>Accuracy!B21+"h_l!/&amp;i"</f>
        <v>#VALUE!</v>
      </c>
      <c r="AM249" t="e">
        <f>Accuracy!C21+"h_l!/&amp;j"</f>
        <v>#VALUE!</v>
      </c>
      <c r="AN249" t="e">
        <f>Accuracy!D21+"h_l!/&amp;k"</f>
        <v>#VALUE!</v>
      </c>
      <c r="AO249" t="e">
        <f>Accuracy!E21+"h_l!/&amp;l"</f>
        <v>#VALUE!</v>
      </c>
      <c r="AP249" t="e">
        <f>Accuracy!F21+"h_l!/&amp;m"</f>
        <v>#VALUE!</v>
      </c>
      <c r="AQ249" t="e">
        <f>Accuracy!G21+"h_l!/&amp;n"</f>
        <v>#VALUE!</v>
      </c>
      <c r="AR249" t="e">
        <f>Accuracy!H21+"h_l!/&amp;o"</f>
        <v>#VALUE!</v>
      </c>
      <c r="AS249" t="e">
        <f>Accuracy!A22+"h_l!/&amp;p"</f>
        <v>#VALUE!</v>
      </c>
      <c r="AT249" t="e">
        <f>Accuracy!B22+"h_l!/&amp;q"</f>
        <v>#VALUE!</v>
      </c>
      <c r="AU249" t="e">
        <f>Accuracy!C22+"h_l!/&amp;r"</f>
        <v>#VALUE!</v>
      </c>
      <c r="AV249" t="e">
        <f>Accuracy!D22+"h_l!/&amp;s"</f>
        <v>#VALUE!</v>
      </c>
      <c r="AW249" t="e">
        <f>Accuracy!E22+"h_l!/&amp;t"</f>
        <v>#VALUE!</v>
      </c>
      <c r="AX249" t="e">
        <f>Accuracy!F22+"h_l!/&amp;u"</f>
        <v>#VALUE!</v>
      </c>
      <c r="AY249" t="e">
        <f>Accuracy!G22+"h_l!/&amp;v"</f>
        <v>#VALUE!</v>
      </c>
      <c r="AZ249" t="e">
        <f>Accuracy!H22+"h_l!/&amp;w"</f>
        <v>#VALUE!</v>
      </c>
      <c r="BA249" t="e">
        <f>Radar!A:A*"h_l!/&amp;x"</f>
        <v>#VALUE!</v>
      </c>
      <c r="BB249" t="e">
        <f>Radar!B:B*"h_l!/&amp;y"</f>
        <v>#VALUE!</v>
      </c>
      <c r="BC249" t="e">
        <f>Radar!C:C*"h_l!/&amp;z"</f>
        <v>#VALUE!</v>
      </c>
      <c r="BD249" t="e">
        <f>Radar!D:D*"h_l!/&amp;{"</f>
        <v>#VALUE!</v>
      </c>
      <c r="BE249" t="e">
        <f>Radar!E:E*"h_l!/&amp;|"</f>
        <v>#VALUE!</v>
      </c>
      <c r="BF249" t="e">
        <f>Radar!F:F*"h_l!/&amp;}"</f>
        <v>#VALUE!</v>
      </c>
      <c r="BG249" t="e">
        <f>Radar!G:G*"h_l!/&amp;~"</f>
        <v>#VALUE!</v>
      </c>
      <c r="BH249" t="e">
        <f>Radar!H:H*"h_l!/'#"</f>
        <v>#VALUE!</v>
      </c>
      <c r="BI249" t="e">
        <f>Radar!I:I*"h_l!/'$"</f>
        <v>#VALUE!</v>
      </c>
      <c r="BJ249" t="e">
        <f>Radar!J:J*"h_l!/'%"</f>
        <v>#VALUE!</v>
      </c>
      <c r="BK249" t="e">
        <f>Radar!K:K*"h_l!/'&amp;"</f>
        <v>#VALUE!</v>
      </c>
      <c r="BL249" t="e">
        <f>Radar!L:L*"h_l!/''"</f>
        <v>#VALUE!</v>
      </c>
      <c r="BM249" t="e">
        <f>Radar!M:M*"h_l!/'("</f>
        <v>#VALUE!</v>
      </c>
      <c r="BN249" t="e">
        <f>Radar!N:N*"h_l!/')"</f>
        <v>#VALUE!</v>
      </c>
      <c r="BO249" t="e">
        <f>Radar!O:O*"h_l!/'."</f>
        <v>#VALUE!</v>
      </c>
      <c r="BP249" t="e">
        <f>Radar!P:P*"h_l!/'/"</f>
        <v>#VALUE!</v>
      </c>
      <c r="BQ249" t="e">
        <f>Radar!Q:Q*"h_l!/'0"</f>
        <v>#VALUE!</v>
      </c>
      <c r="BR249" t="e">
        <f>Radar!R:R*"h_l!/'1"</f>
        <v>#VALUE!</v>
      </c>
      <c r="BS249" t="e">
        <f>Radar!#REF!*"h_l!/'2"</f>
        <v>#REF!</v>
      </c>
      <c r="BT249" t="e">
        <f>Radar!#REF!*"h_l!/'3"</f>
        <v>#REF!</v>
      </c>
      <c r="BU249" t="e">
        <f>Radar!S:S*"h_l!/'4"</f>
        <v>#VALUE!</v>
      </c>
      <c r="BV249" t="e">
        <f>Radar!T:T*"h_l!/'5"</f>
        <v>#VALUE!</v>
      </c>
      <c r="BW249" t="e">
        <f>Radar!U:U*"h_l!/'6"</f>
        <v>#VALUE!</v>
      </c>
      <c r="BX249" t="e">
        <f>Radar!V:V*"h_l!/'7"</f>
        <v>#VALUE!</v>
      </c>
      <c r="BY249" t="e">
        <f>Radar!W:W*"h_l!/'8"</f>
        <v>#VALUE!</v>
      </c>
      <c r="BZ249" t="e">
        <f>Radar!X:X*"h_l!/'9"</f>
        <v>#VALUE!</v>
      </c>
      <c r="CA249" t="e">
        <f>Radar!Y:Y*"h_l!/':"</f>
        <v>#VALUE!</v>
      </c>
      <c r="CB249" t="e">
        <f>Radar!Z:Z*"h_l!/';"</f>
        <v>#VALUE!</v>
      </c>
      <c r="CC249" t="e">
        <f>Radar!AA:AA*"h_l!/'&lt;"</f>
        <v>#VALUE!</v>
      </c>
      <c r="CD249" t="e">
        <f>Radar!AB:AB*"h_l!/'="</f>
        <v>#VALUE!</v>
      </c>
      <c r="CE249" t="e">
        <f>Radar!AC:AC*"h_l!/'&gt;"</f>
        <v>#VALUE!</v>
      </c>
      <c r="CF249" t="e">
        <f>Radar!AD:AD*"h_l!/'?"</f>
        <v>#VALUE!</v>
      </c>
      <c r="CG249" t="e">
        <f>Radar!AE:AE*"h_l!/'@"</f>
        <v>#VALUE!</v>
      </c>
      <c r="CH249" t="e">
        <f>Radar!AF:AF*"h_l!/'A"</f>
        <v>#VALUE!</v>
      </c>
      <c r="CI249" t="e">
        <f>Radar!AG:AG*"h_l!/'B"</f>
        <v>#VALUE!</v>
      </c>
      <c r="CJ249" t="e">
        <f>Radar!AH:AH*"h_l!/'C"</f>
        <v>#VALUE!</v>
      </c>
      <c r="CK249" t="e">
        <f>Radar!AI:AI*"h_l!/'D"</f>
        <v>#VALUE!</v>
      </c>
      <c r="CL249" t="e">
        <f>Radar!AJ:AJ*"h_l!/'E"</f>
        <v>#VALUE!</v>
      </c>
      <c r="CM249" t="e">
        <f>Radar!AK:AK*"h_l!/'F"</f>
        <v>#VALUE!</v>
      </c>
      <c r="CN249" t="e">
        <f>Radar!AL:AL*"h_l!/'G"</f>
        <v>#VALUE!</v>
      </c>
      <c r="CO249" t="e">
        <f>Radar!AM:AM*"h_l!/'H"</f>
        <v>#VALUE!</v>
      </c>
      <c r="CP249" t="e">
        <f>Radar!AN:AN*"h_l!/'I"</f>
        <v>#VALUE!</v>
      </c>
      <c r="CQ249" t="e">
        <f>Radar!AO:AO*"h_l!/'J"</f>
        <v>#VALUE!</v>
      </c>
      <c r="CR249" t="e">
        <f>Radar!AP:AP*"h_l!/'K"</f>
        <v>#VALUE!</v>
      </c>
      <c r="CS249" t="e">
        <f>Radar!AQ:AQ*"h_l!/'L"</f>
        <v>#VALUE!</v>
      </c>
      <c r="CT249" t="e">
        <f>Radar!AR:AR*"h_l!/'M"</f>
        <v>#VALUE!</v>
      </c>
      <c r="CU249" t="e">
        <f>Radar!AS:AS*"h_l!/'N"</f>
        <v>#VALUE!</v>
      </c>
      <c r="CV249" t="e">
        <f>Radar!AT:AT*"h_l!/'O"</f>
        <v>#VALUE!</v>
      </c>
      <c r="CW249" t="e">
        <f>Radar!AU:AU*"h_l!/'P"</f>
        <v>#VALUE!</v>
      </c>
      <c r="CX249" t="e">
        <f>Radar!AV:AV*"h_l!/'Q"</f>
        <v>#VALUE!</v>
      </c>
      <c r="CY249" t="e">
        <f>Radar!AW:AW*"h_l!/'R"</f>
        <v>#VALUE!</v>
      </c>
      <c r="CZ249" t="e">
        <f>Radar!AX:AX*"h_l!/'S"</f>
        <v>#VALUE!</v>
      </c>
      <c r="DA249" t="e">
        <f>Radar!AY:AY*"h_l!/'T"</f>
        <v>#VALUE!</v>
      </c>
      <c r="DB249" t="e">
        <f>Radar!AZ:AZ*"h_l!/'U"</f>
        <v>#VALUE!</v>
      </c>
      <c r="DC249" t="e">
        <f>Radar!BA:BA*"h_l!/'V"</f>
        <v>#VALUE!</v>
      </c>
      <c r="DD249" t="e">
        <f>Radar!BB:BB*"h_l!/'W"</f>
        <v>#VALUE!</v>
      </c>
      <c r="DE249" t="e">
        <f>Radar!BC:BC*"h_l!/'X"</f>
        <v>#VALUE!</v>
      </c>
      <c r="DF249" t="e">
        <f>Radar!BD:BD*"h_l!/'Y"</f>
        <v>#VALUE!</v>
      </c>
      <c r="DG249" t="e">
        <f>Radar!BE:BE*"h_l!/'Z"</f>
        <v>#VALUE!</v>
      </c>
      <c r="DH249" t="e">
        <f>Radar!BF:BF*"h_l!/'["</f>
        <v>#VALUE!</v>
      </c>
      <c r="DI249" t="e">
        <f>Radar!BG:BG*"h_l!/'\"</f>
        <v>#VALUE!</v>
      </c>
      <c r="DJ249" t="e">
        <f>Radar!3:3-"h_l!/']"</f>
        <v>#VALUE!</v>
      </c>
      <c r="DK249" t="e">
        <f>Radar!4:4-"h_l!/'^"</f>
        <v>#VALUE!</v>
      </c>
      <c r="DL249" t="e">
        <f>Radar!5:5-"h_l!/'_"</f>
        <v>#VALUE!</v>
      </c>
      <c r="DM249" t="e">
        <f>Radar!6:6-"h_l!/'`"</f>
        <v>#VALUE!</v>
      </c>
      <c r="DN249" t="e">
        <f>Radar!7:7-"h_l!/'a"</f>
        <v>#VALUE!</v>
      </c>
      <c r="DO249" t="e">
        <f>Radar!8:8-"h_l!/'b"</f>
        <v>#VALUE!</v>
      </c>
      <c r="DP249" t="e">
        <f>Radar!9:9-"h_l!/'c"</f>
        <v>#VALUE!</v>
      </c>
      <c r="DQ249" t="e">
        <f>Radar!10:10-"h_l!/'d"</f>
        <v>#VALUE!</v>
      </c>
      <c r="DR249" t="e">
        <f>Radar!11:11-"h_l!/'e"</f>
        <v>#VALUE!</v>
      </c>
      <c r="DS249" t="e">
        <f>Radar!12:12-"h_l!/'f"</f>
        <v>#VALUE!</v>
      </c>
      <c r="DT249" t="e">
        <f>Radar!13:13-"h_l!/'g"</f>
        <v>#VALUE!</v>
      </c>
      <c r="DU249" t="e">
        <f>Radar!14:14-"h_l!/'h"</f>
        <v>#VALUE!</v>
      </c>
      <c r="DV249" t="e">
        <f>Radar!15:15-"h_l!/'i"</f>
        <v>#VALUE!</v>
      </c>
      <c r="DW249" t="e">
        <f>Radar!16:16-"h_l!/'j"</f>
        <v>#VALUE!</v>
      </c>
      <c r="DX249" t="e">
        <f>Radar!17:17-"h_l!/'k"</f>
        <v>#VALUE!</v>
      </c>
      <c r="DY249" t="e">
        <f>Radar!18:18-"h_l!/'l"</f>
        <v>#VALUE!</v>
      </c>
      <c r="DZ249" t="e">
        <f>Radar!19:19-"h_l!/'m"</f>
        <v>#VALUE!</v>
      </c>
      <c r="EA249" t="e">
        <f>Radar!20:20-"h_l!/'n"</f>
        <v>#VALUE!</v>
      </c>
      <c r="EB249" t="e">
        <f>Radar!21:21-"h_l!/'o"</f>
        <v>#VALUE!</v>
      </c>
      <c r="EC249" t="e">
        <f>Radar!22:22-"h_l!/'p"</f>
        <v>#VALUE!</v>
      </c>
      <c r="ED249" t="e">
        <f>Radar!23:23-"h_l!/'q"</f>
        <v>#VALUE!</v>
      </c>
      <c r="EE249" t="e">
        <f>Radar!24:24-"h_l!/'r"</f>
        <v>#VALUE!</v>
      </c>
      <c r="EF249" t="e">
        <f>Radar!25:25-"h_l!/'s"</f>
        <v>#VALUE!</v>
      </c>
      <c r="EG249" t="e">
        <f>Radar!26:26-"h_l!/'t"</f>
        <v>#VALUE!</v>
      </c>
      <c r="EH249" t="e">
        <f>Radar!27:27-"h_l!/'u"</f>
        <v>#VALUE!</v>
      </c>
      <c r="EI249" t="e">
        <f>Radar!28:28-"h_l!/'v"</f>
        <v>#VALUE!</v>
      </c>
      <c r="EJ249" t="e">
        <f>Radar!29:29-"h_l!/'w"</f>
        <v>#VALUE!</v>
      </c>
      <c r="EK249" t="e">
        <f>Radar!30:30-"h_l!/'x"</f>
        <v>#VALUE!</v>
      </c>
      <c r="EL249" t="e">
        <f>Radar!31:31-"h_l!/'y"</f>
        <v>#VALUE!</v>
      </c>
      <c r="EM249" t="e">
        <f>Radar!32:32-"h_l!/'z"</f>
        <v>#VALUE!</v>
      </c>
      <c r="EN249" t="e">
        <f>Radar!33:33-"h_l!/'{"</f>
        <v>#VALUE!</v>
      </c>
      <c r="EO249" t="e">
        <f>Radar!34:34-"h_l!/'|"</f>
        <v>#VALUE!</v>
      </c>
      <c r="EP249" t="e">
        <f>Radar!35:35-"h_l!/'}"</f>
        <v>#VALUE!</v>
      </c>
      <c r="EQ249" t="e">
        <f>Radar!36:36-"h_l!/'~"</f>
        <v>#VALUE!</v>
      </c>
      <c r="ER249" t="e">
        <f>Radar!37:37-"h_l!/(#"</f>
        <v>#VALUE!</v>
      </c>
      <c r="ES249" t="e">
        <f>Radar!38:38-"h_l!/($"</f>
        <v>#VALUE!</v>
      </c>
      <c r="ET249" t="e">
        <f>Radar!39:39-"h_l!/(%"</f>
        <v>#VALUE!</v>
      </c>
      <c r="EU249" t="e">
        <f>Radar!40:40-"h_l!/(&amp;"</f>
        <v>#VALUE!</v>
      </c>
      <c r="EV249" t="e">
        <f>Radar!41:41-"h_l!/('"</f>
        <v>#VALUE!</v>
      </c>
      <c r="EW249" t="e">
        <f>Radar!42:42-"h_l!/(("</f>
        <v>#VALUE!</v>
      </c>
      <c r="EX249" t="e">
        <f>Radar!43:43-"h_l!/()"</f>
        <v>#VALUE!</v>
      </c>
      <c r="EY249" t="e">
        <f>Radar!44:44-"h_l!/(."</f>
        <v>#VALUE!</v>
      </c>
      <c r="EZ249" t="e">
        <f>Radar!45:45-"h_l!/(/"</f>
        <v>#VALUE!</v>
      </c>
      <c r="FA249" t="e">
        <f>Radar!46:46-"h_l!/(0"</f>
        <v>#VALUE!</v>
      </c>
      <c r="FB249" t="e">
        <f>Radar!47:47-"h_l!/(1"</f>
        <v>#VALUE!</v>
      </c>
      <c r="FC249" t="e">
        <f>Radar!48:48-"h_l!/(2"</f>
        <v>#VALUE!</v>
      </c>
      <c r="FD249" t="e">
        <f>Radar!49:49-"h_l!/(3"</f>
        <v>#VALUE!</v>
      </c>
      <c r="FE249" t="e">
        <f>Radar!50:50-"h_l!/(4"</f>
        <v>#VALUE!</v>
      </c>
      <c r="FF249" t="e">
        <f>Radar!51:51-"h_l!/(5"</f>
        <v>#VALUE!</v>
      </c>
      <c r="FG249" t="e">
        <f>Radar!52:52-"h_l!/(6"</f>
        <v>#VALUE!</v>
      </c>
      <c r="FH249" t="e">
        <f>Radar!53:53-"h_l!/(7"</f>
        <v>#VALUE!</v>
      </c>
      <c r="FI249" t="e">
        <f>Radar!54:54-"h_l!/(8"</f>
        <v>#VALUE!</v>
      </c>
      <c r="FJ249" t="e">
        <f>Radar!55:55-"h_l!/(9"</f>
        <v>#VALUE!</v>
      </c>
      <c r="FK249" t="e">
        <f>Radar!56:56-"h_l!/(:"</f>
        <v>#VALUE!</v>
      </c>
      <c r="FL249" t="e">
        <f>Radar!57:57-"h_l!/(;"</f>
        <v>#VALUE!</v>
      </c>
      <c r="FM249" t="e">
        <f>Radar!58:58-"h_l!/(&lt;"</f>
        <v>#VALUE!</v>
      </c>
      <c r="FN249" t="e">
        <f>Radar!59:59-"h_l!/(="</f>
        <v>#VALUE!</v>
      </c>
      <c r="FO249" t="e">
        <f>Radar!60:60-"h_l!/(&gt;"</f>
        <v>#VALUE!</v>
      </c>
      <c r="FP249" t="e">
        <f>Radar!61:61-"h_l!/(?"</f>
        <v>#VALUE!</v>
      </c>
      <c r="FQ249" t="e">
        <f>Radar!62:62-"h_l!/(@"</f>
        <v>#VALUE!</v>
      </c>
      <c r="FR249" t="e">
        <f>Radar!63:63-"h_l!/(A"</f>
        <v>#VALUE!</v>
      </c>
      <c r="FS249" t="e">
        <f>Radar!64:64-"h_l!/(B"</f>
        <v>#VALUE!</v>
      </c>
      <c r="FT249" t="e">
        <f>Radar!65:65-"h_l!/(C"</f>
        <v>#VALUE!</v>
      </c>
      <c r="FU249" t="e">
        <f>Radar!66:66-"h_l!/(D"</f>
        <v>#VALUE!</v>
      </c>
      <c r="FV249" t="e">
        <f>Radar!67:67-"h_l!/(E"</f>
        <v>#VALUE!</v>
      </c>
      <c r="FW249" t="e">
        <f>Radar!68:68-"h_l!/(F"</f>
        <v>#VALUE!</v>
      </c>
      <c r="FX249" t="e">
        <f>Radar!69:69-"h_l!/(G"</f>
        <v>#VALUE!</v>
      </c>
      <c r="FY249" t="e">
        <f>Radar!70:70-"h_l!/(H"</f>
        <v>#VALUE!</v>
      </c>
      <c r="FZ249" t="e">
        <f>Radar!71:71-"h_l!/(I"</f>
        <v>#VALUE!</v>
      </c>
      <c r="GA249" t="e">
        <f>Radar!72:72-"h_l!/(J"</f>
        <v>#VALUE!</v>
      </c>
      <c r="GB249" t="e">
        <f>Radar!73:73-"h_l!/(K"</f>
        <v>#VALUE!</v>
      </c>
      <c r="GC249" t="e">
        <f>Radar!74:74-"h_l!/(L"</f>
        <v>#VALUE!</v>
      </c>
      <c r="GD249" t="e">
        <f>Radar!75:75-"h_l!/(M"</f>
        <v>#VALUE!</v>
      </c>
      <c r="GE249" t="e">
        <f>Radar!76:76-"h_l!/(N"</f>
        <v>#VALUE!</v>
      </c>
      <c r="GF249" t="e">
        <f>Radar!77:77-"h_l!/(O"</f>
        <v>#VALUE!</v>
      </c>
      <c r="GG249" t="e">
        <f>Radar!78:78-"h_l!/(P"</f>
        <v>#VALUE!</v>
      </c>
      <c r="GH249" t="e">
        <f>Radar!79:79-"h_l!/(Q"</f>
        <v>#VALUE!</v>
      </c>
      <c r="GI249" t="e">
        <f>Radar!80:80-"h_l!/(R"</f>
        <v>#VALUE!</v>
      </c>
      <c r="GJ249" t="e">
        <f>Radar!81:81-"h_l!/(S"</f>
        <v>#VALUE!</v>
      </c>
      <c r="GK249" t="e">
        <f>Radar!82:82-"h_l!/(T"</f>
        <v>#VALUE!</v>
      </c>
      <c r="GL249" t="e">
        <f>Radar!83:83-"h_l!/(U"</f>
        <v>#VALUE!</v>
      </c>
      <c r="GM249" t="e">
        <f>Radar!84:84-"h_l!/(V"</f>
        <v>#VALUE!</v>
      </c>
      <c r="GN249" t="e">
        <f>Radar!85:85-"h_l!/(W"</f>
        <v>#VALUE!</v>
      </c>
      <c r="GO249" t="e">
        <f>Radar!86:86-"h_l!/(X"</f>
        <v>#VALUE!</v>
      </c>
      <c r="GP249" t="e">
        <f>Radar!87:87-"h_l!/(Y"</f>
        <v>#VALUE!</v>
      </c>
      <c r="GQ249" t="e">
        <f>Radar!88:88-"h_l!/(Z"</f>
        <v>#VALUE!</v>
      </c>
      <c r="GR249" t="e">
        <f>Radar!89:89-"h_l!/(["</f>
        <v>#VALUE!</v>
      </c>
      <c r="GS249" t="e">
        <f>Radar!90:90-"h_l!/(\"</f>
        <v>#VALUE!</v>
      </c>
      <c r="GT249" t="e">
        <f>Radar!91:91-"h_l!/(]"</f>
        <v>#VALUE!</v>
      </c>
      <c r="GU249" t="e">
        <f>Radar!92:92-"h_l!/(^"</f>
        <v>#VALUE!</v>
      </c>
      <c r="GV249" t="e">
        <f>Radar!93:93-"h_l!/(_"</f>
        <v>#VALUE!</v>
      </c>
      <c r="GW249" t="e">
        <f>Radar!94:94-"h_l!/(`"</f>
        <v>#VALUE!</v>
      </c>
      <c r="GX249" t="e">
        <f>Radar!95:95-"h_l!/(a"</f>
        <v>#VALUE!</v>
      </c>
      <c r="GY249" t="e">
        <f>Radar!96:96-"h_l!/(b"</f>
        <v>#VALUE!</v>
      </c>
      <c r="GZ249" t="e">
        <f>Radar!97:97-"h_l!/(c"</f>
        <v>#VALUE!</v>
      </c>
      <c r="HA249" t="e">
        <f>Radar!98:98-"h_l!/(d"</f>
        <v>#VALUE!</v>
      </c>
      <c r="HB249" t="e">
        <f>Radar!99:99-"h_l!/(e"</f>
        <v>#VALUE!</v>
      </c>
      <c r="HC249" t="e">
        <f>Radar!100:100-"h_l!/(f"</f>
        <v>#VALUE!</v>
      </c>
      <c r="HD249" t="e">
        <f>Radar!101:101-"h_l!/(g"</f>
        <v>#VALUE!</v>
      </c>
      <c r="HE249" t="e">
        <f>Radar!102:102-"h_l!/(h"</f>
        <v>#VALUE!</v>
      </c>
      <c r="HF249" t="e">
        <f>Radar!103:103-"h_l!/(i"</f>
        <v>#VALUE!</v>
      </c>
      <c r="HG249" t="e">
        <f>Radar!104:104-"h_l!/(j"</f>
        <v>#VALUE!</v>
      </c>
      <c r="HH249" t="e">
        <f>Radar!105:105-"h_l!/(k"</f>
        <v>#VALUE!</v>
      </c>
      <c r="HI249" t="e">
        <f>Radar!106:106-"h_l!/(l"</f>
        <v>#VALUE!</v>
      </c>
      <c r="HJ249" t="e">
        <f>Radar!107:107-"h_l!/(m"</f>
        <v>#VALUE!</v>
      </c>
      <c r="HK249" t="e">
        <f>Radar!108:108-"h_l!/(n"</f>
        <v>#VALUE!</v>
      </c>
      <c r="HL249" t="e">
        <f>Radar!109:109-"h_l!/(o"</f>
        <v>#VALUE!</v>
      </c>
      <c r="HM249" t="e">
        <f>Radar!110:110-"h_l!/(p"</f>
        <v>#VALUE!</v>
      </c>
      <c r="HN249" t="e">
        <f>Radar!111:111-"h_l!/(q"</f>
        <v>#VALUE!</v>
      </c>
      <c r="HO249" t="e">
        <f>Radar!112:112-"h_l!/(r"</f>
        <v>#VALUE!</v>
      </c>
      <c r="HP249" t="e">
        <f>Radar!113:113-"h_l!/(s"</f>
        <v>#VALUE!</v>
      </c>
      <c r="HQ249" t="e">
        <f>Radar!114:114-"h_l!/(t"</f>
        <v>#VALUE!</v>
      </c>
      <c r="HR249" t="e">
        <f>Radar!115:115-"h_l!/(u"</f>
        <v>#VALUE!</v>
      </c>
      <c r="HS249" t="e">
        <f>Radar!116:116-"h_l!/(v"</f>
        <v>#VALUE!</v>
      </c>
      <c r="HT249" t="e">
        <f>Radar!117:117-"h_l!/(w"</f>
        <v>#VALUE!</v>
      </c>
      <c r="HU249" t="e">
        <f>Radar!118:118-"h_l!/(x"</f>
        <v>#VALUE!</v>
      </c>
      <c r="HV249" t="e">
        <f>Radar!119:119-"h_l!/(y"</f>
        <v>#VALUE!</v>
      </c>
      <c r="HW249" t="e">
        <f>Radar!120:120-"h_l!/(z"</f>
        <v>#VALUE!</v>
      </c>
      <c r="HX249" t="e">
        <f>Radar!121:121-"h_l!/({"</f>
        <v>#VALUE!</v>
      </c>
      <c r="HY249" t="e">
        <f>Radar!122:122-"h_l!/(|"</f>
        <v>#VALUE!</v>
      </c>
      <c r="HZ249" t="e">
        <f>Radar!123:123-"h_l!/(}"</f>
        <v>#VALUE!</v>
      </c>
      <c r="IA249" t="e">
        <f>Radar!124:124-"h_l!/(~"</f>
        <v>#VALUE!</v>
      </c>
      <c r="IB249" t="e">
        <f>Radar!125:125-"h_l!/)#"</f>
        <v>#VALUE!</v>
      </c>
      <c r="IC249" t="e">
        <f>Radar!126:126-"h_l!/)$"</f>
        <v>#VALUE!</v>
      </c>
      <c r="ID249" t="e">
        <f>Radar!127:127-"h_l!/)%"</f>
        <v>#VALUE!</v>
      </c>
      <c r="IE249" t="e">
        <f>Radar!128:128-"h_l!/)&amp;"</f>
        <v>#VALUE!</v>
      </c>
      <c r="IF249" t="e">
        <f>Radar!129:129-"h_l!/)'"</f>
        <v>#VALUE!</v>
      </c>
      <c r="IG249" t="e">
        <f>Radar!130:130-"h_l!/)("</f>
        <v>#VALUE!</v>
      </c>
      <c r="IH249" t="e">
        <f>Radar!131:131-"h_l!/))"</f>
        <v>#VALUE!</v>
      </c>
      <c r="II249" t="e">
        <f>Radar!132:132-"h_l!/)."</f>
        <v>#VALUE!</v>
      </c>
      <c r="IJ249" t="e">
        <f>Radar!133:133-"h_l!/)/"</f>
        <v>#VALUE!</v>
      </c>
      <c r="IK249" t="e">
        <f>Radar!134:134-"h_l!/)0"</f>
        <v>#VALUE!</v>
      </c>
      <c r="IL249" t="e">
        <f>Radar!135:135-"h_l!/)1"</f>
        <v>#VALUE!</v>
      </c>
      <c r="IM249" t="e">
        <f>Radar!136:136-"h_l!/)2"</f>
        <v>#VALUE!</v>
      </c>
      <c r="IN249" t="e">
        <f>Radar!137:137-"h_l!/)3"</f>
        <v>#VALUE!</v>
      </c>
      <c r="IO249" t="e">
        <f>Radar!138:138-"h_l!/)4"</f>
        <v>#VALUE!</v>
      </c>
      <c r="IP249" t="e">
        <f>Radar!139:139-"h_l!/)5"</f>
        <v>#VALUE!</v>
      </c>
      <c r="IQ249" t="e">
        <f>Radar!140:140-"h_l!/)6"</f>
        <v>#VALUE!</v>
      </c>
      <c r="IR249" t="e">
        <f>Radar!141:141-"h_l!/)7"</f>
        <v>#VALUE!</v>
      </c>
      <c r="IS249" t="e">
        <f>Radar!142:142-"h_l!/)8"</f>
        <v>#VALUE!</v>
      </c>
      <c r="IT249" t="e">
        <f>Radar!143:143-"h_l!/)9"</f>
        <v>#VALUE!</v>
      </c>
      <c r="IU249" t="e">
        <f>Radar!144:144-"h_l!/):"</f>
        <v>#VALUE!</v>
      </c>
      <c r="IV249" t="e">
        <f>Radar!145:145-"h_l!/);"</f>
        <v>#VALUE!</v>
      </c>
    </row>
    <row r="250" spans="6:256" x14ac:dyDescent="0.25">
      <c r="F250" t="e">
        <f>Radar!146:146-"h_l!/)&lt;"</f>
        <v>#VALUE!</v>
      </c>
      <c r="G250" t="e">
        <f>Radar!147:147-"h_l!/)="</f>
        <v>#VALUE!</v>
      </c>
      <c r="H250" t="e">
        <f>Radar!148:148-"h_l!/)&gt;"</f>
        <v>#VALUE!</v>
      </c>
      <c r="I250" t="e">
        <f>Radar!149:149-"h_l!/)?"</f>
        <v>#VALUE!</v>
      </c>
      <c r="J250" t="e">
        <f>Radar!150:150-"h_l!/)@"</f>
        <v>#VALUE!</v>
      </c>
      <c r="K250" t="e">
        <f>Radar!151:151-"h_l!/)A"</f>
        <v>#VALUE!</v>
      </c>
      <c r="L250" t="e">
        <f>Radar!152:152-"h_l!/)B"</f>
        <v>#VALUE!</v>
      </c>
      <c r="M250" t="e">
        <f>Radar!153:153-"h_l!/)C"</f>
        <v>#VALUE!</v>
      </c>
      <c r="N250" t="e">
        <f>Radar!154:154-"h_l!/)D"</f>
        <v>#VALUE!</v>
      </c>
      <c r="O250" t="e">
        <f>Radar!155:155-"h_l!/)E"</f>
        <v>#VALUE!</v>
      </c>
      <c r="P250" t="e">
        <f>Radar!156:156-"h_l!/)F"</f>
        <v>#VALUE!</v>
      </c>
      <c r="Q250" t="e">
        <f>Radar!157:157-"h_l!/)G"</f>
        <v>#VALUE!</v>
      </c>
      <c r="R250" t="e">
        <f>Radar!158:158-"h_l!/)H"</f>
        <v>#VALUE!</v>
      </c>
      <c r="S250" t="e">
        <f>Radar!159:159-"h_l!/)I"</f>
        <v>#VALUE!</v>
      </c>
      <c r="T250" t="e">
        <f>Radar!160:160-"h_l!/)J"</f>
        <v>#VALUE!</v>
      </c>
      <c r="U250" t="e">
        <f>Radar!161:161-"h_l!/)K"</f>
        <v>#VALUE!</v>
      </c>
      <c r="V250" t="e">
        <f>Radar!162:162-"h_l!/)L"</f>
        <v>#VALUE!</v>
      </c>
      <c r="W250" t="e">
        <f>Radar!163:163-"h_l!/)M"</f>
        <v>#VALUE!</v>
      </c>
      <c r="X250" t="e">
        <f>Radar!164:164-"h_l!/)N"</f>
        <v>#VALUE!</v>
      </c>
      <c r="Y250" t="e">
        <f>Radar!165:165-"h_l!/)O"</f>
        <v>#VALUE!</v>
      </c>
      <c r="Z250" t="e">
        <f>Radar!166:166-"h_l!/)P"</f>
        <v>#VALUE!</v>
      </c>
      <c r="AA250" t="e">
        <f>Radar!167:167-"h_l!/)Q"</f>
        <v>#VALUE!</v>
      </c>
      <c r="AB250" t="e">
        <f>Radar!168:168-"h_l!/)R"</f>
        <v>#VALUE!</v>
      </c>
      <c r="AC250" t="e">
        <f>Radar!169:169-"h_l!/)S"</f>
        <v>#VALUE!</v>
      </c>
      <c r="AD250" t="e">
        <f>Radar!170:170-"h_l!/)T"</f>
        <v>#VALUE!</v>
      </c>
      <c r="AE250" t="e">
        <f>Radar!171:171-"h_l!/)U"</f>
        <v>#VALUE!</v>
      </c>
      <c r="AF250" t="e">
        <f>Radar!172:172-"h_l!/)V"</f>
        <v>#VALUE!</v>
      </c>
      <c r="AG250" t="e">
        <f>Radar!173:173-"h_l!/)W"</f>
        <v>#VALUE!</v>
      </c>
      <c r="AH250" t="e">
        <f>Radar!174:174-"h_l!/)X"</f>
        <v>#VALUE!</v>
      </c>
      <c r="AI250" t="e">
        <f>Radar!175:175-"h_l!/)Y"</f>
        <v>#VALUE!</v>
      </c>
      <c r="AJ250" t="e">
        <f>Radar!176:176-"h_l!/)Z"</f>
        <v>#VALUE!</v>
      </c>
      <c r="AK250" t="e">
        <f>Radar!177:177-"h_l!/)["</f>
        <v>#VALUE!</v>
      </c>
      <c r="AL250" t="e">
        <f>Radar!178:178-"h_l!/)\"</f>
        <v>#VALUE!</v>
      </c>
      <c r="AM250" t="e">
        <f>Radar!179:179-"h_l!/)]"</f>
        <v>#VALUE!</v>
      </c>
      <c r="AN250" t="e">
        <f>Radar!180:180-"h_l!/)^"</f>
        <v>#VALUE!</v>
      </c>
      <c r="AO250" t="e">
        <f>Radar!181:181-"h_l!/)_"</f>
        <v>#VALUE!</v>
      </c>
      <c r="AP250" t="e">
        <f>Radar!182:182-"h_l!/)`"</f>
        <v>#VALUE!</v>
      </c>
      <c r="AQ250" t="e">
        <f>Radar!183:183-"h_l!/)a"</f>
        <v>#VALUE!</v>
      </c>
      <c r="AR250" t="e">
        <f>Radar!184:184-"h_l!/)b"</f>
        <v>#VALUE!</v>
      </c>
      <c r="AS250" t="e">
        <f>Radar!185:185-"h_l!/)c"</f>
        <v>#VALUE!</v>
      </c>
      <c r="AT250" t="e">
        <f>Radar!186:186-"h_l!/)d"</f>
        <v>#VALUE!</v>
      </c>
      <c r="AU250" t="e">
        <f>Radar!187:187-"h_l!/)e"</f>
        <v>#VALUE!</v>
      </c>
      <c r="AV250" t="e">
        <f>Radar!188:188-"h_l!/)f"</f>
        <v>#VALUE!</v>
      </c>
      <c r="AW250" t="e">
        <f>Radar!189:189-"h_l!/)g"</f>
        <v>#VALUE!</v>
      </c>
      <c r="AX250" t="e">
        <f>Radar!190:190-"h_l!/)h"</f>
        <v>#VALUE!</v>
      </c>
      <c r="AY250" t="e">
        <f>Radar!191:191-"h_l!/)i"</f>
        <v>#VALUE!</v>
      </c>
      <c r="AZ250" t="e">
        <f>Radar!192:192-"h_l!/)j"</f>
        <v>#VALUE!</v>
      </c>
      <c r="BA250" t="e">
        <f>Radar!193:193-"h_l!/)k"</f>
        <v>#VALUE!</v>
      </c>
      <c r="BB250" t="e">
        <f>Radar!194:194-"h_l!/)l"</f>
        <v>#VALUE!</v>
      </c>
      <c r="BC250" t="e">
        <f>Radar!195:195-"h_l!/)m"</f>
        <v>#VALUE!</v>
      </c>
      <c r="BD250" t="e">
        <f>Radar!196:196-"h_l!/)n"</f>
        <v>#VALUE!</v>
      </c>
      <c r="BE250" t="e">
        <f>Radar!197:197-"h_l!/)o"</f>
        <v>#VALUE!</v>
      </c>
      <c r="BF250" t="e">
        <f>Radar!198:198-"h_l!/)p"</f>
        <v>#VALUE!</v>
      </c>
      <c r="BG250" t="e">
        <f>Radar!199:199-"h_l!/)q"</f>
        <v>#VALUE!</v>
      </c>
      <c r="BH250" t="e">
        <f>Radar!200:200-"h_l!/)r"</f>
        <v>#VALUE!</v>
      </c>
      <c r="BI250" t="e">
        <f>Radar!201:201-"h_l!/)s"</f>
        <v>#VALUE!</v>
      </c>
      <c r="BJ250" t="e">
        <f>Radar!202:202-"h_l!/)t"</f>
        <v>#VALUE!</v>
      </c>
      <c r="BK250" t="e">
        <f>Radar!203:203-"h_l!/)u"</f>
        <v>#VALUE!</v>
      </c>
      <c r="BL250" t="e">
        <f>Radar!204:204-"h_l!/)v"</f>
        <v>#VALUE!</v>
      </c>
      <c r="BM250" t="e">
        <f>Radar!205:205-"h_l!/)w"</f>
        <v>#VALUE!</v>
      </c>
      <c r="BN250" t="e">
        <f>Radar!206:206-"h_l!/)x"</f>
        <v>#VALUE!</v>
      </c>
      <c r="BO250" t="e">
        <f>Radar!207:207-"h_l!/)y"</f>
        <v>#VALUE!</v>
      </c>
      <c r="BP250" t="e">
        <f>Radar!208:208-"h_l!/)z"</f>
        <v>#VALUE!</v>
      </c>
      <c r="BQ250" t="e">
        <f>Radar!209:209-"h_l!/){"</f>
        <v>#VALUE!</v>
      </c>
      <c r="BR250" t="e">
        <f>Radar!210:210-"h_l!/)|"</f>
        <v>#VALUE!</v>
      </c>
      <c r="BS250" t="e">
        <f>Radar!211:211-"h_l!/)}"</f>
        <v>#VALUE!</v>
      </c>
      <c r="BT250" t="e">
        <f>Radar!212:212-"h_l!/)~"</f>
        <v>#VALUE!</v>
      </c>
      <c r="BU250" t="e">
        <f>Radar!213:213-"h_l!/.#"</f>
        <v>#VALUE!</v>
      </c>
      <c r="BV250" t="e">
        <f>Radar!214:214-"h_l!/.$"</f>
        <v>#VALUE!</v>
      </c>
      <c r="BW250" t="e">
        <f>Radar!215:215-"h_l!/.%"</f>
        <v>#VALUE!</v>
      </c>
      <c r="BX250" t="e">
        <f>Radar!216:216-"h_l!/.&amp;"</f>
        <v>#VALUE!</v>
      </c>
      <c r="BY250" t="e">
        <f>Radar!217:217-"h_l!/.'"</f>
        <v>#VALUE!</v>
      </c>
      <c r="BZ250" t="e">
        <f>Radar!218:218-"h_l!/.("</f>
        <v>#VALUE!</v>
      </c>
      <c r="CA250" t="e">
        <f>Radar!219:219-"h_l!/.)"</f>
        <v>#VALUE!</v>
      </c>
      <c r="CB250" t="e">
        <f>Radar!220:220-"h_l!/.."</f>
        <v>#VALUE!</v>
      </c>
      <c r="CC250" t="e">
        <f>Radar!221:221-"h_l!/./"</f>
        <v>#VALUE!</v>
      </c>
      <c r="CD250" t="e">
        <f>Radar!222:222-"h_l!/.0"</f>
        <v>#VALUE!</v>
      </c>
      <c r="CE250" t="e">
        <f>Radar!223:223-"h_l!/.1"</f>
        <v>#VALUE!</v>
      </c>
      <c r="CF250" t="e">
        <f>Radar!224:224-"h_l!/.2"</f>
        <v>#VALUE!</v>
      </c>
      <c r="CG250" t="e">
        <f>Radar!225:225-"h_l!/.3"</f>
        <v>#VALUE!</v>
      </c>
      <c r="CH250" t="e">
        <f>Radar!A3+"h_l!/.4"</f>
        <v>#VALUE!</v>
      </c>
      <c r="CI250" t="e">
        <f>Radar!J3+"h_l!/.5"</f>
        <v>#VALUE!</v>
      </c>
      <c r="CJ250" t="e">
        <f>Radar!K3+"h_l!/.6"</f>
        <v>#VALUE!</v>
      </c>
      <c r="CK250" t="e">
        <f>Radar!A4+"h_l!/.7"</f>
        <v>#VALUE!</v>
      </c>
      <c r="CL250" t="e">
        <f>Radar!H4+"h_l!/.8"</f>
        <v>#VALUE!</v>
      </c>
      <c r="CM250" t="e">
        <f>Radar!I4+"h_l!/.9"</f>
        <v>#VALUE!</v>
      </c>
      <c r="CN250" s="45" t="e">
        <f>Radar!J4+"h_l!/.:"</f>
        <v>#VALUE!</v>
      </c>
      <c r="CO250" t="e">
        <f>Radar!K4+"h_l!/.;"</f>
        <v>#VALUE!</v>
      </c>
      <c r="CP250" t="e">
        <f>Radar!A5+"h_l!/.&lt;"</f>
        <v>#VALUE!</v>
      </c>
      <c r="CQ250" t="e">
        <f>Radar!H5+"h_l!/.="</f>
        <v>#VALUE!</v>
      </c>
      <c r="CR250" t="e">
        <f>Radar!I5+"h_l!/.&gt;"</f>
        <v>#VALUE!</v>
      </c>
      <c r="CS250" s="45" t="e">
        <f>Radar!J5+"h_l!/.?"</f>
        <v>#VALUE!</v>
      </c>
      <c r="CT250" t="e">
        <f>Radar!K5+"h_l!/.@"</f>
        <v>#VALUE!</v>
      </c>
      <c r="CU250" t="e">
        <f>Radar!A6+"h_l!/.A"</f>
        <v>#VALUE!</v>
      </c>
      <c r="CV250" t="e">
        <f>Radar!H6+"h_l!/.B"</f>
        <v>#VALUE!</v>
      </c>
      <c r="CW250" t="e">
        <f>Radar!I6+"h_l!/.C"</f>
        <v>#VALUE!</v>
      </c>
      <c r="CX250" s="45" t="e">
        <f>Radar!J6+"h_l!/.D"</f>
        <v>#VALUE!</v>
      </c>
      <c r="CY250" t="e">
        <f>Radar!K6+"h_l!/.E"</f>
        <v>#VALUE!</v>
      </c>
      <c r="CZ250" t="e">
        <f>Radar!A7+"h_l!/.F"</f>
        <v>#VALUE!</v>
      </c>
      <c r="DA250" t="e">
        <f>Radar!H7+"h_l!/.G"</f>
        <v>#VALUE!</v>
      </c>
      <c r="DB250" t="e">
        <f>Radar!I7+"h_l!/.H"</f>
        <v>#VALUE!</v>
      </c>
      <c r="DC250" s="45" t="e">
        <f>Radar!J7+"h_l!/.I"</f>
        <v>#VALUE!</v>
      </c>
      <c r="DD250" t="e">
        <f>Radar!K7+"h_l!/.J"</f>
        <v>#VALUE!</v>
      </c>
      <c r="DE250" t="e">
        <f>Radar!A8+"h_l!/.K"</f>
        <v>#VALUE!</v>
      </c>
      <c r="DF250" t="e">
        <f>Radar!H8+"h_l!/.L"</f>
        <v>#VALUE!</v>
      </c>
      <c r="DG250" t="e">
        <f>Radar!I8+"h_l!/.M"</f>
        <v>#VALUE!</v>
      </c>
      <c r="DH250" s="45" t="e">
        <f>Radar!J8+"h_l!/.N"</f>
        <v>#VALUE!</v>
      </c>
      <c r="DI250" t="e">
        <f>Radar!K8+"h_l!/.O"</f>
        <v>#VALUE!</v>
      </c>
      <c r="DJ250" t="e">
        <f>Radar!A9+"h_l!/.P"</f>
        <v>#VALUE!</v>
      </c>
      <c r="DK250" t="e">
        <f>Radar!I9+"h_l!/.Q"</f>
        <v>#VALUE!</v>
      </c>
      <c r="DL250" s="45" t="e">
        <f>Radar!J9+"h_l!/.R"</f>
        <v>#VALUE!</v>
      </c>
      <c r="DM250" t="e">
        <f>Radar!K9+"h_l!/.S"</f>
        <v>#VALUE!</v>
      </c>
      <c r="DN250" t="e">
        <f>Radar!A10+"h_l!/.T"</f>
        <v>#VALUE!</v>
      </c>
      <c r="DO250" t="e">
        <f>Radar!I10+"h_l!/.U"</f>
        <v>#VALUE!</v>
      </c>
      <c r="DP250" s="45" t="e">
        <f>Radar!J10+"h_l!/.V"</f>
        <v>#VALUE!</v>
      </c>
      <c r="DQ250" t="e">
        <f>Radar!K10+"h_l!/.W"</f>
        <v>#VALUE!</v>
      </c>
      <c r="DR250" t="e">
        <f>Radar!A11+"h_l!/.X"</f>
        <v>#VALUE!</v>
      </c>
      <c r="DS250" t="e">
        <f>Radar!I11+"h_l!/.Y"</f>
        <v>#VALUE!</v>
      </c>
      <c r="DT250" s="45" t="e">
        <f>Radar!J11+"h_l!/.Z"</f>
        <v>#VALUE!</v>
      </c>
      <c r="DU250" t="e">
        <f>Radar!K11+"h_l!/.["</f>
        <v>#VALUE!</v>
      </c>
      <c r="DV250" t="e">
        <f>Radar!A12+"h_l!/.\"</f>
        <v>#VALUE!</v>
      </c>
      <c r="DW250" t="e">
        <f>Radar!I12+"h_l!/.]"</f>
        <v>#VALUE!</v>
      </c>
      <c r="DX250" s="45" t="e">
        <f>Radar!J12+"h_l!/.^"</f>
        <v>#VALUE!</v>
      </c>
      <c r="DY250" t="e">
        <f>Radar!K12+"h_l!/._"</f>
        <v>#VALUE!</v>
      </c>
      <c r="DZ250" t="e">
        <f>Radar!A13+"h_l!/.`"</f>
        <v>#VALUE!</v>
      </c>
      <c r="EA250" t="e">
        <f>Radar!I13+"h_l!/.a"</f>
        <v>#VALUE!</v>
      </c>
      <c r="EB250" s="45" t="e">
        <f>Radar!J13+"h_l!/.b"</f>
        <v>#VALUE!</v>
      </c>
      <c r="EC250" t="e">
        <f>Radar!K13+"h_l!/.c"</f>
        <v>#VALUE!</v>
      </c>
      <c r="ED250" t="e">
        <f>Radar!A14+"h_l!/.d"</f>
        <v>#VALUE!</v>
      </c>
      <c r="EE250" t="e">
        <f>Radar!I14+"h_l!/.e"</f>
        <v>#VALUE!</v>
      </c>
      <c r="EF250" s="45" t="e">
        <f>Radar!J14+"h_l!/.f"</f>
        <v>#VALUE!</v>
      </c>
      <c r="EG250" t="e">
        <f>Radar!K14+"h_l!/.g"</f>
        <v>#VALUE!</v>
      </c>
      <c r="EH250" t="e">
        <f>Radar!A15+"h_l!/.h"</f>
        <v>#VALUE!</v>
      </c>
      <c r="EI250" t="e">
        <f>Radar!I15+"h_l!/.i"</f>
        <v>#VALUE!</v>
      </c>
      <c r="EJ250" s="45" t="e">
        <f>Radar!J15+"h_l!/.j"</f>
        <v>#VALUE!</v>
      </c>
      <c r="EK250" t="e">
        <f>Radar!K15+"h_l!/.k"</f>
        <v>#VALUE!</v>
      </c>
      <c r="EL250" t="e">
        <f>Radar!A16+"h_l!/.l"</f>
        <v>#VALUE!</v>
      </c>
      <c r="EM250" t="e">
        <f>Radar!I16+"h_l!/.m"</f>
        <v>#VALUE!</v>
      </c>
      <c r="EN250" s="45" t="e">
        <f>Radar!J16+"h_l!/.n"</f>
        <v>#VALUE!</v>
      </c>
      <c r="EO250" t="e">
        <f>Radar!K16+"h_l!/.o"</f>
        <v>#VALUE!</v>
      </c>
      <c r="EP250" t="e">
        <f>Radar!A17+"h_l!/.p"</f>
        <v>#VALUE!</v>
      </c>
      <c r="EQ250" t="e">
        <f>Radar!I17+"h_l!/.q"</f>
        <v>#VALUE!</v>
      </c>
      <c r="ER250" s="45" t="e">
        <f>Radar!J17+"h_l!/.r"</f>
        <v>#VALUE!</v>
      </c>
      <c r="ES250" t="e">
        <f>Radar!K17+"h_l!/.s"</f>
        <v>#VALUE!</v>
      </c>
      <c r="ET250" t="e">
        <f>Radar!A18+"h_l!/.t"</f>
        <v>#VALUE!</v>
      </c>
      <c r="EU250" t="e">
        <f>Radar!I18+"h_l!/.u"</f>
        <v>#VALUE!</v>
      </c>
      <c r="EV250" s="45" t="e">
        <f>Radar!J18+"h_l!/.v"</f>
        <v>#VALUE!</v>
      </c>
      <c r="EW250" t="e">
        <f>Radar!K18+"h_l!/.w"</f>
        <v>#VALUE!</v>
      </c>
      <c r="EX250" t="e">
        <f>Radar!A19+"h_l!/.x"</f>
        <v>#VALUE!</v>
      </c>
      <c r="EY250" t="e">
        <f>Radar!I19+"h_l!/.y"</f>
        <v>#VALUE!</v>
      </c>
      <c r="EZ250" s="45" t="e">
        <f>Radar!J19+"h_l!/.z"</f>
        <v>#VALUE!</v>
      </c>
      <c r="FA250" t="e">
        <f>Radar!K19+"h_l!/.{"</f>
        <v>#VALUE!</v>
      </c>
      <c r="FB250" t="e">
        <f>Radar!A20+"h_l!/.|"</f>
        <v>#VALUE!</v>
      </c>
      <c r="FC250" t="e">
        <f>Radar!I20+"h_l!/.}"</f>
        <v>#VALUE!</v>
      </c>
      <c r="FD250" s="45" t="e">
        <f>Radar!J20+"h_l!/.~"</f>
        <v>#VALUE!</v>
      </c>
      <c r="FE250" t="e">
        <f>Radar!K20+"h_l!//#"</f>
        <v>#VALUE!</v>
      </c>
      <c r="FF250" s="45" t="e">
        <f>Radar!J21+"h_l!//$"</f>
        <v>#VALUE!</v>
      </c>
      <c r="FG250" t="e">
        <f>Radar!I22+"h_l!//%"</f>
        <v>#VALUE!</v>
      </c>
      <c r="FH250" s="45" t="e">
        <f>Radar!J22+"h_l!//&amp;"</f>
        <v>#VALUE!</v>
      </c>
      <c r="FI250" t="e">
        <f>Radar!I23+"h_l!//'"</f>
        <v>#VALUE!</v>
      </c>
      <c r="FJ250" s="45" t="e">
        <f>Radar!J23+"h_l!//("</f>
        <v>#VALUE!</v>
      </c>
      <c r="FK250" t="e">
        <f>Radar!I24+"h_l!//)"</f>
        <v>#VALUE!</v>
      </c>
      <c r="FL250" s="45" t="e">
        <f>Radar!J24+"h_l!//."</f>
        <v>#VALUE!</v>
      </c>
      <c r="FM250" s="45" t="e">
        <f>Radar!J25+"h_l!///"</f>
        <v>#VALUE!</v>
      </c>
      <c r="FN250" t="e">
        <f>'SurveyRpt_20150223 (1)'!M23+"h_l!//0"</f>
        <v>#VALUE!</v>
      </c>
      <c r="FO250" t="e">
        <f>Sheet3!A:A*"h_l!//3"</f>
        <v>#VALUE!</v>
      </c>
      <c r="FP250" t="e">
        <f>Sheet3!B:B*"h_l!//4"</f>
        <v>#VALUE!</v>
      </c>
      <c r="FQ250" t="e">
        <f>Sheet3!C:C*"h_l!//5"</f>
        <v>#VALUE!</v>
      </c>
      <c r="FR250" t="e">
        <f>Sheet3!D:D*"h_l!//6"</f>
        <v>#VALUE!</v>
      </c>
      <c r="FS250" t="e">
        <f>Sheet3!E:E*"h_l!//7"</f>
        <v>#VALUE!</v>
      </c>
      <c r="FT250" t="e">
        <f>Sheet3!F:F*"h_l!//8"</f>
        <v>#VALUE!</v>
      </c>
      <c r="FU250" t="e">
        <f>Sheet3!G:G*"h_l!//9"</f>
        <v>#VALUE!</v>
      </c>
      <c r="FV250" t="e">
        <f>Sheet3!H:H*"h_l!//:"</f>
        <v>#VALUE!</v>
      </c>
      <c r="FW250" t="e">
        <f>Sheet3!I:I*"h_l!//;"</f>
        <v>#VALUE!</v>
      </c>
      <c r="FX250" t="e">
        <f>Sheet3!J:J*"h_l!//&lt;"</f>
        <v>#VALUE!</v>
      </c>
      <c r="FY250" t="e">
        <f>Sheet3!K:K*"h_l!//="</f>
        <v>#VALUE!</v>
      </c>
      <c r="FZ250" t="e">
        <f>Sheet3!L:L*"h_l!//&gt;"</f>
        <v>#VALUE!</v>
      </c>
      <c r="GA250" t="e">
        <f>Sheet3!M:M*"h_l!//?"</f>
        <v>#VALUE!</v>
      </c>
      <c r="GB250" t="e">
        <f>Sheet3!N:N*"h_l!//@"</f>
        <v>#VALUE!</v>
      </c>
      <c r="GC250" t="e">
        <f>Sheet3!O:O*"h_l!//A"</f>
        <v>#VALUE!</v>
      </c>
      <c r="GD250" t="e">
        <f>Sheet3!P:P*"h_l!//B"</f>
        <v>#VALUE!</v>
      </c>
      <c r="GE250" t="e">
        <f>Sheet3!Q:Q*"h_l!//C"</f>
        <v>#VALUE!</v>
      </c>
      <c r="GF250" t="e">
        <f>Sheet3!R:R*"h_l!//D"</f>
        <v>#VALUE!</v>
      </c>
      <c r="GG250" t="e">
        <f>Sheet3!S:S*"h_l!//E"</f>
        <v>#VALUE!</v>
      </c>
      <c r="GH250" t="e">
        <f>Sheet3!T:T*"h_l!//F"</f>
        <v>#VALUE!</v>
      </c>
      <c r="GI250" t="e">
        <f>Sheet3!U:U*"h_l!//G"</f>
        <v>#VALUE!</v>
      </c>
      <c r="GJ250" t="e">
        <f>Sheet3!V:V*"h_l!//H"</f>
        <v>#VALUE!</v>
      </c>
      <c r="GK250" t="e">
        <f>Sheet3!W:W*"h_l!//I"</f>
        <v>#VALUE!</v>
      </c>
      <c r="GL250" t="e">
        <f>Sheet3!X:X*"h_l!//J"</f>
        <v>#VALUE!</v>
      </c>
      <c r="GM250" t="e">
        <f>Sheet3!Y:Y*"h_l!//K"</f>
        <v>#VALUE!</v>
      </c>
      <c r="GN250" t="e">
        <f>Sheet3!Z:Z*"h_l!//L"</f>
        <v>#VALUE!</v>
      </c>
      <c r="GO250" t="e">
        <f>Sheet3!AA:AA*"h_l!//M"</f>
        <v>#VALUE!</v>
      </c>
      <c r="GP250" t="e">
        <f>Sheet3!AB:AB*"h_l!//N"</f>
        <v>#VALUE!</v>
      </c>
      <c r="GQ250" t="e">
        <f>Sheet3!AC:AC*"h_l!//O"</f>
        <v>#VALUE!</v>
      </c>
      <c r="GR250" t="e">
        <f>Sheet3!AD:AD*"h_l!//P"</f>
        <v>#VALUE!</v>
      </c>
      <c r="GS250" t="e">
        <f>Sheet3!AE:AE*"h_l!//Q"</f>
        <v>#VALUE!</v>
      </c>
      <c r="GT250" t="e">
        <f>Sheet3!AF:AF*"h_l!//R"</f>
        <v>#VALUE!</v>
      </c>
      <c r="GU250" t="e">
        <f>Sheet3!AG:AG*"h_l!//S"</f>
        <v>#VALUE!</v>
      </c>
      <c r="GV250" t="e">
        <f>Sheet3!AH:AH*"h_l!//T"</f>
        <v>#VALUE!</v>
      </c>
      <c r="GW250" t="e">
        <f>Sheet3!AI:AI*"h_l!//U"</f>
        <v>#VALUE!</v>
      </c>
      <c r="GX250" t="e">
        <f>Sheet3!AJ:AJ*"h_l!//V"</f>
        <v>#VALUE!</v>
      </c>
      <c r="GY250" t="e">
        <f>Sheet3!AK:AK*"h_l!//W"</f>
        <v>#VALUE!</v>
      </c>
      <c r="GZ250" t="e">
        <f>Sheet3!AL:AL*"h_l!//X"</f>
        <v>#VALUE!</v>
      </c>
      <c r="HA250" t="e">
        <f>Sheet3!AM:AM*"h_l!//Y"</f>
        <v>#VALUE!</v>
      </c>
      <c r="HB250" t="e">
        <f>Sheet3!AN:AN*"h_l!//Z"</f>
        <v>#VALUE!</v>
      </c>
      <c r="HC250" t="e">
        <f>Sheet3!AO:AO*"h_l!//["</f>
        <v>#VALUE!</v>
      </c>
      <c r="HD250" t="e">
        <f>Sheet3!AP:AP*"h_l!//\"</f>
        <v>#VALUE!</v>
      </c>
      <c r="HE250" t="e">
        <f>Sheet3!AQ:AQ*"h_l!//]"</f>
        <v>#VALUE!</v>
      </c>
      <c r="HF250" t="e">
        <f>Sheet3!AR:AR*"h_l!//^"</f>
        <v>#VALUE!</v>
      </c>
      <c r="HG250" t="e">
        <f>Sheet3!AS:AS*"h_l!//_"</f>
        <v>#VALUE!</v>
      </c>
      <c r="HH250" t="e">
        <f>Sheet3!AT:AT*"h_l!//`"</f>
        <v>#VALUE!</v>
      </c>
      <c r="HI250" t="e">
        <f>Sheet3!AU:AU*"h_l!//a"</f>
        <v>#VALUE!</v>
      </c>
      <c r="HJ250" t="e">
        <f>Sheet3!AV:AV*"h_l!//b"</f>
        <v>#VALUE!</v>
      </c>
      <c r="HK250" t="e">
        <f>Sheet3!AW:AW*"h_l!//c"</f>
        <v>#VALUE!</v>
      </c>
      <c r="HL250" t="e">
        <f>Sheet3!AX:AX*"h_l!//d"</f>
        <v>#VALUE!</v>
      </c>
      <c r="HM250" t="e">
        <f>Sheet3!AY:AY*"h_l!//e"</f>
        <v>#VALUE!</v>
      </c>
      <c r="HN250" t="e">
        <f>Sheet3!AZ:AZ*"h_l!//f"</f>
        <v>#VALUE!</v>
      </c>
      <c r="HO250" t="e">
        <f>Sheet3!BA:BA*"h_l!//g"</f>
        <v>#VALUE!</v>
      </c>
      <c r="HP250" t="e">
        <f>Sheet3!BB:BB*"h_l!//h"</f>
        <v>#VALUE!</v>
      </c>
      <c r="HQ250" t="e">
        <f>Sheet3!BC:BC*"h_l!//i"</f>
        <v>#VALUE!</v>
      </c>
      <c r="HR250" t="e">
        <f>Sheet3!BD:BD*"h_l!//j"</f>
        <v>#VALUE!</v>
      </c>
      <c r="HS250" t="e">
        <f>Sheet3!BE:BE*"h_l!//k"</f>
        <v>#VALUE!</v>
      </c>
      <c r="HT250" t="e">
        <f>Sheet3!BF:BF*"h_l!//l"</f>
        <v>#VALUE!</v>
      </c>
      <c r="HU250" t="e">
        <f>Sheet3!BG:BG*"h_l!//m"</f>
        <v>#VALUE!</v>
      </c>
      <c r="HV250" t="e">
        <f>Sheet3!BH:BH*"h_l!//n"</f>
        <v>#VALUE!</v>
      </c>
      <c r="HW250" t="e">
        <f>Sheet3!BI:BI*"h_l!//o"</f>
        <v>#VALUE!</v>
      </c>
      <c r="HX250" t="e">
        <f>Sheet3!BJ:BJ*"h_l!//p"</f>
        <v>#VALUE!</v>
      </c>
      <c r="HY250" t="e">
        <f>Sheet3!1:1-"h_l!//q"</f>
        <v>#VALUE!</v>
      </c>
      <c r="HZ250" t="e">
        <f>Sheet3!2:2-"h_l!//r"</f>
        <v>#VALUE!</v>
      </c>
      <c r="IA250" t="e">
        <f>Sheet3!3:3-"h_l!//s"</f>
        <v>#VALUE!</v>
      </c>
      <c r="IB250" t="e">
        <f>Sheet3!4:4-"h_l!//t"</f>
        <v>#VALUE!</v>
      </c>
      <c r="IC250" t="e">
        <f>Sheet3!5:5-"h_l!//u"</f>
        <v>#VALUE!</v>
      </c>
      <c r="ID250" t="e">
        <f>Sheet3!6:6-"h_l!//v"</f>
        <v>#VALUE!</v>
      </c>
      <c r="IE250" t="e">
        <f>Sheet3!7:7-"h_l!//w"</f>
        <v>#VALUE!</v>
      </c>
      <c r="IF250" t="e">
        <f>Sheet3!8:8-"h_l!//x"</f>
        <v>#VALUE!</v>
      </c>
      <c r="IG250" t="e">
        <f>Sheet3!9:9-"h_l!//y"</f>
        <v>#VALUE!</v>
      </c>
      <c r="IH250" t="e">
        <f>Sheet3!10:10-"h_l!//z"</f>
        <v>#VALUE!</v>
      </c>
      <c r="II250" t="e">
        <f>Sheet3!11:11-"h_l!//{"</f>
        <v>#VALUE!</v>
      </c>
      <c r="IJ250" t="e">
        <f>Sheet3!12:12-"h_l!//|"</f>
        <v>#VALUE!</v>
      </c>
      <c r="IK250" t="e">
        <f>Sheet3!13:13-"h_l!//}"</f>
        <v>#VALUE!</v>
      </c>
      <c r="IL250" t="e">
        <f>Sheet3!14:14-"h_l!//~"</f>
        <v>#VALUE!</v>
      </c>
      <c r="IM250" t="e">
        <f>Sheet3!15:15-"h_l!/0#"</f>
        <v>#VALUE!</v>
      </c>
      <c r="IN250" t="e">
        <f>Sheet3!16:16-"h_l!/0$"</f>
        <v>#VALUE!</v>
      </c>
      <c r="IO250" t="e">
        <f>Sheet3!17:17-"h_l!/0%"</f>
        <v>#VALUE!</v>
      </c>
      <c r="IP250" t="e">
        <f>Sheet3!18:18-"h_l!/0&amp;"</f>
        <v>#VALUE!</v>
      </c>
      <c r="IQ250" t="e">
        <f>Sheet3!19:19-"h_l!/0'"</f>
        <v>#VALUE!</v>
      </c>
      <c r="IR250" t="e">
        <f>Sheet3!20:20-"h_l!/0("</f>
        <v>#VALUE!</v>
      </c>
      <c r="IS250" t="e">
        <f>Sheet3!21:21-"h_l!/0)"</f>
        <v>#VALUE!</v>
      </c>
      <c r="IT250" t="e">
        <f>Sheet3!22:22-"h_l!/0."</f>
        <v>#VALUE!</v>
      </c>
      <c r="IU250" t="e">
        <f>Sheet3!23:23-"h_l!/0/"</f>
        <v>#VALUE!</v>
      </c>
      <c r="IV250" t="e">
        <f>Sheet3!24:24-"h_l!/00"</f>
        <v>#VALUE!</v>
      </c>
    </row>
    <row r="251" spans="6:256" x14ac:dyDescent="0.25">
      <c r="F251" t="e">
        <f>Sheet3!25:25-"h_l!/01"</f>
        <v>#VALUE!</v>
      </c>
      <c r="G251" t="e">
        <f>Sheet3!26:26-"h_l!/02"</f>
        <v>#VALUE!</v>
      </c>
      <c r="H251" t="e">
        <f>Sheet3!27:27-"h_l!/03"</f>
        <v>#VALUE!</v>
      </c>
      <c r="I251" t="e">
        <f>Sheet3!28:28-"h_l!/04"</f>
        <v>#VALUE!</v>
      </c>
      <c r="J251" t="e">
        <f>Sheet3!29:29-"h_l!/05"</f>
        <v>#VALUE!</v>
      </c>
      <c r="K251" t="e">
        <f>Sheet3!30:30-"h_l!/06"</f>
        <v>#VALUE!</v>
      </c>
      <c r="L251" t="e">
        <f>Sheet3!31:31-"h_l!/07"</f>
        <v>#VALUE!</v>
      </c>
      <c r="M251" t="e">
        <f>Sheet3!32:32-"h_l!/08"</f>
        <v>#VALUE!</v>
      </c>
      <c r="N251" t="e">
        <f>Sheet3!33:33-"h_l!/09"</f>
        <v>#VALUE!</v>
      </c>
      <c r="O251" t="e">
        <f>Sheet3!34:34-"h_l!/0:"</f>
        <v>#VALUE!</v>
      </c>
      <c r="P251" t="e">
        <f>Sheet3!35:35-"h_l!/0;"</f>
        <v>#VALUE!</v>
      </c>
      <c r="Q251" t="e">
        <f>Sheet3!36:36-"h_l!/0&lt;"</f>
        <v>#VALUE!</v>
      </c>
      <c r="R251" t="e">
        <f>Sheet3!37:37-"h_l!/0="</f>
        <v>#VALUE!</v>
      </c>
      <c r="S251" t="e">
        <f>Sheet3!38:38-"h_l!/0&gt;"</f>
        <v>#VALUE!</v>
      </c>
      <c r="T251" t="e">
        <f>Sheet3!39:39-"h_l!/0?"</f>
        <v>#VALUE!</v>
      </c>
      <c r="U251" t="e">
        <f>Sheet3!40:40-"h_l!/0@"</f>
        <v>#VALUE!</v>
      </c>
      <c r="V251" t="e">
        <f>Sheet3!41:41-"h_l!/0A"</f>
        <v>#VALUE!</v>
      </c>
      <c r="W251" t="e">
        <f>Sheet3!42:42-"h_l!/0B"</f>
        <v>#VALUE!</v>
      </c>
      <c r="X251" t="e">
        <f>Sheet3!43:43-"h_l!/0C"</f>
        <v>#VALUE!</v>
      </c>
      <c r="Y251" t="e">
        <f>Sheet3!44:44-"h_l!/0D"</f>
        <v>#VALUE!</v>
      </c>
      <c r="Z251" t="e">
        <f>Sheet3!45:45-"h_l!/0E"</f>
        <v>#VALUE!</v>
      </c>
      <c r="AA251" t="e">
        <f>Sheet3!46:46-"h_l!/0F"</f>
        <v>#VALUE!</v>
      </c>
      <c r="AB251" t="e">
        <f>Sheet3!47:47-"h_l!/0G"</f>
        <v>#VALUE!</v>
      </c>
      <c r="AC251" t="e">
        <f>Sheet3!48:48-"h_l!/0H"</f>
        <v>#VALUE!</v>
      </c>
      <c r="AD251" t="e">
        <f>Sheet3!49:49-"h_l!/0I"</f>
        <v>#VALUE!</v>
      </c>
      <c r="AE251" t="e">
        <f>Sheet3!50:50-"h_l!/0J"</f>
        <v>#VALUE!</v>
      </c>
      <c r="AF251" t="e">
        <f>Sheet3!51:51-"h_l!/0K"</f>
        <v>#VALUE!</v>
      </c>
      <c r="AG251" t="e">
        <f>Sheet3!52:52-"h_l!/0L"</f>
        <v>#VALUE!</v>
      </c>
      <c r="AH251" t="e">
        <f>Sheet3!53:53-"h_l!/0M"</f>
        <v>#VALUE!</v>
      </c>
      <c r="AI251" t="e">
        <f>Sheet3!54:54-"h_l!/0N"</f>
        <v>#VALUE!</v>
      </c>
      <c r="AJ251" t="e">
        <f>Sheet3!55:55-"h_l!/0O"</f>
        <v>#VALUE!</v>
      </c>
      <c r="AK251" t="e">
        <f>Sheet3!56:56-"h_l!/0P"</f>
        <v>#VALUE!</v>
      </c>
      <c r="AL251" t="e">
        <f>Sheet3!57:57-"h_l!/0Q"</f>
        <v>#VALUE!</v>
      </c>
      <c r="AM251" t="e">
        <f>Sheet3!58:58-"h_l!/0R"</f>
        <v>#VALUE!</v>
      </c>
      <c r="AN251" t="e">
        <f>Sheet3!59:59-"h_l!/0S"</f>
        <v>#VALUE!</v>
      </c>
      <c r="AO251" t="e">
        <f>Sheet3!60:60-"h_l!/0T"</f>
        <v>#VALUE!</v>
      </c>
      <c r="AP251" t="e">
        <f>Sheet3!61:61-"h_l!/0U"</f>
        <v>#VALUE!</v>
      </c>
      <c r="AQ251" t="e">
        <f>Sheet3!62:62-"h_l!/0V"</f>
        <v>#VALUE!</v>
      </c>
      <c r="AR251" t="e">
        <f>Sheet3!63:63-"h_l!/0W"</f>
        <v>#VALUE!</v>
      </c>
      <c r="AS251" t="e">
        <f>Sheet3!64:64-"h_l!/0X"</f>
        <v>#VALUE!</v>
      </c>
      <c r="AT251" t="e">
        <f>Sheet3!65:65-"h_l!/0Y"</f>
        <v>#VALUE!</v>
      </c>
      <c r="AU251" t="e">
        <f>Sheet3!66:66-"h_l!/0Z"</f>
        <v>#VALUE!</v>
      </c>
      <c r="AV251" t="e">
        <f>Sheet3!67:67-"h_l!/0["</f>
        <v>#VALUE!</v>
      </c>
      <c r="AW251" t="e">
        <f>Sheet3!68:68-"h_l!/0\"</f>
        <v>#VALUE!</v>
      </c>
      <c r="AX251" t="e">
        <f>Sheet3!69:69-"h_l!/0]"</f>
        <v>#VALUE!</v>
      </c>
      <c r="AY251" t="e">
        <f>Sheet3!70:70-"h_l!/0^"</f>
        <v>#VALUE!</v>
      </c>
      <c r="AZ251" t="e">
        <f>Sheet3!71:71-"h_l!/0_"</f>
        <v>#VALUE!</v>
      </c>
      <c r="BA251" t="e">
        <f>Sheet3!72:72-"h_l!/0`"</f>
        <v>#VALUE!</v>
      </c>
      <c r="BB251" t="e">
        <f>Sheet3!73:73-"h_l!/0a"</f>
        <v>#VALUE!</v>
      </c>
      <c r="BC251" t="e">
        <f>Sheet3!74:74-"h_l!/0b"</f>
        <v>#VALUE!</v>
      </c>
      <c r="BD251" t="e">
        <f>Sheet3!75:75-"h_l!/0c"</f>
        <v>#VALUE!</v>
      </c>
      <c r="BE251" t="e">
        <f>Sheet3!76:76-"h_l!/0d"</f>
        <v>#VALUE!</v>
      </c>
      <c r="BF251" t="e">
        <f>Sheet3!77:77-"h_l!/0e"</f>
        <v>#VALUE!</v>
      </c>
      <c r="BG251" t="e">
        <f>Sheet3!78:78-"h_l!/0f"</f>
        <v>#VALUE!</v>
      </c>
      <c r="BH251" t="e">
        <f>Sheet3!79:79-"h_l!/0g"</f>
        <v>#VALUE!</v>
      </c>
      <c r="BI251" t="e">
        <f>Sheet3!80:80-"h_l!/0h"</f>
        <v>#VALUE!</v>
      </c>
      <c r="BJ251" t="e">
        <f>Sheet3!81:81-"h_l!/0i"</f>
        <v>#VALUE!</v>
      </c>
      <c r="BK251" t="e">
        <f>Sheet3!82:82-"h_l!/0j"</f>
        <v>#VALUE!</v>
      </c>
      <c r="BL251" t="e">
        <f>Sheet3!83:83-"h_l!/0k"</f>
        <v>#VALUE!</v>
      </c>
      <c r="BM251" t="e">
        <f>Sheet3!84:84-"h_l!/0l"</f>
        <v>#VALUE!</v>
      </c>
      <c r="BN251" t="e">
        <f>Sheet3!85:85-"h_l!/0m"</f>
        <v>#VALUE!</v>
      </c>
      <c r="BO251" t="e">
        <f>Sheet3!86:86-"h_l!/0n"</f>
        <v>#VALUE!</v>
      </c>
      <c r="BP251" t="e">
        <f>Sheet3!87:87-"h_l!/0o"</f>
        <v>#VALUE!</v>
      </c>
      <c r="BQ251" t="e">
        <f>Sheet3!88:88-"h_l!/0p"</f>
        <v>#VALUE!</v>
      </c>
      <c r="BR251" t="e">
        <f>Sheet3!89:89-"h_l!/0q"</f>
        <v>#VALUE!</v>
      </c>
      <c r="BS251" t="e">
        <f>Sheet3!90:90-"h_l!/0r"</f>
        <v>#VALUE!</v>
      </c>
      <c r="BT251" t="e">
        <f>Sheet3!91:91-"h_l!/0s"</f>
        <v>#VALUE!</v>
      </c>
      <c r="BU251" t="e">
        <f>Sheet3!92:92-"h_l!/0t"</f>
        <v>#VALUE!</v>
      </c>
      <c r="BV251" t="e">
        <f>Sheet3!93:93-"h_l!/0u"</f>
        <v>#VALUE!</v>
      </c>
      <c r="BW251" t="e">
        <f>Sheet3!94:94-"h_l!/0v"</f>
        <v>#VALUE!</v>
      </c>
      <c r="BX251" t="e">
        <f>Sheet3!95:95-"h_l!/0w"</f>
        <v>#VALUE!</v>
      </c>
      <c r="BY251" t="e">
        <f>Sheet3!96:96-"h_l!/0x"</f>
        <v>#VALUE!</v>
      </c>
      <c r="BZ251" t="e">
        <f>Sheet3!97:97-"h_l!/0y"</f>
        <v>#VALUE!</v>
      </c>
      <c r="CA251" t="e">
        <f>Sheet3!98:98-"h_l!/0z"</f>
        <v>#VALUE!</v>
      </c>
      <c r="CB251" t="e">
        <f>Sheet3!99:99-"h_l!/0{"</f>
        <v>#VALUE!</v>
      </c>
      <c r="CC251" t="e">
        <f>Sheet3!100:100-"h_l!/0|"</f>
        <v>#VALUE!</v>
      </c>
      <c r="CD251" t="e">
        <f>Sheet3!101:101-"h_l!/0}"</f>
        <v>#VALUE!</v>
      </c>
      <c r="CE251" t="e">
        <f>Sheet3!102:102-"h_l!/0~"</f>
        <v>#VALUE!</v>
      </c>
      <c r="CF251" t="e">
        <f>Sheet3!103:103-"h_l!/1#"</f>
        <v>#VALUE!</v>
      </c>
      <c r="CG251" t="e">
        <f>Sheet3!104:104-"h_l!/1$"</f>
        <v>#VALUE!</v>
      </c>
      <c r="CH251" t="e">
        <f>Sheet3!105:105-"h_l!/1%"</f>
        <v>#VALUE!</v>
      </c>
      <c r="CI251" t="e">
        <f>Sheet3!106:106-"h_l!/1&amp;"</f>
        <v>#VALUE!</v>
      </c>
      <c r="CJ251" t="e">
        <f>Sheet3!107:107-"h_l!/1'"</f>
        <v>#VALUE!</v>
      </c>
      <c r="CK251" t="e">
        <f>Sheet3!108:108-"h_l!/1("</f>
        <v>#VALUE!</v>
      </c>
      <c r="CL251" t="e">
        <f>Sheet3!109:109-"h_l!/1)"</f>
        <v>#VALUE!</v>
      </c>
      <c r="CM251" t="e">
        <f>Sheet3!110:110-"h_l!/1."</f>
        <v>#VALUE!</v>
      </c>
      <c r="CN251" t="e">
        <f>Sheet3!111:111-"h_l!/1/"</f>
        <v>#VALUE!</v>
      </c>
      <c r="CO251" t="e">
        <f>Sheet3!112:112-"h_l!/10"</f>
        <v>#VALUE!</v>
      </c>
      <c r="CP251" t="e">
        <f>Sheet3!113:113-"h_l!/11"</f>
        <v>#VALUE!</v>
      </c>
      <c r="CQ251" t="e">
        <f>Sheet3!114:114-"h_l!/12"</f>
        <v>#VALUE!</v>
      </c>
      <c r="CR251" t="e">
        <f>Sheet3!115:115-"h_l!/13"</f>
        <v>#VALUE!</v>
      </c>
      <c r="CS251" t="e">
        <f>Sheet3!116:116-"h_l!/14"</f>
        <v>#VALUE!</v>
      </c>
      <c r="CT251" t="e">
        <f>Sheet3!117:117-"h_l!/15"</f>
        <v>#VALUE!</v>
      </c>
      <c r="CU251" t="e">
        <f>Sheet3!118:118-"h_l!/16"</f>
        <v>#VALUE!</v>
      </c>
      <c r="CV251" t="e">
        <f>Sheet3!119:119-"h_l!/17"</f>
        <v>#VALUE!</v>
      </c>
      <c r="CW251" t="e">
        <f>Sheet3!120:120-"h_l!/18"</f>
        <v>#VALUE!</v>
      </c>
      <c r="CX251" t="e">
        <f>Sheet3!121:121-"h_l!/19"</f>
        <v>#VALUE!</v>
      </c>
      <c r="CY251" t="e">
        <f>Sheet3!122:122-"h_l!/1:"</f>
        <v>#VALUE!</v>
      </c>
      <c r="CZ251" t="e">
        <f>Sheet3!123:123-"h_l!/1;"</f>
        <v>#VALUE!</v>
      </c>
      <c r="DA251" t="e">
        <f>Sheet3!124:124-"h_l!/1&lt;"</f>
        <v>#VALUE!</v>
      </c>
      <c r="DB251" t="e">
        <f>Sheet3!125:125-"h_l!/1="</f>
        <v>#VALUE!</v>
      </c>
      <c r="DC251" t="e">
        <f>Sheet3!126:126-"h_l!/1&gt;"</f>
        <v>#VALUE!</v>
      </c>
      <c r="DD251" t="e">
        <f>Sheet3!127:127-"h_l!/1?"</f>
        <v>#VALUE!</v>
      </c>
      <c r="DE251" t="e">
        <f>Sheet3!128:128-"h_l!/1@"</f>
        <v>#VALUE!</v>
      </c>
      <c r="DF251" t="e">
        <f>Sheet3!129:129-"h_l!/1A"</f>
        <v>#VALUE!</v>
      </c>
      <c r="DG251" t="e">
        <f>Sheet3!130:130-"h_l!/1B"</f>
        <v>#VALUE!</v>
      </c>
      <c r="DH251" t="e">
        <f>Sheet3!131:131-"h_l!/1C"</f>
        <v>#VALUE!</v>
      </c>
      <c r="DI251" t="e">
        <f>Sheet3!132:132-"h_l!/1D"</f>
        <v>#VALUE!</v>
      </c>
      <c r="DJ251" t="e">
        <f>Sheet3!133:133-"h_l!/1E"</f>
        <v>#VALUE!</v>
      </c>
      <c r="DK251" t="e">
        <f>Sheet3!134:134-"h_l!/1F"</f>
        <v>#VALUE!</v>
      </c>
      <c r="DL251" t="e">
        <f>Sheet3!135:135-"h_l!/1G"</f>
        <v>#VALUE!</v>
      </c>
      <c r="DM251" t="e">
        <f>Sheet3!136:136-"h_l!/1H"</f>
        <v>#VALUE!</v>
      </c>
      <c r="DN251" t="e">
        <f>Sheet3!137:137-"h_l!/1I"</f>
        <v>#VALUE!</v>
      </c>
      <c r="DO251" t="e">
        <f>Sheet3!138:138-"h_l!/1J"</f>
        <v>#VALUE!</v>
      </c>
      <c r="DP251" t="e">
        <f>Sheet3!139:139-"h_l!/1K"</f>
        <v>#VALUE!</v>
      </c>
      <c r="DQ251" t="e">
        <f>Sheet3!140:140-"h_l!/1L"</f>
        <v>#VALUE!</v>
      </c>
      <c r="DR251" t="e">
        <f>Sheet3!141:141-"h_l!/1M"</f>
        <v>#VALUE!</v>
      </c>
      <c r="DS251" t="e">
        <f>Sheet3!142:142-"h_l!/1N"</f>
        <v>#VALUE!</v>
      </c>
      <c r="DT251" t="e">
        <f>Sheet3!143:143-"h_l!/1O"</f>
        <v>#VALUE!</v>
      </c>
      <c r="DU251" t="e">
        <f>Sheet3!144:144-"h_l!/1P"</f>
        <v>#VALUE!</v>
      </c>
      <c r="DV251" t="e">
        <f>Sheet3!145:145-"h_l!/1Q"</f>
        <v>#VALUE!</v>
      </c>
      <c r="DW251" t="e">
        <f>Sheet3!146:146-"h_l!/1R"</f>
        <v>#VALUE!</v>
      </c>
      <c r="DX251" t="e">
        <f>Sheet3!147:147-"h_l!/1S"</f>
        <v>#VALUE!</v>
      </c>
      <c r="DY251" t="e">
        <f>Sheet3!148:148-"h_l!/1T"</f>
        <v>#VALUE!</v>
      </c>
      <c r="DZ251" t="e">
        <f>Sheet3!149:149-"h_l!/1U"</f>
        <v>#VALUE!</v>
      </c>
      <c r="EA251" t="e">
        <f>Sheet3!150:150-"h_l!/1V"</f>
        <v>#VALUE!</v>
      </c>
      <c r="EB251" t="e">
        <f>Sheet3!151:151-"h_l!/1W"</f>
        <v>#VALUE!</v>
      </c>
      <c r="EC251" t="e">
        <f>Sheet3!152:152-"h_l!/1X"</f>
        <v>#VALUE!</v>
      </c>
      <c r="ED251" t="e">
        <f>Sheet3!153:153-"h_l!/1Y"</f>
        <v>#VALUE!</v>
      </c>
      <c r="EE251" t="e">
        <f>Sheet3!154:154-"h_l!/1Z"</f>
        <v>#VALUE!</v>
      </c>
      <c r="EF251" t="e">
        <f>Sheet3!155:155-"h_l!/1["</f>
        <v>#VALUE!</v>
      </c>
      <c r="EG251" t="e">
        <f>Sheet3!156:156-"h_l!/1\"</f>
        <v>#VALUE!</v>
      </c>
      <c r="EH251" t="e">
        <f>Sheet3!157:157-"h_l!/1]"</f>
        <v>#VALUE!</v>
      </c>
      <c r="EI251" t="e">
        <f>Sheet3!158:158-"h_l!/1^"</f>
        <v>#VALUE!</v>
      </c>
      <c r="EJ251" t="e">
        <f>Sheet3!159:159-"h_l!/1_"</f>
        <v>#VALUE!</v>
      </c>
      <c r="EK251" t="e">
        <f>Sheet3!160:160-"h_l!/1`"</f>
        <v>#VALUE!</v>
      </c>
      <c r="EL251" t="e">
        <f>Sheet3!161:161-"h_l!/1a"</f>
        <v>#VALUE!</v>
      </c>
      <c r="EM251" t="e">
        <f>Sheet3!162:162-"h_l!/1b"</f>
        <v>#VALUE!</v>
      </c>
      <c r="EN251" t="e">
        <f>Sheet3!163:163-"h_l!/1c"</f>
        <v>#VALUE!</v>
      </c>
      <c r="EO251" t="e">
        <f>Sheet3!164:164-"h_l!/1d"</f>
        <v>#VALUE!</v>
      </c>
      <c r="EP251" t="e">
        <f>Sheet3!165:165-"h_l!/1e"</f>
        <v>#VALUE!</v>
      </c>
      <c r="EQ251" t="e">
        <f>Sheet3!166:166-"h_l!/1f"</f>
        <v>#VALUE!</v>
      </c>
      <c r="ER251" t="e">
        <f>Sheet3!167:167-"h_l!/1g"</f>
        <v>#VALUE!</v>
      </c>
      <c r="ES251" t="e">
        <f>Sheet3!168:168-"h_l!/1h"</f>
        <v>#VALUE!</v>
      </c>
      <c r="ET251" t="e">
        <f>Sheet3!169:169-"h_l!/1i"</f>
        <v>#VALUE!</v>
      </c>
      <c r="EU251" t="e">
        <f>Sheet3!170:170-"h_l!/1j"</f>
        <v>#VALUE!</v>
      </c>
      <c r="EV251" t="e">
        <f>Sheet3!171:171-"h_l!/1k"</f>
        <v>#VALUE!</v>
      </c>
      <c r="EW251" t="e">
        <f>Sheet3!172:172-"h_l!/1l"</f>
        <v>#VALUE!</v>
      </c>
      <c r="EX251" t="e">
        <f>Sheet3!173:173-"h_l!/1m"</f>
        <v>#VALUE!</v>
      </c>
      <c r="EY251" t="e">
        <f>Sheet3!174:174-"h_l!/1n"</f>
        <v>#VALUE!</v>
      </c>
      <c r="EZ251" t="e">
        <f>Sheet3!175:175-"h_l!/1o"</f>
        <v>#VALUE!</v>
      </c>
      <c r="FA251" t="e">
        <f>Sheet3!176:176-"h_l!/1p"</f>
        <v>#VALUE!</v>
      </c>
      <c r="FB251" t="e">
        <f>Sheet3!177:177-"h_l!/1q"</f>
        <v>#VALUE!</v>
      </c>
      <c r="FC251" t="e">
        <f>Sheet3!178:178-"h_l!/1r"</f>
        <v>#VALUE!</v>
      </c>
      <c r="FD251" t="e">
        <f>Sheet3!179:179-"h_l!/1s"</f>
        <v>#VALUE!</v>
      </c>
      <c r="FE251" t="e">
        <f>Sheet3!180:180-"h_l!/1t"</f>
        <v>#VALUE!</v>
      </c>
      <c r="FF251" t="e">
        <f>Sheet3!181:181-"h_l!/1u"</f>
        <v>#VALUE!</v>
      </c>
      <c r="FG251" t="e">
        <f>Sheet3!182:182-"h_l!/1v"</f>
        <v>#VALUE!</v>
      </c>
      <c r="FH251" t="e">
        <f>Sheet3!183:183-"h_l!/1w"</f>
        <v>#VALUE!</v>
      </c>
      <c r="FI251" t="e">
        <f>Sheet3!184:184-"h_l!/1x"</f>
        <v>#VALUE!</v>
      </c>
      <c r="FJ251" t="e">
        <f>Sheet3!185:185-"h_l!/1y"</f>
        <v>#VALUE!</v>
      </c>
      <c r="FK251" t="e">
        <f>Sheet3!186:186-"h_l!/1z"</f>
        <v>#VALUE!</v>
      </c>
      <c r="FL251" t="e">
        <f>Sheet3!187:187-"h_l!/1{"</f>
        <v>#VALUE!</v>
      </c>
      <c r="FM251" t="e">
        <f>Sheet3!188:188-"h_l!/1|"</f>
        <v>#VALUE!</v>
      </c>
      <c r="FN251" t="e">
        <f>Sheet3!189:189-"h_l!/1}"</f>
        <v>#VALUE!</v>
      </c>
      <c r="FO251" t="e">
        <f>Sheet3!190:190-"h_l!/1~"</f>
        <v>#VALUE!</v>
      </c>
      <c r="FP251" t="e">
        <f>Sheet3!191:191-"h_l!/2#"</f>
        <v>#VALUE!</v>
      </c>
      <c r="FQ251" t="e">
        <f>Sheet3!192:192-"h_l!/2$"</f>
        <v>#VALUE!</v>
      </c>
      <c r="FR251" t="e">
        <f>Sheet3!193:193-"h_l!/2%"</f>
        <v>#VALUE!</v>
      </c>
      <c r="FS251" t="e">
        <f>Sheet3!194:194-"h_l!/2&amp;"</f>
        <v>#VALUE!</v>
      </c>
      <c r="FT251" t="e">
        <f>Sheet3!195:195-"h_l!/2'"</f>
        <v>#VALUE!</v>
      </c>
      <c r="FU251" t="e">
        <f>Sheet3!196:196-"h_l!/2("</f>
        <v>#VALUE!</v>
      </c>
      <c r="FV251" t="e">
        <f>Sheet3!197:197-"h_l!/2)"</f>
        <v>#VALUE!</v>
      </c>
      <c r="FW251" t="e">
        <f>Sheet3!198:198-"h_l!/2."</f>
        <v>#VALUE!</v>
      </c>
      <c r="FX251" t="e">
        <f>Sheet3!199:199-"h_l!/2/"</f>
        <v>#VALUE!</v>
      </c>
      <c r="FY251" t="e">
        <f>Sheet3!200:200-"h_l!/20"</f>
        <v>#VALUE!</v>
      </c>
      <c r="FZ251" t="e">
        <f>Sheet3!201:201-"h_l!/21"</f>
        <v>#VALUE!</v>
      </c>
      <c r="GA251" t="e">
        <f>Sheet3!202:202-"h_l!/22"</f>
        <v>#VALUE!</v>
      </c>
      <c r="GB251" t="e">
        <f>Sheet3!203:203-"h_l!/23"</f>
        <v>#VALUE!</v>
      </c>
      <c r="GC251" t="e">
        <f>Sheet3!204:204-"h_l!/24"</f>
        <v>#VALUE!</v>
      </c>
      <c r="GD251" t="e">
        <f>Sheet3!205:205-"h_l!/25"</f>
        <v>#VALUE!</v>
      </c>
      <c r="GE251" t="e">
        <f>Sheet3!206:206-"h_l!/26"</f>
        <v>#VALUE!</v>
      </c>
      <c r="GF251" t="e">
        <f>Sheet3!207:207-"h_l!/27"</f>
        <v>#VALUE!</v>
      </c>
      <c r="GG251" t="e">
        <f>Sheet3!208:208-"h_l!/28"</f>
        <v>#VALUE!</v>
      </c>
      <c r="GH251" t="e">
        <f>Sheet3!209:209-"h_l!/29"</f>
        <v>#VALUE!</v>
      </c>
      <c r="GI251" t="e">
        <f>Sheet3!210:210-"h_l!/2:"</f>
        <v>#VALUE!</v>
      </c>
      <c r="GJ251" t="e">
        <f>Sheet3!211:211-"h_l!/2;"</f>
        <v>#VALUE!</v>
      </c>
      <c r="GK251" t="e">
        <f>Sheet3!212:212-"h_l!/2&lt;"</f>
        <v>#VALUE!</v>
      </c>
      <c r="GL251" t="e">
        <f>Sheet3!213:213-"h_l!/2="</f>
        <v>#VALUE!</v>
      </c>
      <c r="GM251" t="e">
        <f>Sheet3!214:214-"h_l!/2&gt;"</f>
        <v>#VALUE!</v>
      </c>
      <c r="GN251" t="e">
        <f>Sheet3!215:215-"h_l!/2?"</f>
        <v>#VALUE!</v>
      </c>
      <c r="GO251" t="e">
        <f>Sheet3!216:216-"h_l!/2@"</f>
        <v>#VALUE!</v>
      </c>
      <c r="GP251" t="e">
        <f>Sheet3!217:217-"h_l!/2A"</f>
        <v>#VALUE!</v>
      </c>
      <c r="GQ251" t="e">
        <f>Sheet3!218:218-"h_l!/2B"</f>
        <v>#VALUE!</v>
      </c>
      <c r="GR251" t="e">
        <f>Sheet3!219:219-"h_l!/2C"</f>
        <v>#VALUE!</v>
      </c>
      <c r="GS251" t="e">
        <f>Sheet3!220:220-"h_l!/2D"</f>
        <v>#VALUE!</v>
      </c>
      <c r="GT251" t="e">
        <f>Sheet3!221:221-"h_l!/2E"</f>
        <v>#VALUE!</v>
      </c>
      <c r="GU251" t="e">
        <f>Sheet3!222:222-"h_l!/2F"</f>
        <v>#VALUE!</v>
      </c>
      <c r="GV251" t="e">
        <f>Sheet3!223:223-"h_l!/2G"</f>
        <v>#VALUE!</v>
      </c>
      <c r="GW251" t="e">
        <f>Sheet3!224:224-"h_l!/2H"</f>
        <v>#VALUE!</v>
      </c>
      <c r="GX251" t="e">
        <f>Sheet3!225:225-"h_l!/2I"</f>
        <v>#VALUE!</v>
      </c>
      <c r="GY251" t="e">
        <f>Sheet3!226:226-"h_l!/2J"</f>
        <v>#VALUE!</v>
      </c>
      <c r="GZ251" t="e">
        <f>Sheet3!227:227-"h_l!/2K"</f>
        <v>#VALUE!</v>
      </c>
      <c r="HA251" t="e">
        <f>Sheet3!228:228-"h_l!/2L"</f>
        <v>#VALUE!</v>
      </c>
      <c r="HB251" t="e">
        <f>Sheet3!229:229-"h_l!/2M"</f>
        <v>#VALUE!</v>
      </c>
      <c r="HC251" t="e">
        <f>Sheet3!230:230-"h_l!/2N"</f>
        <v>#VALUE!</v>
      </c>
      <c r="HD251" t="e">
        <f>Sheet3!231:231-"h_l!/2O"</f>
        <v>#VALUE!</v>
      </c>
      <c r="HE251" t="e">
        <f>Sheet3!232:232-"h_l!/2P"</f>
        <v>#VALUE!</v>
      </c>
      <c r="HF251" t="e">
        <f>Sheet3!233:233-"h_l!/2Q"</f>
        <v>#VALUE!</v>
      </c>
      <c r="HG251" t="e">
        <f>Sheet3!234:234-"h_l!/2R"</f>
        <v>#VALUE!</v>
      </c>
      <c r="HH251" t="e">
        <f>Sheet3!235:235-"h_l!/2S"</f>
        <v>#VALUE!</v>
      </c>
      <c r="HI251" t="e">
        <f>Sheet3!236:236-"h_l!/2T"</f>
        <v>#VALUE!</v>
      </c>
      <c r="HJ251" t="e">
        <f>Sheet3!237:237-"h_l!/2U"</f>
        <v>#VALUE!</v>
      </c>
      <c r="HK251" t="e">
        <f>Sheet3!238:238-"h_l!/2V"</f>
        <v>#VALUE!</v>
      </c>
      <c r="HL251" t="e">
        <f>Sheet3!239:239-"h_l!/2W"</f>
        <v>#VALUE!</v>
      </c>
      <c r="HM251" t="e">
        <f>Sheet3!240:240-"h_l!/2X"</f>
        <v>#VALUE!</v>
      </c>
      <c r="HN251" t="e">
        <f>Sheet3!241:241-"h_l!/2Y"</f>
        <v>#VALUE!</v>
      </c>
      <c r="HO251" t="e">
        <f>Sheet3!242:242-"h_l!/2Z"</f>
        <v>#VALUE!</v>
      </c>
      <c r="HP251" t="e">
        <f>Sheet3!243:243-"h_l!/2["</f>
        <v>#VALUE!</v>
      </c>
      <c r="HQ251" t="e">
        <f>Sheet3!244:244-"h_l!/2\"</f>
        <v>#VALUE!</v>
      </c>
      <c r="HR251" t="e">
        <f>Sheet3!245:245-"h_l!/2]"</f>
        <v>#VALUE!</v>
      </c>
      <c r="HS251" t="e">
        <f>Sheet3!246:246-"h_l!/2^"</f>
        <v>#VALUE!</v>
      </c>
      <c r="HT251" t="e">
        <f>Sheet3!247:247-"h_l!/2_"</f>
        <v>#VALUE!</v>
      </c>
      <c r="HU251" t="e">
        <f>Sheet3!248:248-"h_l!/2`"</f>
        <v>#VALUE!</v>
      </c>
      <c r="HV251" t="e">
        <f>Sheet3!249:249-"h_l!/2a"</f>
        <v>#VALUE!</v>
      </c>
      <c r="HW251" t="e">
        <f>Sheet3!250:250-"h_l!/2b"</f>
        <v>#VALUE!</v>
      </c>
      <c r="HX251" t="e">
        <f>Sheet3!251:251-"h_l!/2c"</f>
        <v>#VALUE!</v>
      </c>
      <c r="HY251" t="e">
        <f>Sheet3!252:252-"h_l!/2d"</f>
        <v>#VALUE!</v>
      </c>
      <c r="HZ251" t="e">
        <f>Sheet3!253:253-"h_l!/2e"</f>
        <v>#VALUE!</v>
      </c>
      <c r="IA251" t="e">
        <f>Sheet3!254:254-"h_l!/2f"</f>
        <v>#VALUE!</v>
      </c>
      <c r="IB251" t="e">
        <f>Sheet3!255:255-"h_l!/2g"</f>
        <v>#VALUE!</v>
      </c>
      <c r="IC251" t="e">
        <f>Sheet3!256:256-"h_l!/2h"</f>
        <v>#VALUE!</v>
      </c>
      <c r="ID251" t="e">
        <f>Sheet3!257:257-"h_l!/2i"</f>
        <v>#VALUE!</v>
      </c>
      <c r="IE251" t="e">
        <f>Sheet3!258:258-"h_l!/2j"</f>
        <v>#VALUE!</v>
      </c>
      <c r="IF251" t="e">
        <f>Sheet3!259:259-"h_l!/2k"</f>
        <v>#VALUE!</v>
      </c>
      <c r="IG251" t="e">
        <f>Sheet3!260:260-"h_l!/2l"</f>
        <v>#VALUE!</v>
      </c>
      <c r="IH251" t="e">
        <f>Sheet3!261:261-"h_l!/2m"</f>
        <v>#VALUE!</v>
      </c>
      <c r="II251" t="e">
        <f>Sheet3!262:262-"h_l!/2n"</f>
        <v>#VALUE!</v>
      </c>
      <c r="IJ251" t="e">
        <f>Sheet3!263:263-"h_l!/2o"</f>
        <v>#VALUE!</v>
      </c>
      <c r="IK251" t="e">
        <f>Sheet3!264:264-"h_l!/2p"</f>
        <v>#VALUE!</v>
      </c>
      <c r="IL251" t="e">
        <f>Sheet3!265:265-"h_l!/2q"</f>
        <v>#VALUE!</v>
      </c>
      <c r="IM251" t="e">
        <f>Sheet3!266:266-"h_l!/2r"</f>
        <v>#VALUE!</v>
      </c>
      <c r="IN251" t="e">
        <f>Sheet3!267:267-"h_l!/2s"</f>
        <v>#VALUE!</v>
      </c>
      <c r="IO251" t="e">
        <f>Sheet3!268:268-"h_l!/2t"</f>
        <v>#VALUE!</v>
      </c>
      <c r="IP251" t="e">
        <f>Sheet3!269:269-"h_l!/2u"</f>
        <v>#VALUE!</v>
      </c>
      <c r="IQ251" t="e">
        <f>Sheet3!270:270-"h_l!/2v"</f>
        <v>#VALUE!</v>
      </c>
      <c r="IR251" t="e">
        <f>Sheet3!271:271-"h_l!/2w"</f>
        <v>#VALUE!</v>
      </c>
      <c r="IS251" t="e">
        <f>Sheet3!272:272-"h_l!/2x"</f>
        <v>#VALUE!</v>
      </c>
      <c r="IT251" t="e">
        <f>Sheet3!273:273-"h_l!/2y"</f>
        <v>#VALUE!</v>
      </c>
      <c r="IU251" t="e">
        <f>Sheet3!274:274-"h_l!/2z"</f>
        <v>#VALUE!</v>
      </c>
      <c r="IV251" t="e">
        <f>Sheet3!275:275-"h_l!/2{"</f>
        <v>#VALUE!</v>
      </c>
    </row>
    <row r="252" spans="6:256" x14ac:dyDescent="0.25">
      <c r="F252" t="e">
        <f>Sheet3!276:276-"h_l!/2|"</f>
        <v>#VALUE!</v>
      </c>
      <c r="G252" t="e">
        <f>Sheet3!277:277-"h_l!/2}"</f>
        <v>#VALUE!</v>
      </c>
      <c r="H252" t="e">
        <f>Sheet3!278:278-"h_l!/2~"</f>
        <v>#VALUE!</v>
      </c>
      <c r="I252" t="e">
        <f>Sheet3!279:279-"h_l!/3#"</f>
        <v>#VALUE!</v>
      </c>
      <c r="J252" t="e">
        <f>Sheet3!280:280-"h_l!/3$"</f>
        <v>#VALUE!</v>
      </c>
      <c r="K252" t="e">
        <f>Sheet3!281:281-"h_l!/3%"</f>
        <v>#VALUE!</v>
      </c>
      <c r="L252" t="e">
        <f>Sheet3!A1+"h_l!/3&amp;"</f>
        <v>#VALUE!</v>
      </c>
      <c r="M252" t="e">
        <f>Sheet3!G1+"h_l!/3'"</f>
        <v>#VALUE!</v>
      </c>
      <c r="N252" t="e">
        <f>Sheet3!H1+"h_l!/3("</f>
        <v>#VALUE!</v>
      </c>
      <c r="O252" t="e">
        <f>Sheet3!I1+"h_l!/3)"</f>
        <v>#VALUE!</v>
      </c>
      <c r="P252" t="e">
        <f>Sheet3!J1+"h_l!/3."</f>
        <v>#VALUE!</v>
      </c>
      <c r="Q252" t="e">
        <f>Sheet3!K1+"h_l!/3/"</f>
        <v>#VALUE!</v>
      </c>
      <c r="R252" t="e">
        <f>Sheet3!L1+"h_l!/30"</f>
        <v>#VALUE!</v>
      </c>
      <c r="S252" t="e">
        <f>Sheet3!A2+"h_l!/31"</f>
        <v>#VALUE!</v>
      </c>
      <c r="T252" t="e">
        <f>Sheet3!F2+"h_l!/32"</f>
        <v>#VALUE!</v>
      </c>
      <c r="U252" t="e">
        <f>Sheet3!G2+"h_l!/33"</f>
        <v>#VALUE!</v>
      </c>
      <c r="V252" t="e">
        <f>Sheet3!H2+"h_l!/34"</f>
        <v>#VALUE!</v>
      </c>
      <c r="W252" t="e">
        <f>Sheet3!I2+"h_l!/35"</f>
        <v>#VALUE!</v>
      </c>
      <c r="X252" t="e">
        <f>Sheet3!J2+"h_l!/36"</f>
        <v>#VALUE!</v>
      </c>
      <c r="Y252" t="e">
        <f>Sheet3!K2+"h_l!/37"</f>
        <v>#VALUE!</v>
      </c>
      <c r="Z252" t="e">
        <f>Sheet3!L2+"h_l!/38"</f>
        <v>#VALUE!</v>
      </c>
      <c r="AA252" t="e">
        <f>Sheet3!A3+"h_l!/39"</f>
        <v>#VALUE!</v>
      </c>
      <c r="AB252" t="e">
        <f>Sheet3!F3+"h_l!/3:"</f>
        <v>#VALUE!</v>
      </c>
      <c r="AC252" t="e">
        <f>Sheet3!G3+"h_l!/3;"</f>
        <v>#VALUE!</v>
      </c>
      <c r="AD252" t="e">
        <f>Sheet3!H3+"h_l!/3&lt;"</f>
        <v>#VALUE!</v>
      </c>
      <c r="AE252" t="e">
        <f>Sheet3!I3+"h_l!/3="</f>
        <v>#VALUE!</v>
      </c>
      <c r="AF252" t="e">
        <f>Sheet3!J3+"h_l!/3&gt;"</f>
        <v>#VALUE!</v>
      </c>
      <c r="AG252" t="e">
        <f>Sheet3!K3+"h_l!/3?"</f>
        <v>#VALUE!</v>
      </c>
      <c r="AH252" t="e">
        <f>Sheet3!L3+"h_l!/3@"</f>
        <v>#VALUE!</v>
      </c>
      <c r="AI252" t="e">
        <f>Sheet3!A4+"h_l!/3A"</f>
        <v>#VALUE!</v>
      </c>
      <c r="AJ252" t="e">
        <f>Sheet3!F4+"h_l!/3B"</f>
        <v>#VALUE!</v>
      </c>
      <c r="AK252" t="e">
        <f>Sheet3!G4+"h_l!/3C"</f>
        <v>#VALUE!</v>
      </c>
      <c r="AL252" t="e">
        <f>Sheet3!H4+"h_l!/3D"</f>
        <v>#VALUE!</v>
      </c>
      <c r="AM252" t="e">
        <f>Sheet3!I4+"h_l!/3E"</f>
        <v>#VALUE!</v>
      </c>
      <c r="AN252" t="e">
        <f>Sheet3!J4+"h_l!/3F"</f>
        <v>#VALUE!</v>
      </c>
      <c r="AO252" t="e">
        <f>Sheet3!K4+"h_l!/3G"</f>
        <v>#VALUE!</v>
      </c>
      <c r="AP252" t="e">
        <f>Sheet3!L4+"h_l!/3H"</f>
        <v>#VALUE!</v>
      </c>
      <c r="AQ252" t="e">
        <f>Sheet3!A5+"h_l!/3I"</f>
        <v>#VALUE!</v>
      </c>
      <c r="AR252" t="e">
        <f>Sheet3!F5+"h_l!/3J"</f>
        <v>#VALUE!</v>
      </c>
      <c r="AS252" t="e">
        <f>Sheet3!G5+"h_l!/3K"</f>
        <v>#VALUE!</v>
      </c>
      <c r="AT252" t="e">
        <f>Sheet3!H5+"h_l!/3L"</f>
        <v>#VALUE!</v>
      </c>
      <c r="AU252" t="e">
        <f>Sheet3!I5+"h_l!/3M"</f>
        <v>#VALUE!</v>
      </c>
      <c r="AV252" t="e">
        <f>Sheet3!J5+"h_l!/3N"</f>
        <v>#VALUE!</v>
      </c>
      <c r="AW252" t="e">
        <f>Sheet3!K5+"h_l!/3O"</f>
        <v>#VALUE!</v>
      </c>
      <c r="AX252" t="e">
        <f>Sheet3!L5+"h_l!/3P"</f>
        <v>#VALUE!</v>
      </c>
      <c r="AY252" t="e">
        <f>Sheet3!A6+"h_l!/3Q"</f>
        <v>#VALUE!</v>
      </c>
      <c r="AZ252" t="e">
        <f>Sheet3!F6+"h_l!/3R"</f>
        <v>#VALUE!</v>
      </c>
      <c r="BA252" t="e">
        <f>Sheet3!G6+"h_l!/3S"</f>
        <v>#VALUE!</v>
      </c>
      <c r="BB252" t="e">
        <f>Sheet3!H6+"h_l!/3T"</f>
        <v>#VALUE!</v>
      </c>
      <c r="BC252" t="e">
        <f>Sheet3!I6+"h_l!/3U"</f>
        <v>#VALUE!</v>
      </c>
      <c r="BD252" t="e">
        <f>Sheet3!J6+"h_l!/3V"</f>
        <v>#VALUE!</v>
      </c>
      <c r="BE252" t="e">
        <f>Sheet3!K6+"h_l!/3W"</f>
        <v>#VALUE!</v>
      </c>
      <c r="BF252" t="e">
        <f>Sheet3!L6+"h_l!/3X"</f>
        <v>#VALUE!</v>
      </c>
      <c r="BG252" t="e">
        <f>Sheet3!A7+"h_l!/3Y"</f>
        <v>#VALUE!</v>
      </c>
      <c r="BH252" t="e">
        <f>Sheet3!F7+"h_l!/3Z"</f>
        <v>#VALUE!</v>
      </c>
      <c r="BI252" t="e">
        <f>Sheet3!G7+"h_l!/3["</f>
        <v>#VALUE!</v>
      </c>
      <c r="BJ252" t="e">
        <f>Sheet3!H7+"h_l!/3\"</f>
        <v>#VALUE!</v>
      </c>
      <c r="BK252" t="e">
        <f>Sheet3!I7+"h_l!/3]"</f>
        <v>#VALUE!</v>
      </c>
      <c r="BL252" t="e">
        <f>Sheet3!J7+"h_l!/3^"</f>
        <v>#VALUE!</v>
      </c>
      <c r="BM252" t="e">
        <f>Sheet3!K7+"h_l!/3_"</f>
        <v>#VALUE!</v>
      </c>
      <c r="BN252" t="e">
        <f>Sheet3!L7+"h_l!/3`"</f>
        <v>#VALUE!</v>
      </c>
      <c r="BO252" t="e">
        <f>Sheet3!A8+"h_l!/3a"</f>
        <v>#VALUE!</v>
      </c>
      <c r="BP252" t="e">
        <f>Sheet3!F8+"h_l!/3b"</f>
        <v>#VALUE!</v>
      </c>
      <c r="BQ252" t="e">
        <f>Sheet3!G8+"h_l!/3c"</f>
        <v>#VALUE!</v>
      </c>
      <c r="BR252" t="e">
        <f>Sheet3!H8+"h_l!/3d"</f>
        <v>#VALUE!</v>
      </c>
      <c r="BS252" t="e">
        <f>Sheet3!I8+"h_l!/3e"</f>
        <v>#VALUE!</v>
      </c>
      <c r="BT252" t="e">
        <f>Sheet3!J8+"h_l!/3f"</f>
        <v>#VALUE!</v>
      </c>
      <c r="BU252" t="e">
        <f>Sheet3!K8+"h_l!/3g"</f>
        <v>#VALUE!</v>
      </c>
      <c r="BV252" t="e">
        <f>Sheet3!L8+"h_l!/3h"</f>
        <v>#VALUE!</v>
      </c>
      <c r="BW252" t="e">
        <f>Sheet3!A9+"h_l!/3i"</f>
        <v>#VALUE!</v>
      </c>
      <c r="BX252" t="e">
        <f>Sheet3!F9+"h_l!/3j"</f>
        <v>#VALUE!</v>
      </c>
      <c r="BY252" t="e">
        <f>Sheet3!G9+"h_l!/3k"</f>
        <v>#VALUE!</v>
      </c>
      <c r="BZ252" t="e">
        <f>Sheet3!H9+"h_l!/3l"</f>
        <v>#VALUE!</v>
      </c>
      <c r="CA252" t="e">
        <f>Sheet3!I9+"h_l!/3m"</f>
        <v>#VALUE!</v>
      </c>
      <c r="CB252" t="e">
        <f>Sheet3!J9+"h_l!/3n"</f>
        <v>#VALUE!</v>
      </c>
      <c r="CC252" t="e">
        <f>Sheet3!K9+"h_l!/3o"</f>
        <v>#VALUE!</v>
      </c>
      <c r="CD252" t="e">
        <f>Sheet3!L9+"h_l!/3p"</f>
        <v>#VALUE!</v>
      </c>
      <c r="CE252" t="e">
        <f>Sheet3!A10+"h_l!/3q"</f>
        <v>#VALUE!</v>
      </c>
      <c r="CF252" t="e">
        <f>Sheet3!F10+"h_l!/3r"</f>
        <v>#VALUE!</v>
      </c>
      <c r="CG252" t="e">
        <f>Sheet3!G10+"h_l!/3s"</f>
        <v>#VALUE!</v>
      </c>
      <c r="CH252" t="e">
        <f>Sheet3!H10+"h_l!/3t"</f>
        <v>#VALUE!</v>
      </c>
      <c r="CI252" t="e">
        <f>Sheet3!I10+"h_l!/3u"</f>
        <v>#VALUE!</v>
      </c>
      <c r="CJ252" t="e">
        <f>Sheet3!J10+"h_l!/3v"</f>
        <v>#VALUE!</v>
      </c>
      <c r="CK252" t="e">
        <f>Sheet3!K10+"h_l!/3w"</f>
        <v>#VALUE!</v>
      </c>
      <c r="CL252" t="e">
        <f>Sheet3!L10+"h_l!/3x"</f>
        <v>#VALUE!</v>
      </c>
      <c r="CM252" t="e">
        <f>Sheet3!A11+"h_l!/3y"</f>
        <v>#VALUE!</v>
      </c>
      <c r="CN252" t="e">
        <f>Sheet3!F11+"h_l!/3z"</f>
        <v>#VALUE!</v>
      </c>
      <c r="CO252" t="e">
        <f>Sheet3!G11+"h_l!/3{"</f>
        <v>#VALUE!</v>
      </c>
      <c r="CP252" t="e">
        <f>Sheet3!H11+"h_l!/3|"</f>
        <v>#VALUE!</v>
      </c>
      <c r="CQ252" t="e">
        <f>Sheet3!I11+"h_l!/3}"</f>
        <v>#VALUE!</v>
      </c>
      <c r="CR252" t="e">
        <f>Sheet3!J11+"h_l!/3~"</f>
        <v>#VALUE!</v>
      </c>
      <c r="CS252" t="e">
        <f>Sheet3!K11+"h_l!/4#"</f>
        <v>#VALUE!</v>
      </c>
      <c r="CT252" t="e">
        <f>Sheet3!L11+"h_l!/4$"</f>
        <v>#VALUE!</v>
      </c>
      <c r="CU252" t="e">
        <f>Sheet3!A12+"h_l!/4%"</f>
        <v>#VALUE!</v>
      </c>
      <c r="CV252" t="e">
        <f>Sheet3!F12+"h_l!/4&amp;"</f>
        <v>#VALUE!</v>
      </c>
      <c r="CW252" t="e">
        <f>Sheet3!G12+"h_l!/4'"</f>
        <v>#VALUE!</v>
      </c>
      <c r="CX252" t="e">
        <f>Sheet3!H12+"h_l!/4("</f>
        <v>#VALUE!</v>
      </c>
      <c r="CY252" t="e">
        <f>Sheet3!I12+"h_l!/4)"</f>
        <v>#VALUE!</v>
      </c>
      <c r="CZ252" t="e">
        <f>Sheet3!J12+"h_l!/4."</f>
        <v>#VALUE!</v>
      </c>
      <c r="DA252" t="e">
        <f>Sheet3!K12+"h_l!/4/"</f>
        <v>#VALUE!</v>
      </c>
      <c r="DB252" t="e">
        <f>Sheet3!L12+"h_l!/40"</f>
        <v>#VALUE!</v>
      </c>
      <c r="DC252" t="e">
        <f>Sheet3!A13+"h_l!/41"</f>
        <v>#VALUE!</v>
      </c>
      <c r="DD252" t="e">
        <f>Sheet3!F13+"h_l!/42"</f>
        <v>#VALUE!</v>
      </c>
      <c r="DE252" t="e">
        <f>Sheet3!G13+"h_l!/43"</f>
        <v>#VALUE!</v>
      </c>
      <c r="DF252" t="e">
        <f>Sheet3!H13+"h_l!/44"</f>
        <v>#VALUE!</v>
      </c>
      <c r="DG252" t="e">
        <f>Sheet3!I13+"h_l!/45"</f>
        <v>#VALUE!</v>
      </c>
      <c r="DH252" t="e">
        <f>Sheet3!J13+"h_l!/46"</f>
        <v>#VALUE!</v>
      </c>
      <c r="DI252" t="e">
        <f>Sheet3!K13+"h_l!/47"</f>
        <v>#VALUE!</v>
      </c>
      <c r="DJ252" t="e">
        <f>Sheet3!L13+"h_l!/48"</f>
        <v>#VALUE!</v>
      </c>
      <c r="DK252" t="e">
        <f>Sheet3!A14+"h_l!/49"</f>
        <v>#VALUE!</v>
      </c>
      <c r="DL252" t="e">
        <f>Sheet3!F14+"h_l!/4:"</f>
        <v>#VALUE!</v>
      </c>
      <c r="DM252" t="e">
        <f>Sheet3!G14+"h_l!/4;"</f>
        <v>#VALUE!</v>
      </c>
      <c r="DN252" t="e">
        <f>Sheet3!H14+"h_l!/4&lt;"</f>
        <v>#VALUE!</v>
      </c>
      <c r="DO252" t="e">
        <f>Sheet3!I14+"h_l!/4="</f>
        <v>#VALUE!</v>
      </c>
      <c r="DP252" t="e">
        <f>Sheet3!J14+"h_l!/4&gt;"</f>
        <v>#VALUE!</v>
      </c>
      <c r="DQ252" t="e">
        <f>Sheet3!K14+"h_l!/4?"</f>
        <v>#VALUE!</v>
      </c>
      <c r="DR252" t="e">
        <f>Sheet3!L14+"h_l!/4@"</f>
        <v>#VALUE!</v>
      </c>
      <c r="DS252" t="e">
        <f>Sheet3!A15+"h_l!/4A"</f>
        <v>#VALUE!</v>
      </c>
      <c r="DT252" t="e">
        <f>Sheet3!F15+"h_l!/4B"</f>
        <v>#VALUE!</v>
      </c>
      <c r="DU252" t="e">
        <f>Sheet3!G15+"h_l!/4C"</f>
        <v>#VALUE!</v>
      </c>
      <c r="DV252" t="e">
        <f>Sheet3!H15+"h_l!/4D"</f>
        <v>#VALUE!</v>
      </c>
      <c r="DW252" t="e">
        <f>Sheet3!I15+"h_l!/4E"</f>
        <v>#VALUE!</v>
      </c>
      <c r="DX252" t="e">
        <f>Sheet3!J15+"h_l!/4F"</f>
        <v>#VALUE!</v>
      </c>
      <c r="DY252" t="e">
        <f>Sheet3!K15+"h_l!/4G"</f>
        <v>#VALUE!</v>
      </c>
      <c r="DZ252" t="e">
        <f>Sheet3!L15+"h_l!/4H"</f>
        <v>#VALUE!</v>
      </c>
      <c r="EA252" t="e">
        <f>Sheet3!A16+"h_l!/4I"</f>
        <v>#VALUE!</v>
      </c>
      <c r="EB252" t="e">
        <f>Sheet3!F16+"h_l!/4J"</f>
        <v>#VALUE!</v>
      </c>
      <c r="EC252" t="e">
        <f>Sheet3!G16+"h_l!/4K"</f>
        <v>#VALUE!</v>
      </c>
      <c r="ED252" t="e">
        <f>Sheet3!H16+"h_l!/4L"</f>
        <v>#VALUE!</v>
      </c>
      <c r="EE252" t="e">
        <f>Sheet3!I16+"h_l!/4M"</f>
        <v>#VALUE!</v>
      </c>
      <c r="EF252" t="e">
        <f>Sheet3!J16+"h_l!/4N"</f>
        <v>#VALUE!</v>
      </c>
      <c r="EG252" t="e">
        <f>Sheet3!K16+"h_l!/4O"</f>
        <v>#VALUE!</v>
      </c>
      <c r="EH252" t="e">
        <f>Sheet3!L16+"h_l!/4P"</f>
        <v>#VALUE!</v>
      </c>
      <c r="EI252" t="e">
        <f>Sheet3!A17+"h_l!/4Q"</f>
        <v>#VALUE!</v>
      </c>
      <c r="EJ252" t="e">
        <f>Sheet3!F17+"h_l!/4R"</f>
        <v>#VALUE!</v>
      </c>
      <c r="EK252" t="e">
        <f>Sheet3!G17+"h_l!/4S"</f>
        <v>#VALUE!</v>
      </c>
      <c r="EL252" t="e">
        <f>Sheet3!H17+"h_l!/4T"</f>
        <v>#VALUE!</v>
      </c>
      <c r="EM252" t="e">
        <f>Sheet3!I17+"h_l!/4U"</f>
        <v>#VALUE!</v>
      </c>
      <c r="EN252" t="e">
        <f>Sheet3!J17+"h_l!/4V"</f>
        <v>#VALUE!</v>
      </c>
      <c r="EO252" t="e">
        <f>Sheet3!K17+"h_l!/4W"</f>
        <v>#VALUE!</v>
      </c>
      <c r="EP252" t="e">
        <f>Sheet3!L17+"h_l!/4X"</f>
        <v>#VALUE!</v>
      </c>
      <c r="EQ252" t="e">
        <f>Sheet3!A18+"h_l!/4Y"</f>
        <v>#VALUE!</v>
      </c>
      <c r="ER252" t="e">
        <f>Sheet3!F18+"h_l!/4Z"</f>
        <v>#VALUE!</v>
      </c>
      <c r="ES252" t="e">
        <f>Sheet3!G18+"h_l!/4["</f>
        <v>#VALUE!</v>
      </c>
      <c r="ET252" t="e">
        <f>Sheet3!H18+"h_l!/4\"</f>
        <v>#VALUE!</v>
      </c>
      <c r="EU252" t="e">
        <f>Sheet3!I18+"h_l!/4]"</f>
        <v>#VALUE!</v>
      </c>
      <c r="EV252" t="e">
        <f>Sheet3!J18+"h_l!/4^"</f>
        <v>#VALUE!</v>
      </c>
      <c r="EW252" t="e">
        <f>Sheet3!K18+"h_l!/4_"</f>
        <v>#VALUE!</v>
      </c>
      <c r="EX252" t="e">
        <f>Sheet3!L18+"h_l!/4`"</f>
        <v>#VALUE!</v>
      </c>
      <c r="EY252" t="e">
        <f>Sheet3!A19+"h_l!/4a"</f>
        <v>#VALUE!</v>
      </c>
      <c r="EZ252" t="e">
        <f>Sheet3!F19+"h_l!/4b"</f>
        <v>#VALUE!</v>
      </c>
      <c r="FA252" t="e">
        <f>Sheet3!G19+"h_l!/4c"</f>
        <v>#VALUE!</v>
      </c>
      <c r="FB252" t="e">
        <f>Sheet3!H19+"h_l!/4d"</f>
        <v>#VALUE!</v>
      </c>
      <c r="FC252" t="e">
        <f>Sheet3!I19+"h_l!/4e"</f>
        <v>#VALUE!</v>
      </c>
      <c r="FD252" t="e">
        <f>Sheet3!J19+"h_l!/4f"</f>
        <v>#VALUE!</v>
      </c>
      <c r="FE252" t="e">
        <f>Sheet3!K19+"h_l!/4g"</f>
        <v>#VALUE!</v>
      </c>
      <c r="FF252" t="e">
        <f>Sheet3!L19+"h_l!/4h"</f>
        <v>#VALUE!</v>
      </c>
      <c r="FG252" t="e">
        <f>Sheet3!A20+"h_l!/4i"</f>
        <v>#VALUE!</v>
      </c>
      <c r="FH252" t="e">
        <f>Sheet3!F20+"h_l!/4j"</f>
        <v>#VALUE!</v>
      </c>
      <c r="FI252" t="e">
        <f>Sheet3!G20+"h_l!/4k"</f>
        <v>#VALUE!</v>
      </c>
      <c r="FJ252" t="e">
        <f>Sheet3!H20+"h_l!/4l"</f>
        <v>#VALUE!</v>
      </c>
      <c r="FK252" t="e">
        <f>Sheet3!I20+"h_l!/4m"</f>
        <v>#VALUE!</v>
      </c>
      <c r="FL252" t="e">
        <f>Sheet3!J20+"h_l!/4n"</f>
        <v>#VALUE!</v>
      </c>
      <c r="FM252" t="e">
        <f>Sheet3!K20+"h_l!/4o"</f>
        <v>#VALUE!</v>
      </c>
      <c r="FN252" t="e">
        <f>Sheet3!L20+"h_l!/4p"</f>
        <v>#VALUE!</v>
      </c>
      <c r="FO252" t="e">
        <f>Sheet3!A21+"h_l!/4q"</f>
        <v>#VALUE!</v>
      </c>
      <c r="FP252" t="e">
        <f>Sheet3!F21+"h_l!/4r"</f>
        <v>#VALUE!</v>
      </c>
      <c r="FQ252" t="e">
        <f>Sheet3!G21+"h_l!/4s"</f>
        <v>#VALUE!</v>
      </c>
      <c r="FR252" t="e">
        <f>Sheet3!H21+"h_l!/4t"</f>
        <v>#VALUE!</v>
      </c>
      <c r="FS252" t="e">
        <f>Sheet3!I21+"h_l!/4u"</f>
        <v>#VALUE!</v>
      </c>
      <c r="FT252" t="e">
        <f>Sheet3!J21+"h_l!/4v"</f>
        <v>#VALUE!</v>
      </c>
      <c r="FU252" t="e">
        <f>Sheet3!K21+"h_l!/4w"</f>
        <v>#VALUE!</v>
      </c>
      <c r="FV252" t="e">
        <f>Sheet3!L21+"h_l!/4x"</f>
        <v>#VALUE!</v>
      </c>
      <c r="FW252" t="e">
        <f>Sheet3!A22+"h_l!/4y"</f>
        <v>#VALUE!</v>
      </c>
      <c r="FX252" t="e">
        <f>Sheet3!F22+"h_l!/4z"</f>
        <v>#VALUE!</v>
      </c>
      <c r="FY252" t="e">
        <f>Sheet3!G22+"h_l!/4{"</f>
        <v>#VALUE!</v>
      </c>
      <c r="FZ252" t="e">
        <f>Sheet3!H22+"h_l!/4|"</f>
        <v>#VALUE!</v>
      </c>
      <c r="GA252" t="e">
        <f>Sheet3!I22+"h_l!/4}"</f>
        <v>#VALUE!</v>
      </c>
      <c r="GB252" t="e">
        <f>Sheet3!J22+"h_l!/4~"</f>
        <v>#VALUE!</v>
      </c>
      <c r="GC252" t="e">
        <f>Sheet3!K22+"h_l!/5#"</f>
        <v>#VALUE!</v>
      </c>
      <c r="GD252" t="e">
        <f>Sheet3!L22+"h_l!/5$"</f>
        <v>#VALUE!</v>
      </c>
      <c r="GE252" t="e">
        <f>Sheet3!A23+"h_l!/5%"</f>
        <v>#VALUE!</v>
      </c>
      <c r="GF252" t="e">
        <f>Sheet3!F23+"h_l!/5&amp;"</f>
        <v>#VALUE!</v>
      </c>
      <c r="GG252" t="e">
        <f>Sheet3!G23+"h_l!/5'"</f>
        <v>#VALUE!</v>
      </c>
      <c r="GH252" t="e">
        <f>Sheet3!H23+"h_l!/5("</f>
        <v>#VALUE!</v>
      </c>
      <c r="GI252" t="e">
        <f>Sheet3!I23+"h_l!/5)"</f>
        <v>#VALUE!</v>
      </c>
      <c r="GJ252" t="e">
        <f>Sheet3!J23+"h_l!/5."</f>
        <v>#VALUE!</v>
      </c>
      <c r="GK252" t="e">
        <f>Sheet3!K23+"h_l!/5/"</f>
        <v>#VALUE!</v>
      </c>
      <c r="GL252" t="e">
        <f>Sheet3!L23+"h_l!/50"</f>
        <v>#VALUE!</v>
      </c>
      <c r="GM252" t="e">
        <f>Sheet3!A24+"h_l!/51"</f>
        <v>#VALUE!</v>
      </c>
      <c r="GN252" t="e">
        <f>Sheet3!F24+"h_l!/52"</f>
        <v>#VALUE!</v>
      </c>
      <c r="GO252" t="e">
        <f>Sheet3!G24+"h_l!/53"</f>
        <v>#VALUE!</v>
      </c>
      <c r="GP252" t="e">
        <f>Sheet3!H24+"h_l!/54"</f>
        <v>#VALUE!</v>
      </c>
      <c r="GQ252" t="e">
        <f>Sheet3!I24+"h_l!/55"</f>
        <v>#VALUE!</v>
      </c>
      <c r="GR252" t="e">
        <f>Sheet3!J24+"h_l!/56"</f>
        <v>#VALUE!</v>
      </c>
      <c r="GS252" t="e">
        <f>Sheet3!K24+"h_l!/57"</f>
        <v>#VALUE!</v>
      </c>
      <c r="GT252" t="e">
        <f>Sheet3!L24+"h_l!/58"</f>
        <v>#VALUE!</v>
      </c>
      <c r="GU252" t="e">
        <f>Sheet3!A25+"h_l!/59"</f>
        <v>#VALUE!</v>
      </c>
      <c r="GV252" t="e">
        <f>Sheet3!F25+"h_l!/5:"</f>
        <v>#VALUE!</v>
      </c>
      <c r="GW252" t="e">
        <f>Sheet3!G25+"h_l!/5;"</f>
        <v>#VALUE!</v>
      </c>
      <c r="GX252" t="e">
        <f>Sheet3!H25+"h_l!/5&lt;"</f>
        <v>#VALUE!</v>
      </c>
      <c r="GY252" t="e">
        <f>Sheet3!I25+"h_l!/5="</f>
        <v>#VALUE!</v>
      </c>
      <c r="GZ252" t="e">
        <f>Sheet3!J25+"h_l!/5&gt;"</f>
        <v>#VALUE!</v>
      </c>
      <c r="HA252" t="e">
        <f>Sheet3!K25+"h_l!/5?"</f>
        <v>#VALUE!</v>
      </c>
      <c r="HB252" t="e">
        <f>Sheet3!L25+"h_l!/5@"</f>
        <v>#VALUE!</v>
      </c>
      <c r="HC252" t="e">
        <f>Sheet3!A26+"h_l!/5A"</f>
        <v>#VALUE!</v>
      </c>
      <c r="HD252" t="e">
        <f>Sheet3!F26+"h_l!/5B"</f>
        <v>#VALUE!</v>
      </c>
      <c r="HE252" t="e">
        <f>Sheet3!G26+"h_l!/5C"</f>
        <v>#VALUE!</v>
      </c>
      <c r="HF252" t="e">
        <f>Sheet3!H26+"h_l!/5D"</f>
        <v>#VALUE!</v>
      </c>
      <c r="HG252" t="e">
        <f>Sheet3!I26+"h_l!/5E"</f>
        <v>#VALUE!</v>
      </c>
      <c r="HH252" t="e">
        <f>Sheet3!J26+"h_l!/5F"</f>
        <v>#VALUE!</v>
      </c>
      <c r="HI252" t="e">
        <f>Sheet3!K26+"h_l!/5G"</f>
        <v>#VALUE!</v>
      </c>
      <c r="HJ252" t="e">
        <f>Sheet3!L26+"h_l!/5H"</f>
        <v>#VALUE!</v>
      </c>
      <c r="HK252" t="e">
        <f>Sheet3!A27+"h_l!/5I"</f>
        <v>#VALUE!</v>
      </c>
      <c r="HL252" t="e">
        <f>Sheet3!F27+"h_l!/5J"</f>
        <v>#VALUE!</v>
      </c>
      <c r="HM252" t="e">
        <f>Sheet3!G27+"h_l!/5K"</f>
        <v>#VALUE!</v>
      </c>
      <c r="HN252" t="e">
        <f>Sheet3!H27+"h_l!/5L"</f>
        <v>#VALUE!</v>
      </c>
      <c r="HO252" t="e">
        <f>Sheet3!I27+"h_l!/5M"</f>
        <v>#VALUE!</v>
      </c>
      <c r="HP252" t="e">
        <f>Sheet3!J27+"h_l!/5N"</f>
        <v>#VALUE!</v>
      </c>
      <c r="HQ252" t="e">
        <f>Sheet3!K27+"h_l!/5O"</f>
        <v>#VALUE!</v>
      </c>
      <c r="HR252" t="e">
        <f>Sheet3!L27+"h_l!/5P"</f>
        <v>#VALUE!</v>
      </c>
      <c r="HS252" t="e">
        <f>Sheet3!A28+"h_l!/5Q"</f>
        <v>#VALUE!</v>
      </c>
      <c r="HT252" t="e">
        <f>Sheet3!F28+"h_l!/5R"</f>
        <v>#VALUE!</v>
      </c>
      <c r="HU252" t="e">
        <f>Sheet3!G28+"h_l!/5S"</f>
        <v>#VALUE!</v>
      </c>
      <c r="HV252" t="e">
        <f>Sheet3!H28+"h_l!/5T"</f>
        <v>#VALUE!</v>
      </c>
      <c r="HW252" t="e">
        <f>Sheet3!I28+"h_l!/5U"</f>
        <v>#VALUE!</v>
      </c>
      <c r="HX252" t="e">
        <f>Sheet3!J28+"h_l!/5V"</f>
        <v>#VALUE!</v>
      </c>
      <c r="HY252" t="e">
        <f>Sheet3!K28+"h_l!/5W"</f>
        <v>#VALUE!</v>
      </c>
      <c r="HZ252" t="e">
        <f>Sheet3!L28+"h_l!/5X"</f>
        <v>#VALUE!</v>
      </c>
      <c r="IA252" t="e">
        <f>Sheet3!A29+"h_l!/5Y"</f>
        <v>#VALUE!</v>
      </c>
      <c r="IB252" t="e">
        <f>Sheet3!F29+"h_l!/5Z"</f>
        <v>#VALUE!</v>
      </c>
      <c r="IC252" t="e">
        <f>Sheet3!G29+"h_l!/5["</f>
        <v>#VALUE!</v>
      </c>
      <c r="ID252" t="e">
        <f>Sheet3!H29+"h_l!/5\"</f>
        <v>#VALUE!</v>
      </c>
      <c r="IE252" t="e">
        <f>Sheet3!I29+"h_l!/5]"</f>
        <v>#VALUE!</v>
      </c>
      <c r="IF252" t="e">
        <f>Sheet3!J29+"h_l!/5^"</f>
        <v>#VALUE!</v>
      </c>
      <c r="IG252" t="e">
        <f>Sheet3!K29+"h_l!/5_"</f>
        <v>#VALUE!</v>
      </c>
      <c r="IH252" t="e">
        <f>Sheet3!L29+"h_l!/5`"</f>
        <v>#VALUE!</v>
      </c>
      <c r="II252" t="e">
        <f>Sheet3!A30+"h_l!/5a"</f>
        <v>#VALUE!</v>
      </c>
      <c r="IJ252" t="e">
        <f>Sheet3!F30+"h_l!/5b"</f>
        <v>#VALUE!</v>
      </c>
      <c r="IK252" t="e">
        <f>Sheet3!G30+"h_l!/5c"</f>
        <v>#VALUE!</v>
      </c>
      <c r="IL252" t="e">
        <f>Sheet3!H30+"h_l!/5d"</f>
        <v>#VALUE!</v>
      </c>
      <c r="IM252" t="e">
        <f>Sheet3!I30+"h_l!/5e"</f>
        <v>#VALUE!</v>
      </c>
      <c r="IN252" t="e">
        <f>Sheet3!J30+"h_l!/5f"</f>
        <v>#VALUE!</v>
      </c>
      <c r="IO252" t="e">
        <f>Sheet3!K30+"h_l!/5g"</f>
        <v>#VALUE!</v>
      </c>
      <c r="IP252" t="e">
        <f>Sheet3!L30+"h_l!/5h"</f>
        <v>#VALUE!</v>
      </c>
      <c r="IQ252" t="e">
        <f>Sheet3!A31+"h_l!/5i"</f>
        <v>#VALUE!</v>
      </c>
      <c r="IR252" t="e">
        <f>Sheet3!F31+"h_l!/5j"</f>
        <v>#VALUE!</v>
      </c>
      <c r="IS252" t="e">
        <f>Sheet3!G31+"h_l!/5k"</f>
        <v>#VALUE!</v>
      </c>
      <c r="IT252" t="e">
        <f>Sheet3!H31+"h_l!/5l"</f>
        <v>#VALUE!</v>
      </c>
      <c r="IU252" t="e">
        <f>Sheet3!I31+"h_l!/5m"</f>
        <v>#VALUE!</v>
      </c>
      <c r="IV252" t="e">
        <f>Sheet3!J31+"h_l!/5n"</f>
        <v>#VALUE!</v>
      </c>
    </row>
    <row r="253" spans="6:256" x14ac:dyDescent="0.25">
      <c r="F253" t="e">
        <f>Sheet3!K31+"h_l!/5o"</f>
        <v>#VALUE!</v>
      </c>
      <c r="G253" t="e">
        <f>Sheet3!L31+"h_l!/5p"</f>
        <v>#VALUE!</v>
      </c>
      <c r="H253" t="e">
        <f>Sheet3!A32+"h_l!/5q"</f>
        <v>#VALUE!</v>
      </c>
      <c r="I253" t="e">
        <f>Sheet3!F32+"h_l!/5r"</f>
        <v>#VALUE!</v>
      </c>
      <c r="J253" t="e">
        <f>Sheet3!G32+"h_l!/5s"</f>
        <v>#VALUE!</v>
      </c>
      <c r="K253" t="e">
        <f>Sheet3!H32+"h_l!/5t"</f>
        <v>#VALUE!</v>
      </c>
      <c r="L253" t="e">
        <f>Sheet3!I32+"h_l!/5u"</f>
        <v>#VALUE!</v>
      </c>
      <c r="M253" t="e">
        <f>Sheet3!J32+"h_l!/5v"</f>
        <v>#VALUE!</v>
      </c>
      <c r="N253" t="e">
        <f>Sheet3!K32+"h_l!/5w"</f>
        <v>#VALUE!</v>
      </c>
      <c r="O253" t="e">
        <f>Sheet3!L32+"h_l!/5x"</f>
        <v>#VALUE!</v>
      </c>
      <c r="P253" t="e">
        <f>Sheet3!A33+"h_l!/5y"</f>
        <v>#VALUE!</v>
      </c>
      <c r="Q253" t="e">
        <f>Sheet3!F33+"h_l!/5z"</f>
        <v>#VALUE!</v>
      </c>
      <c r="R253" t="e">
        <f>Sheet3!G33+"h_l!/5{"</f>
        <v>#VALUE!</v>
      </c>
      <c r="S253" t="e">
        <f>Sheet3!H33+"h_l!/5|"</f>
        <v>#VALUE!</v>
      </c>
      <c r="T253" t="e">
        <f>Sheet3!I33+"h_l!/5}"</f>
        <v>#VALUE!</v>
      </c>
      <c r="U253" t="e">
        <f>Sheet3!J33+"h_l!/5~"</f>
        <v>#VALUE!</v>
      </c>
      <c r="V253" t="e">
        <f>Sheet3!K33+"h_l!/6#"</f>
        <v>#VALUE!</v>
      </c>
      <c r="W253" t="e">
        <f>Sheet3!L33+"h_l!/6$"</f>
        <v>#VALUE!</v>
      </c>
      <c r="X253" t="e">
        <f>Sheet3!A34+"h_l!/6%"</f>
        <v>#VALUE!</v>
      </c>
      <c r="Y253" t="e">
        <f>Sheet3!F34+"h_l!/6&amp;"</f>
        <v>#VALUE!</v>
      </c>
      <c r="Z253" t="e">
        <f>Sheet3!G34+"h_l!/6'"</f>
        <v>#VALUE!</v>
      </c>
      <c r="AA253" t="e">
        <f>Sheet3!H34+"h_l!/6("</f>
        <v>#VALUE!</v>
      </c>
      <c r="AB253" t="e">
        <f>Sheet3!I34+"h_l!/6)"</f>
        <v>#VALUE!</v>
      </c>
      <c r="AC253" t="e">
        <f>Sheet3!J34+"h_l!/6."</f>
        <v>#VALUE!</v>
      </c>
      <c r="AD253" t="e">
        <f>Sheet3!K34+"h_l!/6/"</f>
        <v>#VALUE!</v>
      </c>
      <c r="AE253" t="e">
        <f>Sheet3!L34+"h_l!/60"</f>
        <v>#VALUE!</v>
      </c>
      <c r="AF253" t="e">
        <f>Sheet3!A35+"h_l!/61"</f>
        <v>#VALUE!</v>
      </c>
      <c r="AG253" t="e">
        <f>Sheet3!F35+"h_l!/62"</f>
        <v>#VALUE!</v>
      </c>
      <c r="AH253" t="e">
        <f>Sheet3!G35+"h_l!/63"</f>
        <v>#VALUE!</v>
      </c>
      <c r="AI253" t="e">
        <f>Sheet3!H35+"h_l!/64"</f>
        <v>#VALUE!</v>
      </c>
      <c r="AJ253" t="e">
        <f>Sheet3!I35+"h_l!/65"</f>
        <v>#VALUE!</v>
      </c>
      <c r="AK253" t="e">
        <f>Sheet3!J35+"h_l!/66"</f>
        <v>#VALUE!</v>
      </c>
      <c r="AL253" t="e">
        <f>Sheet3!K35+"h_l!/67"</f>
        <v>#VALUE!</v>
      </c>
      <c r="AM253" t="e">
        <f>Sheet3!L35+"h_l!/68"</f>
        <v>#VALUE!</v>
      </c>
      <c r="AN253" t="e">
        <f>Sheet3!A36+"h_l!/69"</f>
        <v>#VALUE!</v>
      </c>
      <c r="AO253" t="e">
        <f>Sheet3!F36+"h_l!/6:"</f>
        <v>#VALUE!</v>
      </c>
      <c r="AP253" t="e">
        <f>Sheet3!G36+"h_l!/6;"</f>
        <v>#VALUE!</v>
      </c>
      <c r="AQ253" t="e">
        <f>Sheet3!H36+"h_l!/6&lt;"</f>
        <v>#VALUE!</v>
      </c>
      <c r="AR253" t="e">
        <f>Sheet3!I36+"h_l!/6="</f>
        <v>#VALUE!</v>
      </c>
      <c r="AS253" t="e">
        <f>Sheet3!J36+"h_l!/6&gt;"</f>
        <v>#VALUE!</v>
      </c>
      <c r="AT253" t="e">
        <f>Sheet3!K36+"h_l!/6?"</f>
        <v>#VALUE!</v>
      </c>
      <c r="AU253" t="e">
        <f>Sheet3!L36+"h_l!/6@"</f>
        <v>#VALUE!</v>
      </c>
      <c r="AV253" t="e">
        <f>Sheet3!A37+"h_l!/6A"</f>
        <v>#VALUE!</v>
      </c>
      <c r="AW253" t="e">
        <f>Sheet3!F37+"h_l!/6B"</f>
        <v>#VALUE!</v>
      </c>
      <c r="AX253" t="e">
        <f>Sheet3!G37+"h_l!/6C"</f>
        <v>#VALUE!</v>
      </c>
      <c r="AY253" t="e">
        <f>Sheet3!H37+"h_l!/6D"</f>
        <v>#VALUE!</v>
      </c>
      <c r="AZ253" t="e">
        <f>Sheet3!I37+"h_l!/6E"</f>
        <v>#VALUE!</v>
      </c>
      <c r="BA253" t="e">
        <f>Sheet3!J37+"h_l!/6F"</f>
        <v>#VALUE!</v>
      </c>
      <c r="BB253" t="e">
        <f>Sheet3!K37+"h_l!/6G"</f>
        <v>#VALUE!</v>
      </c>
      <c r="BC253" t="e">
        <f>Sheet3!L37+"h_l!/6H"</f>
        <v>#VALUE!</v>
      </c>
      <c r="BD253" t="e">
        <f>Sheet3!A38+"h_l!/6I"</f>
        <v>#VALUE!</v>
      </c>
      <c r="BE253" t="e">
        <f>Sheet3!F38+"h_l!/6J"</f>
        <v>#VALUE!</v>
      </c>
      <c r="BF253" t="e">
        <f>Sheet3!G38+"h_l!/6K"</f>
        <v>#VALUE!</v>
      </c>
      <c r="BG253" t="e">
        <f>Sheet3!H38+"h_l!/6L"</f>
        <v>#VALUE!</v>
      </c>
      <c r="BH253" t="e">
        <f>Sheet3!I38+"h_l!/6M"</f>
        <v>#VALUE!</v>
      </c>
      <c r="BI253" t="e">
        <f>Sheet3!J38+"h_l!/6N"</f>
        <v>#VALUE!</v>
      </c>
      <c r="BJ253" t="e">
        <f>Sheet3!K38+"h_l!/6O"</f>
        <v>#VALUE!</v>
      </c>
      <c r="BK253" t="e">
        <f>Sheet3!L38+"h_l!/6P"</f>
        <v>#VALUE!</v>
      </c>
      <c r="BL253" t="e">
        <f>Sheet3!A39+"h_l!/6Q"</f>
        <v>#VALUE!</v>
      </c>
      <c r="BM253" t="e">
        <f>Sheet3!F39+"h_l!/6R"</f>
        <v>#VALUE!</v>
      </c>
      <c r="BN253" t="e">
        <f>Sheet3!G39+"h_l!/6S"</f>
        <v>#VALUE!</v>
      </c>
      <c r="BO253" t="e">
        <f>Sheet3!H39+"h_l!/6T"</f>
        <v>#VALUE!</v>
      </c>
      <c r="BP253" t="e">
        <f>Sheet3!I39+"h_l!/6U"</f>
        <v>#VALUE!</v>
      </c>
      <c r="BQ253" t="e">
        <f>Sheet3!J39+"h_l!/6V"</f>
        <v>#VALUE!</v>
      </c>
      <c r="BR253" t="e">
        <f>Sheet3!K39+"h_l!/6W"</f>
        <v>#VALUE!</v>
      </c>
      <c r="BS253" t="e">
        <f>Sheet3!L39+"h_l!/6X"</f>
        <v>#VALUE!</v>
      </c>
      <c r="BT253" t="e">
        <f>Sheet3!A40+"h_l!/6Y"</f>
        <v>#VALUE!</v>
      </c>
      <c r="BU253" t="e">
        <f>Sheet3!F40+"h_l!/6Z"</f>
        <v>#VALUE!</v>
      </c>
      <c r="BV253" t="e">
        <f>Sheet3!G40+"h_l!/6["</f>
        <v>#VALUE!</v>
      </c>
      <c r="BW253" t="e">
        <f>Sheet3!H40+"h_l!/6\"</f>
        <v>#VALUE!</v>
      </c>
      <c r="BX253" t="e">
        <f>Sheet3!I40+"h_l!/6]"</f>
        <v>#VALUE!</v>
      </c>
      <c r="BY253" t="e">
        <f>Sheet3!J40+"h_l!/6^"</f>
        <v>#VALUE!</v>
      </c>
      <c r="BZ253" t="e">
        <f>Sheet3!K40+"h_l!/6_"</f>
        <v>#VALUE!</v>
      </c>
      <c r="CA253" t="e">
        <f>Sheet3!L40+"h_l!/6`"</f>
        <v>#VALUE!</v>
      </c>
      <c r="CB253" t="e">
        <f>Sheet3!A41+"h_l!/6a"</f>
        <v>#VALUE!</v>
      </c>
      <c r="CC253" t="e">
        <f>Sheet3!F41+"h_l!/6b"</f>
        <v>#VALUE!</v>
      </c>
      <c r="CD253" t="e">
        <f>Sheet3!G41+"h_l!/6c"</f>
        <v>#VALUE!</v>
      </c>
      <c r="CE253" t="e">
        <f>Sheet3!H41+"h_l!/6d"</f>
        <v>#VALUE!</v>
      </c>
      <c r="CF253" t="e">
        <f>Sheet3!I41+"h_l!/6e"</f>
        <v>#VALUE!</v>
      </c>
      <c r="CG253" t="e">
        <f>Sheet3!J41+"h_l!/6f"</f>
        <v>#VALUE!</v>
      </c>
      <c r="CH253" t="e">
        <f>Sheet3!K41+"h_l!/6g"</f>
        <v>#VALUE!</v>
      </c>
      <c r="CI253" t="e">
        <f>Sheet3!L41+"h_l!/6h"</f>
        <v>#VALUE!</v>
      </c>
      <c r="CJ253" t="e">
        <f>Sheet3!A42+"h_l!/6i"</f>
        <v>#VALUE!</v>
      </c>
      <c r="CK253" t="e">
        <f>Sheet3!F42+"h_l!/6j"</f>
        <v>#VALUE!</v>
      </c>
      <c r="CL253" t="e">
        <f>Sheet3!G42+"h_l!/6k"</f>
        <v>#VALUE!</v>
      </c>
      <c r="CM253" t="e">
        <f>Sheet3!H42+"h_l!/6l"</f>
        <v>#VALUE!</v>
      </c>
      <c r="CN253" t="e">
        <f>Sheet3!I42+"h_l!/6m"</f>
        <v>#VALUE!</v>
      </c>
      <c r="CO253" t="e">
        <f>Sheet3!J42+"h_l!/6n"</f>
        <v>#VALUE!</v>
      </c>
      <c r="CP253" t="e">
        <f>Sheet3!K42+"h_l!/6o"</f>
        <v>#VALUE!</v>
      </c>
      <c r="CQ253" t="e">
        <f>Sheet3!L42+"h_l!/6p"</f>
        <v>#VALUE!</v>
      </c>
      <c r="CR253" t="e">
        <f>Sheet3!A43+"h_l!/6q"</f>
        <v>#VALUE!</v>
      </c>
      <c r="CS253" t="e">
        <f>Sheet3!F43+"h_l!/6r"</f>
        <v>#VALUE!</v>
      </c>
      <c r="CT253" t="e">
        <f>Sheet3!G43+"h_l!/6s"</f>
        <v>#VALUE!</v>
      </c>
      <c r="CU253" t="e">
        <f>Sheet3!H43+"h_l!/6t"</f>
        <v>#VALUE!</v>
      </c>
      <c r="CV253" t="e">
        <f>Sheet3!I43+"h_l!/6u"</f>
        <v>#VALUE!</v>
      </c>
      <c r="CW253" t="e">
        <f>Sheet3!J43+"h_l!/6v"</f>
        <v>#VALUE!</v>
      </c>
      <c r="CX253" t="e">
        <f>Sheet3!K43+"h_l!/6w"</f>
        <v>#VALUE!</v>
      </c>
      <c r="CY253" t="e">
        <f>Sheet3!L43+"h_l!/6x"</f>
        <v>#VALUE!</v>
      </c>
      <c r="CZ253" t="e">
        <f>Sheet3!A44+"h_l!/6y"</f>
        <v>#VALUE!</v>
      </c>
      <c r="DA253" t="e">
        <f>Sheet3!F44+"h_l!/6z"</f>
        <v>#VALUE!</v>
      </c>
      <c r="DB253" t="e">
        <f>Sheet3!G44+"h_l!/6{"</f>
        <v>#VALUE!</v>
      </c>
      <c r="DC253" t="e">
        <f>Sheet3!H44+"h_l!/6|"</f>
        <v>#VALUE!</v>
      </c>
      <c r="DD253" t="e">
        <f>Sheet3!I44+"h_l!/6}"</f>
        <v>#VALUE!</v>
      </c>
      <c r="DE253" t="e">
        <f>Sheet3!J44+"h_l!/6~"</f>
        <v>#VALUE!</v>
      </c>
      <c r="DF253" t="e">
        <f>Sheet3!K44+"h_l!/7#"</f>
        <v>#VALUE!</v>
      </c>
      <c r="DG253" t="e">
        <f>Sheet3!L44+"h_l!/7$"</f>
        <v>#VALUE!</v>
      </c>
      <c r="DH253" t="e">
        <f>Sheet3!A45+"h_l!/7%"</f>
        <v>#VALUE!</v>
      </c>
      <c r="DI253" t="e">
        <f>Sheet3!F45+"h_l!/7&amp;"</f>
        <v>#VALUE!</v>
      </c>
      <c r="DJ253" t="e">
        <f>Sheet3!G45+"h_l!/7'"</f>
        <v>#VALUE!</v>
      </c>
      <c r="DK253" t="e">
        <f>Sheet3!H45+"h_l!/7("</f>
        <v>#VALUE!</v>
      </c>
      <c r="DL253" t="e">
        <f>Sheet3!I45+"h_l!/7)"</f>
        <v>#VALUE!</v>
      </c>
      <c r="DM253" t="e">
        <f>Sheet3!J45+"h_l!/7."</f>
        <v>#VALUE!</v>
      </c>
      <c r="DN253" t="e">
        <f>Sheet3!K45+"h_l!/7/"</f>
        <v>#VALUE!</v>
      </c>
      <c r="DO253" t="e">
        <f>Sheet3!L45+"h_l!/70"</f>
        <v>#VALUE!</v>
      </c>
      <c r="DP253" t="e">
        <f>Sheet3!A46+"h_l!/71"</f>
        <v>#VALUE!</v>
      </c>
      <c r="DQ253" t="e">
        <f>Sheet3!F46+"h_l!/72"</f>
        <v>#VALUE!</v>
      </c>
      <c r="DR253" t="e">
        <f>Sheet3!G46+"h_l!/73"</f>
        <v>#VALUE!</v>
      </c>
      <c r="DS253" t="e">
        <f>Sheet3!H46+"h_l!/74"</f>
        <v>#VALUE!</v>
      </c>
      <c r="DT253" t="e">
        <f>Sheet3!I46+"h_l!/75"</f>
        <v>#VALUE!</v>
      </c>
      <c r="DU253" t="e">
        <f>Sheet3!J46+"h_l!/76"</f>
        <v>#VALUE!</v>
      </c>
      <c r="DV253" t="e">
        <f>Sheet3!K46+"h_l!/77"</f>
        <v>#VALUE!</v>
      </c>
      <c r="DW253" t="e">
        <f>Sheet3!L46+"h_l!/78"</f>
        <v>#VALUE!</v>
      </c>
      <c r="DX253" t="e">
        <f>Sheet3!A47+"h_l!/79"</f>
        <v>#VALUE!</v>
      </c>
      <c r="DY253" t="e">
        <f>Sheet3!F47+"h_l!/7:"</f>
        <v>#VALUE!</v>
      </c>
      <c r="DZ253" t="e">
        <f>Sheet3!G47+"h_l!/7;"</f>
        <v>#VALUE!</v>
      </c>
      <c r="EA253" t="e">
        <f>Sheet3!H47+"h_l!/7&lt;"</f>
        <v>#VALUE!</v>
      </c>
      <c r="EB253" t="e">
        <f>Sheet3!I47+"h_l!/7="</f>
        <v>#VALUE!</v>
      </c>
      <c r="EC253" t="e">
        <f>Sheet3!J47+"h_l!/7&gt;"</f>
        <v>#VALUE!</v>
      </c>
      <c r="ED253" t="e">
        <f>Sheet3!K47+"h_l!/7?"</f>
        <v>#VALUE!</v>
      </c>
      <c r="EE253" t="e">
        <f>Sheet3!L47+"h_l!/7@"</f>
        <v>#VALUE!</v>
      </c>
      <c r="EF253" t="e">
        <f>Sheet3!A48+"h_l!/7A"</f>
        <v>#VALUE!</v>
      </c>
      <c r="EG253" t="e">
        <f>Sheet3!F48+"h_l!/7B"</f>
        <v>#VALUE!</v>
      </c>
      <c r="EH253" t="e">
        <f>Sheet3!G48+"h_l!/7C"</f>
        <v>#VALUE!</v>
      </c>
      <c r="EI253" t="e">
        <f>Sheet3!H48+"h_l!/7D"</f>
        <v>#VALUE!</v>
      </c>
      <c r="EJ253" t="e">
        <f>Sheet3!I48+"h_l!/7E"</f>
        <v>#VALUE!</v>
      </c>
      <c r="EK253" t="e">
        <f>Sheet3!J48+"h_l!/7F"</f>
        <v>#VALUE!</v>
      </c>
      <c r="EL253" t="e">
        <f>Sheet3!K48+"h_l!/7G"</f>
        <v>#VALUE!</v>
      </c>
      <c r="EM253" t="e">
        <f>Sheet3!L48+"h_l!/7H"</f>
        <v>#VALUE!</v>
      </c>
      <c r="EN253" t="e">
        <f>Sheet3!A49+"h_l!/7I"</f>
        <v>#VALUE!</v>
      </c>
      <c r="EO253" t="e">
        <f>Sheet3!F49+"h_l!/7J"</f>
        <v>#VALUE!</v>
      </c>
      <c r="EP253" t="e">
        <f>Sheet3!G49+"h_l!/7K"</f>
        <v>#VALUE!</v>
      </c>
      <c r="EQ253" t="e">
        <f>Sheet3!H49+"h_l!/7L"</f>
        <v>#VALUE!</v>
      </c>
      <c r="ER253" t="e">
        <f>Sheet3!I49+"h_l!/7M"</f>
        <v>#VALUE!</v>
      </c>
      <c r="ES253" t="e">
        <f>Sheet3!J49+"h_l!/7N"</f>
        <v>#VALUE!</v>
      </c>
      <c r="ET253" t="e">
        <f>Sheet3!K49+"h_l!/7O"</f>
        <v>#VALUE!</v>
      </c>
      <c r="EU253" t="e">
        <f>Sheet3!L49+"h_l!/7P"</f>
        <v>#VALUE!</v>
      </c>
      <c r="EV253" t="e">
        <f>Sheet3!A50+"h_l!/7Q"</f>
        <v>#VALUE!</v>
      </c>
      <c r="EW253" t="e">
        <f>Sheet3!F50+"h_l!/7R"</f>
        <v>#VALUE!</v>
      </c>
      <c r="EX253" t="e">
        <f>Sheet3!G50+"h_l!/7S"</f>
        <v>#VALUE!</v>
      </c>
      <c r="EY253" t="e">
        <f>Sheet3!H50+"h_l!/7T"</f>
        <v>#VALUE!</v>
      </c>
      <c r="EZ253" t="e">
        <f>Sheet3!I50+"h_l!/7U"</f>
        <v>#VALUE!</v>
      </c>
      <c r="FA253" t="e">
        <f>Sheet3!J50+"h_l!/7V"</f>
        <v>#VALUE!</v>
      </c>
      <c r="FB253" t="e">
        <f>Sheet3!K50+"h_l!/7W"</f>
        <v>#VALUE!</v>
      </c>
      <c r="FC253" t="e">
        <f>Sheet3!L50+"h_l!/7X"</f>
        <v>#VALUE!</v>
      </c>
      <c r="FD253" t="e">
        <f>Sheet3!A51+"h_l!/7Y"</f>
        <v>#VALUE!</v>
      </c>
      <c r="FE253" t="e">
        <f>Sheet3!F51+"h_l!/7Z"</f>
        <v>#VALUE!</v>
      </c>
      <c r="FF253" t="e">
        <f>Sheet3!G51+"h_l!/7["</f>
        <v>#VALUE!</v>
      </c>
      <c r="FG253" t="e">
        <f>Sheet3!H51+"h_l!/7\"</f>
        <v>#VALUE!</v>
      </c>
      <c r="FH253" t="e">
        <f>Sheet3!I51+"h_l!/7]"</f>
        <v>#VALUE!</v>
      </c>
      <c r="FI253" t="e">
        <f>Sheet3!J51+"h_l!/7^"</f>
        <v>#VALUE!</v>
      </c>
      <c r="FJ253" t="e">
        <f>Sheet3!K51+"h_l!/7_"</f>
        <v>#VALUE!</v>
      </c>
      <c r="FK253" t="e">
        <f>Sheet3!L51+"h_l!/7`"</f>
        <v>#VALUE!</v>
      </c>
      <c r="FL253" t="e">
        <f>Sheet3!A52+"h_l!/7a"</f>
        <v>#VALUE!</v>
      </c>
      <c r="FM253" t="e">
        <f>Sheet3!F52+"h_l!/7b"</f>
        <v>#VALUE!</v>
      </c>
      <c r="FN253" t="e">
        <f>Sheet3!G52+"h_l!/7c"</f>
        <v>#VALUE!</v>
      </c>
      <c r="FO253" t="e">
        <f>Sheet3!H52+"h_l!/7d"</f>
        <v>#VALUE!</v>
      </c>
      <c r="FP253" t="e">
        <f>Sheet3!I52+"h_l!/7e"</f>
        <v>#VALUE!</v>
      </c>
      <c r="FQ253" t="e">
        <f>Sheet3!J52+"h_l!/7f"</f>
        <v>#VALUE!</v>
      </c>
      <c r="FR253" t="e">
        <f>Sheet3!K52+"h_l!/7g"</f>
        <v>#VALUE!</v>
      </c>
      <c r="FS253" t="e">
        <f>Sheet3!L52+"h_l!/7h"</f>
        <v>#VALUE!</v>
      </c>
      <c r="FT253" t="e">
        <f>Sheet3!A53+"h_l!/7i"</f>
        <v>#VALUE!</v>
      </c>
      <c r="FU253" t="e">
        <f>Sheet3!F53+"h_l!/7j"</f>
        <v>#VALUE!</v>
      </c>
      <c r="FV253" t="e">
        <f>Sheet3!G53+"h_l!/7k"</f>
        <v>#VALUE!</v>
      </c>
      <c r="FW253" t="e">
        <f>Sheet3!H53+"h_l!/7l"</f>
        <v>#VALUE!</v>
      </c>
      <c r="FX253" t="e">
        <f>Sheet3!I53+"h_l!/7m"</f>
        <v>#VALUE!</v>
      </c>
      <c r="FY253" t="e">
        <f>Sheet3!J53+"h_l!/7n"</f>
        <v>#VALUE!</v>
      </c>
      <c r="FZ253" t="e">
        <f>Sheet3!K53+"h_l!/7o"</f>
        <v>#VALUE!</v>
      </c>
      <c r="GA253" t="e">
        <f>Sheet3!L53+"h_l!/7p"</f>
        <v>#VALUE!</v>
      </c>
      <c r="GB253" t="e">
        <f>Sheet3!A54+"h_l!/7q"</f>
        <v>#VALUE!</v>
      </c>
      <c r="GC253" t="e">
        <f>Sheet3!F54+"h_l!/7r"</f>
        <v>#VALUE!</v>
      </c>
      <c r="GD253" t="e">
        <f>Sheet3!G54+"h_l!/7s"</f>
        <v>#VALUE!</v>
      </c>
      <c r="GE253" t="e">
        <f>Sheet3!H54+"h_l!/7t"</f>
        <v>#VALUE!</v>
      </c>
      <c r="GF253" t="e">
        <f>Sheet3!I54+"h_l!/7u"</f>
        <v>#VALUE!</v>
      </c>
      <c r="GG253" t="e">
        <f>Sheet3!J54+"h_l!/7v"</f>
        <v>#VALUE!</v>
      </c>
      <c r="GH253" t="e">
        <f>Sheet3!K54+"h_l!/7w"</f>
        <v>#VALUE!</v>
      </c>
      <c r="GI253" t="e">
        <f>Sheet3!L54+"h_l!/7x"</f>
        <v>#VALUE!</v>
      </c>
      <c r="GJ253" t="e">
        <f>Sheet3!A55+"h_l!/7y"</f>
        <v>#VALUE!</v>
      </c>
      <c r="GK253" t="e">
        <f>Sheet3!F55+"h_l!/7z"</f>
        <v>#VALUE!</v>
      </c>
      <c r="GL253" t="e">
        <f>Sheet3!G55+"h_l!/7{"</f>
        <v>#VALUE!</v>
      </c>
      <c r="GM253" t="e">
        <f>Sheet3!H55+"h_l!/7|"</f>
        <v>#VALUE!</v>
      </c>
      <c r="GN253" t="e">
        <f>Sheet3!I55+"h_l!/7}"</f>
        <v>#VALUE!</v>
      </c>
      <c r="GO253" t="e">
        <f>Sheet3!J55+"h_l!/7~"</f>
        <v>#VALUE!</v>
      </c>
      <c r="GP253" t="e">
        <f>Sheet3!K55+"h_l!/8#"</f>
        <v>#VALUE!</v>
      </c>
      <c r="GQ253" t="e">
        <f>Sheet3!L55+"h_l!/8$"</f>
        <v>#VALUE!</v>
      </c>
      <c r="GR253" t="e">
        <f>Sheet3!A56+"h_l!/8%"</f>
        <v>#VALUE!</v>
      </c>
      <c r="GS253" t="e">
        <f>Sheet3!F56+"h_l!/8&amp;"</f>
        <v>#VALUE!</v>
      </c>
      <c r="GT253" t="e">
        <f>Sheet3!G56+"h_l!/8'"</f>
        <v>#VALUE!</v>
      </c>
      <c r="GU253" t="e">
        <f>Sheet3!H56+"h_l!/8("</f>
        <v>#VALUE!</v>
      </c>
      <c r="GV253" t="e">
        <f>Sheet3!I56+"h_l!/8)"</f>
        <v>#VALUE!</v>
      </c>
      <c r="GW253" t="e">
        <f>Sheet3!J56+"h_l!/8."</f>
        <v>#VALUE!</v>
      </c>
      <c r="GX253" t="e">
        <f>Sheet3!K56+"h_l!/8/"</f>
        <v>#VALUE!</v>
      </c>
      <c r="GY253" t="e">
        <f>Sheet3!L56+"h_l!/80"</f>
        <v>#VALUE!</v>
      </c>
      <c r="GZ253" t="e">
        <f>Sheet3!A57+"h_l!/81"</f>
        <v>#VALUE!</v>
      </c>
      <c r="HA253" t="e">
        <f>Sheet3!F57+"h_l!/82"</f>
        <v>#VALUE!</v>
      </c>
      <c r="HB253" t="e">
        <f>Sheet3!G57+"h_l!/83"</f>
        <v>#VALUE!</v>
      </c>
      <c r="HC253" t="e">
        <f>Sheet3!H57+"h_l!/84"</f>
        <v>#VALUE!</v>
      </c>
      <c r="HD253" t="e">
        <f>Sheet3!I57+"h_l!/85"</f>
        <v>#VALUE!</v>
      </c>
      <c r="HE253" t="e">
        <f>Sheet3!J57+"h_l!/86"</f>
        <v>#VALUE!</v>
      </c>
      <c r="HF253" t="e">
        <f>Sheet3!K57+"h_l!/87"</f>
        <v>#VALUE!</v>
      </c>
      <c r="HG253" t="e">
        <f>Sheet3!L57+"h_l!/88"</f>
        <v>#VALUE!</v>
      </c>
      <c r="HH253" t="e">
        <f>Sheet3!A58+"h_l!/89"</f>
        <v>#VALUE!</v>
      </c>
      <c r="HI253" t="e">
        <f>Sheet3!F58+"h_l!/8:"</f>
        <v>#VALUE!</v>
      </c>
      <c r="HJ253" t="e">
        <f>Sheet3!G58+"h_l!/8;"</f>
        <v>#VALUE!</v>
      </c>
      <c r="HK253" t="e">
        <f>Sheet3!H58+"h_l!/8&lt;"</f>
        <v>#VALUE!</v>
      </c>
      <c r="HL253" t="e">
        <f>Sheet3!I58+"h_l!/8="</f>
        <v>#VALUE!</v>
      </c>
      <c r="HM253" t="e">
        <f>Sheet3!J58+"h_l!/8&gt;"</f>
        <v>#VALUE!</v>
      </c>
      <c r="HN253" t="e">
        <f>Sheet3!K58+"h_l!/8?"</f>
        <v>#VALUE!</v>
      </c>
      <c r="HO253" t="e">
        <f>Sheet3!L58+"h_l!/8@"</f>
        <v>#VALUE!</v>
      </c>
      <c r="HP253" t="e">
        <f>Sheet3!A59+"h_l!/8A"</f>
        <v>#VALUE!</v>
      </c>
      <c r="HQ253" t="e">
        <f>Sheet3!F59+"h_l!/8B"</f>
        <v>#VALUE!</v>
      </c>
      <c r="HR253" t="e">
        <f>Sheet3!G59+"h_l!/8C"</f>
        <v>#VALUE!</v>
      </c>
      <c r="HS253" t="e">
        <f>Sheet3!H59+"h_l!/8D"</f>
        <v>#VALUE!</v>
      </c>
      <c r="HT253" t="e">
        <f>Sheet3!I59+"h_l!/8E"</f>
        <v>#VALUE!</v>
      </c>
      <c r="HU253" t="e">
        <f>Sheet3!J59+"h_l!/8F"</f>
        <v>#VALUE!</v>
      </c>
      <c r="HV253" t="e">
        <f>Sheet3!K59+"h_l!/8G"</f>
        <v>#VALUE!</v>
      </c>
      <c r="HW253" t="e">
        <f>Sheet3!L59+"h_l!/8H"</f>
        <v>#VALUE!</v>
      </c>
      <c r="HX253" t="e">
        <f>Sheet3!A60+"h_l!/8I"</f>
        <v>#VALUE!</v>
      </c>
      <c r="HY253" t="e">
        <f>Sheet3!F60+"h_l!/8J"</f>
        <v>#VALUE!</v>
      </c>
      <c r="HZ253" t="e">
        <f>Sheet3!G60+"h_l!/8K"</f>
        <v>#VALUE!</v>
      </c>
      <c r="IA253" t="e">
        <f>Sheet3!H60+"h_l!/8L"</f>
        <v>#VALUE!</v>
      </c>
      <c r="IB253" t="e">
        <f>Sheet3!I60+"h_l!/8M"</f>
        <v>#VALUE!</v>
      </c>
      <c r="IC253" t="e">
        <f>Sheet3!J60+"h_l!/8N"</f>
        <v>#VALUE!</v>
      </c>
      <c r="ID253" t="e">
        <f>Sheet3!K60+"h_l!/8O"</f>
        <v>#VALUE!</v>
      </c>
      <c r="IE253" t="e">
        <f>Sheet3!L60+"h_l!/8P"</f>
        <v>#VALUE!</v>
      </c>
      <c r="IF253" t="e">
        <f>Sheet3!A61+"h_l!/8Q"</f>
        <v>#VALUE!</v>
      </c>
      <c r="IG253" t="e">
        <f>Sheet3!F61+"h_l!/8R"</f>
        <v>#VALUE!</v>
      </c>
      <c r="IH253" t="e">
        <f>Sheet3!G61+"h_l!/8S"</f>
        <v>#VALUE!</v>
      </c>
      <c r="II253" t="e">
        <f>Sheet3!H61+"h_l!/8T"</f>
        <v>#VALUE!</v>
      </c>
      <c r="IJ253" t="e">
        <f>Sheet3!I61+"h_l!/8U"</f>
        <v>#VALUE!</v>
      </c>
      <c r="IK253" t="e">
        <f>Sheet3!J61+"h_l!/8V"</f>
        <v>#VALUE!</v>
      </c>
      <c r="IL253" t="e">
        <f>Sheet3!K61+"h_l!/8W"</f>
        <v>#VALUE!</v>
      </c>
      <c r="IM253" t="e">
        <f>Sheet3!L61+"h_l!/8X"</f>
        <v>#VALUE!</v>
      </c>
      <c r="IN253" t="e">
        <f>Sheet3!A62+"h_l!/8Y"</f>
        <v>#VALUE!</v>
      </c>
      <c r="IO253" t="e">
        <f>Sheet3!F62+"h_l!/8Z"</f>
        <v>#VALUE!</v>
      </c>
      <c r="IP253" t="e">
        <f>Sheet3!G62+"h_l!/8["</f>
        <v>#VALUE!</v>
      </c>
      <c r="IQ253" t="e">
        <f>Sheet3!H62+"h_l!/8\"</f>
        <v>#VALUE!</v>
      </c>
      <c r="IR253" t="e">
        <f>Sheet3!I62+"h_l!/8]"</f>
        <v>#VALUE!</v>
      </c>
      <c r="IS253" t="e">
        <f>Sheet3!J62+"h_l!/8^"</f>
        <v>#VALUE!</v>
      </c>
      <c r="IT253" t="e">
        <f>Sheet3!K62+"h_l!/8_"</f>
        <v>#VALUE!</v>
      </c>
      <c r="IU253" t="e">
        <f>Sheet3!L62+"h_l!/8`"</f>
        <v>#VALUE!</v>
      </c>
      <c r="IV253" t="e">
        <f>Sheet3!A63+"h_l!/8a"</f>
        <v>#VALUE!</v>
      </c>
    </row>
    <row r="254" spans="6:256" x14ac:dyDescent="0.25">
      <c r="F254" t="e">
        <f>Sheet3!F63+"h_l!/8b"</f>
        <v>#VALUE!</v>
      </c>
      <c r="G254" t="e">
        <f>Sheet3!G63+"h_l!/8c"</f>
        <v>#VALUE!</v>
      </c>
      <c r="H254" t="e">
        <f>Sheet3!H63+"h_l!/8d"</f>
        <v>#VALUE!</v>
      </c>
      <c r="I254" t="e">
        <f>Sheet3!I63+"h_l!/8e"</f>
        <v>#VALUE!</v>
      </c>
      <c r="J254" t="e">
        <f>Sheet3!J63+"h_l!/8f"</f>
        <v>#VALUE!</v>
      </c>
      <c r="K254" t="e">
        <f>Sheet3!K63+"h_l!/8g"</f>
        <v>#VALUE!</v>
      </c>
      <c r="L254" t="e">
        <f>Sheet3!L63+"h_l!/8h"</f>
        <v>#VALUE!</v>
      </c>
      <c r="M254" t="e">
        <f>Sheet3!A64+"h_l!/8i"</f>
        <v>#VALUE!</v>
      </c>
      <c r="N254" t="e">
        <f>Sheet3!F64+"h_l!/8j"</f>
        <v>#VALUE!</v>
      </c>
      <c r="O254" t="e">
        <f>Sheet3!G64+"h_l!/8k"</f>
        <v>#VALUE!</v>
      </c>
      <c r="P254" t="e">
        <f>Sheet3!H64+"h_l!/8l"</f>
        <v>#VALUE!</v>
      </c>
      <c r="Q254" t="e">
        <f>Sheet3!I64+"h_l!/8m"</f>
        <v>#VALUE!</v>
      </c>
      <c r="R254" t="e">
        <f>Sheet3!J64+"h_l!/8n"</f>
        <v>#VALUE!</v>
      </c>
      <c r="S254" t="e">
        <f>Sheet3!K64+"h_l!/8o"</f>
        <v>#VALUE!</v>
      </c>
      <c r="T254" t="e">
        <f>Sheet3!L64+"h_l!/8p"</f>
        <v>#VALUE!</v>
      </c>
      <c r="U254" t="e">
        <f>Sheet3!A65+"h_l!/8q"</f>
        <v>#VALUE!</v>
      </c>
      <c r="V254" t="e">
        <f>Sheet3!F65+"h_l!/8r"</f>
        <v>#VALUE!</v>
      </c>
      <c r="W254" t="e">
        <f>Sheet3!G65+"h_l!/8s"</f>
        <v>#VALUE!</v>
      </c>
      <c r="X254" t="e">
        <f>Sheet3!H65+"h_l!/8t"</f>
        <v>#VALUE!</v>
      </c>
      <c r="Y254" t="e">
        <f>Sheet3!I65+"h_l!/8u"</f>
        <v>#VALUE!</v>
      </c>
      <c r="Z254" t="e">
        <f>Sheet3!J65+"h_l!/8v"</f>
        <v>#VALUE!</v>
      </c>
      <c r="AA254" t="e">
        <f>Sheet3!K65+"h_l!/8w"</f>
        <v>#VALUE!</v>
      </c>
      <c r="AB254" t="e">
        <f>Sheet3!L65+"h_l!/8x"</f>
        <v>#VALUE!</v>
      </c>
      <c r="AC254" t="e">
        <f>Sheet3!A66+"h_l!/8y"</f>
        <v>#VALUE!</v>
      </c>
      <c r="AD254" t="e">
        <f>Sheet3!F66+"h_l!/8z"</f>
        <v>#VALUE!</v>
      </c>
      <c r="AE254" t="e">
        <f>Sheet3!G66+"h_l!/8{"</f>
        <v>#VALUE!</v>
      </c>
      <c r="AF254" t="e">
        <f>Sheet3!H66+"h_l!/8|"</f>
        <v>#VALUE!</v>
      </c>
      <c r="AG254" t="e">
        <f>Sheet3!I66+"h_l!/8}"</f>
        <v>#VALUE!</v>
      </c>
      <c r="AH254" t="e">
        <f>Sheet3!J66+"h_l!/8~"</f>
        <v>#VALUE!</v>
      </c>
      <c r="AI254" t="e">
        <f>Sheet3!K66+"h_l!/9#"</f>
        <v>#VALUE!</v>
      </c>
      <c r="AJ254" t="e">
        <f>Sheet3!L66+"h_l!/9$"</f>
        <v>#VALUE!</v>
      </c>
      <c r="AK254" t="e">
        <f>Sheet3!A67+"h_l!/9%"</f>
        <v>#VALUE!</v>
      </c>
      <c r="AL254" t="e">
        <f>Sheet3!F67+"h_l!/9&amp;"</f>
        <v>#VALUE!</v>
      </c>
      <c r="AM254" t="e">
        <f>Sheet3!G67+"h_l!/9'"</f>
        <v>#VALUE!</v>
      </c>
      <c r="AN254" t="e">
        <f>Sheet3!H67+"h_l!/9("</f>
        <v>#VALUE!</v>
      </c>
      <c r="AO254" t="e">
        <f>Sheet3!I67+"h_l!/9)"</f>
        <v>#VALUE!</v>
      </c>
      <c r="AP254" t="e">
        <f>Sheet3!J67+"h_l!/9."</f>
        <v>#VALUE!</v>
      </c>
      <c r="AQ254" t="e">
        <f>Sheet3!K67+"h_l!/9/"</f>
        <v>#VALUE!</v>
      </c>
      <c r="AR254" t="e">
        <f>Sheet3!L67+"h_l!/90"</f>
        <v>#VALUE!</v>
      </c>
      <c r="AS254" t="e">
        <f>Sheet3!A68+"h_l!/91"</f>
        <v>#VALUE!</v>
      </c>
      <c r="AT254" t="e">
        <f>Sheet3!F68+"h_l!/92"</f>
        <v>#VALUE!</v>
      </c>
      <c r="AU254" t="e">
        <f>Sheet3!G68+"h_l!/93"</f>
        <v>#VALUE!</v>
      </c>
      <c r="AV254" t="e">
        <f>Sheet3!H68+"h_l!/94"</f>
        <v>#VALUE!</v>
      </c>
      <c r="AW254" t="e">
        <f>Sheet3!I68+"h_l!/95"</f>
        <v>#VALUE!</v>
      </c>
      <c r="AX254" t="e">
        <f>Sheet3!J68+"h_l!/96"</f>
        <v>#VALUE!</v>
      </c>
      <c r="AY254" t="e">
        <f>Sheet3!K68+"h_l!/97"</f>
        <v>#VALUE!</v>
      </c>
      <c r="AZ254" t="e">
        <f>Sheet3!L68+"h_l!/98"</f>
        <v>#VALUE!</v>
      </c>
      <c r="BA254" t="e">
        <f>Sheet3!A69+"h_l!/99"</f>
        <v>#VALUE!</v>
      </c>
      <c r="BB254" t="e">
        <f>Sheet3!F69+"h_l!/9:"</f>
        <v>#VALUE!</v>
      </c>
      <c r="BC254" t="e">
        <f>Sheet3!G69+"h_l!/9;"</f>
        <v>#VALUE!</v>
      </c>
      <c r="BD254" t="e">
        <f>Sheet3!H69+"h_l!/9&lt;"</f>
        <v>#VALUE!</v>
      </c>
      <c r="BE254" t="e">
        <f>Sheet3!I69+"h_l!/9="</f>
        <v>#VALUE!</v>
      </c>
      <c r="BF254" t="e">
        <f>Sheet3!J69+"h_l!/9&gt;"</f>
        <v>#VALUE!</v>
      </c>
      <c r="BG254" t="e">
        <f>Sheet3!K69+"h_l!/9?"</f>
        <v>#VALUE!</v>
      </c>
      <c r="BH254" t="e">
        <f>Sheet3!L69+"h_l!/9@"</f>
        <v>#VALUE!</v>
      </c>
      <c r="BI254" t="e">
        <f>Sheet3!A70+"h_l!/9A"</f>
        <v>#VALUE!</v>
      </c>
      <c r="BJ254" t="e">
        <f>Sheet3!F70+"h_l!/9B"</f>
        <v>#VALUE!</v>
      </c>
      <c r="BK254" t="e">
        <f>Sheet3!G70+"h_l!/9C"</f>
        <v>#VALUE!</v>
      </c>
      <c r="BL254" t="e">
        <f>Sheet3!H70+"h_l!/9D"</f>
        <v>#VALUE!</v>
      </c>
      <c r="BM254" t="e">
        <f>Sheet3!I70+"h_l!/9E"</f>
        <v>#VALUE!</v>
      </c>
      <c r="BN254" t="e">
        <f>Sheet3!J70+"h_l!/9F"</f>
        <v>#VALUE!</v>
      </c>
      <c r="BO254" t="e">
        <f>Sheet3!K70+"h_l!/9G"</f>
        <v>#VALUE!</v>
      </c>
      <c r="BP254" t="e">
        <f>Sheet3!L70+"h_l!/9H"</f>
        <v>#VALUE!</v>
      </c>
      <c r="BQ254" t="e">
        <f>Sheet3!A71+"h_l!/9I"</f>
        <v>#VALUE!</v>
      </c>
      <c r="BR254" t="e">
        <f>Sheet3!F71+"h_l!/9J"</f>
        <v>#VALUE!</v>
      </c>
      <c r="BS254" t="e">
        <f>Sheet3!G71+"h_l!/9K"</f>
        <v>#VALUE!</v>
      </c>
      <c r="BT254" t="e">
        <f>Sheet3!H71+"h_l!/9L"</f>
        <v>#VALUE!</v>
      </c>
      <c r="BU254" t="e">
        <f>Sheet3!I71+"h_l!/9M"</f>
        <v>#VALUE!</v>
      </c>
      <c r="BV254" t="e">
        <f>Sheet3!J71+"h_l!/9N"</f>
        <v>#VALUE!</v>
      </c>
      <c r="BW254" t="e">
        <f>Sheet3!K71+"h_l!/9O"</f>
        <v>#VALUE!</v>
      </c>
      <c r="BX254" t="e">
        <f>Sheet3!L71+"h_l!/9P"</f>
        <v>#VALUE!</v>
      </c>
      <c r="BY254" t="e">
        <f>Sheet3!A72+"h_l!/9Q"</f>
        <v>#VALUE!</v>
      </c>
      <c r="BZ254" t="e">
        <f>Sheet3!F72+"h_l!/9R"</f>
        <v>#VALUE!</v>
      </c>
      <c r="CA254" t="e">
        <f>Sheet3!G72+"h_l!/9S"</f>
        <v>#VALUE!</v>
      </c>
      <c r="CB254" t="e">
        <f>Sheet3!H72+"h_l!/9T"</f>
        <v>#VALUE!</v>
      </c>
      <c r="CC254" t="e">
        <f>Sheet3!I72+"h_l!/9U"</f>
        <v>#VALUE!</v>
      </c>
      <c r="CD254" t="e">
        <f>Sheet3!J72+"h_l!/9V"</f>
        <v>#VALUE!</v>
      </c>
      <c r="CE254" t="e">
        <f>Sheet3!K72+"h_l!/9W"</f>
        <v>#VALUE!</v>
      </c>
      <c r="CF254" t="e">
        <f>Sheet3!L72+"h_l!/9X"</f>
        <v>#VALUE!</v>
      </c>
      <c r="CG254" t="e">
        <f>Sheet3!A73+"h_l!/9Y"</f>
        <v>#VALUE!</v>
      </c>
      <c r="CH254" t="e">
        <f>Sheet3!F73+"h_l!/9Z"</f>
        <v>#VALUE!</v>
      </c>
      <c r="CI254" t="e">
        <f>Sheet3!G73+"h_l!/9["</f>
        <v>#VALUE!</v>
      </c>
      <c r="CJ254" t="e">
        <f>Sheet3!H73+"h_l!/9\"</f>
        <v>#VALUE!</v>
      </c>
      <c r="CK254" t="e">
        <f>Sheet3!I73+"h_l!/9]"</f>
        <v>#VALUE!</v>
      </c>
      <c r="CL254" t="e">
        <f>Sheet3!J73+"h_l!/9^"</f>
        <v>#VALUE!</v>
      </c>
      <c r="CM254" t="e">
        <f>Sheet3!K73+"h_l!/9_"</f>
        <v>#VALUE!</v>
      </c>
      <c r="CN254" t="e">
        <f>Sheet3!L73+"h_l!/9`"</f>
        <v>#VALUE!</v>
      </c>
      <c r="CO254" t="e">
        <f>Sheet3!A74+"h_l!/9a"</f>
        <v>#VALUE!</v>
      </c>
      <c r="CP254" t="e">
        <f>Sheet3!F74+"h_l!/9b"</f>
        <v>#VALUE!</v>
      </c>
      <c r="CQ254" t="e">
        <f>Sheet3!G74+"h_l!/9c"</f>
        <v>#VALUE!</v>
      </c>
      <c r="CR254" t="e">
        <f>Sheet3!H74+"h_l!/9d"</f>
        <v>#VALUE!</v>
      </c>
      <c r="CS254" t="e">
        <f>Sheet3!I74+"h_l!/9e"</f>
        <v>#VALUE!</v>
      </c>
      <c r="CT254" t="e">
        <f>Sheet3!J74+"h_l!/9f"</f>
        <v>#VALUE!</v>
      </c>
      <c r="CU254" t="e">
        <f>Sheet3!K74+"h_l!/9g"</f>
        <v>#VALUE!</v>
      </c>
      <c r="CV254" t="e">
        <f>Sheet3!L74+"h_l!/9h"</f>
        <v>#VALUE!</v>
      </c>
      <c r="CW254" t="e">
        <f>Sheet3!A75+"h_l!/9i"</f>
        <v>#VALUE!</v>
      </c>
      <c r="CX254" t="e">
        <f>Sheet3!F75+"h_l!/9j"</f>
        <v>#VALUE!</v>
      </c>
      <c r="CY254" t="e">
        <f>Sheet3!G75+"h_l!/9k"</f>
        <v>#VALUE!</v>
      </c>
      <c r="CZ254" t="e">
        <f>Sheet3!H75+"h_l!/9l"</f>
        <v>#VALUE!</v>
      </c>
      <c r="DA254" t="e">
        <f>Sheet3!I75+"h_l!/9m"</f>
        <v>#VALUE!</v>
      </c>
      <c r="DB254" t="e">
        <f>Sheet3!J75+"h_l!/9n"</f>
        <v>#VALUE!</v>
      </c>
      <c r="DC254" t="e">
        <f>Sheet3!K75+"h_l!/9o"</f>
        <v>#VALUE!</v>
      </c>
      <c r="DD254" t="e">
        <f>Sheet3!L75+"h_l!/9p"</f>
        <v>#VALUE!</v>
      </c>
      <c r="DE254" t="e">
        <f>Sheet3!A76+"h_l!/9q"</f>
        <v>#VALUE!</v>
      </c>
      <c r="DF254" t="e">
        <f>Sheet3!F76+"h_l!/9r"</f>
        <v>#VALUE!</v>
      </c>
      <c r="DG254" t="e">
        <f>Sheet3!G76+"h_l!/9s"</f>
        <v>#VALUE!</v>
      </c>
      <c r="DH254" t="e">
        <f>Sheet3!H76+"h_l!/9t"</f>
        <v>#VALUE!</v>
      </c>
      <c r="DI254" t="e">
        <f>Sheet3!I76+"h_l!/9u"</f>
        <v>#VALUE!</v>
      </c>
      <c r="DJ254" t="e">
        <f>Sheet3!J76+"h_l!/9v"</f>
        <v>#VALUE!</v>
      </c>
      <c r="DK254" t="e">
        <f>Sheet3!K76+"h_l!/9w"</f>
        <v>#VALUE!</v>
      </c>
      <c r="DL254" t="e">
        <f>Sheet3!L76+"h_l!/9x"</f>
        <v>#VALUE!</v>
      </c>
      <c r="DM254" t="e">
        <f>Sheet3!A77+"h_l!/9y"</f>
        <v>#VALUE!</v>
      </c>
      <c r="DN254" t="e">
        <f>Sheet3!F77+"h_l!/9z"</f>
        <v>#VALUE!</v>
      </c>
      <c r="DO254" t="e">
        <f>Sheet3!G77+"h_l!/9{"</f>
        <v>#VALUE!</v>
      </c>
      <c r="DP254" t="e">
        <f>Sheet3!H77+"h_l!/9|"</f>
        <v>#VALUE!</v>
      </c>
      <c r="DQ254" t="e">
        <f>Sheet3!I77+"h_l!/9}"</f>
        <v>#VALUE!</v>
      </c>
      <c r="DR254" t="e">
        <f>Sheet3!J77+"h_l!/9~"</f>
        <v>#VALUE!</v>
      </c>
      <c r="DS254" t="e">
        <f>Sheet3!K77+"h_l!/:#"</f>
        <v>#VALUE!</v>
      </c>
      <c r="DT254" t="e">
        <f>Sheet3!L77+"h_l!/:$"</f>
        <v>#VALUE!</v>
      </c>
      <c r="DU254" t="e">
        <f>Sheet3!A78+"h_l!/:%"</f>
        <v>#VALUE!</v>
      </c>
      <c r="DV254" t="e">
        <f>Sheet3!F78+"h_l!/:&amp;"</f>
        <v>#VALUE!</v>
      </c>
      <c r="DW254" t="e">
        <f>Sheet3!G78+"h_l!/:'"</f>
        <v>#VALUE!</v>
      </c>
      <c r="DX254" t="e">
        <f>Sheet3!H78+"h_l!/:("</f>
        <v>#VALUE!</v>
      </c>
      <c r="DY254" t="e">
        <f>Sheet3!I78+"h_l!/:)"</f>
        <v>#VALUE!</v>
      </c>
      <c r="DZ254" t="e">
        <f>Sheet3!J78+"h_l!/:."</f>
        <v>#VALUE!</v>
      </c>
      <c r="EA254" t="e">
        <f>Sheet3!K78+"h_l!/:/"</f>
        <v>#VALUE!</v>
      </c>
      <c r="EB254" t="e">
        <f>Sheet3!L78+"h_l!/:0"</f>
        <v>#VALUE!</v>
      </c>
      <c r="EC254" t="e">
        <f>Sheet3!A79+"h_l!/:1"</f>
        <v>#VALUE!</v>
      </c>
      <c r="ED254" t="e">
        <f>Sheet3!F79+"h_l!/:2"</f>
        <v>#VALUE!</v>
      </c>
      <c r="EE254" t="e">
        <f>Sheet3!G79+"h_l!/:3"</f>
        <v>#VALUE!</v>
      </c>
      <c r="EF254" t="e">
        <f>Sheet3!H79+"h_l!/:4"</f>
        <v>#VALUE!</v>
      </c>
      <c r="EG254" t="e">
        <f>Sheet3!I79+"h_l!/:5"</f>
        <v>#VALUE!</v>
      </c>
      <c r="EH254" t="e">
        <f>Sheet3!J79+"h_l!/:6"</f>
        <v>#VALUE!</v>
      </c>
      <c r="EI254" t="e">
        <f>Sheet3!K79+"h_l!/:7"</f>
        <v>#VALUE!</v>
      </c>
      <c r="EJ254" t="e">
        <f>Sheet3!L79+"h_l!/:8"</f>
        <v>#VALUE!</v>
      </c>
      <c r="EK254" t="e">
        <f>Sheet3!A80+"h_l!/:9"</f>
        <v>#VALUE!</v>
      </c>
      <c r="EL254" t="e">
        <f>Sheet3!F80+"h_l!/::"</f>
        <v>#VALUE!</v>
      </c>
      <c r="EM254" t="e">
        <f>Sheet3!G80+"h_l!/:;"</f>
        <v>#VALUE!</v>
      </c>
      <c r="EN254" t="e">
        <f>Sheet3!H80+"h_l!/:&lt;"</f>
        <v>#VALUE!</v>
      </c>
      <c r="EO254" t="e">
        <f>Sheet3!I80+"h_l!/:="</f>
        <v>#VALUE!</v>
      </c>
      <c r="EP254" t="e">
        <f>Sheet3!J80+"h_l!/:&gt;"</f>
        <v>#VALUE!</v>
      </c>
      <c r="EQ254" t="e">
        <f>Sheet3!K80+"h_l!/:?"</f>
        <v>#VALUE!</v>
      </c>
      <c r="ER254" t="e">
        <f>Sheet3!L80+"h_l!/:@"</f>
        <v>#VALUE!</v>
      </c>
      <c r="ES254" t="e">
        <f>Sheet3!A81+"h_l!/:A"</f>
        <v>#VALUE!</v>
      </c>
      <c r="ET254" t="e">
        <f>Sheet3!F81+"h_l!/:B"</f>
        <v>#VALUE!</v>
      </c>
      <c r="EU254" t="e">
        <f>Sheet3!G81+"h_l!/:C"</f>
        <v>#VALUE!</v>
      </c>
      <c r="EV254" t="e">
        <f>Sheet3!H81+"h_l!/:D"</f>
        <v>#VALUE!</v>
      </c>
      <c r="EW254" t="e">
        <f>Sheet3!I81+"h_l!/:E"</f>
        <v>#VALUE!</v>
      </c>
      <c r="EX254" t="e">
        <f>Sheet3!J81+"h_l!/:F"</f>
        <v>#VALUE!</v>
      </c>
      <c r="EY254" t="e">
        <f>Sheet3!K81+"h_l!/:G"</f>
        <v>#VALUE!</v>
      </c>
      <c r="EZ254" t="e">
        <f>Sheet3!L81+"h_l!/:H"</f>
        <v>#VALUE!</v>
      </c>
      <c r="FA254" t="e">
        <f>Radar!BH:BH*"h_l!/:U"</f>
        <v>#VALUE!</v>
      </c>
      <c r="FB254" t="e">
        <f>Radar!BI:BI*"h_l!/:V"</f>
        <v>#VALUE!</v>
      </c>
      <c r="FC254" t="e">
        <f>Radar!BJ:BJ*"h_l!/:W"</f>
        <v>#VALUE!</v>
      </c>
      <c r="FD254" t="e">
        <f>Radar!BK:BK*"h_l!/:X"</f>
        <v>#VALUE!</v>
      </c>
      <c r="FE254" t="e">
        <f>Radar!BL:BL*"h_l!/:Y"</f>
        <v>#VALUE!</v>
      </c>
      <c r="FF254" t="e">
        <f>Radar!BM:BM*"h_l!/:Z"</f>
        <v>#VALUE!</v>
      </c>
      <c r="FG254" t="e">
        <f>Radar!BN:BN*"h_l!/:["</f>
        <v>#VALUE!</v>
      </c>
      <c r="FH254" t="e">
        <f>Radar!BO:BO*"h_l!/:\"</f>
        <v>#VALUE!</v>
      </c>
      <c r="FI254" t="e">
        <f>Radar!BP:BP*"h_l!/:]"</f>
        <v>#VALUE!</v>
      </c>
      <c r="FJ254" t="e">
        <f>Radar!BQ:BQ*"h_l!/:^"</f>
        <v>#VALUE!</v>
      </c>
      <c r="FK254" t="e">
        <f>Radar!BR:BR*"h_l!/:_"</f>
        <v>#VALUE!</v>
      </c>
      <c r="FL254" t="e">
        <f>Radar!BS:BS*"h_l!/:`"</f>
        <v>#VALUE!</v>
      </c>
      <c r="FM254" t="e">
        <f>Radar!BT:BT*"h_l!/:a"</f>
        <v>#VALUE!</v>
      </c>
      <c r="FN254" t="e">
        <f>Radar!BU:BU*"h_l!/:b"</f>
        <v>#VALUE!</v>
      </c>
      <c r="FO254" t="e">
        <f>Radar!BV:BV*"h_l!/:c"</f>
        <v>#VALUE!</v>
      </c>
      <c r="FP254" t="e">
        <f>Radar!BW:BW*"h_l!/:d"</f>
        <v>#VALUE!</v>
      </c>
      <c r="FQ254" t="e">
        <f>Radar!BX:BX*"h_l!/:e"</f>
        <v>#VALUE!</v>
      </c>
      <c r="FR254" t="e">
        <f>Radar!BY:BY*"h_l!/:f"</f>
        <v>#VALUE!</v>
      </c>
      <c r="FS254" t="e">
        <f>Radar!BZ:BZ*"h_l!/:g"</f>
        <v>#VALUE!</v>
      </c>
      <c r="FT254" t="e">
        <f>Radar!CA:CA*"h_l!/:h"</f>
        <v>#VALUE!</v>
      </c>
      <c r="FU254" t="e">
        <f>Radar!CB:CB*"h_l!/:i"</f>
        <v>#VALUE!</v>
      </c>
      <c r="FV254" t="e">
        <f>Radar!CC:CC*"h_l!/:j"</f>
        <v>#VALUE!</v>
      </c>
      <c r="FW254" t="e">
        <f>Radar!CD:CD*"h_l!/:k"</f>
        <v>#VALUE!</v>
      </c>
      <c r="FX254" t="e">
        <f>Radar!CE:CE*"h_l!/:l"</f>
        <v>#VALUE!</v>
      </c>
      <c r="FY254" t="e">
        <f>Radar!CF:CF*"h_l!/:m"</f>
        <v>#VALUE!</v>
      </c>
      <c r="FZ254" t="e">
        <f>Radar!CG:CG*"h_l!/:n"</f>
        <v>#VALUE!</v>
      </c>
      <c r="GA254" t="e">
        <f>Radar!CH:CH*"h_l!/:o"</f>
        <v>#VALUE!</v>
      </c>
      <c r="GB254" t="e">
        <f>Radar!CI:CI*"h_l!/:p"</f>
        <v>#VALUE!</v>
      </c>
      <c r="GC254" t="e">
        <f>Radar!CJ:CJ*"h_l!/:q"</f>
        <v>#VALUE!</v>
      </c>
      <c r="GD254" t="e">
        <f>Radar!CK:CK*"h_l!/:r"</f>
        <v>#VALUE!</v>
      </c>
      <c r="GE254" t="e">
        <f>Radar!CL:CL*"h_l!/:s"</f>
        <v>#VALUE!</v>
      </c>
      <c r="GF254" t="e">
        <f>Radar!CM:CM*"h_l!/:t"</f>
        <v>#VALUE!</v>
      </c>
      <c r="GG254" t="e">
        <f>Radar!CN:CN*"h_l!/:u"</f>
        <v>#VALUE!</v>
      </c>
      <c r="GH254" t="e">
        <f>Radar!CO:CO*"h_l!/:v"</f>
        <v>#VALUE!</v>
      </c>
      <c r="GI254" t="e">
        <f>Radar!CP:CP*"h_l!/:w"</f>
        <v>#VALUE!</v>
      </c>
      <c r="GJ254" t="e">
        <f>Radar!CQ:CQ*"h_l!/:x"</f>
        <v>#VALUE!</v>
      </c>
      <c r="GK254" t="e">
        <f>Radar!CR:CR*"h_l!/:y"</f>
        <v>#VALUE!</v>
      </c>
      <c r="GL254" t="e">
        <f>Radar!CS:CS*"h_l!/:z"</f>
        <v>#VALUE!</v>
      </c>
      <c r="GM254" t="e">
        <f>Radar!CT:CT*"h_l!/:{"</f>
        <v>#VALUE!</v>
      </c>
      <c r="GN254" t="e">
        <f>Radar!CU:CU*"h_l!/:|"</f>
        <v>#VALUE!</v>
      </c>
      <c r="GO254" t="e">
        <f>Radar!CV:CV*"h_l!/:}"</f>
        <v>#VALUE!</v>
      </c>
      <c r="GP254" t="e">
        <f>Radar!CW:CW*"h_l!/:~"</f>
        <v>#VALUE!</v>
      </c>
      <c r="GQ254" t="e">
        <f>Radar!CX:CX*"h_l!/;#"</f>
        <v>#VALUE!</v>
      </c>
      <c r="GR254" t="e">
        <f>Radar!CY:CY*"h_l!/;$"</f>
        <v>#VALUE!</v>
      </c>
      <c r="GS254" t="e">
        <f>Radar!CZ:CZ*"h_l!/;%"</f>
        <v>#VALUE!</v>
      </c>
      <c r="GT254" t="e">
        <f>Radar!DA:DA*"h_l!/;&amp;"</f>
        <v>#VALUE!</v>
      </c>
      <c r="GU254" t="e">
        <f>Radar!DB:DB*"h_l!/;'"</f>
        <v>#VALUE!</v>
      </c>
      <c r="GV254" t="e">
        <f>Radar!DC:DC*"h_l!/;("</f>
        <v>#VALUE!</v>
      </c>
      <c r="GW254" t="e">
        <f>Radar!DD:DD*"h_l!/;)"</f>
        <v>#VALUE!</v>
      </c>
      <c r="GX254" t="e">
        <f>Radar!DE:DE*"h_l!/;."</f>
        <v>#VALUE!</v>
      </c>
      <c r="GY254" t="e">
        <f>Radar!1:1-"h_l!/;/"</f>
        <v>#VALUE!</v>
      </c>
      <c r="GZ254" t="e">
        <f>Radar!2:2-"h_l!/;0"</f>
        <v>#VALUE!</v>
      </c>
      <c r="HA254" t="e">
        <f>Radar!226:226-"h_l!/;1"</f>
        <v>#VALUE!</v>
      </c>
      <c r="HB254" t="e">
        <f>Radar!227:227-"h_l!/;2"</f>
        <v>#VALUE!</v>
      </c>
      <c r="HC254" t="e">
        <f>Radar!228:228-"h_l!/;3"</f>
        <v>#VALUE!</v>
      </c>
      <c r="HD254" t="e">
        <f>Radar!229:229-"h_l!/;4"</f>
        <v>#VALUE!</v>
      </c>
      <c r="HE254" t="e">
        <f>Radar!230:230-"h_l!/;5"</f>
        <v>#VALUE!</v>
      </c>
      <c r="HF254" t="e">
        <f>Radar!231:231-"h_l!/;6"</f>
        <v>#VALUE!</v>
      </c>
      <c r="HG254" t="e">
        <f>Radar!232:232-"h_l!/;7"</f>
        <v>#VALUE!</v>
      </c>
      <c r="HH254" t="e">
        <f>Radar!233:233-"h_l!/;8"</f>
        <v>#VALUE!</v>
      </c>
      <c r="HI254" t="e">
        <f>Radar!234:234-"h_l!/;9"</f>
        <v>#VALUE!</v>
      </c>
      <c r="HJ254" t="e">
        <f>Radar!235:235-"h_l!/;:"</f>
        <v>#VALUE!</v>
      </c>
      <c r="HK254" t="e">
        <f>Radar!236:236-"h_l!/;;"</f>
        <v>#VALUE!</v>
      </c>
      <c r="HL254" t="e">
        <f>Radar!237:237-"h_l!/;&lt;"</f>
        <v>#VALUE!</v>
      </c>
      <c r="HM254" t="e">
        <f>Radar!238:238-"h_l!/;="</f>
        <v>#VALUE!</v>
      </c>
      <c r="HN254" t="e">
        <f>Radar!239:239-"h_l!/;&gt;"</f>
        <v>#VALUE!</v>
      </c>
      <c r="HO254" t="e">
        <f>Radar!240:240-"h_l!/;?"</f>
        <v>#VALUE!</v>
      </c>
      <c r="HP254" t="e">
        <f>Radar!241:241-"h_l!/;@"</f>
        <v>#VALUE!</v>
      </c>
      <c r="HQ254" t="e">
        <f>Radar!242:242-"h_l!/;A"</f>
        <v>#VALUE!</v>
      </c>
      <c r="HR254" t="e">
        <f>Radar!243:243-"h_l!/;B"</f>
        <v>#VALUE!</v>
      </c>
      <c r="HS254" t="e">
        <f>Radar!244:244-"h_l!/;C"</f>
        <v>#VALUE!</v>
      </c>
      <c r="HT254" t="e">
        <f>Radar!245:245-"h_l!/;D"</f>
        <v>#VALUE!</v>
      </c>
      <c r="HU254" t="e">
        <f>Radar!246:246-"h_l!/;E"</f>
        <v>#VALUE!</v>
      </c>
      <c r="HV254" t="e">
        <f>Radar!247:247-"h_l!/;F"</f>
        <v>#VALUE!</v>
      </c>
      <c r="HW254" t="e">
        <f>Radar!248:248-"h_l!/;G"</f>
        <v>#VALUE!</v>
      </c>
      <c r="HX254" t="e">
        <f>Radar!249:249-"h_l!/;H"</f>
        <v>#VALUE!</v>
      </c>
      <c r="HY254" t="e">
        <f>Radar!250:250-"h_l!/;I"</f>
        <v>#VALUE!</v>
      </c>
      <c r="HZ254" t="e">
        <f>Radar!251:251-"h_l!/;J"</f>
        <v>#VALUE!</v>
      </c>
      <c r="IA254" t="e">
        <f>Radar!252:252-"h_l!/;K"</f>
        <v>#VALUE!</v>
      </c>
      <c r="IB254" t="e">
        <f>Radar!S1+"h_l!/;L"</f>
        <v>#VALUE!</v>
      </c>
      <c r="IC254" s="45" t="e">
        <f>Radar!T1+"h_l!/;M"</f>
        <v>#VALUE!</v>
      </c>
      <c r="ID254" s="45" t="e">
        <f>Radar!U1+"h_l!/;N"</f>
        <v>#VALUE!</v>
      </c>
      <c r="IE254" s="45" t="e">
        <f>Radar!V1+"h_l!/;O"</f>
        <v>#VALUE!</v>
      </c>
      <c r="IF254" s="45" t="e">
        <f>Radar!W1+"h_l!/;P"</f>
        <v>#VALUE!</v>
      </c>
      <c r="IG254" s="45" t="e">
        <f>Radar!X1+"h_l!/;Q"</f>
        <v>#VALUE!</v>
      </c>
      <c r="IH254" t="e">
        <f>Radar!Z1+"h_l!/;R"</f>
        <v>#VALUE!</v>
      </c>
      <c r="II254" s="45" t="e">
        <f>Radar!AA1+"h_l!/;S"</f>
        <v>#VALUE!</v>
      </c>
      <c r="IJ254" s="45" t="e">
        <f>Radar!AB1+"h_l!/;T"</f>
        <v>#VALUE!</v>
      </c>
      <c r="IK254" s="45" t="e">
        <f>Radar!AC1+"h_l!/;U"</f>
        <v>#VALUE!</v>
      </c>
      <c r="IL254" s="45" t="e">
        <f>Radar!AD1+"h_l!/;V"</f>
        <v>#VALUE!</v>
      </c>
      <c r="IM254" s="45" t="e">
        <f>Radar!AE1+"h_l!/;W"</f>
        <v>#VALUE!</v>
      </c>
      <c r="IN254" t="e">
        <f>Radar!AG1+"h_l!/;X"</f>
        <v>#VALUE!</v>
      </c>
      <c r="IO254" s="45" t="e">
        <f>Radar!AH1+"h_l!/;Y"</f>
        <v>#VALUE!</v>
      </c>
      <c r="IP254" s="45" t="e">
        <f>Radar!AI1+"h_l!/;Z"</f>
        <v>#VALUE!</v>
      </c>
      <c r="IQ254" s="45" t="e">
        <f>Radar!AJ1+"h_l!/;["</f>
        <v>#VALUE!</v>
      </c>
      <c r="IR254" s="45" t="e">
        <f>Radar!AK1+"h_l!/;\"</f>
        <v>#VALUE!</v>
      </c>
      <c r="IS254" s="45" t="e">
        <f>Radar!AL1+"h_l!/;]"</f>
        <v>#VALUE!</v>
      </c>
      <c r="IT254" t="e">
        <f>Radar!AN1+"h_l!/;^"</f>
        <v>#VALUE!</v>
      </c>
      <c r="IU254" s="45" t="e">
        <f>Radar!AO1+"h_l!/;_"</f>
        <v>#VALUE!</v>
      </c>
      <c r="IV254" s="45" t="e">
        <f>Radar!AP1+"h_l!/;`"</f>
        <v>#VALUE!</v>
      </c>
    </row>
    <row r="255" spans="6:256" x14ac:dyDescent="0.25">
      <c r="F255" s="45" t="e">
        <f>Radar!AQ1+"h_l!/;a"</f>
        <v>#VALUE!</v>
      </c>
      <c r="G255" s="45" t="e">
        <f>Radar!AR1+"h_l!/;b"</f>
        <v>#VALUE!</v>
      </c>
      <c r="H255" s="45" t="e">
        <f>Radar!AS1+"h_l!/;c"</f>
        <v>#VALUE!</v>
      </c>
      <c r="I255" t="e">
        <f>Radar!AU1+"h_l!/;d"</f>
        <v>#VALUE!</v>
      </c>
      <c r="J255" s="45" t="e">
        <f>Radar!AV1+"h_l!/;e"</f>
        <v>#VALUE!</v>
      </c>
      <c r="K255" s="45" t="e">
        <f>Radar!AW1+"h_l!/;f"</f>
        <v>#VALUE!</v>
      </c>
      <c r="L255" s="45" t="e">
        <f>Radar!AX1+"h_l!/;g"</f>
        <v>#VALUE!</v>
      </c>
      <c r="M255" s="45" t="e">
        <f>Radar!AY1+"h_l!/;h"</f>
        <v>#VALUE!</v>
      </c>
      <c r="N255" s="45" t="e">
        <f>Radar!AZ1+"h_l!/;i"</f>
        <v>#VALUE!</v>
      </c>
      <c r="O255" t="e">
        <f>Radar!BB1+"h_l!/;j"</f>
        <v>#VALUE!</v>
      </c>
      <c r="P255" s="45" t="e">
        <f>Radar!BC1+"h_l!/;k"</f>
        <v>#VALUE!</v>
      </c>
      <c r="Q255" s="45" t="e">
        <f>Radar!BD1+"h_l!/;l"</f>
        <v>#VALUE!</v>
      </c>
      <c r="R255" s="45" t="e">
        <f>Radar!BE1+"h_l!/;m"</f>
        <v>#VALUE!</v>
      </c>
      <c r="S255" s="45" t="e">
        <f>Radar!BF1+"h_l!/;n"</f>
        <v>#VALUE!</v>
      </c>
      <c r="T255" s="45" t="e">
        <f>Radar!BG1+"h_l!/;o"</f>
        <v>#VALUE!</v>
      </c>
      <c r="U255" t="e">
        <f>Radar!S2+"h_l!/;p"</f>
        <v>#VALUE!</v>
      </c>
      <c r="V255" s="45" t="e">
        <f>Radar!T2+"h_l!/;q"</f>
        <v>#VALUE!</v>
      </c>
      <c r="W255" s="45" t="e">
        <f>Radar!U2+"h_l!/;r"</f>
        <v>#VALUE!</v>
      </c>
      <c r="X255" s="45" t="e">
        <f>Radar!V2+"h_l!/;s"</f>
        <v>#VALUE!</v>
      </c>
      <c r="Y255" s="45" t="e">
        <f>Radar!W2+"h_l!/;t"</f>
        <v>#VALUE!</v>
      </c>
      <c r="Z255" s="45" t="e">
        <f>Radar!X2+"h_l!/;u"</f>
        <v>#VALUE!</v>
      </c>
      <c r="AA255" t="e">
        <f>Radar!Z2+"h_l!/;v"</f>
        <v>#VALUE!</v>
      </c>
      <c r="AB255" s="45" t="e">
        <f>Radar!AA2+"h_l!/;w"</f>
        <v>#VALUE!</v>
      </c>
      <c r="AC255" s="45" t="e">
        <f>Radar!AB2+"h_l!/;x"</f>
        <v>#VALUE!</v>
      </c>
      <c r="AD255" s="45" t="e">
        <f>Radar!AC2+"h_l!/;y"</f>
        <v>#VALUE!</v>
      </c>
      <c r="AE255" s="45" t="e">
        <f>Radar!AD2+"h_l!/;z"</f>
        <v>#VALUE!</v>
      </c>
      <c r="AF255" s="45" t="e">
        <f>Radar!AE2+"h_l!/;{"</f>
        <v>#VALUE!</v>
      </c>
      <c r="AG255" t="e">
        <f>Radar!AG2+"h_l!/;|"</f>
        <v>#VALUE!</v>
      </c>
      <c r="AH255" s="45" t="e">
        <f>Radar!AH2+"h_l!/;}"</f>
        <v>#VALUE!</v>
      </c>
      <c r="AI255" s="45" t="e">
        <f>Radar!AI2+"h_l!/;~"</f>
        <v>#VALUE!</v>
      </c>
      <c r="AJ255" s="45" t="e">
        <f>Radar!AJ2+"h_l!/&lt;#"</f>
        <v>#VALUE!</v>
      </c>
      <c r="AK255" s="45" t="e">
        <f>Radar!AK2+"h_l!/&lt;$"</f>
        <v>#VALUE!</v>
      </c>
      <c r="AL255" s="45" t="e">
        <f>Radar!AL2+"h_l!/&lt;%"</f>
        <v>#VALUE!</v>
      </c>
      <c r="AM255" t="e">
        <f>Radar!AN2+"h_l!/&lt;&amp;"</f>
        <v>#VALUE!</v>
      </c>
      <c r="AN255" s="45" t="e">
        <f>Radar!AO2+"h_l!/&lt;'"</f>
        <v>#VALUE!</v>
      </c>
      <c r="AO255" s="45" t="e">
        <f>Radar!AP2+"h_l!/&lt;("</f>
        <v>#VALUE!</v>
      </c>
      <c r="AP255" s="45" t="e">
        <f>Radar!AQ2+"h_l!/&lt;)"</f>
        <v>#VALUE!</v>
      </c>
      <c r="AQ255" s="45" t="e">
        <f>Radar!AR2+"h_l!/&lt;."</f>
        <v>#VALUE!</v>
      </c>
      <c r="AR255" s="45" t="e">
        <f>Radar!AS2+"h_l!/&lt;/"</f>
        <v>#VALUE!</v>
      </c>
      <c r="AS255" t="e">
        <f>Radar!AU2+"h_l!/&lt;0"</f>
        <v>#VALUE!</v>
      </c>
      <c r="AT255" s="45" t="e">
        <f>Radar!AV2+"h_l!/&lt;1"</f>
        <v>#VALUE!</v>
      </c>
      <c r="AU255" s="45" t="e">
        <f>Radar!AW2+"h_l!/&lt;2"</f>
        <v>#VALUE!</v>
      </c>
      <c r="AV255" s="45" t="e">
        <f>Radar!AX2+"h_l!/&lt;3"</f>
        <v>#VALUE!</v>
      </c>
      <c r="AW255" s="45" t="e">
        <f>Radar!AY2+"h_l!/&lt;4"</f>
        <v>#VALUE!</v>
      </c>
      <c r="AX255" s="45" t="e">
        <f>Radar!AZ2+"h_l!/&lt;5"</f>
        <v>#VALUE!</v>
      </c>
      <c r="AY255" t="e">
        <f>Radar!BB2+"h_l!/&lt;6"</f>
        <v>#VALUE!</v>
      </c>
      <c r="AZ255" s="45" t="e">
        <f>Radar!BC2+"h_l!/&lt;7"</f>
        <v>#VALUE!</v>
      </c>
      <c r="BA255" s="45" t="e">
        <f>Radar!BD2+"h_l!/&lt;8"</f>
        <v>#VALUE!</v>
      </c>
      <c r="BB255" s="45" t="e">
        <f>Radar!BE2+"h_l!/&lt;9"</f>
        <v>#VALUE!</v>
      </c>
      <c r="BC255" s="45" t="e">
        <f>Radar!BF2+"h_l!/&lt;:"</f>
        <v>#VALUE!</v>
      </c>
      <c r="BD255" s="45" t="e">
        <f>Radar!BG2+"h_l!/&lt;;"</f>
        <v>#VALUE!</v>
      </c>
      <c r="BE255" t="e">
        <f>Radar!O3+"h_l!/&lt;&lt;"</f>
        <v>#VALUE!</v>
      </c>
      <c r="BF255" t="e">
        <f>Radar!P3+"h_l!/&lt;="</f>
        <v>#VALUE!</v>
      </c>
      <c r="BG255" t="e">
        <f>Radar!Q3+"h_l!/&lt;&gt;"</f>
        <v>#VALUE!</v>
      </c>
      <c r="BH255" t="e">
        <f>Radar!R3+"h_l!/&lt;?"</f>
        <v>#VALUE!</v>
      </c>
      <c r="BI255" t="e">
        <f>Radar!S3+"h_l!/&lt;@"</f>
        <v>#VALUE!</v>
      </c>
      <c r="BJ255" t="e">
        <f>Radar!T3+"h_l!/&lt;A"</f>
        <v>#VALUE!</v>
      </c>
      <c r="BK255" t="e">
        <f>Radar!U3+"h_l!/&lt;B"</f>
        <v>#VALUE!</v>
      </c>
      <c r="BL255" t="e">
        <f>Radar!V3+"h_l!/&lt;C"</f>
        <v>#VALUE!</v>
      </c>
      <c r="BM255" t="e">
        <f>Radar!W3+"h_l!/&lt;D"</f>
        <v>#VALUE!</v>
      </c>
      <c r="BN255" t="e">
        <f>Radar!X3+"h_l!/&lt;E"</f>
        <v>#VALUE!</v>
      </c>
      <c r="BO255" t="e">
        <f>Radar!Z3+"h_l!/&lt;F"</f>
        <v>#VALUE!</v>
      </c>
      <c r="BP255" t="e">
        <f>Radar!AA3+"h_l!/&lt;G"</f>
        <v>#VALUE!</v>
      </c>
      <c r="BQ255" t="e">
        <f>Radar!AB3+"h_l!/&lt;H"</f>
        <v>#VALUE!</v>
      </c>
      <c r="BR255" t="e">
        <f>Radar!AC3+"h_l!/&lt;I"</f>
        <v>#VALUE!</v>
      </c>
      <c r="BS255" t="e">
        <f>Radar!AD3+"h_l!/&lt;J"</f>
        <v>#VALUE!</v>
      </c>
      <c r="BT255" t="e">
        <f>Radar!AE3+"h_l!/&lt;K"</f>
        <v>#VALUE!</v>
      </c>
      <c r="BU255" t="e">
        <f>Radar!AG3+"h_l!/&lt;L"</f>
        <v>#VALUE!</v>
      </c>
      <c r="BV255" t="e">
        <f>Radar!AH3+"h_l!/&lt;M"</f>
        <v>#VALUE!</v>
      </c>
      <c r="BW255" t="e">
        <f>Radar!AI3+"h_l!/&lt;N"</f>
        <v>#VALUE!</v>
      </c>
      <c r="BX255" t="e">
        <f>Radar!AJ3+"h_l!/&lt;O"</f>
        <v>#VALUE!</v>
      </c>
      <c r="BY255" t="e">
        <f>Radar!AK3+"h_l!/&lt;P"</f>
        <v>#VALUE!</v>
      </c>
      <c r="BZ255" t="e">
        <f>Radar!AL3+"h_l!/&lt;Q"</f>
        <v>#VALUE!</v>
      </c>
      <c r="CA255" t="e">
        <f>Radar!AN3+"h_l!/&lt;R"</f>
        <v>#VALUE!</v>
      </c>
      <c r="CB255" t="e">
        <f>Radar!AO3+"h_l!/&lt;S"</f>
        <v>#VALUE!</v>
      </c>
      <c r="CC255" t="e">
        <f>Radar!AP3+"h_l!/&lt;T"</f>
        <v>#VALUE!</v>
      </c>
      <c r="CD255" t="e">
        <f>Radar!AQ3+"h_l!/&lt;U"</f>
        <v>#VALUE!</v>
      </c>
      <c r="CE255" t="e">
        <f>Radar!AR3+"h_l!/&lt;V"</f>
        <v>#VALUE!</v>
      </c>
      <c r="CF255" t="e">
        <f>Radar!AS3+"h_l!/&lt;W"</f>
        <v>#VALUE!</v>
      </c>
      <c r="CG255" t="e">
        <f>Radar!AU3+"h_l!/&lt;X"</f>
        <v>#VALUE!</v>
      </c>
      <c r="CH255" t="e">
        <f>Radar!AV3+"h_l!/&lt;Y"</f>
        <v>#VALUE!</v>
      </c>
      <c r="CI255" t="e">
        <f>Radar!AW3+"h_l!/&lt;Z"</f>
        <v>#VALUE!</v>
      </c>
      <c r="CJ255" t="e">
        <f>Radar!AX3+"h_l!/&lt;["</f>
        <v>#VALUE!</v>
      </c>
      <c r="CK255" t="e">
        <f>Radar!AY3+"h_l!/&lt;\"</f>
        <v>#VALUE!</v>
      </c>
      <c r="CL255" t="e">
        <f>Radar!AZ3+"h_l!/&lt;]"</f>
        <v>#VALUE!</v>
      </c>
      <c r="CM255" t="e">
        <f>Radar!BB3+"h_l!/&lt;^"</f>
        <v>#VALUE!</v>
      </c>
      <c r="CN255" t="e">
        <f>Radar!BC3+"h_l!/&lt;_"</f>
        <v>#VALUE!</v>
      </c>
      <c r="CO255" t="e">
        <f>Radar!BD3+"h_l!/&lt;`"</f>
        <v>#VALUE!</v>
      </c>
      <c r="CP255" t="e">
        <f>Radar!BE3+"h_l!/&lt;a"</f>
        <v>#VALUE!</v>
      </c>
      <c r="CQ255" t="e">
        <f>Radar!BF3+"h_l!/&lt;b"</f>
        <v>#VALUE!</v>
      </c>
      <c r="CR255" t="e">
        <f>Radar!BG3+"h_l!/&lt;c"</f>
        <v>#VALUE!</v>
      </c>
      <c r="CS255" t="e">
        <f>Radar!N4+"h_l!/&lt;d"</f>
        <v>#VALUE!</v>
      </c>
      <c r="CT255" t="e">
        <f>Radar!O4+"h_l!/&lt;e"</f>
        <v>#VALUE!</v>
      </c>
      <c r="CU255" t="e">
        <f>Radar!P4+"h_l!/&lt;f"</f>
        <v>#VALUE!</v>
      </c>
      <c r="CV255" t="e">
        <f>Radar!Q4+"h_l!/&lt;g"</f>
        <v>#VALUE!</v>
      </c>
      <c r="CW255" t="e">
        <f>Radar!R4+"h_l!/&lt;h"</f>
        <v>#VALUE!</v>
      </c>
      <c r="CX255" t="e">
        <f>Radar!S4+"h_l!/&lt;i"</f>
        <v>#VALUE!</v>
      </c>
      <c r="CY255" t="e">
        <f>Radar!T4+"h_l!/&lt;j"</f>
        <v>#VALUE!</v>
      </c>
      <c r="CZ255" t="e">
        <f>Radar!U4+"h_l!/&lt;k"</f>
        <v>#VALUE!</v>
      </c>
      <c r="DA255" t="e">
        <f>Radar!V4+"h_l!/&lt;l"</f>
        <v>#VALUE!</v>
      </c>
      <c r="DB255" t="e">
        <f>Radar!W4+"h_l!/&lt;m"</f>
        <v>#VALUE!</v>
      </c>
      <c r="DC255" t="e">
        <f>Radar!X4+"h_l!/&lt;n"</f>
        <v>#VALUE!</v>
      </c>
      <c r="DD255" t="e">
        <f>Radar!Z4+"h_l!/&lt;o"</f>
        <v>#VALUE!</v>
      </c>
      <c r="DE255" t="e">
        <f>Radar!AA4+"h_l!/&lt;p"</f>
        <v>#VALUE!</v>
      </c>
      <c r="DF255" t="e">
        <f>Radar!AB4+"h_l!/&lt;q"</f>
        <v>#VALUE!</v>
      </c>
      <c r="DG255" t="e">
        <f>Radar!AC4+"h_l!/&lt;r"</f>
        <v>#VALUE!</v>
      </c>
      <c r="DH255" t="e">
        <f>Radar!AD4+"h_l!/&lt;s"</f>
        <v>#VALUE!</v>
      </c>
      <c r="DI255" t="e">
        <f>Radar!AE4+"h_l!/&lt;t"</f>
        <v>#VALUE!</v>
      </c>
      <c r="DJ255" t="e">
        <f>Radar!AG4+"h_l!/&lt;u"</f>
        <v>#VALUE!</v>
      </c>
      <c r="DK255" t="e">
        <f>Radar!AH4+"h_l!/&lt;v"</f>
        <v>#VALUE!</v>
      </c>
      <c r="DL255" t="e">
        <f>Radar!AI4+"h_l!/&lt;w"</f>
        <v>#VALUE!</v>
      </c>
      <c r="DM255" t="e">
        <f>Radar!AJ4+"h_l!/&lt;x"</f>
        <v>#VALUE!</v>
      </c>
      <c r="DN255" t="e">
        <f>Radar!AK4+"h_l!/&lt;y"</f>
        <v>#VALUE!</v>
      </c>
      <c r="DO255" t="e">
        <f>Radar!AL4+"h_l!/&lt;z"</f>
        <v>#VALUE!</v>
      </c>
      <c r="DP255" t="e">
        <f>Radar!AN4+"h_l!/&lt;{"</f>
        <v>#VALUE!</v>
      </c>
      <c r="DQ255" t="e">
        <f>Radar!AO4+"h_l!/&lt;|"</f>
        <v>#VALUE!</v>
      </c>
      <c r="DR255" t="e">
        <f>Radar!AP4+"h_l!/&lt;}"</f>
        <v>#VALUE!</v>
      </c>
      <c r="DS255" t="e">
        <f>Radar!AQ4+"h_l!/&lt;~"</f>
        <v>#VALUE!</v>
      </c>
      <c r="DT255" t="e">
        <f>Radar!AR4+"h_l!/=#"</f>
        <v>#VALUE!</v>
      </c>
      <c r="DU255" t="e">
        <f>Radar!AS4+"h_l!/=$"</f>
        <v>#VALUE!</v>
      </c>
      <c r="DV255" t="e">
        <f>Radar!AU4+"h_l!/=%"</f>
        <v>#VALUE!</v>
      </c>
      <c r="DW255" t="e">
        <f>Radar!AV4+"h_l!/=&amp;"</f>
        <v>#VALUE!</v>
      </c>
      <c r="DX255" t="e">
        <f>Radar!AW4+"h_l!/='"</f>
        <v>#VALUE!</v>
      </c>
      <c r="DY255" t="e">
        <f>Radar!AX4+"h_l!/=("</f>
        <v>#VALUE!</v>
      </c>
      <c r="DZ255" t="e">
        <f>Radar!AY4+"h_l!/=)"</f>
        <v>#VALUE!</v>
      </c>
      <c r="EA255" t="e">
        <f>Radar!AZ4+"h_l!/=."</f>
        <v>#VALUE!</v>
      </c>
      <c r="EB255" t="e">
        <f>Radar!BB4+"h_l!/=/"</f>
        <v>#VALUE!</v>
      </c>
      <c r="EC255" t="e">
        <f>Radar!BC4+"h_l!/=0"</f>
        <v>#VALUE!</v>
      </c>
      <c r="ED255" t="e">
        <f>Radar!BD4+"h_l!/=1"</f>
        <v>#VALUE!</v>
      </c>
      <c r="EE255" t="e">
        <f>Radar!BE4+"h_l!/=2"</f>
        <v>#VALUE!</v>
      </c>
      <c r="EF255" t="e">
        <f>Radar!BF4+"h_l!/=3"</f>
        <v>#VALUE!</v>
      </c>
      <c r="EG255" t="e">
        <f>Radar!BG4+"h_l!/=4"</f>
        <v>#VALUE!</v>
      </c>
      <c r="EH255" t="e">
        <f>Radar!N5+"h_l!/=5"</f>
        <v>#VALUE!</v>
      </c>
      <c r="EI255" t="e">
        <f>Radar!O5+"h_l!/=6"</f>
        <v>#VALUE!</v>
      </c>
      <c r="EJ255" t="e">
        <f>Radar!P5+"h_l!/=7"</f>
        <v>#VALUE!</v>
      </c>
      <c r="EK255" t="e">
        <f>Radar!Q5+"h_l!/=8"</f>
        <v>#VALUE!</v>
      </c>
      <c r="EL255" t="e">
        <f>Radar!R5+"h_l!/=9"</f>
        <v>#VALUE!</v>
      </c>
      <c r="EM255" t="e">
        <f>Radar!S5+"h_l!/=:"</f>
        <v>#VALUE!</v>
      </c>
      <c r="EN255" t="e">
        <f>Radar!T5+"h_l!/=;"</f>
        <v>#VALUE!</v>
      </c>
      <c r="EO255" t="e">
        <f>Radar!U5+"h_l!/=&lt;"</f>
        <v>#VALUE!</v>
      </c>
      <c r="EP255" t="e">
        <f>Radar!V5+"h_l!/=="</f>
        <v>#VALUE!</v>
      </c>
      <c r="EQ255" t="e">
        <f>Radar!W5+"h_l!/=&gt;"</f>
        <v>#VALUE!</v>
      </c>
      <c r="ER255" t="e">
        <f>Radar!X5+"h_l!/=?"</f>
        <v>#VALUE!</v>
      </c>
      <c r="ES255" t="e">
        <f>Radar!Z5+"h_l!/=@"</f>
        <v>#VALUE!</v>
      </c>
      <c r="ET255" t="e">
        <f>Radar!AA5+"h_l!/=A"</f>
        <v>#VALUE!</v>
      </c>
      <c r="EU255" t="e">
        <f>Radar!AB5+"h_l!/=B"</f>
        <v>#VALUE!</v>
      </c>
      <c r="EV255" t="e">
        <f>Radar!AC5+"h_l!/=C"</f>
        <v>#VALUE!</v>
      </c>
      <c r="EW255" t="e">
        <f>Radar!AD5+"h_l!/=D"</f>
        <v>#VALUE!</v>
      </c>
      <c r="EX255" t="e">
        <f>Radar!AE5+"h_l!/=E"</f>
        <v>#VALUE!</v>
      </c>
      <c r="EY255" t="e">
        <f>Radar!AG5+"h_l!/=F"</f>
        <v>#VALUE!</v>
      </c>
      <c r="EZ255" t="e">
        <f>Radar!AH5+"h_l!/=G"</f>
        <v>#VALUE!</v>
      </c>
      <c r="FA255" t="e">
        <f>Radar!AI5+"h_l!/=H"</f>
        <v>#VALUE!</v>
      </c>
      <c r="FB255" t="e">
        <f>Radar!AJ5+"h_l!/=I"</f>
        <v>#VALUE!</v>
      </c>
      <c r="FC255" t="e">
        <f>Radar!AK5+"h_l!/=J"</f>
        <v>#VALUE!</v>
      </c>
      <c r="FD255" t="e">
        <f>Radar!AL5+"h_l!/=K"</f>
        <v>#VALUE!</v>
      </c>
      <c r="FE255" t="e">
        <f>Radar!AN5+"h_l!/=L"</f>
        <v>#VALUE!</v>
      </c>
      <c r="FF255" t="e">
        <f>Radar!AO5+"h_l!/=M"</f>
        <v>#VALUE!</v>
      </c>
      <c r="FG255" t="e">
        <f>Radar!AP5+"h_l!/=N"</f>
        <v>#VALUE!</v>
      </c>
      <c r="FH255" t="e">
        <f>Radar!AQ5+"h_l!/=O"</f>
        <v>#VALUE!</v>
      </c>
      <c r="FI255" t="e">
        <f>Radar!AR5+"h_l!/=P"</f>
        <v>#VALUE!</v>
      </c>
      <c r="FJ255" t="e">
        <f>Radar!AS5+"h_l!/=Q"</f>
        <v>#VALUE!</v>
      </c>
      <c r="FK255" t="e">
        <f>Radar!AU5+"h_l!/=R"</f>
        <v>#VALUE!</v>
      </c>
      <c r="FL255" t="e">
        <f>Radar!AV5+"h_l!/=S"</f>
        <v>#VALUE!</v>
      </c>
      <c r="FM255" t="e">
        <f>Radar!AW5+"h_l!/=T"</f>
        <v>#VALUE!</v>
      </c>
      <c r="FN255" t="e">
        <f>Radar!AX5+"h_l!/=U"</f>
        <v>#VALUE!</v>
      </c>
      <c r="FO255" t="e">
        <f>Radar!AY5+"h_l!/=V"</f>
        <v>#VALUE!</v>
      </c>
      <c r="FP255" t="e">
        <f>Radar!AZ5+"h_l!/=W"</f>
        <v>#VALUE!</v>
      </c>
      <c r="FQ255" t="e">
        <f>Radar!BB5+"h_l!/=X"</f>
        <v>#VALUE!</v>
      </c>
      <c r="FR255" t="e">
        <f>Radar!BC5+"h_l!/=Y"</f>
        <v>#VALUE!</v>
      </c>
      <c r="FS255" t="e">
        <f>Radar!BD5+"h_l!/=Z"</f>
        <v>#VALUE!</v>
      </c>
      <c r="FT255" t="e">
        <f>Radar!BE5+"h_l!/=["</f>
        <v>#VALUE!</v>
      </c>
      <c r="FU255" t="e">
        <f>Radar!BF5+"h_l!/=\"</f>
        <v>#VALUE!</v>
      </c>
      <c r="FV255" t="e">
        <f>Radar!BG5+"h_l!/=]"</f>
        <v>#VALUE!</v>
      </c>
      <c r="FW255" t="e">
        <f>Radar!N6+"h_l!/=^"</f>
        <v>#VALUE!</v>
      </c>
      <c r="FX255" t="e">
        <f>Radar!O6+"h_l!/=_"</f>
        <v>#VALUE!</v>
      </c>
      <c r="FY255" t="e">
        <f>Radar!P6+"h_l!/=`"</f>
        <v>#VALUE!</v>
      </c>
      <c r="FZ255" t="e">
        <f>Radar!Q6+"h_l!/=a"</f>
        <v>#VALUE!</v>
      </c>
      <c r="GA255" t="e">
        <f>Radar!R6+"h_l!/=b"</f>
        <v>#VALUE!</v>
      </c>
      <c r="GB255" t="e">
        <f>Radar!S6+"h_l!/=c"</f>
        <v>#VALUE!</v>
      </c>
      <c r="GC255" t="e">
        <f>Radar!T6+"h_l!/=d"</f>
        <v>#VALUE!</v>
      </c>
      <c r="GD255" t="e">
        <f>Radar!U6+"h_l!/=e"</f>
        <v>#VALUE!</v>
      </c>
      <c r="GE255" t="e">
        <f>Radar!V6+"h_l!/=f"</f>
        <v>#VALUE!</v>
      </c>
      <c r="GF255" t="e">
        <f>Radar!W6+"h_l!/=g"</f>
        <v>#VALUE!</v>
      </c>
      <c r="GG255" t="e">
        <f>Radar!X6+"h_l!/=h"</f>
        <v>#VALUE!</v>
      </c>
      <c r="GH255" t="e">
        <f>Radar!Z6+"h_l!/=i"</f>
        <v>#VALUE!</v>
      </c>
      <c r="GI255" t="e">
        <f>Radar!AA6+"h_l!/=j"</f>
        <v>#VALUE!</v>
      </c>
      <c r="GJ255" t="e">
        <f>Radar!AB6+"h_l!/=k"</f>
        <v>#VALUE!</v>
      </c>
      <c r="GK255" t="e">
        <f>Radar!AC6+"h_l!/=l"</f>
        <v>#VALUE!</v>
      </c>
      <c r="GL255" t="e">
        <f>Radar!AD6+"h_l!/=m"</f>
        <v>#VALUE!</v>
      </c>
      <c r="GM255" t="e">
        <f>Radar!AE6+"h_l!/=n"</f>
        <v>#VALUE!</v>
      </c>
      <c r="GN255" t="e">
        <f>Radar!AG6+"h_l!/=o"</f>
        <v>#VALUE!</v>
      </c>
      <c r="GO255" t="e">
        <f>Radar!AH6+"h_l!/=p"</f>
        <v>#VALUE!</v>
      </c>
      <c r="GP255" t="e">
        <f>Radar!AI6+"h_l!/=q"</f>
        <v>#VALUE!</v>
      </c>
      <c r="GQ255" t="e">
        <f>Radar!AJ6+"h_l!/=r"</f>
        <v>#VALUE!</v>
      </c>
      <c r="GR255" t="e">
        <f>Radar!AK6+"h_l!/=s"</f>
        <v>#VALUE!</v>
      </c>
      <c r="GS255" t="e">
        <f>Radar!AL6+"h_l!/=t"</f>
        <v>#VALUE!</v>
      </c>
      <c r="GT255" t="e">
        <f>Radar!AN6+"h_l!/=u"</f>
        <v>#VALUE!</v>
      </c>
      <c r="GU255" t="e">
        <f>Radar!AO6+"h_l!/=v"</f>
        <v>#VALUE!</v>
      </c>
      <c r="GV255" t="e">
        <f>Radar!AP6+"h_l!/=w"</f>
        <v>#VALUE!</v>
      </c>
      <c r="GW255" t="e">
        <f>Radar!AQ6+"h_l!/=x"</f>
        <v>#VALUE!</v>
      </c>
      <c r="GX255" t="e">
        <f>Radar!AR6+"h_l!/=y"</f>
        <v>#VALUE!</v>
      </c>
      <c r="GY255" t="e">
        <f>Radar!AS6+"h_l!/=z"</f>
        <v>#VALUE!</v>
      </c>
      <c r="GZ255" t="e">
        <f>Radar!AU6+"h_l!/={"</f>
        <v>#VALUE!</v>
      </c>
      <c r="HA255" t="e">
        <f>Radar!AV6+"h_l!/=|"</f>
        <v>#VALUE!</v>
      </c>
      <c r="HB255" t="e">
        <f>Radar!AW6+"h_l!/=}"</f>
        <v>#VALUE!</v>
      </c>
      <c r="HC255" t="e">
        <f>Radar!AX6+"h_l!/=~"</f>
        <v>#VALUE!</v>
      </c>
      <c r="HD255" t="e">
        <f>Radar!AY6+"h_l!/&gt;#"</f>
        <v>#VALUE!</v>
      </c>
      <c r="HE255" t="e">
        <f>Radar!AZ6+"h_l!/&gt;$"</f>
        <v>#VALUE!</v>
      </c>
      <c r="HF255" t="e">
        <f>Radar!BB6+"h_l!/&gt;%"</f>
        <v>#VALUE!</v>
      </c>
      <c r="HG255" t="e">
        <f>Radar!BC6+"h_l!/&gt;&amp;"</f>
        <v>#VALUE!</v>
      </c>
      <c r="HH255" t="e">
        <f>Radar!BD6+"h_l!/&gt;'"</f>
        <v>#VALUE!</v>
      </c>
      <c r="HI255" t="e">
        <f>Radar!BE6+"h_l!/&gt;("</f>
        <v>#VALUE!</v>
      </c>
      <c r="HJ255" t="e">
        <f>Radar!BF6+"h_l!/&gt;)"</f>
        <v>#VALUE!</v>
      </c>
      <c r="HK255" t="e">
        <f>Radar!BG6+"h_l!/&gt;."</f>
        <v>#VALUE!</v>
      </c>
      <c r="HL255" t="e">
        <f>Radar!N7+"h_l!/&gt;/"</f>
        <v>#VALUE!</v>
      </c>
      <c r="HM255" t="e">
        <f>Radar!O7+"h_l!/&gt;0"</f>
        <v>#VALUE!</v>
      </c>
      <c r="HN255" t="e">
        <f>Radar!P7+"h_l!/&gt;1"</f>
        <v>#VALUE!</v>
      </c>
      <c r="HO255" t="e">
        <f>Radar!Q7+"h_l!/&gt;2"</f>
        <v>#VALUE!</v>
      </c>
      <c r="HP255" t="e">
        <f>Radar!R7+"h_l!/&gt;3"</f>
        <v>#VALUE!</v>
      </c>
      <c r="HQ255" t="e">
        <f>Radar!S7+"h_l!/&gt;4"</f>
        <v>#VALUE!</v>
      </c>
      <c r="HR255" t="e">
        <f>Radar!T7+"h_l!/&gt;5"</f>
        <v>#VALUE!</v>
      </c>
      <c r="HS255" t="e">
        <f>Radar!U7+"h_l!/&gt;6"</f>
        <v>#VALUE!</v>
      </c>
      <c r="HT255" t="e">
        <f>Radar!V7+"h_l!/&gt;7"</f>
        <v>#VALUE!</v>
      </c>
      <c r="HU255" t="e">
        <f>Radar!W7+"h_l!/&gt;8"</f>
        <v>#VALUE!</v>
      </c>
      <c r="HV255" t="e">
        <f>Radar!X7+"h_l!/&gt;9"</f>
        <v>#VALUE!</v>
      </c>
      <c r="HW255" t="e">
        <f>Radar!Z7+"h_l!/&gt;:"</f>
        <v>#VALUE!</v>
      </c>
      <c r="HX255" t="e">
        <f>Radar!AA7+"h_l!/&gt;;"</f>
        <v>#VALUE!</v>
      </c>
      <c r="HY255" t="e">
        <f>Radar!AB7+"h_l!/&gt;&lt;"</f>
        <v>#VALUE!</v>
      </c>
      <c r="HZ255" t="e">
        <f>Radar!AC7+"h_l!/&gt;="</f>
        <v>#VALUE!</v>
      </c>
      <c r="IA255" t="e">
        <f>Radar!AD7+"h_l!/&gt;&gt;"</f>
        <v>#VALUE!</v>
      </c>
      <c r="IB255" t="e">
        <f>Radar!AE7+"h_l!/&gt;?"</f>
        <v>#VALUE!</v>
      </c>
      <c r="IC255" t="e">
        <f>Radar!AG7+"h_l!/&gt;@"</f>
        <v>#VALUE!</v>
      </c>
      <c r="ID255" t="e">
        <f>Radar!AH7+"h_l!/&gt;A"</f>
        <v>#VALUE!</v>
      </c>
      <c r="IE255" t="e">
        <f>Radar!AI7+"h_l!/&gt;B"</f>
        <v>#VALUE!</v>
      </c>
      <c r="IF255" t="e">
        <f>Radar!AJ7+"h_l!/&gt;C"</f>
        <v>#VALUE!</v>
      </c>
      <c r="IG255" t="e">
        <f>Radar!AK7+"h_l!/&gt;D"</f>
        <v>#VALUE!</v>
      </c>
      <c r="IH255" t="e">
        <f>Radar!AL7+"h_l!/&gt;E"</f>
        <v>#VALUE!</v>
      </c>
      <c r="II255" t="e">
        <f>Radar!AN7+"h_l!/&gt;F"</f>
        <v>#VALUE!</v>
      </c>
      <c r="IJ255" t="e">
        <f>Radar!AO7+"h_l!/&gt;G"</f>
        <v>#VALUE!</v>
      </c>
      <c r="IK255" t="e">
        <f>Radar!AP7+"h_l!/&gt;H"</f>
        <v>#VALUE!</v>
      </c>
      <c r="IL255" t="e">
        <f>Radar!AQ7+"h_l!/&gt;I"</f>
        <v>#VALUE!</v>
      </c>
      <c r="IM255" t="e">
        <f>Radar!AR7+"h_l!/&gt;J"</f>
        <v>#VALUE!</v>
      </c>
      <c r="IN255" t="e">
        <f>Radar!AS7+"h_l!/&gt;K"</f>
        <v>#VALUE!</v>
      </c>
      <c r="IO255" t="e">
        <f>Radar!AU7+"h_l!/&gt;L"</f>
        <v>#VALUE!</v>
      </c>
      <c r="IP255" t="e">
        <f>Radar!AV7+"h_l!/&gt;M"</f>
        <v>#VALUE!</v>
      </c>
      <c r="IQ255" t="e">
        <f>Radar!AW7+"h_l!/&gt;N"</f>
        <v>#VALUE!</v>
      </c>
      <c r="IR255" t="e">
        <f>Radar!AX7+"h_l!/&gt;O"</f>
        <v>#VALUE!</v>
      </c>
      <c r="IS255" t="e">
        <f>Radar!AY7+"h_l!/&gt;P"</f>
        <v>#VALUE!</v>
      </c>
      <c r="IT255" t="e">
        <f>Radar!AZ7+"h_l!/&gt;Q"</f>
        <v>#VALUE!</v>
      </c>
      <c r="IU255" t="e">
        <f>Radar!BB7+"h_l!/&gt;R"</f>
        <v>#VALUE!</v>
      </c>
      <c r="IV255" t="e">
        <f>Radar!BC7+"h_l!/&gt;S"</f>
        <v>#VALUE!</v>
      </c>
    </row>
    <row r="256" spans="6:256" x14ac:dyDescent="0.25">
      <c r="F256" t="e">
        <f>Radar!BD7+"h_l!/&gt;T"</f>
        <v>#VALUE!</v>
      </c>
      <c r="G256" t="e">
        <f>Radar!BE7+"h_l!/&gt;U"</f>
        <v>#VALUE!</v>
      </c>
      <c r="H256" t="e">
        <f>Radar!BF7+"h_l!/&gt;V"</f>
        <v>#VALUE!</v>
      </c>
      <c r="I256" t="e">
        <f>Radar!BG7+"h_l!/&gt;W"</f>
        <v>#VALUE!</v>
      </c>
      <c r="J256" t="e">
        <f>Radar!N8+"h_l!/&gt;X"</f>
        <v>#VALUE!</v>
      </c>
      <c r="K256" t="e">
        <f>Radar!O8+"h_l!/&gt;Y"</f>
        <v>#VALUE!</v>
      </c>
      <c r="L256" t="e">
        <f>Radar!P8+"h_l!/&gt;Z"</f>
        <v>#VALUE!</v>
      </c>
      <c r="M256" t="e">
        <f>Radar!Q8+"h_l!/&gt;["</f>
        <v>#VALUE!</v>
      </c>
      <c r="N256" t="e">
        <f>Radar!R8+"h_l!/&gt;\"</f>
        <v>#VALUE!</v>
      </c>
      <c r="O256" t="e">
        <f>Radar!S8+"h_l!/&gt;]"</f>
        <v>#VALUE!</v>
      </c>
      <c r="P256" t="e">
        <f>Radar!T8+"h_l!/&gt;^"</f>
        <v>#VALUE!</v>
      </c>
      <c r="Q256" t="e">
        <f>Radar!U8+"h_l!/&gt;_"</f>
        <v>#VALUE!</v>
      </c>
      <c r="R256" t="e">
        <f>Radar!V8+"h_l!/&gt;`"</f>
        <v>#VALUE!</v>
      </c>
      <c r="S256" t="e">
        <f>Radar!W8+"h_l!/&gt;a"</f>
        <v>#VALUE!</v>
      </c>
      <c r="T256" t="e">
        <f>Radar!X8+"h_l!/&gt;b"</f>
        <v>#VALUE!</v>
      </c>
      <c r="U256" t="e">
        <f>Radar!Z8+"h_l!/&gt;c"</f>
        <v>#VALUE!</v>
      </c>
      <c r="V256" t="e">
        <f>Radar!AA8+"h_l!/&gt;d"</f>
        <v>#VALUE!</v>
      </c>
      <c r="W256" t="e">
        <f>Radar!AB8+"h_l!/&gt;e"</f>
        <v>#VALUE!</v>
      </c>
      <c r="X256" t="e">
        <f>Radar!AC8+"h_l!/&gt;f"</f>
        <v>#VALUE!</v>
      </c>
      <c r="Y256" t="e">
        <f>Radar!AD8+"h_l!/&gt;g"</f>
        <v>#VALUE!</v>
      </c>
      <c r="Z256" t="e">
        <f>Radar!AE8+"h_l!/&gt;h"</f>
        <v>#VALUE!</v>
      </c>
      <c r="AA256" t="e">
        <f>Radar!AG8+"h_l!/&gt;i"</f>
        <v>#VALUE!</v>
      </c>
      <c r="AB256" t="e">
        <f>Radar!AH8+"h_l!/&gt;j"</f>
        <v>#VALUE!</v>
      </c>
      <c r="AC256" t="e">
        <f>Radar!AI8+"h_l!/&gt;k"</f>
        <v>#VALUE!</v>
      </c>
      <c r="AD256" t="e">
        <f>Radar!AJ8+"h_l!/&gt;l"</f>
        <v>#VALUE!</v>
      </c>
      <c r="AE256" t="e">
        <f>Radar!AK8+"h_l!/&gt;m"</f>
        <v>#VALUE!</v>
      </c>
      <c r="AF256" t="e">
        <f>Radar!AL8+"h_l!/&gt;n"</f>
        <v>#VALUE!</v>
      </c>
      <c r="AG256" t="e">
        <f>Radar!AN8+"h_l!/&gt;o"</f>
        <v>#VALUE!</v>
      </c>
      <c r="AH256" t="e">
        <f>Radar!AO8+"h_l!/&gt;p"</f>
        <v>#VALUE!</v>
      </c>
      <c r="AI256" t="e">
        <f>Radar!AP8+"h_l!/&gt;q"</f>
        <v>#VALUE!</v>
      </c>
      <c r="AJ256" t="e">
        <f>Radar!AQ8+"h_l!/&gt;r"</f>
        <v>#VALUE!</v>
      </c>
      <c r="AK256" t="e">
        <f>Radar!AR8+"h_l!/&gt;s"</f>
        <v>#VALUE!</v>
      </c>
      <c r="AL256" t="e">
        <f>Radar!AS8+"h_l!/&gt;t"</f>
        <v>#VALUE!</v>
      </c>
      <c r="AM256" t="e">
        <f>Radar!AU8+"h_l!/&gt;u"</f>
        <v>#VALUE!</v>
      </c>
      <c r="AN256" t="e">
        <f>Radar!AV8+"h_l!/&gt;v"</f>
        <v>#VALUE!</v>
      </c>
      <c r="AO256" t="e">
        <f>Radar!AW8+"h_l!/&gt;w"</f>
        <v>#VALUE!</v>
      </c>
      <c r="AP256" t="e">
        <f>Radar!AX8+"h_l!/&gt;x"</f>
        <v>#VALUE!</v>
      </c>
      <c r="AQ256" t="e">
        <f>Radar!AY8+"h_l!/&gt;y"</f>
        <v>#VALUE!</v>
      </c>
      <c r="AR256" t="e">
        <f>Radar!AZ8+"h_l!/&gt;z"</f>
        <v>#VALUE!</v>
      </c>
      <c r="AS256" t="e">
        <f>Radar!BB8+"h_l!/&gt;{"</f>
        <v>#VALUE!</v>
      </c>
      <c r="AT256" t="e">
        <f>Radar!BC8+"h_l!/&gt;|"</f>
        <v>#VALUE!</v>
      </c>
      <c r="AU256" t="e">
        <f>Radar!BD8+"h_l!/&gt;}"</f>
        <v>#VALUE!</v>
      </c>
      <c r="AV256" t="e">
        <f>Radar!BE8+"h_l!/&gt;~"</f>
        <v>#VALUE!</v>
      </c>
      <c r="AW256" t="e">
        <f>Radar!BF8+"h_l!/?#"</f>
        <v>#VALUE!</v>
      </c>
      <c r="AX256" t="e">
        <f>Radar!BG8+"h_l!/?$"</f>
        <v>#VALUE!</v>
      </c>
      <c r="AY256" t="e">
        <f>Radar!N9+"h_l!/?%"</f>
        <v>#VALUE!</v>
      </c>
      <c r="AZ256" t="e">
        <f>Radar!O9+"h_l!/?&amp;"</f>
        <v>#VALUE!</v>
      </c>
      <c r="BA256" t="e">
        <f>Radar!P9+"h_l!/?'"</f>
        <v>#VALUE!</v>
      </c>
      <c r="BB256" t="e">
        <f>Radar!Q9+"h_l!/?("</f>
        <v>#VALUE!</v>
      </c>
      <c r="BC256" t="e">
        <f>Radar!R9+"h_l!/?)"</f>
        <v>#VALUE!</v>
      </c>
      <c r="BD256" t="e">
        <f>Radar!S9+"h_l!/?."</f>
        <v>#VALUE!</v>
      </c>
      <c r="BE256" t="e">
        <f>Radar!T9+"h_l!/?/"</f>
        <v>#VALUE!</v>
      </c>
      <c r="BF256" t="e">
        <f>Radar!U9+"h_l!/?0"</f>
        <v>#VALUE!</v>
      </c>
      <c r="BG256" t="e">
        <f>Radar!V9+"h_l!/?1"</f>
        <v>#VALUE!</v>
      </c>
      <c r="BH256" t="e">
        <f>Radar!W9+"h_l!/?2"</f>
        <v>#VALUE!</v>
      </c>
      <c r="BI256" t="e">
        <f>Radar!X9+"h_l!/?3"</f>
        <v>#VALUE!</v>
      </c>
      <c r="BJ256" t="e">
        <f>Radar!Z9+"h_l!/?4"</f>
        <v>#VALUE!</v>
      </c>
      <c r="BK256" t="e">
        <f>Radar!AA9+"h_l!/?5"</f>
        <v>#VALUE!</v>
      </c>
      <c r="BL256" t="e">
        <f>Radar!AB9+"h_l!/?6"</f>
        <v>#VALUE!</v>
      </c>
      <c r="BM256" t="e">
        <f>Radar!AC9+"h_l!/?7"</f>
        <v>#VALUE!</v>
      </c>
      <c r="BN256" t="e">
        <f>Radar!AD9+"h_l!/?8"</f>
        <v>#VALUE!</v>
      </c>
      <c r="BO256" t="e">
        <f>Radar!AE9+"h_l!/?9"</f>
        <v>#VALUE!</v>
      </c>
      <c r="BP256" t="e">
        <f>Radar!AG9+"h_l!/?:"</f>
        <v>#VALUE!</v>
      </c>
      <c r="BQ256" t="e">
        <f>Radar!AH9+"h_l!/?;"</f>
        <v>#VALUE!</v>
      </c>
      <c r="BR256" t="e">
        <f>Radar!AI9+"h_l!/?&lt;"</f>
        <v>#VALUE!</v>
      </c>
      <c r="BS256" t="e">
        <f>Radar!AJ9+"h_l!/?="</f>
        <v>#VALUE!</v>
      </c>
      <c r="BT256" t="e">
        <f>Radar!AK9+"h_l!/?&gt;"</f>
        <v>#VALUE!</v>
      </c>
      <c r="BU256" t="e">
        <f>Radar!AL9+"h_l!/??"</f>
        <v>#VALUE!</v>
      </c>
      <c r="BV256" t="e">
        <f>Radar!AN9+"h_l!/?@"</f>
        <v>#VALUE!</v>
      </c>
      <c r="BW256" t="e">
        <f>Radar!AO9+"h_l!/?A"</f>
        <v>#VALUE!</v>
      </c>
      <c r="BX256" t="e">
        <f>Radar!AP9+"h_l!/?B"</f>
        <v>#VALUE!</v>
      </c>
      <c r="BY256" t="e">
        <f>Radar!AQ9+"h_l!/?C"</f>
        <v>#VALUE!</v>
      </c>
      <c r="BZ256" t="e">
        <f>Radar!AR9+"h_l!/?D"</f>
        <v>#VALUE!</v>
      </c>
      <c r="CA256" t="e">
        <f>Radar!AS9+"h_l!/?E"</f>
        <v>#VALUE!</v>
      </c>
      <c r="CB256" t="e">
        <f>Radar!AU9+"h_l!/?F"</f>
        <v>#VALUE!</v>
      </c>
      <c r="CC256" t="e">
        <f>Radar!AV9+"h_l!/?G"</f>
        <v>#VALUE!</v>
      </c>
      <c r="CD256" t="e">
        <f>Radar!AW9+"h_l!/?H"</f>
        <v>#VALUE!</v>
      </c>
      <c r="CE256" t="e">
        <f>Radar!AX9+"h_l!/?I"</f>
        <v>#VALUE!</v>
      </c>
      <c r="CF256" t="e">
        <f>Radar!AY9+"h_l!/?J"</f>
        <v>#VALUE!</v>
      </c>
      <c r="CG256" t="e">
        <f>Radar!AZ9+"h_l!/?K"</f>
        <v>#VALUE!</v>
      </c>
      <c r="CH256" t="e">
        <f>Radar!BB9+"h_l!/?L"</f>
        <v>#VALUE!</v>
      </c>
      <c r="CI256" t="e">
        <f>Radar!BC9+"h_l!/?M"</f>
        <v>#VALUE!</v>
      </c>
      <c r="CJ256" t="e">
        <f>Radar!BD9+"h_l!/?N"</f>
        <v>#VALUE!</v>
      </c>
      <c r="CK256" t="e">
        <f>Radar!BE9+"h_l!/?O"</f>
        <v>#VALUE!</v>
      </c>
      <c r="CL256" t="e">
        <f>Radar!BF9+"h_l!/?P"</f>
        <v>#VALUE!</v>
      </c>
      <c r="CM256" t="e">
        <f>Radar!BG9+"h_l!/?Q"</f>
        <v>#VALUE!</v>
      </c>
      <c r="CN256" t="e">
        <f>Radar!N10+"h_l!/?R"</f>
        <v>#VALUE!</v>
      </c>
      <c r="CO256" t="e">
        <f>Radar!O10+"h_l!/?S"</f>
        <v>#VALUE!</v>
      </c>
      <c r="CP256" t="e">
        <f>Radar!P10+"h_l!/?T"</f>
        <v>#VALUE!</v>
      </c>
      <c r="CQ256" t="e">
        <f>Radar!Q10+"h_l!/?U"</f>
        <v>#VALUE!</v>
      </c>
      <c r="CR256" t="e">
        <f>Radar!R10+"h_l!/?V"</f>
        <v>#VALUE!</v>
      </c>
      <c r="CS256" t="e">
        <f>Radar!S10+"h_l!/?W"</f>
        <v>#VALUE!</v>
      </c>
      <c r="CT256" t="e">
        <f>Radar!T10+"h_l!/?X"</f>
        <v>#VALUE!</v>
      </c>
      <c r="CU256" t="e">
        <f>Radar!U10+"h_l!/?Y"</f>
        <v>#VALUE!</v>
      </c>
      <c r="CV256" t="e">
        <f>Radar!V10+"h_l!/?Z"</f>
        <v>#VALUE!</v>
      </c>
      <c r="CW256" t="e">
        <f>Radar!W10+"h_l!/?["</f>
        <v>#VALUE!</v>
      </c>
      <c r="CX256" t="e">
        <f>Radar!X10+"h_l!/?\"</f>
        <v>#VALUE!</v>
      </c>
      <c r="CY256" t="e">
        <f>Radar!Z10+"h_l!/?]"</f>
        <v>#VALUE!</v>
      </c>
      <c r="CZ256" t="e">
        <f>Radar!AA10+"h_l!/?^"</f>
        <v>#VALUE!</v>
      </c>
      <c r="DA256" t="e">
        <f>Radar!AB10+"h_l!/?_"</f>
        <v>#VALUE!</v>
      </c>
      <c r="DB256" t="e">
        <f>Radar!AC10+"h_l!/?`"</f>
        <v>#VALUE!</v>
      </c>
      <c r="DC256" t="e">
        <f>Radar!AD10+"h_l!/?a"</f>
        <v>#VALUE!</v>
      </c>
      <c r="DD256" t="e">
        <f>Radar!AE10+"h_l!/?b"</f>
        <v>#VALUE!</v>
      </c>
      <c r="DE256" t="e">
        <f>Radar!AG10+"h_l!/?c"</f>
        <v>#VALUE!</v>
      </c>
      <c r="DF256" t="e">
        <f>Radar!AH10+"h_l!/?d"</f>
        <v>#VALUE!</v>
      </c>
      <c r="DG256" t="e">
        <f>Radar!AI10+"h_l!/?e"</f>
        <v>#VALUE!</v>
      </c>
      <c r="DH256" t="e">
        <f>Radar!AJ10+"h_l!/?f"</f>
        <v>#VALUE!</v>
      </c>
      <c r="DI256" t="e">
        <f>Radar!AK10+"h_l!/?g"</f>
        <v>#VALUE!</v>
      </c>
      <c r="DJ256" t="e">
        <f>Radar!AL10+"h_l!/?h"</f>
        <v>#VALUE!</v>
      </c>
      <c r="DK256" t="e">
        <f>Radar!AN10+"h_l!/?i"</f>
        <v>#VALUE!</v>
      </c>
      <c r="DL256" t="e">
        <f>Radar!AO10+"h_l!/?j"</f>
        <v>#VALUE!</v>
      </c>
      <c r="DM256" t="e">
        <f>Radar!AP10+"h_l!/?k"</f>
        <v>#VALUE!</v>
      </c>
      <c r="DN256" t="e">
        <f>Radar!AQ10+"h_l!/?l"</f>
        <v>#VALUE!</v>
      </c>
      <c r="DO256" t="e">
        <f>Radar!AR10+"h_l!/?m"</f>
        <v>#VALUE!</v>
      </c>
      <c r="DP256" t="e">
        <f>Radar!AS10+"h_l!/?n"</f>
        <v>#VALUE!</v>
      </c>
      <c r="DQ256" t="e">
        <f>Radar!AU10+"h_l!/?o"</f>
        <v>#VALUE!</v>
      </c>
      <c r="DR256" t="e">
        <f>Radar!AV10+"h_l!/?p"</f>
        <v>#VALUE!</v>
      </c>
      <c r="DS256" t="e">
        <f>Radar!AW10+"h_l!/?q"</f>
        <v>#VALUE!</v>
      </c>
      <c r="DT256" t="e">
        <f>Radar!AX10+"h_l!/?r"</f>
        <v>#VALUE!</v>
      </c>
      <c r="DU256" t="e">
        <f>Radar!AY10+"h_l!/?s"</f>
        <v>#VALUE!</v>
      </c>
      <c r="DV256" t="e">
        <f>Radar!AZ10+"h_l!/?t"</f>
        <v>#VALUE!</v>
      </c>
      <c r="DW256" t="e">
        <f>Radar!BB10+"h_l!/?u"</f>
        <v>#VALUE!</v>
      </c>
      <c r="DX256" t="e">
        <f>Radar!BC10+"h_l!/?v"</f>
        <v>#VALUE!</v>
      </c>
      <c r="DY256" t="e">
        <f>Radar!BD10+"h_l!/?w"</f>
        <v>#VALUE!</v>
      </c>
      <c r="DZ256" t="e">
        <f>Radar!BE10+"h_l!/?x"</f>
        <v>#VALUE!</v>
      </c>
      <c r="EA256" t="e">
        <f>Radar!BF10+"h_l!/?y"</f>
        <v>#VALUE!</v>
      </c>
      <c r="EB256" t="e">
        <f>Radar!BG10+"h_l!/?z"</f>
        <v>#VALUE!</v>
      </c>
      <c r="EC256" t="e">
        <f>Radar!N11+"h_l!/?{"</f>
        <v>#VALUE!</v>
      </c>
      <c r="ED256" t="e">
        <f>Radar!O11+"h_l!/?|"</f>
        <v>#VALUE!</v>
      </c>
      <c r="EE256" t="e">
        <f>Radar!P11+"h_l!/?}"</f>
        <v>#VALUE!</v>
      </c>
      <c r="EF256" t="e">
        <f>Radar!Q11+"h_l!/?~"</f>
        <v>#VALUE!</v>
      </c>
      <c r="EG256" t="e">
        <f>Radar!R11+"h_l!/@#"</f>
        <v>#VALUE!</v>
      </c>
      <c r="EH256" t="e">
        <f>Radar!S11+"h_l!/@$"</f>
        <v>#VALUE!</v>
      </c>
      <c r="EI256" t="e">
        <f>Radar!T11+"h_l!/@%"</f>
        <v>#VALUE!</v>
      </c>
      <c r="EJ256" t="e">
        <f>Radar!U11+"h_l!/@&amp;"</f>
        <v>#VALUE!</v>
      </c>
      <c r="EK256" t="e">
        <f>Radar!V11+"h_l!/@'"</f>
        <v>#VALUE!</v>
      </c>
      <c r="EL256" t="e">
        <f>Radar!W11+"h_l!/@("</f>
        <v>#VALUE!</v>
      </c>
      <c r="EM256" t="e">
        <f>Radar!X11+"h_l!/@)"</f>
        <v>#VALUE!</v>
      </c>
      <c r="EN256" t="e">
        <f>Radar!Z11+"h_l!/@."</f>
        <v>#VALUE!</v>
      </c>
      <c r="EO256" t="e">
        <f>Radar!AA11+"h_l!/@/"</f>
        <v>#VALUE!</v>
      </c>
      <c r="EP256" t="e">
        <f>Radar!AB11+"h_l!/@0"</f>
        <v>#VALUE!</v>
      </c>
      <c r="EQ256" t="e">
        <f>Radar!AC11+"h_l!/@1"</f>
        <v>#VALUE!</v>
      </c>
      <c r="ER256" t="e">
        <f>Radar!AD11+"h_l!/@2"</f>
        <v>#VALUE!</v>
      </c>
      <c r="ES256" t="e">
        <f>Radar!AE11+"h_l!/@3"</f>
        <v>#VALUE!</v>
      </c>
      <c r="ET256" t="e">
        <f>Radar!AG11+"h_l!/@4"</f>
        <v>#VALUE!</v>
      </c>
      <c r="EU256" t="e">
        <f>Radar!AH11+"h_l!/@5"</f>
        <v>#VALUE!</v>
      </c>
      <c r="EV256" t="e">
        <f>Radar!AI11+"h_l!/@6"</f>
        <v>#VALUE!</v>
      </c>
      <c r="EW256" t="e">
        <f>Radar!AJ11+"h_l!/@7"</f>
        <v>#VALUE!</v>
      </c>
      <c r="EX256" t="e">
        <f>Radar!AK11+"h_l!/@8"</f>
        <v>#VALUE!</v>
      </c>
      <c r="EY256" t="e">
        <f>Radar!AL11+"h_l!/@9"</f>
        <v>#VALUE!</v>
      </c>
      <c r="EZ256" t="e">
        <f>Radar!AN11+"h_l!/@:"</f>
        <v>#VALUE!</v>
      </c>
      <c r="FA256" t="e">
        <f>Radar!AO11+"h_l!/@;"</f>
        <v>#VALUE!</v>
      </c>
      <c r="FB256" t="e">
        <f>Radar!AP11+"h_l!/@&lt;"</f>
        <v>#VALUE!</v>
      </c>
      <c r="FC256" t="e">
        <f>Radar!AQ11+"h_l!/@="</f>
        <v>#VALUE!</v>
      </c>
      <c r="FD256" t="e">
        <f>Radar!AR11+"h_l!/@&gt;"</f>
        <v>#VALUE!</v>
      </c>
      <c r="FE256" t="e">
        <f>Radar!AS11+"h_l!/@?"</f>
        <v>#VALUE!</v>
      </c>
      <c r="FF256" t="e">
        <f>Radar!AU11+"h_l!/@@"</f>
        <v>#VALUE!</v>
      </c>
      <c r="FG256" t="e">
        <f>Radar!AV11+"h_l!/@A"</f>
        <v>#VALUE!</v>
      </c>
      <c r="FH256" t="e">
        <f>Radar!AW11+"h_l!/@B"</f>
        <v>#VALUE!</v>
      </c>
      <c r="FI256" t="e">
        <f>Radar!AX11+"h_l!/@C"</f>
        <v>#VALUE!</v>
      </c>
      <c r="FJ256" t="e">
        <f>Radar!AY11+"h_l!/@D"</f>
        <v>#VALUE!</v>
      </c>
      <c r="FK256" t="e">
        <f>Radar!AZ11+"h_l!/@E"</f>
        <v>#VALUE!</v>
      </c>
      <c r="FL256" t="e">
        <f>Radar!BB11+"h_l!/@F"</f>
        <v>#VALUE!</v>
      </c>
      <c r="FM256" t="e">
        <f>Radar!BC11+"h_l!/@G"</f>
        <v>#VALUE!</v>
      </c>
      <c r="FN256" t="e">
        <f>Radar!BD11+"h_l!/@H"</f>
        <v>#VALUE!</v>
      </c>
      <c r="FO256" t="e">
        <f>Radar!BE11+"h_l!/@I"</f>
        <v>#VALUE!</v>
      </c>
      <c r="FP256" t="e">
        <f>Radar!BF11+"h_l!/@J"</f>
        <v>#VALUE!</v>
      </c>
      <c r="FQ256" t="e">
        <f>Radar!BG11+"h_l!/@K"</f>
        <v>#VALUE!</v>
      </c>
      <c r="FR256" t="e">
        <f>Radar!N12+"h_l!/@L"</f>
        <v>#VALUE!</v>
      </c>
      <c r="FS256" t="e">
        <f>Radar!O12+"h_l!/@M"</f>
        <v>#VALUE!</v>
      </c>
      <c r="FT256" t="e">
        <f>Radar!P12+"h_l!/@N"</f>
        <v>#VALUE!</v>
      </c>
      <c r="FU256" t="e">
        <f>Radar!Q12+"h_l!/@O"</f>
        <v>#VALUE!</v>
      </c>
      <c r="FV256" t="e">
        <f>Radar!R12+"h_l!/@P"</f>
        <v>#VALUE!</v>
      </c>
      <c r="FW256" t="e">
        <f>Radar!S12+"h_l!/@Q"</f>
        <v>#VALUE!</v>
      </c>
      <c r="FX256" t="e">
        <f>Radar!T12+"h_l!/@R"</f>
        <v>#VALUE!</v>
      </c>
      <c r="FY256" t="e">
        <f>Radar!U12+"h_l!/@S"</f>
        <v>#VALUE!</v>
      </c>
      <c r="FZ256" t="e">
        <f>Radar!V12+"h_l!/@T"</f>
        <v>#VALUE!</v>
      </c>
      <c r="GA256" t="e">
        <f>Radar!W12+"h_l!/@U"</f>
        <v>#VALUE!</v>
      </c>
      <c r="GB256" t="e">
        <f>Radar!X12+"h_l!/@V"</f>
        <v>#VALUE!</v>
      </c>
      <c r="GC256" t="e">
        <f>Radar!Z12+"h_l!/@W"</f>
        <v>#VALUE!</v>
      </c>
      <c r="GD256" t="e">
        <f>Radar!AA12+"h_l!/@X"</f>
        <v>#VALUE!</v>
      </c>
      <c r="GE256" t="e">
        <f>Radar!AB12+"h_l!/@Y"</f>
        <v>#VALUE!</v>
      </c>
      <c r="GF256" t="e">
        <f>Radar!AC12+"h_l!/@Z"</f>
        <v>#VALUE!</v>
      </c>
      <c r="GG256" t="e">
        <f>Radar!AD12+"h_l!/@["</f>
        <v>#VALUE!</v>
      </c>
      <c r="GH256" t="e">
        <f>Radar!AE12+"h_l!/@\"</f>
        <v>#VALUE!</v>
      </c>
      <c r="GI256" t="e">
        <f>Radar!AG12+"h_l!/@]"</f>
        <v>#VALUE!</v>
      </c>
      <c r="GJ256" t="e">
        <f>Radar!AH12+"h_l!/@^"</f>
        <v>#VALUE!</v>
      </c>
      <c r="GK256" t="e">
        <f>Radar!AI12+"h_l!/@_"</f>
        <v>#VALUE!</v>
      </c>
      <c r="GL256" t="e">
        <f>Radar!AJ12+"h_l!/@`"</f>
        <v>#VALUE!</v>
      </c>
      <c r="GM256" t="e">
        <f>Radar!AK12+"h_l!/@a"</f>
        <v>#VALUE!</v>
      </c>
      <c r="GN256" t="e">
        <f>Radar!AL12+"h_l!/@b"</f>
        <v>#VALUE!</v>
      </c>
      <c r="GO256" t="e">
        <f>Radar!AN12+"h_l!/@c"</f>
        <v>#VALUE!</v>
      </c>
      <c r="GP256" t="e">
        <f>Radar!AO12+"h_l!/@d"</f>
        <v>#VALUE!</v>
      </c>
      <c r="GQ256" t="e">
        <f>Radar!AP12+"h_l!/@e"</f>
        <v>#VALUE!</v>
      </c>
      <c r="GR256" t="e">
        <f>Radar!AQ12+"h_l!/@f"</f>
        <v>#VALUE!</v>
      </c>
      <c r="GS256" t="e">
        <f>Radar!AR12+"h_l!/@g"</f>
        <v>#VALUE!</v>
      </c>
      <c r="GT256" t="e">
        <f>Radar!AS12+"h_l!/@h"</f>
        <v>#VALUE!</v>
      </c>
      <c r="GU256" t="e">
        <f>Radar!AU12+"h_l!/@i"</f>
        <v>#VALUE!</v>
      </c>
      <c r="GV256" t="e">
        <f>Radar!AV12+"h_l!/@j"</f>
        <v>#VALUE!</v>
      </c>
      <c r="GW256" t="e">
        <f>Radar!AW12+"h_l!/@k"</f>
        <v>#VALUE!</v>
      </c>
      <c r="GX256" t="e">
        <f>Radar!AX12+"h_l!/@l"</f>
        <v>#VALUE!</v>
      </c>
      <c r="GY256" t="e">
        <f>Radar!AY12+"h_l!/@m"</f>
        <v>#VALUE!</v>
      </c>
      <c r="GZ256" t="e">
        <f>Radar!AZ12+"h_l!/@n"</f>
        <v>#VALUE!</v>
      </c>
      <c r="HA256" t="e">
        <f>Radar!BB12+"h_l!/@o"</f>
        <v>#VALUE!</v>
      </c>
      <c r="HB256" t="e">
        <f>Radar!BC12+"h_l!/@p"</f>
        <v>#VALUE!</v>
      </c>
      <c r="HC256" t="e">
        <f>Radar!BD12+"h_l!/@q"</f>
        <v>#VALUE!</v>
      </c>
      <c r="HD256" t="e">
        <f>Radar!BE12+"h_l!/@r"</f>
        <v>#VALUE!</v>
      </c>
      <c r="HE256" t="e">
        <f>Radar!BF12+"h_l!/@s"</f>
        <v>#VALUE!</v>
      </c>
      <c r="HF256" t="e">
        <f>Radar!BG12+"h_l!/@t"</f>
        <v>#VALUE!</v>
      </c>
      <c r="HG256" t="e">
        <f>Radar!N13+"h_l!/@u"</f>
        <v>#VALUE!</v>
      </c>
      <c r="HH256" t="e">
        <f>Radar!O13+"h_l!/@v"</f>
        <v>#VALUE!</v>
      </c>
      <c r="HI256" t="e">
        <f>Radar!P13+"h_l!/@w"</f>
        <v>#VALUE!</v>
      </c>
      <c r="HJ256" t="e">
        <f>Radar!Q13+"h_l!/@x"</f>
        <v>#VALUE!</v>
      </c>
      <c r="HK256" t="e">
        <f>Radar!R13+"h_l!/@y"</f>
        <v>#VALUE!</v>
      </c>
      <c r="HL256" t="e">
        <f>Radar!S13+"h_l!/@z"</f>
        <v>#VALUE!</v>
      </c>
      <c r="HM256" t="e">
        <f>Radar!T13+"h_l!/@{"</f>
        <v>#VALUE!</v>
      </c>
      <c r="HN256" t="e">
        <f>Radar!U13+"h_l!/@|"</f>
        <v>#VALUE!</v>
      </c>
      <c r="HO256" t="e">
        <f>Radar!V13+"h_l!/@}"</f>
        <v>#VALUE!</v>
      </c>
      <c r="HP256" t="e">
        <f>Radar!W13+"h_l!/@~"</f>
        <v>#VALUE!</v>
      </c>
      <c r="HQ256" t="e">
        <f>Radar!X13+"h_l!/A#"</f>
        <v>#VALUE!</v>
      </c>
      <c r="HR256" t="e">
        <f>Radar!Z13+"h_l!/A$"</f>
        <v>#VALUE!</v>
      </c>
      <c r="HS256" t="e">
        <f>Radar!AA13+"h_l!/A%"</f>
        <v>#VALUE!</v>
      </c>
      <c r="HT256" t="e">
        <f>Radar!AB13+"h_l!/A&amp;"</f>
        <v>#VALUE!</v>
      </c>
      <c r="HU256" t="e">
        <f>Radar!AC13+"h_l!/A'"</f>
        <v>#VALUE!</v>
      </c>
      <c r="HV256" t="e">
        <f>Radar!AD13+"h_l!/A("</f>
        <v>#VALUE!</v>
      </c>
      <c r="HW256" t="e">
        <f>Radar!AE13+"h_l!/A)"</f>
        <v>#VALUE!</v>
      </c>
      <c r="HX256" t="e">
        <f>Radar!AG13+"h_l!/A."</f>
        <v>#VALUE!</v>
      </c>
      <c r="HY256" t="e">
        <f>Radar!AH13+"h_l!/A/"</f>
        <v>#VALUE!</v>
      </c>
      <c r="HZ256" t="e">
        <f>Radar!AI13+"h_l!/A0"</f>
        <v>#VALUE!</v>
      </c>
      <c r="IA256" t="e">
        <f>Radar!AJ13+"h_l!/A1"</f>
        <v>#VALUE!</v>
      </c>
      <c r="IB256" t="e">
        <f>Radar!AK13+"h_l!/A2"</f>
        <v>#VALUE!</v>
      </c>
      <c r="IC256" t="e">
        <f>Radar!AL13+"h_l!/A3"</f>
        <v>#VALUE!</v>
      </c>
      <c r="ID256" t="e">
        <f>Radar!AN13+"h_l!/A4"</f>
        <v>#VALUE!</v>
      </c>
      <c r="IE256" t="e">
        <f>Radar!AO13+"h_l!/A5"</f>
        <v>#VALUE!</v>
      </c>
      <c r="IF256" t="e">
        <f>Radar!AP13+"h_l!/A6"</f>
        <v>#VALUE!</v>
      </c>
      <c r="IG256" t="e">
        <f>Radar!AQ13+"h_l!/A7"</f>
        <v>#VALUE!</v>
      </c>
      <c r="IH256" t="e">
        <f>Radar!AR13+"h_l!/A8"</f>
        <v>#VALUE!</v>
      </c>
      <c r="II256" t="e">
        <f>Radar!AS13+"h_l!/A9"</f>
        <v>#VALUE!</v>
      </c>
      <c r="IJ256" t="e">
        <f>Radar!AU13+"h_l!/A:"</f>
        <v>#VALUE!</v>
      </c>
      <c r="IK256" t="e">
        <f>Radar!AV13+"h_l!/A;"</f>
        <v>#VALUE!</v>
      </c>
      <c r="IL256" t="e">
        <f>Radar!AW13+"h_l!/A&lt;"</f>
        <v>#VALUE!</v>
      </c>
      <c r="IM256" t="e">
        <f>Radar!AX13+"h_l!/A="</f>
        <v>#VALUE!</v>
      </c>
      <c r="IN256" t="e">
        <f>Radar!AY13+"h_l!/A&gt;"</f>
        <v>#VALUE!</v>
      </c>
      <c r="IO256" t="e">
        <f>Radar!AZ13+"h_l!/A?"</f>
        <v>#VALUE!</v>
      </c>
      <c r="IP256" t="e">
        <f>Radar!BB13+"h_l!/A@"</f>
        <v>#VALUE!</v>
      </c>
      <c r="IQ256" t="e">
        <f>Radar!BC13+"h_l!/AA"</f>
        <v>#VALUE!</v>
      </c>
      <c r="IR256" t="e">
        <f>Radar!BD13+"h_l!/AB"</f>
        <v>#VALUE!</v>
      </c>
      <c r="IS256" t="e">
        <f>Radar!BE13+"h_l!/AC"</f>
        <v>#VALUE!</v>
      </c>
      <c r="IT256" t="e">
        <f>Radar!BF13+"h_l!/AD"</f>
        <v>#VALUE!</v>
      </c>
      <c r="IU256" t="e">
        <f>Radar!BG13+"h_l!/AE"</f>
        <v>#VALUE!</v>
      </c>
      <c r="IV256" t="e">
        <f>Radar!N14+"h_l!/AF"</f>
        <v>#VALUE!</v>
      </c>
    </row>
    <row r="257" spans="6:256" x14ac:dyDescent="0.25">
      <c r="F257" t="e">
        <f>Radar!O14+"h_l!/AG"</f>
        <v>#VALUE!</v>
      </c>
      <c r="G257" t="e">
        <f>Radar!P14+"h_l!/AH"</f>
        <v>#VALUE!</v>
      </c>
      <c r="H257" t="e">
        <f>Radar!Q14+"h_l!/AI"</f>
        <v>#VALUE!</v>
      </c>
      <c r="I257" t="e">
        <f>Radar!R14+"h_l!/AJ"</f>
        <v>#VALUE!</v>
      </c>
      <c r="J257" t="e">
        <f>Radar!S14+"h_l!/AK"</f>
        <v>#VALUE!</v>
      </c>
      <c r="K257" t="e">
        <f>Radar!T14+"h_l!/AL"</f>
        <v>#VALUE!</v>
      </c>
      <c r="L257" t="e">
        <f>Radar!U14+"h_l!/AM"</f>
        <v>#VALUE!</v>
      </c>
      <c r="M257" t="e">
        <f>Radar!V14+"h_l!/AN"</f>
        <v>#VALUE!</v>
      </c>
      <c r="N257" t="e">
        <f>Radar!W14+"h_l!/AO"</f>
        <v>#VALUE!</v>
      </c>
      <c r="O257" t="e">
        <f>Radar!X14+"h_l!/AP"</f>
        <v>#VALUE!</v>
      </c>
      <c r="P257" t="e">
        <f>Radar!Z14+"h_l!/AQ"</f>
        <v>#VALUE!</v>
      </c>
      <c r="Q257" t="e">
        <f>Radar!AA14+"h_l!/AR"</f>
        <v>#VALUE!</v>
      </c>
      <c r="R257" t="e">
        <f>Radar!AB14+"h_l!/AS"</f>
        <v>#VALUE!</v>
      </c>
      <c r="S257" t="e">
        <f>Radar!AC14+"h_l!/AT"</f>
        <v>#VALUE!</v>
      </c>
      <c r="T257" t="e">
        <f>Radar!AD14+"h_l!/AU"</f>
        <v>#VALUE!</v>
      </c>
      <c r="U257" t="e">
        <f>Radar!AE14+"h_l!/AV"</f>
        <v>#VALUE!</v>
      </c>
      <c r="V257" t="e">
        <f>Radar!AG14+"h_l!/AW"</f>
        <v>#VALUE!</v>
      </c>
      <c r="W257" t="e">
        <f>Radar!AH14+"h_l!/AX"</f>
        <v>#VALUE!</v>
      </c>
      <c r="X257" t="e">
        <f>Radar!AI14+"h_l!/AY"</f>
        <v>#VALUE!</v>
      </c>
      <c r="Y257" t="e">
        <f>Radar!AJ14+"h_l!/AZ"</f>
        <v>#VALUE!</v>
      </c>
      <c r="Z257" t="e">
        <f>Radar!AK14+"h_l!/A["</f>
        <v>#VALUE!</v>
      </c>
      <c r="AA257" t="e">
        <f>Radar!AL14+"h_l!/A\"</f>
        <v>#VALUE!</v>
      </c>
      <c r="AB257" t="e">
        <f>Radar!AN14+"h_l!/A]"</f>
        <v>#VALUE!</v>
      </c>
      <c r="AC257" t="e">
        <f>Radar!AO14+"h_l!/A^"</f>
        <v>#VALUE!</v>
      </c>
      <c r="AD257" t="e">
        <f>Radar!AP14+"h_l!/A_"</f>
        <v>#VALUE!</v>
      </c>
      <c r="AE257" t="e">
        <f>Radar!AQ14+"h_l!/A`"</f>
        <v>#VALUE!</v>
      </c>
      <c r="AF257" t="e">
        <f>Radar!AR14+"h_l!/Aa"</f>
        <v>#VALUE!</v>
      </c>
      <c r="AG257" t="e">
        <f>Radar!AS14+"h_l!/Ab"</f>
        <v>#VALUE!</v>
      </c>
      <c r="AH257" t="e">
        <f>Radar!AU14+"h_l!/Ac"</f>
        <v>#VALUE!</v>
      </c>
      <c r="AI257" t="e">
        <f>Radar!AV14+"h_l!/Ad"</f>
        <v>#VALUE!</v>
      </c>
      <c r="AJ257" t="e">
        <f>Radar!AW14+"h_l!/Ae"</f>
        <v>#VALUE!</v>
      </c>
      <c r="AK257" t="e">
        <f>Radar!AX14+"h_l!/Af"</f>
        <v>#VALUE!</v>
      </c>
      <c r="AL257" t="e">
        <f>Radar!AY14+"h_l!/Ag"</f>
        <v>#VALUE!</v>
      </c>
      <c r="AM257" t="e">
        <f>Radar!AZ14+"h_l!/Ah"</f>
        <v>#VALUE!</v>
      </c>
      <c r="AN257" t="e">
        <f>Radar!BB14+"h_l!/Ai"</f>
        <v>#VALUE!</v>
      </c>
      <c r="AO257" t="e">
        <f>Radar!BC14+"h_l!/Aj"</f>
        <v>#VALUE!</v>
      </c>
      <c r="AP257" t="e">
        <f>Radar!BD14+"h_l!/Ak"</f>
        <v>#VALUE!</v>
      </c>
      <c r="AQ257" t="e">
        <f>Radar!BE14+"h_l!/Al"</f>
        <v>#VALUE!</v>
      </c>
      <c r="AR257" t="e">
        <f>Radar!BF14+"h_l!/Am"</f>
        <v>#VALUE!</v>
      </c>
      <c r="AS257" t="e">
        <f>Radar!BG14+"h_l!/An"</f>
        <v>#VALUE!</v>
      </c>
      <c r="AT257" t="e">
        <f>Radar!N15+"h_l!/Ao"</f>
        <v>#VALUE!</v>
      </c>
      <c r="AU257" t="e">
        <f>Radar!O15+"h_l!/Ap"</f>
        <v>#VALUE!</v>
      </c>
      <c r="AV257" t="e">
        <f>Radar!P15+"h_l!/Aq"</f>
        <v>#VALUE!</v>
      </c>
      <c r="AW257" t="e">
        <f>Radar!Q15+"h_l!/Ar"</f>
        <v>#VALUE!</v>
      </c>
      <c r="AX257" t="e">
        <f>Radar!R15+"h_l!/As"</f>
        <v>#VALUE!</v>
      </c>
      <c r="AY257" t="e">
        <f>Radar!S15+"h_l!/At"</f>
        <v>#VALUE!</v>
      </c>
      <c r="AZ257" t="e">
        <f>Radar!T15+"h_l!/Au"</f>
        <v>#VALUE!</v>
      </c>
      <c r="BA257" t="e">
        <f>Radar!U15+"h_l!/Av"</f>
        <v>#VALUE!</v>
      </c>
      <c r="BB257" t="e">
        <f>Radar!V15+"h_l!/Aw"</f>
        <v>#VALUE!</v>
      </c>
      <c r="BC257" t="e">
        <f>Radar!W15+"h_l!/Ax"</f>
        <v>#VALUE!</v>
      </c>
      <c r="BD257" t="e">
        <f>Radar!X15+"h_l!/Ay"</f>
        <v>#VALUE!</v>
      </c>
      <c r="BE257" t="e">
        <f>Radar!Z15+"h_l!/Az"</f>
        <v>#VALUE!</v>
      </c>
      <c r="BF257" t="e">
        <f>Radar!AA15+"h_l!/A{"</f>
        <v>#VALUE!</v>
      </c>
      <c r="BG257" t="e">
        <f>Radar!AB15+"h_l!/A|"</f>
        <v>#VALUE!</v>
      </c>
      <c r="BH257" t="e">
        <f>Radar!AC15+"h_l!/A}"</f>
        <v>#VALUE!</v>
      </c>
      <c r="BI257" t="e">
        <f>Radar!AD15+"h_l!/A~"</f>
        <v>#VALUE!</v>
      </c>
      <c r="BJ257" t="e">
        <f>Radar!AE15+"h_l!/B#"</f>
        <v>#VALUE!</v>
      </c>
      <c r="BK257" t="e">
        <f>Radar!AG15+"h_l!/B$"</f>
        <v>#VALUE!</v>
      </c>
      <c r="BL257" t="e">
        <f>Radar!AH15+"h_l!/B%"</f>
        <v>#VALUE!</v>
      </c>
      <c r="BM257" t="e">
        <f>Radar!AI15+"h_l!/B&amp;"</f>
        <v>#VALUE!</v>
      </c>
      <c r="BN257" t="e">
        <f>Radar!AJ15+"h_l!/B'"</f>
        <v>#VALUE!</v>
      </c>
      <c r="BO257" t="e">
        <f>Radar!AK15+"h_l!/B("</f>
        <v>#VALUE!</v>
      </c>
      <c r="BP257" t="e">
        <f>Radar!AL15+"h_l!/B)"</f>
        <v>#VALUE!</v>
      </c>
      <c r="BQ257" t="e">
        <f>Radar!AN15+"h_l!/B."</f>
        <v>#VALUE!</v>
      </c>
      <c r="BR257" t="e">
        <f>Radar!AO15+"h_l!/B/"</f>
        <v>#VALUE!</v>
      </c>
      <c r="BS257" t="e">
        <f>Radar!AP15+"h_l!/B0"</f>
        <v>#VALUE!</v>
      </c>
      <c r="BT257" t="e">
        <f>Radar!AQ15+"h_l!/B1"</f>
        <v>#VALUE!</v>
      </c>
      <c r="BU257" t="e">
        <f>Radar!AR15+"h_l!/B2"</f>
        <v>#VALUE!</v>
      </c>
      <c r="BV257" t="e">
        <f>Radar!AS15+"h_l!/B3"</f>
        <v>#VALUE!</v>
      </c>
      <c r="BW257" t="e">
        <f>Radar!AU15+"h_l!/B4"</f>
        <v>#VALUE!</v>
      </c>
      <c r="BX257" t="e">
        <f>Radar!AV15+"h_l!/B5"</f>
        <v>#VALUE!</v>
      </c>
      <c r="BY257" t="e">
        <f>Radar!AW15+"h_l!/B6"</f>
        <v>#VALUE!</v>
      </c>
      <c r="BZ257" t="e">
        <f>Radar!AX15+"h_l!/B7"</f>
        <v>#VALUE!</v>
      </c>
      <c r="CA257" t="e">
        <f>Radar!AY15+"h_l!/B8"</f>
        <v>#VALUE!</v>
      </c>
      <c r="CB257" t="e">
        <f>Radar!AZ15+"h_l!/B9"</f>
        <v>#VALUE!</v>
      </c>
      <c r="CC257" t="e">
        <f>Radar!BB15+"h_l!/B:"</f>
        <v>#VALUE!</v>
      </c>
      <c r="CD257" t="e">
        <f>Radar!BC15+"h_l!/B;"</f>
        <v>#VALUE!</v>
      </c>
      <c r="CE257" t="e">
        <f>Radar!BD15+"h_l!/B&lt;"</f>
        <v>#VALUE!</v>
      </c>
      <c r="CF257" t="e">
        <f>Radar!BE15+"h_l!/B="</f>
        <v>#VALUE!</v>
      </c>
      <c r="CG257" t="e">
        <f>Radar!BF15+"h_l!/B&gt;"</f>
        <v>#VALUE!</v>
      </c>
      <c r="CH257" t="e">
        <f>Radar!BG15+"h_l!/B?"</f>
        <v>#VALUE!</v>
      </c>
      <c r="CI257" t="e">
        <f>Radar!N16+"h_l!/B@"</f>
        <v>#VALUE!</v>
      </c>
      <c r="CJ257" t="e">
        <f>Radar!O16+"h_l!/BA"</f>
        <v>#VALUE!</v>
      </c>
      <c r="CK257" t="e">
        <f>Radar!P16+"h_l!/BB"</f>
        <v>#VALUE!</v>
      </c>
      <c r="CL257" t="e">
        <f>Radar!Q16+"h_l!/BC"</f>
        <v>#VALUE!</v>
      </c>
      <c r="CM257" t="e">
        <f>Radar!R16+"h_l!/BD"</f>
        <v>#VALUE!</v>
      </c>
      <c r="CN257" t="e">
        <f>Radar!S16+"h_l!/BE"</f>
        <v>#VALUE!</v>
      </c>
      <c r="CO257" t="e">
        <f>Radar!T16+"h_l!/BF"</f>
        <v>#VALUE!</v>
      </c>
      <c r="CP257" t="e">
        <f>Radar!U16+"h_l!/BG"</f>
        <v>#VALUE!</v>
      </c>
      <c r="CQ257" t="e">
        <f>Radar!V16+"h_l!/BH"</f>
        <v>#VALUE!</v>
      </c>
      <c r="CR257" t="e">
        <f>Radar!W16+"h_l!/BI"</f>
        <v>#VALUE!</v>
      </c>
      <c r="CS257" t="e">
        <f>Radar!X16+"h_l!/BJ"</f>
        <v>#VALUE!</v>
      </c>
      <c r="CT257" t="e">
        <f>Radar!Z16+"h_l!/BK"</f>
        <v>#VALUE!</v>
      </c>
      <c r="CU257" t="e">
        <f>Radar!AA16+"h_l!/BL"</f>
        <v>#VALUE!</v>
      </c>
      <c r="CV257" t="e">
        <f>Radar!AB16+"h_l!/BM"</f>
        <v>#VALUE!</v>
      </c>
      <c r="CW257" t="e">
        <f>Radar!AC16+"h_l!/BN"</f>
        <v>#VALUE!</v>
      </c>
      <c r="CX257" t="e">
        <f>Radar!AD16+"h_l!/BO"</f>
        <v>#VALUE!</v>
      </c>
      <c r="CY257" t="e">
        <f>Radar!AE16+"h_l!/BP"</f>
        <v>#VALUE!</v>
      </c>
      <c r="CZ257" t="e">
        <f>Radar!AG16+"h_l!/BQ"</f>
        <v>#VALUE!</v>
      </c>
      <c r="DA257" t="e">
        <f>Radar!AH16+"h_l!/BR"</f>
        <v>#VALUE!</v>
      </c>
      <c r="DB257" t="e">
        <f>Radar!AI16+"h_l!/BS"</f>
        <v>#VALUE!</v>
      </c>
      <c r="DC257" t="e">
        <f>Radar!AJ16+"h_l!/BT"</f>
        <v>#VALUE!</v>
      </c>
      <c r="DD257" t="e">
        <f>Radar!AK16+"h_l!/BU"</f>
        <v>#VALUE!</v>
      </c>
      <c r="DE257" t="e">
        <f>Radar!AL16+"h_l!/BV"</f>
        <v>#VALUE!</v>
      </c>
      <c r="DF257" t="e">
        <f>Radar!AN16+"h_l!/BW"</f>
        <v>#VALUE!</v>
      </c>
      <c r="DG257" t="e">
        <f>Radar!AO16+"h_l!/BX"</f>
        <v>#VALUE!</v>
      </c>
      <c r="DH257" t="e">
        <f>Radar!AP16+"h_l!/BY"</f>
        <v>#VALUE!</v>
      </c>
      <c r="DI257" t="e">
        <f>Radar!AQ16+"h_l!/BZ"</f>
        <v>#VALUE!</v>
      </c>
      <c r="DJ257" t="e">
        <f>Radar!AR16+"h_l!/B["</f>
        <v>#VALUE!</v>
      </c>
      <c r="DK257" t="e">
        <f>Radar!AS16+"h_l!/B\"</f>
        <v>#VALUE!</v>
      </c>
      <c r="DL257" t="e">
        <f>Radar!AU16+"h_l!/B]"</f>
        <v>#VALUE!</v>
      </c>
      <c r="DM257" t="e">
        <f>Radar!AV16+"h_l!/B^"</f>
        <v>#VALUE!</v>
      </c>
      <c r="DN257" t="e">
        <f>Radar!AW16+"h_l!/B_"</f>
        <v>#VALUE!</v>
      </c>
      <c r="DO257" t="e">
        <f>Radar!AX16+"h_l!/B`"</f>
        <v>#VALUE!</v>
      </c>
      <c r="DP257" t="e">
        <f>Radar!AY16+"h_l!/Ba"</f>
        <v>#VALUE!</v>
      </c>
      <c r="DQ257" t="e">
        <f>Radar!AZ16+"h_l!/Bb"</f>
        <v>#VALUE!</v>
      </c>
      <c r="DR257" t="e">
        <f>Radar!BB16+"h_l!/Bc"</f>
        <v>#VALUE!</v>
      </c>
      <c r="DS257" t="e">
        <f>Radar!BC16+"h_l!/Bd"</f>
        <v>#VALUE!</v>
      </c>
      <c r="DT257" t="e">
        <f>Radar!BD16+"h_l!/Be"</f>
        <v>#VALUE!</v>
      </c>
      <c r="DU257" t="e">
        <f>Radar!BE16+"h_l!/Bf"</f>
        <v>#VALUE!</v>
      </c>
      <c r="DV257" t="e">
        <f>Radar!BF16+"h_l!/Bg"</f>
        <v>#VALUE!</v>
      </c>
      <c r="DW257" t="e">
        <f>Radar!BG16+"h_l!/Bh"</f>
        <v>#VALUE!</v>
      </c>
      <c r="DX257" t="e">
        <f>Radar!N17+"h_l!/Bi"</f>
        <v>#VALUE!</v>
      </c>
      <c r="DY257" t="e">
        <f>Radar!O17+"h_l!/Bj"</f>
        <v>#VALUE!</v>
      </c>
      <c r="DZ257" t="e">
        <f>Radar!P17+"h_l!/Bk"</f>
        <v>#VALUE!</v>
      </c>
      <c r="EA257" t="e">
        <f>Radar!Q17+"h_l!/Bl"</f>
        <v>#VALUE!</v>
      </c>
      <c r="EB257" t="e">
        <f>Radar!R17+"h_l!/Bm"</f>
        <v>#VALUE!</v>
      </c>
      <c r="EC257" t="e">
        <f>Radar!S17+"h_l!/Bn"</f>
        <v>#VALUE!</v>
      </c>
      <c r="ED257" t="e">
        <f>Radar!T17+"h_l!/Bo"</f>
        <v>#VALUE!</v>
      </c>
      <c r="EE257" t="e">
        <f>Radar!U17+"h_l!/Bp"</f>
        <v>#VALUE!</v>
      </c>
      <c r="EF257" t="e">
        <f>Radar!V17+"h_l!/Bq"</f>
        <v>#VALUE!</v>
      </c>
      <c r="EG257" t="e">
        <f>Radar!W17+"h_l!/Br"</f>
        <v>#VALUE!</v>
      </c>
      <c r="EH257" t="e">
        <f>Radar!X17+"h_l!/Bs"</f>
        <v>#VALUE!</v>
      </c>
      <c r="EI257" t="e">
        <f>Radar!Z17+"h_l!/Bt"</f>
        <v>#VALUE!</v>
      </c>
      <c r="EJ257" t="e">
        <f>Radar!AA17+"h_l!/Bu"</f>
        <v>#VALUE!</v>
      </c>
      <c r="EK257" t="e">
        <f>Radar!AB17+"h_l!/Bv"</f>
        <v>#VALUE!</v>
      </c>
      <c r="EL257" t="e">
        <f>Radar!AC17+"h_l!/Bw"</f>
        <v>#VALUE!</v>
      </c>
      <c r="EM257" t="e">
        <f>Radar!AD17+"h_l!/Bx"</f>
        <v>#VALUE!</v>
      </c>
      <c r="EN257" t="e">
        <f>Radar!AE17+"h_l!/By"</f>
        <v>#VALUE!</v>
      </c>
      <c r="EO257" t="e">
        <f>Radar!AG17+"h_l!/Bz"</f>
        <v>#VALUE!</v>
      </c>
      <c r="EP257" t="e">
        <f>Radar!AH17+"h_l!/B{"</f>
        <v>#VALUE!</v>
      </c>
      <c r="EQ257" t="e">
        <f>Radar!AI17+"h_l!/B|"</f>
        <v>#VALUE!</v>
      </c>
      <c r="ER257" t="e">
        <f>Radar!AJ17+"h_l!/B}"</f>
        <v>#VALUE!</v>
      </c>
      <c r="ES257" t="e">
        <f>Radar!AK17+"h_l!/B~"</f>
        <v>#VALUE!</v>
      </c>
      <c r="ET257" t="e">
        <f>Radar!AL17+"h_l!/C#"</f>
        <v>#VALUE!</v>
      </c>
      <c r="EU257" t="e">
        <f>Radar!AN17+"h_l!/C$"</f>
        <v>#VALUE!</v>
      </c>
      <c r="EV257" t="e">
        <f>Radar!AO17+"h_l!/C%"</f>
        <v>#VALUE!</v>
      </c>
      <c r="EW257" t="e">
        <f>Radar!AP17+"h_l!/C&amp;"</f>
        <v>#VALUE!</v>
      </c>
      <c r="EX257" t="e">
        <f>Radar!AQ17+"h_l!/C'"</f>
        <v>#VALUE!</v>
      </c>
      <c r="EY257" t="e">
        <f>Radar!AR17+"h_l!/C("</f>
        <v>#VALUE!</v>
      </c>
      <c r="EZ257" t="e">
        <f>Radar!AS17+"h_l!/C)"</f>
        <v>#VALUE!</v>
      </c>
      <c r="FA257" t="e">
        <f>Radar!AU17+"h_l!/C."</f>
        <v>#VALUE!</v>
      </c>
      <c r="FB257" t="e">
        <f>Radar!AV17+"h_l!/C/"</f>
        <v>#VALUE!</v>
      </c>
      <c r="FC257" t="e">
        <f>Radar!AW17+"h_l!/C0"</f>
        <v>#VALUE!</v>
      </c>
      <c r="FD257" t="e">
        <f>Radar!AX17+"h_l!/C1"</f>
        <v>#VALUE!</v>
      </c>
      <c r="FE257" t="e">
        <f>Radar!AY17+"h_l!/C2"</f>
        <v>#VALUE!</v>
      </c>
      <c r="FF257" t="e">
        <f>Radar!AZ17+"h_l!/C3"</f>
        <v>#VALUE!</v>
      </c>
      <c r="FG257" t="e">
        <f>Radar!BB17+"h_l!/C4"</f>
        <v>#VALUE!</v>
      </c>
      <c r="FH257" t="e">
        <f>Radar!BC17+"h_l!/C5"</f>
        <v>#VALUE!</v>
      </c>
      <c r="FI257" t="e">
        <f>Radar!BD17+"h_l!/C6"</f>
        <v>#VALUE!</v>
      </c>
      <c r="FJ257" t="e">
        <f>Radar!BE17+"h_l!/C7"</f>
        <v>#VALUE!</v>
      </c>
      <c r="FK257" t="e">
        <f>Radar!BF17+"h_l!/C8"</f>
        <v>#VALUE!</v>
      </c>
      <c r="FL257" t="e">
        <f>Radar!BG17+"h_l!/C9"</f>
        <v>#VALUE!</v>
      </c>
      <c r="FM257" t="e">
        <f>Radar!N18+"h_l!/C:"</f>
        <v>#VALUE!</v>
      </c>
      <c r="FN257" t="e">
        <f>Radar!O18+"h_l!/C;"</f>
        <v>#VALUE!</v>
      </c>
      <c r="FO257" t="e">
        <f>Radar!P18+"h_l!/C&lt;"</f>
        <v>#VALUE!</v>
      </c>
      <c r="FP257" t="e">
        <f>Radar!Q18+"h_l!/C="</f>
        <v>#VALUE!</v>
      </c>
      <c r="FQ257" t="e">
        <f>Radar!R18+"h_l!/C&gt;"</f>
        <v>#VALUE!</v>
      </c>
      <c r="FR257" t="e">
        <f>Radar!S18+"h_l!/C?"</f>
        <v>#VALUE!</v>
      </c>
      <c r="FS257" t="e">
        <f>Radar!T18+"h_l!/C@"</f>
        <v>#VALUE!</v>
      </c>
      <c r="FT257" t="e">
        <f>Radar!U18+"h_l!/CA"</f>
        <v>#VALUE!</v>
      </c>
      <c r="FU257" t="e">
        <f>Radar!V18+"h_l!/CB"</f>
        <v>#VALUE!</v>
      </c>
      <c r="FV257" t="e">
        <f>Radar!W18+"h_l!/CC"</f>
        <v>#VALUE!</v>
      </c>
      <c r="FW257" t="e">
        <f>Radar!X18+"h_l!/CD"</f>
        <v>#VALUE!</v>
      </c>
      <c r="FX257" t="e">
        <f>Radar!Z18+"h_l!/CE"</f>
        <v>#VALUE!</v>
      </c>
      <c r="FY257" t="e">
        <f>Radar!AA18+"h_l!/CF"</f>
        <v>#VALUE!</v>
      </c>
      <c r="FZ257" t="e">
        <f>Radar!AB18+"h_l!/CG"</f>
        <v>#VALUE!</v>
      </c>
      <c r="GA257" t="e">
        <f>Radar!AC18+"h_l!/CH"</f>
        <v>#VALUE!</v>
      </c>
      <c r="GB257" t="e">
        <f>Radar!AD18+"h_l!/CI"</f>
        <v>#VALUE!</v>
      </c>
      <c r="GC257" t="e">
        <f>Radar!AE18+"h_l!/CJ"</f>
        <v>#VALUE!</v>
      </c>
      <c r="GD257" t="e">
        <f>Radar!AG18+"h_l!/CK"</f>
        <v>#VALUE!</v>
      </c>
      <c r="GE257" t="e">
        <f>Radar!AH18+"h_l!/CL"</f>
        <v>#VALUE!</v>
      </c>
      <c r="GF257" t="e">
        <f>Radar!AI18+"h_l!/CM"</f>
        <v>#VALUE!</v>
      </c>
      <c r="GG257" t="e">
        <f>Radar!AJ18+"h_l!/CN"</f>
        <v>#VALUE!</v>
      </c>
      <c r="GH257" t="e">
        <f>Radar!AK18+"h_l!/CO"</f>
        <v>#VALUE!</v>
      </c>
      <c r="GI257" t="e">
        <f>Radar!AL18+"h_l!/CP"</f>
        <v>#VALUE!</v>
      </c>
      <c r="GJ257" t="e">
        <f>Radar!AN18+"h_l!/CQ"</f>
        <v>#VALUE!</v>
      </c>
      <c r="GK257" t="e">
        <f>Radar!AO18+"h_l!/CR"</f>
        <v>#VALUE!</v>
      </c>
      <c r="GL257" t="e">
        <f>Radar!AP18+"h_l!/CS"</f>
        <v>#VALUE!</v>
      </c>
      <c r="GM257" t="e">
        <f>Radar!AQ18+"h_l!/CT"</f>
        <v>#VALUE!</v>
      </c>
      <c r="GN257" t="e">
        <f>Radar!AR18+"h_l!/CU"</f>
        <v>#VALUE!</v>
      </c>
      <c r="GO257" t="e">
        <f>Radar!AS18+"h_l!/CV"</f>
        <v>#VALUE!</v>
      </c>
      <c r="GP257" t="e">
        <f>Radar!AU18+"h_l!/CW"</f>
        <v>#VALUE!</v>
      </c>
      <c r="GQ257" t="e">
        <f>Radar!AV18+"h_l!/CX"</f>
        <v>#VALUE!</v>
      </c>
      <c r="GR257" t="e">
        <f>Radar!AW18+"h_l!/CY"</f>
        <v>#VALUE!</v>
      </c>
      <c r="GS257" t="e">
        <f>Radar!AX18+"h_l!/CZ"</f>
        <v>#VALUE!</v>
      </c>
      <c r="GT257" t="e">
        <f>Radar!AY18+"h_l!/C["</f>
        <v>#VALUE!</v>
      </c>
      <c r="GU257" t="e">
        <f>Radar!AZ18+"h_l!/C\"</f>
        <v>#VALUE!</v>
      </c>
      <c r="GV257" t="e">
        <f>Radar!BB18+"h_l!/C]"</f>
        <v>#VALUE!</v>
      </c>
      <c r="GW257" t="e">
        <f>Radar!BC18+"h_l!/C^"</f>
        <v>#VALUE!</v>
      </c>
      <c r="GX257" t="e">
        <f>Radar!BD18+"h_l!/C_"</f>
        <v>#VALUE!</v>
      </c>
      <c r="GY257" t="e">
        <f>Radar!BE18+"h_l!/C`"</f>
        <v>#VALUE!</v>
      </c>
      <c r="GZ257" t="e">
        <f>Radar!BF18+"h_l!/Ca"</f>
        <v>#VALUE!</v>
      </c>
      <c r="HA257" t="e">
        <f>Radar!BG18+"h_l!/Cb"</f>
        <v>#VALUE!</v>
      </c>
      <c r="HB257" t="e">
        <f>Radar!N19+"h_l!/Cc"</f>
        <v>#VALUE!</v>
      </c>
      <c r="HC257" t="e">
        <f>Radar!O19+"h_l!/Cd"</f>
        <v>#VALUE!</v>
      </c>
      <c r="HD257" t="e">
        <f>Radar!P19+"h_l!/Ce"</f>
        <v>#VALUE!</v>
      </c>
      <c r="HE257" t="e">
        <f>Radar!Q19+"h_l!/Cf"</f>
        <v>#VALUE!</v>
      </c>
      <c r="HF257" t="e">
        <f>Radar!R19+"h_l!/Cg"</f>
        <v>#VALUE!</v>
      </c>
      <c r="HG257" t="e">
        <f>Radar!S19+"h_l!/Ch"</f>
        <v>#VALUE!</v>
      </c>
      <c r="HH257" t="e">
        <f>Radar!T19+"h_l!/Ci"</f>
        <v>#VALUE!</v>
      </c>
      <c r="HI257" t="e">
        <f>Radar!U19+"h_l!/Cj"</f>
        <v>#VALUE!</v>
      </c>
      <c r="HJ257" t="e">
        <f>Radar!V19+"h_l!/Ck"</f>
        <v>#VALUE!</v>
      </c>
      <c r="HK257" t="e">
        <f>Radar!W19+"h_l!/Cl"</f>
        <v>#VALUE!</v>
      </c>
      <c r="HL257" t="e">
        <f>Radar!X19+"h_l!/Cm"</f>
        <v>#VALUE!</v>
      </c>
      <c r="HM257" t="e">
        <f>Radar!Z19+"h_l!/Cn"</f>
        <v>#VALUE!</v>
      </c>
      <c r="HN257" t="e">
        <f>Radar!AA19+"h_l!/Co"</f>
        <v>#VALUE!</v>
      </c>
      <c r="HO257" t="e">
        <f>Radar!AB19+"h_l!/Cp"</f>
        <v>#VALUE!</v>
      </c>
      <c r="HP257" t="e">
        <f>Radar!AC19+"h_l!/Cq"</f>
        <v>#VALUE!</v>
      </c>
      <c r="HQ257" t="e">
        <f>Radar!AD19+"h_l!/Cr"</f>
        <v>#VALUE!</v>
      </c>
      <c r="HR257" t="e">
        <f>Radar!AE19+"h_l!/Cs"</f>
        <v>#VALUE!</v>
      </c>
      <c r="HS257" t="e">
        <f>Radar!AG19+"h_l!/Ct"</f>
        <v>#VALUE!</v>
      </c>
      <c r="HT257" t="e">
        <f>Radar!AH19+"h_l!/Cu"</f>
        <v>#VALUE!</v>
      </c>
      <c r="HU257" t="e">
        <f>Radar!AI19+"h_l!/Cv"</f>
        <v>#VALUE!</v>
      </c>
      <c r="HV257" t="e">
        <f>Radar!AJ19+"h_l!/Cw"</f>
        <v>#VALUE!</v>
      </c>
      <c r="HW257" t="e">
        <f>Radar!AK19+"h_l!/Cx"</f>
        <v>#VALUE!</v>
      </c>
      <c r="HX257" t="e">
        <f>Radar!AL19+"h_l!/Cy"</f>
        <v>#VALUE!</v>
      </c>
      <c r="HY257" t="e">
        <f>Radar!AN19+"h_l!/Cz"</f>
        <v>#VALUE!</v>
      </c>
      <c r="HZ257" t="e">
        <f>Radar!AO19+"h_l!/C{"</f>
        <v>#VALUE!</v>
      </c>
      <c r="IA257" t="e">
        <f>Radar!AP19+"h_l!/C|"</f>
        <v>#VALUE!</v>
      </c>
      <c r="IB257" t="e">
        <f>Radar!AQ19+"h_l!/C}"</f>
        <v>#VALUE!</v>
      </c>
      <c r="IC257" t="e">
        <f>Radar!AR19+"h_l!/C~"</f>
        <v>#VALUE!</v>
      </c>
      <c r="ID257" t="e">
        <f>Radar!AS19+"h_l!/D#"</f>
        <v>#VALUE!</v>
      </c>
      <c r="IE257" t="e">
        <f>Radar!AU19+"h_l!/D$"</f>
        <v>#VALUE!</v>
      </c>
      <c r="IF257" t="e">
        <f>Radar!AV19+"h_l!/D%"</f>
        <v>#VALUE!</v>
      </c>
      <c r="IG257" t="e">
        <f>Radar!AW19+"h_l!/D&amp;"</f>
        <v>#VALUE!</v>
      </c>
      <c r="IH257" t="e">
        <f>Radar!AX19+"h_l!/D'"</f>
        <v>#VALUE!</v>
      </c>
      <c r="II257" t="e">
        <f>Radar!AY19+"h_l!/D("</f>
        <v>#VALUE!</v>
      </c>
      <c r="IJ257" t="e">
        <f>Radar!AZ19+"h_l!/D)"</f>
        <v>#VALUE!</v>
      </c>
      <c r="IK257" t="e">
        <f>Radar!BB19+"h_l!/D."</f>
        <v>#VALUE!</v>
      </c>
      <c r="IL257" t="e">
        <f>Radar!BC19+"h_l!/D/"</f>
        <v>#VALUE!</v>
      </c>
      <c r="IM257" t="e">
        <f>Radar!BD19+"h_l!/D0"</f>
        <v>#VALUE!</v>
      </c>
      <c r="IN257" t="e">
        <f>Radar!BE19+"h_l!/D1"</f>
        <v>#VALUE!</v>
      </c>
      <c r="IO257" t="e">
        <f>Radar!BF19+"h_l!/D2"</f>
        <v>#VALUE!</v>
      </c>
      <c r="IP257" t="e">
        <f>Radar!BG19+"h_l!/D3"</f>
        <v>#VALUE!</v>
      </c>
      <c r="IQ257" t="e">
        <f>Radar!N20+"h_l!/D4"</f>
        <v>#VALUE!</v>
      </c>
      <c r="IR257" t="e">
        <f>Radar!O20+"h_l!/D5"</f>
        <v>#VALUE!</v>
      </c>
      <c r="IS257" t="e">
        <f>Radar!P20+"h_l!/D6"</f>
        <v>#VALUE!</v>
      </c>
      <c r="IT257" t="e">
        <f>Radar!Q20+"h_l!/D7"</f>
        <v>#VALUE!</v>
      </c>
      <c r="IU257" t="e">
        <f>Radar!R20+"h_l!/D8"</f>
        <v>#VALUE!</v>
      </c>
      <c r="IV257" t="e">
        <f>Radar!S20+"h_l!/D9"</f>
        <v>#VALUE!</v>
      </c>
    </row>
    <row r="258" spans="6:256" x14ac:dyDescent="0.25">
      <c r="F258" t="e">
        <f>Radar!T20+"h_l!/D:"</f>
        <v>#VALUE!</v>
      </c>
      <c r="G258" t="e">
        <f>Radar!U20+"h_l!/D;"</f>
        <v>#VALUE!</v>
      </c>
      <c r="H258" t="e">
        <f>Radar!V20+"h_l!/D&lt;"</f>
        <v>#VALUE!</v>
      </c>
      <c r="I258" t="e">
        <f>Radar!W20+"h_l!/D="</f>
        <v>#VALUE!</v>
      </c>
      <c r="J258" t="e">
        <f>Radar!X20+"h_l!/D&gt;"</f>
        <v>#VALUE!</v>
      </c>
      <c r="K258" t="e">
        <f>Radar!Z20+"h_l!/D?"</f>
        <v>#VALUE!</v>
      </c>
      <c r="L258" t="e">
        <f>Radar!AA20+"h_l!/D@"</f>
        <v>#VALUE!</v>
      </c>
      <c r="M258" t="e">
        <f>Radar!AB20+"h_l!/DA"</f>
        <v>#VALUE!</v>
      </c>
      <c r="N258" t="e">
        <f>Radar!AC20+"h_l!/DB"</f>
        <v>#VALUE!</v>
      </c>
      <c r="O258" t="e">
        <f>Radar!AD20+"h_l!/DC"</f>
        <v>#VALUE!</v>
      </c>
      <c r="P258" t="e">
        <f>Radar!AE20+"h_l!/DD"</f>
        <v>#VALUE!</v>
      </c>
      <c r="Q258" t="e">
        <f>Radar!AG20+"h_l!/DE"</f>
        <v>#VALUE!</v>
      </c>
      <c r="R258" t="e">
        <f>Radar!AH20+"h_l!/DF"</f>
        <v>#VALUE!</v>
      </c>
      <c r="S258" t="e">
        <f>Radar!AI20+"h_l!/DG"</f>
        <v>#VALUE!</v>
      </c>
      <c r="T258" t="e">
        <f>Radar!AJ20+"h_l!/DH"</f>
        <v>#VALUE!</v>
      </c>
      <c r="U258" t="e">
        <f>Radar!AK20+"h_l!/DI"</f>
        <v>#VALUE!</v>
      </c>
      <c r="V258" t="e">
        <f>Radar!AL20+"h_l!/DJ"</f>
        <v>#VALUE!</v>
      </c>
      <c r="W258" t="e">
        <f>Radar!AN20+"h_l!/DK"</f>
        <v>#VALUE!</v>
      </c>
      <c r="X258" t="e">
        <f>Radar!AO20+"h_l!/DL"</f>
        <v>#VALUE!</v>
      </c>
      <c r="Y258" t="e">
        <f>Radar!AP20+"h_l!/DM"</f>
        <v>#VALUE!</v>
      </c>
      <c r="Z258" t="e">
        <f>Radar!AQ20+"h_l!/DN"</f>
        <v>#VALUE!</v>
      </c>
      <c r="AA258" t="e">
        <f>Radar!AR20+"h_l!/DO"</f>
        <v>#VALUE!</v>
      </c>
      <c r="AB258" t="e">
        <f>Radar!AS20+"h_l!/DP"</f>
        <v>#VALUE!</v>
      </c>
      <c r="AC258" t="e">
        <f>Radar!AU20+"h_l!/DQ"</f>
        <v>#VALUE!</v>
      </c>
      <c r="AD258" t="e">
        <f>Radar!AV20+"h_l!/DR"</f>
        <v>#VALUE!</v>
      </c>
      <c r="AE258" t="e">
        <f>Radar!AW20+"h_l!/DS"</f>
        <v>#VALUE!</v>
      </c>
      <c r="AF258" t="e">
        <f>Radar!AX20+"h_l!/DT"</f>
        <v>#VALUE!</v>
      </c>
      <c r="AG258" t="e">
        <f>Radar!AY20+"h_l!/DU"</f>
        <v>#VALUE!</v>
      </c>
      <c r="AH258" t="e">
        <f>Radar!AZ20+"h_l!/DV"</f>
        <v>#VALUE!</v>
      </c>
      <c r="AI258" t="e">
        <f>Radar!BB20+"h_l!/DW"</f>
        <v>#VALUE!</v>
      </c>
      <c r="AJ258" t="e">
        <f>Radar!BC20+"h_l!/DX"</f>
        <v>#VALUE!</v>
      </c>
      <c r="AK258" t="e">
        <f>Radar!BD20+"h_l!/DY"</f>
        <v>#VALUE!</v>
      </c>
      <c r="AL258" t="e">
        <f>Radar!BE20+"h_l!/DZ"</f>
        <v>#VALUE!</v>
      </c>
      <c r="AM258" t="e">
        <f>Radar!BF20+"h_l!/D["</f>
        <v>#VALUE!</v>
      </c>
      <c r="AN258" t="e">
        <f>Radar!BG20+"h_l!/D\"</f>
        <v>#VALUE!</v>
      </c>
      <c r="AO258" t="e">
        <f>Radar!N21+"h_l!/D]"</f>
        <v>#VALUE!</v>
      </c>
      <c r="AP258" t="e">
        <f>Radar!O21+"h_l!/D^"</f>
        <v>#VALUE!</v>
      </c>
      <c r="AQ258" t="e">
        <f>Radar!P21+"h_l!/D_"</f>
        <v>#VALUE!</v>
      </c>
      <c r="AR258" t="e">
        <f>Radar!Q21+"h_l!/D`"</f>
        <v>#VALUE!</v>
      </c>
      <c r="AS258" t="e">
        <f>Radar!R21+"h_l!/Da"</f>
        <v>#VALUE!</v>
      </c>
      <c r="AT258" t="e">
        <f>Radar!S21+"h_l!/Db"</f>
        <v>#VALUE!</v>
      </c>
      <c r="AU258" t="e">
        <f>Radar!T21+"h_l!/Dc"</f>
        <v>#VALUE!</v>
      </c>
      <c r="AV258" t="e">
        <f>Radar!U21+"h_l!/Dd"</f>
        <v>#VALUE!</v>
      </c>
      <c r="AW258" t="e">
        <f>Radar!V21+"h_l!/De"</f>
        <v>#VALUE!</v>
      </c>
      <c r="AX258" t="e">
        <f>Radar!W21+"h_l!/Df"</f>
        <v>#VALUE!</v>
      </c>
      <c r="AY258" t="e">
        <f>Radar!X21+"h_l!/Dg"</f>
        <v>#VALUE!</v>
      </c>
      <c r="AZ258" t="e">
        <f>Radar!Z21+"h_l!/Dh"</f>
        <v>#VALUE!</v>
      </c>
      <c r="BA258" t="e">
        <f>Radar!AA21+"h_l!/Di"</f>
        <v>#VALUE!</v>
      </c>
      <c r="BB258" t="e">
        <f>Radar!AB21+"h_l!/Dj"</f>
        <v>#VALUE!</v>
      </c>
      <c r="BC258" t="e">
        <f>Radar!AC21+"h_l!/Dk"</f>
        <v>#VALUE!</v>
      </c>
      <c r="BD258" t="e">
        <f>Radar!AD21+"h_l!/Dl"</f>
        <v>#VALUE!</v>
      </c>
      <c r="BE258" t="e">
        <f>Radar!AE21+"h_l!/Dm"</f>
        <v>#VALUE!</v>
      </c>
      <c r="BF258" t="e">
        <f>Radar!AG21+"h_l!/Dn"</f>
        <v>#VALUE!</v>
      </c>
      <c r="BG258" t="e">
        <f>Radar!AH21+"h_l!/Do"</f>
        <v>#VALUE!</v>
      </c>
      <c r="BH258" t="e">
        <f>Radar!AI21+"h_l!/Dp"</f>
        <v>#VALUE!</v>
      </c>
      <c r="BI258" t="e">
        <f>Radar!AJ21+"h_l!/Dq"</f>
        <v>#VALUE!</v>
      </c>
      <c r="BJ258" t="e">
        <f>Radar!AK21+"h_l!/Dr"</f>
        <v>#VALUE!</v>
      </c>
      <c r="BK258" t="e">
        <f>Radar!AL21+"h_l!/Ds"</f>
        <v>#VALUE!</v>
      </c>
      <c r="BL258" t="e">
        <f>Radar!AN21+"h_l!/Dt"</f>
        <v>#VALUE!</v>
      </c>
      <c r="BM258" t="e">
        <f>Radar!AO21+"h_l!/Du"</f>
        <v>#VALUE!</v>
      </c>
      <c r="BN258" t="e">
        <f>Radar!AP21+"h_l!/Dv"</f>
        <v>#VALUE!</v>
      </c>
      <c r="BO258" t="e">
        <f>Radar!AQ21+"h_l!/Dw"</f>
        <v>#VALUE!</v>
      </c>
      <c r="BP258" t="e">
        <f>Radar!AR21+"h_l!/Dx"</f>
        <v>#VALUE!</v>
      </c>
      <c r="BQ258" t="e">
        <f>Radar!AS21+"h_l!/Dy"</f>
        <v>#VALUE!</v>
      </c>
      <c r="BR258" t="e">
        <f>Radar!AU21+"h_l!/Dz"</f>
        <v>#VALUE!</v>
      </c>
      <c r="BS258" t="e">
        <f>Radar!AV21+"h_l!/D{"</f>
        <v>#VALUE!</v>
      </c>
      <c r="BT258" t="e">
        <f>Radar!AW21+"h_l!/D|"</f>
        <v>#VALUE!</v>
      </c>
      <c r="BU258" t="e">
        <f>Radar!AX21+"h_l!/D}"</f>
        <v>#VALUE!</v>
      </c>
      <c r="BV258" t="e">
        <f>Radar!AY21+"h_l!/D~"</f>
        <v>#VALUE!</v>
      </c>
      <c r="BW258" t="e">
        <f>Radar!AZ21+"h_l!/E#"</f>
        <v>#VALUE!</v>
      </c>
      <c r="BX258" t="e">
        <f>Radar!BB21+"h_l!/E$"</f>
        <v>#VALUE!</v>
      </c>
      <c r="BY258" t="e">
        <f>Radar!BC21+"h_l!/E%"</f>
        <v>#VALUE!</v>
      </c>
      <c r="BZ258" t="e">
        <f>Radar!BD21+"h_l!/E&amp;"</f>
        <v>#VALUE!</v>
      </c>
      <c r="CA258" t="e">
        <f>Radar!BE21+"h_l!/E'"</f>
        <v>#VALUE!</v>
      </c>
      <c r="CB258" t="e">
        <f>Radar!BF21+"h_l!/E("</f>
        <v>#VALUE!</v>
      </c>
      <c r="CC258" t="e">
        <f>Radar!BG21+"h_l!/E)"</f>
        <v>#VALUE!</v>
      </c>
      <c r="CD258" t="e">
        <f>Radar!A23+"h_l!/E."</f>
        <v>#VALUE!</v>
      </c>
      <c r="CE258" t="e">
        <f>Radar!A24+"h_l!/E/"</f>
        <v>#VALUE!</v>
      </c>
      <c r="CF258" t="e">
        <f>Radar!A25+"h_l!/E0"</f>
        <v>#VALUE!</v>
      </c>
      <c r="CG258" t="e">
        <f>Radar!A26+"h_l!/E1"</f>
        <v>#VALUE!</v>
      </c>
      <c r="CH258" t="e">
        <f>Radar!A27+"h_l!/E2"</f>
        <v>#VALUE!</v>
      </c>
      <c r="CI258" t="e">
        <f>Radar!A28+"h_l!/E3"</f>
        <v>#VALUE!</v>
      </c>
      <c r="CJ258" t="e">
        <f>Radar!A29+"h_l!/E4"</f>
        <v>#VALUE!</v>
      </c>
      <c r="CK258" t="e">
        <f>Radar!A30+"h_l!/E5"</f>
        <v>#VALUE!</v>
      </c>
      <c r="CL258" t="e">
        <f>Radar!A31+"h_l!/E6"</f>
        <v>#VALUE!</v>
      </c>
      <c r="CM258" t="e">
        <f>Radar!A32+"h_l!/E7"</f>
        <v>#VALUE!</v>
      </c>
      <c r="CN258" t="e">
        <f>Radar!A33+"h_l!/E8"</f>
        <v>#VALUE!</v>
      </c>
      <c r="CO258" t="e">
        <f>Radar!A34+"h_l!/E9"</f>
        <v>#VALUE!</v>
      </c>
      <c r="CP258" t="e">
        <f>Radar!A35+"h_l!/E:"</f>
        <v>#VALUE!</v>
      </c>
      <c r="CQ258" t="e">
        <f>Radar!A36+"h_l!/E;"</f>
        <v>#VALUE!</v>
      </c>
      <c r="CR258" t="e">
        <f>Radar!A37+"h_l!/E&lt;"</f>
        <v>#VALUE!</v>
      </c>
      <c r="CS258" t="e">
        <f>Radar!A38+"h_l!/E="</f>
        <v>#VALUE!</v>
      </c>
      <c r="CT258" t="e">
        <f>Radar!A39+"h_l!/E&gt;"</f>
        <v>#VALUE!</v>
      </c>
      <c r="CU258" t="e">
        <f>Radar!A40+"h_l!/E?"</f>
        <v>#VALUE!</v>
      </c>
      <c r="CV258" t="e">
        <f>Radar!A41+"h_l!/E@"</f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J33" sqref="J33"/>
    </sheetView>
  </sheetViews>
  <sheetFormatPr defaultRowHeight="14.25" customHeight="1" x14ac:dyDescent="0.25"/>
  <cols>
    <col min="1" max="2" width="7.7109375" style="37" customWidth="1"/>
    <col min="3" max="3" width="11.7109375" style="40" customWidth="1"/>
    <col min="4" max="4" width="13.85546875" style="40" customWidth="1"/>
    <col min="5" max="8" width="13.42578125" style="39" customWidth="1"/>
    <col min="9" max="16384" width="9.140625" style="37"/>
  </cols>
  <sheetData>
    <row r="1" spans="1:8" ht="14.25" customHeight="1" x14ac:dyDescent="0.25">
      <c r="E1" s="71" t="s">
        <v>3519</v>
      </c>
      <c r="F1" s="71"/>
      <c r="G1" s="71"/>
      <c r="H1" s="71"/>
    </row>
    <row r="2" spans="1:8" ht="14.25" customHeight="1" x14ac:dyDescent="0.25">
      <c r="E2" s="42">
        <f>COUNTIF($D$4:$D$22,E$3)</f>
        <v>2</v>
      </c>
      <c r="F2" s="42">
        <f t="shared" ref="F2:H2" si="0">COUNTIF($D$4:$D$22,F$3)</f>
        <v>9</v>
      </c>
      <c r="G2" s="42">
        <f t="shared" si="0"/>
        <v>3</v>
      </c>
      <c r="H2" s="42">
        <f t="shared" si="0"/>
        <v>4</v>
      </c>
    </row>
    <row r="3" spans="1:8" ht="25.5" x14ac:dyDescent="0.25">
      <c r="A3" s="38" t="s">
        <v>3518</v>
      </c>
      <c r="B3" s="38" t="s">
        <v>3517</v>
      </c>
      <c r="C3" s="44" t="s">
        <v>3521</v>
      </c>
      <c r="D3" s="44" t="s">
        <v>3504</v>
      </c>
      <c r="E3" s="29" t="s">
        <v>3500</v>
      </c>
      <c r="F3" s="29" t="s">
        <v>3502</v>
      </c>
      <c r="G3" s="29" t="s">
        <v>3520</v>
      </c>
      <c r="H3" s="29" t="s">
        <v>3522</v>
      </c>
    </row>
    <row r="4" spans="1:8" ht="14.25" customHeight="1" x14ac:dyDescent="0.25">
      <c r="A4" s="37" t="s">
        <v>798</v>
      </c>
      <c r="B4" s="37" t="s">
        <v>3514</v>
      </c>
      <c r="C4" s="41">
        <f>MAX(E4:H4)</f>
        <v>0.53569999999999995</v>
      </c>
      <c r="D4" s="43" t="str">
        <f>INDEX($E$3:$H$3,1,MATCH(MAX(INDEX($E:$H,MATCH(MAX(E4:H4),$C:$C,0),0)),INDEX($E:$H,MATCH(MAX(E4:H4),$C:$C,0),0),0))</f>
        <v>GLM</v>
      </c>
      <c r="E4" s="39">
        <v>0.5</v>
      </c>
      <c r="F4" s="39">
        <v>0.52859999999999996</v>
      </c>
      <c r="H4" s="39">
        <v>0.53569999999999995</v>
      </c>
    </row>
    <row r="5" spans="1:8" ht="14.25" customHeight="1" x14ac:dyDescent="0.25">
      <c r="A5" s="37" t="s">
        <v>800</v>
      </c>
      <c r="B5" s="37" t="s">
        <v>3515</v>
      </c>
      <c r="C5" s="41">
        <f>MAX(E5:H5)</f>
        <v>0.42859999999999998</v>
      </c>
      <c r="D5" s="43" t="str">
        <f>INDEX($E$3:$H$3,1,MATCH(MAX(INDEX($E:$H,MATCH(MAX(E5:H5),$C:$C,0),0)),INDEX($E:$H,MATCH(MAX(E5:H5),$C:$C,0),0),0))</f>
        <v>Decision Tree</v>
      </c>
      <c r="E5" s="39">
        <v>0.42859999999999998</v>
      </c>
      <c r="F5" s="39">
        <v>0.29289999999999999</v>
      </c>
      <c r="H5" s="39">
        <v>0.29289999999999999</v>
      </c>
    </row>
    <row r="6" spans="1:8" ht="14.25" customHeight="1" x14ac:dyDescent="0.25">
      <c r="A6" s="37" t="s">
        <v>799</v>
      </c>
      <c r="B6" s="37" t="s">
        <v>3516</v>
      </c>
      <c r="C6" s="41">
        <f>MAX(E6:H6)</f>
        <v>0.61428569999999993</v>
      </c>
      <c r="D6" s="43" t="str">
        <f>INDEX($E$3:$H$3,1,MATCH(MAX(INDEX($E:$H,MATCH(MAX(E6:H6),$C:$C,0),0)),INDEX($E:$H,MATCH(MAX(E6:H6),$C:$C,0),0),0))</f>
        <v>Random Forest</v>
      </c>
      <c r="E6" s="39">
        <f>1-0.4142857</f>
        <v>0.58571430000000002</v>
      </c>
      <c r="F6" s="39">
        <f>1-0.3857143</f>
        <v>0.61428569999999993</v>
      </c>
      <c r="H6" s="39">
        <v>0.54290000000000005</v>
      </c>
    </row>
    <row r="7" spans="1:8" ht="14.25" customHeight="1" x14ac:dyDescent="0.25">
      <c r="C7" s="41"/>
      <c r="D7" s="43"/>
      <c r="E7" s="71"/>
      <c r="F7" s="71"/>
      <c r="G7" s="71"/>
      <c r="H7" s="71"/>
    </row>
    <row r="8" spans="1:8" ht="14.25" customHeight="1" x14ac:dyDescent="0.25">
      <c r="A8" s="37" t="s">
        <v>3480</v>
      </c>
      <c r="B8" s="37" t="s">
        <v>3516</v>
      </c>
      <c r="C8" s="41">
        <f t="shared" ref="C8:C22" si="1">MAX(E8:H8)</f>
        <v>0.91428571000000003</v>
      </c>
      <c r="D8" s="43" t="str">
        <f t="shared" ref="D8:D22" si="2">INDEX($E$3:$H$3,1,MATCH(MAX(INDEX($E:$H,MATCH(MAX(E8:H8),$C:$C,0),0)),INDEX($E:$H,MATCH(MAX(E8:H8),$C:$C,0),0),0))</f>
        <v>GLM</v>
      </c>
      <c r="E8" s="39">
        <f>1-0.1285714</f>
        <v>0.8714286</v>
      </c>
      <c r="F8" s="39">
        <f>1-0.1214286</f>
        <v>0.8785714</v>
      </c>
      <c r="G8" s="39">
        <f>1-0.1071429</f>
        <v>0.89285709999999996</v>
      </c>
      <c r="H8" s="39">
        <f>1-0.08571429</f>
        <v>0.91428571000000003</v>
      </c>
    </row>
    <row r="9" spans="1:8" ht="14.25" customHeight="1" x14ac:dyDescent="0.25">
      <c r="A9" s="37" t="s">
        <v>3481</v>
      </c>
      <c r="B9" s="37" t="s">
        <v>3516</v>
      </c>
      <c r="C9" s="41">
        <f t="shared" si="1"/>
        <v>0.89285709999999996</v>
      </c>
      <c r="D9" s="43" t="str">
        <f t="shared" si="2"/>
        <v>Boosting</v>
      </c>
      <c r="E9" s="39">
        <f>1-0.1142857</f>
        <v>0.88571429999999995</v>
      </c>
      <c r="F9" s="39">
        <f>1-0.1142857</f>
        <v>0.88571429999999995</v>
      </c>
      <c r="G9" s="39">
        <f>1-0.1071429</f>
        <v>0.89285709999999996</v>
      </c>
      <c r="H9" s="39">
        <f>1-0.1142857</f>
        <v>0.88571429999999995</v>
      </c>
    </row>
    <row r="10" spans="1:8" ht="14.25" customHeight="1" x14ac:dyDescent="0.25">
      <c r="A10" s="37" t="s">
        <v>3482</v>
      </c>
      <c r="B10" s="37" t="s">
        <v>3516</v>
      </c>
      <c r="C10" s="41">
        <f t="shared" si="1"/>
        <v>0.85714290000000004</v>
      </c>
      <c r="D10" s="43" t="str">
        <f t="shared" si="2"/>
        <v>Random Forest</v>
      </c>
      <c r="E10" s="39">
        <f>1-0.1714286</f>
        <v>0.82857139999999996</v>
      </c>
      <c r="F10" s="39">
        <f>1-0.1428571</f>
        <v>0.85714290000000004</v>
      </c>
      <c r="G10" s="39">
        <f>1-0.1428571</f>
        <v>0.85714290000000004</v>
      </c>
      <c r="H10" s="39">
        <f>1-0.15</f>
        <v>0.85</v>
      </c>
    </row>
    <row r="11" spans="1:8" ht="14.25" customHeight="1" x14ac:dyDescent="0.25">
      <c r="A11" s="37" t="s">
        <v>3483</v>
      </c>
      <c r="B11" s="37" t="s">
        <v>3516</v>
      </c>
      <c r="C11" s="41">
        <f t="shared" si="1"/>
        <v>0.89285709999999996</v>
      </c>
      <c r="D11" s="43" t="str">
        <f t="shared" si="2"/>
        <v>Boosting</v>
      </c>
      <c r="E11" s="39">
        <f>1-0.1428571</f>
        <v>0.85714290000000004</v>
      </c>
      <c r="F11" s="39">
        <f>1-0.1214286</f>
        <v>0.8785714</v>
      </c>
      <c r="G11" s="39">
        <f>1-0.1071429</f>
        <v>0.89285709999999996</v>
      </c>
      <c r="H11" s="39">
        <f>1-0.1142857</f>
        <v>0.88571429999999995</v>
      </c>
    </row>
    <row r="12" spans="1:8" ht="14.25" customHeight="1" x14ac:dyDescent="0.25">
      <c r="A12" s="37" t="s">
        <v>3484</v>
      </c>
      <c r="B12" s="37" t="s">
        <v>3516</v>
      </c>
      <c r="C12" s="41">
        <f t="shared" si="1"/>
        <v>0.88571429999999995</v>
      </c>
      <c r="D12" s="43" t="str">
        <f t="shared" si="2"/>
        <v>Random Forest</v>
      </c>
      <c r="E12" s="39">
        <f>1-0.1428571</f>
        <v>0.85714290000000004</v>
      </c>
      <c r="F12" s="39">
        <f>1-0.1142857</f>
        <v>0.88571429999999995</v>
      </c>
      <c r="G12" s="39">
        <f>1-0.15</f>
        <v>0.85</v>
      </c>
      <c r="H12" s="39">
        <f>1-0.1428571</f>
        <v>0.85714290000000004</v>
      </c>
    </row>
    <row r="13" spans="1:8" ht="14.25" customHeight="1" x14ac:dyDescent="0.25">
      <c r="A13" s="37" t="s">
        <v>3485</v>
      </c>
      <c r="B13" s="37" t="s">
        <v>3516</v>
      </c>
      <c r="C13" s="41">
        <f t="shared" si="1"/>
        <v>0.8785714</v>
      </c>
      <c r="D13" s="43" t="str">
        <f t="shared" si="2"/>
        <v>GLM</v>
      </c>
      <c r="E13" s="39">
        <f>1-0.1785714</f>
        <v>0.82142859999999995</v>
      </c>
      <c r="F13" s="39">
        <f>1-0.1428571</f>
        <v>0.85714290000000004</v>
      </c>
      <c r="G13" s="39">
        <f>1-0.1428571</f>
        <v>0.85714290000000004</v>
      </c>
      <c r="H13" s="39">
        <f>1-0.1214286</f>
        <v>0.8785714</v>
      </c>
    </row>
    <row r="14" spans="1:8" ht="14.25" customHeight="1" x14ac:dyDescent="0.25">
      <c r="A14" s="37" t="s">
        <v>3486</v>
      </c>
      <c r="B14" s="37" t="s">
        <v>3516</v>
      </c>
      <c r="C14" s="41">
        <f t="shared" si="1"/>
        <v>0.86428569999999993</v>
      </c>
      <c r="D14" s="43" t="str">
        <f t="shared" si="2"/>
        <v>Random Forest</v>
      </c>
      <c r="E14" s="39">
        <f>1-0.1428571</f>
        <v>0.85714290000000004</v>
      </c>
      <c r="F14" s="39">
        <f>1-0.1357143</f>
        <v>0.86428569999999993</v>
      </c>
      <c r="G14" s="39">
        <f>1-0.15</f>
        <v>0.85</v>
      </c>
      <c r="H14" s="39">
        <f>1-0.1357143</f>
        <v>0.86428569999999993</v>
      </c>
    </row>
    <row r="15" spans="1:8" ht="14.25" customHeight="1" x14ac:dyDescent="0.25">
      <c r="A15" s="37" t="s">
        <v>3487</v>
      </c>
      <c r="B15" s="37" t="s">
        <v>3516</v>
      </c>
      <c r="C15" s="41">
        <f t="shared" si="1"/>
        <v>0.88571429999999995</v>
      </c>
      <c r="D15" s="43" t="str">
        <f t="shared" si="2"/>
        <v>Random Forest</v>
      </c>
      <c r="E15" s="39">
        <f>1-0.1642857</f>
        <v>0.83571430000000002</v>
      </c>
      <c r="F15" s="39">
        <f>1-0.1142857</f>
        <v>0.88571429999999995</v>
      </c>
      <c r="G15" s="39">
        <f>1-0.1642857</f>
        <v>0.83571430000000002</v>
      </c>
      <c r="H15" s="39">
        <f>1-0.1357143</f>
        <v>0.86428569999999993</v>
      </c>
    </row>
    <row r="16" spans="1:8" ht="14.25" customHeight="1" x14ac:dyDescent="0.25">
      <c r="A16" s="37" t="s">
        <v>3488</v>
      </c>
      <c r="B16" s="37" t="s">
        <v>3516</v>
      </c>
      <c r="C16" s="41">
        <f t="shared" si="1"/>
        <v>0.8785714</v>
      </c>
      <c r="D16" s="43" t="str">
        <f t="shared" si="2"/>
        <v>GLM</v>
      </c>
      <c r="E16" s="39">
        <f>1-0.1428571</f>
        <v>0.85714290000000004</v>
      </c>
      <c r="F16" s="39">
        <f>1-0.1214286</f>
        <v>0.8785714</v>
      </c>
      <c r="G16" s="39">
        <f>1-0.1285714</f>
        <v>0.8714286</v>
      </c>
      <c r="H16" s="39">
        <f>1-0.1285714</f>
        <v>0.8714286</v>
      </c>
    </row>
    <row r="17" spans="1:8" ht="14.25" customHeight="1" x14ac:dyDescent="0.25">
      <c r="A17" s="37" t="s">
        <v>3489</v>
      </c>
      <c r="B17" s="37" t="s">
        <v>3516</v>
      </c>
      <c r="C17" s="41">
        <f t="shared" si="1"/>
        <v>0.92857142999999998</v>
      </c>
      <c r="D17" s="43" t="str">
        <f t="shared" si="2"/>
        <v>Decision Tree</v>
      </c>
      <c r="E17" s="39">
        <f>1-0.07142857</f>
        <v>0.92857142999999998</v>
      </c>
      <c r="F17" s="39">
        <f>1-0.07142857</f>
        <v>0.92857142999999998</v>
      </c>
      <c r="G17" s="39">
        <f>1-0.07142857</f>
        <v>0.92857142999999998</v>
      </c>
      <c r="H17" s="39">
        <f>1-0.07857143</f>
        <v>0.92142857</v>
      </c>
    </row>
    <row r="18" spans="1:8" ht="14.25" customHeight="1" x14ac:dyDescent="0.25">
      <c r="A18" s="37" t="s">
        <v>3490</v>
      </c>
      <c r="B18" s="37" t="s">
        <v>3516</v>
      </c>
      <c r="C18" s="41">
        <f t="shared" si="1"/>
        <v>0.95</v>
      </c>
      <c r="D18" s="43" t="str">
        <f t="shared" si="2"/>
        <v>Boosting</v>
      </c>
      <c r="E18" s="39">
        <f>1-0.05714286</f>
        <v>0.94285713999999998</v>
      </c>
      <c r="F18" s="39">
        <f>1-0.06428571</f>
        <v>0.93571428999999995</v>
      </c>
      <c r="G18" s="39">
        <f>1-0.05</f>
        <v>0.95</v>
      </c>
      <c r="H18" s="39">
        <f>1-0.05714286</f>
        <v>0.94285713999999998</v>
      </c>
    </row>
    <row r="19" spans="1:8" ht="14.25" customHeight="1" x14ac:dyDescent="0.25">
      <c r="A19" s="37" t="s">
        <v>3492</v>
      </c>
      <c r="B19" s="37" t="s">
        <v>3516</v>
      </c>
      <c r="C19" s="41">
        <f t="shared" si="1"/>
        <v>0.86428569999999993</v>
      </c>
      <c r="D19" s="43" t="str">
        <f t="shared" si="2"/>
        <v>Random Forest</v>
      </c>
      <c r="E19" s="39">
        <f>1-0.1571429</f>
        <v>0.84285710000000003</v>
      </c>
      <c r="F19" s="39">
        <f>1-0.1571429</f>
        <v>0.84285710000000003</v>
      </c>
      <c r="G19" s="39">
        <f>1-0.1357143</f>
        <v>0.86428569999999993</v>
      </c>
      <c r="H19" s="39">
        <f>1-0.1714286</f>
        <v>0.82857139999999996</v>
      </c>
    </row>
    <row r="20" spans="1:8" ht="14.25" customHeight="1" x14ac:dyDescent="0.25">
      <c r="A20" s="37" t="s">
        <v>3493</v>
      </c>
      <c r="B20" s="37" t="s">
        <v>3516</v>
      </c>
      <c r="C20" s="41">
        <f t="shared" si="1"/>
        <v>0.88571429999999995</v>
      </c>
      <c r="D20" s="43" t="str">
        <f t="shared" si="2"/>
        <v>Random Forest</v>
      </c>
      <c r="E20" s="39">
        <f>1-0.1642857</f>
        <v>0.83571430000000002</v>
      </c>
      <c r="F20" s="39">
        <f>1-0.1214286</f>
        <v>0.8785714</v>
      </c>
      <c r="G20" s="39">
        <f>1-0.1142857</f>
        <v>0.88571429999999995</v>
      </c>
      <c r="H20" s="39">
        <f>1-0.1357143</f>
        <v>0.86428569999999993</v>
      </c>
    </row>
    <row r="21" spans="1:8" ht="14.25" customHeight="1" x14ac:dyDescent="0.25">
      <c r="A21" s="37" t="s">
        <v>3494</v>
      </c>
      <c r="B21" s="37" t="s">
        <v>3516</v>
      </c>
      <c r="C21" s="41">
        <f t="shared" si="1"/>
        <v>0.92142857</v>
      </c>
      <c r="D21" s="43" t="str">
        <f t="shared" si="2"/>
        <v>Random Forest</v>
      </c>
      <c r="E21" s="39">
        <f>1-0.1285714</f>
        <v>0.8714286</v>
      </c>
      <c r="F21" s="39">
        <f>1-0.07857143</f>
        <v>0.92142857</v>
      </c>
      <c r="G21" s="39">
        <f>1-0.08571429</f>
        <v>0.91428571000000003</v>
      </c>
      <c r="H21" s="39">
        <f>1-0.09285714</f>
        <v>0.90714286</v>
      </c>
    </row>
    <row r="22" spans="1:8" ht="14.25" customHeight="1" x14ac:dyDescent="0.25">
      <c r="A22" s="37" t="s">
        <v>3495</v>
      </c>
      <c r="B22" s="37" t="s">
        <v>3516</v>
      </c>
      <c r="C22" s="41">
        <f t="shared" si="1"/>
        <v>0.85714290000000004</v>
      </c>
      <c r="D22" s="43" t="str">
        <f t="shared" si="2"/>
        <v>Random Forest</v>
      </c>
      <c r="E22" s="39">
        <f>1-0.1571429</f>
        <v>0.84285710000000003</v>
      </c>
      <c r="F22" s="39">
        <f>1-0.15</f>
        <v>0.85</v>
      </c>
      <c r="G22" s="39">
        <f>1-0.1428571</f>
        <v>0.85714290000000004</v>
      </c>
      <c r="H22" s="39">
        <f>1-0.1571429</f>
        <v>0.84285710000000003</v>
      </c>
    </row>
  </sheetData>
  <mergeCells count="2">
    <mergeCell ref="E1:H1"/>
    <mergeCell ref="E7:H7"/>
  </mergeCells>
  <pageMargins left="0.7" right="0.7" top="0.75" bottom="0.75" header="0.3" footer="0.3"/>
  <pageSetup paperSize="9" orientation="portrait" r:id="rId1"/>
  <customProperties>
    <customPr name="Guid" r:id="rId2"/>
  </customProperties>
  <ignoredErrors>
    <ignoredError sqref="E15:F15 H10 G13:G14 E13 G9:G1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B3" sqref="B3:G3"/>
    </sheetView>
  </sheetViews>
  <sheetFormatPr defaultRowHeight="17.25" customHeight="1" x14ac:dyDescent="0.2"/>
  <cols>
    <col min="1" max="1" width="9.140625" style="33"/>
    <col min="2" max="2" width="15.140625" style="33" customWidth="1"/>
    <col min="3" max="3" width="18.28515625" style="33" customWidth="1"/>
    <col min="4" max="7" width="16.140625" style="33" customWidth="1"/>
    <col min="8" max="16384" width="9.140625" style="33"/>
  </cols>
  <sheetData>
    <row r="1" spans="1:7" ht="17.25" customHeight="1" x14ac:dyDescent="0.2">
      <c r="A1" s="26"/>
      <c r="B1" s="26"/>
      <c r="C1" s="26"/>
      <c r="D1" s="72" t="s">
        <v>3497</v>
      </c>
      <c r="E1" s="72"/>
      <c r="F1" s="72"/>
      <c r="G1" s="72"/>
    </row>
    <row r="2" spans="1:7" ht="17.25" customHeight="1" x14ac:dyDescent="0.2">
      <c r="A2" s="26"/>
      <c r="B2" s="26"/>
      <c r="D2" s="23">
        <f>COUNTIF($C$4:$C$19,D$3)</f>
        <v>0</v>
      </c>
      <c r="E2" s="23">
        <f>COUNTIF($C$4:$C$19,E$3)</f>
        <v>3</v>
      </c>
      <c r="F2" s="23">
        <f>COUNTIF($C$4:$C$19,F$3)</f>
        <v>7</v>
      </c>
      <c r="G2" s="23">
        <f>COUNTIF($C$4:$C$19,G$3)</f>
        <v>6</v>
      </c>
    </row>
    <row r="3" spans="1:7" ht="17.25" customHeight="1" x14ac:dyDescent="0.2">
      <c r="A3" s="32" t="s">
        <v>3498</v>
      </c>
      <c r="B3" s="30" t="s">
        <v>3499</v>
      </c>
      <c r="C3" s="31" t="s">
        <v>3504</v>
      </c>
      <c r="D3" s="29" t="s">
        <v>3500</v>
      </c>
      <c r="E3" s="29" t="s">
        <v>3501</v>
      </c>
      <c r="F3" s="29" t="s">
        <v>3502</v>
      </c>
      <c r="G3" s="29" t="s">
        <v>3503</v>
      </c>
    </row>
    <row r="4" spans="1:7" ht="17.25" customHeight="1" x14ac:dyDescent="0.2">
      <c r="A4" s="26" t="s">
        <v>3480</v>
      </c>
      <c r="B4" s="28">
        <f t="shared" ref="B4:B19" si="0">MAX(D4:G4)</f>
        <v>0.92579999999999996</v>
      </c>
      <c r="C4" s="26" t="str">
        <f t="shared" ref="C4:C19" si="1">INDEX($D$3:$G$3,1,MATCH(MAX(INDEX($D:$G,MATCH(MAX(D4:G4),$B:$B,0),0)),INDEX($D:$G,MATCH(MAX(D4:G4),$B:$B,0),0),0))</f>
        <v>Logistic Regression</v>
      </c>
      <c r="D4" s="28">
        <v>0.83150000000000002</v>
      </c>
      <c r="E4" s="28">
        <v>0.90410000000000001</v>
      </c>
      <c r="F4" s="28">
        <v>0.91669999999999996</v>
      </c>
      <c r="G4" s="28">
        <v>0.92579999999999996</v>
      </c>
    </row>
    <row r="5" spans="1:7" ht="17.25" customHeight="1" x14ac:dyDescent="0.2">
      <c r="A5" s="26" t="s">
        <v>3481</v>
      </c>
      <c r="B5" s="28">
        <f t="shared" si="0"/>
        <v>0.96099999999999997</v>
      </c>
      <c r="C5" s="26" t="str">
        <f t="shared" si="1"/>
        <v>Random Forest</v>
      </c>
      <c r="D5" s="28">
        <v>0.86140000000000005</v>
      </c>
      <c r="E5" s="28">
        <v>0.94789999999999996</v>
      </c>
      <c r="F5" s="28">
        <v>0.96099999999999997</v>
      </c>
      <c r="G5" s="28">
        <v>0.95089999999999997</v>
      </c>
    </row>
    <row r="6" spans="1:7" ht="17.25" customHeight="1" x14ac:dyDescent="0.2">
      <c r="A6" s="26" t="s">
        <v>3482</v>
      </c>
      <c r="B6" s="28">
        <f t="shared" si="0"/>
        <v>0.90380000000000005</v>
      </c>
      <c r="C6" s="26" t="str">
        <f t="shared" si="1"/>
        <v>Logistic Regression</v>
      </c>
      <c r="D6" s="28">
        <v>0.86660000000000004</v>
      </c>
      <c r="E6" s="28">
        <v>0.89229999999999998</v>
      </c>
      <c r="F6" s="28">
        <v>0.89590000000000003</v>
      </c>
      <c r="G6" s="28">
        <v>0.90380000000000005</v>
      </c>
    </row>
    <row r="7" spans="1:7" ht="17.25" customHeight="1" x14ac:dyDescent="0.2">
      <c r="A7" s="26" t="s">
        <v>3483</v>
      </c>
      <c r="B7" s="28">
        <f t="shared" si="0"/>
        <v>0.94969999999999999</v>
      </c>
      <c r="C7" s="26" t="str">
        <f t="shared" si="1"/>
        <v>Random Forest</v>
      </c>
      <c r="D7" s="28">
        <v>0.94269999999999998</v>
      </c>
      <c r="E7" s="28">
        <v>0.94540000000000002</v>
      </c>
      <c r="F7" s="28">
        <v>0.94969999999999999</v>
      </c>
      <c r="G7" s="28">
        <v>0.9496</v>
      </c>
    </row>
    <row r="8" spans="1:7" ht="17.25" customHeight="1" x14ac:dyDescent="0.2">
      <c r="A8" s="26" t="s">
        <v>3484</v>
      </c>
      <c r="B8" s="28">
        <f t="shared" si="0"/>
        <v>0.93610000000000004</v>
      </c>
      <c r="C8" s="26" t="str">
        <f t="shared" si="1"/>
        <v>Random Forest</v>
      </c>
      <c r="D8" s="28">
        <v>0.86960000000000004</v>
      </c>
      <c r="E8" s="28">
        <v>0.93169999999999997</v>
      </c>
      <c r="F8" s="28">
        <v>0.93610000000000004</v>
      </c>
      <c r="G8" s="28">
        <v>0.93259999999999998</v>
      </c>
    </row>
    <row r="9" spans="1:7" ht="17.25" customHeight="1" x14ac:dyDescent="0.2">
      <c r="A9" s="26" t="s">
        <v>3485</v>
      </c>
      <c r="B9" s="28">
        <f t="shared" si="0"/>
        <v>0.90780000000000005</v>
      </c>
      <c r="C9" s="26" t="str">
        <f t="shared" si="1"/>
        <v>Ada Boosting</v>
      </c>
      <c r="D9" s="28">
        <v>0.79920000000000002</v>
      </c>
      <c r="E9" s="28">
        <v>0.90780000000000005</v>
      </c>
      <c r="F9" s="28">
        <v>0.87139999999999995</v>
      </c>
      <c r="G9" s="28">
        <v>0.88049999999999995</v>
      </c>
    </row>
    <row r="10" spans="1:7" ht="17.25" customHeight="1" x14ac:dyDescent="0.2">
      <c r="A10" s="26" t="s">
        <v>3486</v>
      </c>
      <c r="B10" s="28">
        <f t="shared" si="0"/>
        <v>0.9194</v>
      </c>
      <c r="C10" s="26" t="str">
        <f t="shared" si="1"/>
        <v>Ada Boosting</v>
      </c>
      <c r="D10" s="28">
        <v>0.90349999999999997</v>
      </c>
      <c r="E10" s="28">
        <v>0.9194</v>
      </c>
      <c r="F10" s="28">
        <v>0.90659999999999996</v>
      </c>
      <c r="G10" s="28">
        <v>0.89500000000000002</v>
      </c>
    </row>
    <row r="11" spans="1:7" ht="17.25" customHeight="1" x14ac:dyDescent="0.2">
      <c r="A11" s="26" t="s">
        <v>3487</v>
      </c>
      <c r="B11" s="28">
        <f t="shared" si="0"/>
        <v>0.97489999999999999</v>
      </c>
      <c r="C11" s="26" t="str">
        <f t="shared" si="1"/>
        <v>Random Forest</v>
      </c>
      <c r="D11" s="28">
        <v>0.89780000000000004</v>
      </c>
      <c r="E11" s="28">
        <v>0.97450000000000003</v>
      </c>
      <c r="F11" s="28">
        <v>0.97489999999999999</v>
      </c>
      <c r="G11" s="28">
        <v>0.97019999999999995</v>
      </c>
    </row>
    <row r="12" spans="1:7" ht="17.25" customHeight="1" x14ac:dyDescent="0.2">
      <c r="A12" s="26" t="s">
        <v>3488</v>
      </c>
      <c r="B12" s="28">
        <f t="shared" si="0"/>
        <v>0.92610000000000003</v>
      </c>
      <c r="C12" s="26" t="str">
        <f t="shared" si="1"/>
        <v>Random Forest</v>
      </c>
      <c r="D12" s="28">
        <v>0.85680000000000001</v>
      </c>
      <c r="E12" s="28">
        <v>0.91830000000000001</v>
      </c>
      <c r="F12" s="28">
        <v>0.92610000000000003</v>
      </c>
      <c r="G12" s="28">
        <v>0.91259999999999997</v>
      </c>
    </row>
    <row r="13" spans="1:7" ht="17.25" customHeight="1" x14ac:dyDescent="0.2">
      <c r="A13" s="26" t="s">
        <v>3489</v>
      </c>
      <c r="B13" s="28">
        <f t="shared" si="0"/>
        <v>0.9829</v>
      </c>
      <c r="C13" s="26" t="str">
        <f t="shared" si="1"/>
        <v>Logistic Regression</v>
      </c>
      <c r="D13" s="28">
        <v>0.95299999999999996</v>
      </c>
      <c r="E13" s="28">
        <v>0.97809999999999997</v>
      </c>
      <c r="F13" s="28">
        <v>0.97840000000000005</v>
      </c>
      <c r="G13" s="28">
        <v>0.9829</v>
      </c>
    </row>
    <row r="14" spans="1:7" ht="17.25" customHeight="1" x14ac:dyDescent="0.2">
      <c r="A14" s="26" t="s">
        <v>3490</v>
      </c>
      <c r="B14" s="28">
        <f t="shared" si="0"/>
        <v>0.97399999999999998</v>
      </c>
      <c r="C14" s="26" t="str">
        <f t="shared" si="1"/>
        <v>Random Forest</v>
      </c>
      <c r="D14" s="28">
        <v>0.90449999999999997</v>
      </c>
      <c r="E14" s="28">
        <v>0.97060000000000002</v>
      </c>
      <c r="F14" s="28">
        <v>0.97399999999999998</v>
      </c>
      <c r="G14" s="28">
        <v>0.97319999999999995</v>
      </c>
    </row>
    <row r="15" spans="1:7" ht="17.25" customHeight="1" x14ac:dyDescent="0.2">
      <c r="A15" s="26" t="s">
        <v>3491</v>
      </c>
      <c r="B15" s="28">
        <f t="shared" si="0"/>
        <v>0.88739999999999997</v>
      </c>
      <c r="C15" s="26" t="str">
        <f t="shared" si="1"/>
        <v>Logistic Regression</v>
      </c>
      <c r="D15" s="28">
        <v>0.74119999999999997</v>
      </c>
      <c r="E15" s="28">
        <v>0.86909999999999998</v>
      </c>
      <c r="F15" s="28">
        <v>0.88639999999999997</v>
      </c>
      <c r="G15" s="28">
        <v>0.88739999999999997</v>
      </c>
    </row>
    <row r="16" spans="1:7" ht="17.25" customHeight="1" x14ac:dyDescent="0.2">
      <c r="A16" s="26" t="s">
        <v>3492</v>
      </c>
      <c r="B16" s="28">
        <f t="shared" si="0"/>
        <v>0.92290000000000005</v>
      </c>
      <c r="C16" s="26" t="str">
        <f t="shared" si="1"/>
        <v>Logistic Regression</v>
      </c>
      <c r="D16" s="28">
        <v>0.85750000000000004</v>
      </c>
      <c r="E16" s="28">
        <v>0.90629999999999999</v>
      </c>
      <c r="F16" s="28">
        <v>0.91410000000000002</v>
      </c>
      <c r="G16" s="28">
        <v>0.92290000000000005</v>
      </c>
    </row>
    <row r="17" spans="1:7" ht="17.25" customHeight="1" x14ac:dyDescent="0.2">
      <c r="A17" s="26" t="s">
        <v>3493</v>
      </c>
      <c r="B17" s="28">
        <f t="shared" si="0"/>
        <v>0.93049999999999999</v>
      </c>
      <c r="C17" s="26" t="str">
        <f t="shared" si="1"/>
        <v>Random Forest</v>
      </c>
      <c r="D17" s="28">
        <v>0.86509999999999998</v>
      </c>
      <c r="E17" s="28">
        <v>0.90180000000000005</v>
      </c>
      <c r="F17" s="28">
        <v>0.93049999999999999</v>
      </c>
      <c r="G17" s="28">
        <v>0.92600000000000005</v>
      </c>
    </row>
    <row r="18" spans="1:7" ht="17.25" customHeight="1" x14ac:dyDescent="0.2">
      <c r="A18" s="26" t="s">
        <v>3494</v>
      </c>
      <c r="B18" s="28">
        <f t="shared" si="0"/>
        <v>0.90190000000000003</v>
      </c>
      <c r="C18" s="26" t="str">
        <f t="shared" si="1"/>
        <v>Logistic Regression</v>
      </c>
      <c r="D18" s="28">
        <v>0.85709999999999997</v>
      </c>
      <c r="E18" s="28">
        <v>0.89410000000000001</v>
      </c>
      <c r="F18" s="28">
        <v>0.89239999999999997</v>
      </c>
      <c r="G18" s="28">
        <v>0.90190000000000003</v>
      </c>
    </row>
    <row r="19" spans="1:7" ht="17.25" customHeight="1" x14ac:dyDescent="0.2">
      <c r="A19" s="26" t="s">
        <v>3495</v>
      </c>
      <c r="B19" s="28">
        <f t="shared" si="0"/>
        <v>0.87280000000000002</v>
      </c>
      <c r="C19" s="26" t="str">
        <f t="shared" si="1"/>
        <v>Ada Boosting</v>
      </c>
      <c r="D19" s="28">
        <v>0.86960000000000004</v>
      </c>
      <c r="E19" s="28">
        <v>0.87280000000000002</v>
      </c>
      <c r="F19" s="28">
        <v>0.87160000000000004</v>
      </c>
      <c r="G19" s="28">
        <v>0.8448</v>
      </c>
    </row>
    <row r="21" spans="1:7" ht="17.25" customHeight="1" x14ac:dyDescent="0.2">
      <c r="C21" s="27" t="s">
        <v>8</v>
      </c>
      <c r="D21" s="34">
        <f>AVERAGE(D4:D19)</f>
        <v>0.86731875000000003</v>
      </c>
      <c r="E21" s="34">
        <f t="shared" ref="E21:G21" si="2">AVERAGE(E4:E19)</f>
        <v>0.92088749999999986</v>
      </c>
      <c r="F21" s="34">
        <f t="shared" si="2"/>
        <v>0.92411250000000011</v>
      </c>
      <c r="G21" s="34">
        <f t="shared" si="2"/>
        <v>0.92250624999999997</v>
      </c>
    </row>
  </sheetData>
  <mergeCells count="1">
    <mergeCell ref="D1:G1"/>
  </mergeCells>
  <pageMargins left="0.7" right="0.7" top="0.75" bottom="0.75" header="0.3" footer="0.3"/>
  <customProperties>
    <customPr name="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showGridLines="0" zoomScaleNormal="100" workbookViewId="0">
      <selection activeCell="Z31" sqref="Z31"/>
    </sheetView>
  </sheetViews>
  <sheetFormatPr defaultRowHeight="15" x14ac:dyDescent="0.25"/>
  <sheetData>
    <row r="1" spans="1:12" x14ac:dyDescent="0.25">
      <c r="A1" s="57" t="s">
        <v>3551</v>
      </c>
      <c r="G1" t="s">
        <v>800</v>
      </c>
      <c r="H1" t="s">
        <v>94</v>
      </c>
      <c r="I1" t="s">
        <v>95</v>
      </c>
      <c r="J1" t="s">
        <v>7</v>
      </c>
      <c r="K1" t="s">
        <v>3632</v>
      </c>
      <c r="L1" t="s">
        <v>3633</v>
      </c>
    </row>
    <row r="2" spans="1:12" x14ac:dyDescent="0.25">
      <c r="A2" s="57" t="s">
        <v>3552</v>
      </c>
      <c r="F2">
        <v>1</v>
      </c>
      <c r="G2" t="s">
        <v>807</v>
      </c>
      <c r="H2">
        <v>27</v>
      </c>
      <c r="I2">
        <v>92</v>
      </c>
      <c r="J2">
        <f t="shared" ref="J2:J33" si="0">SUM(H2:I2)</f>
        <v>119</v>
      </c>
      <c r="K2">
        <v>77.31</v>
      </c>
      <c r="L2">
        <v>1</v>
      </c>
    </row>
    <row r="3" spans="1:12" x14ac:dyDescent="0.25">
      <c r="A3" s="57" t="s">
        <v>3553</v>
      </c>
      <c r="F3">
        <v>6</v>
      </c>
      <c r="G3" t="s">
        <v>807</v>
      </c>
      <c r="H3">
        <v>27</v>
      </c>
      <c r="I3">
        <v>92</v>
      </c>
      <c r="J3">
        <f t="shared" si="0"/>
        <v>119</v>
      </c>
      <c r="K3">
        <v>77.31</v>
      </c>
      <c r="L3">
        <v>2</v>
      </c>
    </row>
    <row r="4" spans="1:12" x14ac:dyDescent="0.25">
      <c r="A4" s="57" t="s">
        <v>3554</v>
      </c>
      <c r="F4">
        <v>11</v>
      </c>
      <c r="G4" t="s">
        <v>807</v>
      </c>
      <c r="H4">
        <v>35</v>
      </c>
      <c r="I4">
        <v>84</v>
      </c>
      <c r="J4">
        <f t="shared" si="0"/>
        <v>119</v>
      </c>
      <c r="K4">
        <v>70.59</v>
      </c>
      <c r="L4">
        <v>3</v>
      </c>
    </row>
    <row r="5" spans="1:12" x14ac:dyDescent="0.25">
      <c r="A5" s="57" t="s">
        <v>3555</v>
      </c>
      <c r="F5">
        <v>16</v>
      </c>
      <c r="G5" t="s">
        <v>807</v>
      </c>
      <c r="H5">
        <v>39</v>
      </c>
      <c r="I5">
        <v>80</v>
      </c>
      <c r="J5">
        <f t="shared" si="0"/>
        <v>119</v>
      </c>
      <c r="K5">
        <v>67.23</v>
      </c>
      <c r="L5">
        <v>4</v>
      </c>
    </row>
    <row r="6" spans="1:12" x14ac:dyDescent="0.25">
      <c r="A6" s="57" t="s">
        <v>3556</v>
      </c>
      <c r="F6">
        <v>21</v>
      </c>
      <c r="G6" t="s">
        <v>807</v>
      </c>
      <c r="H6">
        <v>26</v>
      </c>
      <c r="I6">
        <v>93</v>
      </c>
      <c r="J6">
        <f t="shared" si="0"/>
        <v>119</v>
      </c>
      <c r="K6">
        <v>78.150000000000006</v>
      </c>
      <c r="L6">
        <v>5</v>
      </c>
    </row>
    <row r="7" spans="1:12" x14ac:dyDescent="0.25">
      <c r="A7" s="57" t="s">
        <v>3557</v>
      </c>
      <c r="F7">
        <v>26</v>
      </c>
      <c r="G7" t="s">
        <v>807</v>
      </c>
      <c r="H7">
        <v>21</v>
      </c>
      <c r="I7">
        <v>98</v>
      </c>
      <c r="J7">
        <f t="shared" si="0"/>
        <v>119</v>
      </c>
      <c r="K7">
        <v>82.35</v>
      </c>
      <c r="L7">
        <v>6</v>
      </c>
    </row>
    <row r="8" spans="1:12" x14ac:dyDescent="0.25">
      <c r="A8" s="57" t="s">
        <v>3558</v>
      </c>
      <c r="F8">
        <v>31</v>
      </c>
      <c r="G8" t="s">
        <v>807</v>
      </c>
      <c r="H8">
        <v>44</v>
      </c>
      <c r="I8">
        <v>75</v>
      </c>
      <c r="J8">
        <f t="shared" si="0"/>
        <v>119</v>
      </c>
      <c r="K8">
        <v>63.03</v>
      </c>
      <c r="L8">
        <v>7</v>
      </c>
    </row>
    <row r="9" spans="1:12" x14ac:dyDescent="0.25">
      <c r="A9" s="57" t="s">
        <v>3559</v>
      </c>
      <c r="F9">
        <v>36</v>
      </c>
      <c r="G9" t="s">
        <v>807</v>
      </c>
      <c r="H9">
        <v>29</v>
      </c>
      <c r="I9">
        <v>90</v>
      </c>
      <c r="J9">
        <f t="shared" si="0"/>
        <v>119</v>
      </c>
      <c r="K9">
        <v>75.63</v>
      </c>
      <c r="L9">
        <v>8</v>
      </c>
    </row>
    <row r="10" spans="1:12" x14ac:dyDescent="0.25">
      <c r="A10" s="57" t="s">
        <v>3560</v>
      </c>
      <c r="F10">
        <v>41</v>
      </c>
      <c r="G10" t="s">
        <v>807</v>
      </c>
      <c r="H10">
        <v>33</v>
      </c>
      <c r="I10">
        <v>86</v>
      </c>
      <c r="J10">
        <f t="shared" si="0"/>
        <v>119</v>
      </c>
      <c r="K10">
        <v>72.27</v>
      </c>
      <c r="L10">
        <v>9</v>
      </c>
    </row>
    <row r="11" spans="1:12" x14ac:dyDescent="0.25">
      <c r="A11" s="57" t="s">
        <v>3561</v>
      </c>
      <c r="F11">
        <v>46</v>
      </c>
      <c r="G11" t="s">
        <v>807</v>
      </c>
      <c r="H11">
        <v>21</v>
      </c>
      <c r="I11">
        <v>98</v>
      </c>
      <c r="J11">
        <f t="shared" si="0"/>
        <v>119</v>
      </c>
      <c r="K11">
        <v>82.35</v>
      </c>
      <c r="L11">
        <v>10</v>
      </c>
    </row>
    <row r="12" spans="1:12" x14ac:dyDescent="0.25">
      <c r="A12" s="57" t="s">
        <v>3562</v>
      </c>
      <c r="F12">
        <v>51</v>
      </c>
      <c r="G12" t="s">
        <v>807</v>
      </c>
      <c r="H12">
        <v>19</v>
      </c>
      <c r="I12">
        <v>100</v>
      </c>
      <c r="J12">
        <f t="shared" si="0"/>
        <v>119</v>
      </c>
      <c r="K12">
        <v>84.03</v>
      </c>
      <c r="L12">
        <v>11</v>
      </c>
    </row>
    <row r="13" spans="1:12" x14ac:dyDescent="0.25">
      <c r="A13" s="57" t="s">
        <v>3563</v>
      </c>
      <c r="F13">
        <v>56</v>
      </c>
      <c r="G13" t="s">
        <v>807</v>
      </c>
      <c r="H13">
        <v>8</v>
      </c>
      <c r="I13">
        <v>111</v>
      </c>
      <c r="J13">
        <f t="shared" si="0"/>
        <v>119</v>
      </c>
      <c r="K13">
        <v>93.28</v>
      </c>
      <c r="L13">
        <v>12</v>
      </c>
    </row>
    <row r="14" spans="1:12" x14ac:dyDescent="0.25">
      <c r="A14" s="57" t="s">
        <v>3564</v>
      </c>
      <c r="F14">
        <v>61</v>
      </c>
      <c r="G14" t="s">
        <v>807</v>
      </c>
      <c r="H14">
        <v>36</v>
      </c>
      <c r="I14">
        <v>83</v>
      </c>
      <c r="J14">
        <f t="shared" si="0"/>
        <v>119</v>
      </c>
      <c r="K14">
        <v>69.75</v>
      </c>
      <c r="L14">
        <v>13</v>
      </c>
    </row>
    <row r="15" spans="1:12" x14ac:dyDescent="0.25">
      <c r="A15" s="57" t="s">
        <v>3565</v>
      </c>
      <c r="F15">
        <v>66</v>
      </c>
      <c r="G15" t="s">
        <v>807</v>
      </c>
      <c r="H15">
        <v>38</v>
      </c>
      <c r="I15">
        <v>81</v>
      </c>
      <c r="J15">
        <f t="shared" si="0"/>
        <v>119</v>
      </c>
      <c r="K15">
        <v>68.069999999999993</v>
      </c>
      <c r="L15">
        <v>14</v>
      </c>
    </row>
    <row r="16" spans="1:12" x14ac:dyDescent="0.25">
      <c r="A16" s="57" t="s">
        <v>3566</v>
      </c>
      <c r="F16">
        <v>71</v>
      </c>
      <c r="G16" t="s">
        <v>807</v>
      </c>
      <c r="H16">
        <v>21</v>
      </c>
      <c r="I16">
        <v>98</v>
      </c>
      <c r="J16">
        <f t="shared" si="0"/>
        <v>119</v>
      </c>
      <c r="K16">
        <v>82.35</v>
      </c>
      <c r="L16">
        <v>15</v>
      </c>
    </row>
    <row r="17" spans="1:12" x14ac:dyDescent="0.25">
      <c r="A17" s="57" t="s">
        <v>3567</v>
      </c>
      <c r="F17">
        <v>76</v>
      </c>
      <c r="G17" t="s">
        <v>807</v>
      </c>
      <c r="H17">
        <v>52</v>
      </c>
      <c r="I17">
        <v>67</v>
      </c>
      <c r="J17">
        <f t="shared" si="0"/>
        <v>119</v>
      </c>
      <c r="K17">
        <v>56.3</v>
      </c>
      <c r="L17">
        <v>16</v>
      </c>
    </row>
    <row r="18" spans="1:12" x14ac:dyDescent="0.25">
      <c r="A18" s="57" t="s">
        <v>3568</v>
      </c>
      <c r="F18">
        <v>2</v>
      </c>
      <c r="G18" t="s">
        <v>834</v>
      </c>
      <c r="H18">
        <v>8</v>
      </c>
      <c r="I18">
        <v>9</v>
      </c>
      <c r="J18">
        <f t="shared" si="0"/>
        <v>17</v>
      </c>
      <c r="K18">
        <v>52.94</v>
      </c>
      <c r="L18">
        <v>1</v>
      </c>
    </row>
    <row r="19" spans="1:12" x14ac:dyDescent="0.25">
      <c r="A19" s="57" t="s">
        <v>3569</v>
      </c>
      <c r="F19">
        <v>7</v>
      </c>
      <c r="G19" t="s">
        <v>834</v>
      </c>
      <c r="H19">
        <v>9</v>
      </c>
      <c r="I19">
        <v>8</v>
      </c>
      <c r="J19">
        <f t="shared" si="0"/>
        <v>17</v>
      </c>
      <c r="K19">
        <v>47.06</v>
      </c>
      <c r="L19">
        <v>2</v>
      </c>
    </row>
    <row r="20" spans="1:12" x14ac:dyDescent="0.25">
      <c r="A20" s="57" t="s">
        <v>3570</v>
      </c>
      <c r="F20">
        <v>12</v>
      </c>
      <c r="G20" t="s">
        <v>834</v>
      </c>
      <c r="H20">
        <v>8</v>
      </c>
      <c r="I20">
        <v>9</v>
      </c>
      <c r="J20">
        <f t="shared" si="0"/>
        <v>17</v>
      </c>
      <c r="K20">
        <v>52.94</v>
      </c>
      <c r="L20">
        <v>3</v>
      </c>
    </row>
    <row r="21" spans="1:12" x14ac:dyDescent="0.25">
      <c r="A21" s="57" t="s">
        <v>3571</v>
      </c>
      <c r="F21">
        <v>17</v>
      </c>
      <c r="G21" t="s">
        <v>834</v>
      </c>
      <c r="H21">
        <v>9</v>
      </c>
      <c r="I21">
        <v>8</v>
      </c>
      <c r="J21">
        <f t="shared" si="0"/>
        <v>17</v>
      </c>
      <c r="K21">
        <v>47.06</v>
      </c>
      <c r="L21">
        <v>4</v>
      </c>
    </row>
    <row r="22" spans="1:12" x14ac:dyDescent="0.25">
      <c r="A22" s="57" t="s">
        <v>3572</v>
      </c>
      <c r="F22">
        <v>22</v>
      </c>
      <c r="G22" t="s">
        <v>834</v>
      </c>
      <c r="H22">
        <v>7</v>
      </c>
      <c r="I22">
        <v>10</v>
      </c>
      <c r="J22">
        <f t="shared" si="0"/>
        <v>17</v>
      </c>
      <c r="K22">
        <v>58.82</v>
      </c>
      <c r="L22">
        <v>5</v>
      </c>
    </row>
    <row r="23" spans="1:12" x14ac:dyDescent="0.25">
      <c r="A23" s="57" t="s">
        <v>3573</v>
      </c>
      <c r="F23">
        <v>27</v>
      </c>
      <c r="G23" t="s">
        <v>834</v>
      </c>
      <c r="H23">
        <v>5</v>
      </c>
      <c r="I23">
        <v>12</v>
      </c>
      <c r="J23">
        <f t="shared" si="0"/>
        <v>17</v>
      </c>
      <c r="K23">
        <v>70.59</v>
      </c>
      <c r="L23">
        <v>6</v>
      </c>
    </row>
    <row r="24" spans="1:12" x14ac:dyDescent="0.25">
      <c r="A24" s="57" t="s">
        <v>3574</v>
      </c>
      <c r="F24">
        <v>32</v>
      </c>
      <c r="G24" t="s">
        <v>834</v>
      </c>
      <c r="H24">
        <v>9</v>
      </c>
      <c r="I24">
        <v>8</v>
      </c>
      <c r="J24">
        <f t="shared" si="0"/>
        <v>17</v>
      </c>
      <c r="K24">
        <v>47.06</v>
      </c>
      <c r="L24">
        <v>7</v>
      </c>
    </row>
    <row r="25" spans="1:12" x14ac:dyDescent="0.25">
      <c r="A25" s="57" t="s">
        <v>3575</v>
      </c>
      <c r="F25">
        <v>37</v>
      </c>
      <c r="G25" t="s">
        <v>834</v>
      </c>
      <c r="H25">
        <v>6</v>
      </c>
      <c r="I25">
        <v>11</v>
      </c>
      <c r="J25">
        <f t="shared" si="0"/>
        <v>17</v>
      </c>
      <c r="K25">
        <v>64.709999999999994</v>
      </c>
      <c r="L25">
        <v>8</v>
      </c>
    </row>
    <row r="26" spans="1:12" x14ac:dyDescent="0.25">
      <c r="A26" s="57" t="s">
        <v>3576</v>
      </c>
      <c r="F26">
        <v>42</v>
      </c>
      <c r="G26" t="s">
        <v>834</v>
      </c>
      <c r="H26">
        <v>7</v>
      </c>
      <c r="I26">
        <v>10</v>
      </c>
      <c r="J26">
        <f t="shared" si="0"/>
        <v>17</v>
      </c>
      <c r="K26">
        <v>58.82</v>
      </c>
      <c r="L26">
        <v>9</v>
      </c>
    </row>
    <row r="27" spans="1:12" x14ac:dyDescent="0.25">
      <c r="A27" s="57" t="s">
        <v>3577</v>
      </c>
      <c r="F27">
        <v>47</v>
      </c>
      <c r="G27" t="s">
        <v>834</v>
      </c>
      <c r="H27">
        <v>6</v>
      </c>
      <c r="I27">
        <v>11</v>
      </c>
      <c r="J27">
        <f t="shared" si="0"/>
        <v>17</v>
      </c>
      <c r="K27">
        <v>64.709999999999994</v>
      </c>
      <c r="L27">
        <v>10</v>
      </c>
    </row>
    <row r="28" spans="1:12" x14ac:dyDescent="0.25">
      <c r="A28" s="57" t="s">
        <v>3578</v>
      </c>
      <c r="F28">
        <v>52</v>
      </c>
      <c r="G28" t="s">
        <v>834</v>
      </c>
      <c r="H28">
        <v>5</v>
      </c>
      <c r="I28">
        <v>12</v>
      </c>
      <c r="J28">
        <f t="shared" si="0"/>
        <v>17</v>
      </c>
      <c r="K28">
        <v>70.59</v>
      </c>
      <c r="L28">
        <v>11</v>
      </c>
    </row>
    <row r="29" spans="1:12" x14ac:dyDescent="0.25">
      <c r="A29" s="57" t="s">
        <v>3579</v>
      </c>
      <c r="F29">
        <v>57</v>
      </c>
      <c r="G29" t="s">
        <v>834</v>
      </c>
      <c r="H29">
        <v>2</v>
      </c>
      <c r="I29">
        <v>15</v>
      </c>
      <c r="J29">
        <f t="shared" si="0"/>
        <v>17</v>
      </c>
      <c r="K29">
        <v>88.24</v>
      </c>
      <c r="L29">
        <v>12</v>
      </c>
    </row>
    <row r="30" spans="1:12" x14ac:dyDescent="0.25">
      <c r="A30" s="57" t="s">
        <v>3580</v>
      </c>
      <c r="F30">
        <v>62</v>
      </c>
      <c r="G30" t="s">
        <v>834</v>
      </c>
      <c r="H30">
        <v>9</v>
      </c>
      <c r="I30">
        <v>8</v>
      </c>
      <c r="J30">
        <f t="shared" si="0"/>
        <v>17</v>
      </c>
      <c r="K30">
        <v>47.06</v>
      </c>
      <c r="L30">
        <v>13</v>
      </c>
    </row>
    <row r="31" spans="1:12" x14ac:dyDescent="0.25">
      <c r="A31" s="57" t="s">
        <v>3581</v>
      </c>
      <c r="F31">
        <v>67</v>
      </c>
      <c r="G31" t="s">
        <v>834</v>
      </c>
      <c r="H31">
        <v>8</v>
      </c>
      <c r="I31">
        <v>9</v>
      </c>
      <c r="J31">
        <f t="shared" si="0"/>
        <v>17</v>
      </c>
      <c r="K31">
        <v>52.94</v>
      </c>
      <c r="L31">
        <v>14</v>
      </c>
    </row>
    <row r="32" spans="1:12" x14ac:dyDescent="0.25">
      <c r="A32" s="57" t="s">
        <v>3582</v>
      </c>
      <c r="F32">
        <v>72</v>
      </c>
      <c r="G32" t="s">
        <v>834</v>
      </c>
      <c r="H32">
        <v>3</v>
      </c>
      <c r="I32">
        <v>14</v>
      </c>
      <c r="J32">
        <f t="shared" si="0"/>
        <v>17</v>
      </c>
      <c r="K32">
        <v>82.35</v>
      </c>
      <c r="L32">
        <v>15</v>
      </c>
    </row>
    <row r="33" spans="1:12" x14ac:dyDescent="0.25">
      <c r="A33" s="57" t="s">
        <v>3583</v>
      </c>
      <c r="F33">
        <v>77</v>
      </c>
      <c r="G33" t="s">
        <v>834</v>
      </c>
      <c r="H33">
        <v>12</v>
      </c>
      <c r="I33">
        <v>5</v>
      </c>
      <c r="J33">
        <f t="shared" si="0"/>
        <v>17</v>
      </c>
      <c r="K33">
        <v>29.41</v>
      </c>
      <c r="L33">
        <v>16</v>
      </c>
    </row>
    <row r="34" spans="1:12" x14ac:dyDescent="0.25">
      <c r="A34" s="57" t="s">
        <v>3584</v>
      </c>
      <c r="F34">
        <v>3</v>
      </c>
      <c r="G34" t="s">
        <v>814</v>
      </c>
      <c r="H34">
        <v>35</v>
      </c>
      <c r="I34">
        <v>110</v>
      </c>
      <c r="J34">
        <f t="shared" ref="J34:J65" si="1">SUM(H34:I34)</f>
        <v>145</v>
      </c>
      <c r="K34">
        <v>75.86</v>
      </c>
      <c r="L34">
        <v>1</v>
      </c>
    </row>
    <row r="35" spans="1:12" x14ac:dyDescent="0.25">
      <c r="A35" s="57" t="s">
        <v>3585</v>
      </c>
      <c r="F35">
        <v>8</v>
      </c>
      <c r="G35" t="s">
        <v>814</v>
      </c>
      <c r="H35">
        <v>44</v>
      </c>
      <c r="I35">
        <v>101</v>
      </c>
      <c r="J35">
        <f t="shared" si="1"/>
        <v>145</v>
      </c>
      <c r="K35">
        <v>69.66</v>
      </c>
      <c r="L35">
        <v>2</v>
      </c>
    </row>
    <row r="36" spans="1:12" x14ac:dyDescent="0.25">
      <c r="A36" s="57" t="s">
        <v>3586</v>
      </c>
      <c r="F36">
        <v>13</v>
      </c>
      <c r="G36" t="s">
        <v>814</v>
      </c>
      <c r="H36">
        <v>45</v>
      </c>
      <c r="I36">
        <v>100</v>
      </c>
      <c r="J36">
        <f t="shared" si="1"/>
        <v>145</v>
      </c>
      <c r="K36">
        <v>68.97</v>
      </c>
      <c r="L36">
        <v>3</v>
      </c>
    </row>
    <row r="37" spans="1:12" x14ac:dyDescent="0.25">
      <c r="A37" s="57" t="s">
        <v>3587</v>
      </c>
      <c r="F37">
        <v>18</v>
      </c>
      <c r="G37" t="s">
        <v>814</v>
      </c>
      <c r="H37">
        <v>46</v>
      </c>
      <c r="I37">
        <v>99</v>
      </c>
      <c r="J37">
        <f t="shared" si="1"/>
        <v>145</v>
      </c>
      <c r="K37">
        <v>68.28</v>
      </c>
      <c r="L37">
        <v>4</v>
      </c>
    </row>
    <row r="38" spans="1:12" x14ac:dyDescent="0.25">
      <c r="A38" s="57" t="s">
        <v>3588</v>
      </c>
      <c r="F38">
        <v>23</v>
      </c>
      <c r="G38" t="s">
        <v>814</v>
      </c>
      <c r="H38">
        <v>32</v>
      </c>
      <c r="I38">
        <v>113</v>
      </c>
      <c r="J38">
        <f t="shared" si="1"/>
        <v>145</v>
      </c>
      <c r="K38">
        <v>77.930000000000007</v>
      </c>
      <c r="L38">
        <v>5</v>
      </c>
    </row>
    <row r="39" spans="1:12" x14ac:dyDescent="0.25">
      <c r="A39" s="57" t="s">
        <v>3589</v>
      </c>
      <c r="F39">
        <v>28</v>
      </c>
      <c r="G39" t="s">
        <v>814</v>
      </c>
      <c r="H39">
        <v>35</v>
      </c>
      <c r="I39">
        <v>110</v>
      </c>
      <c r="J39">
        <f t="shared" si="1"/>
        <v>145</v>
      </c>
      <c r="K39">
        <v>75.86</v>
      </c>
      <c r="L39">
        <v>6</v>
      </c>
    </row>
    <row r="40" spans="1:12" x14ac:dyDescent="0.25">
      <c r="A40" s="57" t="s">
        <v>3590</v>
      </c>
      <c r="F40">
        <v>33</v>
      </c>
      <c r="G40" t="s">
        <v>814</v>
      </c>
      <c r="H40">
        <v>55</v>
      </c>
      <c r="I40">
        <v>90</v>
      </c>
      <c r="J40">
        <f t="shared" si="1"/>
        <v>145</v>
      </c>
      <c r="K40">
        <v>62.07</v>
      </c>
      <c r="L40">
        <v>7</v>
      </c>
    </row>
    <row r="41" spans="1:12" x14ac:dyDescent="0.25">
      <c r="A41" s="57" t="s">
        <v>3591</v>
      </c>
      <c r="F41">
        <v>38</v>
      </c>
      <c r="G41" t="s">
        <v>814</v>
      </c>
      <c r="H41">
        <v>42</v>
      </c>
      <c r="I41">
        <v>103</v>
      </c>
      <c r="J41">
        <f t="shared" si="1"/>
        <v>145</v>
      </c>
      <c r="K41">
        <v>71.03</v>
      </c>
      <c r="L41">
        <v>8</v>
      </c>
    </row>
    <row r="42" spans="1:12" x14ac:dyDescent="0.25">
      <c r="A42" s="57" t="s">
        <v>3592</v>
      </c>
      <c r="F42">
        <v>43</v>
      </c>
      <c r="G42" t="s">
        <v>814</v>
      </c>
      <c r="H42">
        <v>40</v>
      </c>
      <c r="I42">
        <v>105</v>
      </c>
      <c r="J42">
        <f t="shared" si="1"/>
        <v>145</v>
      </c>
      <c r="K42">
        <v>72.41</v>
      </c>
      <c r="L42">
        <v>9</v>
      </c>
    </row>
    <row r="43" spans="1:12" x14ac:dyDescent="0.25">
      <c r="A43" s="57" t="s">
        <v>3593</v>
      </c>
      <c r="F43">
        <v>48</v>
      </c>
      <c r="G43" t="s">
        <v>814</v>
      </c>
      <c r="H43">
        <v>34</v>
      </c>
      <c r="I43">
        <v>111</v>
      </c>
      <c r="J43">
        <f t="shared" si="1"/>
        <v>145</v>
      </c>
      <c r="K43">
        <v>76.55</v>
      </c>
      <c r="L43">
        <v>10</v>
      </c>
    </row>
    <row r="44" spans="1:12" x14ac:dyDescent="0.25">
      <c r="A44" s="57" t="s">
        <v>3594</v>
      </c>
      <c r="F44">
        <v>53</v>
      </c>
      <c r="G44" t="s">
        <v>814</v>
      </c>
      <c r="H44">
        <v>32</v>
      </c>
      <c r="I44">
        <v>113</v>
      </c>
      <c r="J44">
        <f t="shared" si="1"/>
        <v>145</v>
      </c>
      <c r="K44">
        <v>77.930000000000007</v>
      </c>
      <c r="L44">
        <v>11</v>
      </c>
    </row>
    <row r="45" spans="1:12" x14ac:dyDescent="0.25">
      <c r="A45" s="57" t="s">
        <v>3595</v>
      </c>
      <c r="F45">
        <v>58</v>
      </c>
      <c r="G45" t="s">
        <v>814</v>
      </c>
      <c r="H45">
        <v>22</v>
      </c>
      <c r="I45">
        <v>123</v>
      </c>
      <c r="J45">
        <f t="shared" si="1"/>
        <v>145</v>
      </c>
      <c r="K45">
        <v>84.83</v>
      </c>
      <c r="L45">
        <v>12</v>
      </c>
    </row>
    <row r="46" spans="1:12" x14ac:dyDescent="0.25">
      <c r="A46" s="57" t="s">
        <v>3596</v>
      </c>
      <c r="F46">
        <v>63</v>
      </c>
      <c r="G46" t="s">
        <v>814</v>
      </c>
      <c r="H46">
        <v>46</v>
      </c>
      <c r="I46">
        <v>99</v>
      </c>
      <c r="J46">
        <f t="shared" si="1"/>
        <v>145</v>
      </c>
      <c r="K46">
        <v>68.28</v>
      </c>
      <c r="L46">
        <v>13</v>
      </c>
    </row>
    <row r="47" spans="1:12" x14ac:dyDescent="0.25">
      <c r="A47" s="57" t="s">
        <v>3597</v>
      </c>
      <c r="F47">
        <v>68</v>
      </c>
      <c r="G47" t="s">
        <v>814</v>
      </c>
      <c r="H47">
        <v>46</v>
      </c>
      <c r="I47">
        <v>99</v>
      </c>
      <c r="J47">
        <f t="shared" si="1"/>
        <v>145</v>
      </c>
      <c r="K47">
        <v>68.28</v>
      </c>
      <c r="L47">
        <v>14</v>
      </c>
    </row>
    <row r="48" spans="1:12" x14ac:dyDescent="0.25">
      <c r="A48" s="57" t="s">
        <v>3598</v>
      </c>
      <c r="F48">
        <v>73</v>
      </c>
      <c r="G48" t="s">
        <v>814</v>
      </c>
      <c r="H48">
        <v>33</v>
      </c>
      <c r="I48">
        <v>112</v>
      </c>
      <c r="J48">
        <f t="shared" si="1"/>
        <v>145</v>
      </c>
      <c r="K48">
        <v>77.239999999999995</v>
      </c>
      <c r="L48">
        <v>15</v>
      </c>
    </row>
    <row r="49" spans="1:12" x14ac:dyDescent="0.25">
      <c r="A49" s="57" t="s">
        <v>3599</v>
      </c>
      <c r="F49">
        <v>78</v>
      </c>
      <c r="G49" t="s">
        <v>814</v>
      </c>
      <c r="H49">
        <v>49</v>
      </c>
      <c r="I49">
        <v>96</v>
      </c>
      <c r="J49">
        <f t="shared" si="1"/>
        <v>145</v>
      </c>
      <c r="K49">
        <v>66.209999999999994</v>
      </c>
      <c r="L49">
        <v>16</v>
      </c>
    </row>
    <row r="50" spans="1:12" x14ac:dyDescent="0.25">
      <c r="A50" s="57" t="s">
        <v>3600</v>
      </c>
      <c r="F50">
        <v>4</v>
      </c>
      <c r="G50" t="s">
        <v>811</v>
      </c>
      <c r="H50">
        <v>29</v>
      </c>
      <c r="I50">
        <v>174</v>
      </c>
      <c r="J50">
        <f t="shared" si="1"/>
        <v>203</v>
      </c>
      <c r="K50">
        <v>85.71</v>
      </c>
      <c r="L50">
        <v>1</v>
      </c>
    </row>
    <row r="51" spans="1:12" x14ac:dyDescent="0.25">
      <c r="A51" s="57" t="s">
        <v>3601</v>
      </c>
      <c r="F51">
        <v>9</v>
      </c>
      <c r="G51" t="s">
        <v>811</v>
      </c>
      <c r="H51">
        <v>36</v>
      </c>
      <c r="I51">
        <v>167</v>
      </c>
      <c r="J51">
        <f t="shared" si="1"/>
        <v>203</v>
      </c>
      <c r="K51">
        <v>82.27</v>
      </c>
      <c r="L51">
        <v>2</v>
      </c>
    </row>
    <row r="52" spans="1:12" x14ac:dyDescent="0.25">
      <c r="A52" s="57" t="s">
        <v>3602</v>
      </c>
      <c r="F52">
        <v>14</v>
      </c>
      <c r="G52" t="s">
        <v>811</v>
      </c>
      <c r="H52">
        <v>58</v>
      </c>
      <c r="I52">
        <v>145</v>
      </c>
      <c r="J52">
        <f t="shared" si="1"/>
        <v>203</v>
      </c>
      <c r="K52">
        <v>71.430000000000007</v>
      </c>
      <c r="L52">
        <v>3</v>
      </c>
    </row>
    <row r="53" spans="1:12" x14ac:dyDescent="0.25">
      <c r="A53" s="57" t="s">
        <v>3603</v>
      </c>
      <c r="F53">
        <v>19</v>
      </c>
      <c r="G53" t="s">
        <v>811</v>
      </c>
      <c r="H53">
        <v>60</v>
      </c>
      <c r="I53">
        <v>143</v>
      </c>
      <c r="J53">
        <f t="shared" si="1"/>
        <v>203</v>
      </c>
      <c r="K53">
        <v>70.44</v>
      </c>
      <c r="L53">
        <v>4</v>
      </c>
    </row>
    <row r="54" spans="1:12" x14ac:dyDescent="0.25">
      <c r="A54" s="57" t="s">
        <v>3604</v>
      </c>
      <c r="F54">
        <v>24</v>
      </c>
      <c r="G54" t="s">
        <v>811</v>
      </c>
      <c r="H54">
        <v>32</v>
      </c>
      <c r="I54">
        <v>171</v>
      </c>
      <c r="J54">
        <f t="shared" si="1"/>
        <v>203</v>
      </c>
      <c r="K54">
        <v>84.24</v>
      </c>
      <c r="L54">
        <v>5</v>
      </c>
    </row>
    <row r="55" spans="1:12" x14ac:dyDescent="0.25">
      <c r="A55" s="57" t="s">
        <v>3605</v>
      </c>
      <c r="F55">
        <v>29</v>
      </c>
      <c r="G55" t="s">
        <v>811</v>
      </c>
      <c r="H55">
        <v>29</v>
      </c>
      <c r="I55">
        <v>174</v>
      </c>
      <c r="J55">
        <f t="shared" si="1"/>
        <v>203</v>
      </c>
      <c r="K55">
        <v>85.71</v>
      </c>
      <c r="L55">
        <v>6</v>
      </c>
    </row>
    <row r="56" spans="1:12" x14ac:dyDescent="0.25">
      <c r="A56" s="57" t="s">
        <v>3606</v>
      </c>
      <c r="F56">
        <v>34</v>
      </c>
      <c r="G56" t="s">
        <v>811</v>
      </c>
      <c r="H56">
        <v>56</v>
      </c>
      <c r="I56">
        <v>147</v>
      </c>
      <c r="J56">
        <f t="shared" si="1"/>
        <v>203</v>
      </c>
      <c r="K56">
        <v>72.41</v>
      </c>
      <c r="L56">
        <v>7</v>
      </c>
    </row>
    <row r="57" spans="1:12" x14ac:dyDescent="0.25">
      <c r="A57" s="57" t="s">
        <v>3607</v>
      </c>
      <c r="F57">
        <v>39</v>
      </c>
      <c r="G57" t="s">
        <v>811</v>
      </c>
      <c r="H57">
        <v>37</v>
      </c>
      <c r="I57">
        <v>166</v>
      </c>
      <c r="J57">
        <f t="shared" si="1"/>
        <v>203</v>
      </c>
      <c r="K57">
        <v>81.77</v>
      </c>
      <c r="L57">
        <v>8</v>
      </c>
    </row>
    <row r="58" spans="1:12" x14ac:dyDescent="0.25">
      <c r="A58" s="57" t="s">
        <v>3608</v>
      </c>
      <c r="F58">
        <v>44</v>
      </c>
      <c r="G58" t="s">
        <v>811</v>
      </c>
      <c r="H58">
        <v>45</v>
      </c>
      <c r="I58">
        <v>158</v>
      </c>
      <c r="J58">
        <f t="shared" si="1"/>
        <v>203</v>
      </c>
      <c r="K58">
        <v>77.83</v>
      </c>
      <c r="L58">
        <v>9</v>
      </c>
    </row>
    <row r="59" spans="1:12" x14ac:dyDescent="0.25">
      <c r="A59" s="57" t="s">
        <v>3609</v>
      </c>
      <c r="F59">
        <v>49</v>
      </c>
      <c r="G59" t="s">
        <v>811</v>
      </c>
      <c r="H59">
        <v>32</v>
      </c>
      <c r="I59">
        <v>171</v>
      </c>
      <c r="J59">
        <f t="shared" si="1"/>
        <v>203</v>
      </c>
      <c r="K59">
        <v>84.24</v>
      </c>
      <c r="L59">
        <v>10</v>
      </c>
    </row>
    <row r="60" spans="1:12" x14ac:dyDescent="0.25">
      <c r="A60" s="57" t="s">
        <v>3610</v>
      </c>
      <c r="F60">
        <v>54</v>
      </c>
      <c r="G60" t="s">
        <v>811</v>
      </c>
      <c r="H60">
        <v>24</v>
      </c>
      <c r="I60">
        <v>179</v>
      </c>
      <c r="J60">
        <f t="shared" si="1"/>
        <v>203</v>
      </c>
      <c r="K60">
        <v>88.18</v>
      </c>
      <c r="L60">
        <v>11</v>
      </c>
    </row>
    <row r="61" spans="1:12" x14ac:dyDescent="0.25">
      <c r="A61" s="57" t="s">
        <v>3611</v>
      </c>
      <c r="F61">
        <v>59</v>
      </c>
      <c r="G61" t="s">
        <v>811</v>
      </c>
      <c r="H61">
        <v>11</v>
      </c>
      <c r="I61">
        <v>192</v>
      </c>
      <c r="J61">
        <f t="shared" si="1"/>
        <v>203</v>
      </c>
      <c r="K61">
        <v>94.58</v>
      </c>
      <c r="L61">
        <v>12</v>
      </c>
    </row>
    <row r="62" spans="1:12" x14ac:dyDescent="0.25">
      <c r="A62" s="57" t="s">
        <v>3612</v>
      </c>
      <c r="F62">
        <v>64</v>
      </c>
      <c r="G62" t="s">
        <v>811</v>
      </c>
      <c r="H62">
        <v>51</v>
      </c>
      <c r="I62">
        <v>152</v>
      </c>
      <c r="J62">
        <f t="shared" si="1"/>
        <v>203</v>
      </c>
      <c r="K62">
        <v>74.88</v>
      </c>
      <c r="L62">
        <v>13</v>
      </c>
    </row>
    <row r="63" spans="1:12" x14ac:dyDescent="0.25">
      <c r="A63" s="57" t="s">
        <v>3613</v>
      </c>
      <c r="F63">
        <v>69</v>
      </c>
      <c r="G63" t="s">
        <v>811</v>
      </c>
      <c r="H63">
        <v>41</v>
      </c>
      <c r="I63">
        <v>162</v>
      </c>
      <c r="J63">
        <f t="shared" si="1"/>
        <v>203</v>
      </c>
      <c r="K63">
        <v>79.8</v>
      </c>
      <c r="L63">
        <v>14</v>
      </c>
    </row>
    <row r="64" spans="1:12" x14ac:dyDescent="0.25">
      <c r="A64" s="57" t="s">
        <v>3614</v>
      </c>
      <c r="F64">
        <v>74</v>
      </c>
      <c r="G64" t="s">
        <v>811</v>
      </c>
      <c r="H64">
        <v>33</v>
      </c>
      <c r="I64">
        <v>170</v>
      </c>
      <c r="J64">
        <f t="shared" si="1"/>
        <v>203</v>
      </c>
      <c r="K64">
        <v>83.74</v>
      </c>
      <c r="L64">
        <v>15</v>
      </c>
    </row>
    <row r="65" spans="1:12" x14ac:dyDescent="0.25">
      <c r="A65" s="57" t="s">
        <v>3615</v>
      </c>
      <c r="F65">
        <v>79</v>
      </c>
      <c r="G65" t="s">
        <v>811</v>
      </c>
      <c r="H65">
        <v>71</v>
      </c>
      <c r="I65">
        <v>132</v>
      </c>
      <c r="J65">
        <f t="shared" si="1"/>
        <v>203</v>
      </c>
      <c r="K65">
        <v>65.02</v>
      </c>
      <c r="L65">
        <v>16</v>
      </c>
    </row>
    <row r="66" spans="1:12" x14ac:dyDescent="0.25">
      <c r="A66" s="57" t="s">
        <v>3616</v>
      </c>
      <c r="F66">
        <v>5</v>
      </c>
      <c r="G66" t="s">
        <v>823</v>
      </c>
      <c r="H66">
        <v>32</v>
      </c>
      <c r="I66">
        <v>184</v>
      </c>
      <c r="J66">
        <f t="shared" ref="J66:J97" si="2">SUM(H66:I66)</f>
        <v>216</v>
      </c>
      <c r="K66">
        <v>85.19</v>
      </c>
      <c r="L66">
        <v>1</v>
      </c>
    </row>
    <row r="67" spans="1:12" x14ac:dyDescent="0.25">
      <c r="A67" s="57" t="s">
        <v>3617</v>
      </c>
      <c r="F67">
        <v>10</v>
      </c>
      <c r="G67" t="s">
        <v>823</v>
      </c>
      <c r="H67">
        <v>30</v>
      </c>
      <c r="I67">
        <v>186</v>
      </c>
      <c r="J67">
        <f t="shared" si="2"/>
        <v>216</v>
      </c>
      <c r="K67">
        <v>86.11</v>
      </c>
      <c r="L67">
        <v>2</v>
      </c>
    </row>
    <row r="68" spans="1:12" x14ac:dyDescent="0.25">
      <c r="A68" s="57" t="s">
        <v>3618</v>
      </c>
      <c r="F68">
        <v>15</v>
      </c>
      <c r="G68" t="s">
        <v>823</v>
      </c>
      <c r="H68">
        <v>49</v>
      </c>
      <c r="I68">
        <v>167</v>
      </c>
      <c r="J68">
        <f t="shared" si="2"/>
        <v>216</v>
      </c>
      <c r="K68">
        <v>77.31</v>
      </c>
      <c r="L68">
        <v>3</v>
      </c>
    </row>
    <row r="69" spans="1:12" x14ac:dyDescent="0.25">
      <c r="A69" s="57" t="s">
        <v>3619</v>
      </c>
      <c r="F69">
        <v>20</v>
      </c>
      <c r="G69" t="s">
        <v>823</v>
      </c>
      <c r="H69">
        <v>48</v>
      </c>
      <c r="I69">
        <v>168</v>
      </c>
      <c r="J69">
        <f t="shared" si="2"/>
        <v>216</v>
      </c>
      <c r="K69">
        <v>77.78</v>
      </c>
      <c r="L69">
        <v>4</v>
      </c>
    </row>
    <row r="70" spans="1:12" x14ac:dyDescent="0.25">
      <c r="A70" s="57" t="s">
        <v>3620</v>
      </c>
      <c r="F70">
        <v>25</v>
      </c>
      <c r="G70" t="s">
        <v>823</v>
      </c>
      <c r="H70">
        <v>40</v>
      </c>
      <c r="I70">
        <v>176</v>
      </c>
      <c r="J70">
        <f t="shared" si="2"/>
        <v>216</v>
      </c>
      <c r="K70">
        <v>81.48</v>
      </c>
      <c r="L70">
        <v>5</v>
      </c>
    </row>
    <row r="71" spans="1:12" x14ac:dyDescent="0.25">
      <c r="A71" s="57" t="s">
        <v>3621</v>
      </c>
      <c r="F71">
        <v>30</v>
      </c>
      <c r="G71" t="s">
        <v>823</v>
      </c>
      <c r="H71">
        <v>26</v>
      </c>
      <c r="I71">
        <v>190</v>
      </c>
      <c r="J71">
        <f t="shared" si="2"/>
        <v>216</v>
      </c>
      <c r="K71">
        <v>87.96</v>
      </c>
      <c r="L71">
        <v>6</v>
      </c>
    </row>
    <row r="72" spans="1:12" x14ac:dyDescent="0.25">
      <c r="A72" s="57" t="s">
        <v>3622</v>
      </c>
      <c r="F72">
        <v>35</v>
      </c>
      <c r="G72" t="s">
        <v>823</v>
      </c>
      <c r="H72">
        <v>54</v>
      </c>
      <c r="I72">
        <v>162</v>
      </c>
      <c r="J72">
        <f t="shared" si="2"/>
        <v>216</v>
      </c>
      <c r="K72">
        <v>75</v>
      </c>
      <c r="L72">
        <v>7</v>
      </c>
    </row>
    <row r="73" spans="1:12" x14ac:dyDescent="0.25">
      <c r="A73" s="57" t="s">
        <v>3623</v>
      </c>
      <c r="F73">
        <v>40</v>
      </c>
      <c r="G73" t="s">
        <v>823</v>
      </c>
      <c r="H73">
        <v>34</v>
      </c>
      <c r="I73">
        <v>182</v>
      </c>
      <c r="J73">
        <f t="shared" si="2"/>
        <v>216</v>
      </c>
      <c r="K73">
        <v>84.26</v>
      </c>
      <c r="L73">
        <v>8</v>
      </c>
    </row>
    <row r="74" spans="1:12" x14ac:dyDescent="0.25">
      <c r="A74" s="57" t="s">
        <v>3624</v>
      </c>
      <c r="F74">
        <v>45</v>
      </c>
      <c r="G74" t="s">
        <v>823</v>
      </c>
      <c r="H74">
        <v>26</v>
      </c>
      <c r="I74">
        <v>190</v>
      </c>
      <c r="J74">
        <f t="shared" si="2"/>
        <v>216</v>
      </c>
      <c r="K74">
        <v>87.96</v>
      </c>
      <c r="L74">
        <v>9</v>
      </c>
    </row>
    <row r="75" spans="1:12" x14ac:dyDescent="0.25">
      <c r="A75" s="57" t="s">
        <v>3625</v>
      </c>
      <c r="F75">
        <v>50</v>
      </c>
      <c r="G75" t="s">
        <v>823</v>
      </c>
      <c r="H75">
        <v>20</v>
      </c>
      <c r="I75">
        <v>196</v>
      </c>
      <c r="J75">
        <f t="shared" si="2"/>
        <v>216</v>
      </c>
      <c r="K75">
        <v>90.74</v>
      </c>
      <c r="L75">
        <v>10</v>
      </c>
    </row>
    <row r="76" spans="1:12" x14ac:dyDescent="0.25">
      <c r="A76" s="57" t="s">
        <v>3626</v>
      </c>
      <c r="F76">
        <v>55</v>
      </c>
      <c r="G76" t="s">
        <v>823</v>
      </c>
      <c r="H76">
        <v>17</v>
      </c>
      <c r="I76">
        <v>199</v>
      </c>
      <c r="J76">
        <f t="shared" si="2"/>
        <v>216</v>
      </c>
      <c r="K76">
        <v>92.13</v>
      </c>
      <c r="L76">
        <v>11</v>
      </c>
    </row>
    <row r="77" spans="1:12" x14ac:dyDescent="0.25">
      <c r="A77" s="57" t="s">
        <v>3627</v>
      </c>
      <c r="F77">
        <v>60</v>
      </c>
      <c r="G77" t="s">
        <v>823</v>
      </c>
      <c r="H77">
        <v>18</v>
      </c>
      <c r="I77">
        <v>198</v>
      </c>
      <c r="J77">
        <f t="shared" si="2"/>
        <v>216</v>
      </c>
      <c r="K77">
        <v>91.67</v>
      </c>
      <c r="L77">
        <v>12</v>
      </c>
    </row>
    <row r="78" spans="1:12" x14ac:dyDescent="0.25">
      <c r="A78" s="57" t="s">
        <v>3628</v>
      </c>
      <c r="F78">
        <v>65</v>
      </c>
      <c r="G78" t="s">
        <v>823</v>
      </c>
      <c r="H78">
        <v>56</v>
      </c>
      <c r="I78">
        <v>160</v>
      </c>
      <c r="J78">
        <f t="shared" si="2"/>
        <v>216</v>
      </c>
      <c r="K78">
        <v>74.069999999999993</v>
      </c>
      <c r="L78">
        <v>13</v>
      </c>
    </row>
    <row r="79" spans="1:12" x14ac:dyDescent="0.25">
      <c r="A79" s="57" t="s">
        <v>3629</v>
      </c>
      <c r="F79">
        <v>70</v>
      </c>
      <c r="G79" t="s">
        <v>823</v>
      </c>
      <c r="H79">
        <v>42</v>
      </c>
      <c r="I79">
        <v>174</v>
      </c>
      <c r="J79">
        <f t="shared" si="2"/>
        <v>216</v>
      </c>
      <c r="K79">
        <v>80.56</v>
      </c>
      <c r="L79">
        <v>14</v>
      </c>
    </row>
    <row r="80" spans="1:12" x14ac:dyDescent="0.25">
      <c r="A80" s="57" t="s">
        <v>3630</v>
      </c>
      <c r="F80">
        <v>75</v>
      </c>
      <c r="G80" t="s">
        <v>823</v>
      </c>
      <c r="H80">
        <v>29</v>
      </c>
      <c r="I80">
        <v>187</v>
      </c>
      <c r="J80">
        <f t="shared" si="2"/>
        <v>216</v>
      </c>
      <c r="K80">
        <v>86.57</v>
      </c>
      <c r="L80">
        <v>15</v>
      </c>
    </row>
    <row r="81" spans="1:12" x14ac:dyDescent="0.25">
      <c r="A81" s="57" t="s">
        <v>3631</v>
      </c>
      <c r="F81">
        <v>80</v>
      </c>
      <c r="G81" t="s">
        <v>823</v>
      </c>
      <c r="H81">
        <v>63</v>
      </c>
      <c r="I81">
        <v>153</v>
      </c>
      <c r="J81">
        <f t="shared" si="2"/>
        <v>216</v>
      </c>
      <c r="K81">
        <v>70.83</v>
      </c>
      <c r="L81">
        <v>16</v>
      </c>
    </row>
  </sheetData>
  <autoFilter ref="F1:L81">
    <sortState ref="F2:L81">
      <sortCondition ref="G1:G81"/>
    </sortState>
  </autoFilter>
  <pageMargins left="0.7" right="0.7" top="0.75" bottom="0.75" header="0.3" footer="0.3"/>
  <pageSetup paperSize="9" orientation="portrait" r:id="rId1"/>
  <customProperties>
    <customPr name="Gui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1"/>
  <sheetViews>
    <sheetView showGridLines="0" topLeftCell="R1" workbookViewId="0">
      <selection activeCell="BF16" sqref="BF16"/>
    </sheetView>
  </sheetViews>
  <sheetFormatPr defaultRowHeight="11.25" outlineLevelCol="1" x14ac:dyDescent="0.2"/>
  <cols>
    <col min="1" max="8" width="9.140625" style="47"/>
    <col min="9" max="9" width="12" style="47" bestFit="1" customWidth="1"/>
    <col min="10" max="10" width="17.28515625" style="47" bestFit="1" customWidth="1"/>
    <col min="11" max="11" width="13.28515625" style="47" bestFit="1" customWidth="1"/>
    <col min="12" max="14" width="9.140625" style="47"/>
    <col min="15" max="16" width="9.140625" style="51"/>
    <col min="17" max="17" width="17.5703125" style="51" bestFit="1" customWidth="1"/>
    <col min="18" max="18" width="14.140625" style="51" bestFit="1" customWidth="1"/>
    <col min="19" max="19" width="9.140625" style="47" hidden="1" customWidth="1" outlineLevel="1"/>
    <col min="20" max="24" width="14.7109375" style="47" hidden="1" customWidth="1" outlineLevel="1"/>
    <col min="25" max="25" width="11.28515625" style="47" customWidth="1" collapsed="1"/>
    <col min="26" max="26" width="9.140625" style="47" hidden="1" customWidth="1" outlineLevel="1"/>
    <col min="27" max="31" width="14.7109375" style="47" hidden="1" customWidth="1" outlineLevel="1"/>
    <col min="32" max="32" width="9.140625" style="47" collapsed="1"/>
    <col min="33" max="33" width="9.140625" style="47" hidden="1" customWidth="1" outlineLevel="1"/>
    <col min="34" max="38" width="14.7109375" style="47" hidden="1" customWidth="1" outlineLevel="1"/>
    <col min="39" max="39" width="9.140625" style="47" collapsed="1"/>
    <col min="40" max="40" width="9.140625" style="47" hidden="1" customWidth="1" outlineLevel="1"/>
    <col min="41" max="45" width="14.7109375" style="47" hidden="1" customWidth="1" outlineLevel="1"/>
    <col min="46" max="46" width="9.140625" style="47" collapsed="1"/>
    <col min="47" max="47" width="10.5703125" style="47" hidden="1" customWidth="1" outlineLevel="1"/>
    <col min="48" max="52" width="14.7109375" style="47" hidden="1" customWidth="1" outlineLevel="1"/>
    <col min="53" max="53" width="9.140625" style="47" collapsed="1"/>
    <col min="54" max="54" width="10.5703125" style="47" customWidth="1"/>
    <col min="55" max="59" width="14.7109375" style="47" customWidth="1"/>
    <col min="60" max="16384" width="9.140625" style="47"/>
  </cols>
  <sheetData>
    <row r="1" spans="1:59" x14ac:dyDescent="0.2">
      <c r="S1" s="47" t="s">
        <v>3641</v>
      </c>
      <c r="T1" s="50">
        <f>SUM(T4:T21)</f>
        <v>72.100000000000009</v>
      </c>
      <c r="U1" s="50">
        <f t="shared" ref="U1:X1" si="0">SUM(U4:U21)</f>
        <v>34.47</v>
      </c>
      <c r="V1" s="50">
        <f t="shared" si="0"/>
        <v>66.36999999999999</v>
      </c>
      <c r="W1" s="50">
        <f t="shared" si="0"/>
        <v>28.27</v>
      </c>
      <c r="X1" s="50">
        <f t="shared" si="0"/>
        <v>9.5399999999999991</v>
      </c>
      <c r="Z1" s="47" t="s">
        <v>3641</v>
      </c>
      <c r="AA1" s="50">
        <f>SUM(AA4:AA21)</f>
        <v>90.429999999999993</v>
      </c>
      <c r="AB1" s="50">
        <f t="shared" ref="AB1:AE1" si="1">SUM(AB4:AB21)</f>
        <v>62.95</v>
      </c>
      <c r="AC1" s="50">
        <f t="shared" si="1"/>
        <v>62.13</v>
      </c>
      <c r="AD1" s="50">
        <f t="shared" si="1"/>
        <v>62.379999999999995</v>
      </c>
      <c r="AE1" s="50">
        <f t="shared" si="1"/>
        <v>3.79</v>
      </c>
      <c r="AG1" s="47" t="s">
        <v>3641</v>
      </c>
      <c r="AH1" s="50">
        <f>SUM(AH4:AH21)</f>
        <v>83.2</v>
      </c>
      <c r="AI1" s="50">
        <f t="shared" ref="AI1:AL1" si="2">SUM(AI4:AI21)</f>
        <v>78.320000000000007</v>
      </c>
      <c r="AJ1" s="50">
        <f t="shared" si="2"/>
        <v>63.75</v>
      </c>
      <c r="AK1" s="50">
        <f t="shared" si="2"/>
        <v>41.419999999999995</v>
      </c>
      <c r="AL1" s="50">
        <f t="shared" si="2"/>
        <v>21.17</v>
      </c>
      <c r="AN1" s="47" t="s">
        <v>3641</v>
      </c>
      <c r="AO1" s="50">
        <f>SUM(AO4:AO21)</f>
        <v>57.569999999999993</v>
      </c>
      <c r="AP1" s="50">
        <f t="shared" ref="AP1:AS1" si="3">SUM(AP4:AP21)</f>
        <v>90.59</v>
      </c>
      <c r="AQ1" s="50">
        <f t="shared" si="3"/>
        <v>45.8</v>
      </c>
      <c r="AR1" s="50">
        <f t="shared" si="3"/>
        <v>44.72</v>
      </c>
      <c r="AS1" s="50">
        <f t="shared" si="3"/>
        <v>10.669999999999998</v>
      </c>
      <c r="AU1" s="47" t="s">
        <v>3641</v>
      </c>
      <c r="AV1" s="50">
        <f>SUM(AV4:AV21)</f>
        <v>85.53</v>
      </c>
      <c r="AW1" s="50">
        <f t="shared" ref="AW1:AZ1" si="4">SUM(AW4:AW21)</f>
        <v>24.06</v>
      </c>
      <c r="AX1" s="50">
        <f t="shared" si="4"/>
        <v>52.86</v>
      </c>
      <c r="AY1" s="50">
        <f t="shared" si="4"/>
        <v>74.22</v>
      </c>
      <c r="AZ1" s="50">
        <f t="shared" si="4"/>
        <v>23.82</v>
      </c>
      <c r="BB1" s="47" t="s">
        <v>3641</v>
      </c>
      <c r="BC1" s="50">
        <f>SUM(BC4:BC21)</f>
        <v>83.18</v>
      </c>
      <c r="BD1" s="50">
        <f t="shared" ref="BD1:BG1" si="5">SUM(BD4:BD21)</f>
        <v>53.760000000000005</v>
      </c>
      <c r="BE1" s="50">
        <f t="shared" si="5"/>
        <v>41.17</v>
      </c>
      <c r="BF1" s="50">
        <f t="shared" si="5"/>
        <v>134.61000000000001</v>
      </c>
      <c r="BG1" s="50">
        <f t="shared" si="5"/>
        <v>34.39</v>
      </c>
    </row>
    <row r="2" spans="1:59" x14ac:dyDescent="0.2">
      <c r="S2" s="47" t="s">
        <v>8</v>
      </c>
      <c r="T2" s="50">
        <f>AVERAGE(T4:T21)</f>
        <v>24.033333333333335</v>
      </c>
      <c r="U2" s="50">
        <f t="shared" ref="U2:X2" si="6">AVERAGE(U4:U21)</f>
        <v>8.6174999999999997</v>
      </c>
      <c r="V2" s="50">
        <f t="shared" si="6"/>
        <v>16.592499999999998</v>
      </c>
      <c r="W2" s="50">
        <f t="shared" si="6"/>
        <v>7.0674999999999999</v>
      </c>
      <c r="X2" s="50">
        <f t="shared" si="6"/>
        <v>3.1799999999999997</v>
      </c>
      <c r="Z2" s="47" t="s">
        <v>8</v>
      </c>
      <c r="AA2" s="50">
        <f>AVERAGE(AA4:AA21)</f>
        <v>30.143333333333331</v>
      </c>
      <c r="AB2" s="50">
        <f t="shared" ref="AB2:AE2" si="7">AVERAGE(AB4:AB21)</f>
        <v>15.737500000000001</v>
      </c>
      <c r="AC2" s="50">
        <f t="shared" si="7"/>
        <v>15.532500000000001</v>
      </c>
      <c r="AD2" s="50">
        <f t="shared" si="7"/>
        <v>15.594999999999999</v>
      </c>
      <c r="AE2" s="50">
        <f t="shared" si="7"/>
        <v>1.2633333333333334</v>
      </c>
      <c r="AG2" s="47" t="s">
        <v>8</v>
      </c>
      <c r="AH2" s="50">
        <f>AVERAGE(AH4:AH21)</f>
        <v>27.733333333333334</v>
      </c>
      <c r="AI2" s="50">
        <f t="shared" ref="AI2:AL2" si="8">AVERAGE(AI4:AI21)</f>
        <v>19.580000000000002</v>
      </c>
      <c r="AJ2" s="50">
        <f t="shared" si="8"/>
        <v>15.9375</v>
      </c>
      <c r="AK2" s="50">
        <f t="shared" si="8"/>
        <v>10.354999999999999</v>
      </c>
      <c r="AL2" s="50">
        <f t="shared" si="8"/>
        <v>7.0566666666666675</v>
      </c>
      <c r="AN2" s="47" t="s">
        <v>8</v>
      </c>
      <c r="AO2" s="50">
        <f>AVERAGE(AO4:AO21)</f>
        <v>14.392499999999998</v>
      </c>
      <c r="AP2" s="50">
        <f t="shared" ref="AP2:AS2" si="9">AVERAGE(AP4:AP21)</f>
        <v>30.196666666666669</v>
      </c>
      <c r="AQ2" s="50">
        <f t="shared" si="9"/>
        <v>11.45</v>
      </c>
      <c r="AR2" s="50">
        <f t="shared" si="9"/>
        <v>11.18</v>
      </c>
      <c r="AS2" s="50">
        <f t="shared" si="9"/>
        <v>3.5566666666666662</v>
      </c>
      <c r="AU2" s="47" t="s">
        <v>8</v>
      </c>
      <c r="AV2" s="50">
        <f>AVERAGE(AV4:AV21)</f>
        <v>21.3825</v>
      </c>
      <c r="AW2" s="50">
        <f t="shared" ref="AW2:AZ2" si="10">AVERAGE(AW4:AW21)</f>
        <v>6.0149999999999997</v>
      </c>
      <c r="AX2" s="50">
        <f t="shared" si="10"/>
        <v>13.215</v>
      </c>
      <c r="AY2" s="50">
        <f t="shared" si="10"/>
        <v>24.74</v>
      </c>
      <c r="AZ2" s="50">
        <f t="shared" si="10"/>
        <v>7.94</v>
      </c>
      <c r="BB2" s="47" t="s">
        <v>8</v>
      </c>
      <c r="BC2" s="50">
        <f>AVERAGE(BC4:BC21)</f>
        <v>20.795000000000002</v>
      </c>
      <c r="BD2" s="50">
        <f t="shared" ref="BD2:BG2" si="11">AVERAGE(BD4:BD21)</f>
        <v>13.440000000000001</v>
      </c>
      <c r="BE2" s="50">
        <f t="shared" si="11"/>
        <v>10.2925</v>
      </c>
      <c r="BF2" s="50">
        <f t="shared" si="11"/>
        <v>44.870000000000005</v>
      </c>
      <c r="BG2" s="50">
        <f t="shared" si="11"/>
        <v>11.463333333333333</v>
      </c>
    </row>
    <row r="3" spans="1:59" ht="33.75" x14ac:dyDescent="0.2">
      <c r="A3" s="46" t="s">
        <v>3523</v>
      </c>
      <c r="J3" s="48" t="s">
        <v>3541</v>
      </c>
      <c r="K3" s="49" t="s">
        <v>3545</v>
      </c>
      <c r="O3" s="51" t="s">
        <v>94</v>
      </c>
      <c r="P3" s="51" t="s">
        <v>95</v>
      </c>
      <c r="Q3" s="51" t="s">
        <v>3541</v>
      </c>
      <c r="R3" s="51" t="s">
        <v>3634</v>
      </c>
      <c r="S3" s="58" t="s">
        <v>3642</v>
      </c>
      <c r="T3" s="61" t="s">
        <v>3635</v>
      </c>
      <c r="U3" s="62" t="s">
        <v>3636</v>
      </c>
      <c r="V3" s="63" t="s">
        <v>3637</v>
      </c>
      <c r="W3" s="64" t="s">
        <v>3638</v>
      </c>
      <c r="X3" s="65" t="s">
        <v>3639</v>
      </c>
      <c r="Z3" s="58" t="s">
        <v>3643</v>
      </c>
      <c r="AA3" s="61" t="s">
        <v>3635</v>
      </c>
      <c r="AB3" s="62" t="s">
        <v>3636</v>
      </c>
      <c r="AC3" s="63" t="s">
        <v>3637</v>
      </c>
      <c r="AD3" s="64" t="s">
        <v>3638</v>
      </c>
      <c r="AE3" s="65" t="s">
        <v>3639</v>
      </c>
      <c r="AG3" s="58" t="s">
        <v>3644</v>
      </c>
      <c r="AH3" s="61" t="s">
        <v>3635</v>
      </c>
      <c r="AI3" s="62" t="s">
        <v>3636</v>
      </c>
      <c r="AJ3" s="63" t="s">
        <v>3637</v>
      </c>
      <c r="AK3" s="64" t="s">
        <v>3638</v>
      </c>
      <c r="AL3" s="65" t="s">
        <v>3639</v>
      </c>
      <c r="AN3" s="58" t="s">
        <v>3645</v>
      </c>
      <c r="AO3" s="61" t="s">
        <v>3635</v>
      </c>
      <c r="AP3" s="62" t="s">
        <v>3636</v>
      </c>
      <c r="AQ3" s="63" t="s">
        <v>3637</v>
      </c>
      <c r="AR3" s="64" t="s">
        <v>3638</v>
      </c>
      <c r="AS3" s="65" t="s">
        <v>3639</v>
      </c>
      <c r="AU3" s="58" t="s">
        <v>3646</v>
      </c>
      <c r="AV3" s="61" t="s">
        <v>3635</v>
      </c>
      <c r="AW3" s="62" t="s">
        <v>3636</v>
      </c>
      <c r="AX3" s="63" t="s">
        <v>3637</v>
      </c>
      <c r="AY3" s="64" t="s">
        <v>3638</v>
      </c>
      <c r="AZ3" s="65" t="s">
        <v>3639</v>
      </c>
      <c r="BB3" s="58" t="s">
        <v>3665</v>
      </c>
      <c r="BC3" s="61" t="s">
        <v>3635</v>
      </c>
      <c r="BD3" s="62" t="s">
        <v>3636</v>
      </c>
      <c r="BE3" s="63" t="s">
        <v>3637</v>
      </c>
      <c r="BF3" s="64" t="s">
        <v>3638</v>
      </c>
      <c r="BG3" s="65" t="s">
        <v>3639</v>
      </c>
    </row>
    <row r="4" spans="1:59" x14ac:dyDescent="0.2">
      <c r="A4" s="46" t="s">
        <v>3524</v>
      </c>
      <c r="H4" s="47" t="s">
        <v>3546</v>
      </c>
      <c r="I4" s="47" t="s">
        <v>3481</v>
      </c>
      <c r="J4" s="50">
        <v>24.557417399999999</v>
      </c>
      <c r="K4" s="51" t="str">
        <f>IF(J4&lt;$J$22,"No influence",IF(J4&lt;$J$23,"Low influence",IF(J4&lt;$J$24,"Medium influence","High influence")))</f>
        <v>High influence</v>
      </c>
      <c r="N4" s="47" t="s">
        <v>3480</v>
      </c>
      <c r="O4" s="51">
        <v>10.78</v>
      </c>
      <c r="P4" s="51">
        <v>10.63</v>
      </c>
      <c r="Q4" s="51">
        <v>15.48</v>
      </c>
      <c r="R4" s="51">
        <v>5.1100000000000003</v>
      </c>
      <c r="S4" s="47" t="s">
        <v>3481</v>
      </c>
      <c r="T4" s="59">
        <v>33.700000000000003</v>
      </c>
      <c r="U4" s="60"/>
      <c r="V4" s="60"/>
      <c r="W4" s="60"/>
      <c r="X4" s="60"/>
      <c r="Z4" s="47" t="s">
        <v>3481</v>
      </c>
      <c r="AA4" s="51">
        <v>22.7</v>
      </c>
      <c r="AB4" s="60"/>
      <c r="AC4" s="60"/>
      <c r="AD4" s="60"/>
      <c r="AE4" s="60"/>
      <c r="AG4" s="47" t="s">
        <v>3480</v>
      </c>
      <c r="AH4" s="51">
        <v>21.98</v>
      </c>
      <c r="AI4" s="60"/>
      <c r="AJ4" s="60"/>
      <c r="AK4" s="60"/>
      <c r="AL4" s="60"/>
      <c r="AN4" s="47" t="s">
        <v>3480</v>
      </c>
      <c r="AO4" s="51">
        <v>22.13</v>
      </c>
      <c r="AP4" s="60"/>
      <c r="AQ4" s="60"/>
      <c r="AR4" s="60"/>
      <c r="AS4" s="60"/>
      <c r="AU4" s="47" t="s">
        <v>3480</v>
      </c>
      <c r="AV4" s="51">
        <v>11</v>
      </c>
      <c r="AW4" s="60"/>
      <c r="AX4" s="60"/>
      <c r="AY4" s="60"/>
      <c r="AZ4" s="60"/>
      <c r="BB4" s="47" t="s">
        <v>3480</v>
      </c>
      <c r="BC4" s="51">
        <v>15.48</v>
      </c>
      <c r="BD4" s="60"/>
      <c r="BE4" s="60"/>
      <c r="BF4" s="60"/>
      <c r="BG4" s="60"/>
    </row>
    <row r="5" spans="1:59" x14ac:dyDescent="0.2">
      <c r="A5" s="46" t="s">
        <v>3525</v>
      </c>
      <c r="H5" s="47" t="s">
        <v>3547</v>
      </c>
      <c r="I5" s="47" t="s">
        <v>3482</v>
      </c>
      <c r="J5" s="50">
        <v>15.6590556</v>
      </c>
      <c r="K5" s="51" t="str">
        <f t="shared" ref="K5:K20" si="12">IF(J5&lt;$J$22,"No influence",IF(J5&lt;$J$23,"Low influence",IF(J5&lt;$J$24,"Medium influence","High influence")))</f>
        <v>High influence</v>
      </c>
      <c r="N5" s="47" t="s">
        <v>3481</v>
      </c>
      <c r="O5" s="51">
        <v>12.47</v>
      </c>
      <c r="P5" s="51">
        <v>9.3699999999999992</v>
      </c>
      <c r="Q5" s="51">
        <v>15.94</v>
      </c>
      <c r="R5" s="51">
        <v>5.35</v>
      </c>
      <c r="S5" s="47" t="s">
        <v>3482</v>
      </c>
      <c r="T5" s="59">
        <v>21.12</v>
      </c>
      <c r="U5" s="60"/>
      <c r="V5" s="60"/>
      <c r="W5" s="60"/>
      <c r="X5" s="60"/>
      <c r="Z5" s="47" t="s">
        <v>3482</v>
      </c>
      <c r="AA5" s="51">
        <v>29.79</v>
      </c>
      <c r="AB5" s="60"/>
      <c r="AC5" s="60"/>
      <c r="AD5" s="60"/>
      <c r="AE5" s="60"/>
      <c r="AG5" s="47" t="s">
        <v>3481</v>
      </c>
      <c r="AH5" s="51">
        <v>19.940000000000001</v>
      </c>
      <c r="AI5" s="60"/>
      <c r="AJ5" s="60"/>
      <c r="AK5" s="60"/>
      <c r="AL5" s="60"/>
      <c r="AN5" s="47" t="s">
        <v>3481</v>
      </c>
      <c r="AO5" s="51">
        <v>8.69</v>
      </c>
      <c r="AP5" s="60"/>
      <c r="AQ5" s="60"/>
      <c r="AR5" s="60"/>
      <c r="AS5" s="60"/>
      <c r="AU5" s="47" t="s">
        <v>3481</v>
      </c>
      <c r="AV5" s="51">
        <v>38.85</v>
      </c>
      <c r="AW5" s="60"/>
      <c r="AX5" s="60"/>
      <c r="AY5" s="60"/>
      <c r="AZ5" s="60"/>
      <c r="BB5" s="47" t="s">
        <v>3481</v>
      </c>
      <c r="BC5" s="51">
        <v>15.94</v>
      </c>
      <c r="BD5" s="60"/>
      <c r="BE5" s="60"/>
      <c r="BF5" s="60"/>
      <c r="BG5" s="60"/>
    </row>
    <row r="6" spans="1:59" x14ac:dyDescent="0.2">
      <c r="A6" s="46" t="s">
        <v>3526</v>
      </c>
      <c r="H6" s="47" t="s">
        <v>3548</v>
      </c>
      <c r="I6" s="47" t="s">
        <v>3490</v>
      </c>
      <c r="J6" s="50">
        <v>14.7783035</v>
      </c>
      <c r="K6" s="51" t="str">
        <f t="shared" si="12"/>
        <v>High influence</v>
      </c>
      <c r="N6" s="47" t="s">
        <v>3482</v>
      </c>
      <c r="O6" s="51">
        <v>17.53</v>
      </c>
      <c r="P6" s="51">
        <v>23.18</v>
      </c>
      <c r="Q6" s="51">
        <v>30.06</v>
      </c>
      <c r="R6" s="51">
        <v>9.4700000000000006</v>
      </c>
      <c r="S6" s="47" t="s">
        <v>3483</v>
      </c>
      <c r="T6" s="59">
        <v>17.28</v>
      </c>
      <c r="U6" s="60"/>
      <c r="V6" s="60"/>
      <c r="W6" s="60"/>
      <c r="X6" s="60"/>
      <c r="Z6" s="47" t="s">
        <v>3483</v>
      </c>
      <c r="AA6" s="51">
        <v>37.94</v>
      </c>
      <c r="AB6" s="60"/>
      <c r="AC6" s="60"/>
      <c r="AD6" s="60"/>
      <c r="AE6" s="60"/>
      <c r="AG6" s="47" t="s">
        <v>3482</v>
      </c>
      <c r="AH6" s="51">
        <v>41.28</v>
      </c>
      <c r="AI6" s="60"/>
      <c r="AJ6" s="60"/>
      <c r="AK6" s="60"/>
      <c r="AL6" s="60"/>
      <c r="AN6" s="47" t="s">
        <v>3482</v>
      </c>
      <c r="AO6" s="51">
        <v>14.23</v>
      </c>
      <c r="AP6" s="60"/>
      <c r="AQ6" s="60"/>
      <c r="AR6" s="60"/>
      <c r="AS6" s="60"/>
      <c r="AU6" s="47" t="s">
        <v>3482</v>
      </c>
      <c r="AV6" s="51">
        <v>23.91</v>
      </c>
      <c r="AW6" s="60"/>
      <c r="AX6" s="60"/>
      <c r="AY6" s="60"/>
      <c r="AZ6" s="60"/>
      <c r="BB6" s="47" t="s">
        <v>3482</v>
      </c>
      <c r="BC6" s="51">
        <v>30.06</v>
      </c>
      <c r="BD6" s="60"/>
      <c r="BE6" s="60"/>
      <c r="BF6" s="60"/>
      <c r="BG6" s="60"/>
    </row>
    <row r="7" spans="1:59" x14ac:dyDescent="0.2">
      <c r="A7" s="46" t="s">
        <v>3527</v>
      </c>
      <c r="H7" s="47" t="s">
        <v>3549</v>
      </c>
      <c r="I7" s="47" t="s">
        <v>3484</v>
      </c>
      <c r="J7" s="50">
        <v>14.341033299999999</v>
      </c>
      <c r="K7" s="51" t="str">
        <f t="shared" si="12"/>
        <v>High influence</v>
      </c>
      <c r="N7" s="47" t="s">
        <v>3483</v>
      </c>
      <c r="O7" s="51">
        <v>17.28</v>
      </c>
      <c r="P7" s="51">
        <v>14.23</v>
      </c>
      <c r="Q7" s="51">
        <v>21.7</v>
      </c>
      <c r="R7" s="51">
        <v>13.05</v>
      </c>
      <c r="S7" s="47" t="s">
        <v>3484</v>
      </c>
      <c r="T7" s="60"/>
      <c r="U7" s="59">
        <v>21.33</v>
      </c>
      <c r="V7" s="60"/>
      <c r="W7" s="60"/>
      <c r="X7" s="60"/>
      <c r="Z7" s="47" t="s">
        <v>3484</v>
      </c>
      <c r="AA7" s="60"/>
      <c r="AB7" s="51">
        <v>16.2</v>
      </c>
      <c r="AC7" s="60"/>
      <c r="AD7" s="60"/>
      <c r="AE7" s="60"/>
      <c r="AG7" s="47" t="s">
        <v>3484</v>
      </c>
      <c r="AH7" s="60"/>
      <c r="AI7" s="51">
        <v>15.69</v>
      </c>
      <c r="AJ7" s="60"/>
      <c r="AK7" s="60"/>
      <c r="AL7" s="60"/>
      <c r="AN7" s="47" t="s">
        <v>3483</v>
      </c>
      <c r="AO7" s="51">
        <v>12.52</v>
      </c>
      <c r="AP7" s="51"/>
      <c r="AQ7" s="60"/>
      <c r="AR7" s="60"/>
      <c r="AS7" s="60"/>
      <c r="AU7" s="47" t="s">
        <v>3483</v>
      </c>
      <c r="AV7" s="51">
        <v>11.77</v>
      </c>
      <c r="AW7" s="51"/>
      <c r="AX7" s="60"/>
      <c r="AY7" s="60"/>
      <c r="AZ7" s="60"/>
      <c r="BB7" s="47" t="s">
        <v>3483</v>
      </c>
      <c r="BC7" s="51">
        <v>21.7</v>
      </c>
      <c r="BD7" s="51"/>
      <c r="BE7" s="60"/>
      <c r="BF7" s="60"/>
      <c r="BG7" s="60"/>
    </row>
    <row r="8" spans="1:59" x14ac:dyDescent="0.2">
      <c r="A8" s="46" t="s">
        <v>3528</v>
      </c>
      <c r="H8" s="47" t="s">
        <v>3550</v>
      </c>
      <c r="I8" s="47" t="s">
        <v>3483</v>
      </c>
      <c r="J8" s="50">
        <v>13.471463</v>
      </c>
      <c r="K8" s="51" t="str">
        <f t="shared" si="12"/>
        <v>High influence</v>
      </c>
      <c r="N8" s="47" t="s">
        <v>3484</v>
      </c>
      <c r="O8" s="51">
        <v>1.31</v>
      </c>
      <c r="P8" s="51">
        <v>13.12</v>
      </c>
      <c r="Q8" s="51">
        <v>13.59</v>
      </c>
      <c r="R8" s="51">
        <v>3.07</v>
      </c>
      <c r="S8" s="47" t="s">
        <v>3485</v>
      </c>
      <c r="T8" s="60"/>
      <c r="U8" s="59">
        <v>0.82</v>
      </c>
      <c r="V8" s="60"/>
      <c r="W8" s="60"/>
      <c r="X8" s="60"/>
      <c r="Z8" s="47" t="s">
        <v>3485</v>
      </c>
      <c r="AA8" s="60"/>
      <c r="AB8" s="51">
        <v>14.36</v>
      </c>
      <c r="AC8" s="60"/>
      <c r="AD8" s="60"/>
      <c r="AE8" s="60"/>
      <c r="AG8" s="47" t="s">
        <v>3485</v>
      </c>
      <c r="AH8" s="60"/>
      <c r="AI8" s="51">
        <v>12.88</v>
      </c>
      <c r="AJ8" s="60"/>
      <c r="AK8" s="60"/>
      <c r="AL8" s="60"/>
      <c r="AN8" s="47" t="s">
        <v>3485</v>
      </c>
      <c r="AO8" s="60"/>
      <c r="AP8" s="51">
        <v>17.47</v>
      </c>
      <c r="AQ8" s="60"/>
      <c r="AR8" s="60"/>
      <c r="AS8" s="60"/>
      <c r="AU8" s="47" t="s">
        <v>3484</v>
      </c>
      <c r="AV8" s="60"/>
      <c r="AW8" s="51">
        <v>8.32</v>
      </c>
      <c r="AX8" s="60"/>
      <c r="AY8" s="60"/>
      <c r="AZ8" s="60"/>
      <c r="BB8" s="47" t="s">
        <v>3484</v>
      </c>
      <c r="BC8" s="60"/>
      <c r="BD8" s="51">
        <v>13.59</v>
      </c>
      <c r="BE8" s="60"/>
      <c r="BF8" s="60"/>
      <c r="BG8" s="60"/>
    </row>
    <row r="9" spans="1:59" x14ac:dyDescent="0.2">
      <c r="A9" s="46" t="s">
        <v>3529</v>
      </c>
      <c r="I9" s="47" t="s">
        <v>3489</v>
      </c>
      <c r="J9" s="50">
        <v>12.250122599999999</v>
      </c>
      <c r="K9" s="51" t="str">
        <f t="shared" si="12"/>
        <v>Medium influence</v>
      </c>
      <c r="N9" s="47" t="s">
        <v>3485</v>
      </c>
      <c r="O9" s="51">
        <v>-0.26</v>
      </c>
      <c r="P9" s="51">
        <v>12.43</v>
      </c>
      <c r="Q9" s="51">
        <v>10.96</v>
      </c>
      <c r="R9" s="51">
        <v>2.96</v>
      </c>
      <c r="S9" s="47" t="s">
        <v>3486</v>
      </c>
      <c r="T9" s="60"/>
      <c r="U9" s="59">
        <v>10.15</v>
      </c>
      <c r="V9" s="60"/>
      <c r="W9" s="60"/>
      <c r="X9" s="60"/>
      <c r="Z9" s="47" t="s">
        <v>3486</v>
      </c>
      <c r="AA9" s="60"/>
      <c r="AB9" s="51">
        <v>14.38</v>
      </c>
      <c r="AC9" s="60"/>
      <c r="AD9" s="60"/>
      <c r="AE9" s="60"/>
      <c r="AG9" s="47" t="s">
        <v>3486</v>
      </c>
      <c r="AH9" s="60"/>
      <c r="AI9" s="51">
        <v>24.13</v>
      </c>
      <c r="AJ9" s="60"/>
      <c r="AK9" s="60"/>
      <c r="AL9" s="60"/>
      <c r="AN9" s="47" t="s">
        <v>3486</v>
      </c>
      <c r="AO9" s="60"/>
      <c r="AP9" s="51">
        <v>37.51</v>
      </c>
      <c r="AQ9" s="60"/>
      <c r="AR9" s="60"/>
      <c r="AS9" s="60"/>
      <c r="AU9" s="47" t="s">
        <v>3485</v>
      </c>
      <c r="AV9" s="60"/>
      <c r="AW9" s="51">
        <v>3.1</v>
      </c>
      <c r="AX9" s="60"/>
      <c r="AY9" s="60"/>
      <c r="AZ9" s="60"/>
      <c r="BB9" s="47" t="s">
        <v>3485</v>
      </c>
      <c r="BC9" s="60"/>
      <c r="BD9" s="51">
        <v>10.96</v>
      </c>
      <c r="BE9" s="60"/>
      <c r="BF9" s="60"/>
      <c r="BG9" s="60"/>
    </row>
    <row r="10" spans="1:59" x14ac:dyDescent="0.2">
      <c r="A10" s="46" t="s">
        <v>3530</v>
      </c>
      <c r="I10" s="47" t="s">
        <v>3488</v>
      </c>
      <c r="J10" s="50">
        <v>12.137682099999999</v>
      </c>
      <c r="K10" s="51" t="str">
        <f t="shared" si="12"/>
        <v>Medium influence</v>
      </c>
      <c r="N10" s="47" t="s">
        <v>3486</v>
      </c>
      <c r="O10" s="51">
        <v>5.13</v>
      </c>
      <c r="P10" s="51">
        <v>16.62</v>
      </c>
      <c r="Q10" s="51">
        <v>17.62</v>
      </c>
      <c r="R10" s="51">
        <v>6.72</v>
      </c>
      <c r="S10" s="47" t="s">
        <v>3487</v>
      </c>
      <c r="T10" s="60"/>
      <c r="U10" s="59">
        <v>2.17</v>
      </c>
      <c r="V10" s="60"/>
      <c r="W10" s="60"/>
      <c r="X10" s="60"/>
      <c r="Z10" s="47" t="s">
        <v>3487</v>
      </c>
      <c r="AA10" s="60"/>
      <c r="AB10" s="51">
        <v>18.010000000000002</v>
      </c>
      <c r="AC10" s="60"/>
      <c r="AD10" s="60"/>
      <c r="AE10" s="60"/>
      <c r="AG10" s="47" t="s">
        <v>3487</v>
      </c>
      <c r="AH10" s="60"/>
      <c r="AI10" s="51">
        <v>25.62</v>
      </c>
      <c r="AJ10" s="60"/>
      <c r="AK10" s="60"/>
      <c r="AL10" s="60"/>
      <c r="AN10" s="47" t="s">
        <v>3487</v>
      </c>
      <c r="AO10" s="60"/>
      <c r="AP10" s="51">
        <v>35.61</v>
      </c>
      <c r="AQ10" s="60"/>
      <c r="AR10" s="60"/>
      <c r="AS10" s="60"/>
      <c r="AU10" s="47" t="s">
        <v>3486</v>
      </c>
      <c r="AV10" s="60"/>
      <c r="AW10" s="51">
        <v>7.27</v>
      </c>
      <c r="AX10" s="60"/>
      <c r="AY10" s="60"/>
      <c r="AZ10" s="60"/>
      <c r="BB10" s="47" t="s">
        <v>3486</v>
      </c>
      <c r="BC10" s="60"/>
      <c r="BD10" s="51">
        <v>17.62</v>
      </c>
      <c r="BE10" s="60"/>
      <c r="BF10" s="60"/>
      <c r="BG10" s="60"/>
    </row>
    <row r="11" spans="1:59" x14ac:dyDescent="0.2">
      <c r="A11" s="46" t="s">
        <v>3531</v>
      </c>
      <c r="I11" s="47" t="s">
        <v>3493</v>
      </c>
      <c r="J11" s="50">
        <v>7.7680248000000001</v>
      </c>
      <c r="K11" s="51" t="str">
        <f t="shared" si="12"/>
        <v>Medium influence</v>
      </c>
      <c r="N11" s="47" t="s">
        <v>3487</v>
      </c>
      <c r="O11" s="51">
        <v>4.04</v>
      </c>
      <c r="P11" s="51">
        <v>9.84</v>
      </c>
      <c r="Q11" s="51">
        <v>11.59</v>
      </c>
      <c r="R11" s="51">
        <v>2.78</v>
      </c>
      <c r="S11" s="47" t="s">
        <v>3488</v>
      </c>
      <c r="T11" s="60"/>
      <c r="U11" s="60"/>
      <c r="V11" s="59">
        <v>17.32</v>
      </c>
      <c r="W11" s="60"/>
      <c r="X11" s="60"/>
      <c r="Z11" s="47" t="s">
        <v>3488</v>
      </c>
      <c r="AA11" s="60"/>
      <c r="AB11" s="60"/>
      <c r="AC11" s="51">
        <v>25.62</v>
      </c>
      <c r="AD11" s="60"/>
      <c r="AE11" s="60"/>
      <c r="AG11" s="47" t="s">
        <v>3488</v>
      </c>
      <c r="AH11" s="60"/>
      <c r="AI11" s="60"/>
      <c r="AJ11" s="51">
        <v>22.7</v>
      </c>
      <c r="AK11" s="60"/>
      <c r="AL11" s="60"/>
      <c r="AN11" s="47" t="s">
        <v>3488</v>
      </c>
      <c r="AO11" s="60"/>
      <c r="AP11" s="60"/>
      <c r="AQ11" s="51">
        <v>10.35</v>
      </c>
      <c r="AR11" s="60"/>
      <c r="AS11" s="60"/>
      <c r="AU11" s="47" t="s">
        <v>3487</v>
      </c>
      <c r="AV11" s="60"/>
      <c r="AW11" s="51">
        <v>5.37</v>
      </c>
      <c r="AX11" s="51"/>
      <c r="AY11" s="60"/>
      <c r="AZ11" s="60"/>
      <c r="BB11" s="47" t="s">
        <v>3487</v>
      </c>
      <c r="BC11" s="60"/>
      <c r="BD11" s="51">
        <v>11.59</v>
      </c>
      <c r="BE11" s="51"/>
      <c r="BF11" s="60"/>
      <c r="BG11" s="60"/>
    </row>
    <row r="12" spans="1:59" x14ac:dyDescent="0.2">
      <c r="A12" s="46" t="s">
        <v>3532</v>
      </c>
      <c r="I12" s="47" t="s">
        <v>3495</v>
      </c>
      <c r="J12" s="50">
        <v>7.6148793000000001</v>
      </c>
      <c r="K12" s="51" t="str">
        <f t="shared" si="12"/>
        <v>Medium influence</v>
      </c>
      <c r="N12" s="47" t="s">
        <v>3488</v>
      </c>
      <c r="O12" s="51">
        <v>17.27</v>
      </c>
      <c r="P12" s="51">
        <v>7.49</v>
      </c>
      <c r="Q12" s="51">
        <v>18.39</v>
      </c>
      <c r="R12" s="51">
        <v>6.65</v>
      </c>
      <c r="S12" s="47" t="s">
        <v>3489</v>
      </c>
      <c r="T12" s="60"/>
      <c r="U12" s="60"/>
      <c r="V12" s="59">
        <v>17.45</v>
      </c>
      <c r="W12" s="60"/>
      <c r="X12" s="60"/>
      <c r="Z12" s="47" t="s">
        <v>3489</v>
      </c>
      <c r="AA12" s="60"/>
      <c r="AB12" s="60"/>
      <c r="AC12" s="51">
        <v>21.23</v>
      </c>
      <c r="AD12" s="60"/>
      <c r="AE12" s="60"/>
      <c r="AG12" s="47" t="s">
        <v>3489</v>
      </c>
      <c r="AH12" s="60"/>
      <c r="AI12" s="60"/>
      <c r="AJ12" s="51">
        <v>13.81</v>
      </c>
      <c r="AK12" s="60"/>
      <c r="AL12" s="60"/>
      <c r="AN12" s="47" t="s">
        <v>3489</v>
      </c>
      <c r="AO12" s="60"/>
      <c r="AP12" s="60"/>
      <c r="AQ12" s="51">
        <v>4.34</v>
      </c>
      <c r="AR12" s="60"/>
      <c r="AS12" s="60"/>
      <c r="AU12" s="47" t="s">
        <v>3488</v>
      </c>
      <c r="AV12" s="60"/>
      <c r="AW12" s="60"/>
      <c r="AX12" s="51">
        <v>15.24</v>
      </c>
      <c r="AY12" s="60"/>
      <c r="AZ12" s="60"/>
      <c r="BB12" s="47" t="s">
        <v>3488</v>
      </c>
      <c r="BC12" s="60"/>
      <c r="BD12" s="60"/>
      <c r="BE12" s="51">
        <v>18.39</v>
      </c>
      <c r="BF12" s="60"/>
      <c r="BG12" s="60"/>
    </row>
    <row r="13" spans="1:59" x14ac:dyDescent="0.2">
      <c r="A13" s="46" t="s">
        <v>3533</v>
      </c>
      <c r="I13" s="47" t="s">
        <v>3486</v>
      </c>
      <c r="J13" s="50">
        <v>7.5592373999999998</v>
      </c>
      <c r="K13" s="51" t="str">
        <f t="shared" si="12"/>
        <v>Low influence</v>
      </c>
      <c r="N13" s="47" t="s">
        <v>3489</v>
      </c>
      <c r="O13" s="51">
        <v>6.54</v>
      </c>
      <c r="P13" s="51">
        <v>7.71</v>
      </c>
      <c r="Q13" s="51">
        <v>10.56</v>
      </c>
      <c r="R13" s="51">
        <v>2.2799999999999998</v>
      </c>
      <c r="S13" s="47" t="s">
        <v>3490</v>
      </c>
      <c r="T13" s="60"/>
      <c r="U13" s="60"/>
      <c r="V13" s="59">
        <v>21.68</v>
      </c>
      <c r="W13" s="60"/>
      <c r="X13" s="60"/>
      <c r="Z13" s="47" t="s">
        <v>3490</v>
      </c>
      <c r="AA13" s="60"/>
      <c r="AB13" s="60"/>
      <c r="AC13" s="51">
        <v>15.83</v>
      </c>
      <c r="AD13" s="60"/>
      <c r="AE13" s="60"/>
      <c r="AG13" s="47" t="s">
        <v>3490</v>
      </c>
      <c r="AH13" s="60"/>
      <c r="AI13" s="60"/>
      <c r="AJ13" s="51">
        <v>23.32</v>
      </c>
      <c r="AK13" s="60"/>
      <c r="AL13" s="60"/>
      <c r="AN13" s="47" t="s">
        <v>3490</v>
      </c>
      <c r="AO13" s="60"/>
      <c r="AP13" s="60"/>
      <c r="AQ13" s="51">
        <v>8</v>
      </c>
      <c r="AR13" s="60"/>
      <c r="AS13" s="60"/>
      <c r="AU13" s="47" t="s">
        <v>3489</v>
      </c>
      <c r="AV13" s="60"/>
      <c r="AW13" s="60"/>
      <c r="AX13" s="51">
        <v>10.36</v>
      </c>
      <c r="AY13" s="60"/>
      <c r="AZ13" s="60"/>
      <c r="BB13" s="47" t="s">
        <v>3489</v>
      </c>
      <c r="BC13" s="60"/>
      <c r="BD13" s="60"/>
      <c r="BE13" s="51">
        <v>10.56</v>
      </c>
      <c r="BF13" s="60"/>
      <c r="BG13" s="60"/>
    </row>
    <row r="14" spans="1:59" x14ac:dyDescent="0.2">
      <c r="A14" s="46" t="s">
        <v>3534</v>
      </c>
      <c r="I14" s="47" t="s">
        <v>3494</v>
      </c>
      <c r="J14" s="50">
        <v>4.1496597</v>
      </c>
      <c r="K14" s="51" t="str">
        <f t="shared" si="12"/>
        <v>Low influence</v>
      </c>
      <c r="N14" s="47" t="s">
        <v>3490</v>
      </c>
      <c r="O14" s="51">
        <v>2.79</v>
      </c>
      <c r="P14" s="51">
        <v>2.96</v>
      </c>
      <c r="Q14" s="51">
        <v>4.22</v>
      </c>
      <c r="R14" s="51">
        <v>1.64</v>
      </c>
      <c r="S14" s="47" t="s">
        <v>3491</v>
      </c>
      <c r="T14" s="60"/>
      <c r="U14" s="60"/>
      <c r="V14" s="59">
        <v>9.92</v>
      </c>
      <c r="W14" s="60"/>
      <c r="X14" s="60"/>
      <c r="Z14" s="47" t="s">
        <v>3491</v>
      </c>
      <c r="AA14" s="60"/>
      <c r="AB14" s="60"/>
      <c r="AC14" s="51">
        <v>-0.55000000000000004</v>
      </c>
      <c r="AD14" s="60"/>
      <c r="AE14" s="60"/>
      <c r="AG14" s="47" t="s">
        <v>3491</v>
      </c>
      <c r="AH14" s="60"/>
      <c r="AI14" s="60"/>
      <c r="AJ14" s="51">
        <v>3.92</v>
      </c>
      <c r="AK14" s="60"/>
      <c r="AL14" s="60"/>
      <c r="AN14" s="47" t="s">
        <v>3491</v>
      </c>
      <c r="AO14" s="60"/>
      <c r="AP14" s="60"/>
      <c r="AQ14" s="51">
        <v>23.11</v>
      </c>
      <c r="AR14" s="60"/>
      <c r="AS14" s="60"/>
      <c r="AU14" s="47" t="s">
        <v>3490</v>
      </c>
      <c r="AV14" s="60"/>
      <c r="AW14" s="60"/>
      <c r="AX14" s="51">
        <v>6.99</v>
      </c>
      <c r="AY14" s="60"/>
      <c r="AZ14" s="60"/>
      <c r="BB14" s="47" t="s">
        <v>3490</v>
      </c>
      <c r="BC14" s="60"/>
      <c r="BD14" s="60"/>
      <c r="BE14" s="51">
        <v>4.22</v>
      </c>
      <c r="BF14" s="60"/>
      <c r="BG14" s="60"/>
    </row>
    <row r="15" spans="1:59" x14ac:dyDescent="0.2">
      <c r="A15" s="46" t="s">
        <v>3535</v>
      </c>
      <c r="I15" s="47" t="s">
        <v>798</v>
      </c>
      <c r="J15" s="50">
        <v>2.8913996000000002</v>
      </c>
      <c r="K15" s="51" t="str">
        <f t="shared" si="12"/>
        <v>Low influence</v>
      </c>
      <c r="N15" s="47" t="s">
        <v>3491</v>
      </c>
      <c r="O15" s="51">
        <v>-2.11</v>
      </c>
      <c r="P15" s="51">
        <v>9.1300000000000008</v>
      </c>
      <c r="Q15" s="51">
        <v>8</v>
      </c>
      <c r="R15" s="51">
        <v>1.96</v>
      </c>
      <c r="S15" s="47" t="s">
        <v>3492</v>
      </c>
      <c r="T15" s="60"/>
      <c r="U15" s="60"/>
      <c r="V15" s="60"/>
      <c r="W15" s="59">
        <v>5.31</v>
      </c>
      <c r="X15" s="60"/>
      <c r="Z15" s="47" t="s">
        <v>3492</v>
      </c>
      <c r="AA15" s="60"/>
      <c r="AB15" s="60"/>
      <c r="AC15" s="60"/>
      <c r="AD15" s="51">
        <v>22.14</v>
      </c>
      <c r="AE15" s="60"/>
      <c r="AG15" s="47" t="s">
        <v>3492</v>
      </c>
      <c r="AH15" s="60"/>
      <c r="AI15" s="60"/>
      <c r="AJ15" s="60"/>
      <c r="AK15" s="51">
        <v>8.19</v>
      </c>
      <c r="AL15" s="60"/>
      <c r="AN15" s="47" t="s">
        <v>3492</v>
      </c>
      <c r="AO15" s="60"/>
      <c r="AP15" s="60"/>
      <c r="AQ15" s="60"/>
      <c r="AR15" s="51">
        <v>6</v>
      </c>
      <c r="AS15" s="60"/>
      <c r="AU15" s="47" t="s">
        <v>3491</v>
      </c>
      <c r="AV15" s="60"/>
      <c r="AW15" s="60"/>
      <c r="AX15" s="51">
        <v>20.27</v>
      </c>
      <c r="AY15" s="51"/>
      <c r="AZ15" s="60"/>
      <c r="BB15" s="47" t="s">
        <v>3491</v>
      </c>
      <c r="BC15" s="60"/>
      <c r="BD15" s="60"/>
      <c r="BE15" s="51">
        <v>8</v>
      </c>
      <c r="BF15" s="51"/>
      <c r="BG15" s="60"/>
    </row>
    <row r="16" spans="1:59" x14ac:dyDescent="0.2">
      <c r="A16" s="46" t="s">
        <v>3536</v>
      </c>
      <c r="I16" s="47" t="s">
        <v>800</v>
      </c>
      <c r="J16" s="50">
        <v>2.7976605999999999</v>
      </c>
      <c r="K16" s="51" t="str">
        <f t="shared" si="12"/>
        <v>Low influence</v>
      </c>
      <c r="N16" s="47" t="s">
        <v>3492</v>
      </c>
      <c r="O16" s="51">
        <v>41.2</v>
      </c>
      <c r="P16" s="51">
        <v>75.930000000000007</v>
      </c>
      <c r="Q16" s="51">
        <v>82.29</v>
      </c>
      <c r="R16" s="51">
        <v>27.85</v>
      </c>
      <c r="S16" s="47" t="s">
        <v>3493</v>
      </c>
      <c r="T16" s="60"/>
      <c r="U16" s="60"/>
      <c r="V16" s="60"/>
      <c r="W16" s="59">
        <v>11.67</v>
      </c>
      <c r="X16" s="60"/>
      <c r="Z16" s="47" t="s">
        <v>3493</v>
      </c>
      <c r="AA16" s="60"/>
      <c r="AB16" s="60"/>
      <c r="AC16" s="60"/>
      <c r="AD16" s="51">
        <v>11.8</v>
      </c>
      <c r="AE16" s="60"/>
      <c r="AG16" s="47" t="s">
        <v>3493</v>
      </c>
      <c r="AH16" s="60"/>
      <c r="AI16" s="60"/>
      <c r="AJ16" s="60"/>
      <c r="AK16" s="51">
        <v>16.579999999999998</v>
      </c>
      <c r="AL16" s="60"/>
      <c r="AN16" s="47" t="s">
        <v>3493</v>
      </c>
      <c r="AO16" s="60"/>
      <c r="AP16" s="60"/>
      <c r="AQ16" s="60"/>
      <c r="AR16" s="51">
        <v>21.92</v>
      </c>
      <c r="AS16" s="60"/>
      <c r="AU16" s="47" t="s">
        <v>3493</v>
      </c>
      <c r="AV16" s="60"/>
      <c r="AW16" s="60"/>
      <c r="AX16" s="60"/>
      <c r="AY16" s="51">
        <v>28.73</v>
      </c>
      <c r="AZ16" s="60"/>
      <c r="BB16" s="47" t="s">
        <v>3492</v>
      </c>
      <c r="BC16" s="60"/>
      <c r="BD16" s="60"/>
      <c r="BE16" s="60"/>
      <c r="BF16" s="51">
        <v>82.29</v>
      </c>
      <c r="BG16" s="60"/>
    </row>
    <row r="17" spans="1:59" x14ac:dyDescent="0.2">
      <c r="A17" s="46" t="s">
        <v>3537</v>
      </c>
      <c r="I17" s="47" t="s">
        <v>3492</v>
      </c>
      <c r="J17" s="50">
        <v>2.4814440000000002</v>
      </c>
      <c r="K17" s="51" t="str">
        <f t="shared" si="12"/>
        <v>No influence</v>
      </c>
      <c r="N17" s="47" t="s">
        <v>3493</v>
      </c>
      <c r="O17" s="51">
        <v>17.07</v>
      </c>
      <c r="P17" s="51">
        <v>32.79</v>
      </c>
      <c r="Q17" s="51">
        <v>37.67</v>
      </c>
      <c r="R17" s="51">
        <v>13.7</v>
      </c>
      <c r="S17" s="47" t="s">
        <v>3494</v>
      </c>
      <c r="T17" s="60"/>
      <c r="U17" s="60"/>
      <c r="V17" s="60"/>
      <c r="W17" s="59">
        <v>3.81</v>
      </c>
      <c r="X17" s="60"/>
      <c r="Z17" s="47" t="s">
        <v>3494</v>
      </c>
      <c r="AA17" s="60"/>
      <c r="AB17" s="60"/>
      <c r="AC17" s="60"/>
      <c r="AD17" s="51">
        <v>7.12</v>
      </c>
      <c r="AE17" s="60"/>
      <c r="AG17" s="47" t="s">
        <v>3494</v>
      </c>
      <c r="AH17" s="60"/>
      <c r="AI17" s="60"/>
      <c r="AJ17" s="60"/>
      <c r="AK17" s="51">
        <v>4.57</v>
      </c>
      <c r="AL17" s="60"/>
      <c r="AN17" s="47" t="s">
        <v>3494</v>
      </c>
      <c r="AO17" s="60"/>
      <c r="AP17" s="60"/>
      <c r="AQ17" s="60"/>
      <c r="AR17" s="51">
        <v>10.97</v>
      </c>
      <c r="AS17" s="60"/>
      <c r="AU17" s="47" t="s">
        <v>3494</v>
      </c>
      <c r="AV17" s="60"/>
      <c r="AW17" s="60"/>
      <c r="AX17" s="60"/>
      <c r="AY17" s="51">
        <v>-3.06</v>
      </c>
      <c r="AZ17" s="60"/>
      <c r="BB17" s="47" t="s">
        <v>3493</v>
      </c>
      <c r="BC17" s="60"/>
      <c r="BD17" s="60"/>
      <c r="BE17" s="60"/>
      <c r="BF17" s="51">
        <v>37.67</v>
      </c>
      <c r="BG17" s="60"/>
    </row>
    <row r="18" spans="1:59" x14ac:dyDescent="0.2">
      <c r="A18" s="46" t="s">
        <v>3538</v>
      </c>
      <c r="I18" s="47" t="s">
        <v>3487</v>
      </c>
      <c r="J18" s="50">
        <v>2.1499834</v>
      </c>
      <c r="K18" s="51" t="str">
        <f t="shared" si="12"/>
        <v>No influence</v>
      </c>
      <c r="N18" s="47" t="s">
        <v>3494</v>
      </c>
      <c r="O18" s="51">
        <v>11.59</v>
      </c>
      <c r="P18" s="51">
        <v>9.2100000000000009</v>
      </c>
      <c r="Q18" s="51">
        <v>14.65</v>
      </c>
      <c r="R18" s="51">
        <v>4.3</v>
      </c>
      <c r="S18" s="47" t="s">
        <v>3495</v>
      </c>
      <c r="T18" s="60"/>
      <c r="U18" s="60"/>
      <c r="V18" s="60"/>
      <c r="W18" s="59">
        <v>7.48</v>
      </c>
      <c r="X18" s="60"/>
      <c r="Z18" s="47" t="s">
        <v>3495</v>
      </c>
      <c r="AA18" s="60"/>
      <c r="AB18" s="60"/>
      <c r="AC18" s="60"/>
      <c r="AD18" s="51">
        <v>21.32</v>
      </c>
      <c r="AE18" s="60"/>
      <c r="AG18" s="47" t="s">
        <v>3495</v>
      </c>
      <c r="AH18" s="60"/>
      <c r="AI18" s="60"/>
      <c r="AJ18" s="60"/>
      <c r="AK18" s="51">
        <v>12.08</v>
      </c>
      <c r="AL18" s="60"/>
      <c r="AN18" s="47" t="s">
        <v>3495</v>
      </c>
      <c r="AO18" s="60"/>
      <c r="AP18" s="60"/>
      <c r="AQ18" s="60"/>
      <c r="AR18" s="51">
        <v>5.83</v>
      </c>
      <c r="AS18" s="60"/>
      <c r="AU18" s="47" t="s">
        <v>3495</v>
      </c>
      <c r="AV18" s="60"/>
      <c r="AW18" s="60"/>
      <c r="AX18" s="60"/>
      <c r="AY18" s="51">
        <v>48.55</v>
      </c>
      <c r="AZ18" s="60"/>
      <c r="BB18" s="47" t="s">
        <v>3494</v>
      </c>
      <c r="BC18" s="60"/>
      <c r="BD18" s="60"/>
      <c r="BE18" s="60"/>
      <c r="BF18" s="51">
        <v>14.65</v>
      </c>
      <c r="BG18" s="60"/>
    </row>
    <row r="19" spans="1:59" x14ac:dyDescent="0.2">
      <c r="A19" s="46" t="s">
        <v>3539</v>
      </c>
      <c r="I19" s="47" t="s">
        <v>3485</v>
      </c>
      <c r="J19" s="50">
        <v>1.0353291</v>
      </c>
      <c r="K19" s="51" t="str">
        <f t="shared" si="12"/>
        <v>No influence</v>
      </c>
      <c r="N19" s="47" t="s">
        <v>800</v>
      </c>
      <c r="O19" s="51">
        <v>11.02</v>
      </c>
      <c r="P19" s="51">
        <v>9.98</v>
      </c>
      <c r="Q19" s="51">
        <v>15.13</v>
      </c>
      <c r="R19" s="51">
        <v>10.9</v>
      </c>
      <c r="S19" s="47" t="s">
        <v>800</v>
      </c>
      <c r="T19" s="60"/>
      <c r="U19" s="60"/>
      <c r="V19" s="60"/>
      <c r="W19" s="60"/>
      <c r="X19" s="59">
        <v>4.3899999999999997</v>
      </c>
      <c r="Z19" s="47" t="s">
        <v>800</v>
      </c>
      <c r="AA19" s="60"/>
      <c r="AB19" s="60"/>
      <c r="AC19" s="60"/>
      <c r="AD19" s="60"/>
      <c r="AE19" s="51">
        <v>-1.36</v>
      </c>
      <c r="AG19" s="47" t="s">
        <v>800</v>
      </c>
      <c r="AH19" s="60"/>
      <c r="AI19" s="60"/>
      <c r="AJ19" s="60"/>
      <c r="AK19" s="60"/>
      <c r="AL19" s="51">
        <v>3.44</v>
      </c>
      <c r="AN19" s="47" t="s">
        <v>800</v>
      </c>
      <c r="AO19" s="60"/>
      <c r="AP19" s="60"/>
      <c r="AQ19" s="60"/>
      <c r="AR19" s="60"/>
      <c r="AS19" s="51">
        <v>8.68</v>
      </c>
      <c r="AU19" s="47" t="s">
        <v>800</v>
      </c>
      <c r="AV19" s="60"/>
      <c r="AW19" s="60"/>
      <c r="AX19" s="60"/>
      <c r="AY19" s="60"/>
      <c r="AZ19" s="51">
        <v>10.9</v>
      </c>
      <c r="BB19" s="47" t="s">
        <v>800</v>
      </c>
      <c r="BC19" s="60"/>
      <c r="BD19" s="60"/>
      <c r="BE19" s="60"/>
      <c r="BF19" s="60"/>
      <c r="BG19" s="51">
        <v>15.13</v>
      </c>
    </row>
    <row r="20" spans="1:59" x14ac:dyDescent="0.2">
      <c r="A20" s="46" t="s">
        <v>3540</v>
      </c>
      <c r="I20" s="47" t="s">
        <v>799</v>
      </c>
      <c r="J20" s="50">
        <v>0.96809160000000005</v>
      </c>
      <c r="K20" s="51" t="str">
        <f t="shared" si="12"/>
        <v>No influence</v>
      </c>
      <c r="N20" s="47" t="s">
        <v>798</v>
      </c>
      <c r="O20" s="51">
        <v>6.95</v>
      </c>
      <c r="P20" s="51">
        <v>14.6</v>
      </c>
      <c r="Q20" s="51">
        <v>16.52</v>
      </c>
      <c r="R20" s="51">
        <v>8.4700000000000006</v>
      </c>
      <c r="S20" s="47" t="s">
        <v>798</v>
      </c>
      <c r="T20" s="60"/>
      <c r="U20" s="60"/>
      <c r="V20" s="60"/>
      <c r="W20" s="60"/>
      <c r="X20" s="59">
        <v>3.55</v>
      </c>
      <c r="Z20" s="47" t="s">
        <v>798</v>
      </c>
      <c r="AA20" s="60"/>
      <c r="AB20" s="60"/>
      <c r="AC20" s="60"/>
      <c r="AD20" s="60"/>
      <c r="AE20" s="51">
        <v>4.49</v>
      </c>
      <c r="AG20" s="47" t="s">
        <v>798</v>
      </c>
      <c r="AH20" s="60"/>
      <c r="AI20" s="60"/>
      <c r="AJ20" s="60"/>
      <c r="AK20" s="60"/>
      <c r="AL20" s="51">
        <v>5.67</v>
      </c>
      <c r="AN20" s="47" t="s">
        <v>798</v>
      </c>
      <c r="AO20" s="60"/>
      <c r="AP20" s="60"/>
      <c r="AQ20" s="60"/>
      <c r="AR20" s="60"/>
      <c r="AS20" s="51">
        <v>2.04</v>
      </c>
      <c r="AU20" s="47" t="s">
        <v>798</v>
      </c>
      <c r="AV20" s="60"/>
      <c r="AW20" s="60"/>
      <c r="AX20" s="60"/>
      <c r="AY20" s="60"/>
      <c r="AZ20" s="51">
        <v>11.87</v>
      </c>
      <c r="BB20" s="47" t="s">
        <v>798</v>
      </c>
      <c r="BC20" s="60"/>
      <c r="BD20" s="60"/>
      <c r="BE20" s="60"/>
      <c r="BF20" s="60"/>
      <c r="BG20" s="51">
        <v>16.52</v>
      </c>
    </row>
    <row r="21" spans="1:59" x14ac:dyDescent="0.2">
      <c r="J21" s="50"/>
      <c r="N21" s="47" t="s">
        <v>799</v>
      </c>
      <c r="O21" s="51">
        <v>6.28</v>
      </c>
      <c r="P21" s="51">
        <v>-3.09</v>
      </c>
      <c r="Q21" s="51">
        <v>2.74</v>
      </c>
      <c r="R21" s="51">
        <v>3.02</v>
      </c>
      <c r="S21" s="47" t="s">
        <v>799</v>
      </c>
      <c r="T21" s="60"/>
      <c r="U21" s="60"/>
      <c r="V21" s="60"/>
      <c r="W21" s="60"/>
      <c r="X21" s="59">
        <v>1.6</v>
      </c>
      <c r="Z21" s="47" t="s">
        <v>799</v>
      </c>
      <c r="AA21" s="60"/>
      <c r="AB21" s="60"/>
      <c r="AC21" s="60"/>
      <c r="AD21" s="60"/>
      <c r="AE21" s="51">
        <v>0.66</v>
      </c>
      <c r="AG21" s="47" t="s">
        <v>799</v>
      </c>
      <c r="AH21" s="60"/>
      <c r="AI21" s="60"/>
      <c r="AJ21" s="60"/>
      <c r="AK21" s="60"/>
      <c r="AL21" s="51">
        <v>12.06</v>
      </c>
      <c r="AN21" s="47" t="s">
        <v>799</v>
      </c>
      <c r="AO21" s="60"/>
      <c r="AP21" s="60"/>
      <c r="AQ21" s="60"/>
      <c r="AR21" s="60"/>
      <c r="AS21" s="51">
        <v>-0.05</v>
      </c>
      <c r="AU21" s="47" t="s">
        <v>799</v>
      </c>
      <c r="AV21" s="60"/>
      <c r="AW21" s="60"/>
      <c r="AX21" s="60"/>
      <c r="AY21" s="60"/>
      <c r="AZ21" s="51">
        <v>1.05</v>
      </c>
      <c r="BB21" s="47" t="s">
        <v>799</v>
      </c>
      <c r="BC21" s="60"/>
      <c r="BD21" s="60"/>
      <c r="BE21" s="60"/>
      <c r="BF21" s="60"/>
      <c r="BG21" s="51">
        <v>2.74</v>
      </c>
    </row>
    <row r="22" spans="1:59" x14ac:dyDescent="0.2">
      <c r="I22" s="47" t="s">
        <v>3542</v>
      </c>
      <c r="J22" s="50">
        <f>QUARTILE(J4:J20,1)</f>
        <v>2.7976605999999999</v>
      </c>
    </row>
    <row r="23" spans="1:59" x14ac:dyDescent="0.2">
      <c r="A23" s="47" t="s">
        <v>3640</v>
      </c>
      <c r="I23" s="47" t="s">
        <v>3543</v>
      </c>
      <c r="J23" s="50">
        <f>QUARTILE(J4:J20,2)</f>
        <v>7.6148793000000001</v>
      </c>
    </row>
    <row r="24" spans="1:59" x14ac:dyDescent="0.2">
      <c r="A24" s="47" t="s">
        <v>3647</v>
      </c>
      <c r="I24" s="47" t="s">
        <v>3544</v>
      </c>
      <c r="J24" s="50">
        <f>QUARTILE(J4:J20,3)</f>
        <v>13.471463</v>
      </c>
    </row>
    <row r="25" spans="1:59" x14ac:dyDescent="0.2">
      <c r="A25" s="47" t="s">
        <v>3648</v>
      </c>
      <c r="J25" s="52"/>
    </row>
    <row r="26" spans="1:59" x14ac:dyDescent="0.2">
      <c r="A26" s="47" t="s">
        <v>3649</v>
      </c>
    </row>
    <row r="27" spans="1:59" x14ac:dyDescent="0.2">
      <c r="A27" s="47" t="s">
        <v>3650</v>
      </c>
    </row>
    <row r="28" spans="1:59" x14ac:dyDescent="0.2">
      <c r="A28" s="47" t="s">
        <v>3651</v>
      </c>
    </row>
    <row r="29" spans="1:59" x14ac:dyDescent="0.2">
      <c r="A29" s="47" t="s">
        <v>3652</v>
      </c>
    </row>
    <row r="30" spans="1:59" x14ac:dyDescent="0.2">
      <c r="A30" s="47" t="s">
        <v>3653</v>
      </c>
    </row>
    <row r="31" spans="1:59" x14ac:dyDescent="0.2">
      <c r="A31" s="47" t="s">
        <v>3654</v>
      </c>
    </row>
    <row r="32" spans="1:59" x14ac:dyDescent="0.2">
      <c r="A32" s="47" t="s">
        <v>3655</v>
      </c>
    </row>
    <row r="33" spans="1:1" x14ac:dyDescent="0.2">
      <c r="A33" s="47" t="s">
        <v>3656</v>
      </c>
    </row>
    <row r="34" spans="1:1" x14ac:dyDescent="0.2">
      <c r="A34" s="47" t="s">
        <v>3657</v>
      </c>
    </row>
    <row r="35" spans="1:1" x14ac:dyDescent="0.2">
      <c r="A35" s="47" t="s">
        <v>3658</v>
      </c>
    </row>
    <row r="36" spans="1:1" x14ac:dyDescent="0.2">
      <c r="A36" s="47" t="s">
        <v>3659</v>
      </c>
    </row>
    <row r="37" spans="1:1" x14ac:dyDescent="0.2">
      <c r="A37" s="47" t="s">
        <v>3660</v>
      </c>
    </row>
    <row r="38" spans="1:1" x14ac:dyDescent="0.2">
      <c r="A38" s="47" t="s">
        <v>3661</v>
      </c>
    </row>
    <row r="39" spans="1:1" x14ac:dyDescent="0.2">
      <c r="A39" s="47" t="s">
        <v>3662</v>
      </c>
    </row>
    <row r="40" spans="1:1" x14ac:dyDescent="0.2">
      <c r="A40" s="47" t="s">
        <v>3663</v>
      </c>
    </row>
    <row r="41" spans="1:1" x14ac:dyDescent="0.2">
      <c r="A41" s="47" t="s">
        <v>3664</v>
      </c>
    </row>
  </sheetData>
  <autoFilter ref="N3:R3">
    <sortState ref="N4:R21">
      <sortCondition ref="N3"/>
    </sortState>
  </autoFilter>
  <sortState ref="N2:R19">
    <sortCondition ref="N1"/>
  </sortState>
  <conditionalFormatting sqref="BC4:BG2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T4:X21">
    <cfRule type="colorScale" priority="5">
      <colorScale>
        <cfvo type="min"/>
        <cfvo type="max"/>
        <color rgb="FFFCFCFF"/>
        <color rgb="FF63BE7B"/>
      </colorScale>
    </cfRule>
  </conditionalFormatting>
  <conditionalFormatting sqref="AA4:AE21">
    <cfRule type="colorScale" priority="4">
      <colorScale>
        <cfvo type="min"/>
        <cfvo type="max"/>
        <color rgb="FFFCFCFF"/>
        <color rgb="FF63BE7B"/>
      </colorScale>
    </cfRule>
  </conditionalFormatting>
  <conditionalFormatting sqref="AH4:AL21">
    <cfRule type="colorScale" priority="3">
      <colorScale>
        <cfvo type="min"/>
        <cfvo type="max"/>
        <color rgb="FFFCFCFF"/>
        <color rgb="FF63BE7B"/>
      </colorScale>
    </cfRule>
  </conditionalFormatting>
  <conditionalFormatting sqref="AO4:AS21">
    <cfRule type="colorScale" priority="2">
      <colorScale>
        <cfvo type="min"/>
        <cfvo type="max"/>
        <color rgb="FFFCFCFF"/>
        <color rgb="FF63BE7B"/>
      </colorScale>
    </cfRule>
  </conditionalFormatting>
  <conditionalFormatting sqref="AV4:AZ2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customProperties>
    <customPr name="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SurveyRpt_20150223 (1)</vt:lpstr>
      <vt:lpstr>Compiled Agents</vt:lpstr>
      <vt:lpstr>Region</vt:lpstr>
      <vt:lpstr>Raw</vt:lpstr>
      <vt:lpstr>Accuracy</vt:lpstr>
      <vt:lpstr>AUC</vt:lpstr>
      <vt:lpstr>Sheet3</vt:lpstr>
      <vt:lpstr>Radar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Mannem</dc:creator>
  <cp:lastModifiedBy>Adrian S Cuyugan</cp:lastModifiedBy>
  <dcterms:created xsi:type="dcterms:W3CDTF">2015-02-23T11:35:42Z</dcterms:created>
  <dcterms:modified xsi:type="dcterms:W3CDTF">2015-03-31T15:48:08Z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sync_ServerID">
    <vt:lpwstr>0f6fb45f-1006-4035-941a-751f96da8c69</vt:lpwstr>
  </property>
  <property fmtid="{D5CDD505-2E9C-101B-9397-08002B2CF9AE}" pid="3" name="Offisync_ProviderInitializationData">
    <vt:lpwstr>https://c3.csc.com/</vt:lpwstr>
  </property>
  <property fmtid="{D5CDD505-2E9C-101B-9397-08002B2CF9AE}" pid="4" name="Offisync_UpdateToken">
    <vt:lpwstr>8</vt:lpwstr>
  </property>
  <property fmtid="{D5CDD505-2E9C-101B-9397-08002B2CF9AE}" pid="5" name="Jive_PrevVersionNumber">
    <vt:lpwstr>7</vt:lpwstr>
  </property>
  <property fmtid="{D5CDD505-2E9C-101B-9397-08002B2CF9AE}" pid="6" name="Jive_LatestUserAccountName">
    <vt:lpwstr>acuyugan</vt:lpwstr>
  </property>
  <property fmtid="{D5CDD505-2E9C-101B-9397-08002B2CF9AE}" pid="7" name="Jive_LatestFileFullName">
    <vt:lpwstr>50ba27afa091a6bbf0f6ade16129bf93</vt:lpwstr>
  </property>
  <property fmtid="{D5CDD505-2E9C-101B-9397-08002B2CF9AE}" pid="8" name="Jive_ModifiedButNotPublished">
    <vt:lpwstr>True</vt:lpwstr>
  </property>
  <property fmtid="{D5CDD505-2E9C-101B-9397-08002B2CF9AE}" pid="9" name="Offisync_UniqueId">
    <vt:lpwstr>847953</vt:lpwstr>
  </property>
  <property fmtid="{D5CDD505-2E9C-101B-9397-08002B2CF9AE}" pid="10" name="Jive_VersionGuid_v2.5">
    <vt:lpwstr>dc4a10422f32448db86ab7bdf13fab59</vt:lpwstr>
  </property>
</Properties>
</file>